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theme/themeOverride28.xml" ContentType="application/vnd.openxmlformats-officedocument.themeOverride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theme/themeOverride29.xml" ContentType="application/vnd.openxmlformats-officedocument.themeOverrid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theme/themeOverride30.xml" ContentType="application/vnd.openxmlformats-officedocument.themeOverride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theme/themeOverride31.xml" ContentType="application/vnd.openxmlformats-officedocument.themeOverride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theme/themeOverride32.xml" ContentType="application/vnd.openxmlformats-officedocument.themeOverride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theme/themeOverride33.xml" ContentType="application/vnd.openxmlformats-officedocument.themeOverride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theme/themeOverride34.xml" ContentType="application/vnd.openxmlformats-officedocument.themeOverride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theme/themeOverride35.xml" ContentType="application/vnd.openxmlformats-officedocument.themeOverride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theme/themeOverride36.xml" ContentType="application/vnd.openxmlformats-officedocument.themeOverride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theme/themeOverride37.xml" ContentType="application/vnd.openxmlformats-officedocument.themeOverride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theme/themeOverride38.xml" ContentType="application/vnd.openxmlformats-officedocument.themeOverride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theme/themeOverride39.xml" ContentType="application/vnd.openxmlformats-officedocument.themeOverride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theme/themeOverride40.xml" ContentType="application/vnd.openxmlformats-officedocument.themeOverride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theme/themeOverride41.xml" ContentType="application/vnd.openxmlformats-officedocument.themeOverride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theme/themeOverride42.xml" ContentType="application/vnd.openxmlformats-officedocument.themeOverride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theme/themeOverride43.xml" ContentType="application/vnd.openxmlformats-officedocument.themeOverride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theme/themeOverride44.xml" ContentType="application/vnd.openxmlformats-officedocument.themeOverride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theme/themeOverride45.xml" ContentType="application/vnd.openxmlformats-officedocument.themeOverride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theme/themeOverride46.xml" ContentType="application/vnd.openxmlformats-officedocument.themeOverride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theme/themeOverride47.xml" ContentType="application/vnd.openxmlformats-officedocument.themeOverride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theme/themeOverride48.xml" ContentType="application/vnd.openxmlformats-officedocument.themeOverride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theme/themeOverride49.xml" ContentType="application/vnd.openxmlformats-officedocument.themeOverride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theme/themeOverride50.xml" ContentType="application/vnd.openxmlformats-officedocument.themeOverrid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5.xml" ContentType="application/vnd.openxmlformats-officedocument.drawingml.chart+xml"/>
  <Override PartName="/xl/theme/themeOverride51.xml" ContentType="application/vnd.openxmlformats-officedocument.themeOverride+xml"/>
  <Override PartName="/xl/drawings/drawing58.xml" ContentType="application/vnd.openxmlformats-officedocument.drawingml.chartshapes+xml"/>
  <Override PartName="/xl/charts/chart56.xml" ContentType="application/vnd.openxmlformats-officedocument.drawingml.chart+xml"/>
  <Override PartName="/xl/theme/themeOverride52.xml" ContentType="application/vnd.openxmlformats-officedocument.themeOverride+xml"/>
  <Override PartName="/xl/drawings/drawing59.xml" ContentType="application/vnd.openxmlformats-officedocument.drawingml.chartshapes+xml"/>
  <Override PartName="/xl/charts/chart57.xml" ContentType="application/vnd.openxmlformats-officedocument.drawingml.chart+xml"/>
  <Override PartName="/xl/theme/themeOverride53.xml" ContentType="application/vnd.openxmlformats-officedocument.themeOverride+xml"/>
  <Override PartName="/xl/drawings/drawing60.xml" ContentType="application/vnd.openxmlformats-officedocument.drawingml.chartshapes+xml"/>
  <Override PartName="/xl/charts/chart58.xml" ContentType="application/vnd.openxmlformats-officedocument.drawingml.chart+xml"/>
  <Override PartName="/xl/theme/themeOverride54.xml" ContentType="application/vnd.openxmlformats-officedocument.themeOverride+xml"/>
  <Override PartName="/xl/drawings/drawing61.xml" ContentType="application/vnd.openxmlformats-officedocument.drawingml.chartshapes+xml"/>
  <Override PartName="/xl/charts/chart59.xml" ContentType="application/vnd.openxmlformats-officedocument.drawingml.chart+xml"/>
  <Override PartName="/xl/theme/themeOverride55.xml" ContentType="application/vnd.openxmlformats-officedocument.themeOverride+xml"/>
  <Override PartName="/xl/drawings/drawing62.xml" ContentType="application/vnd.openxmlformats-officedocument.drawingml.chartshapes+xml"/>
  <Override PartName="/xl/charts/chart60.xml" ContentType="application/vnd.openxmlformats-officedocument.drawingml.chart+xml"/>
  <Override PartName="/xl/theme/themeOverride56.xml" ContentType="application/vnd.openxmlformats-officedocument.themeOverride+xml"/>
  <Override PartName="/xl/drawings/drawing63.xml" ContentType="application/vnd.openxmlformats-officedocument.drawingml.chartshapes+xml"/>
  <Override PartName="/xl/charts/chart61.xml" ContentType="application/vnd.openxmlformats-officedocument.drawingml.chart+xml"/>
  <Override PartName="/xl/theme/themeOverride57.xml" ContentType="application/vnd.openxmlformats-officedocument.themeOverride+xml"/>
  <Override PartName="/xl/drawings/drawing64.xml" ContentType="application/vnd.openxmlformats-officedocument.drawingml.chartshapes+xml"/>
  <Override PartName="/xl/charts/chart62.xml" ContentType="application/vnd.openxmlformats-officedocument.drawingml.chart+xml"/>
  <Override PartName="/xl/theme/themeOverride58.xml" ContentType="application/vnd.openxmlformats-officedocument.themeOverride+xml"/>
  <Override PartName="/xl/drawings/drawing65.xml" ContentType="application/vnd.openxmlformats-officedocument.drawingml.chartshapes+xml"/>
  <Override PartName="/xl/charts/chart63.xml" ContentType="application/vnd.openxmlformats-officedocument.drawingml.chart+xml"/>
  <Override PartName="/xl/theme/themeOverride59.xml" ContentType="application/vnd.openxmlformats-officedocument.themeOverride+xml"/>
  <Override PartName="/xl/drawings/drawing66.xml" ContentType="application/vnd.openxmlformats-officedocument.drawingml.chartshapes+xml"/>
  <Override PartName="/xl/charts/chart64.xml" ContentType="application/vnd.openxmlformats-officedocument.drawingml.chart+xml"/>
  <Override PartName="/xl/theme/themeOverride60.xml" ContentType="application/vnd.openxmlformats-officedocument.themeOverride+xml"/>
  <Override PartName="/xl/drawings/drawing67.xml" ContentType="application/vnd.openxmlformats-officedocument.drawingml.chartshapes+xml"/>
  <Override PartName="/xl/charts/chart65.xml" ContentType="application/vnd.openxmlformats-officedocument.drawingml.chart+xml"/>
  <Override PartName="/xl/theme/themeOverride61.xml" ContentType="application/vnd.openxmlformats-officedocument.themeOverride+xml"/>
  <Override PartName="/xl/drawings/drawing68.xml" ContentType="application/vnd.openxmlformats-officedocument.drawingml.chartshapes+xml"/>
  <Override PartName="/xl/charts/chart66.xml" ContentType="application/vnd.openxmlformats-officedocument.drawingml.chart+xml"/>
  <Override PartName="/xl/theme/themeOverride62.xml" ContentType="application/vnd.openxmlformats-officedocument.themeOverride+xml"/>
  <Override PartName="/xl/drawings/drawing69.xml" ContentType="application/vnd.openxmlformats-officedocument.drawingml.chartshapes+xml"/>
  <Override PartName="/xl/charts/chart67.xml" ContentType="application/vnd.openxmlformats-officedocument.drawingml.chart+xml"/>
  <Override PartName="/xl/theme/themeOverride63.xml" ContentType="application/vnd.openxmlformats-officedocument.themeOverride+xml"/>
  <Override PartName="/xl/drawings/drawing70.xml" ContentType="application/vnd.openxmlformats-officedocument.drawingml.chartshapes+xml"/>
  <Override PartName="/xl/charts/chart68.xml" ContentType="application/vnd.openxmlformats-officedocument.drawingml.chart+xml"/>
  <Override PartName="/xl/theme/themeOverride64.xml" ContentType="application/vnd.openxmlformats-officedocument.themeOverride+xml"/>
  <Override PartName="/xl/drawings/drawing71.xml" ContentType="application/vnd.openxmlformats-officedocument.drawingml.chartshapes+xml"/>
  <Override PartName="/xl/charts/chart69.xml" ContentType="application/vnd.openxmlformats-officedocument.drawingml.chart+xml"/>
  <Override PartName="/xl/theme/themeOverride65.xml" ContentType="application/vnd.openxmlformats-officedocument.themeOverride+xml"/>
  <Override PartName="/xl/drawings/drawing72.xml" ContentType="application/vnd.openxmlformats-officedocument.drawingml.chartshapes+xml"/>
  <Override PartName="/xl/charts/chart70.xml" ContentType="application/vnd.openxmlformats-officedocument.drawingml.chart+xml"/>
  <Override PartName="/xl/theme/themeOverride66.xml" ContentType="application/vnd.openxmlformats-officedocument.themeOverride+xml"/>
  <Override PartName="/xl/drawings/drawing73.xml" ContentType="application/vnd.openxmlformats-officedocument.drawingml.chartshapes+xml"/>
  <Override PartName="/xl/charts/chart71.xml" ContentType="application/vnd.openxmlformats-officedocument.drawingml.chart+xml"/>
  <Override PartName="/xl/theme/themeOverride67.xml" ContentType="application/vnd.openxmlformats-officedocument.themeOverride+xml"/>
  <Override PartName="/xl/drawings/drawing74.xml" ContentType="application/vnd.openxmlformats-officedocument.drawingml.chartshapes+xml"/>
  <Override PartName="/xl/charts/chart72.xml" ContentType="application/vnd.openxmlformats-officedocument.drawingml.chart+xml"/>
  <Override PartName="/xl/theme/themeOverride68.xml" ContentType="application/vnd.openxmlformats-officedocument.themeOverride+xml"/>
  <Override PartName="/xl/drawings/drawing75.xml" ContentType="application/vnd.openxmlformats-officedocument.drawingml.chartshapes+xml"/>
  <Override PartName="/xl/charts/chart73.xml" ContentType="application/vnd.openxmlformats-officedocument.drawingml.chart+xml"/>
  <Override PartName="/xl/theme/themeOverride69.xml" ContentType="application/vnd.openxmlformats-officedocument.themeOverride+xml"/>
  <Override PartName="/xl/drawings/drawing76.xml" ContentType="application/vnd.openxmlformats-officedocument.drawingml.chartshapes+xml"/>
  <Override PartName="/xl/charts/chart74.xml" ContentType="application/vnd.openxmlformats-officedocument.drawingml.chart+xml"/>
  <Override PartName="/xl/theme/themeOverride70.xml" ContentType="application/vnd.openxmlformats-officedocument.themeOverride+xml"/>
  <Override PartName="/xl/drawings/drawing77.xml" ContentType="application/vnd.openxmlformats-officedocument.drawingml.chartshapes+xml"/>
  <Override PartName="/xl/charts/chart75.xml" ContentType="application/vnd.openxmlformats-officedocument.drawingml.chart+xml"/>
  <Override PartName="/xl/theme/themeOverride71.xml" ContentType="application/vnd.openxmlformats-officedocument.themeOverride+xml"/>
  <Override PartName="/xl/drawings/drawing78.xml" ContentType="application/vnd.openxmlformats-officedocument.drawingml.chartshapes+xml"/>
  <Override PartName="/xl/charts/chart76.xml" ContentType="application/vnd.openxmlformats-officedocument.drawingml.chart+xml"/>
  <Override PartName="/xl/theme/themeOverride72.xml" ContentType="application/vnd.openxmlformats-officedocument.themeOverride+xml"/>
  <Override PartName="/xl/drawings/drawing79.xml" ContentType="application/vnd.openxmlformats-officedocument.drawingml.chartshapes+xml"/>
  <Override PartName="/xl/charts/chart77.xml" ContentType="application/vnd.openxmlformats-officedocument.drawingml.chart+xml"/>
  <Override PartName="/xl/theme/themeOverride73.xml" ContentType="application/vnd.openxmlformats-officedocument.themeOverride+xml"/>
  <Override PartName="/xl/drawings/drawing80.xml" ContentType="application/vnd.openxmlformats-officedocument.drawingml.chartshapes+xml"/>
  <Override PartName="/xl/charts/chart78.xml" ContentType="application/vnd.openxmlformats-officedocument.drawingml.chart+xml"/>
  <Override PartName="/xl/theme/themeOverride74.xml" ContentType="application/vnd.openxmlformats-officedocument.themeOverride+xml"/>
  <Override PartName="/xl/drawings/drawing81.xml" ContentType="application/vnd.openxmlformats-officedocument.drawingml.chartshapes+xml"/>
  <Override PartName="/xl/charts/chart79.xml" ContentType="application/vnd.openxmlformats-officedocument.drawingml.chart+xml"/>
  <Override PartName="/xl/theme/themeOverride75.xml" ContentType="application/vnd.openxmlformats-officedocument.themeOverride+xml"/>
  <Override PartName="/xl/drawings/drawing82.xml" ContentType="application/vnd.openxmlformats-officedocument.drawingml.chartshapes+xml"/>
  <Override PartName="/xl/charts/chart80.xml" ContentType="application/vnd.openxmlformats-officedocument.drawingml.chart+xml"/>
  <Override PartName="/xl/theme/themeOverride76.xml" ContentType="application/vnd.openxmlformats-officedocument.themeOverride+xml"/>
  <Override PartName="/xl/drawings/drawing83.xml" ContentType="application/vnd.openxmlformats-officedocument.drawingml.chartshapes+xml"/>
  <Override PartName="/xl/charts/chart81.xml" ContentType="application/vnd.openxmlformats-officedocument.drawingml.chart+xml"/>
  <Override PartName="/xl/theme/themeOverride77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84.xml" ContentType="application/vnd.openxmlformats-officedocument.drawingml.chart+xml"/>
  <Override PartName="/xl/drawings/drawing89.xml" ContentType="application/vnd.openxmlformats-officedocument.drawingml.chartshapes+xml"/>
  <Override PartName="/xl/charts/chart85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86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87.xml" ContentType="application/vnd.openxmlformats-officedocument.drawingml.chart+xml"/>
  <Override PartName="/xl/drawings/drawing94.xml" ContentType="application/vnd.openxmlformats-officedocument.drawingml.chartshapes+xml"/>
  <Override PartName="/xl/charts/chart88.xml" ContentType="application/vnd.openxmlformats-officedocument.drawingml.chart+xml"/>
  <Override PartName="/xl/drawings/drawing9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Q:\2019\2019_05_29\"/>
    </mc:Choice>
  </mc:AlternateContent>
  <bookViews>
    <workbookView xWindow="0" yWindow="0" windowWidth="28800" windowHeight="11835" tabRatio="818" firstSheet="3" activeTab="4"/>
  </bookViews>
  <sheets>
    <sheet name="alap" sheetId="4" state="hidden" r:id="rId1"/>
    <sheet name="táblázat_eljszerves" sheetId="1" state="hidden" r:id="rId2"/>
    <sheet name="diagram" sheetId="19" state="hidden" r:id="rId3"/>
    <sheet name="bcs" sheetId="24" r:id="rId4"/>
    <sheet name="diagram_közgyűlés" sheetId="37" r:id="rId5"/>
    <sheet name="táblázat_elkövetés helyes" sheetId="20" state="hidden" r:id="rId6"/>
    <sheet name="diagram_elkövhelyes" sheetId="22" state="hidden" r:id="rId7"/>
    <sheet name="kiembcs illter szerint" sheetId="34" state="hidden" r:id="rId8"/>
    <sheet name="180 napon túli" sheetId="30" state="hidden" r:id="rId9"/>
    <sheet name="illter_laknep_2005_2017" sheetId="3" state="hidden" r:id="rId10"/>
    <sheet name="RK_bcs" sheetId="5" state="hidden" r:id="rId11"/>
    <sheet name="ügyidő" sheetId="10" state="hidden" r:id="rId12"/>
    <sheet name="RK nyomered emb-káb" sheetId="6" state="hidden" r:id="rId13"/>
    <sheet name="RK nyomered lop-össz" sheetId="7" state="hidden" r:id="rId14"/>
    <sheet name="feldered_RK" sheetId="12" state="hidden" r:id="rId15"/>
    <sheet name="bírelé_vádem" sheetId="23" state="hidden" r:id="rId16"/>
    <sheet name="Bir_elé áll RK" sheetId="35" state="hidden" r:id="rId17"/>
    <sheet name="sértett" sheetId="15" state="hidden" r:id="rId18"/>
    <sheet name="bűnelkövetők" sheetId="14" state="hidden" r:id="rId19"/>
    <sheet name="országos átlag" sheetId="36" state="hidden" r:id="rId20"/>
    <sheet name="csalás" sheetId="25" state="hidden" r:id="rId21"/>
    <sheet name="khfevisszaél" sheetId="26" state="hidden" r:id="rId22"/>
    <sheet name="Határzár (2)" sheetId="27" state="hidden" r:id="rId23"/>
    <sheet name="határzár" sheetId="28" state="hidden" r:id="rId24"/>
    <sheet name="település_bcs" sheetId="21" state="hidden" r:id="rId25"/>
  </sheets>
  <externalReferences>
    <externalReference r:id="rId26"/>
  </externalReferences>
  <definedNames>
    <definedName name="_xlnm._FilterDatabase" localSheetId="15" hidden="1">bírelé_vádem!$B$2:$Y$180</definedName>
    <definedName name="_xlnm._FilterDatabase" localSheetId="14" hidden="1">feldered_RK!$A$3:$LO$200</definedName>
    <definedName name="_xlnm._FilterDatabase" localSheetId="12" hidden="1">'RK nyomered emb-káb'!$A$3:$KN$201</definedName>
    <definedName name="_xlnm._FilterDatabase" localSheetId="13" hidden="1">'RK nyomered lop-össz'!$A$3:$PU$201</definedName>
    <definedName name="_xlnm._FilterDatabase" localSheetId="10" hidden="1">RK_bcs!$A$2:$IQ$200</definedName>
    <definedName name="_xlnm._FilterDatabase" localSheetId="24" hidden="1">település_bcs!$A$2:$IQ$3201</definedName>
    <definedName name="_xlnm.Database" localSheetId="3">#REF!</definedName>
    <definedName name="_xlnm.Database" localSheetId="15">#REF!</definedName>
    <definedName name="_xlnm.Database" localSheetId="20">#REF!</definedName>
    <definedName name="_xlnm.Database" localSheetId="2">#REF!</definedName>
    <definedName name="_xlnm.Database" localSheetId="6">#REF!</definedName>
    <definedName name="_xlnm.Database" localSheetId="4">#REF!</definedName>
    <definedName name="_xlnm.Database" localSheetId="23">#REF!</definedName>
    <definedName name="_xlnm.Database" localSheetId="21">#REF!</definedName>
    <definedName name="_xlnm.Database" localSheetId="5">#REF!</definedName>
    <definedName name="_xlnm.Database" localSheetId="24">#REF!</definedName>
    <definedName name="_xlnm.Database">#REF!</definedName>
    <definedName name="Adatbázis2" localSheetId="3">#REF!</definedName>
    <definedName name="adatbázis2" localSheetId="20">#REF!</definedName>
    <definedName name="adatbázis2" localSheetId="2">#REF!</definedName>
    <definedName name="adatbázis2" localSheetId="6">#REF!</definedName>
    <definedName name="adatbázis2" localSheetId="4">#REF!</definedName>
    <definedName name="adatbázis2" localSheetId="21">#REF!</definedName>
    <definedName name="Adatbázis2" localSheetId="5">#REF!</definedName>
    <definedName name="Adatbázis2" localSheetId="24">#REF!</definedName>
    <definedName name="Adatbázis2">#REF!</definedName>
    <definedName name="Adatbázis3">#REF!</definedName>
    <definedName name="_xlnm.Print_Titles" localSheetId="14">feldered_RK!#REF!,feldered_RK!$1:$3</definedName>
    <definedName name="_xlnm.Print_Titles" localSheetId="9">illter_laknep_2005_2017!$1:$1</definedName>
    <definedName name="_xlnm.Print_Titles" localSheetId="7">'kiembcs illter szerint'!$1:$2</definedName>
    <definedName name="_xlnm.Print_Area" localSheetId="3">bcs!$A$1:$T$25</definedName>
    <definedName name="_xlnm.Print_Area" localSheetId="2">diagram!$A$1:$P$419</definedName>
    <definedName name="_xlnm.Print_Area" localSheetId="6">diagram_elkövhelyes!$A$1:$P$311</definedName>
    <definedName name="_xlnm.Print_Area" localSheetId="4">diagram_közgyűlés!$A$1:$P$281</definedName>
    <definedName name="_xlnm.Print_Area" localSheetId="9">illter_laknep_2005_2017!$B$1:$M$174</definedName>
    <definedName name="_xlnm.Print_Area" localSheetId="1">táblázat_eljszerves!$Q$1:$AR$34,táblázat_eljszerves!$A$1:$O$35</definedName>
    <definedName name="_xlnm.Print_Area" localSheetId="5">'táblázat_elkövetés helyes'!$Q$1:$AR$30,'táblázat_elkövetés helyes'!$A$1:$O$31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R11" i="7" l="1"/>
  <c r="PQ11" i="7"/>
  <c r="PS11" i="7" s="1"/>
  <c r="PP11" i="7"/>
  <c r="PO11" i="7"/>
  <c r="PN11" i="7"/>
  <c r="PL11" i="7"/>
  <c r="RN11" i="7" s="1"/>
  <c r="PK11" i="7"/>
  <c r="RM11" i="7" s="1"/>
  <c r="PI11" i="7"/>
  <c r="PH11" i="7"/>
  <c r="PJ11" i="7" s="1"/>
  <c r="PF11" i="7"/>
  <c r="PE11" i="7"/>
  <c r="PG11" i="7" s="1"/>
  <c r="PD11" i="7"/>
  <c r="PC11" i="7"/>
  <c r="PB11" i="7"/>
  <c r="OZ11" i="7"/>
  <c r="OY11" i="7"/>
  <c r="PA11" i="7" s="1"/>
  <c r="OW11" i="7"/>
  <c r="OV11" i="7"/>
  <c r="OX11" i="7" s="1"/>
  <c r="OT11" i="7"/>
  <c r="OS11" i="7"/>
  <c r="OU11" i="7" s="1"/>
  <c r="OR11" i="7"/>
  <c r="OQ11" i="7"/>
  <c r="OP11" i="7"/>
  <c r="ON11" i="7"/>
  <c r="OM11" i="7"/>
  <c r="OO11" i="7" s="1"/>
  <c r="OK11" i="7"/>
  <c r="RK11" i="7" s="1"/>
  <c r="OJ11" i="7"/>
  <c r="RJ11" i="7" s="1"/>
  <c r="OH11" i="7"/>
  <c r="OG11" i="7"/>
  <c r="OI11" i="7" s="1"/>
  <c r="OF11" i="7"/>
  <c r="OE11" i="7"/>
  <c r="OD11" i="7"/>
  <c r="OB11" i="7"/>
  <c r="OA11" i="7"/>
  <c r="OC11" i="7" s="1"/>
  <c r="NY11" i="7"/>
  <c r="NX11" i="7"/>
  <c r="NZ11" i="7" s="1"/>
  <c r="NV11" i="7"/>
  <c r="NU11" i="7"/>
  <c r="NW11" i="7" s="1"/>
  <c r="NT11" i="7"/>
  <c r="NS11" i="7"/>
  <c r="NR11" i="7"/>
  <c r="NP11" i="7"/>
  <c r="NO11" i="7"/>
  <c r="NQ11" i="7" s="1"/>
  <c r="NM11" i="7"/>
  <c r="NL11" i="7"/>
  <c r="NN11" i="7" s="1"/>
  <c r="NJ11" i="7"/>
  <c r="NI11" i="7"/>
  <c r="RG11" i="7" s="1"/>
  <c r="NH11" i="7"/>
  <c r="NG11" i="7"/>
  <c r="NF11" i="7"/>
  <c r="ND11" i="7"/>
  <c r="RH11" i="7" s="1"/>
  <c r="NC11" i="7"/>
  <c r="NE11" i="7" s="1"/>
  <c r="NA11" i="7"/>
  <c r="MZ11" i="7"/>
  <c r="NB11" i="7" s="1"/>
  <c r="MX11" i="7"/>
  <c r="MW11" i="7"/>
  <c r="MY11" i="7" s="1"/>
  <c r="MV11" i="7"/>
  <c r="MU11" i="7"/>
  <c r="MT11" i="7"/>
  <c r="MR11" i="7"/>
  <c r="MQ11" i="7"/>
  <c r="MS11" i="7" s="1"/>
  <c r="MO11" i="7"/>
  <c r="MN11" i="7"/>
  <c r="MP11" i="7" s="1"/>
  <c r="ML11" i="7"/>
  <c r="MK11" i="7"/>
  <c r="MM11" i="7" s="1"/>
  <c r="MJ11" i="7"/>
  <c r="MI11" i="7"/>
  <c r="RE11" i="7" s="1"/>
  <c r="MH11" i="7"/>
  <c r="MF11" i="7"/>
  <c r="ME11" i="7"/>
  <c r="MG11" i="7" s="1"/>
  <c r="MC11" i="7"/>
  <c r="MB11" i="7"/>
  <c r="MD11" i="7" s="1"/>
  <c r="LZ11" i="7"/>
  <c r="LY11" i="7"/>
  <c r="MA11" i="7" s="1"/>
  <c r="LX11" i="7"/>
  <c r="LW11" i="7"/>
  <c r="LV11" i="7"/>
  <c r="LT11" i="7"/>
  <c r="LS11" i="7"/>
  <c r="LU11" i="7" s="1"/>
  <c r="LQ11" i="7"/>
  <c r="LP11" i="7"/>
  <c r="LR11" i="7" s="1"/>
  <c r="LN11" i="7"/>
  <c r="LM11" i="7"/>
  <c r="LO11" i="7" s="1"/>
  <c r="LL11" i="7"/>
  <c r="LK11" i="7"/>
  <c r="LJ11" i="7"/>
  <c r="LH11" i="7"/>
  <c r="RB11" i="7" s="1"/>
  <c r="LG11" i="7"/>
  <c r="RA11" i="7" s="1"/>
  <c r="RC11" i="7" s="1"/>
  <c r="LE11" i="7"/>
  <c r="LD11" i="7"/>
  <c r="LF11" i="7" s="1"/>
  <c r="LC11" i="7"/>
  <c r="LB11" i="7"/>
  <c r="LA11" i="7"/>
  <c r="KZ11" i="7"/>
  <c r="KY11" i="7"/>
  <c r="KX11" i="7"/>
  <c r="KV11" i="7"/>
  <c r="KU11" i="7"/>
  <c r="KW11" i="7" s="1"/>
  <c r="KS11" i="7"/>
  <c r="KR11" i="7"/>
  <c r="KT11" i="7" s="1"/>
  <c r="KQ11" i="7"/>
  <c r="KP11" i="7"/>
  <c r="KO11" i="7"/>
  <c r="KN11" i="7"/>
  <c r="KM11" i="7"/>
  <c r="KL11" i="7"/>
  <c r="KJ11" i="7"/>
  <c r="KI11" i="7"/>
  <c r="KK11" i="7" s="1"/>
  <c r="KG11" i="7"/>
  <c r="QY11" i="7" s="1"/>
  <c r="KF11" i="7"/>
  <c r="QX11" i="7" s="1"/>
  <c r="QZ11" i="7" s="1"/>
  <c r="KE11" i="7"/>
  <c r="KD11" i="7"/>
  <c r="KC11" i="7"/>
  <c r="KB11" i="7"/>
  <c r="KA11" i="7"/>
  <c r="JZ11" i="7"/>
  <c r="JX11" i="7"/>
  <c r="JW11" i="7"/>
  <c r="JY11" i="7" s="1"/>
  <c r="JU11" i="7"/>
  <c r="JT11" i="7"/>
  <c r="JV11" i="7" s="1"/>
  <c r="JS11" i="7"/>
  <c r="JR11" i="7"/>
  <c r="JQ11" i="7"/>
  <c r="JP11" i="7"/>
  <c r="JO11" i="7"/>
  <c r="JN11" i="7"/>
  <c r="JL11" i="7"/>
  <c r="JK11" i="7"/>
  <c r="JM11" i="7" s="1"/>
  <c r="JI11" i="7"/>
  <c r="JH11" i="7"/>
  <c r="JJ11" i="7" s="1"/>
  <c r="JF11" i="7"/>
  <c r="JG11" i="7" s="1"/>
  <c r="JE11" i="7"/>
  <c r="QU11" i="7" s="1"/>
  <c r="JD11" i="7"/>
  <c r="JC11" i="7"/>
  <c r="JB11" i="7"/>
  <c r="IZ11" i="7"/>
  <c r="QV11" i="7" s="1"/>
  <c r="IY11" i="7"/>
  <c r="JA11" i="7" s="1"/>
  <c r="IW11" i="7"/>
  <c r="IV11" i="7"/>
  <c r="IX11" i="7" s="1"/>
  <c r="IU11" i="7"/>
  <c r="IT11" i="7"/>
  <c r="IS11" i="7"/>
  <c r="IR11" i="7"/>
  <c r="IQ11" i="7"/>
  <c r="IP11" i="7"/>
  <c r="IN11" i="7"/>
  <c r="IM11" i="7"/>
  <c r="IO11" i="7" s="1"/>
  <c r="IK11" i="7"/>
  <c r="IJ11" i="7"/>
  <c r="IL11" i="7" s="1"/>
  <c r="II11" i="7"/>
  <c r="IH11" i="7"/>
  <c r="IG11" i="7"/>
  <c r="IF11" i="7"/>
  <c r="IE11" i="7"/>
  <c r="QS11" i="7" s="1"/>
  <c r="ID11" i="7"/>
  <c r="IB11" i="7"/>
  <c r="IA11" i="7"/>
  <c r="IC11" i="7" s="1"/>
  <c r="HY11" i="7"/>
  <c r="HX11" i="7"/>
  <c r="HZ11" i="7" s="1"/>
  <c r="HW11" i="7"/>
  <c r="HV11" i="7"/>
  <c r="HU11" i="7"/>
  <c r="HT11" i="7"/>
  <c r="HS11" i="7"/>
  <c r="HR11" i="7"/>
  <c r="HP11" i="7"/>
  <c r="HO11" i="7"/>
  <c r="HQ11" i="7" s="1"/>
  <c r="HM11" i="7"/>
  <c r="HL11" i="7"/>
  <c r="HN11" i="7" s="1"/>
  <c r="HK11" i="7"/>
  <c r="HJ11" i="7"/>
  <c r="HI11" i="7"/>
  <c r="HH11" i="7"/>
  <c r="HG11" i="7"/>
  <c r="HF11" i="7"/>
  <c r="HD11" i="7"/>
  <c r="QP11" i="7" s="1"/>
  <c r="HC11" i="7"/>
  <c r="QO11" i="7" s="1"/>
  <c r="HA11" i="7"/>
  <c r="GZ11" i="7"/>
  <c r="HB11" i="7" s="1"/>
  <c r="GY11" i="7"/>
  <c r="GX11" i="7"/>
  <c r="GW11" i="7"/>
  <c r="GV11" i="7"/>
  <c r="GU11" i="7"/>
  <c r="GT11" i="7"/>
  <c r="GR11" i="7"/>
  <c r="GQ11" i="7"/>
  <c r="GS11" i="7" s="1"/>
  <c r="GO11" i="7"/>
  <c r="GN11" i="7"/>
  <c r="GP11" i="7" s="1"/>
  <c r="GM11" i="7"/>
  <c r="GL11" i="7"/>
  <c r="GK11" i="7"/>
  <c r="GJ11" i="7"/>
  <c r="GI11" i="7"/>
  <c r="GH11" i="7"/>
  <c r="GF11" i="7"/>
  <c r="GE11" i="7"/>
  <c r="GG11" i="7" s="1"/>
  <c r="GC11" i="7"/>
  <c r="QM11" i="7" s="1"/>
  <c r="GB11" i="7"/>
  <c r="QL11" i="7" s="1"/>
  <c r="FZ11" i="7"/>
  <c r="FY11" i="7"/>
  <c r="GA11" i="7" s="1"/>
  <c r="FX11" i="7"/>
  <c r="FW11" i="7"/>
  <c r="FV11" i="7"/>
  <c r="FT11" i="7"/>
  <c r="FS11" i="7"/>
  <c r="FU11" i="7" s="1"/>
  <c r="FQ11" i="7"/>
  <c r="FP11" i="7"/>
  <c r="FR11" i="7" s="1"/>
  <c r="FO11" i="7"/>
  <c r="FN11" i="7"/>
  <c r="FM11" i="7"/>
  <c r="FL11" i="7"/>
  <c r="FK11" i="7"/>
  <c r="FJ11" i="7"/>
  <c r="FH11" i="7"/>
  <c r="FG11" i="7"/>
  <c r="FI11" i="7" s="1"/>
  <c r="FE11" i="7"/>
  <c r="FD11" i="7"/>
  <c r="FF11" i="7" s="1"/>
  <c r="FC11" i="7"/>
  <c r="FB11" i="7"/>
  <c r="FA11" i="7"/>
  <c r="QI11" i="7" s="1"/>
  <c r="EZ11" i="7"/>
  <c r="EY11" i="7"/>
  <c r="EX11" i="7"/>
  <c r="EV11" i="7"/>
  <c r="QJ11" i="7" s="1"/>
  <c r="EU11" i="7"/>
  <c r="EW11" i="7" s="1"/>
  <c r="ES11" i="7"/>
  <c r="ER11" i="7"/>
  <c r="ET11" i="7" s="1"/>
  <c r="EP11" i="7"/>
  <c r="EO11" i="7"/>
  <c r="EQ11" i="7" s="1"/>
  <c r="EN11" i="7"/>
  <c r="EM11" i="7"/>
  <c r="EL11" i="7"/>
  <c r="EJ11" i="7"/>
  <c r="EI11" i="7"/>
  <c r="EK11" i="7" s="1"/>
  <c r="EG11" i="7"/>
  <c r="EH11" i="7" s="1"/>
  <c r="EF11" i="7"/>
  <c r="EE11" i="7"/>
  <c r="ED11" i="7"/>
  <c r="EC11" i="7"/>
  <c r="EB11" i="7"/>
  <c r="EA11" i="7"/>
  <c r="QG11" i="7" s="1"/>
  <c r="DZ11" i="7"/>
  <c r="DX11" i="7"/>
  <c r="DW11" i="7"/>
  <c r="DY11" i="7" s="1"/>
  <c r="DU11" i="7"/>
  <c r="DT11" i="7"/>
  <c r="DV11" i="7" s="1"/>
  <c r="DR11" i="7"/>
  <c r="DQ11" i="7"/>
  <c r="DS11" i="7" s="1"/>
  <c r="DP11" i="7"/>
  <c r="DO11" i="7"/>
  <c r="DN11" i="7"/>
  <c r="DL11" i="7"/>
  <c r="DK11" i="7"/>
  <c r="DM11" i="7" s="1"/>
  <c r="DI11" i="7"/>
  <c r="DH11" i="7"/>
  <c r="DJ11" i="7" s="1"/>
  <c r="DG11" i="7"/>
  <c r="DF11" i="7"/>
  <c r="DE11" i="7"/>
  <c r="DD11" i="7"/>
  <c r="DC11" i="7"/>
  <c r="DB11" i="7"/>
  <c r="CZ11" i="7"/>
  <c r="QD11" i="7" s="1"/>
  <c r="CY11" i="7"/>
  <c r="QC11" i="7" s="1"/>
  <c r="QE11" i="7" s="1"/>
  <c r="CW11" i="7"/>
  <c r="CV11" i="7"/>
  <c r="CX11" i="7" s="1"/>
  <c r="CU11" i="7"/>
  <c r="CT11" i="7"/>
  <c r="CS11" i="7"/>
  <c r="CR11" i="7"/>
  <c r="CQ11" i="7"/>
  <c r="CP11" i="7"/>
  <c r="CN11" i="7"/>
  <c r="CM11" i="7"/>
  <c r="CO11" i="7" s="1"/>
  <c r="CK11" i="7"/>
  <c r="CJ11" i="7"/>
  <c r="CL11" i="7" s="1"/>
  <c r="CH11" i="7"/>
  <c r="CG11" i="7"/>
  <c r="CI11" i="7" s="1"/>
  <c r="CF11" i="7"/>
  <c r="CE11" i="7"/>
  <c r="CD11" i="7"/>
  <c r="CB11" i="7"/>
  <c r="CA11" i="7"/>
  <c r="CC11" i="7" s="1"/>
  <c r="BY11" i="7"/>
  <c r="QA11" i="7" s="1"/>
  <c r="BX11" i="7"/>
  <c r="PZ11" i="7" s="1"/>
  <c r="BV11" i="7"/>
  <c r="BU11" i="7"/>
  <c r="BW11" i="7" s="1"/>
  <c r="BT11" i="7"/>
  <c r="BS11" i="7"/>
  <c r="BR11" i="7"/>
  <c r="BP11" i="7"/>
  <c r="BO11" i="7"/>
  <c r="BQ11" i="7" s="1"/>
  <c r="BM11" i="7"/>
  <c r="BL11" i="7"/>
  <c r="BN11" i="7" s="1"/>
  <c r="BJ11" i="7"/>
  <c r="BI11" i="7"/>
  <c r="BK11" i="7" s="1"/>
  <c r="BH11" i="7"/>
  <c r="BG11" i="7"/>
  <c r="BF11" i="7"/>
  <c r="BD11" i="7"/>
  <c r="BC11" i="7"/>
  <c r="BE11" i="7" s="1"/>
  <c r="BA11" i="7"/>
  <c r="AZ11" i="7"/>
  <c r="BB11" i="7" s="1"/>
  <c r="AX11" i="7"/>
  <c r="AW11" i="7"/>
  <c r="PW11" i="7" s="1"/>
  <c r="AV11" i="7"/>
  <c r="AU11" i="7"/>
  <c r="AT11" i="7"/>
  <c r="AR11" i="7"/>
  <c r="PX11" i="7" s="1"/>
  <c r="AQ11" i="7"/>
  <c r="AS11" i="7" s="1"/>
  <c r="AO11" i="7"/>
  <c r="AN11" i="7"/>
  <c r="AP11" i="7" s="1"/>
  <c r="AL11" i="7"/>
  <c r="AK11" i="7"/>
  <c r="AM11" i="7" s="1"/>
  <c r="AJ11" i="7"/>
  <c r="AI11" i="7"/>
  <c r="AH11" i="7"/>
  <c r="AF11" i="7"/>
  <c r="AE11" i="7"/>
  <c r="AG11" i="7" s="1"/>
  <c r="AC11" i="7"/>
  <c r="AB11" i="7"/>
  <c r="AD11" i="7" s="1"/>
  <c r="Z11" i="7"/>
  <c r="Y11" i="7"/>
  <c r="AA11" i="7" s="1"/>
  <c r="X11" i="7"/>
  <c r="W11" i="7"/>
  <c r="PU11" i="7" s="1"/>
  <c r="V11" i="7"/>
  <c r="T11" i="7"/>
  <c r="S11" i="7"/>
  <c r="U11" i="7" s="1"/>
  <c r="Q11" i="7"/>
  <c r="P11" i="7"/>
  <c r="R11" i="7" s="1"/>
  <c r="N11" i="7"/>
  <c r="M11" i="7"/>
  <c r="O11" i="7" s="1"/>
  <c r="L11" i="7"/>
  <c r="K11" i="7"/>
  <c r="J11" i="7"/>
  <c r="H11" i="7"/>
  <c r="G11" i="7"/>
  <c r="I11" i="7" s="1"/>
  <c r="E11" i="7"/>
  <c r="D11" i="7"/>
  <c r="F11" i="7" s="1"/>
  <c r="RN10" i="7"/>
  <c r="RM10" i="7"/>
  <c r="RO10" i="7" s="1"/>
  <c r="RL10" i="7"/>
  <c r="RK10" i="7"/>
  <c r="RJ10" i="7"/>
  <c r="RH10" i="7"/>
  <c r="RG10" i="7"/>
  <c r="RI10" i="7" s="1"/>
  <c r="RE10" i="7"/>
  <c r="RD10" i="7"/>
  <c r="RF10" i="7" s="1"/>
  <c r="RB10" i="7"/>
  <c r="RA10" i="7"/>
  <c r="RC10" i="7" s="1"/>
  <c r="QZ10" i="7"/>
  <c r="QY10" i="7"/>
  <c r="QX10" i="7"/>
  <c r="QV10" i="7"/>
  <c r="QU10" i="7"/>
  <c r="QW10" i="7" s="1"/>
  <c r="QS10" i="7"/>
  <c r="QR10" i="7"/>
  <c r="QT10" i="7" s="1"/>
  <c r="QP10" i="7"/>
  <c r="QO10" i="7"/>
  <c r="QQ10" i="7" s="1"/>
  <c r="QN10" i="7"/>
  <c r="QM10" i="7"/>
  <c r="QL10" i="7"/>
  <c r="QJ10" i="7"/>
  <c r="QI10" i="7"/>
  <c r="QK10" i="7" s="1"/>
  <c r="QG10" i="7"/>
  <c r="QF10" i="7"/>
  <c r="QH10" i="7" s="1"/>
  <c r="QD10" i="7"/>
  <c r="QC10" i="7"/>
  <c r="QE10" i="7" s="1"/>
  <c r="QB10" i="7"/>
  <c r="QA10" i="7"/>
  <c r="PZ10" i="7"/>
  <c r="PX10" i="7"/>
  <c r="PW10" i="7"/>
  <c r="PY10" i="7" s="1"/>
  <c r="PU10" i="7"/>
  <c r="PT10" i="7"/>
  <c r="PV10" i="7" s="1"/>
  <c r="RN9" i="7"/>
  <c r="RM9" i="7"/>
  <c r="RO9" i="7" s="1"/>
  <c r="RL9" i="7"/>
  <c r="RK9" i="7"/>
  <c r="RJ9" i="7"/>
  <c r="RH9" i="7"/>
  <c r="RG9" i="7"/>
  <c r="RI9" i="7" s="1"/>
  <c r="RE9" i="7"/>
  <c r="RD9" i="7"/>
  <c r="RF9" i="7" s="1"/>
  <c r="RB9" i="7"/>
  <c r="RA9" i="7"/>
  <c r="RC9" i="7" s="1"/>
  <c r="QZ9" i="7"/>
  <c r="QY9" i="7"/>
  <c r="QX9" i="7"/>
  <c r="QV9" i="7"/>
  <c r="QU9" i="7"/>
  <c r="QW9" i="7" s="1"/>
  <c r="QS9" i="7"/>
  <c r="QR9" i="7"/>
  <c r="QT9" i="7" s="1"/>
  <c r="QP9" i="7"/>
  <c r="QO9" i="7"/>
  <c r="QQ9" i="7" s="1"/>
  <c r="QN9" i="7"/>
  <c r="QM9" i="7"/>
  <c r="QL9" i="7"/>
  <c r="QJ9" i="7"/>
  <c r="QI9" i="7"/>
  <c r="QK9" i="7" s="1"/>
  <c r="QG9" i="7"/>
  <c r="QF9" i="7"/>
  <c r="QH9" i="7" s="1"/>
  <c r="QD9" i="7"/>
  <c r="QC9" i="7"/>
  <c r="QE9" i="7" s="1"/>
  <c r="QB9" i="7"/>
  <c r="QA9" i="7"/>
  <c r="PZ9" i="7"/>
  <c r="PX9" i="7"/>
  <c r="PW9" i="7"/>
  <c r="PY9" i="7" s="1"/>
  <c r="PU9" i="7"/>
  <c r="PT9" i="7"/>
  <c r="PV9" i="7" s="1"/>
  <c r="RO8" i="7"/>
  <c r="RN8" i="7"/>
  <c r="RM8" i="7"/>
  <c r="RL8" i="7"/>
  <c r="RK8" i="7"/>
  <c r="RJ8" i="7"/>
  <c r="RH8" i="7"/>
  <c r="RG8" i="7"/>
  <c r="RI8" i="7" s="1"/>
  <c r="RE8" i="7"/>
  <c r="RD8" i="7"/>
  <c r="RF8" i="7" s="1"/>
  <c r="RC8" i="7"/>
  <c r="RB8" i="7"/>
  <c r="RA8" i="7"/>
  <c r="QZ8" i="7"/>
  <c r="QY8" i="7"/>
  <c r="QX8" i="7"/>
  <c r="QV8" i="7"/>
  <c r="QU8" i="7"/>
  <c r="QW8" i="7" s="1"/>
  <c r="QS8" i="7"/>
  <c r="QR8" i="7"/>
  <c r="QT8" i="7" s="1"/>
  <c r="QQ8" i="7"/>
  <c r="QP8" i="7"/>
  <c r="QO8" i="7"/>
  <c r="QN8" i="7"/>
  <c r="QM8" i="7"/>
  <c r="QL8" i="7"/>
  <c r="QJ8" i="7"/>
  <c r="QI8" i="7"/>
  <c r="QK8" i="7" s="1"/>
  <c r="QG8" i="7"/>
  <c r="QF8" i="7"/>
  <c r="QH8" i="7" s="1"/>
  <c r="QE8" i="7"/>
  <c r="QD8" i="7"/>
  <c r="QC8" i="7"/>
  <c r="QB8" i="7"/>
  <c r="QA8" i="7"/>
  <c r="PZ8" i="7"/>
  <c r="PX8" i="7"/>
  <c r="PW8" i="7"/>
  <c r="PY8" i="7" s="1"/>
  <c r="PU8" i="7"/>
  <c r="PT8" i="7"/>
  <c r="PV8" i="7" s="1"/>
  <c r="RO7" i="7"/>
  <c r="RN7" i="7"/>
  <c r="RM7" i="7"/>
  <c r="RL7" i="7"/>
  <c r="RK7" i="7"/>
  <c r="RJ7" i="7"/>
  <c r="RH7" i="7"/>
  <c r="RG7" i="7"/>
  <c r="RI7" i="7" s="1"/>
  <c r="RE7" i="7"/>
  <c r="RD7" i="7"/>
  <c r="RF7" i="7" s="1"/>
  <c r="RC7" i="7"/>
  <c r="RB7" i="7"/>
  <c r="RA7" i="7"/>
  <c r="QZ7" i="7"/>
  <c r="QY7" i="7"/>
  <c r="QX7" i="7"/>
  <c r="QV7" i="7"/>
  <c r="QU7" i="7"/>
  <c r="QW7" i="7" s="1"/>
  <c r="QS7" i="7"/>
  <c r="QR7" i="7"/>
  <c r="QT7" i="7" s="1"/>
  <c r="QQ7" i="7"/>
  <c r="QP7" i="7"/>
  <c r="QO7" i="7"/>
  <c r="QN7" i="7"/>
  <c r="QM7" i="7"/>
  <c r="QL7" i="7"/>
  <c r="QJ7" i="7"/>
  <c r="QI7" i="7"/>
  <c r="QK7" i="7" s="1"/>
  <c r="QG7" i="7"/>
  <c r="QF7" i="7"/>
  <c r="QH7" i="7" s="1"/>
  <c r="QE7" i="7"/>
  <c r="QD7" i="7"/>
  <c r="QC7" i="7"/>
  <c r="QB7" i="7"/>
  <c r="QA7" i="7"/>
  <c r="PZ7" i="7"/>
  <c r="PX7" i="7"/>
  <c r="PW7" i="7"/>
  <c r="PY7" i="7" s="1"/>
  <c r="PU7" i="7"/>
  <c r="PT7" i="7"/>
  <c r="PV7" i="7" s="1"/>
  <c r="RO6" i="7"/>
  <c r="RN6" i="7"/>
  <c r="RM6" i="7"/>
  <c r="RL6" i="7"/>
  <c r="RK6" i="7"/>
  <c r="RJ6" i="7"/>
  <c r="RH6" i="7"/>
  <c r="RG6" i="7"/>
  <c r="RI6" i="7" s="1"/>
  <c r="RE6" i="7"/>
  <c r="RD6" i="7"/>
  <c r="RF6" i="7" s="1"/>
  <c r="RC6" i="7"/>
  <c r="RB6" i="7"/>
  <c r="RA6" i="7"/>
  <c r="QZ6" i="7"/>
  <c r="QY6" i="7"/>
  <c r="QX6" i="7"/>
  <c r="QV6" i="7"/>
  <c r="QU6" i="7"/>
  <c r="QW6" i="7" s="1"/>
  <c r="QS6" i="7"/>
  <c r="QR6" i="7"/>
  <c r="QT6" i="7" s="1"/>
  <c r="QQ6" i="7"/>
  <c r="QP6" i="7"/>
  <c r="QO6" i="7"/>
  <c r="QN6" i="7"/>
  <c r="QM6" i="7"/>
  <c r="QL6" i="7"/>
  <c r="QJ6" i="7"/>
  <c r="QI6" i="7"/>
  <c r="QK6" i="7" s="1"/>
  <c r="QG6" i="7"/>
  <c r="QF6" i="7"/>
  <c r="QH6" i="7" s="1"/>
  <c r="QE6" i="7"/>
  <c r="QD6" i="7"/>
  <c r="QC6" i="7"/>
  <c r="QB6" i="7"/>
  <c r="QA6" i="7"/>
  <c r="PZ6" i="7"/>
  <c r="PX6" i="7"/>
  <c r="PW6" i="7"/>
  <c r="PY6" i="7" s="1"/>
  <c r="PU6" i="7"/>
  <c r="PT6" i="7"/>
  <c r="PV6" i="7" s="1"/>
  <c r="RO5" i="7"/>
  <c r="RN5" i="7"/>
  <c r="RM5" i="7"/>
  <c r="RL5" i="7"/>
  <c r="RK5" i="7"/>
  <c r="RJ5" i="7"/>
  <c r="RH5" i="7"/>
  <c r="RG5" i="7"/>
  <c r="RI5" i="7" s="1"/>
  <c r="RE5" i="7"/>
  <c r="RD5" i="7"/>
  <c r="RF5" i="7" s="1"/>
  <c r="RC5" i="7"/>
  <c r="RB5" i="7"/>
  <c r="RA5" i="7"/>
  <c r="QZ5" i="7"/>
  <c r="QY5" i="7"/>
  <c r="QX5" i="7"/>
  <c r="QV5" i="7"/>
  <c r="QU5" i="7"/>
  <c r="QW5" i="7" s="1"/>
  <c r="QS5" i="7"/>
  <c r="QR5" i="7"/>
  <c r="QT5" i="7" s="1"/>
  <c r="QQ5" i="7"/>
  <c r="QP5" i="7"/>
  <c r="QO5" i="7"/>
  <c r="QN5" i="7"/>
  <c r="QM5" i="7"/>
  <c r="QL5" i="7"/>
  <c r="QJ5" i="7"/>
  <c r="QI5" i="7"/>
  <c r="QK5" i="7" s="1"/>
  <c r="QG5" i="7"/>
  <c r="QF5" i="7"/>
  <c r="QH5" i="7" s="1"/>
  <c r="QE5" i="7"/>
  <c r="QD5" i="7"/>
  <c r="QC5" i="7"/>
  <c r="QB5" i="7"/>
  <c r="QA5" i="7"/>
  <c r="PZ5" i="7"/>
  <c r="PX5" i="7"/>
  <c r="PW5" i="7"/>
  <c r="PY5" i="7" s="1"/>
  <c r="PU5" i="7"/>
  <c r="PT5" i="7"/>
  <c r="PV5" i="7" s="1"/>
  <c r="RO4" i="7"/>
  <c r="RN4" i="7"/>
  <c r="RM4" i="7"/>
  <c r="RL4" i="7"/>
  <c r="RK4" i="7"/>
  <c r="RJ4" i="7"/>
  <c r="RH4" i="7"/>
  <c r="RG4" i="7"/>
  <c r="RI4" i="7" s="1"/>
  <c r="RE4" i="7"/>
  <c r="RD4" i="7"/>
  <c r="RF4" i="7" s="1"/>
  <c r="RC4" i="7"/>
  <c r="RB4" i="7"/>
  <c r="RA4" i="7"/>
  <c r="QZ4" i="7"/>
  <c r="QY4" i="7"/>
  <c r="QX4" i="7"/>
  <c r="QV4" i="7"/>
  <c r="QU4" i="7"/>
  <c r="QW4" i="7" s="1"/>
  <c r="QS4" i="7"/>
  <c r="QR4" i="7"/>
  <c r="QT4" i="7" s="1"/>
  <c r="QQ4" i="7"/>
  <c r="QP4" i="7"/>
  <c r="QO4" i="7"/>
  <c r="QN4" i="7"/>
  <c r="QM4" i="7"/>
  <c r="QL4" i="7"/>
  <c r="QJ4" i="7"/>
  <c r="QI4" i="7"/>
  <c r="QK4" i="7" s="1"/>
  <c r="QG4" i="7"/>
  <c r="QF4" i="7"/>
  <c r="QH4" i="7" s="1"/>
  <c r="QE4" i="7"/>
  <c r="QD4" i="7"/>
  <c r="QC4" i="7"/>
  <c r="QB4" i="7"/>
  <c r="QA4" i="7"/>
  <c r="PZ4" i="7"/>
  <c r="PX4" i="7"/>
  <c r="PW4" i="7"/>
  <c r="PY4" i="7" s="1"/>
  <c r="PU4" i="7"/>
  <c r="PT4" i="7"/>
  <c r="PV4" i="7" s="1"/>
  <c r="KN11" i="6"/>
  <c r="KM11" i="6"/>
  <c r="KL11" i="6"/>
  <c r="KJ11" i="6"/>
  <c r="LT11" i="6" s="1"/>
  <c r="KI11" i="6"/>
  <c r="KK11" i="6" s="1"/>
  <c r="KG11" i="6"/>
  <c r="KF11" i="6"/>
  <c r="LS11" i="6" s="1"/>
  <c r="KE11" i="6"/>
  <c r="KD11" i="6"/>
  <c r="KC11" i="6"/>
  <c r="KB11" i="6"/>
  <c r="KA11" i="6"/>
  <c r="JZ11" i="6"/>
  <c r="JX11" i="6"/>
  <c r="JW11" i="6"/>
  <c r="JY11" i="6" s="1"/>
  <c r="JU11" i="6"/>
  <c r="JT11" i="6"/>
  <c r="JV11" i="6" s="1"/>
  <c r="JS11" i="6"/>
  <c r="JR11" i="6"/>
  <c r="JQ11" i="6"/>
  <c r="JP11" i="6"/>
  <c r="JO11" i="6"/>
  <c r="JN11" i="6"/>
  <c r="JL11" i="6"/>
  <c r="JK11" i="6"/>
  <c r="JM11" i="6" s="1"/>
  <c r="JI11" i="6"/>
  <c r="JH11" i="6"/>
  <c r="LP11" i="6" s="1"/>
  <c r="JG11" i="6"/>
  <c r="JF11" i="6"/>
  <c r="LQ11" i="6" s="1"/>
  <c r="JE11" i="6"/>
  <c r="JD11" i="6"/>
  <c r="JC11" i="6"/>
  <c r="JB11" i="6"/>
  <c r="IZ11" i="6"/>
  <c r="IY11" i="6"/>
  <c r="JA11" i="6" s="1"/>
  <c r="IW11" i="6"/>
  <c r="IV11" i="6"/>
  <c r="IX11" i="6" s="1"/>
  <c r="IU11" i="6"/>
  <c r="IT11" i="6"/>
  <c r="IS11" i="6"/>
  <c r="IR11" i="6"/>
  <c r="IQ11" i="6"/>
  <c r="IP11" i="6"/>
  <c r="IN11" i="6"/>
  <c r="IM11" i="6"/>
  <c r="IO11" i="6" s="1"/>
  <c r="IK11" i="6"/>
  <c r="IJ11" i="6"/>
  <c r="IL11" i="6" s="1"/>
  <c r="II11" i="6"/>
  <c r="IH11" i="6"/>
  <c r="IG11" i="6"/>
  <c r="IF11" i="6"/>
  <c r="IE11" i="6"/>
  <c r="LN11" i="6" s="1"/>
  <c r="ID11" i="6"/>
  <c r="LM11" i="6" s="1"/>
  <c r="LO11" i="6" s="1"/>
  <c r="IB11" i="6"/>
  <c r="IA11" i="6"/>
  <c r="IC11" i="6" s="1"/>
  <c r="HY11" i="6"/>
  <c r="HX11" i="6"/>
  <c r="HZ11" i="6" s="1"/>
  <c r="HW11" i="6"/>
  <c r="HV11" i="6"/>
  <c r="HU11" i="6"/>
  <c r="HT11" i="6"/>
  <c r="HS11" i="6"/>
  <c r="HR11" i="6"/>
  <c r="HP11" i="6"/>
  <c r="HO11" i="6"/>
  <c r="HQ11" i="6" s="1"/>
  <c r="HM11" i="6"/>
  <c r="HL11" i="6"/>
  <c r="HN11" i="6" s="1"/>
  <c r="HK11" i="6"/>
  <c r="HJ11" i="6"/>
  <c r="HI11" i="6"/>
  <c r="HH11" i="6"/>
  <c r="HG11" i="6"/>
  <c r="HF11" i="6"/>
  <c r="HD11" i="6"/>
  <c r="LK11" i="6" s="1"/>
  <c r="HC11" i="6"/>
  <c r="HE11" i="6" s="1"/>
  <c r="HA11" i="6"/>
  <c r="GZ11" i="6"/>
  <c r="HB11" i="6" s="1"/>
  <c r="GY11" i="6"/>
  <c r="GX11" i="6"/>
  <c r="GW11" i="6"/>
  <c r="GV11" i="6"/>
  <c r="GU11" i="6"/>
  <c r="GT11" i="6"/>
  <c r="GR11" i="6"/>
  <c r="GQ11" i="6"/>
  <c r="GS11" i="6" s="1"/>
  <c r="GO11" i="6"/>
  <c r="GN11" i="6"/>
  <c r="GP11" i="6" s="1"/>
  <c r="GM11" i="6"/>
  <c r="GL11" i="6"/>
  <c r="GK11" i="6"/>
  <c r="GJ11" i="6"/>
  <c r="GI11" i="6"/>
  <c r="GH11" i="6"/>
  <c r="GF11" i="6"/>
  <c r="LH11" i="6" s="1"/>
  <c r="GE11" i="6"/>
  <c r="GG11" i="6" s="1"/>
  <c r="GC11" i="6"/>
  <c r="GB11" i="6"/>
  <c r="LG11" i="6" s="1"/>
  <c r="GA11" i="6"/>
  <c r="FZ11" i="6"/>
  <c r="FY11" i="6"/>
  <c r="FX11" i="6"/>
  <c r="FW11" i="6"/>
  <c r="FV11" i="6"/>
  <c r="FT11" i="6"/>
  <c r="FS11" i="6"/>
  <c r="FU11" i="6" s="1"/>
  <c r="FQ11" i="6"/>
  <c r="FP11" i="6"/>
  <c r="FR11" i="6" s="1"/>
  <c r="FO11" i="6"/>
  <c r="FN11" i="6"/>
  <c r="FM11" i="6"/>
  <c r="FL11" i="6"/>
  <c r="FK11" i="6"/>
  <c r="FJ11" i="6"/>
  <c r="FH11" i="6"/>
  <c r="FG11" i="6"/>
  <c r="FI11" i="6" s="1"/>
  <c r="FF11" i="6"/>
  <c r="FE11" i="6"/>
  <c r="FD11" i="6"/>
  <c r="LD11" i="6" s="1"/>
  <c r="LF11" i="6" s="1"/>
  <c r="FB11" i="6"/>
  <c r="LE11" i="6" s="1"/>
  <c r="FA11" i="6"/>
  <c r="EZ11" i="6"/>
  <c r="EY11" i="6"/>
  <c r="EX11" i="6"/>
  <c r="EV11" i="6"/>
  <c r="EU11" i="6"/>
  <c r="EW11" i="6" s="1"/>
  <c r="ET11" i="6"/>
  <c r="ES11" i="6"/>
  <c r="ER11" i="6"/>
  <c r="EP11" i="6"/>
  <c r="EQ11" i="6" s="1"/>
  <c r="EO11" i="6"/>
  <c r="EN11" i="6"/>
  <c r="EM11" i="6"/>
  <c r="EL11" i="6"/>
  <c r="EJ11" i="6"/>
  <c r="EI11" i="6"/>
  <c r="EK11" i="6" s="1"/>
  <c r="EG11" i="6"/>
  <c r="EF11" i="6"/>
  <c r="EH11" i="6" s="1"/>
  <c r="ED11" i="6"/>
  <c r="EE11" i="6" s="1"/>
  <c r="EC11" i="6"/>
  <c r="EB11" i="6"/>
  <c r="EA11" i="6"/>
  <c r="LB11" i="6" s="1"/>
  <c r="DZ11" i="6"/>
  <c r="LA11" i="6" s="1"/>
  <c r="LC11" i="6" s="1"/>
  <c r="DX11" i="6"/>
  <c r="DW11" i="6"/>
  <c r="DY11" i="6" s="1"/>
  <c r="DU11" i="6"/>
  <c r="DT11" i="6"/>
  <c r="DV11" i="6" s="1"/>
  <c r="DR11" i="6"/>
  <c r="DS11" i="6" s="1"/>
  <c r="DQ11" i="6"/>
  <c r="DP11" i="6"/>
  <c r="DO11" i="6"/>
  <c r="DN11" i="6"/>
  <c r="DL11" i="6"/>
  <c r="DK11" i="6"/>
  <c r="DM11" i="6" s="1"/>
  <c r="DI11" i="6"/>
  <c r="DH11" i="6"/>
  <c r="DJ11" i="6" s="1"/>
  <c r="DF11" i="6"/>
  <c r="DG11" i="6" s="1"/>
  <c r="DE11" i="6"/>
  <c r="DD11" i="6"/>
  <c r="DC11" i="6"/>
  <c r="DB11" i="6"/>
  <c r="CZ11" i="6"/>
  <c r="KY11" i="6" s="1"/>
  <c r="CY11" i="6"/>
  <c r="DA11" i="6" s="1"/>
  <c r="CW11" i="6"/>
  <c r="CV11" i="6"/>
  <c r="CX11" i="6" s="1"/>
  <c r="CT11" i="6"/>
  <c r="CU11" i="6" s="1"/>
  <c r="CS11" i="6"/>
  <c r="CR11" i="6"/>
  <c r="CQ11" i="6"/>
  <c r="CP11" i="6"/>
  <c r="CN11" i="6"/>
  <c r="CM11" i="6"/>
  <c r="CO11" i="6" s="1"/>
  <c r="CK11" i="6"/>
  <c r="CJ11" i="6"/>
  <c r="CL11" i="6" s="1"/>
  <c r="CH11" i="6"/>
  <c r="CI11" i="6" s="1"/>
  <c r="CG11" i="6"/>
  <c r="CF11" i="6"/>
  <c r="CE11" i="6"/>
  <c r="CD11" i="6"/>
  <c r="CB11" i="6"/>
  <c r="KV11" i="6" s="1"/>
  <c r="CA11" i="6"/>
  <c r="CC11" i="6" s="1"/>
  <c r="BY11" i="6"/>
  <c r="BX11" i="6"/>
  <c r="KU11" i="6" s="1"/>
  <c r="KW11" i="6" s="1"/>
  <c r="BV11" i="6"/>
  <c r="BW11" i="6" s="1"/>
  <c r="BU11" i="6"/>
  <c r="BT11" i="6"/>
  <c r="BS11" i="6"/>
  <c r="BR11" i="6"/>
  <c r="BP11" i="6"/>
  <c r="BO11" i="6"/>
  <c r="BQ11" i="6" s="1"/>
  <c r="BM11" i="6"/>
  <c r="BL11" i="6"/>
  <c r="BN11" i="6" s="1"/>
  <c r="BJ11" i="6"/>
  <c r="BK11" i="6" s="1"/>
  <c r="BI11" i="6"/>
  <c r="BH11" i="6"/>
  <c r="BG11" i="6"/>
  <c r="BF11" i="6"/>
  <c r="BD11" i="6"/>
  <c r="BC11" i="6"/>
  <c r="BE11" i="6" s="1"/>
  <c r="BA11" i="6"/>
  <c r="AZ11" i="6"/>
  <c r="KR11" i="6" s="1"/>
  <c r="AX11" i="6"/>
  <c r="KS11" i="6" s="1"/>
  <c r="AW11" i="6"/>
  <c r="AV11" i="6"/>
  <c r="AU11" i="6"/>
  <c r="AT11" i="6"/>
  <c r="AR11" i="6"/>
  <c r="AQ11" i="6"/>
  <c r="AS11" i="6" s="1"/>
  <c r="AO11" i="6"/>
  <c r="AN11" i="6"/>
  <c r="AP11" i="6" s="1"/>
  <c r="AL11" i="6"/>
  <c r="AM11" i="6" s="1"/>
  <c r="AK11" i="6"/>
  <c r="AJ11" i="6"/>
  <c r="AI11" i="6"/>
  <c r="AH11" i="6"/>
  <c r="AF11" i="6"/>
  <c r="AE11" i="6"/>
  <c r="AG11" i="6" s="1"/>
  <c r="AC11" i="6"/>
  <c r="AB11" i="6"/>
  <c r="AD11" i="6" s="1"/>
  <c r="Z11" i="6"/>
  <c r="Y11" i="6"/>
  <c r="AA11" i="6" s="1"/>
  <c r="X11" i="6"/>
  <c r="W11" i="6"/>
  <c r="KP11" i="6" s="1"/>
  <c r="V11" i="6"/>
  <c r="KO11" i="6" s="1"/>
  <c r="T11" i="6"/>
  <c r="U11" i="6" s="1"/>
  <c r="S11" i="6"/>
  <c r="Q11" i="6"/>
  <c r="P11" i="6"/>
  <c r="R11" i="6" s="1"/>
  <c r="N11" i="6"/>
  <c r="M11" i="6"/>
  <c r="O11" i="6" s="1"/>
  <c r="L11" i="6"/>
  <c r="K11" i="6"/>
  <c r="J11" i="6"/>
  <c r="H11" i="6"/>
  <c r="I11" i="6" s="1"/>
  <c r="G11" i="6"/>
  <c r="E11" i="6"/>
  <c r="D11" i="6"/>
  <c r="F11" i="6" s="1"/>
  <c r="LT10" i="6"/>
  <c r="LS10" i="6"/>
  <c r="LU10" i="6" s="1"/>
  <c r="LR10" i="6"/>
  <c r="LQ10" i="6"/>
  <c r="LP10" i="6"/>
  <c r="LN10" i="6"/>
  <c r="LO10" i="6" s="1"/>
  <c r="LM10" i="6"/>
  <c r="LK10" i="6"/>
  <c r="LJ10" i="6"/>
  <c r="LL10" i="6" s="1"/>
  <c r="LH10" i="6"/>
  <c r="LG10" i="6"/>
  <c r="LI10" i="6" s="1"/>
  <c r="LF10" i="6"/>
  <c r="LE10" i="6"/>
  <c r="LD10" i="6"/>
  <c r="LB10" i="6"/>
  <c r="LC10" i="6" s="1"/>
  <c r="LA10" i="6"/>
  <c r="KY10" i="6"/>
  <c r="KX10" i="6"/>
  <c r="KZ10" i="6" s="1"/>
  <c r="KV10" i="6"/>
  <c r="KU10" i="6"/>
  <c r="KW10" i="6" s="1"/>
  <c r="KT10" i="6"/>
  <c r="KS10" i="6"/>
  <c r="KR10" i="6"/>
  <c r="KP10" i="6"/>
  <c r="KQ10" i="6" s="1"/>
  <c r="KO10" i="6"/>
  <c r="LT9" i="6"/>
  <c r="LS9" i="6"/>
  <c r="LU9" i="6" s="1"/>
  <c r="LQ9" i="6"/>
  <c r="LP9" i="6"/>
  <c r="LR9" i="6" s="1"/>
  <c r="LO9" i="6"/>
  <c r="LN9" i="6"/>
  <c r="LM9" i="6"/>
  <c r="LK9" i="6"/>
  <c r="LL9" i="6" s="1"/>
  <c r="LJ9" i="6"/>
  <c r="LH9" i="6"/>
  <c r="LG9" i="6"/>
  <c r="LI9" i="6" s="1"/>
  <c r="LE9" i="6"/>
  <c r="LD9" i="6"/>
  <c r="LF9" i="6" s="1"/>
  <c r="LC9" i="6"/>
  <c r="LB9" i="6"/>
  <c r="LA9" i="6"/>
  <c r="KY9" i="6"/>
  <c r="KZ9" i="6" s="1"/>
  <c r="KX9" i="6"/>
  <c r="KV9" i="6"/>
  <c r="KU9" i="6"/>
  <c r="KW9" i="6" s="1"/>
  <c r="KS9" i="6"/>
  <c r="KR9" i="6"/>
  <c r="KT9" i="6" s="1"/>
  <c r="KQ9" i="6"/>
  <c r="KP9" i="6"/>
  <c r="KO9" i="6"/>
  <c r="LT8" i="6"/>
  <c r="LU8" i="6" s="1"/>
  <c r="LS8" i="6"/>
  <c r="LQ8" i="6"/>
  <c r="LP8" i="6"/>
  <c r="LR8" i="6" s="1"/>
  <c r="LN8" i="6"/>
  <c r="LM8" i="6"/>
  <c r="LO8" i="6" s="1"/>
  <c r="LL8" i="6"/>
  <c r="LK8" i="6"/>
  <c r="LJ8" i="6"/>
  <c r="LH8" i="6"/>
  <c r="LI8" i="6" s="1"/>
  <c r="LG8" i="6"/>
  <c r="LE8" i="6"/>
  <c r="LD8" i="6"/>
  <c r="LF8" i="6" s="1"/>
  <c r="LB8" i="6"/>
  <c r="LA8" i="6"/>
  <c r="LC8" i="6" s="1"/>
  <c r="KZ8" i="6"/>
  <c r="KY8" i="6"/>
  <c r="KX8" i="6"/>
  <c r="KV8" i="6"/>
  <c r="KW8" i="6" s="1"/>
  <c r="KU8" i="6"/>
  <c r="KS8" i="6"/>
  <c r="KR8" i="6"/>
  <c r="KT8" i="6" s="1"/>
  <c r="KP8" i="6"/>
  <c r="KO8" i="6"/>
  <c r="KQ8" i="6" s="1"/>
  <c r="LU7" i="6"/>
  <c r="LT7" i="6"/>
  <c r="LS7" i="6"/>
  <c r="LQ7" i="6"/>
  <c r="LR7" i="6" s="1"/>
  <c r="LP7" i="6"/>
  <c r="LN7" i="6"/>
  <c r="LM7" i="6"/>
  <c r="LO7" i="6" s="1"/>
  <c r="LK7" i="6"/>
  <c r="LJ7" i="6"/>
  <c r="LL7" i="6" s="1"/>
  <c r="LI7" i="6"/>
  <c r="LH7" i="6"/>
  <c r="LG7" i="6"/>
  <c r="LE7" i="6"/>
  <c r="LF7" i="6" s="1"/>
  <c r="LD7" i="6"/>
  <c r="LB7" i="6"/>
  <c r="LA7" i="6"/>
  <c r="LC7" i="6" s="1"/>
  <c r="KY7" i="6"/>
  <c r="KX7" i="6"/>
  <c r="KZ7" i="6" s="1"/>
  <c r="KW7" i="6"/>
  <c r="KV7" i="6"/>
  <c r="KU7" i="6"/>
  <c r="KS7" i="6"/>
  <c r="KT7" i="6" s="1"/>
  <c r="KR7" i="6"/>
  <c r="KP7" i="6"/>
  <c r="KO7" i="6"/>
  <c r="KQ7" i="6" s="1"/>
  <c r="LT6" i="6"/>
  <c r="LS6" i="6"/>
  <c r="LU6" i="6" s="1"/>
  <c r="LR6" i="6"/>
  <c r="LQ6" i="6"/>
  <c r="LP6" i="6"/>
  <c r="LN6" i="6"/>
  <c r="LO6" i="6" s="1"/>
  <c r="LM6" i="6"/>
  <c r="LK6" i="6"/>
  <c r="LJ6" i="6"/>
  <c r="LL6" i="6" s="1"/>
  <c r="LH6" i="6"/>
  <c r="LG6" i="6"/>
  <c r="LI6" i="6" s="1"/>
  <c r="LF6" i="6"/>
  <c r="LE6" i="6"/>
  <c r="LD6" i="6"/>
  <c r="LB6" i="6"/>
  <c r="LC6" i="6" s="1"/>
  <c r="LA6" i="6"/>
  <c r="KY6" i="6"/>
  <c r="KX6" i="6"/>
  <c r="KZ6" i="6" s="1"/>
  <c r="KV6" i="6"/>
  <c r="KU6" i="6"/>
  <c r="KW6" i="6" s="1"/>
  <c r="KT6" i="6"/>
  <c r="KS6" i="6"/>
  <c r="KR6" i="6"/>
  <c r="KP6" i="6"/>
  <c r="KQ6" i="6" s="1"/>
  <c r="KO6" i="6"/>
  <c r="LT5" i="6"/>
  <c r="LS5" i="6"/>
  <c r="LU5" i="6" s="1"/>
  <c r="LQ5" i="6"/>
  <c r="LP5" i="6"/>
  <c r="LR5" i="6" s="1"/>
  <c r="LO5" i="6"/>
  <c r="LN5" i="6"/>
  <c r="LM5" i="6"/>
  <c r="LK5" i="6"/>
  <c r="LL5" i="6" s="1"/>
  <c r="LJ5" i="6"/>
  <c r="LH5" i="6"/>
  <c r="LG5" i="6"/>
  <c r="LI5" i="6" s="1"/>
  <c r="LE5" i="6"/>
  <c r="LD5" i="6"/>
  <c r="LF5" i="6" s="1"/>
  <c r="LC5" i="6"/>
  <c r="LB5" i="6"/>
  <c r="LA5" i="6"/>
  <c r="KY5" i="6"/>
  <c r="KZ5" i="6" s="1"/>
  <c r="KX5" i="6"/>
  <c r="KV5" i="6"/>
  <c r="KU5" i="6"/>
  <c r="KW5" i="6" s="1"/>
  <c r="KS5" i="6"/>
  <c r="KR5" i="6"/>
  <c r="KT5" i="6" s="1"/>
  <c r="KQ5" i="6"/>
  <c r="KP5" i="6"/>
  <c r="KO5" i="6"/>
  <c r="LT4" i="6"/>
  <c r="LU4" i="6" s="1"/>
  <c r="LS4" i="6"/>
  <c r="LQ4" i="6"/>
  <c r="LP4" i="6"/>
  <c r="LR4" i="6" s="1"/>
  <c r="LN4" i="6"/>
  <c r="LM4" i="6"/>
  <c r="LO4" i="6" s="1"/>
  <c r="LL4" i="6"/>
  <c r="LK4" i="6"/>
  <c r="LJ4" i="6"/>
  <c r="LH4" i="6"/>
  <c r="LI4" i="6" s="1"/>
  <c r="LG4" i="6"/>
  <c r="LE4" i="6"/>
  <c r="LD4" i="6"/>
  <c r="LF4" i="6" s="1"/>
  <c r="LB4" i="6"/>
  <c r="LA4" i="6"/>
  <c r="LC4" i="6" s="1"/>
  <c r="KZ4" i="6"/>
  <c r="KY4" i="6"/>
  <c r="KX4" i="6"/>
  <c r="KV4" i="6"/>
  <c r="KW4" i="6" s="1"/>
  <c r="KU4" i="6"/>
  <c r="KS4" i="6"/>
  <c r="KR4" i="6"/>
  <c r="KT4" i="6" s="1"/>
  <c r="KP4" i="6"/>
  <c r="KO4" i="6"/>
  <c r="KQ4" i="6" s="1"/>
  <c r="QW11" i="7" l="1"/>
  <c r="QN11" i="7"/>
  <c r="RI11" i="7"/>
  <c r="RL11" i="7"/>
  <c r="RO11" i="7"/>
  <c r="PY11" i="7"/>
  <c r="QB11" i="7"/>
  <c r="QK11" i="7"/>
  <c r="QQ11" i="7"/>
  <c r="QF11" i="7"/>
  <c r="QH11" i="7" s="1"/>
  <c r="RD11" i="7"/>
  <c r="RF11" i="7" s="1"/>
  <c r="DA11" i="7"/>
  <c r="HE11" i="7"/>
  <c r="LI11" i="7"/>
  <c r="PM11" i="7"/>
  <c r="PT11" i="7"/>
  <c r="PV11" i="7" s="1"/>
  <c r="QR11" i="7"/>
  <c r="QT11" i="7" s="1"/>
  <c r="BZ11" i="7"/>
  <c r="GD11" i="7"/>
  <c r="KH11" i="7"/>
  <c r="OL11" i="7"/>
  <c r="AY11" i="7"/>
  <c r="NK11" i="7"/>
  <c r="LI11" i="6"/>
  <c r="KT11" i="6"/>
  <c r="KQ11" i="6"/>
  <c r="LR11" i="6"/>
  <c r="LU11" i="6"/>
  <c r="BB11" i="6"/>
  <c r="BZ11" i="6"/>
  <c r="GD11" i="6"/>
  <c r="JJ11" i="6"/>
  <c r="KH11" i="6"/>
  <c r="KX11" i="6"/>
  <c r="KZ11" i="6" s="1"/>
  <c r="LJ11" i="6"/>
  <c r="LL11" i="6" s="1"/>
  <c r="AY11" i="6"/>
  <c r="FC11" i="6"/>
  <c r="J23" i="24" l="1"/>
  <c r="I23" i="24"/>
  <c r="H23" i="24"/>
  <c r="G23" i="24"/>
  <c r="F23" i="24"/>
  <c r="E23" i="24"/>
  <c r="D23" i="24"/>
  <c r="C23" i="24"/>
  <c r="B23" i="24"/>
  <c r="J22" i="24"/>
  <c r="I22" i="24"/>
  <c r="H22" i="24"/>
  <c r="G22" i="24"/>
  <c r="F22" i="24"/>
  <c r="E22" i="24"/>
  <c r="D22" i="24"/>
  <c r="C22" i="24"/>
  <c r="B22" i="24"/>
  <c r="J21" i="24"/>
  <c r="I21" i="24"/>
  <c r="H21" i="24"/>
  <c r="G21" i="24"/>
  <c r="F21" i="24"/>
  <c r="E21" i="24"/>
  <c r="D21" i="24"/>
  <c r="C21" i="24"/>
  <c r="B21" i="24"/>
  <c r="J20" i="24"/>
  <c r="I20" i="24"/>
  <c r="H20" i="24"/>
  <c r="G20" i="24"/>
  <c r="F20" i="24"/>
  <c r="E20" i="24"/>
  <c r="D20" i="24"/>
  <c r="C20" i="24"/>
  <c r="B20" i="24"/>
  <c r="J19" i="24"/>
  <c r="I19" i="24"/>
  <c r="H19" i="24"/>
  <c r="G19" i="24"/>
  <c r="F19" i="24"/>
  <c r="E19" i="24"/>
  <c r="D19" i="24"/>
  <c r="C19" i="24"/>
  <c r="B19" i="24"/>
  <c r="J18" i="24"/>
  <c r="I18" i="24"/>
  <c r="H18" i="24"/>
  <c r="G18" i="24"/>
  <c r="F18" i="24"/>
  <c r="E18" i="24"/>
  <c r="D18" i="24"/>
  <c r="C18" i="24"/>
  <c r="B18" i="24"/>
  <c r="J17" i="24"/>
  <c r="I17" i="24"/>
  <c r="H17" i="24"/>
  <c r="G17" i="24"/>
  <c r="F17" i="24"/>
  <c r="E17" i="24"/>
  <c r="D17" i="24"/>
  <c r="C17" i="24"/>
  <c r="B17" i="24"/>
  <c r="J16" i="24"/>
  <c r="I16" i="24"/>
  <c r="H16" i="24"/>
  <c r="G16" i="24"/>
  <c r="F16" i="24"/>
  <c r="E16" i="24"/>
  <c r="D16" i="24"/>
  <c r="C16" i="24"/>
  <c r="B16" i="24"/>
  <c r="J15" i="24"/>
  <c r="I15" i="24"/>
  <c r="H15" i="24"/>
  <c r="G15" i="24"/>
  <c r="F15" i="24"/>
  <c r="E15" i="24"/>
  <c r="D15" i="24"/>
  <c r="C15" i="24"/>
  <c r="B15" i="24"/>
  <c r="J14" i="24"/>
  <c r="I14" i="24"/>
  <c r="H14" i="24"/>
  <c r="G14" i="24"/>
  <c r="F14" i="24"/>
  <c r="E14" i="24"/>
  <c r="D14" i="24"/>
  <c r="C14" i="24"/>
  <c r="B14" i="24"/>
  <c r="J13" i="24"/>
  <c r="I13" i="24"/>
  <c r="H13" i="24"/>
  <c r="G13" i="24"/>
  <c r="F13" i="24"/>
  <c r="E13" i="24"/>
  <c r="D13" i="24"/>
  <c r="C13" i="24"/>
  <c r="B13" i="24"/>
  <c r="J12" i="24"/>
  <c r="I12" i="24"/>
  <c r="H12" i="24"/>
  <c r="G12" i="24"/>
  <c r="F12" i="24"/>
  <c r="E12" i="24"/>
  <c r="D12" i="24"/>
  <c r="C12" i="24"/>
  <c r="B12" i="24"/>
  <c r="J11" i="24"/>
  <c r="I11" i="24"/>
  <c r="H11" i="24"/>
  <c r="G11" i="24"/>
  <c r="F11" i="24"/>
  <c r="E11" i="24"/>
  <c r="D11" i="24"/>
  <c r="C11" i="24"/>
  <c r="B11" i="24"/>
  <c r="J10" i="24"/>
  <c r="I10" i="24"/>
  <c r="H10" i="24"/>
  <c r="G10" i="24"/>
  <c r="F10" i="24"/>
  <c r="E10" i="24"/>
  <c r="D10" i="24"/>
  <c r="C10" i="24"/>
  <c r="B10" i="24"/>
  <c r="J9" i="24"/>
  <c r="I9" i="24"/>
  <c r="H9" i="24"/>
  <c r="G9" i="24"/>
  <c r="F9" i="24"/>
  <c r="E9" i="24"/>
  <c r="D9" i="24"/>
  <c r="C9" i="24"/>
  <c r="B9" i="24"/>
  <c r="J8" i="24"/>
  <c r="I8" i="24"/>
  <c r="H8" i="24"/>
  <c r="G8" i="24"/>
  <c r="F8" i="24"/>
  <c r="E8" i="24"/>
  <c r="D8" i="24"/>
  <c r="C8" i="24"/>
  <c r="B8" i="24"/>
  <c r="J7" i="24"/>
  <c r="I7" i="24"/>
  <c r="H7" i="24"/>
  <c r="G7" i="24"/>
  <c r="F7" i="24"/>
  <c r="E7" i="24"/>
  <c r="D7" i="24"/>
  <c r="C7" i="24"/>
  <c r="B7" i="24"/>
  <c r="J6" i="24"/>
  <c r="I6" i="24"/>
  <c r="H6" i="24"/>
  <c r="G6" i="24"/>
  <c r="F6" i="24"/>
  <c r="E6" i="24"/>
  <c r="D6" i="24"/>
  <c r="C6" i="24"/>
  <c r="B6" i="24"/>
  <c r="J5" i="24"/>
  <c r="I5" i="24"/>
  <c r="H5" i="24"/>
  <c r="G5" i="24"/>
  <c r="F5" i="24"/>
  <c r="E5" i="24"/>
  <c r="D5" i="24"/>
  <c r="C5" i="24"/>
  <c r="B5" i="24"/>
  <c r="J4" i="24"/>
  <c r="I4" i="24"/>
  <c r="H4" i="24"/>
  <c r="G4" i="24"/>
  <c r="F4" i="24"/>
  <c r="E4" i="24"/>
  <c r="D4" i="24"/>
  <c r="C4" i="24"/>
  <c r="B4" i="24"/>
  <c r="A235" i="37" l="1"/>
  <c r="I210" i="37"/>
  <c r="A210" i="37"/>
  <c r="I188" i="37"/>
  <c r="A188" i="37"/>
  <c r="I164" i="37"/>
  <c r="A164" i="37"/>
  <c r="I142" i="37"/>
  <c r="I116" i="37"/>
  <c r="A116" i="37"/>
  <c r="I94" i="37"/>
  <c r="A94" i="37"/>
  <c r="I69" i="37"/>
  <c r="A69" i="37"/>
  <c r="I47" i="37"/>
  <c r="A47" i="37"/>
  <c r="I23" i="37"/>
  <c r="A23" i="37"/>
  <c r="A1" i="37"/>
  <c r="I2" i="37"/>
  <c r="I1" i="37"/>
  <c r="N7" i="37"/>
  <c r="M7" i="37"/>
  <c r="L7" i="37"/>
  <c r="B5" i="25" l="1"/>
  <c r="C5" i="25"/>
  <c r="D5" i="25"/>
  <c r="E5" i="25"/>
  <c r="F5" i="25"/>
  <c r="G5" i="25"/>
  <c r="H5" i="25"/>
  <c r="I3" i="37" l="1"/>
  <c r="AM8" i="37" l="1"/>
  <c r="N29" i="37"/>
  <c r="M29" i="37"/>
  <c r="L29" i="37"/>
  <c r="AM4" i="37"/>
  <c r="AC4" i="37"/>
  <c r="AA4" i="37"/>
  <c r="Z4" i="37"/>
  <c r="AB4" i="37" s="1"/>
  <c r="AK3" i="37"/>
  <c r="AJ3" i="37"/>
  <c r="AI3" i="37"/>
  <c r="X3" i="37"/>
  <c r="W3" i="37"/>
  <c r="V3" i="37"/>
  <c r="U3" i="37"/>
  <c r="T3" i="37"/>
  <c r="S3" i="37"/>
  <c r="R3" i="37"/>
  <c r="Q3" i="37"/>
  <c r="I5" i="26" l="1"/>
  <c r="Q3" i="20" l="1"/>
  <c r="A3" i="20"/>
  <c r="I3" i="1"/>
  <c r="A48" i="37" l="1"/>
  <c r="A236" i="37"/>
  <c r="A211" i="37"/>
  <c r="I189" i="37"/>
  <c r="I165" i="37"/>
  <c r="I143" i="37"/>
  <c r="A117" i="37"/>
  <c r="A70" i="37"/>
  <c r="A2" i="37"/>
  <c r="A143" i="37"/>
  <c r="I95" i="37"/>
  <c r="I211" i="37"/>
  <c r="A189" i="37"/>
  <c r="A165" i="37"/>
  <c r="A95" i="37"/>
  <c r="I48" i="37"/>
  <c r="A24" i="37"/>
  <c r="I117" i="37"/>
  <c r="I70" i="37"/>
  <c r="I24" i="37"/>
  <c r="BD3" i="15" l="1"/>
  <c r="BD4" i="15"/>
  <c r="BD5" i="15"/>
  <c r="BD6" i="15"/>
  <c r="BD7" i="15"/>
  <c r="BD8" i="15"/>
  <c r="BD9" i="15"/>
  <c r="BD10" i="15"/>
  <c r="BD11" i="15"/>
  <c r="BD12" i="15"/>
  <c r="BD13" i="15"/>
  <c r="BD14" i="15"/>
  <c r="BD15" i="15"/>
  <c r="BD16" i="15"/>
  <c r="BD17" i="15"/>
  <c r="BD18" i="15"/>
  <c r="BD19" i="15"/>
  <c r="BD20" i="15"/>
  <c r="BD21" i="15"/>
  <c r="BD22" i="15"/>
  <c r="BD23" i="15"/>
  <c r="BD24" i="15"/>
  <c r="BD25" i="15"/>
  <c r="BD26" i="15"/>
  <c r="BD27" i="15"/>
  <c r="BD28" i="15"/>
  <c r="BD29" i="15"/>
  <c r="BD30" i="15"/>
  <c r="BD31" i="15"/>
  <c r="BD32" i="15"/>
  <c r="BD33" i="15"/>
  <c r="BD34" i="15"/>
  <c r="BD35" i="15"/>
  <c r="BD36" i="15"/>
  <c r="BD37" i="15"/>
  <c r="BD38" i="15"/>
  <c r="BD39" i="15"/>
  <c r="BD40" i="15"/>
  <c r="BD41" i="15"/>
  <c r="BD42" i="15"/>
  <c r="BD43" i="15"/>
  <c r="BD44" i="15"/>
  <c r="BD45" i="15"/>
  <c r="BD46" i="15"/>
  <c r="BD47" i="15"/>
  <c r="BD48" i="15"/>
  <c r="BD49" i="15"/>
  <c r="BD50" i="15"/>
  <c r="BD51" i="15"/>
  <c r="BD52" i="15"/>
  <c r="BD53" i="15"/>
  <c r="BD54" i="15"/>
  <c r="BD55" i="15"/>
  <c r="BD56" i="15"/>
  <c r="BD57" i="15"/>
  <c r="BD58" i="15"/>
  <c r="BD59" i="15"/>
  <c r="BD60" i="15"/>
  <c r="BD61" i="15"/>
  <c r="BD62" i="15"/>
  <c r="BD63" i="15"/>
  <c r="BD64" i="15"/>
  <c r="BD65" i="15"/>
  <c r="BD66" i="15"/>
  <c r="BD67" i="15"/>
  <c r="BD68" i="15"/>
  <c r="BD69" i="15"/>
  <c r="BD70" i="15"/>
  <c r="BD71" i="15"/>
  <c r="BD72" i="15"/>
  <c r="BD73" i="15"/>
  <c r="BD74" i="15"/>
  <c r="BD75" i="15"/>
  <c r="BD76" i="15"/>
  <c r="BD77" i="15"/>
  <c r="BD78" i="15"/>
  <c r="BD79" i="15"/>
  <c r="BD80" i="15"/>
  <c r="BD81" i="15"/>
  <c r="BD82" i="15"/>
  <c r="BD83" i="15"/>
  <c r="BD84" i="15"/>
  <c r="BD85" i="15"/>
  <c r="BD86" i="15"/>
  <c r="BD87" i="15"/>
  <c r="BD88" i="15"/>
  <c r="BD89" i="15"/>
  <c r="BD90" i="15"/>
  <c r="BD91" i="15"/>
  <c r="BD92" i="15"/>
  <c r="BD93" i="15"/>
  <c r="BD94" i="15"/>
  <c r="BD95" i="15"/>
  <c r="BD96" i="15"/>
  <c r="BD97" i="15"/>
  <c r="BD98" i="15"/>
  <c r="BD99" i="15"/>
  <c r="BD100" i="15"/>
  <c r="BD101" i="15"/>
  <c r="BD102" i="15"/>
  <c r="BD103" i="15"/>
  <c r="BD104" i="15"/>
  <c r="BD105" i="15"/>
  <c r="BD106" i="15"/>
  <c r="BD107" i="15"/>
  <c r="BD108" i="15"/>
  <c r="BD109" i="15"/>
  <c r="BD110" i="15"/>
  <c r="BD111" i="15"/>
  <c r="BD112" i="15"/>
  <c r="BD113" i="15"/>
  <c r="BD114" i="15"/>
  <c r="BD115" i="15"/>
  <c r="BD116" i="15"/>
  <c r="BD117" i="15"/>
  <c r="BD118" i="15"/>
  <c r="BD119" i="15"/>
  <c r="BD120" i="15"/>
  <c r="BD121" i="15"/>
  <c r="BD122" i="15"/>
  <c r="BD123" i="15"/>
  <c r="BD124" i="15"/>
  <c r="BD125" i="15"/>
  <c r="BD126" i="15"/>
  <c r="BD127" i="15"/>
  <c r="BD128" i="15"/>
  <c r="BD129" i="15"/>
  <c r="BD130" i="15"/>
  <c r="BD131" i="15"/>
  <c r="BD132" i="15"/>
  <c r="BD133" i="15"/>
  <c r="BD134" i="15"/>
  <c r="BD135" i="15"/>
  <c r="BD136" i="15"/>
  <c r="BD137" i="15"/>
  <c r="BD138" i="15"/>
  <c r="BD139" i="15"/>
  <c r="BD140" i="15"/>
  <c r="BD141" i="15"/>
  <c r="BD142" i="15"/>
  <c r="BD143" i="15"/>
  <c r="BD144" i="15"/>
  <c r="BD145" i="15"/>
  <c r="BD146" i="15"/>
  <c r="BD147" i="15"/>
  <c r="BD148" i="15"/>
  <c r="BD149" i="15"/>
  <c r="BD150" i="15"/>
  <c r="BD151" i="15"/>
  <c r="BD152" i="15"/>
  <c r="BD153" i="15"/>
  <c r="BD154" i="15"/>
  <c r="BD155" i="15"/>
  <c r="BD156" i="15"/>
  <c r="BD157" i="15"/>
  <c r="BD158" i="15"/>
  <c r="BD159" i="15"/>
  <c r="BD160" i="15"/>
  <c r="BD161" i="15"/>
  <c r="BD162" i="15"/>
  <c r="BD163" i="15"/>
  <c r="BD164" i="15"/>
  <c r="BD165" i="15"/>
  <c r="BD166" i="15"/>
  <c r="BD167" i="15"/>
  <c r="BD168" i="15"/>
  <c r="BD169" i="15"/>
  <c r="BD170" i="15"/>
  <c r="BD171" i="15"/>
  <c r="BD172" i="15"/>
  <c r="BD173" i="15"/>
  <c r="BD174" i="15"/>
  <c r="BD175" i="15"/>
  <c r="BD176" i="15"/>
  <c r="BD177" i="15"/>
  <c r="BD178" i="15"/>
  <c r="BD179" i="15"/>
  <c r="BD180" i="15"/>
  <c r="BD181" i="15"/>
  <c r="BD182" i="15"/>
  <c r="BD183" i="15"/>
  <c r="BD184" i="15"/>
  <c r="BD185" i="15"/>
  <c r="BD186" i="15"/>
  <c r="BD187" i="15"/>
  <c r="BD188" i="15"/>
  <c r="BD189" i="15"/>
  <c r="BD190" i="15"/>
  <c r="BD191" i="15"/>
  <c r="BD192" i="15"/>
  <c r="BD193" i="15"/>
  <c r="BD194" i="15"/>
  <c r="BD195" i="15"/>
  <c r="BD196" i="15"/>
  <c r="BD197" i="15"/>
  <c r="BD198" i="15"/>
  <c r="C27" i="36" l="1"/>
  <c r="A134" i="22" l="1"/>
  <c r="A136" i="22"/>
  <c r="E291" i="22"/>
  <c r="I269" i="22"/>
  <c r="A269" i="22"/>
  <c r="I248" i="22"/>
  <c r="A248" i="22"/>
  <c r="I225" i="22"/>
  <c r="A225" i="22"/>
  <c r="I203" i="22"/>
  <c r="A203" i="22"/>
  <c r="I180" i="22"/>
  <c r="A180" i="22"/>
  <c r="I158" i="22"/>
  <c r="A158" i="22"/>
  <c r="I136" i="22"/>
  <c r="I113" i="22"/>
  <c r="A113" i="22"/>
  <c r="I90" i="22"/>
  <c r="A90" i="22"/>
  <c r="I68" i="22"/>
  <c r="A68" i="22"/>
  <c r="I46" i="22"/>
  <c r="A46" i="22"/>
  <c r="I24" i="22"/>
  <c r="A24" i="22"/>
  <c r="I2" i="22"/>
  <c r="A2" i="22"/>
  <c r="AQ29" i="1" l="1"/>
  <c r="AO30" i="1"/>
  <c r="AN30" i="1"/>
  <c r="AM30" i="1"/>
  <c r="AL30" i="1"/>
  <c r="AO29" i="1"/>
  <c r="AN29" i="1"/>
  <c r="AM29" i="1"/>
  <c r="AL29" i="1"/>
  <c r="AO28" i="1"/>
  <c r="AN28" i="1"/>
  <c r="AM28" i="1"/>
  <c r="AL28" i="1"/>
  <c r="AO27" i="1"/>
  <c r="AN27" i="1"/>
  <c r="AM27" i="1"/>
  <c r="AL27" i="1"/>
  <c r="AO26" i="1"/>
  <c r="AN26" i="1"/>
  <c r="AM26" i="1"/>
  <c r="AL26" i="1"/>
  <c r="AO25" i="1"/>
  <c r="AN25" i="1"/>
  <c r="AM25" i="1"/>
  <c r="AL25" i="1"/>
  <c r="AO24" i="1"/>
  <c r="AN24" i="1"/>
  <c r="AM24" i="1"/>
  <c r="AL24" i="1"/>
  <c r="AO23" i="1"/>
  <c r="AN23" i="1"/>
  <c r="AM23" i="1"/>
  <c r="AL23" i="1"/>
  <c r="AO22" i="1"/>
  <c r="AN22" i="1"/>
  <c r="AM22" i="1"/>
  <c r="AL22" i="1"/>
  <c r="AO21" i="1"/>
  <c r="AN21" i="1"/>
  <c r="AM21" i="1"/>
  <c r="AL21" i="1"/>
  <c r="AO20" i="1"/>
  <c r="AN20" i="1"/>
  <c r="AM20" i="1"/>
  <c r="AL20" i="1"/>
  <c r="AO19" i="1"/>
  <c r="AN19" i="1"/>
  <c r="AM19" i="1"/>
  <c r="AL19" i="1"/>
  <c r="AO18" i="1"/>
  <c r="AN18" i="1"/>
  <c r="AM18" i="1"/>
  <c r="AL18" i="1"/>
  <c r="AO17" i="1"/>
  <c r="AN17" i="1"/>
  <c r="AM17" i="1"/>
  <c r="AL17" i="1"/>
  <c r="AO16" i="1"/>
  <c r="AN16" i="1"/>
  <c r="AM16" i="1"/>
  <c r="AL16" i="1"/>
  <c r="AO15" i="1"/>
  <c r="AN15" i="1"/>
  <c r="AM15" i="1"/>
  <c r="AL15" i="1"/>
  <c r="AO14" i="1"/>
  <c r="AN14" i="1"/>
  <c r="AM14" i="1"/>
  <c r="AL14" i="1"/>
  <c r="AO13" i="1"/>
  <c r="AN13" i="1"/>
  <c r="AM13" i="1"/>
  <c r="AL13" i="1"/>
  <c r="AO12" i="1"/>
  <c r="AN12" i="1"/>
  <c r="AM12" i="1"/>
  <c r="AL12" i="1"/>
  <c r="AO11" i="1"/>
  <c r="AN11" i="1"/>
  <c r="AM11" i="1"/>
  <c r="AL11" i="1"/>
  <c r="AO10" i="1"/>
  <c r="AN10" i="1"/>
  <c r="AM10" i="1"/>
  <c r="AL10" i="1"/>
  <c r="AO9" i="1"/>
  <c r="AN9" i="1"/>
  <c r="AM9" i="1"/>
  <c r="AL9" i="1"/>
  <c r="AO8" i="1"/>
  <c r="AN8" i="1"/>
  <c r="AM8" i="1"/>
  <c r="AL8" i="1"/>
  <c r="AO7" i="1"/>
  <c r="AN7" i="1"/>
  <c r="AM7" i="1"/>
  <c r="AL7" i="1"/>
  <c r="AO6" i="1"/>
  <c r="AN6" i="1"/>
  <c r="AM6" i="1"/>
  <c r="AL6" i="1"/>
  <c r="AO5" i="1"/>
  <c r="AN5" i="1"/>
  <c r="AM5" i="1"/>
  <c r="AL5" i="1"/>
  <c r="AO4" i="1"/>
  <c r="AN4" i="1"/>
  <c r="AM4" i="1"/>
  <c r="AL4" i="1"/>
  <c r="AC29" i="1"/>
  <c r="AN3" i="1"/>
  <c r="Z30" i="1"/>
  <c r="Y30" i="1"/>
  <c r="X30" i="1"/>
  <c r="W30" i="1"/>
  <c r="V30" i="1"/>
  <c r="U30" i="1"/>
  <c r="T30" i="1"/>
  <c r="S30" i="1"/>
  <c r="R30" i="1"/>
  <c r="Z29" i="1"/>
  <c r="Y29" i="1"/>
  <c r="X29" i="1"/>
  <c r="W29" i="1"/>
  <c r="V29" i="1"/>
  <c r="U29" i="1"/>
  <c r="T29" i="1"/>
  <c r="S29" i="1"/>
  <c r="R29" i="1"/>
  <c r="Z28" i="1"/>
  <c r="Y28" i="1"/>
  <c r="X28" i="1"/>
  <c r="W28" i="1"/>
  <c r="V28" i="1"/>
  <c r="U28" i="1"/>
  <c r="T28" i="1"/>
  <c r="S28" i="1"/>
  <c r="R28" i="1"/>
  <c r="Z27" i="1"/>
  <c r="Y27" i="1"/>
  <c r="X27" i="1"/>
  <c r="W27" i="1"/>
  <c r="V27" i="1"/>
  <c r="U27" i="1"/>
  <c r="T27" i="1"/>
  <c r="S27" i="1"/>
  <c r="R27" i="1"/>
  <c r="Z26" i="1"/>
  <c r="Y26" i="1"/>
  <c r="X26" i="1"/>
  <c r="W26" i="1"/>
  <c r="V26" i="1"/>
  <c r="U26" i="1"/>
  <c r="T26" i="1"/>
  <c r="S26" i="1"/>
  <c r="R26" i="1"/>
  <c r="Z25" i="1"/>
  <c r="Y25" i="1"/>
  <c r="X25" i="1"/>
  <c r="W25" i="1"/>
  <c r="V25" i="1"/>
  <c r="U25" i="1"/>
  <c r="T25" i="1"/>
  <c r="S25" i="1"/>
  <c r="R25" i="1"/>
  <c r="Z24" i="1"/>
  <c r="Y24" i="1"/>
  <c r="X24" i="1"/>
  <c r="W24" i="1"/>
  <c r="V24" i="1"/>
  <c r="U24" i="1"/>
  <c r="T24" i="1"/>
  <c r="S24" i="1"/>
  <c r="R24" i="1"/>
  <c r="Z23" i="1"/>
  <c r="Y23" i="1"/>
  <c r="X23" i="1"/>
  <c r="W23" i="1"/>
  <c r="V23" i="1"/>
  <c r="U23" i="1"/>
  <c r="T23" i="1"/>
  <c r="S23" i="1"/>
  <c r="R23" i="1"/>
  <c r="Z22" i="1"/>
  <c r="Y22" i="1"/>
  <c r="X22" i="1"/>
  <c r="W22" i="1"/>
  <c r="V22" i="1"/>
  <c r="U22" i="1"/>
  <c r="T22" i="1"/>
  <c r="S22" i="1"/>
  <c r="R22" i="1"/>
  <c r="Z21" i="1"/>
  <c r="Y21" i="1"/>
  <c r="X21" i="1"/>
  <c r="W21" i="1"/>
  <c r="V21" i="1"/>
  <c r="U21" i="1"/>
  <c r="T21" i="1"/>
  <c r="S21" i="1"/>
  <c r="R21" i="1"/>
  <c r="Z20" i="1"/>
  <c r="Y20" i="1"/>
  <c r="X20" i="1"/>
  <c r="W20" i="1"/>
  <c r="V20" i="1"/>
  <c r="U20" i="1"/>
  <c r="T20" i="1"/>
  <c r="S20" i="1"/>
  <c r="R20" i="1"/>
  <c r="Z19" i="1"/>
  <c r="Y19" i="1"/>
  <c r="X19" i="1"/>
  <c r="W19" i="1"/>
  <c r="V19" i="1"/>
  <c r="U19" i="1"/>
  <c r="T19" i="1"/>
  <c r="S19" i="1"/>
  <c r="R19" i="1"/>
  <c r="Z18" i="1"/>
  <c r="Y18" i="1"/>
  <c r="X18" i="1"/>
  <c r="W18" i="1"/>
  <c r="V18" i="1"/>
  <c r="U18" i="1"/>
  <c r="T18" i="1"/>
  <c r="S18" i="1"/>
  <c r="R18" i="1"/>
  <c r="Z17" i="1"/>
  <c r="Y17" i="1"/>
  <c r="X17" i="1"/>
  <c r="W17" i="1"/>
  <c r="V17" i="1"/>
  <c r="U17" i="1"/>
  <c r="T17" i="1"/>
  <c r="S17" i="1"/>
  <c r="R17" i="1"/>
  <c r="Z16" i="1"/>
  <c r="Y16" i="1"/>
  <c r="X16" i="1"/>
  <c r="W16" i="1"/>
  <c r="V16" i="1"/>
  <c r="U16" i="1"/>
  <c r="T16" i="1"/>
  <c r="S16" i="1"/>
  <c r="R16" i="1"/>
  <c r="Z15" i="1"/>
  <c r="Y15" i="1"/>
  <c r="X15" i="1"/>
  <c r="W15" i="1"/>
  <c r="V15" i="1"/>
  <c r="U15" i="1"/>
  <c r="T15" i="1"/>
  <c r="S15" i="1"/>
  <c r="R15" i="1"/>
  <c r="Z14" i="1"/>
  <c r="Y14" i="1"/>
  <c r="X14" i="1"/>
  <c r="W14" i="1"/>
  <c r="V14" i="1"/>
  <c r="U14" i="1"/>
  <c r="T14" i="1"/>
  <c r="S14" i="1"/>
  <c r="R14" i="1"/>
  <c r="Z13" i="1"/>
  <c r="Y13" i="1"/>
  <c r="X13" i="1"/>
  <c r="W13" i="1"/>
  <c r="V13" i="1"/>
  <c r="U13" i="1"/>
  <c r="T13" i="1"/>
  <c r="S13" i="1"/>
  <c r="R13" i="1"/>
  <c r="Z12" i="1"/>
  <c r="Y12" i="1"/>
  <c r="X12" i="1"/>
  <c r="W12" i="1"/>
  <c r="V12" i="1"/>
  <c r="U12" i="1"/>
  <c r="T12" i="1"/>
  <c r="S12" i="1"/>
  <c r="R12" i="1"/>
  <c r="Z11" i="1"/>
  <c r="Y11" i="1"/>
  <c r="X11" i="1"/>
  <c r="W11" i="1"/>
  <c r="V11" i="1"/>
  <c r="U11" i="1"/>
  <c r="T11" i="1"/>
  <c r="S11" i="1"/>
  <c r="R11" i="1"/>
  <c r="Z10" i="1"/>
  <c r="Y10" i="1"/>
  <c r="X10" i="1"/>
  <c r="W10" i="1"/>
  <c r="V10" i="1"/>
  <c r="U10" i="1"/>
  <c r="T10" i="1"/>
  <c r="S10" i="1"/>
  <c r="R10" i="1"/>
  <c r="Z9" i="1"/>
  <c r="Y9" i="1"/>
  <c r="X9" i="1"/>
  <c r="W9" i="1"/>
  <c r="V9" i="1"/>
  <c r="U9" i="1"/>
  <c r="T9" i="1"/>
  <c r="S9" i="1"/>
  <c r="R9" i="1"/>
  <c r="Z8" i="1"/>
  <c r="Y8" i="1"/>
  <c r="X8" i="1"/>
  <c r="W8" i="1"/>
  <c r="V8" i="1"/>
  <c r="U8" i="1"/>
  <c r="T8" i="1"/>
  <c r="S8" i="1"/>
  <c r="R8" i="1"/>
  <c r="Z7" i="1"/>
  <c r="Y7" i="1"/>
  <c r="X7" i="1"/>
  <c r="W7" i="1"/>
  <c r="V7" i="1"/>
  <c r="U7" i="1"/>
  <c r="T7" i="1"/>
  <c r="S7" i="1"/>
  <c r="R7" i="1"/>
  <c r="Z6" i="1"/>
  <c r="Y6" i="1"/>
  <c r="X6" i="1"/>
  <c r="W6" i="1"/>
  <c r="V6" i="1"/>
  <c r="U6" i="1"/>
  <c r="T6" i="1"/>
  <c r="S6" i="1"/>
  <c r="R6" i="1"/>
  <c r="Z5" i="1"/>
  <c r="Y5" i="1"/>
  <c r="X5" i="1"/>
  <c r="W5" i="1"/>
  <c r="V5" i="1"/>
  <c r="U5" i="1"/>
  <c r="T5" i="1"/>
  <c r="S5" i="1"/>
  <c r="R5" i="1"/>
  <c r="Z4" i="1"/>
  <c r="Y4" i="1"/>
  <c r="X4" i="1"/>
  <c r="W4" i="1"/>
  <c r="V4" i="1"/>
  <c r="U4" i="1"/>
  <c r="T4" i="1"/>
  <c r="S4" i="1"/>
  <c r="R4" i="1"/>
  <c r="Y3" i="1"/>
  <c r="J33" i="1"/>
  <c r="I33" i="1"/>
  <c r="H33" i="1"/>
  <c r="G33" i="1"/>
  <c r="F33" i="1"/>
  <c r="E33" i="1"/>
  <c r="D33" i="1"/>
  <c r="C33" i="1"/>
  <c r="B33" i="1"/>
  <c r="J32" i="1"/>
  <c r="I32" i="1"/>
  <c r="H32" i="1"/>
  <c r="G32" i="1"/>
  <c r="F32" i="1"/>
  <c r="E32" i="1"/>
  <c r="D32" i="1"/>
  <c r="C32" i="1"/>
  <c r="B32" i="1"/>
  <c r="J31" i="1"/>
  <c r="M31" i="1" s="1"/>
  <c r="I31" i="1"/>
  <c r="H31" i="1"/>
  <c r="G31" i="1"/>
  <c r="F31" i="1"/>
  <c r="E31" i="1"/>
  <c r="D31" i="1"/>
  <c r="C31" i="1"/>
  <c r="B31" i="1"/>
  <c r="J30" i="1"/>
  <c r="I30" i="1"/>
  <c r="H30" i="1"/>
  <c r="G30" i="1"/>
  <c r="F30" i="1"/>
  <c r="E30" i="1"/>
  <c r="D30" i="1"/>
  <c r="C30" i="1"/>
  <c r="B30" i="1"/>
  <c r="J29" i="1"/>
  <c r="M29" i="1" s="1"/>
  <c r="I29" i="1"/>
  <c r="H29" i="1"/>
  <c r="G29" i="1"/>
  <c r="F29" i="1"/>
  <c r="E29" i="1"/>
  <c r="D29" i="1"/>
  <c r="C29" i="1"/>
  <c r="B29" i="1"/>
  <c r="J28" i="1"/>
  <c r="I28" i="1"/>
  <c r="H28" i="1"/>
  <c r="G28" i="1"/>
  <c r="F28" i="1"/>
  <c r="E28" i="1"/>
  <c r="D28" i="1"/>
  <c r="C28" i="1"/>
  <c r="B28" i="1"/>
  <c r="J27" i="1"/>
  <c r="I27" i="1"/>
  <c r="H27" i="1"/>
  <c r="G27" i="1"/>
  <c r="F27" i="1"/>
  <c r="E27" i="1"/>
  <c r="D27" i="1"/>
  <c r="C27" i="1"/>
  <c r="B27" i="1"/>
  <c r="J26" i="1"/>
  <c r="I26" i="1"/>
  <c r="H26" i="1"/>
  <c r="G26" i="1"/>
  <c r="F26" i="1"/>
  <c r="E26" i="1"/>
  <c r="D26" i="1"/>
  <c r="C26" i="1"/>
  <c r="B26" i="1"/>
  <c r="J25" i="1"/>
  <c r="M25" i="1" s="1"/>
  <c r="I25" i="1"/>
  <c r="H25" i="1"/>
  <c r="G25" i="1"/>
  <c r="F25" i="1"/>
  <c r="E25" i="1"/>
  <c r="D25" i="1"/>
  <c r="C25" i="1"/>
  <c r="B25" i="1"/>
  <c r="J24" i="1"/>
  <c r="I24" i="1"/>
  <c r="H24" i="1"/>
  <c r="G24" i="1"/>
  <c r="F24" i="1"/>
  <c r="E24" i="1"/>
  <c r="D24" i="1"/>
  <c r="C24" i="1"/>
  <c r="B24" i="1"/>
  <c r="J23" i="1"/>
  <c r="I23" i="1"/>
  <c r="H23" i="1"/>
  <c r="G23" i="1"/>
  <c r="F23" i="1"/>
  <c r="E23" i="1"/>
  <c r="D23" i="1"/>
  <c r="C23" i="1"/>
  <c r="B23" i="1"/>
  <c r="J22" i="1"/>
  <c r="I22" i="1"/>
  <c r="H22" i="1"/>
  <c r="G22" i="1"/>
  <c r="F22" i="1"/>
  <c r="E22" i="1"/>
  <c r="D22" i="1"/>
  <c r="C22" i="1"/>
  <c r="B22" i="1"/>
  <c r="J21" i="1"/>
  <c r="M21" i="1" s="1"/>
  <c r="I21" i="1"/>
  <c r="H21" i="1"/>
  <c r="G21" i="1"/>
  <c r="F21" i="1"/>
  <c r="E21" i="1"/>
  <c r="D21" i="1"/>
  <c r="C21" i="1"/>
  <c r="B21" i="1"/>
  <c r="J20" i="1"/>
  <c r="I20" i="1"/>
  <c r="H20" i="1"/>
  <c r="G20" i="1"/>
  <c r="F20" i="1"/>
  <c r="E20" i="1"/>
  <c r="D20" i="1"/>
  <c r="C20" i="1"/>
  <c r="B20" i="1"/>
  <c r="J19" i="1"/>
  <c r="I19" i="1"/>
  <c r="H19" i="1"/>
  <c r="G19" i="1"/>
  <c r="F19" i="1"/>
  <c r="E19" i="1"/>
  <c r="D19" i="1"/>
  <c r="C19" i="1"/>
  <c r="B19" i="1"/>
  <c r="J18" i="1"/>
  <c r="I18" i="1"/>
  <c r="H18" i="1"/>
  <c r="G18" i="1"/>
  <c r="F18" i="1"/>
  <c r="E18" i="1"/>
  <c r="D18" i="1"/>
  <c r="C18" i="1"/>
  <c r="B18" i="1"/>
  <c r="J17" i="1"/>
  <c r="I17" i="1"/>
  <c r="H17" i="1"/>
  <c r="G17" i="1"/>
  <c r="F17" i="1"/>
  <c r="E17" i="1"/>
  <c r="D17" i="1"/>
  <c r="C17" i="1"/>
  <c r="B17" i="1"/>
  <c r="J16" i="1"/>
  <c r="I16" i="1"/>
  <c r="H16" i="1"/>
  <c r="G16" i="1"/>
  <c r="F16" i="1"/>
  <c r="E16" i="1"/>
  <c r="D16" i="1"/>
  <c r="C16" i="1"/>
  <c r="B16" i="1"/>
  <c r="J15" i="1"/>
  <c r="I15" i="1"/>
  <c r="H15" i="1"/>
  <c r="G15" i="1"/>
  <c r="F15" i="1"/>
  <c r="E15" i="1"/>
  <c r="D15" i="1"/>
  <c r="C15" i="1"/>
  <c r="B15" i="1"/>
  <c r="J14" i="1"/>
  <c r="I14" i="1"/>
  <c r="H14" i="1"/>
  <c r="G14" i="1"/>
  <c r="F14" i="1"/>
  <c r="E14" i="1"/>
  <c r="D14" i="1"/>
  <c r="C14" i="1"/>
  <c r="B14" i="1"/>
  <c r="AR29" i="1" l="1"/>
  <c r="AR30" i="1"/>
  <c r="AR4" i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D25" i="1"/>
  <c r="AD29" i="1"/>
  <c r="AD18" i="1"/>
  <c r="AD22" i="1"/>
  <c r="AD30" i="1"/>
  <c r="AD17" i="1"/>
  <c r="AD21" i="1"/>
  <c r="AD19" i="1"/>
  <c r="AD23" i="1"/>
  <c r="AD27" i="1"/>
  <c r="AD26" i="1"/>
  <c r="AF26" i="1"/>
  <c r="AD15" i="1"/>
  <c r="AD16" i="1"/>
  <c r="AD20" i="1"/>
  <c r="AD24" i="1"/>
  <c r="AD28" i="1"/>
  <c r="AD6" i="1"/>
  <c r="AD10" i="1"/>
  <c r="AD14" i="1"/>
  <c r="AD12" i="1"/>
  <c r="AD5" i="1"/>
  <c r="AD7" i="1"/>
  <c r="AD11" i="1"/>
  <c r="AF4" i="1"/>
  <c r="AD4" i="1"/>
  <c r="AD8" i="1"/>
  <c r="AD9" i="1"/>
  <c r="AD13" i="1"/>
  <c r="M16" i="1"/>
  <c r="M17" i="1"/>
  <c r="M14" i="1"/>
  <c r="M22" i="1"/>
  <c r="M26" i="1"/>
  <c r="M30" i="1"/>
  <c r="M18" i="1"/>
  <c r="M15" i="1"/>
  <c r="M19" i="1"/>
  <c r="M23" i="1"/>
  <c r="M27" i="1"/>
  <c r="M20" i="1"/>
  <c r="M24" i="1"/>
  <c r="M28" i="1"/>
  <c r="M32" i="1"/>
  <c r="L33" i="1"/>
  <c r="O33" i="1"/>
  <c r="M33" i="1"/>
  <c r="L17" i="1"/>
  <c r="L21" i="1"/>
  <c r="L25" i="1"/>
  <c r="L29" i="1"/>
  <c r="L14" i="1"/>
  <c r="L15" i="1"/>
  <c r="L18" i="1"/>
  <c r="L19" i="1"/>
  <c r="L22" i="1"/>
  <c r="L23" i="1"/>
  <c r="L26" i="1"/>
  <c r="L27" i="1"/>
  <c r="L30" i="1"/>
  <c r="L31" i="1"/>
  <c r="L16" i="1"/>
  <c r="L20" i="1"/>
  <c r="L24" i="1"/>
  <c r="L28" i="1"/>
  <c r="N28" i="1" s="1"/>
  <c r="L32" i="1"/>
  <c r="J13" i="1" l="1"/>
  <c r="M13" i="1" s="1"/>
  <c r="I13" i="1"/>
  <c r="H13" i="1"/>
  <c r="G13" i="1"/>
  <c r="F13" i="1"/>
  <c r="E13" i="1"/>
  <c r="D13" i="1"/>
  <c r="C13" i="1"/>
  <c r="B13" i="1"/>
  <c r="J12" i="1"/>
  <c r="I12" i="1"/>
  <c r="H12" i="1"/>
  <c r="G12" i="1"/>
  <c r="F12" i="1"/>
  <c r="E12" i="1"/>
  <c r="D12" i="1"/>
  <c r="C12" i="1"/>
  <c r="B12" i="1"/>
  <c r="J11" i="1"/>
  <c r="I11" i="1"/>
  <c r="H11" i="1"/>
  <c r="G11" i="1"/>
  <c r="F11" i="1"/>
  <c r="E11" i="1"/>
  <c r="D11" i="1"/>
  <c r="C11" i="1"/>
  <c r="B11" i="1"/>
  <c r="J10" i="1"/>
  <c r="I10" i="1"/>
  <c r="H10" i="1"/>
  <c r="G10" i="1"/>
  <c r="F10" i="1"/>
  <c r="E10" i="1"/>
  <c r="D10" i="1"/>
  <c r="C10" i="1"/>
  <c r="B10" i="1"/>
  <c r="J9" i="1"/>
  <c r="M9" i="1" s="1"/>
  <c r="I9" i="1"/>
  <c r="H9" i="1"/>
  <c r="G9" i="1"/>
  <c r="F9" i="1"/>
  <c r="E9" i="1"/>
  <c r="D9" i="1"/>
  <c r="C9" i="1"/>
  <c r="B9" i="1"/>
  <c r="J8" i="1"/>
  <c r="I8" i="1"/>
  <c r="H8" i="1"/>
  <c r="G8" i="1"/>
  <c r="F8" i="1"/>
  <c r="E8" i="1"/>
  <c r="D8" i="1"/>
  <c r="C8" i="1"/>
  <c r="B8" i="1"/>
  <c r="J7" i="1"/>
  <c r="I7" i="1"/>
  <c r="H7" i="1"/>
  <c r="G7" i="1"/>
  <c r="F7" i="1"/>
  <c r="E7" i="1"/>
  <c r="D7" i="1"/>
  <c r="C7" i="1"/>
  <c r="B7" i="1"/>
  <c r="J6" i="1"/>
  <c r="M6" i="1" s="1"/>
  <c r="I6" i="1"/>
  <c r="H6" i="1"/>
  <c r="G6" i="1"/>
  <c r="F6" i="1"/>
  <c r="E6" i="1"/>
  <c r="D6" i="1"/>
  <c r="C6" i="1"/>
  <c r="B6" i="1"/>
  <c r="J5" i="1"/>
  <c r="M5" i="1" s="1"/>
  <c r="I5" i="1"/>
  <c r="H5" i="1"/>
  <c r="G5" i="1"/>
  <c r="F5" i="1"/>
  <c r="E5" i="1"/>
  <c r="D5" i="1"/>
  <c r="C5" i="1"/>
  <c r="B5" i="1"/>
  <c r="J4" i="1"/>
  <c r="I4" i="1"/>
  <c r="H4" i="1"/>
  <c r="G4" i="1"/>
  <c r="F4" i="1"/>
  <c r="E4" i="1"/>
  <c r="D4" i="1"/>
  <c r="C4" i="1"/>
  <c r="B4" i="1"/>
  <c r="M7" i="1" l="1"/>
  <c r="L4" i="1"/>
  <c r="M12" i="1"/>
  <c r="M10" i="1"/>
  <c r="M11" i="1"/>
  <c r="O4" i="1"/>
  <c r="N4" i="1"/>
  <c r="M4" i="1"/>
  <c r="M8" i="1"/>
  <c r="L10" i="1"/>
  <c r="L6" i="1"/>
  <c r="L7" i="1"/>
  <c r="L11" i="1"/>
  <c r="N11" i="1" s="1"/>
  <c r="L8" i="1"/>
  <c r="L12" i="1"/>
  <c r="L5" i="1"/>
  <c r="L9" i="1"/>
  <c r="L13" i="1"/>
  <c r="BD3" i="14" l="1"/>
  <c r="BD4" i="14"/>
  <c r="BD5" i="14"/>
  <c r="BD6" i="14"/>
  <c r="BD7" i="14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3" i="14"/>
  <c r="BD44" i="14"/>
  <c r="BD45" i="14"/>
  <c r="BD46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6" i="14"/>
  <c r="BD97" i="14"/>
  <c r="BD98" i="14"/>
  <c r="BD99" i="14"/>
  <c r="BD100" i="14"/>
  <c r="BD101" i="14"/>
  <c r="BD102" i="14"/>
  <c r="BD103" i="14"/>
  <c r="BD104" i="14"/>
  <c r="BD105" i="14"/>
  <c r="BD106" i="14"/>
  <c r="BD107" i="14"/>
  <c r="BD108" i="14"/>
  <c r="BD109" i="14"/>
  <c r="BD110" i="14"/>
  <c r="BD111" i="14"/>
  <c r="BD112" i="14"/>
  <c r="BD113" i="14"/>
  <c r="BD114" i="14"/>
  <c r="BD115" i="14"/>
  <c r="BD116" i="14"/>
  <c r="BD117" i="14"/>
  <c r="BD118" i="14"/>
  <c r="BD119" i="14"/>
  <c r="BD120" i="14"/>
  <c r="BD121" i="14"/>
  <c r="BD122" i="14"/>
  <c r="BD123" i="14"/>
  <c r="BD124" i="14"/>
  <c r="BD125" i="14"/>
  <c r="BD126" i="14"/>
  <c r="BD127" i="14"/>
  <c r="BD128" i="14"/>
  <c r="BD129" i="14"/>
  <c r="BD130" i="14"/>
  <c r="BD131" i="14"/>
  <c r="BD132" i="14"/>
  <c r="BD133" i="14"/>
  <c r="BD134" i="14"/>
  <c r="BD135" i="14"/>
  <c r="BD136" i="14"/>
  <c r="BD137" i="14"/>
  <c r="BD138" i="14"/>
  <c r="BD139" i="14"/>
  <c r="BD140" i="14"/>
  <c r="BD141" i="14"/>
  <c r="BD142" i="14"/>
  <c r="BD143" i="14"/>
  <c r="BD144" i="14"/>
  <c r="BD145" i="14"/>
  <c r="BD146" i="14"/>
  <c r="BD147" i="14"/>
  <c r="BD148" i="14"/>
  <c r="BD149" i="14"/>
  <c r="BD150" i="14"/>
  <c r="BD151" i="14"/>
  <c r="BD152" i="14"/>
  <c r="BD153" i="14"/>
  <c r="BD154" i="14"/>
  <c r="BD155" i="14"/>
  <c r="BD156" i="14"/>
  <c r="BD157" i="14"/>
  <c r="BD158" i="14"/>
  <c r="BD159" i="14"/>
  <c r="BD160" i="14"/>
  <c r="BD161" i="14"/>
  <c r="BD162" i="14"/>
  <c r="BD163" i="14"/>
  <c r="BD164" i="14"/>
  <c r="BD165" i="14"/>
  <c r="BD166" i="14"/>
  <c r="BD167" i="14"/>
  <c r="BD168" i="14"/>
  <c r="BD169" i="14"/>
  <c r="BD170" i="14"/>
  <c r="BD171" i="14"/>
  <c r="BD172" i="14"/>
  <c r="BD173" i="14"/>
  <c r="BD174" i="14"/>
  <c r="BD175" i="14"/>
  <c r="BD176" i="14"/>
  <c r="BD177" i="14"/>
  <c r="BD178" i="14"/>
  <c r="BD179" i="14"/>
  <c r="BD180" i="14"/>
  <c r="BD181" i="14"/>
  <c r="BD182" i="14"/>
  <c r="BD183" i="14"/>
  <c r="BD184" i="14"/>
  <c r="BD185" i="14"/>
  <c r="BD186" i="14"/>
  <c r="BD187" i="14"/>
  <c r="BD188" i="14"/>
  <c r="BD189" i="14"/>
  <c r="BD190" i="14"/>
  <c r="BD191" i="14"/>
  <c r="BD192" i="14"/>
  <c r="BD193" i="14"/>
  <c r="BD194" i="14"/>
  <c r="BD195" i="14"/>
  <c r="BD196" i="14"/>
  <c r="BD197" i="14"/>
  <c r="BD198" i="14"/>
  <c r="BD199" i="14"/>
  <c r="BK3" i="15"/>
  <c r="BL3" i="15"/>
  <c r="D27" i="36" l="1"/>
  <c r="B27" i="36" l="1"/>
  <c r="AB4" i="20" l="1"/>
  <c r="AB4" i="1"/>
  <c r="AE4" i="1" s="1"/>
  <c r="AB15" i="20" l="1"/>
  <c r="AB15" i="1"/>
  <c r="AB16" i="20"/>
  <c r="AB16" i="1"/>
  <c r="AB17" i="20"/>
  <c r="AB17" i="1"/>
  <c r="AB18" i="20"/>
  <c r="AB18" i="1"/>
  <c r="AB19" i="20"/>
  <c r="AB19" i="1"/>
  <c r="AB20" i="20"/>
  <c r="AB20" i="1"/>
  <c r="AE20" i="1" s="1"/>
  <c r="AB21" i="20"/>
  <c r="AB21" i="1"/>
  <c r="AB22" i="20"/>
  <c r="AB22" i="1"/>
  <c r="AB23" i="20"/>
  <c r="AB23" i="1"/>
  <c r="AB5" i="20"/>
  <c r="AB5" i="1"/>
  <c r="AB6" i="20"/>
  <c r="AB6" i="1"/>
  <c r="AB7" i="20"/>
  <c r="AB7" i="1"/>
  <c r="AB8" i="20"/>
  <c r="AB8" i="1"/>
  <c r="AB9" i="20"/>
  <c r="AB9" i="1"/>
  <c r="AB10" i="20"/>
  <c r="AB10" i="1"/>
  <c r="AB11" i="20"/>
  <c r="AB11" i="1"/>
  <c r="AB12" i="20"/>
  <c r="AB12" i="1"/>
  <c r="AB13" i="20"/>
  <c r="AB13" i="1"/>
  <c r="AB14" i="20"/>
  <c r="AB14" i="1"/>
  <c r="BL3" i="14" l="1"/>
  <c r="BK3" i="14"/>
  <c r="BK199" i="14"/>
  <c r="BK198" i="14"/>
  <c r="BK197" i="14"/>
  <c r="BK196" i="14"/>
  <c r="BK195" i="14"/>
  <c r="BK194" i="14"/>
  <c r="BK193" i="14"/>
  <c r="BK192" i="14"/>
  <c r="BK191" i="14"/>
  <c r="BK190" i="14"/>
  <c r="BK189" i="14"/>
  <c r="BK188" i="14"/>
  <c r="BK187" i="14"/>
  <c r="BK186" i="14"/>
  <c r="BK185" i="14"/>
  <c r="BK184" i="14"/>
  <c r="BK183" i="14"/>
  <c r="BK182" i="14"/>
  <c r="BK181" i="14"/>
  <c r="BK180" i="14"/>
  <c r="BK179" i="14"/>
  <c r="BK178" i="14"/>
  <c r="BK177" i="14"/>
  <c r="BK176" i="14"/>
  <c r="BK175" i="14"/>
  <c r="BK174" i="14"/>
  <c r="BK173" i="14"/>
  <c r="BK172" i="14"/>
  <c r="BK171" i="14"/>
  <c r="BK170" i="14"/>
  <c r="BK169" i="14"/>
  <c r="BK168" i="14"/>
  <c r="BK167" i="14"/>
  <c r="BK166" i="14"/>
  <c r="BK165" i="14"/>
  <c r="BK164" i="14"/>
  <c r="BK163" i="14"/>
  <c r="BK162" i="14"/>
  <c r="BK161" i="14"/>
  <c r="BK160" i="14"/>
  <c r="BK159" i="14"/>
  <c r="BK158" i="14"/>
  <c r="BK157" i="14"/>
  <c r="BK156" i="14"/>
  <c r="BK155" i="14"/>
  <c r="BK154" i="14"/>
  <c r="BK153" i="14"/>
  <c r="BK152" i="14"/>
  <c r="BK151" i="14"/>
  <c r="BK150" i="14"/>
  <c r="BK149" i="14"/>
  <c r="BK148" i="14"/>
  <c r="BK147" i="14"/>
  <c r="BK146" i="14"/>
  <c r="BK145" i="14"/>
  <c r="BK144" i="14"/>
  <c r="BK143" i="14"/>
  <c r="BK142" i="14"/>
  <c r="BK141" i="14"/>
  <c r="BK140" i="14"/>
  <c r="BK139" i="14"/>
  <c r="BK138" i="14"/>
  <c r="BK137" i="14"/>
  <c r="BK136" i="14"/>
  <c r="BK135" i="14"/>
  <c r="BK134" i="14"/>
  <c r="BK133" i="14"/>
  <c r="BK132" i="14"/>
  <c r="BK131" i="14"/>
  <c r="BK130" i="14"/>
  <c r="BK129" i="14"/>
  <c r="BK128" i="14"/>
  <c r="BK127" i="14"/>
  <c r="BK126" i="14"/>
  <c r="BK125" i="14"/>
  <c r="BK124" i="14"/>
  <c r="BK123" i="14"/>
  <c r="BK122" i="14"/>
  <c r="BK121" i="14"/>
  <c r="BK120" i="14"/>
  <c r="BK119" i="14"/>
  <c r="BK118" i="14"/>
  <c r="BK117" i="14"/>
  <c r="BK116" i="14"/>
  <c r="BK115" i="14"/>
  <c r="BK114" i="14"/>
  <c r="BK113" i="14"/>
  <c r="BK112" i="14"/>
  <c r="BK111" i="14"/>
  <c r="BK110" i="14"/>
  <c r="BK109" i="14"/>
  <c r="BK108" i="14"/>
  <c r="BK107" i="14"/>
  <c r="BK106" i="14"/>
  <c r="BK105" i="14"/>
  <c r="BK104" i="14"/>
  <c r="BK103" i="14"/>
  <c r="BK102" i="14"/>
  <c r="BK101" i="14"/>
  <c r="BK100" i="14"/>
  <c r="BK99" i="14"/>
  <c r="BK98" i="14"/>
  <c r="BK97" i="14"/>
  <c r="BK96" i="14"/>
  <c r="BK95" i="14"/>
  <c r="BK94" i="14"/>
  <c r="BK93" i="14"/>
  <c r="BK92" i="14"/>
  <c r="BK91" i="14"/>
  <c r="BK90" i="14"/>
  <c r="BK89" i="14"/>
  <c r="BK88" i="14"/>
  <c r="BK87" i="14"/>
  <c r="BK86" i="14"/>
  <c r="BK85" i="14"/>
  <c r="BK84" i="14"/>
  <c r="BK83" i="14"/>
  <c r="BK82" i="14"/>
  <c r="BK81" i="14"/>
  <c r="BK80" i="14"/>
  <c r="BK79" i="14"/>
  <c r="BK78" i="14"/>
  <c r="BK77" i="14"/>
  <c r="BK76" i="14"/>
  <c r="BK75" i="14"/>
  <c r="BK74" i="14"/>
  <c r="BK73" i="14"/>
  <c r="BK72" i="14"/>
  <c r="BK71" i="14"/>
  <c r="BK70" i="14"/>
  <c r="BK69" i="14"/>
  <c r="BK68" i="14"/>
  <c r="BK67" i="14"/>
  <c r="BK66" i="14"/>
  <c r="BK65" i="14"/>
  <c r="BK64" i="14"/>
  <c r="BK63" i="14"/>
  <c r="BK62" i="14"/>
  <c r="BK61" i="14"/>
  <c r="BK60" i="14"/>
  <c r="BK59" i="14"/>
  <c r="BK58" i="14"/>
  <c r="BK57" i="14"/>
  <c r="BK56" i="14"/>
  <c r="BK55" i="14"/>
  <c r="BK54" i="14"/>
  <c r="BK53" i="14"/>
  <c r="BK52" i="14"/>
  <c r="BK51" i="14"/>
  <c r="BK50" i="14"/>
  <c r="BK49" i="14"/>
  <c r="BK48" i="14"/>
  <c r="BK47" i="14"/>
  <c r="BK46" i="14"/>
  <c r="BK45" i="14"/>
  <c r="BK44" i="14"/>
  <c r="BK43" i="14"/>
  <c r="BK42" i="14"/>
  <c r="BK41" i="14"/>
  <c r="BK40" i="14"/>
  <c r="BK39" i="14"/>
  <c r="BK38" i="14"/>
  <c r="BK37" i="14"/>
  <c r="BK36" i="14"/>
  <c r="BK35" i="14"/>
  <c r="BK34" i="14"/>
  <c r="BK33" i="14"/>
  <c r="BK32" i="14"/>
  <c r="BK31" i="14"/>
  <c r="BK30" i="14"/>
  <c r="BK29" i="14"/>
  <c r="BK28" i="14"/>
  <c r="BK27" i="14"/>
  <c r="BK26" i="14"/>
  <c r="BK25" i="14"/>
  <c r="BK24" i="14"/>
  <c r="BK23" i="14"/>
  <c r="BK22" i="14"/>
  <c r="BK21" i="14"/>
  <c r="BK20" i="14"/>
  <c r="BK19" i="14"/>
  <c r="BK18" i="14"/>
  <c r="BK17" i="14"/>
  <c r="BK16" i="14"/>
  <c r="BK15" i="14"/>
  <c r="BK14" i="14"/>
  <c r="BK13" i="14"/>
  <c r="BK12" i="14"/>
  <c r="BK11" i="14"/>
  <c r="BK10" i="14"/>
  <c r="BK9" i="14"/>
  <c r="BK8" i="14"/>
  <c r="BK7" i="14"/>
  <c r="BK6" i="14"/>
  <c r="BK5" i="14"/>
  <c r="BK4" i="14"/>
  <c r="BK198" i="15"/>
  <c r="BK197" i="15"/>
  <c r="BK196" i="15"/>
  <c r="BK195" i="15"/>
  <c r="BK194" i="15"/>
  <c r="BK193" i="15"/>
  <c r="BK192" i="15"/>
  <c r="BK191" i="15"/>
  <c r="BK190" i="15"/>
  <c r="BK189" i="15"/>
  <c r="BK188" i="15"/>
  <c r="BK187" i="15"/>
  <c r="BK186" i="15"/>
  <c r="BK185" i="15"/>
  <c r="BK184" i="15"/>
  <c r="BK183" i="15"/>
  <c r="BK182" i="15"/>
  <c r="BK181" i="15"/>
  <c r="BK180" i="15"/>
  <c r="BK179" i="15"/>
  <c r="BK178" i="15"/>
  <c r="BK177" i="15"/>
  <c r="BK176" i="15"/>
  <c r="BK175" i="15"/>
  <c r="BK174" i="15"/>
  <c r="BK173" i="15"/>
  <c r="BK172" i="15"/>
  <c r="BK171" i="15"/>
  <c r="BK170" i="15"/>
  <c r="BK169" i="15"/>
  <c r="BK168" i="15"/>
  <c r="BK167" i="15"/>
  <c r="BK166" i="15"/>
  <c r="BK165" i="15"/>
  <c r="BK164" i="15"/>
  <c r="BK163" i="15"/>
  <c r="BK162" i="15"/>
  <c r="BK161" i="15"/>
  <c r="BK160" i="15"/>
  <c r="BK159" i="15"/>
  <c r="BK158" i="15"/>
  <c r="BK157" i="15"/>
  <c r="BK156" i="15"/>
  <c r="BK155" i="15"/>
  <c r="BK154" i="15"/>
  <c r="BK153" i="15"/>
  <c r="BK152" i="15"/>
  <c r="BK151" i="15"/>
  <c r="BK150" i="15"/>
  <c r="BK149" i="15"/>
  <c r="BK148" i="15"/>
  <c r="BK147" i="15"/>
  <c r="BK146" i="15"/>
  <c r="BK145" i="15"/>
  <c r="BK144" i="15"/>
  <c r="BK143" i="15"/>
  <c r="BK142" i="15"/>
  <c r="BK141" i="15"/>
  <c r="BK140" i="15"/>
  <c r="BK139" i="15"/>
  <c r="BK138" i="15"/>
  <c r="BK137" i="15"/>
  <c r="BK136" i="15"/>
  <c r="BK135" i="15"/>
  <c r="BK134" i="15"/>
  <c r="BK133" i="15"/>
  <c r="BK132" i="15"/>
  <c r="BK131" i="15"/>
  <c r="BK130" i="15"/>
  <c r="BK129" i="15"/>
  <c r="BK128" i="15"/>
  <c r="BK127" i="15"/>
  <c r="BK126" i="15"/>
  <c r="BK125" i="15"/>
  <c r="BK124" i="15"/>
  <c r="BK123" i="15"/>
  <c r="BK122" i="15"/>
  <c r="BK121" i="15"/>
  <c r="BK120" i="15"/>
  <c r="BK119" i="15"/>
  <c r="BK118" i="15"/>
  <c r="BK117" i="15"/>
  <c r="BK116" i="15"/>
  <c r="BK115" i="15"/>
  <c r="BK114" i="15"/>
  <c r="BK113" i="15"/>
  <c r="BK112" i="15"/>
  <c r="BK111" i="15"/>
  <c r="BK110" i="15"/>
  <c r="BK109" i="15"/>
  <c r="BK108" i="15"/>
  <c r="BK107" i="15"/>
  <c r="BK106" i="15"/>
  <c r="BK105" i="15"/>
  <c r="BK104" i="15"/>
  <c r="BK103" i="15"/>
  <c r="BK102" i="15"/>
  <c r="BK101" i="15"/>
  <c r="BK100" i="15"/>
  <c r="BK99" i="15"/>
  <c r="BK98" i="15"/>
  <c r="BK97" i="15"/>
  <c r="BK96" i="15"/>
  <c r="BK95" i="15"/>
  <c r="BK94" i="15"/>
  <c r="BK93" i="15"/>
  <c r="BK92" i="15"/>
  <c r="BK91" i="15"/>
  <c r="BK90" i="15"/>
  <c r="BK89" i="15"/>
  <c r="BK88" i="15"/>
  <c r="BK87" i="15"/>
  <c r="BK86" i="15"/>
  <c r="BK85" i="15"/>
  <c r="BK84" i="15"/>
  <c r="BK83" i="15"/>
  <c r="BK82" i="15"/>
  <c r="BK81" i="15"/>
  <c r="BK80" i="15"/>
  <c r="BK79" i="15"/>
  <c r="BK78" i="15"/>
  <c r="BK77" i="15"/>
  <c r="BK76" i="15"/>
  <c r="BK75" i="15"/>
  <c r="BK74" i="15"/>
  <c r="BK73" i="15"/>
  <c r="BK72" i="15"/>
  <c r="BK71" i="15"/>
  <c r="BK70" i="15"/>
  <c r="BK69" i="15"/>
  <c r="BK68" i="15"/>
  <c r="BK67" i="15"/>
  <c r="BK66" i="15"/>
  <c r="BK65" i="15"/>
  <c r="BK64" i="15"/>
  <c r="BK63" i="15"/>
  <c r="BK62" i="15"/>
  <c r="BK61" i="15"/>
  <c r="BK60" i="15"/>
  <c r="BK59" i="15"/>
  <c r="BK58" i="15"/>
  <c r="BK57" i="15"/>
  <c r="BK56" i="15"/>
  <c r="BK55" i="15"/>
  <c r="BK54" i="15"/>
  <c r="BK53" i="15"/>
  <c r="BK52" i="15"/>
  <c r="BK51" i="15"/>
  <c r="BK50" i="15"/>
  <c r="BK49" i="15"/>
  <c r="BK48" i="15"/>
  <c r="BK47" i="15"/>
  <c r="BK46" i="15"/>
  <c r="BK45" i="15"/>
  <c r="BK44" i="15"/>
  <c r="BK43" i="15"/>
  <c r="BK42" i="15"/>
  <c r="BK41" i="15"/>
  <c r="BK40" i="15"/>
  <c r="BK39" i="15"/>
  <c r="BK38" i="15"/>
  <c r="BK37" i="15"/>
  <c r="BK36" i="15"/>
  <c r="BK35" i="15"/>
  <c r="BK34" i="15"/>
  <c r="BK33" i="15"/>
  <c r="BK32" i="15"/>
  <c r="BK31" i="15"/>
  <c r="BK30" i="15"/>
  <c r="BK29" i="15"/>
  <c r="BK28" i="15"/>
  <c r="BK27" i="15"/>
  <c r="BK26" i="15"/>
  <c r="BK25" i="15"/>
  <c r="BK24" i="15"/>
  <c r="BK23" i="15"/>
  <c r="BK22" i="15"/>
  <c r="BK21" i="15"/>
  <c r="BK20" i="15"/>
  <c r="BK19" i="15"/>
  <c r="BK18" i="15"/>
  <c r="BK17" i="15"/>
  <c r="BK16" i="15"/>
  <c r="BK15" i="15"/>
  <c r="BK14" i="15"/>
  <c r="BK13" i="15"/>
  <c r="BK12" i="15"/>
  <c r="BK11" i="15"/>
  <c r="BK10" i="15"/>
  <c r="BK9" i="15"/>
  <c r="BK8" i="15"/>
  <c r="BK7" i="15"/>
  <c r="BK6" i="15"/>
  <c r="BK5" i="15"/>
  <c r="BK4" i="15"/>
  <c r="J7" i="20" l="1"/>
  <c r="AO30" i="20"/>
  <c r="AN30" i="20"/>
  <c r="AM30" i="20"/>
  <c r="AL30" i="20"/>
  <c r="AO29" i="20"/>
  <c r="AN29" i="20"/>
  <c r="AM29" i="20"/>
  <c r="AL29" i="20"/>
  <c r="AO28" i="20"/>
  <c r="AN28" i="20"/>
  <c r="AM28" i="20"/>
  <c r="AL28" i="20"/>
  <c r="AO27" i="20"/>
  <c r="AN27" i="20"/>
  <c r="AM27" i="20"/>
  <c r="AL27" i="20"/>
  <c r="AO26" i="20"/>
  <c r="AN26" i="20"/>
  <c r="AM26" i="20"/>
  <c r="AL26" i="20"/>
  <c r="AO25" i="20"/>
  <c r="AN25" i="20"/>
  <c r="AM25" i="20"/>
  <c r="AL25" i="20"/>
  <c r="AO24" i="20"/>
  <c r="AN24" i="20"/>
  <c r="AM24" i="20"/>
  <c r="AL24" i="20"/>
  <c r="AO23" i="20"/>
  <c r="AN23" i="20"/>
  <c r="AM23" i="20"/>
  <c r="AL23" i="20"/>
  <c r="AO22" i="20"/>
  <c r="AN22" i="20"/>
  <c r="AM22" i="20"/>
  <c r="AL22" i="20"/>
  <c r="AO21" i="20"/>
  <c r="AN21" i="20"/>
  <c r="AM21" i="20"/>
  <c r="AL21" i="20"/>
  <c r="AO20" i="20"/>
  <c r="AN20" i="20"/>
  <c r="AM20" i="20"/>
  <c r="AL20" i="20"/>
  <c r="AO19" i="20"/>
  <c r="AN19" i="20"/>
  <c r="AM19" i="20"/>
  <c r="AL19" i="20"/>
  <c r="AO18" i="20"/>
  <c r="AN18" i="20"/>
  <c r="AM18" i="20"/>
  <c r="AL18" i="20"/>
  <c r="AO17" i="20"/>
  <c r="AN17" i="20"/>
  <c r="AM17" i="20"/>
  <c r="AL17" i="20"/>
  <c r="AO16" i="20"/>
  <c r="AN16" i="20"/>
  <c r="AM16" i="20"/>
  <c r="AL16" i="20"/>
  <c r="AO15" i="20"/>
  <c r="AN15" i="20"/>
  <c r="AM15" i="20"/>
  <c r="AL15" i="20"/>
  <c r="AO14" i="20"/>
  <c r="AN14" i="20"/>
  <c r="AM14" i="20"/>
  <c r="AL14" i="20"/>
  <c r="AO13" i="20"/>
  <c r="AN13" i="20"/>
  <c r="AM13" i="20"/>
  <c r="AL13" i="20"/>
  <c r="AO12" i="20"/>
  <c r="AN12" i="20"/>
  <c r="AM12" i="20"/>
  <c r="AL12" i="20"/>
  <c r="AO11" i="20"/>
  <c r="AN11" i="20"/>
  <c r="AM11" i="20"/>
  <c r="AL11" i="20"/>
  <c r="AO10" i="20"/>
  <c r="AN10" i="20"/>
  <c r="AM10" i="20"/>
  <c r="AL10" i="20"/>
  <c r="AO9" i="20"/>
  <c r="AN9" i="20"/>
  <c r="AM9" i="20"/>
  <c r="AL9" i="20"/>
  <c r="AO8" i="20"/>
  <c r="AN8" i="20"/>
  <c r="AM8" i="20"/>
  <c r="AL8" i="20"/>
  <c r="AO7" i="20"/>
  <c r="AN7" i="20"/>
  <c r="AM7" i="20"/>
  <c r="AL7" i="20"/>
  <c r="AO6" i="20"/>
  <c r="AN6" i="20"/>
  <c r="AM6" i="20"/>
  <c r="AL6" i="20"/>
  <c r="AO5" i="20"/>
  <c r="AN5" i="20"/>
  <c r="AM5" i="20"/>
  <c r="AL5" i="20"/>
  <c r="AO4" i="20"/>
  <c r="AN4" i="20"/>
  <c r="AM4" i="20"/>
  <c r="AL4" i="20"/>
  <c r="Z30" i="20"/>
  <c r="Y30" i="20"/>
  <c r="X30" i="20"/>
  <c r="W30" i="20"/>
  <c r="V30" i="20"/>
  <c r="U30" i="20"/>
  <c r="T30" i="20"/>
  <c r="S30" i="20"/>
  <c r="R30" i="20"/>
  <c r="Z29" i="20"/>
  <c r="Y29" i="20"/>
  <c r="X29" i="20"/>
  <c r="W29" i="20"/>
  <c r="V29" i="20"/>
  <c r="U29" i="20"/>
  <c r="T29" i="20"/>
  <c r="S29" i="20"/>
  <c r="R29" i="20"/>
  <c r="Z28" i="20"/>
  <c r="Y28" i="20"/>
  <c r="X28" i="20"/>
  <c r="W28" i="20"/>
  <c r="V28" i="20"/>
  <c r="U28" i="20"/>
  <c r="T28" i="20"/>
  <c r="S28" i="20"/>
  <c r="R28" i="20"/>
  <c r="Z27" i="20"/>
  <c r="Y27" i="20"/>
  <c r="X27" i="20"/>
  <c r="W27" i="20"/>
  <c r="V27" i="20"/>
  <c r="U27" i="20"/>
  <c r="T27" i="20"/>
  <c r="S27" i="20"/>
  <c r="R27" i="20"/>
  <c r="Z26" i="20"/>
  <c r="Y26" i="20"/>
  <c r="X26" i="20"/>
  <c r="W26" i="20"/>
  <c r="V26" i="20"/>
  <c r="U26" i="20"/>
  <c r="T26" i="20"/>
  <c r="S26" i="20"/>
  <c r="R26" i="20"/>
  <c r="Z25" i="20"/>
  <c r="Y25" i="20"/>
  <c r="X25" i="20"/>
  <c r="W25" i="20"/>
  <c r="V25" i="20"/>
  <c r="U25" i="20"/>
  <c r="T25" i="20"/>
  <c r="S25" i="20"/>
  <c r="R25" i="20"/>
  <c r="Z24" i="20"/>
  <c r="Y24" i="20"/>
  <c r="X24" i="20"/>
  <c r="W24" i="20"/>
  <c r="V24" i="20"/>
  <c r="U24" i="20"/>
  <c r="T24" i="20"/>
  <c r="S24" i="20"/>
  <c r="R24" i="20"/>
  <c r="Z23" i="20"/>
  <c r="Y23" i="20"/>
  <c r="X23" i="20"/>
  <c r="W23" i="20"/>
  <c r="V23" i="20"/>
  <c r="U23" i="20"/>
  <c r="T23" i="20"/>
  <c r="S23" i="20"/>
  <c r="R23" i="20"/>
  <c r="Z22" i="20"/>
  <c r="Y22" i="20"/>
  <c r="X22" i="20"/>
  <c r="W22" i="20"/>
  <c r="V22" i="20"/>
  <c r="U22" i="20"/>
  <c r="T22" i="20"/>
  <c r="S22" i="20"/>
  <c r="R22" i="20"/>
  <c r="Z21" i="20"/>
  <c r="Y21" i="20"/>
  <c r="X21" i="20"/>
  <c r="W21" i="20"/>
  <c r="V21" i="20"/>
  <c r="U21" i="20"/>
  <c r="T21" i="20"/>
  <c r="S21" i="20"/>
  <c r="R21" i="20"/>
  <c r="Z20" i="20"/>
  <c r="Y20" i="20"/>
  <c r="X20" i="20"/>
  <c r="W20" i="20"/>
  <c r="V20" i="20"/>
  <c r="U20" i="20"/>
  <c r="T20" i="20"/>
  <c r="S20" i="20"/>
  <c r="R20" i="20"/>
  <c r="Z19" i="20"/>
  <c r="Y19" i="20"/>
  <c r="X19" i="20"/>
  <c r="W19" i="20"/>
  <c r="V19" i="20"/>
  <c r="U19" i="20"/>
  <c r="T19" i="20"/>
  <c r="S19" i="20"/>
  <c r="R19" i="20"/>
  <c r="Z18" i="20"/>
  <c r="Y18" i="20"/>
  <c r="X18" i="20"/>
  <c r="W18" i="20"/>
  <c r="V18" i="20"/>
  <c r="U18" i="20"/>
  <c r="T18" i="20"/>
  <c r="S18" i="20"/>
  <c r="R18" i="20"/>
  <c r="Z17" i="20"/>
  <c r="Y17" i="20"/>
  <c r="X17" i="20"/>
  <c r="W17" i="20"/>
  <c r="V17" i="20"/>
  <c r="U17" i="20"/>
  <c r="T17" i="20"/>
  <c r="S17" i="20"/>
  <c r="R17" i="20"/>
  <c r="Z16" i="20"/>
  <c r="Y16" i="20"/>
  <c r="X16" i="20"/>
  <c r="W16" i="20"/>
  <c r="V16" i="20"/>
  <c r="U16" i="20"/>
  <c r="T16" i="20"/>
  <c r="S16" i="20"/>
  <c r="R16" i="20"/>
  <c r="Z15" i="20"/>
  <c r="Y15" i="20"/>
  <c r="X15" i="20"/>
  <c r="W15" i="20"/>
  <c r="V15" i="20"/>
  <c r="U15" i="20"/>
  <c r="T15" i="20"/>
  <c r="S15" i="20"/>
  <c r="R15" i="20"/>
  <c r="Z14" i="20"/>
  <c r="Y14" i="20"/>
  <c r="X14" i="20"/>
  <c r="W14" i="20"/>
  <c r="V14" i="20"/>
  <c r="U14" i="20"/>
  <c r="T14" i="20"/>
  <c r="S14" i="20"/>
  <c r="R14" i="20"/>
  <c r="Z13" i="20"/>
  <c r="Y13" i="20"/>
  <c r="X13" i="20"/>
  <c r="W13" i="20"/>
  <c r="V13" i="20"/>
  <c r="U13" i="20"/>
  <c r="T13" i="20"/>
  <c r="S13" i="20"/>
  <c r="R13" i="20"/>
  <c r="Z12" i="20"/>
  <c r="Y12" i="20"/>
  <c r="X12" i="20"/>
  <c r="W12" i="20"/>
  <c r="V12" i="20"/>
  <c r="U12" i="20"/>
  <c r="T12" i="20"/>
  <c r="S12" i="20"/>
  <c r="R12" i="20"/>
  <c r="Z11" i="20"/>
  <c r="Y11" i="20"/>
  <c r="X11" i="20"/>
  <c r="W11" i="20"/>
  <c r="V11" i="20"/>
  <c r="U11" i="20"/>
  <c r="T11" i="20"/>
  <c r="S11" i="20"/>
  <c r="R11" i="20"/>
  <c r="Z10" i="20"/>
  <c r="Y10" i="20"/>
  <c r="X10" i="20"/>
  <c r="W10" i="20"/>
  <c r="V10" i="20"/>
  <c r="U10" i="20"/>
  <c r="T10" i="20"/>
  <c r="S10" i="20"/>
  <c r="R10" i="20"/>
  <c r="Z9" i="20"/>
  <c r="Y9" i="20"/>
  <c r="X9" i="20"/>
  <c r="W9" i="20"/>
  <c r="V9" i="20"/>
  <c r="U9" i="20"/>
  <c r="T9" i="20"/>
  <c r="S9" i="20"/>
  <c r="R9" i="20"/>
  <c r="Z8" i="20"/>
  <c r="Y8" i="20"/>
  <c r="X8" i="20"/>
  <c r="W8" i="20"/>
  <c r="V8" i="20"/>
  <c r="U8" i="20"/>
  <c r="T8" i="20"/>
  <c r="S8" i="20"/>
  <c r="R8" i="20"/>
  <c r="Z7" i="20"/>
  <c r="Y7" i="20"/>
  <c r="X7" i="20"/>
  <c r="W7" i="20"/>
  <c r="V7" i="20"/>
  <c r="U7" i="20"/>
  <c r="T7" i="20"/>
  <c r="S7" i="20"/>
  <c r="R7" i="20"/>
  <c r="Z6" i="20"/>
  <c r="Y6" i="20"/>
  <c r="X6" i="20"/>
  <c r="W6" i="20"/>
  <c r="V6" i="20"/>
  <c r="U6" i="20"/>
  <c r="T6" i="20"/>
  <c r="S6" i="20"/>
  <c r="R6" i="20"/>
  <c r="Z5" i="20"/>
  <c r="Y5" i="20"/>
  <c r="X5" i="20"/>
  <c r="W5" i="20"/>
  <c r="V5" i="20"/>
  <c r="U5" i="20"/>
  <c r="T5" i="20"/>
  <c r="S5" i="20"/>
  <c r="R5" i="20"/>
  <c r="Z4" i="20"/>
  <c r="Y4" i="20"/>
  <c r="X4" i="20"/>
  <c r="W4" i="20"/>
  <c r="V4" i="20"/>
  <c r="U4" i="20"/>
  <c r="T4" i="20"/>
  <c r="S4" i="20"/>
  <c r="R4" i="20"/>
  <c r="J30" i="20"/>
  <c r="I30" i="20"/>
  <c r="H30" i="20"/>
  <c r="G30" i="20"/>
  <c r="F30" i="20"/>
  <c r="E30" i="20"/>
  <c r="D30" i="20"/>
  <c r="C30" i="20"/>
  <c r="B30" i="20"/>
  <c r="J29" i="20"/>
  <c r="I29" i="20"/>
  <c r="H29" i="20"/>
  <c r="G29" i="20"/>
  <c r="F29" i="20"/>
  <c r="E29" i="20"/>
  <c r="D29" i="20"/>
  <c r="C29" i="20"/>
  <c r="B29" i="20"/>
  <c r="J28" i="20"/>
  <c r="I28" i="20"/>
  <c r="H28" i="20"/>
  <c r="G28" i="20"/>
  <c r="F28" i="20"/>
  <c r="E28" i="20"/>
  <c r="D28" i="20"/>
  <c r="C28" i="20"/>
  <c r="B28" i="20"/>
  <c r="J27" i="20"/>
  <c r="I27" i="20"/>
  <c r="H27" i="20"/>
  <c r="G27" i="20"/>
  <c r="F27" i="20"/>
  <c r="E27" i="20"/>
  <c r="D27" i="20"/>
  <c r="C27" i="20"/>
  <c r="B27" i="20"/>
  <c r="J26" i="20"/>
  <c r="I26" i="20"/>
  <c r="H26" i="20"/>
  <c r="G26" i="20"/>
  <c r="F26" i="20"/>
  <c r="E26" i="20"/>
  <c r="D26" i="20"/>
  <c r="C26" i="20"/>
  <c r="B26" i="20"/>
  <c r="J25" i="20"/>
  <c r="I25" i="20"/>
  <c r="H25" i="20"/>
  <c r="G25" i="20"/>
  <c r="F25" i="20"/>
  <c r="E25" i="20"/>
  <c r="D25" i="20"/>
  <c r="C25" i="20"/>
  <c r="B25" i="20"/>
  <c r="J24" i="20"/>
  <c r="I24" i="20"/>
  <c r="H24" i="20"/>
  <c r="G24" i="20"/>
  <c r="F24" i="20"/>
  <c r="E24" i="20"/>
  <c r="D24" i="20"/>
  <c r="C24" i="20"/>
  <c r="B24" i="20"/>
  <c r="J23" i="20"/>
  <c r="I23" i="20"/>
  <c r="H23" i="20"/>
  <c r="G23" i="20"/>
  <c r="F23" i="20"/>
  <c r="E23" i="20"/>
  <c r="D23" i="20"/>
  <c r="C23" i="20"/>
  <c r="B23" i="20"/>
  <c r="J22" i="20"/>
  <c r="I22" i="20"/>
  <c r="H22" i="20"/>
  <c r="G22" i="20"/>
  <c r="F22" i="20"/>
  <c r="E22" i="20"/>
  <c r="D22" i="20"/>
  <c r="C22" i="20"/>
  <c r="B22" i="20"/>
  <c r="J21" i="20"/>
  <c r="I21" i="20"/>
  <c r="H21" i="20"/>
  <c r="G21" i="20"/>
  <c r="F21" i="20"/>
  <c r="E21" i="20"/>
  <c r="D21" i="20"/>
  <c r="C21" i="20"/>
  <c r="B21" i="20"/>
  <c r="J20" i="20"/>
  <c r="I20" i="20"/>
  <c r="H20" i="20"/>
  <c r="G20" i="20"/>
  <c r="F20" i="20"/>
  <c r="E20" i="20"/>
  <c r="D20" i="20"/>
  <c r="C20" i="20"/>
  <c r="B20" i="20"/>
  <c r="J19" i="20"/>
  <c r="I19" i="20"/>
  <c r="H19" i="20"/>
  <c r="G19" i="20"/>
  <c r="F19" i="20"/>
  <c r="E19" i="20"/>
  <c r="D19" i="20"/>
  <c r="C19" i="20"/>
  <c r="B19" i="20"/>
  <c r="J18" i="20"/>
  <c r="I18" i="20"/>
  <c r="H18" i="20"/>
  <c r="G18" i="20"/>
  <c r="F18" i="20"/>
  <c r="E18" i="20"/>
  <c r="D18" i="20"/>
  <c r="C18" i="20"/>
  <c r="B18" i="20"/>
  <c r="J17" i="20"/>
  <c r="I17" i="20"/>
  <c r="H17" i="20"/>
  <c r="G17" i="20"/>
  <c r="F17" i="20"/>
  <c r="E17" i="20"/>
  <c r="D17" i="20"/>
  <c r="C17" i="20"/>
  <c r="B17" i="20"/>
  <c r="J16" i="20"/>
  <c r="I16" i="20"/>
  <c r="H16" i="20"/>
  <c r="G16" i="20"/>
  <c r="F16" i="20"/>
  <c r="E16" i="20"/>
  <c r="D16" i="20"/>
  <c r="C16" i="20"/>
  <c r="B16" i="20"/>
  <c r="J15" i="20"/>
  <c r="I15" i="20"/>
  <c r="H15" i="20"/>
  <c r="G15" i="20"/>
  <c r="F15" i="20"/>
  <c r="E15" i="20"/>
  <c r="D15" i="20"/>
  <c r="C15" i="20"/>
  <c r="B15" i="20"/>
  <c r="J14" i="20"/>
  <c r="I14" i="20"/>
  <c r="H14" i="20"/>
  <c r="G14" i="20"/>
  <c r="F14" i="20"/>
  <c r="E14" i="20"/>
  <c r="D14" i="20"/>
  <c r="C14" i="20"/>
  <c r="B14" i="20"/>
  <c r="J13" i="20"/>
  <c r="I13" i="20"/>
  <c r="H13" i="20"/>
  <c r="G13" i="20"/>
  <c r="F13" i="20"/>
  <c r="E13" i="20"/>
  <c r="D13" i="20"/>
  <c r="C13" i="20"/>
  <c r="B13" i="20"/>
  <c r="J12" i="20"/>
  <c r="I12" i="20"/>
  <c r="H12" i="20"/>
  <c r="G12" i="20"/>
  <c r="F12" i="20"/>
  <c r="E12" i="20"/>
  <c r="D12" i="20"/>
  <c r="C12" i="20"/>
  <c r="B12" i="20"/>
  <c r="J11" i="20"/>
  <c r="I11" i="20"/>
  <c r="H11" i="20"/>
  <c r="G11" i="20"/>
  <c r="F11" i="20"/>
  <c r="E11" i="20"/>
  <c r="D11" i="20"/>
  <c r="C11" i="20"/>
  <c r="B11" i="20"/>
  <c r="J10" i="20"/>
  <c r="I10" i="20"/>
  <c r="H10" i="20"/>
  <c r="G10" i="20"/>
  <c r="F10" i="20"/>
  <c r="E10" i="20"/>
  <c r="D10" i="20"/>
  <c r="C10" i="20"/>
  <c r="B10" i="20"/>
  <c r="J9" i="20"/>
  <c r="I9" i="20"/>
  <c r="H9" i="20"/>
  <c r="G9" i="20"/>
  <c r="F9" i="20"/>
  <c r="E9" i="20"/>
  <c r="D9" i="20"/>
  <c r="C9" i="20"/>
  <c r="B9" i="20"/>
  <c r="J8" i="20"/>
  <c r="I8" i="20"/>
  <c r="H8" i="20"/>
  <c r="G8" i="20"/>
  <c r="F8" i="20"/>
  <c r="E8" i="20"/>
  <c r="D8" i="20"/>
  <c r="C8" i="20"/>
  <c r="B8" i="20"/>
  <c r="I7" i="20"/>
  <c r="H7" i="20"/>
  <c r="G7" i="20"/>
  <c r="F7" i="20"/>
  <c r="E7" i="20"/>
  <c r="D7" i="20"/>
  <c r="C7" i="20"/>
  <c r="B7" i="20"/>
  <c r="J6" i="20"/>
  <c r="I6" i="20"/>
  <c r="H6" i="20"/>
  <c r="G6" i="20"/>
  <c r="F6" i="20"/>
  <c r="E6" i="20"/>
  <c r="D6" i="20"/>
  <c r="C6" i="20"/>
  <c r="B6" i="20"/>
  <c r="J5" i="20"/>
  <c r="M5" i="20" s="1"/>
  <c r="I5" i="20"/>
  <c r="H5" i="20"/>
  <c r="G5" i="20"/>
  <c r="F5" i="20"/>
  <c r="E5" i="20"/>
  <c r="D5" i="20"/>
  <c r="C5" i="20"/>
  <c r="B5" i="20"/>
  <c r="J4" i="20"/>
  <c r="J3" i="20"/>
  <c r="Z3" i="20" s="1"/>
  <c r="AO3" i="20" s="1"/>
  <c r="I3" i="20"/>
  <c r="Y3" i="20" s="1"/>
  <c r="AN3" i="20" s="1"/>
  <c r="H3" i="20"/>
  <c r="X3" i="20" s="1"/>
  <c r="AM3" i="20" s="1"/>
  <c r="G3" i="20"/>
  <c r="W3" i="20" s="1"/>
  <c r="AL3" i="20" s="1"/>
  <c r="F3" i="20"/>
  <c r="V3" i="20" s="1"/>
  <c r="E3" i="20"/>
  <c r="U3" i="20" s="1"/>
  <c r="D3" i="20"/>
  <c r="T3" i="20" s="1"/>
  <c r="C3" i="20"/>
  <c r="S3" i="20" s="1"/>
  <c r="B3" i="20"/>
  <c r="R3" i="20" s="1"/>
  <c r="I4" i="20"/>
  <c r="D29" i="36"/>
  <c r="D28" i="36"/>
  <c r="D26" i="36"/>
  <c r="D25" i="36"/>
  <c r="D24" i="36"/>
  <c r="D23" i="36"/>
  <c r="D22" i="36"/>
  <c r="D13" i="36"/>
  <c r="D12" i="36"/>
  <c r="D11" i="36"/>
  <c r="D10" i="36"/>
  <c r="D9" i="36"/>
  <c r="D8" i="36"/>
  <c r="D7" i="36"/>
  <c r="D6" i="36"/>
  <c r="D5" i="36"/>
  <c r="D4" i="36"/>
  <c r="D3" i="36"/>
  <c r="C28" i="36"/>
  <c r="C26" i="36"/>
  <c r="C25" i="36"/>
  <c r="C24" i="36"/>
  <c r="C23" i="36"/>
  <c r="C22" i="36"/>
  <c r="C21" i="36"/>
  <c r="C20" i="36"/>
  <c r="C19" i="36"/>
  <c r="C18" i="36"/>
  <c r="C17" i="36"/>
  <c r="C16" i="36"/>
  <c r="C15" i="36"/>
  <c r="C14" i="36"/>
  <c r="C13" i="36"/>
  <c r="C12" i="36"/>
  <c r="C11" i="36"/>
  <c r="C10" i="36"/>
  <c r="C9" i="36"/>
  <c r="C8" i="36"/>
  <c r="C7" i="36"/>
  <c r="C6" i="36"/>
  <c r="C5" i="36"/>
  <c r="C4" i="36"/>
  <c r="C3" i="36"/>
  <c r="M4" i="20" l="1"/>
  <c r="L30" i="20"/>
  <c r="AR4" i="20"/>
  <c r="AR5" i="20"/>
  <c r="AR6" i="20"/>
  <c r="AR7" i="20"/>
  <c r="AR8" i="20"/>
  <c r="AR9" i="20"/>
  <c r="AR10" i="20"/>
  <c r="AR11" i="20"/>
  <c r="AR12" i="20"/>
  <c r="AR13" i="20"/>
  <c r="AR14" i="20"/>
  <c r="AR15" i="20"/>
  <c r="AR16" i="20"/>
  <c r="AR17" i="20"/>
  <c r="AR18" i="20"/>
  <c r="AR19" i="20"/>
  <c r="AR20" i="20"/>
  <c r="AR21" i="20"/>
  <c r="AR22" i="20"/>
  <c r="AR23" i="20"/>
  <c r="AR24" i="20"/>
  <c r="AR25" i="20"/>
  <c r="AR26" i="20"/>
  <c r="AR27" i="20"/>
  <c r="AR28" i="20"/>
  <c r="AR29" i="20"/>
  <c r="AR30" i="20"/>
  <c r="AB30" i="20"/>
  <c r="AB30" i="1"/>
  <c r="C29" i="36"/>
  <c r="C2" i="36"/>
  <c r="G2" i="36" s="1"/>
  <c r="AE4" i="20"/>
  <c r="AF4" i="20"/>
  <c r="AD4" i="20"/>
  <c r="M11" i="20"/>
  <c r="M21" i="20"/>
  <c r="M6" i="20"/>
  <c r="M9" i="20"/>
  <c r="M28" i="20"/>
  <c r="M23" i="20"/>
  <c r="M13" i="20"/>
  <c r="L28" i="20"/>
  <c r="M14" i="20"/>
  <c r="M16" i="20"/>
  <c r="M20" i="20"/>
  <c r="M24" i="20"/>
  <c r="M17" i="20"/>
  <c r="M19" i="20"/>
  <c r="M27" i="20"/>
  <c r="D14" i="36"/>
  <c r="D15" i="36"/>
  <c r="D16" i="36"/>
  <c r="D17" i="36"/>
  <c r="D18" i="36"/>
  <c r="D19" i="36"/>
  <c r="D20" i="36"/>
  <c r="D21" i="36"/>
  <c r="M25" i="20"/>
  <c r="M29" i="20"/>
  <c r="L5" i="20"/>
  <c r="AD17" i="20"/>
  <c r="AD29" i="20"/>
  <c r="D2" i="36"/>
  <c r="H2" i="36" s="1"/>
  <c r="AD16" i="20"/>
  <c r="AD20" i="20"/>
  <c r="AD24" i="20"/>
  <c r="M15" i="20"/>
  <c r="M10" i="20"/>
  <c r="M18" i="20"/>
  <c r="M26" i="20"/>
  <c r="M30" i="20"/>
  <c r="M7" i="20"/>
  <c r="M8" i="20"/>
  <c r="M12" i="20"/>
  <c r="M22" i="20"/>
  <c r="AD28" i="20"/>
  <c r="AD27" i="20"/>
  <c r="AD7" i="20"/>
  <c r="AD8" i="20"/>
  <c r="AD12" i="20"/>
  <c r="AD9" i="20"/>
  <c r="AD13" i="20"/>
  <c r="AD5" i="20"/>
  <c r="AD21" i="20"/>
  <c r="AD25" i="20"/>
  <c r="AD11" i="20"/>
  <c r="AD15" i="20"/>
  <c r="AD19" i="20"/>
  <c r="AD23" i="20"/>
  <c r="AD6" i="20"/>
  <c r="AD10" i="20"/>
  <c r="AD14" i="20"/>
  <c r="AD18" i="20"/>
  <c r="AD22" i="20"/>
  <c r="AD26" i="20"/>
  <c r="AD30" i="20"/>
  <c r="L6" i="20"/>
  <c r="L7" i="20"/>
  <c r="L10" i="20"/>
  <c r="L11" i="20"/>
  <c r="L14" i="20"/>
  <c r="L15" i="20"/>
  <c r="L18" i="20"/>
  <c r="L19" i="20"/>
  <c r="L20" i="20"/>
  <c r="L22" i="20"/>
  <c r="L23" i="20"/>
  <c r="L24" i="20"/>
  <c r="L26" i="20"/>
  <c r="L27" i="20"/>
  <c r="L8" i="20"/>
  <c r="L9" i="20"/>
  <c r="L12" i="20"/>
  <c r="L13" i="20"/>
  <c r="L16" i="20"/>
  <c r="L17" i="20"/>
  <c r="L21" i="20"/>
  <c r="L25" i="20"/>
  <c r="L29" i="20"/>
  <c r="B29" i="36"/>
  <c r="B23" i="36"/>
  <c r="B13" i="36"/>
  <c r="AQ4" i="1" l="1"/>
  <c r="AC4" i="1"/>
  <c r="B4" i="36"/>
  <c r="B8" i="36"/>
  <c r="B12" i="36"/>
  <c r="B16" i="36"/>
  <c r="B20" i="36"/>
  <c r="B24" i="36"/>
  <c r="B3" i="36"/>
  <c r="B5" i="36"/>
  <c r="B9" i="36"/>
  <c r="B17" i="36"/>
  <c r="B21" i="36"/>
  <c r="B25" i="36"/>
  <c r="B7" i="36"/>
  <c r="B11" i="36"/>
  <c r="B2" i="36"/>
  <c r="B6" i="36"/>
  <c r="B10" i="36"/>
  <c r="B14" i="36"/>
  <c r="B18" i="36"/>
  <c r="B22" i="36"/>
  <c r="B26" i="36"/>
  <c r="B15" i="36"/>
  <c r="B19" i="36"/>
  <c r="B28" i="36"/>
  <c r="R2" i="35" l="1"/>
  <c r="V2" i="35" s="1"/>
  <c r="AH2" i="35" s="1"/>
  <c r="Q2" i="35"/>
  <c r="U2" i="35" s="1"/>
  <c r="AG2" i="35" s="1"/>
  <c r="P2" i="35"/>
  <c r="T2" i="35" s="1"/>
  <c r="AF2" i="35" s="1"/>
  <c r="O2" i="35"/>
  <c r="S2" i="35" s="1"/>
  <c r="AE2" i="35" s="1"/>
  <c r="AA2" i="35" l="1"/>
  <c r="W2" i="35"/>
  <c r="AI2" i="35" s="1"/>
  <c r="AB2" i="35"/>
  <c r="X2" i="35"/>
  <c r="AJ2" i="35" s="1"/>
  <c r="AC2" i="35"/>
  <c r="Y2" i="35"/>
  <c r="AK2" i="35" s="1"/>
  <c r="AD2" i="35"/>
  <c r="Z2" i="35"/>
  <c r="AL2" i="35" s="1"/>
  <c r="A47" i="19" l="1"/>
  <c r="A46" i="19"/>
  <c r="A45" i="19"/>
  <c r="H24" i="30" l="1"/>
  <c r="G24" i="30"/>
  <c r="F24" i="30"/>
  <c r="E24" i="30"/>
  <c r="D24" i="30"/>
  <c r="C24" i="30"/>
  <c r="B24" i="30"/>
  <c r="B7" i="28" l="1"/>
  <c r="G7" i="28" l="1"/>
  <c r="H7" i="28"/>
  <c r="I7" i="28"/>
  <c r="D7" i="28" l="1"/>
  <c r="H5" i="26" l="1"/>
  <c r="A336" i="19" l="1"/>
  <c r="A335" i="19"/>
  <c r="A315" i="19"/>
  <c r="A314" i="19"/>
  <c r="I315" i="19" l="1"/>
  <c r="I314" i="19"/>
  <c r="F7" i="28" l="1"/>
  <c r="E7" i="28"/>
  <c r="C7" i="28"/>
  <c r="G5" i="26"/>
  <c r="F5" i="26"/>
  <c r="E5" i="26"/>
  <c r="D5" i="26"/>
  <c r="C5" i="26"/>
  <c r="B5" i="26"/>
  <c r="Q3" i="1" l="1"/>
  <c r="A3" i="1"/>
  <c r="B3" i="1"/>
  <c r="C3" i="1"/>
  <c r="D3" i="1"/>
  <c r="E3" i="1"/>
  <c r="F3" i="1"/>
  <c r="G3" i="1"/>
  <c r="H3" i="1"/>
  <c r="J3" i="1"/>
  <c r="BE3" i="14" l="1"/>
  <c r="BF3" i="14"/>
  <c r="BG3" i="14"/>
  <c r="BE4" i="14"/>
  <c r="BF4" i="14"/>
  <c r="BG4" i="14"/>
  <c r="BE5" i="14"/>
  <c r="BF5" i="14"/>
  <c r="BG5" i="14"/>
  <c r="BE6" i="14"/>
  <c r="BF6" i="14"/>
  <c r="BG6" i="14"/>
  <c r="BE7" i="14"/>
  <c r="BF7" i="14"/>
  <c r="BG7" i="14"/>
  <c r="BE8" i="14"/>
  <c r="BF8" i="14"/>
  <c r="BG8" i="14"/>
  <c r="BE9" i="14"/>
  <c r="BF9" i="14"/>
  <c r="BG9" i="14"/>
  <c r="BE10" i="14"/>
  <c r="BF10" i="14"/>
  <c r="BG10" i="14"/>
  <c r="BE11" i="14"/>
  <c r="BF11" i="14"/>
  <c r="BG11" i="14"/>
  <c r="BE12" i="14"/>
  <c r="BF12" i="14"/>
  <c r="BG12" i="14"/>
  <c r="BE13" i="14"/>
  <c r="BF13" i="14"/>
  <c r="BG13" i="14"/>
  <c r="BE14" i="14"/>
  <c r="BF14" i="14"/>
  <c r="BG14" i="14"/>
  <c r="BE15" i="14"/>
  <c r="BF15" i="14"/>
  <c r="BG15" i="14"/>
  <c r="BE16" i="14"/>
  <c r="BF16" i="14"/>
  <c r="BG16" i="14"/>
  <c r="BE17" i="14"/>
  <c r="BF17" i="14"/>
  <c r="BG17" i="14"/>
  <c r="BE18" i="14"/>
  <c r="BF18" i="14"/>
  <c r="BG18" i="14"/>
  <c r="BE19" i="14"/>
  <c r="BF19" i="14"/>
  <c r="BG19" i="14"/>
  <c r="BE20" i="14"/>
  <c r="BF20" i="14"/>
  <c r="BG20" i="14"/>
  <c r="BE21" i="14"/>
  <c r="BF21" i="14"/>
  <c r="BG21" i="14"/>
  <c r="BE22" i="14"/>
  <c r="BF22" i="14"/>
  <c r="BG22" i="14"/>
  <c r="BE23" i="14"/>
  <c r="BF23" i="14"/>
  <c r="BG23" i="14"/>
  <c r="BE24" i="14"/>
  <c r="BF24" i="14"/>
  <c r="BG24" i="14"/>
  <c r="BE25" i="14"/>
  <c r="BF25" i="14"/>
  <c r="BG25" i="14"/>
  <c r="BE26" i="14"/>
  <c r="BF26" i="14"/>
  <c r="BG26" i="14"/>
  <c r="BE27" i="14"/>
  <c r="BF27" i="14"/>
  <c r="BG27" i="14"/>
  <c r="BE28" i="14"/>
  <c r="BF28" i="14"/>
  <c r="BG28" i="14"/>
  <c r="BE29" i="14"/>
  <c r="BF29" i="14"/>
  <c r="BG29" i="14"/>
  <c r="BE30" i="14"/>
  <c r="BF30" i="14"/>
  <c r="BG30" i="14"/>
  <c r="BE31" i="14"/>
  <c r="BF31" i="14"/>
  <c r="BG31" i="14"/>
  <c r="BE32" i="14"/>
  <c r="BF32" i="14"/>
  <c r="BG32" i="14"/>
  <c r="BE33" i="14"/>
  <c r="BF33" i="14"/>
  <c r="BG33" i="14"/>
  <c r="BE34" i="14"/>
  <c r="BF34" i="14"/>
  <c r="BG34" i="14"/>
  <c r="BE35" i="14"/>
  <c r="BF35" i="14"/>
  <c r="BG35" i="14"/>
  <c r="BE36" i="14"/>
  <c r="BF36" i="14"/>
  <c r="BG36" i="14"/>
  <c r="BE37" i="14"/>
  <c r="BF37" i="14"/>
  <c r="BG37" i="14"/>
  <c r="BE38" i="14"/>
  <c r="BF38" i="14"/>
  <c r="BG38" i="14"/>
  <c r="BE39" i="14"/>
  <c r="BF39" i="14"/>
  <c r="BG39" i="14"/>
  <c r="BE40" i="14"/>
  <c r="BF40" i="14"/>
  <c r="BG40" i="14"/>
  <c r="BE41" i="14"/>
  <c r="BF41" i="14"/>
  <c r="BG41" i="14"/>
  <c r="BE42" i="14"/>
  <c r="BF42" i="14"/>
  <c r="BG42" i="14"/>
  <c r="BE43" i="14"/>
  <c r="BF43" i="14"/>
  <c r="BG43" i="14"/>
  <c r="BE44" i="14"/>
  <c r="BF44" i="14"/>
  <c r="BG44" i="14"/>
  <c r="BE45" i="14"/>
  <c r="BF45" i="14"/>
  <c r="BG45" i="14"/>
  <c r="BE46" i="14"/>
  <c r="BF46" i="14"/>
  <c r="BG46" i="14"/>
  <c r="BE47" i="14"/>
  <c r="BF47" i="14"/>
  <c r="BG47" i="14"/>
  <c r="BE48" i="14"/>
  <c r="BF48" i="14"/>
  <c r="BG48" i="14"/>
  <c r="BE49" i="14"/>
  <c r="BF49" i="14"/>
  <c r="BG49" i="14"/>
  <c r="BE50" i="14"/>
  <c r="BF50" i="14"/>
  <c r="BG50" i="14"/>
  <c r="BE51" i="14"/>
  <c r="BF51" i="14"/>
  <c r="BG51" i="14"/>
  <c r="BE52" i="14"/>
  <c r="BF52" i="14"/>
  <c r="BG52" i="14"/>
  <c r="BE53" i="14"/>
  <c r="BF53" i="14"/>
  <c r="BG53" i="14"/>
  <c r="BE54" i="14"/>
  <c r="BF54" i="14"/>
  <c r="BG54" i="14"/>
  <c r="BE55" i="14"/>
  <c r="BF55" i="14"/>
  <c r="BG55" i="14"/>
  <c r="BE56" i="14"/>
  <c r="BF56" i="14"/>
  <c r="BG56" i="14"/>
  <c r="BE57" i="14"/>
  <c r="BF57" i="14"/>
  <c r="BG57" i="14"/>
  <c r="BE58" i="14"/>
  <c r="BF58" i="14"/>
  <c r="BG58" i="14"/>
  <c r="BE59" i="14"/>
  <c r="BF59" i="14"/>
  <c r="BG59" i="14"/>
  <c r="BE60" i="14"/>
  <c r="BF60" i="14"/>
  <c r="BG60" i="14"/>
  <c r="BE61" i="14"/>
  <c r="BF61" i="14"/>
  <c r="BG61" i="14"/>
  <c r="BE62" i="14"/>
  <c r="BF62" i="14"/>
  <c r="BG62" i="14"/>
  <c r="BE63" i="14"/>
  <c r="BF63" i="14"/>
  <c r="BG63" i="14"/>
  <c r="BE64" i="14"/>
  <c r="BF64" i="14"/>
  <c r="BG64" i="14"/>
  <c r="BE65" i="14"/>
  <c r="BF65" i="14"/>
  <c r="BG65" i="14"/>
  <c r="BE66" i="14"/>
  <c r="BF66" i="14"/>
  <c r="BG66" i="14"/>
  <c r="BE67" i="14"/>
  <c r="BF67" i="14"/>
  <c r="BG67" i="14"/>
  <c r="BE68" i="14"/>
  <c r="BF68" i="14"/>
  <c r="BG68" i="14"/>
  <c r="BE69" i="14"/>
  <c r="BF69" i="14"/>
  <c r="BG69" i="14"/>
  <c r="BE70" i="14"/>
  <c r="BF70" i="14"/>
  <c r="BG70" i="14"/>
  <c r="BE71" i="14"/>
  <c r="BF71" i="14"/>
  <c r="BG71" i="14"/>
  <c r="BE72" i="14"/>
  <c r="BF72" i="14"/>
  <c r="BG72" i="14"/>
  <c r="BE73" i="14"/>
  <c r="BF73" i="14"/>
  <c r="BG73" i="14"/>
  <c r="BE74" i="14"/>
  <c r="BF74" i="14"/>
  <c r="BG74" i="14"/>
  <c r="BE75" i="14"/>
  <c r="BF75" i="14"/>
  <c r="BG75" i="14"/>
  <c r="BE76" i="14"/>
  <c r="BF76" i="14"/>
  <c r="BG76" i="14"/>
  <c r="BE77" i="14"/>
  <c r="BF77" i="14"/>
  <c r="BG77" i="14"/>
  <c r="BE78" i="14"/>
  <c r="BF78" i="14"/>
  <c r="BG78" i="14"/>
  <c r="BE79" i="14"/>
  <c r="BF79" i="14"/>
  <c r="BG79" i="14"/>
  <c r="BE80" i="14"/>
  <c r="BF80" i="14"/>
  <c r="BG80" i="14"/>
  <c r="BE81" i="14"/>
  <c r="BF81" i="14"/>
  <c r="BG81" i="14"/>
  <c r="BE82" i="14"/>
  <c r="BF82" i="14"/>
  <c r="BG82" i="14"/>
  <c r="BE83" i="14"/>
  <c r="BF83" i="14"/>
  <c r="BG83" i="14"/>
  <c r="BE84" i="14"/>
  <c r="BF84" i="14"/>
  <c r="BG84" i="14"/>
  <c r="BE85" i="14"/>
  <c r="BF85" i="14"/>
  <c r="BG85" i="14"/>
  <c r="BE86" i="14"/>
  <c r="BF86" i="14"/>
  <c r="BG86" i="14"/>
  <c r="BE87" i="14"/>
  <c r="BF87" i="14"/>
  <c r="BG87" i="14"/>
  <c r="BE88" i="14"/>
  <c r="BF88" i="14"/>
  <c r="BG88" i="14"/>
  <c r="BE89" i="14"/>
  <c r="BF89" i="14"/>
  <c r="BG89" i="14"/>
  <c r="BE90" i="14"/>
  <c r="BF90" i="14"/>
  <c r="BG90" i="14"/>
  <c r="BE91" i="14"/>
  <c r="BF91" i="14"/>
  <c r="BG91" i="14"/>
  <c r="BE92" i="14"/>
  <c r="BF92" i="14"/>
  <c r="BG92" i="14"/>
  <c r="BE93" i="14"/>
  <c r="BF93" i="14"/>
  <c r="BG93" i="14"/>
  <c r="BE94" i="14"/>
  <c r="BF94" i="14"/>
  <c r="BG94" i="14"/>
  <c r="BE95" i="14"/>
  <c r="BF95" i="14"/>
  <c r="BG95" i="14"/>
  <c r="BE96" i="14"/>
  <c r="BF96" i="14"/>
  <c r="BG96" i="14"/>
  <c r="BE97" i="14"/>
  <c r="BF97" i="14"/>
  <c r="BG97" i="14"/>
  <c r="BE98" i="14"/>
  <c r="BF98" i="14"/>
  <c r="BG98" i="14"/>
  <c r="BE99" i="14"/>
  <c r="BF99" i="14"/>
  <c r="BG99" i="14"/>
  <c r="BE100" i="14"/>
  <c r="BF100" i="14"/>
  <c r="BG100" i="14"/>
  <c r="BE101" i="14"/>
  <c r="BF101" i="14"/>
  <c r="BG101" i="14"/>
  <c r="BE102" i="14"/>
  <c r="BF102" i="14"/>
  <c r="BG102" i="14"/>
  <c r="BE103" i="14"/>
  <c r="BF103" i="14"/>
  <c r="BG103" i="14"/>
  <c r="BE104" i="14"/>
  <c r="BF104" i="14"/>
  <c r="BG104" i="14"/>
  <c r="BE105" i="14"/>
  <c r="BF105" i="14"/>
  <c r="BG105" i="14"/>
  <c r="BE106" i="14"/>
  <c r="BF106" i="14"/>
  <c r="BG106" i="14"/>
  <c r="BE107" i="14"/>
  <c r="BF107" i="14"/>
  <c r="BG107" i="14"/>
  <c r="BE108" i="14"/>
  <c r="BF108" i="14"/>
  <c r="BG108" i="14"/>
  <c r="BE109" i="14"/>
  <c r="BF109" i="14"/>
  <c r="BG109" i="14"/>
  <c r="BE110" i="14"/>
  <c r="BF110" i="14"/>
  <c r="BG110" i="14"/>
  <c r="BE111" i="14"/>
  <c r="BF111" i="14"/>
  <c r="BG111" i="14"/>
  <c r="BE112" i="14"/>
  <c r="BF112" i="14"/>
  <c r="BG112" i="14"/>
  <c r="BE113" i="14"/>
  <c r="BF113" i="14"/>
  <c r="BG113" i="14"/>
  <c r="BE114" i="14"/>
  <c r="BF114" i="14"/>
  <c r="BG114" i="14"/>
  <c r="BE115" i="14"/>
  <c r="BF115" i="14"/>
  <c r="BG115" i="14"/>
  <c r="BE116" i="14"/>
  <c r="BF116" i="14"/>
  <c r="BG116" i="14"/>
  <c r="BE117" i="14"/>
  <c r="BF117" i="14"/>
  <c r="BG117" i="14"/>
  <c r="BE118" i="14"/>
  <c r="BF118" i="14"/>
  <c r="BG118" i="14"/>
  <c r="BE119" i="14"/>
  <c r="BF119" i="14"/>
  <c r="BG119" i="14"/>
  <c r="BE120" i="14"/>
  <c r="BF120" i="14"/>
  <c r="BG120" i="14"/>
  <c r="BE121" i="14"/>
  <c r="BF121" i="14"/>
  <c r="BG121" i="14"/>
  <c r="BE122" i="14"/>
  <c r="BF122" i="14"/>
  <c r="BG122" i="14"/>
  <c r="BE123" i="14"/>
  <c r="BF123" i="14"/>
  <c r="BG123" i="14"/>
  <c r="BE124" i="14"/>
  <c r="BF124" i="14"/>
  <c r="BG124" i="14"/>
  <c r="BE125" i="14"/>
  <c r="BF125" i="14"/>
  <c r="BG125" i="14"/>
  <c r="BE126" i="14"/>
  <c r="BF126" i="14"/>
  <c r="BG126" i="14"/>
  <c r="BE127" i="14"/>
  <c r="BF127" i="14"/>
  <c r="BG127" i="14"/>
  <c r="BE128" i="14"/>
  <c r="BF128" i="14"/>
  <c r="BG128" i="14"/>
  <c r="BE129" i="14"/>
  <c r="BF129" i="14"/>
  <c r="BG129" i="14"/>
  <c r="BE130" i="14"/>
  <c r="BF130" i="14"/>
  <c r="BG130" i="14"/>
  <c r="BE131" i="14"/>
  <c r="BF131" i="14"/>
  <c r="BG131" i="14"/>
  <c r="BE132" i="14"/>
  <c r="BF132" i="14"/>
  <c r="BG132" i="14"/>
  <c r="BE133" i="14"/>
  <c r="BF133" i="14"/>
  <c r="BG133" i="14"/>
  <c r="BE134" i="14"/>
  <c r="BF134" i="14"/>
  <c r="BG134" i="14"/>
  <c r="BE135" i="14"/>
  <c r="BF135" i="14"/>
  <c r="BG135" i="14"/>
  <c r="BE136" i="14"/>
  <c r="BF136" i="14"/>
  <c r="BG136" i="14"/>
  <c r="BE137" i="14"/>
  <c r="BF137" i="14"/>
  <c r="BG137" i="14"/>
  <c r="BE138" i="14"/>
  <c r="BF138" i="14"/>
  <c r="BG138" i="14"/>
  <c r="BE139" i="14"/>
  <c r="BF139" i="14"/>
  <c r="BG139" i="14"/>
  <c r="BE140" i="14"/>
  <c r="BF140" i="14"/>
  <c r="BG140" i="14"/>
  <c r="BE141" i="14"/>
  <c r="BF141" i="14"/>
  <c r="BG141" i="14"/>
  <c r="BE142" i="14"/>
  <c r="BF142" i="14"/>
  <c r="BG142" i="14"/>
  <c r="BE143" i="14"/>
  <c r="BF143" i="14"/>
  <c r="BG143" i="14"/>
  <c r="BE144" i="14"/>
  <c r="BF144" i="14"/>
  <c r="BG144" i="14"/>
  <c r="BE145" i="14"/>
  <c r="BF145" i="14"/>
  <c r="BG145" i="14"/>
  <c r="BE146" i="14"/>
  <c r="BF146" i="14"/>
  <c r="BG146" i="14"/>
  <c r="BE147" i="14"/>
  <c r="BF147" i="14"/>
  <c r="BG147" i="14"/>
  <c r="BE148" i="14"/>
  <c r="BF148" i="14"/>
  <c r="BG148" i="14"/>
  <c r="BE149" i="14"/>
  <c r="BF149" i="14"/>
  <c r="BG149" i="14"/>
  <c r="BE150" i="14"/>
  <c r="BF150" i="14"/>
  <c r="BG150" i="14"/>
  <c r="BE151" i="14"/>
  <c r="BF151" i="14"/>
  <c r="BG151" i="14"/>
  <c r="BE152" i="14"/>
  <c r="BF152" i="14"/>
  <c r="BG152" i="14"/>
  <c r="BE153" i="14"/>
  <c r="BF153" i="14"/>
  <c r="BG153" i="14"/>
  <c r="BE154" i="14"/>
  <c r="BF154" i="14"/>
  <c r="BG154" i="14"/>
  <c r="BE155" i="14"/>
  <c r="BF155" i="14"/>
  <c r="BG155" i="14"/>
  <c r="BE156" i="14"/>
  <c r="BF156" i="14"/>
  <c r="BG156" i="14"/>
  <c r="BE157" i="14"/>
  <c r="BF157" i="14"/>
  <c r="BG157" i="14"/>
  <c r="BE158" i="14"/>
  <c r="BF158" i="14"/>
  <c r="BG158" i="14"/>
  <c r="BE159" i="14"/>
  <c r="BF159" i="14"/>
  <c r="BG159" i="14"/>
  <c r="BE160" i="14"/>
  <c r="BF160" i="14"/>
  <c r="BG160" i="14"/>
  <c r="BE161" i="14"/>
  <c r="BF161" i="14"/>
  <c r="BG161" i="14"/>
  <c r="BE162" i="14"/>
  <c r="BF162" i="14"/>
  <c r="BG162" i="14"/>
  <c r="BE163" i="14"/>
  <c r="BF163" i="14"/>
  <c r="BG163" i="14"/>
  <c r="BE164" i="14"/>
  <c r="BF164" i="14"/>
  <c r="BG164" i="14"/>
  <c r="BE165" i="14"/>
  <c r="BF165" i="14"/>
  <c r="BG165" i="14"/>
  <c r="BE166" i="14"/>
  <c r="BF166" i="14"/>
  <c r="BG166" i="14"/>
  <c r="BE167" i="14"/>
  <c r="BF167" i="14"/>
  <c r="BG167" i="14"/>
  <c r="BE168" i="14"/>
  <c r="BF168" i="14"/>
  <c r="BG168" i="14"/>
  <c r="BE169" i="14"/>
  <c r="BF169" i="14"/>
  <c r="BG169" i="14"/>
  <c r="BE170" i="14"/>
  <c r="BF170" i="14"/>
  <c r="BG170" i="14"/>
  <c r="BE171" i="14"/>
  <c r="BF171" i="14"/>
  <c r="BG171" i="14"/>
  <c r="BE172" i="14"/>
  <c r="BF172" i="14"/>
  <c r="BG172" i="14"/>
  <c r="BE173" i="14"/>
  <c r="BF173" i="14"/>
  <c r="BG173" i="14"/>
  <c r="BE174" i="14"/>
  <c r="BF174" i="14"/>
  <c r="BG174" i="14"/>
  <c r="BE175" i="14"/>
  <c r="BF175" i="14"/>
  <c r="BG175" i="14"/>
  <c r="BE176" i="14"/>
  <c r="BF176" i="14"/>
  <c r="BG176" i="14"/>
  <c r="BE177" i="14"/>
  <c r="BF177" i="14"/>
  <c r="BG177" i="14"/>
  <c r="BE178" i="14"/>
  <c r="BF178" i="14"/>
  <c r="BG178" i="14"/>
  <c r="BE179" i="14"/>
  <c r="BF179" i="14"/>
  <c r="BG179" i="14"/>
  <c r="BE180" i="14"/>
  <c r="BF180" i="14"/>
  <c r="BG180" i="14"/>
  <c r="BE181" i="14"/>
  <c r="BF181" i="14"/>
  <c r="BG181" i="14"/>
  <c r="BE182" i="14"/>
  <c r="BF182" i="14"/>
  <c r="BG182" i="14"/>
  <c r="BE183" i="14"/>
  <c r="BF183" i="14"/>
  <c r="BG183" i="14"/>
  <c r="BE184" i="14"/>
  <c r="BF184" i="14"/>
  <c r="BG184" i="14"/>
  <c r="BE185" i="14"/>
  <c r="BF185" i="14"/>
  <c r="BG185" i="14"/>
  <c r="BE186" i="14"/>
  <c r="BF186" i="14"/>
  <c r="BG186" i="14"/>
  <c r="BE187" i="14"/>
  <c r="BF187" i="14"/>
  <c r="BG187" i="14"/>
  <c r="BE188" i="14"/>
  <c r="BF188" i="14"/>
  <c r="BG188" i="14"/>
  <c r="BE189" i="14"/>
  <c r="BF189" i="14"/>
  <c r="BG189" i="14"/>
  <c r="BE190" i="14"/>
  <c r="BF190" i="14"/>
  <c r="BG190" i="14"/>
  <c r="BE191" i="14"/>
  <c r="BF191" i="14"/>
  <c r="BG191" i="14"/>
  <c r="BE192" i="14"/>
  <c r="BF192" i="14"/>
  <c r="BG192" i="14"/>
  <c r="BE193" i="14"/>
  <c r="BF193" i="14"/>
  <c r="BG193" i="14"/>
  <c r="BE194" i="14"/>
  <c r="BF194" i="14"/>
  <c r="BG194" i="14"/>
  <c r="BE195" i="14"/>
  <c r="BF195" i="14"/>
  <c r="BG195" i="14"/>
  <c r="BE196" i="14"/>
  <c r="BF196" i="14"/>
  <c r="BG196" i="14"/>
  <c r="BE197" i="14"/>
  <c r="BF197" i="14"/>
  <c r="BG197" i="14"/>
  <c r="BE198" i="14"/>
  <c r="BF198" i="14"/>
  <c r="BG198" i="14"/>
  <c r="BE199" i="14"/>
  <c r="BF199" i="14"/>
  <c r="BG199" i="14"/>
  <c r="BL198" i="15"/>
  <c r="AC4" i="19" l="1"/>
  <c r="AA4" i="19"/>
  <c r="AJ3" i="19"/>
  <c r="AK3" i="19"/>
  <c r="AM3" i="1"/>
  <c r="AO3" i="1"/>
  <c r="AI3" i="19"/>
  <c r="AL3" i="1"/>
  <c r="X3" i="19"/>
  <c r="Z3" i="1"/>
  <c r="W3" i="19"/>
  <c r="X3" i="1"/>
  <c r="V3" i="19"/>
  <c r="W3" i="1"/>
  <c r="U3" i="19"/>
  <c r="V3" i="1"/>
  <c r="T3" i="19"/>
  <c r="U3" i="1"/>
  <c r="S3" i="19"/>
  <c r="T3" i="1"/>
  <c r="R3" i="19"/>
  <c r="S3" i="1"/>
  <c r="Q3" i="19"/>
  <c r="R3" i="1"/>
  <c r="A1" i="1" l="1"/>
  <c r="I337" i="19" s="1"/>
  <c r="I316" i="19" l="1"/>
  <c r="A337" i="19"/>
  <c r="A316" i="19"/>
  <c r="I293" i="19"/>
  <c r="A293" i="19"/>
  <c r="A271" i="19"/>
  <c r="I271" i="19"/>
  <c r="A248" i="19"/>
  <c r="I248" i="19"/>
  <c r="I226" i="19"/>
  <c r="A226" i="19"/>
  <c r="I203" i="19"/>
  <c r="A203" i="19"/>
  <c r="I181" i="19"/>
  <c r="A181" i="19"/>
  <c r="I159" i="19"/>
  <c r="A158" i="19"/>
  <c r="I136" i="19"/>
  <c r="A136" i="19"/>
  <c r="I113" i="19"/>
  <c r="A113" i="19"/>
  <c r="I91" i="19"/>
  <c r="A91" i="19"/>
  <c r="I68" i="19"/>
  <c r="A68" i="19"/>
  <c r="I46" i="19"/>
  <c r="I25" i="19"/>
  <c r="A24" i="19"/>
  <c r="I2" i="19"/>
  <c r="A2" i="19"/>
  <c r="AM8" i="19" l="1"/>
  <c r="AM4" i="19"/>
  <c r="I25" i="37" l="1"/>
  <c r="B3" i="37"/>
  <c r="I212" i="37"/>
  <c r="A144" i="37"/>
  <c r="I96" i="37"/>
  <c r="A190" i="37"/>
  <c r="A166" i="37"/>
  <c r="A25" i="37"/>
  <c r="I118" i="37"/>
  <c r="I71" i="37"/>
  <c r="A49" i="37"/>
  <c r="H29" i="36"/>
  <c r="H25" i="36"/>
  <c r="H21" i="36"/>
  <c r="H17" i="36"/>
  <c r="H13" i="36"/>
  <c r="H9" i="36"/>
  <c r="H5" i="36"/>
  <c r="G29" i="36"/>
  <c r="G25" i="36"/>
  <c r="G21" i="36"/>
  <c r="G17" i="36"/>
  <c r="G13" i="36"/>
  <c r="G9" i="36"/>
  <c r="H22" i="36"/>
  <c r="H10" i="36"/>
  <c r="G26" i="36"/>
  <c r="G14" i="36"/>
  <c r="H28" i="36"/>
  <c r="H24" i="36"/>
  <c r="H20" i="36"/>
  <c r="H16" i="36"/>
  <c r="H12" i="36"/>
  <c r="H8" i="36"/>
  <c r="H4" i="36"/>
  <c r="G28" i="36"/>
  <c r="G24" i="36"/>
  <c r="G20" i="36"/>
  <c r="G16" i="36"/>
  <c r="G12" i="36"/>
  <c r="G8" i="36"/>
  <c r="G4" i="36"/>
  <c r="H18" i="36"/>
  <c r="H6" i="36"/>
  <c r="G22" i="36"/>
  <c r="G10" i="36"/>
  <c r="H23" i="36"/>
  <c r="H19" i="36"/>
  <c r="H15" i="36"/>
  <c r="H11" i="36"/>
  <c r="H7" i="36"/>
  <c r="H3" i="36"/>
  <c r="G23" i="36"/>
  <c r="G19" i="36"/>
  <c r="G15" i="36"/>
  <c r="G11" i="36"/>
  <c r="G7" i="36"/>
  <c r="G3" i="36"/>
  <c r="H26" i="36"/>
  <c r="H14" i="36"/>
  <c r="G18" i="36"/>
  <c r="G6" i="36"/>
  <c r="AC9" i="1" l="1"/>
  <c r="AC10" i="1"/>
  <c r="AC26" i="1"/>
  <c r="AC23" i="1"/>
  <c r="AC13" i="1"/>
  <c r="AC14" i="1"/>
  <c r="AC30" i="1"/>
  <c r="AC16" i="1"/>
  <c r="AC11" i="1"/>
  <c r="AC27" i="1"/>
  <c r="AC17" i="1"/>
  <c r="AC18" i="1"/>
  <c r="AC28" i="1"/>
  <c r="AC15" i="1"/>
  <c r="AC8" i="1"/>
  <c r="AC5" i="1"/>
  <c r="AC21" i="1"/>
  <c r="AC12" i="1"/>
  <c r="AC22" i="1"/>
  <c r="AC19" i="1"/>
  <c r="AC20" i="1"/>
  <c r="AC25" i="1"/>
  <c r="AC24" i="1"/>
  <c r="AC6" i="1"/>
  <c r="AQ20" i="1"/>
  <c r="AQ6" i="1"/>
  <c r="AQ22" i="1"/>
  <c r="AQ19" i="1"/>
  <c r="AQ13" i="1"/>
  <c r="AQ10" i="1"/>
  <c r="AQ26" i="1"/>
  <c r="AQ12" i="1"/>
  <c r="AQ7" i="1"/>
  <c r="AQ23" i="1"/>
  <c r="AQ28" i="1"/>
  <c r="AQ25" i="1"/>
  <c r="AQ17" i="1"/>
  <c r="AQ14" i="1"/>
  <c r="AQ30" i="1"/>
  <c r="AQ24" i="1"/>
  <c r="AQ11" i="1"/>
  <c r="AQ27" i="1"/>
  <c r="AQ9" i="1"/>
  <c r="AQ16" i="1"/>
  <c r="AQ5" i="1"/>
  <c r="AQ21" i="1"/>
  <c r="AQ8" i="1"/>
  <c r="AQ18" i="1"/>
  <c r="AQ15" i="1"/>
  <c r="AC5" i="20"/>
  <c r="AQ9" i="20"/>
  <c r="AQ25" i="20"/>
  <c r="AQ8" i="20"/>
  <c r="AC29" i="20"/>
  <c r="AC19" i="20"/>
  <c r="AQ23" i="20"/>
  <c r="AC25" i="20"/>
  <c r="AQ13" i="20"/>
  <c r="AQ20" i="20"/>
  <c r="AQ6" i="20"/>
  <c r="AC16" i="20"/>
  <c r="AQ27" i="20"/>
  <c r="AQ17" i="20"/>
  <c r="AC12" i="20"/>
  <c r="AC6" i="20"/>
  <c r="AC22" i="20"/>
  <c r="AQ10" i="20"/>
  <c r="AQ26" i="20"/>
  <c r="AC28" i="20"/>
  <c r="AC11" i="20"/>
  <c r="AC27" i="20"/>
  <c r="AQ15" i="20"/>
  <c r="AQ30" i="20"/>
  <c r="AC20" i="20"/>
  <c r="AC21" i="20"/>
  <c r="AC14" i="20"/>
  <c r="AQ18" i="20"/>
  <c r="AQ24" i="20"/>
  <c r="AQ7" i="20"/>
  <c r="AQ4" i="20"/>
  <c r="AC9" i="20"/>
  <c r="AC18" i="20"/>
  <c r="AQ22" i="20"/>
  <c r="AC23" i="20"/>
  <c r="AQ11" i="20"/>
  <c r="AQ16" i="20"/>
  <c r="AC13" i="20"/>
  <c r="AC8" i="20"/>
  <c r="AQ28" i="20"/>
  <c r="AC17" i="20"/>
  <c r="AQ5" i="20"/>
  <c r="AQ21" i="20"/>
  <c r="AC24" i="20"/>
  <c r="AC10" i="20"/>
  <c r="AC26" i="20"/>
  <c r="AQ14" i="20"/>
  <c r="AQ29" i="20"/>
  <c r="AQ12" i="20"/>
  <c r="AC15" i="20"/>
  <c r="AC30" i="20"/>
  <c r="AQ19" i="20"/>
  <c r="G5" i="36"/>
  <c r="BJ4" i="14"/>
  <c r="BJ5" i="14"/>
  <c r="BJ6" i="14"/>
  <c r="BJ7" i="14"/>
  <c r="BJ8" i="14"/>
  <c r="BJ9" i="14"/>
  <c r="BJ10" i="14"/>
  <c r="BJ11" i="14"/>
  <c r="BJ12" i="14"/>
  <c r="BJ13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J31" i="14"/>
  <c r="BJ32" i="14"/>
  <c r="BJ33" i="14"/>
  <c r="BJ34" i="14"/>
  <c r="BJ35" i="14"/>
  <c r="BJ36" i="14"/>
  <c r="BJ37" i="14"/>
  <c r="BJ38" i="14"/>
  <c r="BJ39" i="14"/>
  <c r="BJ40" i="14"/>
  <c r="BJ41" i="14"/>
  <c r="BJ42" i="14"/>
  <c r="BJ43" i="14"/>
  <c r="BJ44" i="14"/>
  <c r="BJ45" i="14"/>
  <c r="BJ46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J96" i="14"/>
  <c r="BJ97" i="14"/>
  <c r="BJ98" i="14"/>
  <c r="BJ99" i="14"/>
  <c r="BJ100" i="14"/>
  <c r="BJ101" i="14"/>
  <c r="BJ102" i="14"/>
  <c r="BJ103" i="14"/>
  <c r="BJ104" i="14"/>
  <c r="BJ105" i="14"/>
  <c r="BJ106" i="14"/>
  <c r="BJ107" i="14"/>
  <c r="BJ108" i="14"/>
  <c r="BJ109" i="14"/>
  <c r="BJ110" i="14"/>
  <c r="BJ111" i="14"/>
  <c r="BJ112" i="14"/>
  <c r="BJ113" i="14"/>
  <c r="BJ114" i="14"/>
  <c r="BJ115" i="14"/>
  <c r="BJ116" i="14"/>
  <c r="BJ117" i="14"/>
  <c r="BJ118" i="14"/>
  <c r="BJ119" i="14"/>
  <c r="BJ120" i="14"/>
  <c r="BJ121" i="14"/>
  <c r="BJ122" i="14"/>
  <c r="BJ123" i="14"/>
  <c r="BJ124" i="14"/>
  <c r="BJ125" i="14"/>
  <c r="BJ126" i="14"/>
  <c r="BJ127" i="14"/>
  <c r="BJ128" i="14"/>
  <c r="BJ129" i="14"/>
  <c r="BJ130" i="14"/>
  <c r="BJ131" i="14"/>
  <c r="BJ132" i="14"/>
  <c r="BJ133" i="14"/>
  <c r="BJ134" i="14"/>
  <c r="BJ135" i="14"/>
  <c r="BJ136" i="14"/>
  <c r="BJ137" i="14"/>
  <c r="BJ138" i="14"/>
  <c r="BJ139" i="14"/>
  <c r="BJ140" i="14"/>
  <c r="BJ141" i="14"/>
  <c r="BJ142" i="14"/>
  <c r="BJ143" i="14"/>
  <c r="BJ144" i="14"/>
  <c r="BJ145" i="14"/>
  <c r="BJ146" i="14"/>
  <c r="BJ147" i="14"/>
  <c r="BJ148" i="14"/>
  <c r="BJ149" i="14"/>
  <c r="BJ150" i="14"/>
  <c r="BJ151" i="14"/>
  <c r="BJ152" i="14"/>
  <c r="BJ153" i="14"/>
  <c r="BJ154" i="14"/>
  <c r="BJ155" i="14"/>
  <c r="BJ156" i="14"/>
  <c r="BJ157" i="14"/>
  <c r="BJ158" i="14"/>
  <c r="BJ159" i="14"/>
  <c r="BJ160" i="14"/>
  <c r="BJ161" i="14"/>
  <c r="BJ162" i="14"/>
  <c r="BJ163" i="14"/>
  <c r="BJ164" i="14"/>
  <c r="BJ165" i="14"/>
  <c r="BJ166" i="14"/>
  <c r="BJ167" i="14"/>
  <c r="BJ168" i="14"/>
  <c r="BJ169" i="14"/>
  <c r="BJ170" i="14"/>
  <c r="BJ171" i="14"/>
  <c r="BJ172" i="14"/>
  <c r="BJ173" i="14"/>
  <c r="BJ174" i="14"/>
  <c r="BJ175" i="14"/>
  <c r="BJ176" i="14"/>
  <c r="BJ177" i="14"/>
  <c r="BJ178" i="14"/>
  <c r="BJ179" i="14"/>
  <c r="BJ180" i="14"/>
  <c r="BJ181" i="14"/>
  <c r="BJ182" i="14"/>
  <c r="BJ183" i="14"/>
  <c r="BJ184" i="14"/>
  <c r="BJ185" i="14"/>
  <c r="BJ186" i="14"/>
  <c r="BJ187" i="14"/>
  <c r="BJ188" i="14"/>
  <c r="BJ189" i="14"/>
  <c r="BJ190" i="14"/>
  <c r="BJ191" i="14"/>
  <c r="BJ192" i="14"/>
  <c r="BJ193" i="14"/>
  <c r="BJ194" i="14"/>
  <c r="BJ195" i="14"/>
  <c r="BJ196" i="14"/>
  <c r="BJ197" i="14"/>
  <c r="BJ198" i="14"/>
  <c r="BJ199" i="14"/>
  <c r="BJ3" i="14"/>
  <c r="BJ198" i="15"/>
  <c r="BI198" i="15"/>
  <c r="BH198" i="15"/>
  <c r="BG198" i="15"/>
  <c r="BF198" i="15"/>
  <c r="BE198" i="15"/>
  <c r="BL197" i="15"/>
  <c r="BJ197" i="15"/>
  <c r="BI197" i="15"/>
  <c r="BH197" i="15"/>
  <c r="BG197" i="15"/>
  <c r="BF197" i="15"/>
  <c r="BE197" i="15"/>
  <c r="BL196" i="15"/>
  <c r="BJ196" i="15"/>
  <c r="BI196" i="15"/>
  <c r="BH196" i="15"/>
  <c r="BG196" i="15"/>
  <c r="BF196" i="15"/>
  <c r="BE196" i="15"/>
  <c r="BL195" i="15"/>
  <c r="BJ195" i="15"/>
  <c r="BI195" i="15"/>
  <c r="BH195" i="15"/>
  <c r="BG195" i="15"/>
  <c r="BF195" i="15"/>
  <c r="BE195" i="15"/>
  <c r="BL194" i="15"/>
  <c r="BJ194" i="15"/>
  <c r="BI194" i="15"/>
  <c r="BH194" i="15"/>
  <c r="BG194" i="15"/>
  <c r="BF194" i="15"/>
  <c r="BE194" i="15"/>
  <c r="BL193" i="15"/>
  <c r="BJ193" i="15"/>
  <c r="BI193" i="15"/>
  <c r="BH193" i="15"/>
  <c r="BG193" i="15"/>
  <c r="BF193" i="15"/>
  <c r="BE193" i="15"/>
  <c r="BL192" i="15"/>
  <c r="BJ192" i="15"/>
  <c r="BI192" i="15"/>
  <c r="BH192" i="15"/>
  <c r="BG192" i="15"/>
  <c r="BF192" i="15"/>
  <c r="BE192" i="15"/>
  <c r="BL191" i="15"/>
  <c r="BJ191" i="15"/>
  <c r="BI191" i="15"/>
  <c r="BH191" i="15"/>
  <c r="BG191" i="15"/>
  <c r="BF191" i="15"/>
  <c r="BE191" i="15"/>
  <c r="BL190" i="15"/>
  <c r="BJ190" i="15"/>
  <c r="BI190" i="15"/>
  <c r="BH190" i="15"/>
  <c r="BG190" i="15"/>
  <c r="BF190" i="15"/>
  <c r="BE190" i="15"/>
  <c r="BL189" i="15"/>
  <c r="BJ189" i="15"/>
  <c r="BI189" i="15"/>
  <c r="BH189" i="15"/>
  <c r="BG189" i="15"/>
  <c r="BF189" i="15"/>
  <c r="BE189" i="15"/>
  <c r="BL188" i="15"/>
  <c r="BJ188" i="15"/>
  <c r="BI188" i="15"/>
  <c r="BH188" i="15"/>
  <c r="BG188" i="15"/>
  <c r="BF188" i="15"/>
  <c r="BE188" i="15"/>
  <c r="BL187" i="15"/>
  <c r="BJ187" i="15"/>
  <c r="BI187" i="15"/>
  <c r="BH187" i="15"/>
  <c r="BG187" i="15"/>
  <c r="BF187" i="15"/>
  <c r="BE187" i="15"/>
  <c r="BL186" i="15"/>
  <c r="BJ186" i="15"/>
  <c r="BI186" i="15"/>
  <c r="BH186" i="15"/>
  <c r="BG186" i="15"/>
  <c r="BF186" i="15"/>
  <c r="BE186" i="15"/>
  <c r="BL185" i="15"/>
  <c r="BJ185" i="15"/>
  <c r="BI185" i="15"/>
  <c r="BH185" i="15"/>
  <c r="BG185" i="15"/>
  <c r="BF185" i="15"/>
  <c r="BE185" i="15"/>
  <c r="BL184" i="15"/>
  <c r="BJ184" i="15"/>
  <c r="BI184" i="15"/>
  <c r="BH184" i="15"/>
  <c r="BG184" i="15"/>
  <c r="BF184" i="15"/>
  <c r="BE184" i="15"/>
  <c r="BL183" i="15"/>
  <c r="BJ183" i="15"/>
  <c r="BI183" i="15"/>
  <c r="BH183" i="15"/>
  <c r="BG183" i="15"/>
  <c r="BF183" i="15"/>
  <c r="BE183" i="15"/>
  <c r="BL182" i="15"/>
  <c r="BJ182" i="15"/>
  <c r="BI182" i="15"/>
  <c r="BH182" i="15"/>
  <c r="BG182" i="15"/>
  <c r="BF182" i="15"/>
  <c r="BE182" i="15"/>
  <c r="BL181" i="15"/>
  <c r="BJ181" i="15"/>
  <c r="BI181" i="15"/>
  <c r="BH181" i="15"/>
  <c r="BG181" i="15"/>
  <c r="BF181" i="15"/>
  <c r="BE181" i="15"/>
  <c r="BL180" i="15"/>
  <c r="BJ180" i="15"/>
  <c r="BI180" i="15"/>
  <c r="BH180" i="15"/>
  <c r="BG180" i="15"/>
  <c r="BF180" i="15"/>
  <c r="BE180" i="15"/>
  <c r="BL179" i="15"/>
  <c r="BJ179" i="15"/>
  <c r="BI179" i="15"/>
  <c r="BH179" i="15"/>
  <c r="BG179" i="15"/>
  <c r="BF179" i="15"/>
  <c r="BE179" i="15"/>
  <c r="BL178" i="15"/>
  <c r="BJ178" i="15"/>
  <c r="BI178" i="15"/>
  <c r="BH178" i="15"/>
  <c r="BG178" i="15"/>
  <c r="BF178" i="15"/>
  <c r="BE178" i="15"/>
  <c r="BL177" i="15"/>
  <c r="BJ177" i="15"/>
  <c r="BI177" i="15"/>
  <c r="BH177" i="15"/>
  <c r="BG177" i="15"/>
  <c r="BF177" i="15"/>
  <c r="BE177" i="15"/>
  <c r="BL176" i="15"/>
  <c r="BJ176" i="15"/>
  <c r="BI176" i="15"/>
  <c r="BH176" i="15"/>
  <c r="BG176" i="15"/>
  <c r="BF176" i="15"/>
  <c r="BE176" i="15"/>
  <c r="BL175" i="15"/>
  <c r="BJ175" i="15"/>
  <c r="BI175" i="15"/>
  <c r="BH175" i="15"/>
  <c r="BG175" i="15"/>
  <c r="BF175" i="15"/>
  <c r="BE175" i="15"/>
  <c r="BL174" i="15"/>
  <c r="BJ174" i="15"/>
  <c r="BI174" i="15"/>
  <c r="BH174" i="15"/>
  <c r="BG174" i="15"/>
  <c r="BF174" i="15"/>
  <c r="BE174" i="15"/>
  <c r="BL173" i="15"/>
  <c r="BJ173" i="15"/>
  <c r="BI173" i="15"/>
  <c r="BH173" i="15"/>
  <c r="BG173" i="15"/>
  <c r="BF173" i="15"/>
  <c r="BE173" i="15"/>
  <c r="BL172" i="15"/>
  <c r="BJ172" i="15"/>
  <c r="BI172" i="15"/>
  <c r="BH172" i="15"/>
  <c r="BG172" i="15"/>
  <c r="BF172" i="15"/>
  <c r="BE172" i="15"/>
  <c r="BL171" i="15"/>
  <c r="BJ171" i="15"/>
  <c r="BI171" i="15"/>
  <c r="BH171" i="15"/>
  <c r="BG171" i="15"/>
  <c r="BF171" i="15"/>
  <c r="BE171" i="15"/>
  <c r="BL170" i="15"/>
  <c r="BJ170" i="15"/>
  <c r="BI170" i="15"/>
  <c r="BH170" i="15"/>
  <c r="BG170" i="15"/>
  <c r="BF170" i="15"/>
  <c r="BE170" i="15"/>
  <c r="BL169" i="15"/>
  <c r="BJ169" i="15"/>
  <c r="BI169" i="15"/>
  <c r="BH169" i="15"/>
  <c r="BG169" i="15"/>
  <c r="BF169" i="15"/>
  <c r="BE169" i="15"/>
  <c r="BL168" i="15"/>
  <c r="BJ168" i="15"/>
  <c r="BI168" i="15"/>
  <c r="BH168" i="15"/>
  <c r="BG168" i="15"/>
  <c r="BF168" i="15"/>
  <c r="BE168" i="15"/>
  <c r="BL167" i="15"/>
  <c r="BJ167" i="15"/>
  <c r="BI167" i="15"/>
  <c r="BH167" i="15"/>
  <c r="BG167" i="15"/>
  <c r="BF167" i="15"/>
  <c r="BE167" i="15"/>
  <c r="BL166" i="15"/>
  <c r="BJ166" i="15"/>
  <c r="BI166" i="15"/>
  <c r="BH166" i="15"/>
  <c r="BG166" i="15"/>
  <c r="BF166" i="15"/>
  <c r="BE166" i="15"/>
  <c r="BL165" i="15"/>
  <c r="BJ165" i="15"/>
  <c r="BI165" i="15"/>
  <c r="BH165" i="15"/>
  <c r="BG165" i="15"/>
  <c r="BF165" i="15"/>
  <c r="BE165" i="15"/>
  <c r="BL164" i="15"/>
  <c r="BJ164" i="15"/>
  <c r="BI164" i="15"/>
  <c r="BH164" i="15"/>
  <c r="BG164" i="15"/>
  <c r="BF164" i="15"/>
  <c r="BE164" i="15"/>
  <c r="BL163" i="15"/>
  <c r="BJ163" i="15"/>
  <c r="BI163" i="15"/>
  <c r="BH163" i="15"/>
  <c r="BG163" i="15"/>
  <c r="BF163" i="15"/>
  <c r="BE163" i="15"/>
  <c r="BL162" i="15"/>
  <c r="BJ162" i="15"/>
  <c r="BI162" i="15"/>
  <c r="BH162" i="15"/>
  <c r="BG162" i="15"/>
  <c r="BF162" i="15"/>
  <c r="BE162" i="15"/>
  <c r="BL161" i="15"/>
  <c r="BJ161" i="15"/>
  <c r="BI161" i="15"/>
  <c r="BH161" i="15"/>
  <c r="BG161" i="15"/>
  <c r="BF161" i="15"/>
  <c r="BE161" i="15"/>
  <c r="BL160" i="15"/>
  <c r="BJ160" i="15"/>
  <c r="BI160" i="15"/>
  <c r="BH160" i="15"/>
  <c r="BG160" i="15"/>
  <c r="BF160" i="15"/>
  <c r="BE160" i="15"/>
  <c r="BL159" i="15"/>
  <c r="BJ159" i="15"/>
  <c r="BI159" i="15"/>
  <c r="BH159" i="15"/>
  <c r="BG159" i="15"/>
  <c r="BF159" i="15"/>
  <c r="BE159" i="15"/>
  <c r="BL158" i="15"/>
  <c r="BJ158" i="15"/>
  <c r="BI158" i="15"/>
  <c r="BH158" i="15"/>
  <c r="BG158" i="15"/>
  <c r="BF158" i="15"/>
  <c r="BE158" i="15"/>
  <c r="BL157" i="15"/>
  <c r="BJ157" i="15"/>
  <c r="BI157" i="15"/>
  <c r="BH157" i="15"/>
  <c r="BG157" i="15"/>
  <c r="BF157" i="15"/>
  <c r="BE157" i="15"/>
  <c r="BL156" i="15"/>
  <c r="BJ156" i="15"/>
  <c r="BI156" i="15"/>
  <c r="BH156" i="15"/>
  <c r="BG156" i="15"/>
  <c r="BF156" i="15"/>
  <c r="BE156" i="15"/>
  <c r="BL155" i="15"/>
  <c r="BJ155" i="15"/>
  <c r="BI155" i="15"/>
  <c r="BH155" i="15"/>
  <c r="BG155" i="15"/>
  <c r="BF155" i="15"/>
  <c r="BE155" i="15"/>
  <c r="BL154" i="15"/>
  <c r="BJ154" i="15"/>
  <c r="BI154" i="15"/>
  <c r="BH154" i="15"/>
  <c r="BG154" i="15"/>
  <c r="BF154" i="15"/>
  <c r="BE154" i="15"/>
  <c r="BL153" i="15"/>
  <c r="BJ153" i="15"/>
  <c r="BI153" i="15"/>
  <c r="BH153" i="15"/>
  <c r="BG153" i="15"/>
  <c r="BF153" i="15"/>
  <c r="BE153" i="15"/>
  <c r="BL152" i="15"/>
  <c r="BJ152" i="15"/>
  <c r="BI152" i="15"/>
  <c r="BH152" i="15"/>
  <c r="BG152" i="15"/>
  <c r="BF152" i="15"/>
  <c r="BE152" i="15"/>
  <c r="BL151" i="15"/>
  <c r="BJ151" i="15"/>
  <c r="BI151" i="15"/>
  <c r="BH151" i="15"/>
  <c r="BG151" i="15"/>
  <c r="BF151" i="15"/>
  <c r="BE151" i="15"/>
  <c r="BL150" i="15"/>
  <c r="BJ150" i="15"/>
  <c r="BI150" i="15"/>
  <c r="BH150" i="15"/>
  <c r="BG150" i="15"/>
  <c r="BF150" i="15"/>
  <c r="BE150" i="15"/>
  <c r="BL149" i="15"/>
  <c r="BJ149" i="15"/>
  <c r="BI149" i="15"/>
  <c r="BH149" i="15"/>
  <c r="BG149" i="15"/>
  <c r="BF149" i="15"/>
  <c r="BE149" i="15"/>
  <c r="BL148" i="15"/>
  <c r="BJ148" i="15"/>
  <c r="BI148" i="15"/>
  <c r="BH148" i="15"/>
  <c r="BG148" i="15"/>
  <c r="BF148" i="15"/>
  <c r="BE148" i="15"/>
  <c r="BL147" i="15"/>
  <c r="BJ147" i="15"/>
  <c r="BI147" i="15"/>
  <c r="BH147" i="15"/>
  <c r="BG147" i="15"/>
  <c r="BF147" i="15"/>
  <c r="BE147" i="15"/>
  <c r="BL146" i="15"/>
  <c r="BJ146" i="15"/>
  <c r="BI146" i="15"/>
  <c r="BH146" i="15"/>
  <c r="BG146" i="15"/>
  <c r="BF146" i="15"/>
  <c r="BE146" i="15"/>
  <c r="BL145" i="15"/>
  <c r="BJ145" i="15"/>
  <c r="BI145" i="15"/>
  <c r="BH145" i="15"/>
  <c r="BG145" i="15"/>
  <c r="BF145" i="15"/>
  <c r="BE145" i="15"/>
  <c r="BL144" i="15"/>
  <c r="BJ144" i="15"/>
  <c r="BI144" i="15"/>
  <c r="BH144" i="15"/>
  <c r="BG144" i="15"/>
  <c r="BF144" i="15"/>
  <c r="BE144" i="15"/>
  <c r="BL143" i="15"/>
  <c r="BJ143" i="15"/>
  <c r="BI143" i="15"/>
  <c r="BH143" i="15"/>
  <c r="BG143" i="15"/>
  <c r="BF143" i="15"/>
  <c r="BE143" i="15"/>
  <c r="BL142" i="15"/>
  <c r="BJ142" i="15"/>
  <c r="BI142" i="15"/>
  <c r="BH142" i="15"/>
  <c r="BG142" i="15"/>
  <c r="BF142" i="15"/>
  <c r="BE142" i="15"/>
  <c r="BL141" i="15"/>
  <c r="BJ141" i="15"/>
  <c r="BI141" i="15"/>
  <c r="BH141" i="15"/>
  <c r="BG141" i="15"/>
  <c r="BF141" i="15"/>
  <c r="BE141" i="15"/>
  <c r="BL140" i="15"/>
  <c r="BJ140" i="15"/>
  <c r="BI140" i="15"/>
  <c r="BH140" i="15"/>
  <c r="BG140" i="15"/>
  <c r="BF140" i="15"/>
  <c r="BE140" i="15"/>
  <c r="BL139" i="15"/>
  <c r="BJ139" i="15"/>
  <c r="BI139" i="15"/>
  <c r="BH139" i="15"/>
  <c r="BG139" i="15"/>
  <c r="BF139" i="15"/>
  <c r="BE139" i="15"/>
  <c r="BL138" i="15"/>
  <c r="BJ138" i="15"/>
  <c r="BI138" i="15"/>
  <c r="BH138" i="15"/>
  <c r="BG138" i="15"/>
  <c r="BF138" i="15"/>
  <c r="BE138" i="15"/>
  <c r="BL137" i="15"/>
  <c r="BJ137" i="15"/>
  <c r="BI137" i="15"/>
  <c r="BH137" i="15"/>
  <c r="BG137" i="15"/>
  <c r="BF137" i="15"/>
  <c r="BE137" i="15"/>
  <c r="BL136" i="15"/>
  <c r="BJ136" i="15"/>
  <c r="BI136" i="15"/>
  <c r="BH136" i="15"/>
  <c r="BG136" i="15"/>
  <c r="BF136" i="15"/>
  <c r="BE136" i="15"/>
  <c r="BL135" i="15"/>
  <c r="BJ135" i="15"/>
  <c r="BI135" i="15"/>
  <c r="BH135" i="15"/>
  <c r="BG135" i="15"/>
  <c r="BF135" i="15"/>
  <c r="BE135" i="15"/>
  <c r="BL134" i="15"/>
  <c r="BJ134" i="15"/>
  <c r="BI134" i="15"/>
  <c r="BH134" i="15"/>
  <c r="BG134" i="15"/>
  <c r="BF134" i="15"/>
  <c r="BE134" i="15"/>
  <c r="BL133" i="15"/>
  <c r="BJ133" i="15"/>
  <c r="BI133" i="15"/>
  <c r="BH133" i="15"/>
  <c r="BG133" i="15"/>
  <c r="BF133" i="15"/>
  <c r="BE133" i="15"/>
  <c r="BL132" i="15"/>
  <c r="BJ132" i="15"/>
  <c r="BI132" i="15"/>
  <c r="BH132" i="15"/>
  <c r="BG132" i="15"/>
  <c r="BF132" i="15"/>
  <c r="BE132" i="15"/>
  <c r="BL131" i="15"/>
  <c r="BJ131" i="15"/>
  <c r="BI131" i="15"/>
  <c r="BH131" i="15"/>
  <c r="BG131" i="15"/>
  <c r="BF131" i="15"/>
  <c r="BE131" i="15"/>
  <c r="BL130" i="15"/>
  <c r="BJ130" i="15"/>
  <c r="BI130" i="15"/>
  <c r="BH130" i="15"/>
  <c r="BG130" i="15"/>
  <c r="BF130" i="15"/>
  <c r="BE130" i="15"/>
  <c r="BL129" i="15"/>
  <c r="BJ129" i="15"/>
  <c r="BI129" i="15"/>
  <c r="BH129" i="15"/>
  <c r="BG129" i="15"/>
  <c r="BF129" i="15"/>
  <c r="BE129" i="15"/>
  <c r="BL128" i="15"/>
  <c r="BJ128" i="15"/>
  <c r="BI128" i="15"/>
  <c r="BH128" i="15"/>
  <c r="BG128" i="15"/>
  <c r="BF128" i="15"/>
  <c r="BE128" i="15"/>
  <c r="BL127" i="15"/>
  <c r="BJ127" i="15"/>
  <c r="BI127" i="15"/>
  <c r="BH127" i="15"/>
  <c r="BG127" i="15"/>
  <c r="BF127" i="15"/>
  <c r="BE127" i="15"/>
  <c r="BL126" i="15"/>
  <c r="BJ126" i="15"/>
  <c r="BI126" i="15"/>
  <c r="BH126" i="15"/>
  <c r="BG126" i="15"/>
  <c r="BF126" i="15"/>
  <c r="BE126" i="15"/>
  <c r="BL125" i="15"/>
  <c r="BJ125" i="15"/>
  <c r="BI125" i="15"/>
  <c r="BH125" i="15"/>
  <c r="BG125" i="15"/>
  <c r="BF125" i="15"/>
  <c r="BE125" i="15"/>
  <c r="BL124" i="15"/>
  <c r="BJ124" i="15"/>
  <c r="BI124" i="15"/>
  <c r="BH124" i="15"/>
  <c r="BG124" i="15"/>
  <c r="BF124" i="15"/>
  <c r="BE124" i="15"/>
  <c r="BL123" i="15"/>
  <c r="BJ123" i="15"/>
  <c r="BI123" i="15"/>
  <c r="BH123" i="15"/>
  <c r="BG123" i="15"/>
  <c r="BF123" i="15"/>
  <c r="BE123" i="15"/>
  <c r="BL122" i="15"/>
  <c r="BJ122" i="15"/>
  <c r="BI122" i="15"/>
  <c r="BH122" i="15"/>
  <c r="BG122" i="15"/>
  <c r="BF122" i="15"/>
  <c r="BE122" i="15"/>
  <c r="BL121" i="15"/>
  <c r="BJ121" i="15"/>
  <c r="BI121" i="15"/>
  <c r="BH121" i="15"/>
  <c r="BG121" i="15"/>
  <c r="BF121" i="15"/>
  <c r="BE121" i="15"/>
  <c r="BL120" i="15"/>
  <c r="BJ120" i="15"/>
  <c r="BI120" i="15"/>
  <c r="BH120" i="15"/>
  <c r="BG120" i="15"/>
  <c r="BF120" i="15"/>
  <c r="BE120" i="15"/>
  <c r="BL119" i="15"/>
  <c r="BJ119" i="15"/>
  <c r="BI119" i="15"/>
  <c r="BH119" i="15"/>
  <c r="BG119" i="15"/>
  <c r="BF119" i="15"/>
  <c r="BE119" i="15"/>
  <c r="BL118" i="15"/>
  <c r="BJ118" i="15"/>
  <c r="BI118" i="15"/>
  <c r="BH118" i="15"/>
  <c r="BG118" i="15"/>
  <c r="BF118" i="15"/>
  <c r="BE118" i="15"/>
  <c r="BL117" i="15"/>
  <c r="BJ117" i="15"/>
  <c r="BI117" i="15"/>
  <c r="BH117" i="15"/>
  <c r="BG117" i="15"/>
  <c r="BF117" i="15"/>
  <c r="BE117" i="15"/>
  <c r="BL116" i="15"/>
  <c r="BJ116" i="15"/>
  <c r="BI116" i="15"/>
  <c r="BH116" i="15"/>
  <c r="BG116" i="15"/>
  <c r="BF116" i="15"/>
  <c r="BE116" i="15"/>
  <c r="BL115" i="15"/>
  <c r="BJ115" i="15"/>
  <c r="BI115" i="15"/>
  <c r="BH115" i="15"/>
  <c r="BG115" i="15"/>
  <c r="BF115" i="15"/>
  <c r="BE115" i="15"/>
  <c r="BL114" i="15"/>
  <c r="BJ114" i="15"/>
  <c r="BI114" i="15"/>
  <c r="BH114" i="15"/>
  <c r="BG114" i="15"/>
  <c r="BF114" i="15"/>
  <c r="BE114" i="15"/>
  <c r="BL113" i="15"/>
  <c r="BJ113" i="15"/>
  <c r="BI113" i="15"/>
  <c r="BH113" i="15"/>
  <c r="BG113" i="15"/>
  <c r="BF113" i="15"/>
  <c r="BE113" i="15"/>
  <c r="BL112" i="15"/>
  <c r="BJ112" i="15"/>
  <c r="BI112" i="15"/>
  <c r="BH112" i="15"/>
  <c r="BG112" i="15"/>
  <c r="BF112" i="15"/>
  <c r="BE112" i="15"/>
  <c r="BL111" i="15"/>
  <c r="BJ111" i="15"/>
  <c r="BI111" i="15"/>
  <c r="BH111" i="15"/>
  <c r="BG111" i="15"/>
  <c r="BF111" i="15"/>
  <c r="BE111" i="15"/>
  <c r="BL110" i="15"/>
  <c r="BJ110" i="15"/>
  <c r="BI110" i="15"/>
  <c r="BH110" i="15"/>
  <c r="BG110" i="15"/>
  <c r="BF110" i="15"/>
  <c r="BE110" i="15"/>
  <c r="BL109" i="15"/>
  <c r="BJ109" i="15"/>
  <c r="BI109" i="15"/>
  <c r="BH109" i="15"/>
  <c r="BG109" i="15"/>
  <c r="BF109" i="15"/>
  <c r="BE109" i="15"/>
  <c r="BL108" i="15"/>
  <c r="BJ108" i="15"/>
  <c r="BI108" i="15"/>
  <c r="BH108" i="15"/>
  <c r="BG108" i="15"/>
  <c r="BF108" i="15"/>
  <c r="BE108" i="15"/>
  <c r="BL107" i="15"/>
  <c r="BJ107" i="15"/>
  <c r="BI107" i="15"/>
  <c r="BH107" i="15"/>
  <c r="BG107" i="15"/>
  <c r="BF107" i="15"/>
  <c r="BE107" i="15"/>
  <c r="BL106" i="15"/>
  <c r="BJ106" i="15"/>
  <c r="BI106" i="15"/>
  <c r="BH106" i="15"/>
  <c r="BG106" i="15"/>
  <c r="BF106" i="15"/>
  <c r="BE106" i="15"/>
  <c r="BL105" i="15"/>
  <c r="BJ105" i="15"/>
  <c r="BI105" i="15"/>
  <c r="BH105" i="15"/>
  <c r="BG105" i="15"/>
  <c r="BF105" i="15"/>
  <c r="BE105" i="15"/>
  <c r="BL104" i="15"/>
  <c r="BJ104" i="15"/>
  <c r="BI104" i="15"/>
  <c r="BH104" i="15"/>
  <c r="BG104" i="15"/>
  <c r="BF104" i="15"/>
  <c r="BE104" i="15"/>
  <c r="BL103" i="15"/>
  <c r="BJ103" i="15"/>
  <c r="BI103" i="15"/>
  <c r="BH103" i="15"/>
  <c r="BG103" i="15"/>
  <c r="BF103" i="15"/>
  <c r="BE103" i="15"/>
  <c r="BL102" i="15"/>
  <c r="BJ102" i="15"/>
  <c r="BI102" i="15"/>
  <c r="BH102" i="15"/>
  <c r="BG102" i="15"/>
  <c r="BF102" i="15"/>
  <c r="BE102" i="15"/>
  <c r="BL101" i="15"/>
  <c r="BJ101" i="15"/>
  <c r="BI101" i="15"/>
  <c r="BH101" i="15"/>
  <c r="BG101" i="15"/>
  <c r="BF101" i="15"/>
  <c r="BE101" i="15"/>
  <c r="BL100" i="15"/>
  <c r="BJ100" i="15"/>
  <c r="BI100" i="15"/>
  <c r="BH100" i="15"/>
  <c r="BG100" i="15"/>
  <c r="BF100" i="15"/>
  <c r="BE100" i="15"/>
  <c r="BL99" i="15"/>
  <c r="BJ99" i="15"/>
  <c r="BI99" i="15"/>
  <c r="BH99" i="15"/>
  <c r="BG99" i="15"/>
  <c r="BF99" i="15"/>
  <c r="BE99" i="15"/>
  <c r="BL98" i="15"/>
  <c r="BJ98" i="15"/>
  <c r="BI98" i="15"/>
  <c r="BH98" i="15"/>
  <c r="BG98" i="15"/>
  <c r="BF98" i="15"/>
  <c r="BE98" i="15"/>
  <c r="BL97" i="15"/>
  <c r="BJ97" i="15"/>
  <c r="BI97" i="15"/>
  <c r="BH97" i="15"/>
  <c r="BG97" i="15"/>
  <c r="BF97" i="15"/>
  <c r="BE97" i="15"/>
  <c r="BL96" i="15"/>
  <c r="BJ96" i="15"/>
  <c r="BI96" i="15"/>
  <c r="BH96" i="15"/>
  <c r="BG96" i="15"/>
  <c r="BF96" i="15"/>
  <c r="BE96" i="15"/>
  <c r="BL95" i="15"/>
  <c r="BJ95" i="15"/>
  <c r="BI95" i="15"/>
  <c r="BH95" i="15"/>
  <c r="BG95" i="15"/>
  <c r="BF95" i="15"/>
  <c r="BE95" i="15"/>
  <c r="BL94" i="15"/>
  <c r="BJ94" i="15"/>
  <c r="BI94" i="15"/>
  <c r="BH94" i="15"/>
  <c r="BG94" i="15"/>
  <c r="BF94" i="15"/>
  <c r="BE94" i="15"/>
  <c r="BL93" i="15"/>
  <c r="BJ93" i="15"/>
  <c r="BI93" i="15"/>
  <c r="BH93" i="15"/>
  <c r="BG93" i="15"/>
  <c r="BF93" i="15"/>
  <c r="BE93" i="15"/>
  <c r="BL92" i="15"/>
  <c r="BJ92" i="15"/>
  <c r="BI92" i="15"/>
  <c r="BH92" i="15"/>
  <c r="BG92" i="15"/>
  <c r="BF92" i="15"/>
  <c r="BE92" i="15"/>
  <c r="BL91" i="15"/>
  <c r="BJ91" i="15"/>
  <c r="BI91" i="15"/>
  <c r="BH91" i="15"/>
  <c r="BG91" i="15"/>
  <c r="BF91" i="15"/>
  <c r="BE91" i="15"/>
  <c r="BL90" i="15"/>
  <c r="BJ90" i="15"/>
  <c r="BI90" i="15"/>
  <c r="BH90" i="15"/>
  <c r="BG90" i="15"/>
  <c r="BF90" i="15"/>
  <c r="BE90" i="15"/>
  <c r="BL89" i="15"/>
  <c r="BJ89" i="15"/>
  <c r="BI89" i="15"/>
  <c r="BH89" i="15"/>
  <c r="BG89" i="15"/>
  <c r="BF89" i="15"/>
  <c r="BE89" i="15"/>
  <c r="BL88" i="15"/>
  <c r="BJ88" i="15"/>
  <c r="BI88" i="15"/>
  <c r="BH88" i="15"/>
  <c r="BG88" i="15"/>
  <c r="BF88" i="15"/>
  <c r="BE88" i="15"/>
  <c r="BL87" i="15"/>
  <c r="BJ87" i="15"/>
  <c r="BI87" i="15"/>
  <c r="BH87" i="15"/>
  <c r="BG87" i="15"/>
  <c r="BF87" i="15"/>
  <c r="BE87" i="15"/>
  <c r="BL86" i="15"/>
  <c r="BJ86" i="15"/>
  <c r="BI86" i="15"/>
  <c r="BH86" i="15"/>
  <c r="BG86" i="15"/>
  <c r="BF86" i="15"/>
  <c r="BE86" i="15"/>
  <c r="BL85" i="15"/>
  <c r="BJ85" i="15"/>
  <c r="BI85" i="15"/>
  <c r="BH85" i="15"/>
  <c r="BG85" i="15"/>
  <c r="BF85" i="15"/>
  <c r="BE85" i="15"/>
  <c r="BL84" i="15"/>
  <c r="BJ84" i="15"/>
  <c r="BI84" i="15"/>
  <c r="BH84" i="15"/>
  <c r="BG84" i="15"/>
  <c r="BF84" i="15"/>
  <c r="BE84" i="15"/>
  <c r="BL83" i="15"/>
  <c r="BJ83" i="15"/>
  <c r="BI83" i="15"/>
  <c r="BH83" i="15"/>
  <c r="BG83" i="15"/>
  <c r="BF83" i="15"/>
  <c r="BE83" i="15"/>
  <c r="BL82" i="15"/>
  <c r="BJ82" i="15"/>
  <c r="BI82" i="15"/>
  <c r="BH82" i="15"/>
  <c r="BG82" i="15"/>
  <c r="BF82" i="15"/>
  <c r="BE82" i="15"/>
  <c r="BL81" i="15"/>
  <c r="BJ81" i="15"/>
  <c r="BI81" i="15"/>
  <c r="BH81" i="15"/>
  <c r="BG81" i="15"/>
  <c r="BF81" i="15"/>
  <c r="BE81" i="15"/>
  <c r="BL80" i="15"/>
  <c r="BJ80" i="15"/>
  <c r="BI80" i="15"/>
  <c r="BH80" i="15"/>
  <c r="BG80" i="15"/>
  <c r="BF80" i="15"/>
  <c r="BE80" i="15"/>
  <c r="BL79" i="15"/>
  <c r="BJ79" i="15"/>
  <c r="BI79" i="15"/>
  <c r="BH79" i="15"/>
  <c r="BG79" i="15"/>
  <c r="BF79" i="15"/>
  <c r="BE79" i="15"/>
  <c r="BL78" i="15"/>
  <c r="BJ78" i="15"/>
  <c r="BI78" i="15"/>
  <c r="BH78" i="15"/>
  <c r="BG78" i="15"/>
  <c r="BF78" i="15"/>
  <c r="BE78" i="15"/>
  <c r="BL77" i="15"/>
  <c r="BJ77" i="15"/>
  <c r="BI77" i="15"/>
  <c r="BH77" i="15"/>
  <c r="BG77" i="15"/>
  <c r="BF77" i="15"/>
  <c r="BE77" i="15"/>
  <c r="BL76" i="15"/>
  <c r="BJ76" i="15"/>
  <c r="BI76" i="15"/>
  <c r="BH76" i="15"/>
  <c r="BG76" i="15"/>
  <c r="BF76" i="15"/>
  <c r="BE76" i="15"/>
  <c r="BL75" i="15"/>
  <c r="BJ75" i="15"/>
  <c r="BI75" i="15"/>
  <c r="BH75" i="15"/>
  <c r="BG75" i="15"/>
  <c r="BF75" i="15"/>
  <c r="BE75" i="15"/>
  <c r="BL74" i="15"/>
  <c r="BJ74" i="15"/>
  <c r="BI74" i="15"/>
  <c r="BH74" i="15"/>
  <c r="BG74" i="15"/>
  <c r="BF74" i="15"/>
  <c r="BE74" i="15"/>
  <c r="BL73" i="15"/>
  <c r="BJ73" i="15"/>
  <c r="BI73" i="15"/>
  <c r="BH73" i="15"/>
  <c r="BG73" i="15"/>
  <c r="BF73" i="15"/>
  <c r="BE73" i="15"/>
  <c r="BL72" i="15"/>
  <c r="BJ72" i="15"/>
  <c r="BI72" i="15"/>
  <c r="BH72" i="15"/>
  <c r="BG72" i="15"/>
  <c r="BF72" i="15"/>
  <c r="BE72" i="15"/>
  <c r="BL71" i="15"/>
  <c r="BJ71" i="15"/>
  <c r="BI71" i="15"/>
  <c r="BH71" i="15"/>
  <c r="BG71" i="15"/>
  <c r="BF71" i="15"/>
  <c r="BE71" i="15"/>
  <c r="BL70" i="15"/>
  <c r="BJ70" i="15"/>
  <c r="BI70" i="15"/>
  <c r="BH70" i="15"/>
  <c r="BG70" i="15"/>
  <c r="BF70" i="15"/>
  <c r="BE70" i="15"/>
  <c r="BL69" i="15"/>
  <c r="BJ69" i="15"/>
  <c r="BI69" i="15"/>
  <c r="BH69" i="15"/>
  <c r="BG69" i="15"/>
  <c r="BF69" i="15"/>
  <c r="BE69" i="15"/>
  <c r="BL68" i="15"/>
  <c r="BJ68" i="15"/>
  <c r="BI68" i="15"/>
  <c r="BH68" i="15"/>
  <c r="BG68" i="15"/>
  <c r="BF68" i="15"/>
  <c r="BE68" i="15"/>
  <c r="BL67" i="15"/>
  <c r="BJ67" i="15"/>
  <c r="BI67" i="15"/>
  <c r="BH67" i="15"/>
  <c r="BG67" i="15"/>
  <c r="BF67" i="15"/>
  <c r="BE67" i="15"/>
  <c r="BL66" i="15"/>
  <c r="BJ66" i="15"/>
  <c r="BI66" i="15"/>
  <c r="BH66" i="15"/>
  <c r="BG66" i="15"/>
  <c r="BF66" i="15"/>
  <c r="BE66" i="15"/>
  <c r="BL65" i="15"/>
  <c r="BJ65" i="15"/>
  <c r="BI65" i="15"/>
  <c r="BH65" i="15"/>
  <c r="BG65" i="15"/>
  <c r="BF65" i="15"/>
  <c r="BE65" i="15"/>
  <c r="BL64" i="15"/>
  <c r="BJ64" i="15"/>
  <c r="BI64" i="15"/>
  <c r="BH64" i="15"/>
  <c r="BG64" i="15"/>
  <c r="BF64" i="15"/>
  <c r="BE64" i="15"/>
  <c r="BL63" i="15"/>
  <c r="BJ63" i="15"/>
  <c r="BI63" i="15"/>
  <c r="BH63" i="15"/>
  <c r="BG63" i="15"/>
  <c r="BF63" i="15"/>
  <c r="BE63" i="15"/>
  <c r="BL62" i="15"/>
  <c r="BJ62" i="15"/>
  <c r="BI62" i="15"/>
  <c r="BH62" i="15"/>
  <c r="BG62" i="15"/>
  <c r="BF62" i="15"/>
  <c r="BE62" i="15"/>
  <c r="BL61" i="15"/>
  <c r="BJ61" i="15"/>
  <c r="BI61" i="15"/>
  <c r="BH61" i="15"/>
  <c r="BG61" i="15"/>
  <c r="BF61" i="15"/>
  <c r="BE61" i="15"/>
  <c r="BL60" i="15"/>
  <c r="BJ60" i="15"/>
  <c r="BI60" i="15"/>
  <c r="BH60" i="15"/>
  <c r="BG60" i="15"/>
  <c r="BF60" i="15"/>
  <c r="BE60" i="15"/>
  <c r="BL59" i="15"/>
  <c r="BJ59" i="15"/>
  <c r="BI59" i="15"/>
  <c r="BH59" i="15"/>
  <c r="BG59" i="15"/>
  <c r="BF59" i="15"/>
  <c r="BE59" i="15"/>
  <c r="BL58" i="15"/>
  <c r="BJ58" i="15"/>
  <c r="BI58" i="15"/>
  <c r="BH58" i="15"/>
  <c r="BG58" i="15"/>
  <c r="BF58" i="15"/>
  <c r="BE58" i="15"/>
  <c r="BL57" i="15"/>
  <c r="BJ57" i="15"/>
  <c r="BI57" i="15"/>
  <c r="BH57" i="15"/>
  <c r="BG57" i="15"/>
  <c r="BF57" i="15"/>
  <c r="BE57" i="15"/>
  <c r="BL56" i="15"/>
  <c r="BJ56" i="15"/>
  <c r="BI56" i="15"/>
  <c r="BH56" i="15"/>
  <c r="BG56" i="15"/>
  <c r="BF56" i="15"/>
  <c r="BE56" i="15"/>
  <c r="BL55" i="15"/>
  <c r="BJ55" i="15"/>
  <c r="BI55" i="15"/>
  <c r="BH55" i="15"/>
  <c r="BG55" i="15"/>
  <c r="BF55" i="15"/>
  <c r="BE55" i="15"/>
  <c r="BL54" i="15"/>
  <c r="BJ54" i="15"/>
  <c r="BI54" i="15"/>
  <c r="BH54" i="15"/>
  <c r="BG54" i="15"/>
  <c r="BF54" i="15"/>
  <c r="BE54" i="15"/>
  <c r="BL53" i="15"/>
  <c r="BJ53" i="15"/>
  <c r="BI53" i="15"/>
  <c r="BH53" i="15"/>
  <c r="BG53" i="15"/>
  <c r="BF53" i="15"/>
  <c r="BE53" i="15"/>
  <c r="BL52" i="15"/>
  <c r="BJ52" i="15"/>
  <c r="BI52" i="15"/>
  <c r="BH52" i="15"/>
  <c r="BG52" i="15"/>
  <c r="BF52" i="15"/>
  <c r="BE52" i="15"/>
  <c r="BL51" i="15"/>
  <c r="BJ51" i="15"/>
  <c r="BI51" i="15"/>
  <c r="BH51" i="15"/>
  <c r="BG51" i="15"/>
  <c r="BF51" i="15"/>
  <c r="BE51" i="15"/>
  <c r="BL50" i="15"/>
  <c r="BJ50" i="15"/>
  <c r="BI50" i="15"/>
  <c r="BH50" i="15"/>
  <c r="BG50" i="15"/>
  <c r="BF50" i="15"/>
  <c r="BE50" i="15"/>
  <c r="BL49" i="15"/>
  <c r="BJ49" i="15"/>
  <c r="BI49" i="15"/>
  <c r="BH49" i="15"/>
  <c r="BG49" i="15"/>
  <c r="BF49" i="15"/>
  <c r="BE49" i="15"/>
  <c r="BL48" i="15"/>
  <c r="BJ48" i="15"/>
  <c r="BI48" i="15"/>
  <c r="BH48" i="15"/>
  <c r="BG48" i="15"/>
  <c r="BF48" i="15"/>
  <c r="BE48" i="15"/>
  <c r="BL47" i="15"/>
  <c r="BJ47" i="15"/>
  <c r="BI47" i="15"/>
  <c r="BH47" i="15"/>
  <c r="BG47" i="15"/>
  <c r="BF47" i="15"/>
  <c r="BE47" i="15"/>
  <c r="BL46" i="15"/>
  <c r="BJ46" i="15"/>
  <c r="BI46" i="15"/>
  <c r="BH46" i="15"/>
  <c r="BG46" i="15"/>
  <c r="BF46" i="15"/>
  <c r="BE46" i="15"/>
  <c r="BL45" i="15"/>
  <c r="BJ45" i="15"/>
  <c r="BI45" i="15"/>
  <c r="BH45" i="15"/>
  <c r="BG45" i="15"/>
  <c r="BF45" i="15"/>
  <c r="BE45" i="15"/>
  <c r="BL44" i="15"/>
  <c r="BJ44" i="15"/>
  <c r="BI44" i="15"/>
  <c r="BH44" i="15"/>
  <c r="BG44" i="15"/>
  <c r="BF44" i="15"/>
  <c r="BE44" i="15"/>
  <c r="BL43" i="15"/>
  <c r="BJ43" i="15"/>
  <c r="BI43" i="15"/>
  <c r="BH43" i="15"/>
  <c r="BG43" i="15"/>
  <c r="BF43" i="15"/>
  <c r="BE43" i="15"/>
  <c r="BL42" i="15"/>
  <c r="BJ42" i="15"/>
  <c r="BI42" i="15"/>
  <c r="BH42" i="15"/>
  <c r="BG42" i="15"/>
  <c r="BF42" i="15"/>
  <c r="BE42" i="15"/>
  <c r="BL41" i="15"/>
  <c r="BJ41" i="15"/>
  <c r="BI41" i="15"/>
  <c r="BH41" i="15"/>
  <c r="BG41" i="15"/>
  <c r="BF41" i="15"/>
  <c r="BE41" i="15"/>
  <c r="BL40" i="15"/>
  <c r="BJ40" i="15"/>
  <c r="BI40" i="15"/>
  <c r="BH40" i="15"/>
  <c r="BG40" i="15"/>
  <c r="BF40" i="15"/>
  <c r="BE40" i="15"/>
  <c r="BL39" i="15"/>
  <c r="BJ39" i="15"/>
  <c r="BI39" i="15"/>
  <c r="BH39" i="15"/>
  <c r="BG39" i="15"/>
  <c r="BF39" i="15"/>
  <c r="BE39" i="15"/>
  <c r="BL38" i="15"/>
  <c r="BJ38" i="15"/>
  <c r="BI38" i="15"/>
  <c r="BH38" i="15"/>
  <c r="BG38" i="15"/>
  <c r="BF38" i="15"/>
  <c r="BE38" i="15"/>
  <c r="BL37" i="15"/>
  <c r="BJ37" i="15"/>
  <c r="BI37" i="15"/>
  <c r="BH37" i="15"/>
  <c r="BG37" i="15"/>
  <c r="BF37" i="15"/>
  <c r="BE37" i="15"/>
  <c r="BL36" i="15"/>
  <c r="BJ36" i="15"/>
  <c r="BI36" i="15"/>
  <c r="BH36" i="15"/>
  <c r="BG36" i="15"/>
  <c r="BF36" i="15"/>
  <c r="BE36" i="15"/>
  <c r="BL35" i="15"/>
  <c r="BJ35" i="15"/>
  <c r="BI35" i="15"/>
  <c r="BH35" i="15"/>
  <c r="BG35" i="15"/>
  <c r="BF35" i="15"/>
  <c r="BE35" i="15"/>
  <c r="BL34" i="15"/>
  <c r="BJ34" i="15"/>
  <c r="BI34" i="15"/>
  <c r="BH34" i="15"/>
  <c r="BG34" i="15"/>
  <c r="BF34" i="15"/>
  <c r="BE34" i="15"/>
  <c r="BL33" i="15"/>
  <c r="BJ33" i="15"/>
  <c r="BI33" i="15"/>
  <c r="BH33" i="15"/>
  <c r="BG33" i="15"/>
  <c r="BF33" i="15"/>
  <c r="BE33" i="15"/>
  <c r="BL32" i="15"/>
  <c r="BJ32" i="15"/>
  <c r="BI32" i="15"/>
  <c r="BH32" i="15"/>
  <c r="BG32" i="15"/>
  <c r="BF32" i="15"/>
  <c r="BE32" i="15"/>
  <c r="BL31" i="15"/>
  <c r="BJ31" i="15"/>
  <c r="BI31" i="15"/>
  <c r="BH31" i="15"/>
  <c r="BG31" i="15"/>
  <c r="BF31" i="15"/>
  <c r="BE31" i="15"/>
  <c r="BL30" i="15"/>
  <c r="BJ30" i="15"/>
  <c r="BI30" i="15"/>
  <c r="BH30" i="15"/>
  <c r="BG30" i="15"/>
  <c r="BF30" i="15"/>
  <c r="BE30" i="15"/>
  <c r="BL29" i="15"/>
  <c r="BJ29" i="15"/>
  <c r="BI29" i="15"/>
  <c r="BH29" i="15"/>
  <c r="BG29" i="15"/>
  <c r="BF29" i="15"/>
  <c r="BE29" i="15"/>
  <c r="BL28" i="15"/>
  <c r="BJ28" i="15"/>
  <c r="BI28" i="15"/>
  <c r="BH28" i="15"/>
  <c r="BG28" i="15"/>
  <c r="BF28" i="15"/>
  <c r="BE28" i="15"/>
  <c r="BL27" i="15"/>
  <c r="BJ27" i="15"/>
  <c r="BI27" i="15"/>
  <c r="BH27" i="15"/>
  <c r="BG27" i="15"/>
  <c r="BF27" i="15"/>
  <c r="BE27" i="15"/>
  <c r="BL26" i="15"/>
  <c r="BJ26" i="15"/>
  <c r="BI26" i="15"/>
  <c r="BH26" i="15"/>
  <c r="BG26" i="15"/>
  <c r="BF26" i="15"/>
  <c r="BE26" i="15"/>
  <c r="BL25" i="15"/>
  <c r="BJ25" i="15"/>
  <c r="BI25" i="15"/>
  <c r="BH25" i="15"/>
  <c r="BG25" i="15"/>
  <c r="BF25" i="15"/>
  <c r="BE25" i="15"/>
  <c r="BL24" i="15"/>
  <c r="BJ24" i="15"/>
  <c r="BI24" i="15"/>
  <c r="BH24" i="15"/>
  <c r="BG24" i="15"/>
  <c r="BF24" i="15"/>
  <c r="BE24" i="15"/>
  <c r="BL23" i="15"/>
  <c r="BJ23" i="15"/>
  <c r="BI23" i="15"/>
  <c r="BH23" i="15"/>
  <c r="BG23" i="15"/>
  <c r="BF23" i="15"/>
  <c r="BE23" i="15"/>
  <c r="BL22" i="15"/>
  <c r="BJ22" i="15"/>
  <c r="BI22" i="15"/>
  <c r="BH22" i="15"/>
  <c r="BG22" i="15"/>
  <c r="BF22" i="15"/>
  <c r="BE22" i="15"/>
  <c r="BL21" i="15"/>
  <c r="BJ21" i="15"/>
  <c r="BI21" i="15"/>
  <c r="BH21" i="15"/>
  <c r="BG21" i="15"/>
  <c r="BF21" i="15"/>
  <c r="BE21" i="15"/>
  <c r="BL20" i="15"/>
  <c r="BJ20" i="15"/>
  <c r="BI20" i="15"/>
  <c r="BH20" i="15"/>
  <c r="BG20" i="15"/>
  <c r="BF20" i="15"/>
  <c r="BE20" i="15"/>
  <c r="BL19" i="15"/>
  <c r="BJ19" i="15"/>
  <c r="BI19" i="15"/>
  <c r="BH19" i="15"/>
  <c r="BG19" i="15"/>
  <c r="BF19" i="15"/>
  <c r="BE19" i="15"/>
  <c r="BL18" i="15"/>
  <c r="BJ18" i="15"/>
  <c r="BI18" i="15"/>
  <c r="BH18" i="15"/>
  <c r="BG18" i="15"/>
  <c r="BF18" i="15"/>
  <c r="BE18" i="15"/>
  <c r="BL17" i="15"/>
  <c r="BJ17" i="15"/>
  <c r="BI17" i="15"/>
  <c r="BH17" i="15"/>
  <c r="BG17" i="15"/>
  <c r="BF17" i="15"/>
  <c r="BE17" i="15"/>
  <c r="BL16" i="15"/>
  <c r="BJ16" i="15"/>
  <c r="BI16" i="15"/>
  <c r="BH16" i="15"/>
  <c r="BG16" i="15"/>
  <c r="BF16" i="15"/>
  <c r="BE16" i="15"/>
  <c r="BL15" i="15"/>
  <c r="BJ15" i="15"/>
  <c r="BI15" i="15"/>
  <c r="BH15" i="15"/>
  <c r="BG15" i="15"/>
  <c r="BF15" i="15"/>
  <c r="BE15" i="15"/>
  <c r="BL14" i="15"/>
  <c r="BJ14" i="15"/>
  <c r="BI14" i="15"/>
  <c r="BH14" i="15"/>
  <c r="BG14" i="15"/>
  <c r="BF14" i="15"/>
  <c r="BE14" i="15"/>
  <c r="BL13" i="15"/>
  <c r="BJ13" i="15"/>
  <c r="BI13" i="15"/>
  <c r="BH13" i="15"/>
  <c r="BG13" i="15"/>
  <c r="BF13" i="15"/>
  <c r="BE13" i="15"/>
  <c r="BL12" i="15"/>
  <c r="BJ12" i="15"/>
  <c r="BI12" i="15"/>
  <c r="BH12" i="15"/>
  <c r="BG12" i="15"/>
  <c r="BF12" i="15"/>
  <c r="BE12" i="15"/>
  <c r="BL11" i="15"/>
  <c r="BJ11" i="15"/>
  <c r="BI11" i="15"/>
  <c r="BH11" i="15"/>
  <c r="BG11" i="15"/>
  <c r="BF11" i="15"/>
  <c r="BE11" i="15"/>
  <c r="BL10" i="15"/>
  <c r="BJ10" i="15"/>
  <c r="BI10" i="15"/>
  <c r="BH10" i="15"/>
  <c r="BG10" i="15"/>
  <c r="BF10" i="15"/>
  <c r="BE10" i="15"/>
  <c r="BL9" i="15"/>
  <c r="BJ9" i="15"/>
  <c r="BI9" i="15"/>
  <c r="BH9" i="15"/>
  <c r="BG9" i="15"/>
  <c r="BF9" i="15"/>
  <c r="BE9" i="15"/>
  <c r="BL8" i="15"/>
  <c r="BJ8" i="15"/>
  <c r="BI8" i="15"/>
  <c r="BH8" i="15"/>
  <c r="BG8" i="15"/>
  <c r="BF8" i="15"/>
  <c r="BE8" i="15"/>
  <c r="BL7" i="15"/>
  <c r="BJ7" i="15"/>
  <c r="BI7" i="15"/>
  <c r="BH7" i="15"/>
  <c r="BG7" i="15"/>
  <c r="BF7" i="15"/>
  <c r="BE7" i="15"/>
  <c r="BL6" i="15"/>
  <c r="BJ6" i="15"/>
  <c r="BI6" i="15"/>
  <c r="BH6" i="15"/>
  <c r="BG6" i="15"/>
  <c r="BF6" i="15"/>
  <c r="BE6" i="15"/>
  <c r="BL5" i="15"/>
  <c r="BJ5" i="15"/>
  <c r="BI5" i="15"/>
  <c r="BH5" i="15"/>
  <c r="BG5" i="15"/>
  <c r="BF5" i="15"/>
  <c r="BE5" i="15"/>
  <c r="BL4" i="15"/>
  <c r="BJ4" i="15"/>
  <c r="BI4" i="15"/>
  <c r="BH4" i="15"/>
  <c r="BG4" i="15"/>
  <c r="BF4" i="15"/>
  <c r="BE4" i="15"/>
  <c r="BJ3" i="15"/>
  <c r="BI3" i="15"/>
  <c r="BH3" i="15"/>
  <c r="BG3" i="15"/>
  <c r="BF3" i="15"/>
  <c r="BE3" i="15"/>
  <c r="AC7" i="1" l="1"/>
  <c r="AC7" i="20"/>
  <c r="AC4" i="20"/>
  <c r="N7" i="19" l="1"/>
  <c r="M7" i="19"/>
  <c r="L7" i="19"/>
  <c r="AB24" i="20" l="1"/>
  <c r="AB24" i="1"/>
  <c r="AB25" i="20"/>
  <c r="AB25" i="1"/>
  <c r="AB26" i="20"/>
  <c r="AB26" i="1"/>
  <c r="AB27" i="20"/>
  <c r="AB27" i="1"/>
  <c r="AB28" i="20"/>
  <c r="AB28" i="1"/>
  <c r="AB29" i="20"/>
  <c r="AB29" i="1"/>
  <c r="E290" i="22"/>
  <c r="I268" i="22"/>
  <c r="A268" i="22"/>
  <c r="A224" i="22"/>
  <c r="I202" i="22"/>
  <c r="I224" i="22"/>
  <c r="I45" i="22"/>
  <c r="O21" i="20" l="1"/>
  <c r="O20" i="20"/>
  <c r="O6" i="20"/>
  <c r="O28" i="20" l="1"/>
  <c r="O13" i="20"/>
  <c r="O27" i="20"/>
  <c r="N26" i="20"/>
  <c r="O26" i="20"/>
  <c r="N27" i="20"/>
  <c r="N28" i="20"/>
  <c r="N13" i="20"/>
  <c r="N20" i="20"/>
  <c r="N21" i="20"/>
  <c r="N6" i="20"/>
  <c r="AF20" i="20"/>
  <c r="AF27" i="20"/>
  <c r="AF28" i="20"/>
  <c r="AF26" i="20"/>
  <c r="AF21" i="20"/>
  <c r="AF25" i="20"/>
  <c r="AF13" i="20"/>
  <c r="AF6" i="20"/>
  <c r="H4" i="20"/>
  <c r="G4" i="20"/>
  <c r="O25" i="20" l="1"/>
  <c r="N8" i="20"/>
  <c r="N7" i="20"/>
  <c r="N22" i="20"/>
  <c r="N15" i="20"/>
  <c r="O7" i="20"/>
  <c r="O15" i="20"/>
  <c r="AE28" i="20" l="1"/>
  <c r="AE26" i="20"/>
  <c r="AE21" i="20" l="1"/>
  <c r="AE20" i="20"/>
  <c r="AE27" i="20"/>
  <c r="AE25" i="20"/>
  <c r="Z4" i="19" l="1"/>
  <c r="AB4" i="19" s="1"/>
  <c r="AE13" i="20"/>
  <c r="AE6" i="20"/>
  <c r="J34" i="1" l="1"/>
  <c r="O7" i="1"/>
  <c r="F34" i="1"/>
  <c r="C34" i="1"/>
  <c r="G34" i="1"/>
  <c r="D34" i="1"/>
  <c r="H34" i="1"/>
  <c r="E34" i="1"/>
  <c r="B34" i="1"/>
  <c r="N7" i="1"/>
  <c r="I247" i="22" l="1"/>
  <c r="A247" i="22"/>
  <c r="A202" i="22"/>
  <c r="I179" i="22"/>
  <c r="A179" i="22"/>
  <c r="I157" i="22"/>
  <c r="A157" i="22"/>
  <c r="I112" i="22"/>
  <c r="A112" i="22" l="1"/>
  <c r="I89" i="22"/>
  <c r="A89" i="22"/>
  <c r="I67" i="22"/>
  <c r="A67" i="22"/>
  <c r="A45" i="22"/>
  <c r="I23" i="22"/>
  <c r="A23" i="22"/>
  <c r="I1" i="22"/>
  <c r="A1" i="22"/>
  <c r="A1" i="20"/>
  <c r="O9" i="20" l="1"/>
  <c r="N5" i="20"/>
  <c r="F4" i="20"/>
  <c r="L4" i="20" s="1"/>
  <c r="N4" i="20" s="1"/>
  <c r="E4" i="20"/>
  <c r="D4" i="20"/>
  <c r="C4" i="20"/>
  <c r="B4" i="20"/>
  <c r="O4" i="20" s="1"/>
  <c r="Q1" i="20"/>
  <c r="A159" i="22" l="1"/>
  <c r="A137" i="22"/>
  <c r="E292" i="22"/>
  <c r="A270" i="22"/>
  <c r="I204" i="22"/>
  <c r="I226" i="22"/>
  <c r="A226" i="22"/>
  <c r="I47" i="22"/>
  <c r="I270" i="22"/>
  <c r="O29" i="20"/>
  <c r="O14" i="20"/>
  <c r="O18" i="20"/>
  <c r="O11" i="20"/>
  <c r="O30" i="20"/>
  <c r="N29" i="20"/>
  <c r="N30" i="20"/>
  <c r="O17" i="20"/>
  <c r="I181" i="22"/>
  <c r="I249" i="22"/>
  <c r="A204" i="22"/>
  <c r="I159" i="22"/>
  <c r="I114" i="22"/>
  <c r="A249" i="22"/>
  <c r="A181" i="22"/>
  <c r="A114" i="22"/>
  <c r="I137" i="22"/>
  <c r="A91" i="22"/>
  <c r="I69" i="22"/>
  <c r="I25" i="22"/>
  <c r="I91" i="22"/>
  <c r="A69" i="22"/>
  <c r="I3" i="22"/>
  <c r="A25" i="22"/>
  <c r="A3" i="22"/>
  <c r="A47" i="22"/>
  <c r="O22" i="20"/>
  <c r="N23" i="20"/>
  <c r="N24" i="20"/>
  <c r="N25" i="20"/>
  <c r="AF11" i="20"/>
  <c r="N12" i="20"/>
  <c r="AF9" i="20"/>
  <c r="N16" i="20"/>
  <c r="N17" i="20"/>
  <c r="N19" i="20"/>
  <c r="N11" i="20"/>
  <c r="AF22" i="20"/>
  <c r="AE12" i="20"/>
  <c r="AF14" i="20"/>
  <c r="AF15" i="20"/>
  <c r="AF16" i="20"/>
  <c r="AE8" i="20"/>
  <c r="AF30" i="20"/>
  <c r="AF7" i="20"/>
  <c r="N10" i="20"/>
  <c r="N18" i="20"/>
  <c r="AE9" i="20"/>
  <c r="AE7" i="20"/>
  <c r="AF17" i="20"/>
  <c r="AF18" i="20"/>
  <c r="AF23" i="20"/>
  <c r="AF5" i="20"/>
  <c r="AE5" i="20"/>
  <c r="AF10" i="20"/>
  <c r="AE11" i="20"/>
  <c r="AF12" i="20"/>
  <c r="AF19" i="20"/>
  <c r="AF24" i="20"/>
  <c r="AF29" i="20"/>
  <c r="O8" i="20"/>
  <c r="O10" i="20"/>
  <c r="O5" i="20"/>
  <c r="AF8" i="20"/>
  <c r="O19" i="20"/>
  <c r="O23" i="20"/>
  <c r="N9" i="20"/>
  <c r="AE10" i="20"/>
  <c r="O12" i="20"/>
  <c r="AE14" i="20"/>
  <c r="O16" i="20"/>
  <c r="O24" i="20"/>
  <c r="N14" i="20"/>
  <c r="BH4" i="14" l="1"/>
  <c r="BI4" i="14"/>
  <c r="BL4" i="14"/>
  <c r="BH5" i="14"/>
  <c r="BI5" i="14"/>
  <c r="BL5" i="14"/>
  <c r="BH6" i="14"/>
  <c r="BI6" i="14"/>
  <c r="BL6" i="14"/>
  <c r="BH7" i="14"/>
  <c r="BI7" i="14"/>
  <c r="BL7" i="14"/>
  <c r="BH8" i="14"/>
  <c r="BI8" i="14"/>
  <c r="BL8" i="14"/>
  <c r="BH9" i="14"/>
  <c r="BI9" i="14"/>
  <c r="BL9" i="14"/>
  <c r="BH10" i="14"/>
  <c r="BI10" i="14"/>
  <c r="BL10" i="14"/>
  <c r="BH11" i="14"/>
  <c r="BI11" i="14"/>
  <c r="BL11" i="14"/>
  <c r="BH12" i="14"/>
  <c r="BI12" i="14"/>
  <c r="BL12" i="14"/>
  <c r="BH13" i="14"/>
  <c r="BI13" i="14"/>
  <c r="BL13" i="14"/>
  <c r="BH14" i="14"/>
  <c r="BI14" i="14"/>
  <c r="BL14" i="14"/>
  <c r="BH15" i="14"/>
  <c r="BI15" i="14"/>
  <c r="BL15" i="14"/>
  <c r="BH16" i="14"/>
  <c r="BI16" i="14"/>
  <c r="BL16" i="14"/>
  <c r="BH17" i="14"/>
  <c r="BI17" i="14"/>
  <c r="BL17" i="14"/>
  <c r="BH18" i="14"/>
  <c r="BI18" i="14"/>
  <c r="BL18" i="14"/>
  <c r="BH19" i="14"/>
  <c r="BI19" i="14"/>
  <c r="BL19" i="14"/>
  <c r="BH20" i="14"/>
  <c r="BI20" i="14"/>
  <c r="BL20" i="14"/>
  <c r="BH21" i="14"/>
  <c r="BI21" i="14"/>
  <c r="BL21" i="14"/>
  <c r="BH22" i="14"/>
  <c r="BI22" i="14"/>
  <c r="BL22" i="14"/>
  <c r="BH23" i="14"/>
  <c r="BI23" i="14"/>
  <c r="BL23" i="14"/>
  <c r="BH24" i="14"/>
  <c r="BI24" i="14"/>
  <c r="BL24" i="14"/>
  <c r="BH25" i="14"/>
  <c r="BI25" i="14"/>
  <c r="BL25" i="14"/>
  <c r="BH26" i="14"/>
  <c r="BI26" i="14"/>
  <c r="BL26" i="14"/>
  <c r="BH27" i="14"/>
  <c r="BI27" i="14"/>
  <c r="BL27" i="14"/>
  <c r="BH28" i="14"/>
  <c r="BI28" i="14"/>
  <c r="BL28" i="14"/>
  <c r="BH29" i="14"/>
  <c r="BI29" i="14"/>
  <c r="BL29" i="14"/>
  <c r="BH30" i="14"/>
  <c r="BI30" i="14"/>
  <c r="BL30" i="14"/>
  <c r="BH31" i="14"/>
  <c r="BI31" i="14"/>
  <c r="BL31" i="14"/>
  <c r="BH32" i="14"/>
  <c r="BI32" i="14"/>
  <c r="BL32" i="14"/>
  <c r="BH33" i="14"/>
  <c r="BI33" i="14"/>
  <c r="BL33" i="14"/>
  <c r="BH34" i="14"/>
  <c r="BI34" i="14"/>
  <c r="BL34" i="14"/>
  <c r="BH35" i="14"/>
  <c r="BI35" i="14"/>
  <c r="BL35" i="14"/>
  <c r="BH36" i="14"/>
  <c r="BI36" i="14"/>
  <c r="BL36" i="14"/>
  <c r="BH37" i="14"/>
  <c r="BI37" i="14"/>
  <c r="BL37" i="14"/>
  <c r="BH38" i="14"/>
  <c r="BI38" i="14"/>
  <c r="BL38" i="14"/>
  <c r="BH39" i="14"/>
  <c r="BI39" i="14"/>
  <c r="BL39" i="14"/>
  <c r="BH40" i="14"/>
  <c r="BI40" i="14"/>
  <c r="BL40" i="14"/>
  <c r="BH41" i="14"/>
  <c r="BI41" i="14"/>
  <c r="BL41" i="14"/>
  <c r="BH42" i="14"/>
  <c r="BI42" i="14"/>
  <c r="BL42" i="14"/>
  <c r="BH43" i="14"/>
  <c r="BI43" i="14"/>
  <c r="BL43" i="14"/>
  <c r="BH44" i="14"/>
  <c r="BI44" i="14"/>
  <c r="BL44" i="14"/>
  <c r="BH45" i="14"/>
  <c r="BI45" i="14"/>
  <c r="BL45" i="14"/>
  <c r="BH46" i="14"/>
  <c r="BI46" i="14"/>
  <c r="BL46" i="14"/>
  <c r="BH47" i="14"/>
  <c r="BI47" i="14"/>
  <c r="BL47" i="14"/>
  <c r="BH48" i="14"/>
  <c r="BI48" i="14"/>
  <c r="BL48" i="14"/>
  <c r="BH49" i="14"/>
  <c r="BI49" i="14"/>
  <c r="BL49" i="14"/>
  <c r="BH50" i="14"/>
  <c r="BI50" i="14"/>
  <c r="BL50" i="14"/>
  <c r="BH51" i="14"/>
  <c r="BI51" i="14"/>
  <c r="BL51" i="14"/>
  <c r="BH52" i="14"/>
  <c r="BI52" i="14"/>
  <c r="BL52" i="14"/>
  <c r="BH53" i="14"/>
  <c r="BI53" i="14"/>
  <c r="BL53" i="14"/>
  <c r="BH54" i="14"/>
  <c r="BI54" i="14"/>
  <c r="BL54" i="14"/>
  <c r="BH55" i="14"/>
  <c r="BI55" i="14"/>
  <c r="BL55" i="14"/>
  <c r="BH56" i="14"/>
  <c r="BI56" i="14"/>
  <c r="BL56" i="14"/>
  <c r="BH57" i="14"/>
  <c r="BI57" i="14"/>
  <c r="BL57" i="14"/>
  <c r="BH58" i="14"/>
  <c r="BI58" i="14"/>
  <c r="BL58" i="14"/>
  <c r="BH59" i="14"/>
  <c r="BI59" i="14"/>
  <c r="BL59" i="14"/>
  <c r="BH60" i="14"/>
  <c r="BI60" i="14"/>
  <c r="BL60" i="14"/>
  <c r="BH61" i="14"/>
  <c r="BI61" i="14"/>
  <c r="BL61" i="14"/>
  <c r="BH62" i="14"/>
  <c r="BI62" i="14"/>
  <c r="BL62" i="14"/>
  <c r="BH63" i="14"/>
  <c r="BI63" i="14"/>
  <c r="BL63" i="14"/>
  <c r="BH64" i="14"/>
  <c r="BI64" i="14"/>
  <c r="BL64" i="14"/>
  <c r="BH65" i="14"/>
  <c r="BI65" i="14"/>
  <c r="BL65" i="14"/>
  <c r="BH66" i="14"/>
  <c r="BI66" i="14"/>
  <c r="BL66" i="14"/>
  <c r="BH67" i="14"/>
  <c r="BI67" i="14"/>
  <c r="BL67" i="14"/>
  <c r="BH68" i="14"/>
  <c r="BI68" i="14"/>
  <c r="BL68" i="14"/>
  <c r="BH69" i="14"/>
  <c r="BI69" i="14"/>
  <c r="BL69" i="14"/>
  <c r="BH70" i="14"/>
  <c r="BI70" i="14"/>
  <c r="BL70" i="14"/>
  <c r="BH71" i="14"/>
  <c r="BI71" i="14"/>
  <c r="BL71" i="14"/>
  <c r="BH72" i="14"/>
  <c r="BI72" i="14"/>
  <c r="BL72" i="14"/>
  <c r="BH73" i="14"/>
  <c r="BI73" i="14"/>
  <c r="BL73" i="14"/>
  <c r="BH74" i="14"/>
  <c r="BI74" i="14"/>
  <c r="BL74" i="14"/>
  <c r="BH75" i="14"/>
  <c r="BI75" i="14"/>
  <c r="BL75" i="14"/>
  <c r="BH76" i="14"/>
  <c r="BI76" i="14"/>
  <c r="BL76" i="14"/>
  <c r="BH77" i="14"/>
  <c r="BI77" i="14"/>
  <c r="BL77" i="14"/>
  <c r="BH78" i="14"/>
  <c r="BI78" i="14"/>
  <c r="BL78" i="14"/>
  <c r="BH79" i="14"/>
  <c r="BI79" i="14"/>
  <c r="BL79" i="14"/>
  <c r="BH80" i="14"/>
  <c r="BI80" i="14"/>
  <c r="BL80" i="14"/>
  <c r="BH81" i="14"/>
  <c r="BI81" i="14"/>
  <c r="BL81" i="14"/>
  <c r="BH82" i="14"/>
  <c r="BI82" i="14"/>
  <c r="BL82" i="14"/>
  <c r="BH83" i="14"/>
  <c r="BI83" i="14"/>
  <c r="BL83" i="14"/>
  <c r="BH84" i="14"/>
  <c r="BI84" i="14"/>
  <c r="BL84" i="14"/>
  <c r="BH85" i="14"/>
  <c r="BI85" i="14"/>
  <c r="BL85" i="14"/>
  <c r="BH86" i="14"/>
  <c r="BI86" i="14"/>
  <c r="BL86" i="14"/>
  <c r="BH87" i="14"/>
  <c r="BI87" i="14"/>
  <c r="BL87" i="14"/>
  <c r="BH88" i="14"/>
  <c r="BI88" i="14"/>
  <c r="BL88" i="14"/>
  <c r="BH89" i="14"/>
  <c r="BI89" i="14"/>
  <c r="BL89" i="14"/>
  <c r="BH90" i="14"/>
  <c r="BI90" i="14"/>
  <c r="BL90" i="14"/>
  <c r="BH91" i="14"/>
  <c r="BI91" i="14"/>
  <c r="BL91" i="14"/>
  <c r="BH92" i="14"/>
  <c r="BI92" i="14"/>
  <c r="BL92" i="14"/>
  <c r="BH93" i="14"/>
  <c r="BI93" i="14"/>
  <c r="BL93" i="14"/>
  <c r="BH94" i="14"/>
  <c r="BI94" i="14"/>
  <c r="BL94" i="14"/>
  <c r="BH95" i="14"/>
  <c r="BI95" i="14"/>
  <c r="BL95" i="14"/>
  <c r="BH96" i="14"/>
  <c r="BI96" i="14"/>
  <c r="BL96" i="14"/>
  <c r="BH97" i="14"/>
  <c r="BI97" i="14"/>
  <c r="BL97" i="14"/>
  <c r="BH98" i="14"/>
  <c r="BI98" i="14"/>
  <c r="BL98" i="14"/>
  <c r="BH99" i="14"/>
  <c r="BI99" i="14"/>
  <c r="BL99" i="14"/>
  <c r="BH100" i="14"/>
  <c r="BI100" i="14"/>
  <c r="BL100" i="14"/>
  <c r="BH101" i="14"/>
  <c r="BI101" i="14"/>
  <c r="BL101" i="14"/>
  <c r="BH102" i="14"/>
  <c r="BI102" i="14"/>
  <c r="BL102" i="14"/>
  <c r="BH103" i="14"/>
  <c r="BI103" i="14"/>
  <c r="BL103" i="14"/>
  <c r="BH104" i="14"/>
  <c r="BI104" i="14"/>
  <c r="BL104" i="14"/>
  <c r="BH105" i="14"/>
  <c r="BI105" i="14"/>
  <c r="BL105" i="14"/>
  <c r="BH106" i="14"/>
  <c r="BI106" i="14"/>
  <c r="BL106" i="14"/>
  <c r="BH107" i="14"/>
  <c r="BI107" i="14"/>
  <c r="BL107" i="14"/>
  <c r="BH108" i="14"/>
  <c r="BI108" i="14"/>
  <c r="BL108" i="14"/>
  <c r="BH109" i="14"/>
  <c r="BI109" i="14"/>
  <c r="BL109" i="14"/>
  <c r="BH110" i="14"/>
  <c r="BI110" i="14"/>
  <c r="BL110" i="14"/>
  <c r="BH111" i="14"/>
  <c r="BI111" i="14"/>
  <c r="BL111" i="14"/>
  <c r="BH112" i="14"/>
  <c r="BI112" i="14"/>
  <c r="BL112" i="14"/>
  <c r="BH113" i="14"/>
  <c r="BI113" i="14"/>
  <c r="BL113" i="14"/>
  <c r="BH114" i="14"/>
  <c r="BI114" i="14"/>
  <c r="BL114" i="14"/>
  <c r="BH115" i="14"/>
  <c r="BI115" i="14"/>
  <c r="BL115" i="14"/>
  <c r="BH116" i="14"/>
  <c r="BI116" i="14"/>
  <c r="BL116" i="14"/>
  <c r="BH117" i="14"/>
  <c r="BI117" i="14"/>
  <c r="BL117" i="14"/>
  <c r="BH118" i="14"/>
  <c r="BI118" i="14"/>
  <c r="BL118" i="14"/>
  <c r="BH119" i="14"/>
  <c r="BI119" i="14"/>
  <c r="BL119" i="14"/>
  <c r="BH120" i="14"/>
  <c r="BI120" i="14"/>
  <c r="BL120" i="14"/>
  <c r="BH121" i="14"/>
  <c r="BI121" i="14"/>
  <c r="BL121" i="14"/>
  <c r="BH122" i="14"/>
  <c r="BI122" i="14"/>
  <c r="BL122" i="14"/>
  <c r="BH123" i="14"/>
  <c r="BI123" i="14"/>
  <c r="BL123" i="14"/>
  <c r="BH124" i="14"/>
  <c r="BI124" i="14"/>
  <c r="BL124" i="14"/>
  <c r="BH125" i="14"/>
  <c r="BI125" i="14"/>
  <c r="BL125" i="14"/>
  <c r="BH126" i="14"/>
  <c r="BI126" i="14"/>
  <c r="BL126" i="14"/>
  <c r="BH127" i="14"/>
  <c r="BI127" i="14"/>
  <c r="BL127" i="14"/>
  <c r="BH128" i="14"/>
  <c r="BI128" i="14"/>
  <c r="BL128" i="14"/>
  <c r="BH129" i="14"/>
  <c r="BI129" i="14"/>
  <c r="BL129" i="14"/>
  <c r="BH130" i="14"/>
  <c r="BI130" i="14"/>
  <c r="BL130" i="14"/>
  <c r="BH131" i="14"/>
  <c r="BI131" i="14"/>
  <c r="BL131" i="14"/>
  <c r="BH132" i="14"/>
  <c r="BI132" i="14"/>
  <c r="BL132" i="14"/>
  <c r="BH133" i="14"/>
  <c r="BI133" i="14"/>
  <c r="BL133" i="14"/>
  <c r="BH134" i="14"/>
  <c r="BI134" i="14"/>
  <c r="BL134" i="14"/>
  <c r="BH135" i="14"/>
  <c r="BI135" i="14"/>
  <c r="BL135" i="14"/>
  <c r="BH136" i="14"/>
  <c r="BI136" i="14"/>
  <c r="BL136" i="14"/>
  <c r="BH137" i="14"/>
  <c r="BI137" i="14"/>
  <c r="BL137" i="14"/>
  <c r="BH138" i="14"/>
  <c r="BI138" i="14"/>
  <c r="BL138" i="14"/>
  <c r="BH139" i="14"/>
  <c r="BI139" i="14"/>
  <c r="BL139" i="14"/>
  <c r="BH140" i="14"/>
  <c r="BI140" i="14"/>
  <c r="BL140" i="14"/>
  <c r="BH141" i="14"/>
  <c r="BI141" i="14"/>
  <c r="BL141" i="14"/>
  <c r="BH142" i="14"/>
  <c r="BI142" i="14"/>
  <c r="BL142" i="14"/>
  <c r="BH143" i="14"/>
  <c r="BI143" i="14"/>
  <c r="BL143" i="14"/>
  <c r="BH144" i="14"/>
  <c r="BI144" i="14"/>
  <c r="BL144" i="14"/>
  <c r="BH145" i="14"/>
  <c r="BI145" i="14"/>
  <c r="BL145" i="14"/>
  <c r="BH146" i="14"/>
  <c r="BI146" i="14"/>
  <c r="BL146" i="14"/>
  <c r="BH147" i="14"/>
  <c r="BI147" i="14"/>
  <c r="BL147" i="14"/>
  <c r="BH148" i="14"/>
  <c r="BI148" i="14"/>
  <c r="BL148" i="14"/>
  <c r="BH149" i="14"/>
  <c r="BI149" i="14"/>
  <c r="BL149" i="14"/>
  <c r="BH150" i="14"/>
  <c r="BI150" i="14"/>
  <c r="BL150" i="14"/>
  <c r="BH151" i="14"/>
  <c r="BI151" i="14"/>
  <c r="BL151" i="14"/>
  <c r="BH152" i="14"/>
  <c r="BI152" i="14"/>
  <c r="BL152" i="14"/>
  <c r="BH153" i="14"/>
  <c r="BI153" i="14"/>
  <c r="BL153" i="14"/>
  <c r="BH154" i="14"/>
  <c r="BI154" i="14"/>
  <c r="BL154" i="14"/>
  <c r="BH155" i="14"/>
  <c r="BI155" i="14"/>
  <c r="BL155" i="14"/>
  <c r="BH156" i="14"/>
  <c r="BI156" i="14"/>
  <c r="BL156" i="14"/>
  <c r="BH157" i="14"/>
  <c r="BI157" i="14"/>
  <c r="BL157" i="14"/>
  <c r="BH158" i="14"/>
  <c r="BI158" i="14"/>
  <c r="BL158" i="14"/>
  <c r="BH159" i="14"/>
  <c r="BI159" i="14"/>
  <c r="BL159" i="14"/>
  <c r="BH160" i="14"/>
  <c r="BI160" i="14"/>
  <c r="BL160" i="14"/>
  <c r="BH161" i="14"/>
  <c r="BI161" i="14"/>
  <c r="BL161" i="14"/>
  <c r="BH162" i="14"/>
  <c r="BI162" i="14"/>
  <c r="BL162" i="14"/>
  <c r="BH163" i="14"/>
  <c r="BI163" i="14"/>
  <c r="BL163" i="14"/>
  <c r="BH164" i="14"/>
  <c r="BI164" i="14"/>
  <c r="BL164" i="14"/>
  <c r="BH165" i="14"/>
  <c r="BI165" i="14"/>
  <c r="BL165" i="14"/>
  <c r="BH166" i="14"/>
  <c r="BI166" i="14"/>
  <c r="BL166" i="14"/>
  <c r="BH167" i="14"/>
  <c r="BI167" i="14"/>
  <c r="BL167" i="14"/>
  <c r="BH168" i="14"/>
  <c r="BI168" i="14"/>
  <c r="BL168" i="14"/>
  <c r="BH169" i="14"/>
  <c r="BI169" i="14"/>
  <c r="BL169" i="14"/>
  <c r="BH170" i="14"/>
  <c r="BI170" i="14"/>
  <c r="BL170" i="14"/>
  <c r="BH171" i="14"/>
  <c r="BI171" i="14"/>
  <c r="BL171" i="14"/>
  <c r="BH172" i="14"/>
  <c r="BI172" i="14"/>
  <c r="BL172" i="14"/>
  <c r="BH173" i="14"/>
  <c r="BI173" i="14"/>
  <c r="BL173" i="14"/>
  <c r="BH174" i="14"/>
  <c r="BI174" i="14"/>
  <c r="BL174" i="14"/>
  <c r="BH175" i="14"/>
  <c r="BI175" i="14"/>
  <c r="BL175" i="14"/>
  <c r="BH176" i="14"/>
  <c r="BI176" i="14"/>
  <c r="BL176" i="14"/>
  <c r="BH177" i="14"/>
  <c r="BI177" i="14"/>
  <c r="BL177" i="14"/>
  <c r="BH178" i="14"/>
  <c r="BI178" i="14"/>
  <c r="BL178" i="14"/>
  <c r="BH179" i="14"/>
  <c r="BI179" i="14"/>
  <c r="BL179" i="14"/>
  <c r="BH180" i="14"/>
  <c r="BI180" i="14"/>
  <c r="BL180" i="14"/>
  <c r="BH181" i="14"/>
  <c r="BI181" i="14"/>
  <c r="BL181" i="14"/>
  <c r="BH182" i="14"/>
  <c r="BI182" i="14"/>
  <c r="BL182" i="14"/>
  <c r="BH183" i="14"/>
  <c r="BI183" i="14"/>
  <c r="BL183" i="14"/>
  <c r="BH184" i="14"/>
  <c r="BI184" i="14"/>
  <c r="BL184" i="14"/>
  <c r="BH185" i="14"/>
  <c r="BI185" i="14"/>
  <c r="BL185" i="14"/>
  <c r="BH186" i="14"/>
  <c r="BI186" i="14"/>
  <c r="BL186" i="14"/>
  <c r="BH187" i="14"/>
  <c r="BI187" i="14"/>
  <c r="BL187" i="14"/>
  <c r="BH188" i="14"/>
  <c r="BI188" i="14"/>
  <c r="BL188" i="14"/>
  <c r="BH189" i="14"/>
  <c r="BI189" i="14"/>
  <c r="BL189" i="14"/>
  <c r="BH190" i="14"/>
  <c r="BI190" i="14"/>
  <c r="BL190" i="14"/>
  <c r="BH191" i="14"/>
  <c r="BI191" i="14"/>
  <c r="BL191" i="14"/>
  <c r="BH192" i="14"/>
  <c r="BI192" i="14"/>
  <c r="BL192" i="14"/>
  <c r="BH193" i="14"/>
  <c r="BI193" i="14"/>
  <c r="BL193" i="14"/>
  <c r="BH194" i="14"/>
  <c r="BI194" i="14"/>
  <c r="BL194" i="14"/>
  <c r="BH195" i="14"/>
  <c r="BI195" i="14"/>
  <c r="BL195" i="14"/>
  <c r="BH196" i="14"/>
  <c r="BI196" i="14"/>
  <c r="BL196" i="14"/>
  <c r="BH197" i="14"/>
  <c r="BI197" i="14"/>
  <c r="BL197" i="14"/>
  <c r="BH198" i="14"/>
  <c r="BI198" i="14"/>
  <c r="BL198" i="14"/>
  <c r="BH199" i="14"/>
  <c r="BI199" i="14"/>
  <c r="BL199" i="14"/>
  <c r="BH3" i="14"/>
  <c r="BI3" i="14"/>
  <c r="AE5" i="1"/>
  <c r="AE9" i="1"/>
  <c r="AE28" i="1" l="1"/>
  <c r="AE17" i="20"/>
  <c r="AE15" i="20"/>
  <c r="AE22" i="20"/>
  <c r="AE16" i="20"/>
  <c r="AF21" i="1"/>
  <c r="AF5" i="1"/>
  <c r="AF11" i="1"/>
  <c r="AE11" i="1"/>
  <c r="AE6" i="1"/>
  <c r="AF9" i="1"/>
  <c r="AF6" i="1"/>
  <c r="AF28" i="1"/>
  <c r="AE21" i="1"/>
  <c r="AE30" i="20" l="1"/>
  <c r="AE29" i="20"/>
  <c r="AE19" i="20"/>
  <c r="AE23" i="20"/>
  <c r="AE24" i="20"/>
  <c r="AE18" i="20"/>
  <c r="N33" i="1"/>
  <c r="Q1" i="1"/>
  <c r="A3" i="19" l="1"/>
  <c r="A182" i="19"/>
  <c r="A272" i="19"/>
  <c r="I227" i="19"/>
  <c r="I182" i="19"/>
  <c r="I137" i="19"/>
  <c r="I92" i="19"/>
  <c r="I47" i="19"/>
  <c r="I3" i="19"/>
  <c r="I249" i="19"/>
  <c r="A69" i="19"/>
  <c r="A25" i="19"/>
  <c r="I272" i="19"/>
  <c r="A227" i="19"/>
  <c r="A137" i="19"/>
  <c r="A92" i="19"/>
  <c r="A294" i="19"/>
  <c r="A159" i="19"/>
  <c r="I294" i="19"/>
  <c r="A249" i="19"/>
  <c r="I204" i="19"/>
  <c r="I160" i="19"/>
  <c r="I114" i="19"/>
  <c r="I69" i="19"/>
  <c r="I26" i="19"/>
  <c r="A204" i="19"/>
  <c r="A114" i="19"/>
  <c r="O32" i="1"/>
  <c r="N32" i="1"/>
  <c r="O11" i="1"/>
  <c r="O15" i="1"/>
  <c r="O19" i="1"/>
  <c r="O23" i="1"/>
  <c r="O27" i="1"/>
  <c r="O6" i="1"/>
  <c r="N6" i="1"/>
  <c r="O10" i="1"/>
  <c r="O14" i="1"/>
  <c r="O18" i="1"/>
  <c r="O22" i="1"/>
  <c r="O26" i="1"/>
  <c r="O30" i="1"/>
  <c r="O5" i="1"/>
  <c r="N5" i="1"/>
  <c r="N9" i="1"/>
  <c r="O9" i="1"/>
  <c r="O13" i="1"/>
  <c r="O17" i="1"/>
  <c r="O21" i="1"/>
  <c r="O25" i="1"/>
  <c r="O29" i="1"/>
  <c r="O8" i="1"/>
  <c r="O12" i="1"/>
  <c r="O16" i="1"/>
  <c r="O20" i="1"/>
  <c r="O24" i="1"/>
  <c r="O28" i="1"/>
  <c r="O31" i="1"/>
  <c r="AF7" i="1" l="1"/>
  <c r="AE7" i="1"/>
  <c r="N30" i="1"/>
  <c r="N29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0" i="1"/>
  <c r="N8" i="1"/>
  <c r="N31" i="1" l="1"/>
  <c r="AF30" i="1"/>
  <c r="AE30" i="1"/>
  <c r="AF29" i="1"/>
  <c r="AE29" i="1"/>
  <c r="AF27" i="1"/>
  <c r="AE27" i="1"/>
  <c r="AE26" i="1"/>
  <c r="AF25" i="1"/>
  <c r="AE25" i="1"/>
  <c r="AF24" i="1"/>
  <c r="AE24" i="1"/>
  <c r="AF23" i="1"/>
  <c r="AE23" i="1"/>
  <c r="AF22" i="1"/>
  <c r="AE22" i="1"/>
  <c r="AF20" i="1"/>
  <c r="AF19" i="1"/>
  <c r="AE19" i="1"/>
  <c r="AF18" i="1"/>
  <c r="AE18" i="1"/>
  <c r="AF17" i="1"/>
  <c r="AE17" i="1"/>
  <c r="AF16" i="1"/>
  <c r="AE16" i="1"/>
  <c r="AF15" i="1"/>
  <c r="AE15" i="1"/>
  <c r="AF14" i="1"/>
  <c r="AE14" i="1"/>
  <c r="AF13" i="1"/>
  <c r="AE13" i="1"/>
  <c r="AF12" i="1"/>
  <c r="AE12" i="1"/>
  <c r="AF10" i="1"/>
  <c r="AE10" i="1"/>
  <c r="AF8" i="1"/>
  <c r="AE8" i="1"/>
</calcChain>
</file>

<file path=xl/sharedStrings.xml><?xml version="1.0" encoding="utf-8"?>
<sst xmlns="http://schemas.openxmlformats.org/spreadsheetml/2006/main" count="11709" uniqueCount="1204">
  <si>
    <t>Dunaújvárosi Rendőrkapitányság</t>
  </si>
  <si>
    <t>Bűncselekmények száma</t>
  </si>
  <si>
    <t>Százalékos változások mértéke*</t>
  </si>
  <si>
    <t>Felderítési eredményesség (%)</t>
  </si>
  <si>
    <t>Eltérés az időszaki átlagtól</t>
  </si>
  <si>
    <t>Emberölés</t>
  </si>
  <si>
    <t>-</t>
  </si>
  <si>
    <t>Szándékos befejezett emberölés</t>
  </si>
  <si>
    <t>Testi sértés</t>
  </si>
  <si>
    <t>Kiskorú veszélyeztetése</t>
  </si>
  <si>
    <t>Embercsempészés</t>
  </si>
  <si>
    <t>Garázdaság</t>
  </si>
  <si>
    <t>Önbíráskodás</t>
  </si>
  <si>
    <r>
      <t xml:space="preserve">Kábítószerrel kapcsolatos bűncselekmények
</t>
    </r>
    <r>
      <rPr>
        <sz val="12"/>
        <color theme="1"/>
        <rFont val="Times New Roman"/>
        <family val="1"/>
        <charset val="238"/>
      </rPr>
      <t>(az 1978. évi IV. törvény alapján a visszaélés kábítószerrel - terjesztői magatartások tekintetében, a 2012. évi C. törvény alapján kábítószer-kereskedelem)</t>
    </r>
  </si>
  <si>
    <t>Lopás*</t>
  </si>
  <si>
    <t>Személygépkocsi lopás</t>
  </si>
  <si>
    <t>Zárt gépjármű-feltörés</t>
  </si>
  <si>
    <t>Rablás</t>
  </si>
  <si>
    <t>Kifosztás</t>
  </si>
  <si>
    <t>Zsarolás</t>
  </si>
  <si>
    <t>Rongálás</t>
  </si>
  <si>
    <t>Orgazdaság</t>
  </si>
  <si>
    <t>Jármű önkényes elvétele</t>
  </si>
  <si>
    <t>14 kiemelten kezelt bűncselekmény összesen</t>
  </si>
  <si>
    <t>Közterületen elkövetett kiemelten kezelt bűncselekmény</t>
  </si>
  <si>
    <t>Segítségnyújtás elmulasztása</t>
  </si>
  <si>
    <t>Cserbenhagyás</t>
  </si>
  <si>
    <t>Közterületen elkövetett bűncselekmény</t>
  </si>
  <si>
    <t>Összes bűncselekmény</t>
  </si>
  <si>
    <t>Bűnügyek nyomozási ideje (ügyidő)</t>
  </si>
  <si>
    <t>Vádemelések száma</t>
  </si>
  <si>
    <t>Bíróság eléállítások száma</t>
  </si>
  <si>
    <t>(6) ismeretlen</t>
  </si>
  <si>
    <t>összesen</t>
  </si>
  <si>
    <t>Bűnügy</t>
  </si>
  <si>
    <t>Közrend</t>
  </si>
  <si>
    <t>Közlekedés</t>
  </si>
  <si>
    <t>Összesen</t>
  </si>
  <si>
    <t>* A lopások száma tartalmazza a betöréses lopások számát is</t>
  </si>
  <si>
    <t>* a lopások száma tartalmazza a betöréses lopások számát is</t>
  </si>
  <si>
    <t>A bíróság elé állítások aránya a vádemelésekhez képest (%)</t>
  </si>
  <si>
    <t>Illter</t>
  </si>
  <si>
    <t>Rkap</t>
  </si>
  <si>
    <t>Rk. illetékességi terület</t>
  </si>
  <si>
    <t>2009</t>
  </si>
  <si>
    <t>2010</t>
  </si>
  <si>
    <t>2011</t>
  </si>
  <si>
    <t>2012</t>
  </si>
  <si>
    <t>2015/I. félév</t>
  </si>
  <si>
    <t>2015/II. félév</t>
  </si>
  <si>
    <t>0100</t>
  </si>
  <si>
    <t>01000</t>
  </si>
  <si>
    <t>0101</t>
  </si>
  <si>
    <t>01010</t>
  </si>
  <si>
    <t>Bp. I. kerület Rk.</t>
  </si>
  <si>
    <t>0102</t>
  </si>
  <si>
    <t>01020</t>
  </si>
  <si>
    <t>Bp. II. kerület Rk.</t>
  </si>
  <si>
    <t>0103</t>
  </si>
  <si>
    <t>01030</t>
  </si>
  <si>
    <t>Bp. III. kerület Rk.</t>
  </si>
  <si>
    <t>0104</t>
  </si>
  <si>
    <t>01040</t>
  </si>
  <si>
    <t>Bp. IV. kerület Rk.</t>
  </si>
  <si>
    <t>0105</t>
  </si>
  <si>
    <t>01050</t>
  </si>
  <si>
    <t>Bp. V. kerület Rk.</t>
  </si>
  <si>
    <t>0106</t>
  </si>
  <si>
    <t>01060</t>
  </si>
  <si>
    <t>Bp. VI. kerület Rk.</t>
  </si>
  <si>
    <t>0107</t>
  </si>
  <si>
    <t>01070</t>
  </si>
  <si>
    <t>Bp. VII. kerület Rk.</t>
  </si>
  <si>
    <t>0108</t>
  </si>
  <si>
    <t>01080</t>
  </si>
  <si>
    <t>Bp. VIII. kerület Rk.</t>
  </si>
  <si>
    <t>0109</t>
  </si>
  <si>
    <t>01090</t>
  </si>
  <si>
    <t>Bp. IX. kerület Rk.</t>
  </si>
  <si>
    <t>0110</t>
  </si>
  <si>
    <t>01100</t>
  </si>
  <si>
    <t>Bp. X. kerület Rk.</t>
  </si>
  <si>
    <t>0111</t>
  </si>
  <si>
    <t>01110</t>
  </si>
  <si>
    <t>Bp. XI. kerület Rk.</t>
  </si>
  <si>
    <t>0112</t>
  </si>
  <si>
    <t>01120</t>
  </si>
  <si>
    <t>Bp. XII. kerület Rk.</t>
  </si>
  <si>
    <t>0113</t>
  </si>
  <si>
    <t>01130</t>
  </si>
  <si>
    <t>Bp. XIII. kerület Rk.</t>
  </si>
  <si>
    <t>0114</t>
  </si>
  <si>
    <t>01140</t>
  </si>
  <si>
    <t>Bp. XIV. kerület Rk.</t>
  </si>
  <si>
    <t>0115</t>
  </si>
  <si>
    <t>01150</t>
  </si>
  <si>
    <t>Bp. XV. kerület Rk.</t>
  </si>
  <si>
    <t>0116</t>
  </si>
  <si>
    <t>01160</t>
  </si>
  <si>
    <t>Bp. XVI. kerület Rk.</t>
  </si>
  <si>
    <t>0117</t>
  </si>
  <si>
    <t>01170</t>
  </si>
  <si>
    <t>Bp. XVII. kerület Rk.</t>
  </si>
  <si>
    <t>0118</t>
  </si>
  <si>
    <t>01180</t>
  </si>
  <si>
    <t>Bp. XVIII. kerület Rk.</t>
  </si>
  <si>
    <t>0119</t>
  </si>
  <si>
    <t>01190</t>
  </si>
  <si>
    <t>Bp. XIX. kerület Rk.</t>
  </si>
  <si>
    <t>0120</t>
  </si>
  <si>
    <t>01200</t>
  </si>
  <si>
    <t>Bp. XX-XXIII. kerület Rk.</t>
  </si>
  <si>
    <t>0121</t>
  </si>
  <si>
    <t>01210</t>
  </si>
  <si>
    <t>Bp. XXI. kerület Rk.</t>
  </si>
  <si>
    <t>0122</t>
  </si>
  <si>
    <t>01220</t>
  </si>
  <si>
    <t>Bp. XXII. kerület Rk.</t>
  </si>
  <si>
    <t>0200</t>
  </si>
  <si>
    <t>02000</t>
  </si>
  <si>
    <t>0202</t>
  </si>
  <si>
    <t>02010</t>
  </si>
  <si>
    <t>Pécs Rk.</t>
  </si>
  <si>
    <t>0203</t>
  </si>
  <si>
    <t>02020</t>
  </si>
  <si>
    <t>Komló Rk.</t>
  </si>
  <si>
    <t>0201</t>
  </si>
  <si>
    <t>02030</t>
  </si>
  <si>
    <t>Mohács Rk.</t>
  </si>
  <si>
    <t>0204</t>
  </si>
  <si>
    <t>02050</t>
  </si>
  <si>
    <t>Siklós Rk.</t>
  </si>
  <si>
    <t>0205</t>
  </si>
  <si>
    <t>02060</t>
  </si>
  <si>
    <t>Szigetvár Rk.</t>
  </si>
  <si>
    <t>0300</t>
  </si>
  <si>
    <t>03000</t>
  </si>
  <si>
    <t>0304</t>
  </si>
  <si>
    <t>03010</t>
  </si>
  <si>
    <t>Kecskemét Rk.</t>
  </si>
  <si>
    <t>0301</t>
  </si>
  <si>
    <t>03020</t>
  </si>
  <si>
    <t>Baja Rk.</t>
  </si>
  <si>
    <t>0303</t>
  </si>
  <si>
    <t>03030</t>
  </si>
  <si>
    <t>Kalocsa Rk.</t>
  </si>
  <si>
    <t>0305</t>
  </si>
  <si>
    <t>03040</t>
  </si>
  <si>
    <t>Kiskőrös Rk.</t>
  </si>
  <si>
    <t>0302</t>
  </si>
  <si>
    <t>03050</t>
  </si>
  <si>
    <t>Kiskunfélegyháza Rk.</t>
  </si>
  <si>
    <t>0307</t>
  </si>
  <si>
    <t>03060</t>
  </si>
  <si>
    <t>Kiskunhalas Rk.</t>
  </si>
  <si>
    <t>0309</t>
  </si>
  <si>
    <t>03070</t>
  </si>
  <si>
    <t>Kunszentmiklós Rk.</t>
  </si>
  <si>
    <t>0400</t>
  </si>
  <si>
    <t>04000</t>
  </si>
  <si>
    <t>0401</t>
  </si>
  <si>
    <t>04010</t>
  </si>
  <si>
    <t>Békéscsaba Rk.</t>
  </si>
  <si>
    <t>0407</t>
  </si>
  <si>
    <t>04020</t>
  </si>
  <si>
    <t>Békés Rk.</t>
  </si>
  <si>
    <t>0402</t>
  </si>
  <si>
    <t>04030</t>
  </si>
  <si>
    <t>Gyula Rk.</t>
  </si>
  <si>
    <t>0403</t>
  </si>
  <si>
    <t>04040</t>
  </si>
  <si>
    <t>Mezőkovácsháza Rk.</t>
  </si>
  <si>
    <t>0404</t>
  </si>
  <si>
    <t>04050</t>
  </si>
  <si>
    <t>Orosháza Rk.</t>
  </si>
  <si>
    <t>0405</t>
  </si>
  <si>
    <t>04060</t>
  </si>
  <si>
    <t>Szarvas Rk.</t>
  </si>
  <si>
    <t>0406</t>
  </si>
  <si>
    <t>04070</t>
  </si>
  <si>
    <t>Szeghalom Rk.</t>
  </si>
  <si>
    <t>0409</t>
  </si>
  <si>
    <t>04080</t>
  </si>
  <si>
    <t>Sarkad Rk.</t>
  </si>
  <si>
    <t>0500</t>
  </si>
  <si>
    <t>05000</t>
  </si>
  <si>
    <t>0505</t>
  </si>
  <si>
    <t>05010</t>
  </si>
  <si>
    <t>Miskolc Rk.</t>
  </si>
  <si>
    <t>0501</t>
  </si>
  <si>
    <t>05020</t>
  </si>
  <si>
    <t>Edelény Rk.</t>
  </si>
  <si>
    <t>0502</t>
  </si>
  <si>
    <t>05030</t>
  </si>
  <si>
    <t>Encs Rk.</t>
  </si>
  <si>
    <t>0509</t>
  </si>
  <si>
    <t>05040</t>
  </si>
  <si>
    <t>Kazincbarcika Rk.</t>
  </si>
  <si>
    <t>0503</t>
  </si>
  <si>
    <t>05050</t>
  </si>
  <si>
    <t>Tiszaújváros Rk.</t>
  </si>
  <si>
    <t>0504</t>
  </si>
  <si>
    <t>05060</t>
  </si>
  <si>
    <t>Mezőkövesd Rk.</t>
  </si>
  <si>
    <t>0506</t>
  </si>
  <si>
    <t>05070</t>
  </si>
  <si>
    <t>Ózd Rk.</t>
  </si>
  <si>
    <t>0507</t>
  </si>
  <si>
    <t>05080</t>
  </si>
  <si>
    <t>Sátoraljaújhely Rk.</t>
  </si>
  <si>
    <t>0508</t>
  </si>
  <si>
    <t>05090</t>
  </si>
  <si>
    <t>Szerencs Rk.</t>
  </si>
  <si>
    <t>0510</t>
  </si>
  <si>
    <t>05100</t>
  </si>
  <si>
    <t>Sárospatak Rk.</t>
  </si>
  <si>
    <t>0600</t>
  </si>
  <si>
    <t>06000</t>
  </si>
  <si>
    <t>0602</t>
  </si>
  <si>
    <t>06010</t>
  </si>
  <si>
    <t>Szeged Rk.</t>
  </si>
  <si>
    <t>0601</t>
  </si>
  <si>
    <t>06020</t>
  </si>
  <si>
    <t>Csongrád Rk.</t>
  </si>
  <si>
    <t>0604</t>
  </si>
  <si>
    <t>06030</t>
  </si>
  <si>
    <t>Hódmezővásárhely Rk.</t>
  </si>
  <si>
    <t>0605</t>
  </si>
  <si>
    <t>06040</t>
  </si>
  <si>
    <t>Makó Rk.</t>
  </si>
  <si>
    <t>0603</t>
  </si>
  <si>
    <t>06050</t>
  </si>
  <si>
    <t>Szentes Rk.</t>
  </si>
  <si>
    <t>0606</t>
  </si>
  <si>
    <t>06060</t>
  </si>
  <si>
    <t>Kistelek Rk.</t>
  </si>
  <si>
    <t>0700</t>
  </si>
  <si>
    <t>07000</t>
  </si>
  <si>
    <t>0705</t>
  </si>
  <si>
    <t>07010</t>
  </si>
  <si>
    <t>Székesfehérvár Rk.</t>
  </si>
  <si>
    <t>0701</t>
  </si>
  <si>
    <t>07020</t>
  </si>
  <si>
    <t>Bicske Rk.</t>
  </si>
  <si>
    <t>0702</t>
  </si>
  <si>
    <t>07030</t>
  </si>
  <si>
    <t>Dunaújváros Rk.</t>
  </si>
  <si>
    <t>0703</t>
  </si>
  <si>
    <t>07040</t>
  </si>
  <si>
    <t>Mór Rk.</t>
  </si>
  <si>
    <t>0704</t>
  </si>
  <si>
    <t>07050</t>
  </si>
  <si>
    <t>Sárbogárd Rk.</t>
  </si>
  <si>
    <t>0706</t>
  </si>
  <si>
    <t>07060</t>
  </si>
  <si>
    <t>Gárdony Rk.</t>
  </si>
  <si>
    <t>0800</t>
  </si>
  <si>
    <t>08000</t>
  </si>
  <si>
    <t>0802</t>
  </si>
  <si>
    <t>08010</t>
  </si>
  <si>
    <t>Győr Rk.</t>
  </si>
  <si>
    <t>0801</t>
  </si>
  <si>
    <t>08020</t>
  </si>
  <si>
    <t>Csorna Rk.</t>
  </si>
  <si>
    <t>0805</t>
  </si>
  <si>
    <t>08030</t>
  </si>
  <si>
    <t>Kapuvár Rk.</t>
  </si>
  <si>
    <t>0803</t>
  </si>
  <si>
    <t>08040</t>
  </si>
  <si>
    <t>Mosonmagyaróvár Rk.</t>
  </si>
  <si>
    <t>0804</t>
  </si>
  <si>
    <t>08050</t>
  </si>
  <si>
    <t>Sopron Rk.</t>
  </si>
  <si>
    <t>0900</t>
  </si>
  <si>
    <t>09000</t>
  </si>
  <si>
    <t>0903</t>
  </si>
  <si>
    <t>09010</t>
  </si>
  <si>
    <t>Debrecen Rk.</t>
  </si>
  <si>
    <t>0901</t>
  </si>
  <si>
    <t>09020</t>
  </si>
  <si>
    <t>Berettyóújfalu Rk.</t>
  </si>
  <si>
    <t>0907</t>
  </si>
  <si>
    <t>09030</t>
  </si>
  <si>
    <t>Hajdúhadháza Rk.</t>
  </si>
  <si>
    <t>0908</t>
  </si>
  <si>
    <t>09040</t>
  </si>
  <si>
    <t>Hajdúböszörmény Rk.</t>
  </si>
  <si>
    <t>0904</t>
  </si>
  <si>
    <t>09050</t>
  </si>
  <si>
    <t>Hajdúszoboszló Rk.</t>
  </si>
  <si>
    <t>0902</t>
  </si>
  <si>
    <t>09060</t>
  </si>
  <si>
    <t>Hajdúnánás Rk.</t>
  </si>
  <si>
    <t>0906</t>
  </si>
  <si>
    <t>09070</t>
  </si>
  <si>
    <t>Püspökladány Rk.</t>
  </si>
  <si>
    <t>0905</t>
  </si>
  <si>
    <t>09080</t>
  </si>
  <si>
    <t>Balmazújváros Rk.</t>
  </si>
  <si>
    <t>1000</t>
  </si>
  <si>
    <t>10000</t>
  </si>
  <si>
    <t>1001</t>
  </si>
  <si>
    <t>10010</t>
  </si>
  <si>
    <t>Eger Rk.</t>
  </si>
  <si>
    <t>1002</t>
  </si>
  <si>
    <t>10020</t>
  </si>
  <si>
    <t>Füzesabony Rk.</t>
  </si>
  <si>
    <t>1003</t>
  </si>
  <si>
    <t>10030</t>
  </si>
  <si>
    <t>Gyöngyös Rk.</t>
  </si>
  <si>
    <t>1005</t>
  </si>
  <si>
    <t>10040</t>
  </si>
  <si>
    <t>Hatvan Rk.</t>
  </si>
  <si>
    <t>1004</t>
  </si>
  <si>
    <t>10050</t>
  </si>
  <si>
    <t>Heves Rk.</t>
  </si>
  <si>
    <t>1100</t>
  </si>
  <si>
    <t>11000</t>
  </si>
  <si>
    <t>1106</t>
  </si>
  <si>
    <t>11010</t>
  </si>
  <si>
    <t>Tatabánya Rk.</t>
  </si>
  <si>
    <t>1101</t>
  </si>
  <si>
    <t>11020</t>
  </si>
  <si>
    <t>Dorog Rk.</t>
  </si>
  <si>
    <t>1102</t>
  </si>
  <si>
    <t>11030</t>
  </si>
  <si>
    <t>Komárom Rk.</t>
  </si>
  <si>
    <t>1104</t>
  </si>
  <si>
    <t>11040</t>
  </si>
  <si>
    <t>Oroszlány Rk.</t>
  </si>
  <si>
    <t>1105</t>
  </si>
  <si>
    <t>11050</t>
  </si>
  <si>
    <t>Tata Rk.</t>
  </si>
  <si>
    <t>1103</t>
  </si>
  <si>
    <t>11060</t>
  </si>
  <si>
    <t>Esztergom Rk.</t>
  </si>
  <si>
    <t>1107</t>
  </si>
  <si>
    <t>11070</t>
  </si>
  <si>
    <t>Kisbér Rk.</t>
  </si>
  <si>
    <t>1200</t>
  </si>
  <si>
    <t>12000</t>
  </si>
  <si>
    <t>1204</t>
  </si>
  <si>
    <t>12010</t>
  </si>
  <si>
    <t>Salgótarján Rk.</t>
  </si>
  <si>
    <t>1201</t>
  </si>
  <si>
    <t>12020</t>
  </si>
  <si>
    <t>Balassagyarmat Rk.</t>
  </si>
  <si>
    <t>1202</t>
  </si>
  <si>
    <t>12030</t>
  </si>
  <si>
    <t>Pásztó Rk.</t>
  </si>
  <si>
    <t>1203</t>
  </si>
  <si>
    <t>12040</t>
  </si>
  <si>
    <t>Rétság Rk.</t>
  </si>
  <si>
    <t>1206</t>
  </si>
  <si>
    <t>12050</t>
  </si>
  <si>
    <t>Szécsény Rk.</t>
  </si>
  <si>
    <t>1205</t>
  </si>
  <si>
    <t>12060</t>
  </si>
  <si>
    <t>Bátonyterenye Rk.</t>
  </si>
  <si>
    <t>1300</t>
  </si>
  <si>
    <t>13000</t>
  </si>
  <si>
    <t>1301</t>
  </si>
  <si>
    <t>13010</t>
  </si>
  <si>
    <t>Budaörs Rk.</t>
  </si>
  <si>
    <t>1302</t>
  </si>
  <si>
    <t>13020</t>
  </si>
  <si>
    <t>Cegléd Rk.</t>
  </si>
  <si>
    <t>1303</t>
  </si>
  <si>
    <t>13030</t>
  </si>
  <si>
    <t>Dabas Rk.</t>
  </si>
  <si>
    <t>1304</t>
  </si>
  <si>
    <t>13040</t>
  </si>
  <si>
    <t>Gödöllő Rk.</t>
  </si>
  <si>
    <t>1305</t>
  </si>
  <si>
    <t>13050</t>
  </si>
  <si>
    <t>Monor Rk.</t>
  </si>
  <si>
    <t>1306</t>
  </si>
  <si>
    <t>13060</t>
  </si>
  <si>
    <t>Nagykáta Rk.</t>
  </si>
  <si>
    <t>1309</t>
  </si>
  <si>
    <t>13070</t>
  </si>
  <si>
    <t>Nagykőrös Rk.</t>
  </si>
  <si>
    <t>1307</t>
  </si>
  <si>
    <t>13080</t>
  </si>
  <si>
    <t>Ráckeve Rk.</t>
  </si>
  <si>
    <t>1308</t>
  </si>
  <si>
    <t>13090</t>
  </si>
  <si>
    <t>Szentendre Rk.</t>
  </si>
  <si>
    <t>1310</t>
  </si>
  <si>
    <t>13100</t>
  </si>
  <si>
    <t>Vác Rk.</t>
  </si>
  <si>
    <t>1311</t>
  </si>
  <si>
    <t>13110</t>
  </si>
  <si>
    <t>Érd Rk.</t>
  </si>
  <si>
    <t>1312</t>
  </si>
  <si>
    <t>13120</t>
  </si>
  <si>
    <t>Dunakeszi Rk.</t>
  </si>
  <si>
    <t>1313</t>
  </si>
  <si>
    <t>13130</t>
  </si>
  <si>
    <t>Szigetszentmiklós Rk.</t>
  </si>
  <si>
    <t>1400</t>
  </si>
  <si>
    <t>14000</t>
  </si>
  <si>
    <t>1404</t>
  </si>
  <si>
    <t>14010</t>
  </si>
  <si>
    <t>Kaposvár Rk.</t>
  </si>
  <si>
    <t>1401</t>
  </si>
  <si>
    <t>14020</t>
  </si>
  <si>
    <t>Barcs Rk.</t>
  </si>
  <si>
    <t>1402</t>
  </si>
  <si>
    <t>14030</t>
  </si>
  <si>
    <t>Fonyód Rk.</t>
  </si>
  <si>
    <t>1405</t>
  </si>
  <si>
    <t>14040</t>
  </si>
  <si>
    <t>Marcali Rk.</t>
  </si>
  <si>
    <t>1406</t>
  </si>
  <si>
    <t>14050</t>
  </si>
  <si>
    <t>Nagyatád Rk.</t>
  </si>
  <si>
    <t>1407</t>
  </si>
  <si>
    <t>14060</t>
  </si>
  <si>
    <t>Siófok Rk.</t>
  </si>
  <si>
    <t>1500</t>
  </si>
  <si>
    <t>15000</t>
  </si>
  <si>
    <t>1507</t>
  </si>
  <si>
    <t>15010</t>
  </si>
  <si>
    <t>Nyíregyháza Rk.</t>
  </si>
  <si>
    <t>1502</t>
  </si>
  <si>
    <t>15020</t>
  </si>
  <si>
    <t>Fehérgyarmat Rk.</t>
  </si>
  <si>
    <t>1503</t>
  </si>
  <si>
    <t>15030</t>
  </si>
  <si>
    <t>Kisvárda Rk.</t>
  </si>
  <si>
    <t>1504</t>
  </si>
  <si>
    <t>15040</t>
  </si>
  <si>
    <t>Mátészalka Rk.</t>
  </si>
  <si>
    <t>1508</t>
  </si>
  <si>
    <t>15050</t>
  </si>
  <si>
    <t>Tiszavasvári Rk.</t>
  </si>
  <si>
    <t>1506</t>
  </si>
  <si>
    <t>15060</t>
  </si>
  <si>
    <t>Nyírbátor Rk.</t>
  </si>
  <si>
    <t>1509</t>
  </si>
  <si>
    <t>15070</t>
  </si>
  <si>
    <t>Vásárosnamény Rk.</t>
  </si>
  <si>
    <t>1505</t>
  </si>
  <si>
    <t>15080</t>
  </si>
  <si>
    <t>Záhony Rk.</t>
  </si>
  <si>
    <t>1600</t>
  </si>
  <si>
    <t>16000</t>
  </si>
  <si>
    <t>1603</t>
  </si>
  <si>
    <t>16010</t>
  </si>
  <si>
    <t>Szolnok Rk.</t>
  </si>
  <si>
    <t>1601</t>
  </si>
  <si>
    <t>16020</t>
  </si>
  <si>
    <t>Jászberény Rk.</t>
  </si>
  <si>
    <t>1605</t>
  </si>
  <si>
    <t>16030</t>
  </si>
  <si>
    <t>Karcag Rk.</t>
  </si>
  <si>
    <t>1602</t>
  </si>
  <si>
    <t>16040</t>
  </si>
  <si>
    <t>Kunszentmárton Rk.</t>
  </si>
  <si>
    <t>1607</t>
  </si>
  <si>
    <t>16050</t>
  </si>
  <si>
    <t>Mezőtúr Rk.</t>
  </si>
  <si>
    <t>1604</t>
  </si>
  <si>
    <t>16060</t>
  </si>
  <si>
    <t>Tiszafüred Rk.</t>
  </si>
  <si>
    <t>1608</t>
  </si>
  <si>
    <t>16070</t>
  </si>
  <si>
    <t>Törökszentmiklós Rk.</t>
  </si>
  <si>
    <t>1700</t>
  </si>
  <si>
    <t>17000</t>
  </si>
  <si>
    <t>1704</t>
  </si>
  <si>
    <t>17010</t>
  </si>
  <si>
    <t>Szekszárd Rk.</t>
  </si>
  <si>
    <t>1701</t>
  </si>
  <si>
    <t>17020</t>
  </si>
  <si>
    <t>Bonyhád Rk.</t>
  </si>
  <si>
    <t>1702</t>
  </si>
  <si>
    <t>17030</t>
  </si>
  <si>
    <t>Dombóvár Rk.</t>
  </si>
  <si>
    <t>1703</t>
  </si>
  <si>
    <t>17040</t>
  </si>
  <si>
    <t>Paks Rk.</t>
  </si>
  <si>
    <t>1705</t>
  </si>
  <si>
    <t>17050</t>
  </si>
  <si>
    <t>Tamási Rk.</t>
  </si>
  <si>
    <t>1800</t>
  </si>
  <si>
    <t>18000</t>
  </si>
  <si>
    <t>1804</t>
  </si>
  <si>
    <t>18010</t>
  </si>
  <si>
    <t>Szombathely Rk.</t>
  </si>
  <si>
    <t>1801</t>
  </si>
  <si>
    <t>18020</t>
  </si>
  <si>
    <t>Celldömölk Rk.</t>
  </si>
  <si>
    <t>1802</t>
  </si>
  <si>
    <t>18030</t>
  </si>
  <si>
    <t>Körmend Rk.</t>
  </si>
  <si>
    <t>1803</t>
  </si>
  <si>
    <t>18040</t>
  </si>
  <si>
    <t>Sárvár Rk.</t>
  </si>
  <si>
    <t>1805</t>
  </si>
  <si>
    <t>18050</t>
  </si>
  <si>
    <t>Kőszeg Rk.</t>
  </si>
  <si>
    <t>1806</t>
  </si>
  <si>
    <t>18060</t>
  </si>
  <si>
    <t>Vasvár Rk.</t>
  </si>
  <si>
    <t>1900</t>
  </si>
  <si>
    <t>19000</t>
  </si>
  <si>
    <t>1905</t>
  </si>
  <si>
    <t>19010</t>
  </si>
  <si>
    <t>Veszprém Rk.</t>
  </si>
  <si>
    <t>1903</t>
  </si>
  <si>
    <t>19030</t>
  </si>
  <si>
    <t>Pápa Rk.</t>
  </si>
  <si>
    <t>1904</t>
  </si>
  <si>
    <t>19040</t>
  </si>
  <si>
    <t>Tapolca Rk.</t>
  </si>
  <si>
    <t>1906</t>
  </si>
  <si>
    <t>19050</t>
  </si>
  <si>
    <t>Várpalota Rk.</t>
  </si>
  <si>
    <t>1901</t>
  </si>
  <si>
    <t>19060</t>
  </si>
  <si>
    <t>Ajka Rk.</t>
  </si>
  <si>
    <t>1907</t>
  </si>
  <si>
    <t>19070</t>
  </si>
  <si>
    <t>Balatonfüred Rk.</t>
  </si>
  <si>
    <t>1908</t>
  </si>
  <si>
    <t>19080</t>
  </si>
  <si>
    <t>Balatonalmádi Rk.</t>
  </si>
  <si>
    <t>2000</t>
  </si>
  <si>
    <t>20000</t>
  </si>
  <si>
    <t>2004</t>
  </si>
  <si>
    <t>20010</t>
  </si>
  <si>
    <t>Zalaegerszeg Rk.</t>
  </si>
  <si>
    <t>2001</t>
  </si>
  <si>
    <t>20020</t>
  </si>
  <si>
    <t>Lenti Rk.</t>
  </si>
  <si>
    <t>2003</t>
  </si>
  <si>
    <t>20030</t>
  </si>
  <si>
    <t>Nagykanizsa Rk.</t>
  </si>
  <si>
    <t>2006</t>
  </si>
  <si>
    <t>20040</t>
  </si>
  <si>
    <t>Keszthely Rk.</t>
  </si>
  <si>
    <t>Bács-Kiskun megye</t>
  </si>
  <si>
    <t>Baranya megye</t>
  </si>
  <si>
    <t>Budapest</t>
  </si>
  <si>
    <t>Békés megye</t>
  </si>
  <si>
    <t>Borsod-Abaúj-Zemplén megye</t>
  </si>
  <si>
    <t>Csongrád megye</t>
  </si>
  <si>
    <t>Fejér megye</t>
  </si>
  <si>
    <t>Győr- Moson-Sopron megye</t>
  </si>
  <si>
    <t>Hajdú-Bihar megye</t>
  </si>
  <si>
    <t>Heves megye</t>
  </si>
  <si>
    <t>Komárom-Esztergom megye</t>
  </si>
  <si>
    <t>Nógrád megye</t>
  </si>
  <si>
    <t>Pest megye</t>
  </si>
  <si>
    <t>Somogy megye</t>
  </si>
  <si>
    <t>Szabolcs-Szatmár-Bereg megye</t>
  </si>
  <si>
    <t>Jász-Nagykun-Szolnok megye</t>
  </si>
  <si>
    <t>Tolna megye</t>
  </si>
  <si>
    <t>Vas megye</t>
  </si>
  <si>
    <t>Veszprém megye</t>
  </si>
  <si>
    <t>Zala megye</t>
  </si>
  <si>
    <t>Országosan</t>
  </si>
  <si>
    <t>Emberölés kísérlete</t>
  </si>
  <si>
    <t>Súlyos testi sértés</t>
  </si>
  <si>
    <t>Halált okozó testi sértés</t>
  </si>
  <si>
    <r>
      <t xml:space="preserve">Kábítószerrel kapcsolatos bűncselekmények
</t>
    </r>
    <r>
      <rPr>
        <sz val="10"/>
        <color theme="1"/>
        <rFont val="Times New Roman"/>
        <family val="1"/>
        <charset val="238"/>
      </rPr>
      <t>(az 1978. évi IV. törvény alapján a visszaélés kábítószerrel - terjesztői magatartások tekintetében, a 2012. évi C. törvény alapján kábítószer-kereskedelem)</t>
    </r>
  </si>
  <si>
    <t>Lakásbetörés</t>
  </si>
  <si>
    <t>A 14 kiemelten kezelt bűncselekmény összesen</t>
  </si>
  <si>
    <t>Közterületen elkövetett bűncselekmények (A kiemelten kezelt bűncselekmények körében)</t>
  </si>
  <si>
    <t>Közterületen elkövetett bűncselekmények</t>
  </si>
  <si>
    <t>Összes rendőri eljárásban regisztrált bűncselekmény</t>
  </si>
  <si>
    <t>BRFK</t>
  </si>
  <si>
    <t>BRFK Központ</t>
  </si>
  <si>
    <t>Baranya MRFK</t>
  </si>
  <si>
    <t>Baranya MRFK Központ</t>
  </si>
  <si>
    <t>Bács - Kiskun MRFK</t>
  </si>
  <si>
    <t>Bács-Kiskun MRFK Központ</t>
  </si>
  <si>
    <t>Békés MRFK</t>
  </si>
  <si>
    <t>Békés MRFK Központ</t>
  </si>
  <si>
    <t>Borsod - Abaúj - Zemplén MRFK</t>
  </si>
  <si>
    <t>Borsod-Abaúj-Zemplén MRFK Központ</t>
  </si>
  <si>
    <t>Csongrád MRFK</t>
  </si>
  <si>
    <t>Csongrád MRFK Központ</t>
  </si>
  <si>
    <t>Fejér MRFK</t>
  </si>
  <si>
    <t>Fejér MRFK Központ</t>
  </si>
  <si>
    <t>Győr - Moson - Sopron MRFK</t>
  </si>
  <si>
    <t>Győr-Moson-Sopron MRFK Központ</t>
  </si>
  <si>
    <t>Hajdú - Bihar MRFK</t>
  </si>
  <si>
    <t>Hajdú-Bihar MRFK Központ</t>
  </si>
  <si>
    <t>Heves MRFK</t>
  </si>
  <si>
    <t>Heves MRFK Központ</t>
  </si>
  <si>
    <t>Komárom - Esztergom MRFK</t>
  </si>
  <si>
    <t>Komárom-Esztergom MRFK Központ</t>
  </si>
  <si>
    <t>Nógrád MRFK</t>
  </si>
  <si>
    <t>Nógrád MRFK Központ</t>
  </si>
  <si>
    <t>Pest MRFK</t>
  </si>
  <si>
    <t>Pest MRFK Központ</t>
  </si>
  <si>
    <t>Somogy MRFK</t>
  </si>
  <si>
    <t>Somogy MRFK Központ</t>
  </si>
  <si>
    <t>Szabolcs - Szatmár - Bereg MRFK</t>
  </si>
  <si>
    <t>Szabolcs-Szatmár-Bereg MRFK Központ</t>
  </si>
  <si>
    <t>Jász - Nagykun - Szolnok MRFK</t>
  </si>
  <si>
    <t>Jász-Nagykun-Szolnok MRFK Központ</t>
  </si>
  <si>
    <t>Tolna MRFK</t>
  </si>
  <si>
    <t>Tolna MRFK Központ</t>
  </si>
  <si>
    <t>Vas MRFK</t>
  </si>
  <si>
    <t>Vas MRFK Központ</t>
  </si>
  <si>
    <t>Veszprém MRFK</t>
  </si>
  <si>
    <t>Veszprém MRFK Központ</t>
  </si>
  <si>
    <t>Zala MRFK</t>
  </si>
  <si>
    <t>Zala MRFK Központ</t>
  </si>
  <si>
    <t>NNI</t>
  </si>
  <si>
    <t>KR NNI</t>
  </si>
  <si>
    <t>ORFK</t>
  </si>
  <si>
    <t>RRI</t>
  </si>
  <si>
    <t>Kábítószerrel kapcsolatos bűncselekmények
(az 1978. évi IV. törvény alapján a visszaélés kábítószerrel - terjesztői magatartások tekintetében, a 2012. évi C. törvény alapján kábítószer-kereskedelem)</t>
  </si>
  <si>
    <t>eredményes</t>
  </si>
  <si>
    <t>eredménytelen</t>
  </si>
  <si>
    <t>nyomozás eredményesség</t>
  </si>
  <si>
    <t>*</t>
  </si>
  <si>
    <t>Lopás</t>
  </si>
  <si>
    <t>Dunakeszi Rendőrkapitányság</t>
  </si>
  <si>
    <t>Marcali Rendőrkapitányság</t>
  </si>
  <si>
    <t>Tiszavasvári Rendőrkapitányság</t>
  </si>
  <si>
    <t>Tamási Rendőrkapitányság</t>
  </si>
  <si>
    <t>Balatonalmádi Rendőrkapitányság</t>
  </si>
  <si>
    <t>Lenti Rendőrkapitányság</t>
  </si>
  <si>
    <t>Bp I. kerületi Rendőrkapitányság</t>
  </si>
  <si>
    <t>Bp II. kerületi Rendőrkapitányság</t>
  </si>
  <si>
    <t>Bp III. kerületi Rendőrkapitányság</t>
  </si>
  <si>
    <t>Bp IV. kerületi Rendőrkapitányság</t>
  </si>
  <si>
    <t>Bp V. kerületi Rendőrkapitányság</t>
  </si>
  <si>
    <t>Bp VI. kerületi Rendőrkapitányság</t>
  </si>
  <si>
    <t>Bp VII. kerületi Rendőrkapitányság</t>
  </si>
  <si>
    <t>Bp VIII. kerületi Rendőrkapitányság</t>
  </si>
  <si>
    <t>Bp IX. kerületi Rendőrkapitányság</t>
  </si>
  <si>
    <t>Bp X. kerületi Rendőrkapitányság</t>
  </si>
  <si>
    <t>Bp XI. kerületi Rendőrkapitányság</t>
  </si>
  <si>
    <t>Bp XII. kerületi Rendőrkapitányság</t>
  </si>
  <si>
    <t>Bp XIII. kerületi Rendőrkapitányság</t>
  </si>
  <si>
    <t>Bp XIV. kerületi Rendőrkapitányság</t>
  </si>
  <si>
    <t>Bp XV. kerületi Rendőrkapitányság</t>
  </si>
  <si>
    <t>Bp XVI. kerületi Rendőrkapitányság</t>
  </si>
  <si>
    <t>Bp XVII. kerületi Rendőrkapitányság</t>
  </si>
  <si>
    <t>Bp XVIII. kerületi Rendőrkapitányság</t>
  </si>
  <si>
    <t>Bp XIX. kerületi Rendőrkapitányság</t>
  </si>
  <si>
    <t>Bp XX-XXIII. kerületi Rendőrkapitányság</t>
  </si>
  <si>
    <t>Bp XXI. kerületi Rendőrkapitányság</t>
  </si>
  <si>
    <t>Bp XXII. kerületi Rendőrkapitányság</t>
  </si>
  <si>
    <t>Dunai Vízirendészetii Rendőrkapitányság</t>
  </si>
  <si>
    <t>Pécsi Rendőrkapitányság</t>
  </si>
  <si>
    <t>Komlói Rendőrkapitányság</t>
  </si>
  <si>
    <t>Mohácsi Rendőrkapitányság</t>
  </si>
  <si>
    <t>Siklósi Rendőrkapitányság</t>
  </si>
  <si>
    <t>Szigetvári Rendőrkapitányság</t>
  </si>
  <si>
    <t>Kecskeméti Rendőrkapitányság</t>
  </si>
  <si>
    <t>Bajai Rendőrkapitányság</t>
  </si>
  <si>
    <t>Kalocsai Rendőrkapitányság</t>
  </si>
  <si>
    <t>Kiskőrösi Rendőrkapitányság</t>
  </si>
  <si>
    <t>Kiskunhalasi Rendőrkapitányság</t>
  </si>
  <si>
    <t>Kunszentmiklósi Rendőrkapitányság</t>
  </si>
  <si>
    <t>Békéscsabai Rendőrkapitányság</t>
  </si>
  <si>
    <t>Békési Rendőrkapitányság</t>
  </si>
  <si>
    <t>Gyulai Rendőrkapitányság</t>
  </si>
  <si>
    <t>Szarvasi Rendőrkapitányság</t>
  </si>
  <si>
    <t>Sarkadi Rendőrkapitányság</t>
  </si>
  <si>
    <t>Miskolci Rendőrkapitányság</t>
  </si>
  <si>
    <t>Edelényi Rendőrkapitányság</t>
  </si>
  <si>
    <t>Encsi Rendőrkapitányság</t>
  </si>
  <si>
    <t>Kazincbarcikai Rendőrkapitányság</t>
  </si>
  <si>
    <t>Tiszaújvárosi Rendőrkapitányság</t>
  </si>
  <si>
    <t>Mezőkövesdi Rendőrkapitányság</t>
  </si>
  <si>
    <t>Ózdi Rendőrkapitányság</t>
  </si>
  <si>
    <t>Sátoraljaújhelyi Rendőrkapitányság</t>
  </si>
  <si>
    <t>Szerencsi Rendőrkapitányság</t>
  </si>
  <si>
    <t>Sárospataki Rendőrkapitányság</t>
  </si>
  <si>
    <t>Szegedi Rendőrkapitányság</t>
  </si>
  <si>
    <t>Csongrádi Rendőrkapitányság</t>
  </si>
  <si>
    <t>Hódmezővásárhelyi Rendőrkapitányság</t>
  </si>
  <si>
    <t>Makói Rendőrkapitányság</t>
  </si>
  <si>
    <t>Szentesi Rendőrkapitányság</t>
  </si>
  <si>
    <t>Kisteleki Rendőrkapitányság</t>
  </si>
  <si>
    <t>Székesfehérvári Rendőrkapitányság</t>
  </si>
  <si>
    <t>Bicskei Rendőrkapitányság</t>
  </si>
  <si>
    <t>Móri Rendőrkapitányság</t>
  </si>
  <si>
    <t>Sárbogárdi Rendőrkapitányság</t>
  </si>
  <si>
    <t>Gárdonyi Rendőrkapitányság</t>
  </si>
  <si>
    <t>Győri Rendőrkapitányság</t>
  </si>
  <si>
    <t>Csornai Rendőrkapitányság</t>
  </si>
  <si>
    <t>Kapuvári Rendőrkapitányság</t>
  </si>
  <si>
    <t>Mosonmagyaróvári Rendőrkapitányság</t>
  </si>
  <si>
    <t>Soproni Rendőrkapitányság</t>
  </si>
  <si>
    <t>Debreceni Rendőrkapitányság</t>
  </si>
  <si>
    <t>Berettyóújfalui Rendőrkapitányság</t>
  </si>
  <si>
    <t>Hajdúböszörményi Rendőrkapitányság</t>
  </si>
  <si>
    <t>Hajdúszoboszlói Rendőrkapitányság</t>
  </si>
  <si>
    <t>Hajdúnánási Rendőrkapitányság</t>
  </si>
  <si>
    <t>Püspökladányi Rendőrkapitányság</t>
  </si>
  <si>
    <t>Balmazújvárosi Rendőrkapitányság</t>
  </si>
  <si>
    <t>Füzesabonyi Rendőrkapitányság</t>
  </si>
  <si>
    <t>Gyöngyösi Rendőrkapitányság</t>
  </si>
  <si>
    <t>Hatvani Rendőrkapitányság</t>
  </si>
  <si>
    <t>Hevesi Rendőrkapitányság</t>
  </si>
  <si>
    <t>Tatabányai Rendőrkapitányság</t>
  </si>
  <si>
    <t>Dorogi Rendőrkapitányság</t>
  </si>
  <si>
    <t>Komáromi Rendőrkapitányság</t>
  </si>
  <si>
    <t>Oroszlányi Rendőrkapitányság</t>
  </si>
  <si>
    <t>Tatai Rendőrkapitányság</t>
  </si>
  <si>
    <t>Esztergomi Rendőrkapitányság</t>
  </si>
  <si>
    <t>Kisbéri Rendőrkapitányság</t>
  </si>
  <si>
    <t>Salgótarjáni Rendőrkapitányság</t>
  </si>
  <si>
    <t>Balassagyarmati Rendőrkapitányság</t>
  </si>
  <si>
    <t>Pásztói Rendőrkapitányság</t>
  </si>
  <si>
    <t>Rétsági Rendőrkapitányság</t>
  </si>
  <si>
    <t>Szécsényi Rendőrkapitányság</t>
  </si>
  <si>
    <t>Bátonyterenyei Rendőrkapitányság</t>
  </si>
  <si>
    <t>Budaörsi Rendőrkapitányság</t>
  </si>
  <si>
    <t>Ceglédi Rendőrkapitányság</t>
  </si>
  <si>
    <t>Dabasi Rendőrkapitányság</t>
  </si>
  <si>
    <t>Gödöllői Rendőrkapitányság</t>
  </si>
  <si>
    <t>Monori Rendőrkapitányság</t>
  </si>
  <si>
    <t>Nagykátai Rendőrkapitányság</t>
  </si>
  <si>
    <t>Nagykőrösi Rendőrkapitányság</t>
  </si>
  <si>
    <t>Ráckevei Rendőrkapitányság</t>
  </si>
  <si>
    <t>Szentendrei Rendőrkapitányság</t>
  </si>
  <si>
    <t>Váci Rendőrkapitányság</t>
  </si>
  <si>
    <t>Érdi Rendőrkapitányság</t>
  </si>
  <si>
    <t>Szigetszentmiklósi Rendőrkapitányság</t>
  </si>
  <si>
    <t>Kaposvári Rendőrkapitányság</t>
  </si>
  <si>
    <t>Barcsi Rendőrkapitányság</t>
  </si>
  <si>
    <t>Fonyódi Rendőrkapitányság</t>
  </si>
  <si>
    <t>Nagyatádi Rendőrkapitányság</t>
  </si>
  <si>
    <t>Siófoki Rendőrkapitányság</t>
  </si>
  <si>
    <t>Balatoni Vízirendészetii Rendőrkapitányság</t>
  </si>
  <si>
    <t>Fehérgyarmati Rendőrkapitányság</t>
  </si>
  <si>
    <t>Kisvárdai Rendőrkapitányság</t>
  </si>
  <si>
    <t>Mátészalkai Rendőrkapitányság</t>
  </si>
  <si>
    <t>Nyírbátori Rendőrkapitányság</t>
  </si>
  <si>
    <t>Vásárosnaményi Rendőrkapitányság</t>
  </si>
  <si>
    <t>Záhonyi Rendőrkapitányság</t>
  </si>
  <si>
    <t>Szolnoki Rendőrkapitányság</t>
  </si>
  <si>
    <t>Jászberényi Rendőrkapitányság</t>
  </si>
  <si>
    <t>Karcagi Rendőrkapitányság</t>
  </si>
  <si>
    <t>Kunszentmártoni Rendőrkapitányság</t>
  </si>
  <si>
    <t>Mezőtúri Rendőrkapitányság</t>
  </si>
  <si>
    <t>Tiszafüredi Rendőrkapitányság</t>
  </si>
  <si>
    <t>Törökszentmiklósi Rendőrkapitányság</t>
  </si>
  <si>
    <t>Tiszai Vízirendészetii Rendőrkapitányság</t>
  </si>
  <si>
    <t>Szekszárdi Rendőrkapitányság</t>
  </si>
  <si>
    <t>Bonyhádi Rendőrkapitányság</t>
  </si>
  <si>
    <t>Dombóvári Rendőrkapitányság</t>
  </si>
  <si>
    <t>Paksi Rendőrkapitányság</t>
  </si>
  <si>
    <t>Szombathelyi Rendőrkapitányság</t>
  </si>
  <si>
    <t>Celldömölki Rendőrkapitányság</t>
  </si>
  <si>
    <t>Körmendi Rendőrkapitányság</t>
  </si>
  <si>
    <t>Sárvári Rendőrkapitányság</t>
  </si>
  <si>
    <t>Kőszegi Rendőrkapitányság</t>
  </si>
  <si>
    <t>Vasvári Rendőrkapitányság</t>
  </si>
  <si>
    <t>Veszprémi Rendőrkapitányság</t>
  </si>
  <si>
    <t>Pápai Rendőrkapitányság</t>
  </si>
  <si>
    <t>Tapolcai Rendőrkapitányság</t>
  </si>
  <si>
    <t>Várpalotai Rendőrkapitányság</t>
  </si>
  <si>
    <t>Ajkai Rendőrkapitányság</t>
  </si>
  <si>
    <t>Balatonfüredi Rendőrkapitányság</t>
  </si>
  <si>
    <t>Zalaegerszegi Rendőrkapitányság</t>
  </si>
  <si>
    <t>Nagykanizsai Rendőrkapitányság</t>
  </si>
  <si>
    <t>Keszthelyi Rendőrkapitányság</t>
  </si>
  <si>
    <t>Kiskunfélegyházi Rendőrkapitányság</t>
  </si>
  <si>
    <t>Mezőkovácsházi Rendőrkapitányság</t>
  </si>
  <si>
    <t>Orosházi Rendőrkapitányság</t>
  </si>
  <si>
    <t>Szeghalmi Rendőrkapitányság</t>
  </si>
  <si>
    <t>Hajdúhadházi Rendőrkapitányság</t>
  </si>
  <si>
    <t>Egri Rendőrkapitányság</t>
  </si>
  <si>
    <t>Nyíregyházi Rendőrkapitányság</t>
  </si>
  <si>
    <t>Komárom-Esztergom Megyei Rendőr-főkapitányság</t>
  </si>
  <si>
    <t>Heves Megyei Rendőr-főkapitányság</t>
  </si>
  <si>
    <t>Hajdú-Bihar Megyei Rendőr-főkapitányság</t>
  </si>
  <si>
    <t>Győr-Moson-Sopron Megyei Rendőr-főkapitányság</t>
  </si>
  <si>
    <t>Fejér Megyei Rendőr-főkapitányság</t>
  </si>
  <si>
    <t>Csongrád Megyei Rendőr-főkapitányság</t>
  </si>
  <si>
    <t>Borsod-Abaúj-Zemplén Megyei Rendőr-főkapitányság</t>
  </si>
  <si>
    <t>Békés Megyei Rendőr-főkapitányság</t>
  </si>
  <si>
    <t>Bács-Kiskun Megyei Rendőr-főkapitányság</t>
  </si>
  <si>
    <t>Baranya Megyei Rendőr-főkapitányság</t>
  </si>
  <si>
    <t>Budapesti Rendőr-főkapitányság</t>
  </si>
  <si>
    <t>Nógrád Megyei Rendőr-főkapitányság</t>
  </si>
  <si>
    <t>Pest Megyei Rendőr-főkapitányság</t>
  </si>
  <si>
    <t>Somogy Megyei Rendőr-főkapitányság</t>
  </si>
  <si>
    <t>Szabolcs-Szatmár-Bereg Megyei Rendőr-főkapitányság</t>
  </si>
  <si>
    <t>Jász-Nagykun-Szolnok Megyei Rendőr-főkapitányság</t>
  </si>
  <si>
    <t>Tolna Megyei Rendőr-főkapitányság</t>
  </si>
  <si>
    <t>Vas Megyei Rendőr-főkapitányság</t>
  </si>
  <si>
    <t>Veszprém Megyei Rendőr-főkapitányság</t>
  </si>
  <si>
    <t>Zala Megyei Rendőr-főkapitányság</t>
  </si>
  <si>
    <t>Győr-Moson-Sopron megye</t>
  </si>
  <si>
    <t>Bűnügyek nyomozásának átlagos időtartama (nap)</t>
  </si>
  <si>
    <t>Bíróság elé állítások száma</t>
  </si>
  <si>
    <t>Eredményes</t>
  </si>
  <si>
    <t>Eredménytelen</t>
  </si>
  <si>
    <t>Zárt gépjármű feltörés</t>
  </si>
  <si>
    <t>Közterületen kiemelt</t>
  </si>
  <si>
    <t>(1) gyermekkorú (0-13)</t>
  </si>
  <si>
    <t>(2) fiatalkorú (14-17)</t>
  </si>
  <si>
    <t>(3) fiatal felnőtt (18-24)</t>
  </si>
  <si>
    <t>(4) felnőtt (25-59)</t>
  </si>
  <si>
    <t>(5) időskorú (60-)</t>
  </si>
  <si>
    <t>Az ország területre nem bontható adatai</t>
  </si>
  <si>
    <t>Baranya MRFK központ</t>
  </si>
  <si>
    <t>Bács-Kiskun MRFK központ</t>
  </si>
  <si>
    <t>Békés MRFK központ</t>
  </si>
  <si>
    <t>Borsod-Abaúj-Zemplén MRFK központ</t>
  </si>
  <si>
    <t>Csongrád MRFK központ</t>
  </si>
  <si>
    <t>Fejér MRFK központ</t>
  </si>
  <si>
    <t>Győr-Moson-Sopron MRFK központ</t>
  </si>
  <si>
    <t>Hajdú-Bihar MRFK központ</t>
  </si>
  <si>
    <t>Heves MRFK központ</t>
  </si>
  <si>
    <t>Komárom-Esztergom MRFK központ</t>
  </si>
  <si>
    <t>Nógrád MRFK központ</t>
  </si>
  <si>
    <t>Pest MRFK központ</t>
  </si>
  <si>
    <t>Somogy MRFK központ</t>
  </si>
  <si>
    <t>Szabolcs-Szatmár-Bereg MRFK központ</t>
  </si>
  <si>
    <t>Jász-Nagykun-Szolnok MRFK központ</t>
  </si>
  <si>
    <t>Vas MRFK központ</t>
  </si>
  <si>
    <t>Veszprém MRFK központ</t>
  </si>
  <si>
    <t>Zala MRFK központ</t>
  </si>
  <si>
    <t>*A 50 alatti bűncselekmény számok változásának mértékét nem célszerű %-os formában megjeleníteni</t>
  </si>
  <si>
    <t>Százalékos változások mértéke **
(százlékpont)</t>
  </si>
  <si>
    <t>Rendőri eljárásban regisztrált bűncselekményekben befejezett nyomozások eredményessége</t>
  </si>
  <si>
    <t>Repülőtéri Rendőr Igazgatóság</t>
  </si>
  <si>
    <t>Összes rendőri eljárásban regisztrált bűncselekmények</t>
  </si>
  <si>
    <r>
      <t>Rendőri eljárásban regisztrált</t>
    </r>
    <r>
      <rPr>
        <b/>
        <u/>
        <sz val="11"/>
        <color theme="1"/>
        <rFont val="Times New Roman"/>
        <family val="1"/>
        <charset val="238"/>
      </rPr>
      <t xml:space="preserve"> kiemelten kezelt bűncselekmények</t>
    </r>
  </si>
  <si>
    <r>
      <t xml:space="preserve">Rendőri eljárásban regisztrált </t>
    </r>
    <r>
      <rPr>
        <b/>
        <u/>
        <sz val="11"/>
        <color theme="1"/>
        <rFont val="Times New Roman"/>
        <family val="1"/>
        <charset val="238"/>
      </rPr>
      <t>közterületen elkövetett bűncselekmények</t>
    </r>
  </si>
  <si>
    <r>
      <t xml:space="preserve">Rendőri eljárásban regisztrált </t>
    </r>
    <r>
      <rPr>
        <b/>
        <u/>
        <sz val="11"/>
        <color theme="1"/>
        <rFont val="Times New Roman"/>
        <family val="1"/>
        <charset val="238"/>
      </rPr>
      <t>közterületen elkövetett kiemelten kezelt  bűncselekmények</t>
    </r>
  </si>
  <si>
    <r>
      <t xml:space="preserve">Rendőri eljárásban regisztrált </t>
    </r>
    <r>
      <rPr>
        <b/>
        <u/>
        <sz val="11"/>
        <color theme="1"/>
        <rFont val="Times New Roman"/>
        <family val="1"/>
        <charset val="238"/>
      </rPr>
      <t>emberölés</t>
    </r>
    <r>
      <rPr>
        <b/>
        <sz val="11"/>
        <color theme="1"/>
        <rFont val="Times New Roman"/>
        <family val="1"/>
        <charset val="238"/>
      </rPr>
      <t xml:space="preserve"> bűncselekmények</t>
    </r>
  </si>
  <si>
    <r>
      <t xml:space="preserve">Rendőri eljárásban regisztrált </t>
    </r>
    <r>
      <rPr>
        <b/>
        <u/>
        <sz val="11"/>
        <color theme="1"/>
        <rFont val="Times New Roman"/>
        <family val="1"/>
        <charset val="238"/>
      </rPr>
      <t>emberölés kísérlete</t>
    </r>
    <r>
      <rPr>
        <b/>
        <sz val="11"/>
        <color theme="1"/>
        <rFont val="Times New Roman"/>
        <family val="1"/>
        <charset val="238"/>
      </rPr>
      <t xml:space="preserve"> bűncselekmények</t>
    </r>
  </si>
  <si>
    <r>
      <t xml:space="preserve">Rendőri eljárásban regisztrált </t>
    </r>
    <r>
      <rPr>
        <b/>
        <u/>
        <sz val="11"/>
        <color theme="1"/>
        <rFont val="Times New Roman"/>
        <family val="1"/>
        <charset val="238"/>
      </rPr>
      <t>testi sértés</t>
    </r>
    <r>
      <rPr>
        <b/>
        <sz val="11"/>
        <color theme="1"/>
        <rFont val="Times New Roman"/>
        <family val="1"/>
        <charset val="238"/>
      </rPr>
      <t xml:space="preserve"> bűncselekmények</t>
    </r>
  </si>
  <si>
    <r>
      <t xml:space="preserve">Rendőri eljárásban regisztrált </t>
    </r>
    <r>
      <rPr>
        <b/>
        <u/>
        <sz val="11"/>
        <color theme="1"/>
        <rFont val="Times New Roman"/>
        <family val="1"/>
        <charset val="238"/>
      </rPr>
      <t>súlyos testi sértés</t>
    </r>
    <r>
      <rPr>
        <b/>
        <sz val="11"/>
        <color theme="1"/>
        <rFont val="Times New Roman"/>
        <family val="1"/>
        <charset val="238"/>
      </rPr>
      <t xml:space="preserve"> bűncselekmények</t>
    </r>
  </si>
  <si>
    <r>
      <t xml:space="preserve">Rendőri eljárásban regisztrált </t>
    </r>
    <r>
      <rPr>
        <b/>
        <u/>
        <sz val="11"/>
        <color theme="1"/>
        <rFont val="Times New Roman"/>
        <family val="1"/>
        <charset val="238"/>
      </rPr>
      <t xml:space="preserve">halált okozó testi sértés </t>
    </r>
    <r>
      <rPr>
        <b/>
        <sz val="11"/>
        <color theme="1"/>
        <rFont val="Times New Roman"/>
        <family val="1"/>
        <charset val="238"/>
      </rPr>
      <t>bűncselekmények</t>
    </r>
  </si>
  <si>
    <r>
      <t xml:space="preserve">Rendőri eljárásban regisztrált </t>
    </r>
    <r>
      <rPr>
        <b/>
        <u/>
        <sz val="11"/>
        <color theme="1"/>
        <rFont val="Times New Roman"/>
        <family val="1"/>
        <charset val="238"/>
      </rPr>
      <t>kiskorú veszélyeztetése</t>
    </r>
    <r>
      <rPr>
        <b/>
        <sz val="11"/>
        <color theme="1"/>
        <rFont val="Times New Roman"/>
        <family val="1"/>
        <charset val="238"/>
      </rPr>
      <t xml:space="preserve"> bűncselekmények</t>
    </r>
  </si>
  <si>
    <r>
      <t xml:space="preserve">Rendőri eljárásban regisztrált </t>
    </r>
    <r>
      <rPr>
        <b/>
        <u/>
        <sz val="11"/>
        <color theme="1"/>
        <rFont val="Times New Roman"/>
        <family val="1"/>
        <charset val="238"/>
      </rPr>
      <t>garázdaság</t>
    </r>
    <r>
      <rPr>
        <b/>
        <sz val="11"/>
        <color theme="1"/>
        <rFont val="Times New Roman"/>
        <family val="1"/>
        <charset val="238"/>
      </rPr>
      <t xml:space="preserve"> bűncselekmények</t>
    </r>
  </si>
  <si>
    <r>
      <t xml:space="preserve">Rendőri eljárásban regisztrált </t>
    </r>
    <r>
      <rPr>
        <b/>
        <u/>
        <sz val="11"/>
        <color theme="1"/>
        <rFont val="Times New Roman"/>
        <family val="1"/>
        <charset val="238"/>
      </rPr>
      <t>önbíráskodás</t>
    </r>
    <r>
      <rPr>
        <b/>
        <sz val="11"/>
        <color theme="1"/>
        <rFont val="Times New Roman"/>
        <family val="1"/>
        <charset val="238"/>
      </rPr>
      <t xml:space="preserve"> bűncselekmények</t>
    </r>
  </si>
  <si>
    <r>
      <t xml:space="preserve">Rendőri eljárásban regisztrált </t>
    </r>
    <r>
      <rPr>
        <b/>
        <u/>
        <sz val="11"/>
        <color theme="1"/>
        <rFont val="Times New Roman"/>
        <family val="1"/>
        <charset val="238"/>
      </rPr>
      <t>kábítószerrel kapcsolatos bűncselekmények (terjesztői magatartás)</t>
    </r>
  </si>
  <si>
    <r>
      <t xml:space="preserve">Rendőri eljárásban regisztrált </t>
    </r>
    <r>
      <rPr>
        <b/>
        <u/>
        <sz val="11"/>
        <color theme="1"/>
        <rFont val="Times New Roman"/>
        <family val="1"/>
        <charset val="238"/>
      </rPr>
      <t>lopás*</t>
    </r>
    <r>
      <rPr>
        <b/>
        <sz val="11"/>
        <color theme="1"/>
        <rFont val="Times New Roman"/>
        <family val="1"/>
        <charset val="238"/>
      </rPr>
      <t xml:space="preserve"> bűncselekmények</t>
    </r>
  </si>
  <si>
    <r>
      <t xml:space="preserve">Rendőri eljárásban regisztrált </t>
    </r>
    <r>
      <rPr>
        <b/>
        <u/>
        <sz val="11"/>
        <color theme="1"/>
        <rFont val="Times New Roman"/>
        <family val="1"/>
        <charset val="238"/>
      </rPr>
      <t>személygépkocsi lopás</t>
    </r>
    <r>
      <rPr>
        <b/>
        <sz val="11"/>
        <color theme="1"/>
        <rFont val="Times New Roman"/>
        <family val="1"/>
        <charset val="238"/>
      </rPr>
      <t xml:space="preserve"> bűncselekmények </t>
    </r>
  </si>
  <si>
    <r>
      <t xml:space="preserve">Rendőri eljárásban regisztrált </t>
    </r>
    <r>
      <rPr>
        <b/>
        <u/>
        <sz val="11"/>
        <color theme="1"/>
        <rFont val="Times New Roman"/>
        <family val="1"/>
        <charset val="238"/>
      </rPr>
      <t>zárt gépjármű-feltörés</t>
    </r>
    <r>
      <rPr>
        <b/>
        <sz val="11"/>
        <color theme="1"/>
        <rFont val="Times New Roman"/>
        <family val="1"/>
        <charset val="238"/>
      </rPr>
      <t xml:space="preserve"> bűncselekmények </t>
    </r>
  </si>
  <si>
    <r>
      <t xml:space="preserve">Rendőri eljárásban regisztrált </t>
    </r>
    <r>
      <rPr>
        <b/>
        <u/>
        <sz val="11"/>
        <color theme="1"/>
        <rFont val="Times New Roman"/>
        <family val="1"/>
        <charset val="238"/>
      </rPr>
      <t>lakásbetörés</t>
    </r>
    <r>
      <rPr>
        <b/>
        <sz val="11"/>
        <color theme="1"/>
        <rFont val="Times New Roman"/>
        <family val="1"/>
        <charset val="238"/>
      </rPr>
      <t xml:space="preserve"> bűncselekmények </t>
    </r>
  </si>
  <si>
    <r>
      <t xml:space="preserve">Rendőri eljárásban regisztrált </t>
    </r>
    <r>
      <rPr>
        <b/>
        <u/>
        <sz val="11"/>
        <color theme="1"/>
        <rFont val="Times New Roman"/>
        <family val="1"/>
        <charset val="238"/>
      </rPr>
      <t>rablás</t>
    </r>
    <r>
      <rPr>
        <b/>
        <sz val="11"/>
        <color theme="1"/>
        <rFont val="Times New Roman"/>
        <family val="1"/>
        <charset val="238"/>
      </rPr>
      <t xml:space="preserve"> bűncselekmények</t>
    </r>
  </si>
  <si>
    <r>
      <t xml:space="preserve">Rendőri eljárásban regisztrált </t>
    </r>
    <r>
      <rPr>
        <b/>
        <u/>
        <sz val="11"/>
        <color theme="1"/>
        <rFont val="Times New Roman"/>
        <family val="1"/>
        <charset val="238"/>
      </rPr>
      <t>kifosztás</t>
    </r>
    <r>
      <rPr>
        <b/>
        <sz val="11"/>
        <color theme="1"/>
        <rFont val="Times New Roman"/>
        <family val="1"/>
        <charset val="238"/>
      </rPr>
      <t xml:space="preserve"> bűncselekmények</t>
    </r>
  </si>
  <si>
    <r>
      <t xml:space="preserve">Rendőri eljárásban regisztrált </t>
    </r>
    <r>
      <rPr>
        <b/>
        <u/>
        <sz val="11"/>
        <color theme="1"/>
        <rFont val="Times New Roman"/>
        <family val="1"/>
        <charset val="238"/>
      </rPr>
      <t>zsarolás</t>
    </r>
    <r>
      <rPr>
        <b/>
        <sz val="11"/>
        <color theme="1"/>
        <rFont val="Times New Roman"/>
        <family val="1"/>
        <charset val="238"/>
      </rPr>
      <t xml:space="preserve"> bűncselekmények </t>
    </r>
  </si>
  <si>
    <r>
      <t xml:space="preserve">Rendőri eljárásban regisztrált </t>
    </r>
    <r>
      <rPr>
        <b/>
        <u/>
        <sz val="11"/>
        <color theme="1"/>
        <rFont val="Times New Roman"/>
        <family val="1"/>
        <charset val="238"/>
      </rPr>
      <t>rongálás</t>
    </r>
    <r>
      <rPr>
        <b/>
        <sz val="11"/>
        <color theme="1"/>
        <rFont val="Times New Roman"/>
        <family val="1"/>
        <charset val="238"/>
      </rPr>
      <t xml:space="preserve"> bűncselekmények </t>
    </r>
  </si>
  <si>
    <r>
      <t xml:space="preserve">Rendőri eljárásban regisztrált </t>
    </r>
    <r>
      <rPr>
        <b/>
        <u/>
        <sz val="11"/>
        <color theme="1"/>
        <rFont val="Times New Roman"/>
        <family val="1"/>
        <charset val="238"/>
      </rPr>
      <t>orgazdaság</t>
    </r>
    <r>
      <rPr>
        <b/>
        <sz val="11"/>
        <color theme="1"/>
        <rFont val="Times New Roman"/>
        <family val="1"/>
        <charset val="238"/>
      </rPr>
      <t xml:space="preserve"> bűncselekmények </t>
    </r>
  </si>
  <si>
    <r>
      <t>Rendőri eljárásban regisztrált</t>
    </r>
    <r>
      <rPr>
        <b/>
        <u/>
        <sz val="11"/>
        <color theme="1"/>
        <rFont val="Times New Roman"/>
        <family val="1"/>
        <charset val="238"/>
      </rPr>
      <t xml:space="preserve"> jármű önkényes elvétele</t>
    </r>
    <r>
      <rPr>
        <b/>
        <sz val="11"/>
        <color theme="1"/>
        <rFont val="Times New Roman"/>
        <family val="1"/>
        <charset val="238"/>
      </rPr>
      <t xml:space="preserve"> bűncselekmények</t>
    </r>
  </si>
  <si>
    <r>
      <t>Rendőri eljárásban regisztrált</t>
    </r>
    <r>
      <rPr>
        <b/>
        <u/>
        <sz val="11"/>
        <color theme="1"/>
        <rFont val="Times New Roman"/>
        <family val="1"/>
        <charset val="238"/>
      </rPr>
      <t xml:space="preserve"> embercsempészés</t>
    </r>
    <r>
      <rPr>
        <b/>
        <sz val="11"/>
        <color theme="1"/>
        <rFont val="Times New Roman"/>
        <family val="1"/>
        <charset val="238"/>
      </rPr>
      <t xml:space="preserve"> bűncselekmények</t>
    </r>
  </si>
  <si>
    <t>Acsád</t>
  </si>
  <si>
    <t>Alsószölnök</t>
  </si>
  <si>
    <t>Alsóújlak</t>
  </si>
  <si>
    <t>Andrásfa</t>
  </si>
  <si>
    <t>Apátistvánfalva</t>
  </si>
  <si>
    <t>Bajánsenye</t>
  </si>
  <si>
    <t>Balogunyom</t>
  </si>
  <si>
    <t>Bejcgyertyános</t>
  </si>
  <si>
    <t>Bérbaltavár</t>
  </si>
  <si>
    <t>Boba</t>
  </si>
  <si>
    <t>Borgáta</t>
  </si>
  <si>
    <t>Bozzai</t>
  </si>
  <si>
    <t>Bozsok</t>
  </si>
  <si>
    <t>Bő</t>
  </si>
  <si>
    <t>Bögöt</t>
  </si>
  <si>
    <t>Bögöte</t>
  </si>
  <si>
    <t>Bucsu</t>
  </si>
  <si>
    <t>Bük</t>
  </si>
  <si>
    <t>Cák</t>
  </si>
  <si>
    <t>Celldömölk</t>
  </si>
  <si>
    <t>Chernelházadamonya</t>
  </si>
  <si>
    <t>Csákánydoroszló</t>
  </si>
  <si>
    <t>Csánig</t>
  </si>
  <si>
    <t>Csehi</t>
  </si>
  <si>
    <t>Csehimindszent</t>
  </si>
  <si>
    <t>Csempeszkopács</t>
  </si>
  <si>
    <t>Csénye</t>
  </si>
  <si>
    <t>Csepreg</t>
  </si>
  <si>
    <t>Csipkerek</t>
  </si>
  <si>
    <t>Csönge</t>
  </si>
  <si>
    <t>Csörötnek</t>
  </si>
  <si>
    <t>Daraboshegy</t>
  </si>
  <si>
    <t>Dozmat</t>
  </si>
  <si>
    <t>Döbörhegy</t>
  </si>
  <si>
    <t>Döröske</t>
  </si>
  <si>
    <t>Duka</t>
  </si>
  <si>
    <t>Egervölgy</t>
  </si>
  <si>
    <t>Egyházashetye</t>
  </si>
  <si>
    <t>Egyházashollós</t>
  </si>
  <si>
    <t>Egyházasrádóc</t>
  </si>
  <si>
    <t>Felsőcsatár</t>
  </si>
  <si>
    <t>Felsőjánosfa</t>
  </si>
  <si>
    <t>Felsőmarác</t>
  </si>
  <si>
    <t>Felsőszölnök</t>
  </si>
  <si>
    <t>Gasztony</t>
  </si>
  <si>
    <t>Gencsapáti</t>
  </si>
  <si>
    <t>Gérce</t>
  </si>
  <si>
    <t>Gersekarát</t>
  </si>
  <si>
    <t>Gór</t>
  </si>
  <si>
    <t>Gyanógeregye</t>
  </si>
  <si>
    <t>Gyöngyösfalu</t>
  </si>
  <si>
    <t>Győrvár</t>
  </si>
  <si>
    <t>Halastó</t>
  </si>
  <si>
    <t>Halogy</t>
  </si>
  <si>
    <t>Harasztifalu</t>
  </si>
  <si>
    <t>Hegyfalu</t>
  </si>
  <si>
    <t>Hegyháthodász</t>
  </si>
  <si>
    <t>Hegyhátsál</t>
  </si>
  <si>
    <t>Hegyhátszentjakab</t>
  </si>
  <si>
    <t>Hegyhátszentmárton</t>
  </si>
  <si>
    <t>Hegyhátszentpéter</t>
  </si>
  <si>
    <t>Horvátlövő</t>
  </si>
  <si>
    <t>Horvátzsidány</t>
  </si>
  <si>
    <t>Hosszúpereszteg</t>
  </si>
  <si>
    <t>Ikervár</t>
  </si>
  <si>
    <t>Iklanberény</t>
  </si>
  <si>
    <t>Ispánk</t>
  </si>
  <si>
    <t>Ivánc</t>
  </si>
  <si>
    <t>Ják</t>
  </si>
  <si>
    <t>Jákfa</t>
  </si>
  <si>
    <t>Jánosháza</t>
  </si>
  <si>
    <t>Káld</t>
  </si>
  <si>
    <t>Kám</t>
  </si>
  <si>
    <t>Karakó</t>
  </si>
  <si>
    <t>Katafa</t>
  </si>
  <si>
    <t>Keléd</t>
  </si>
  <si>
    <t>Kemeneskápolna</t>
  </si>
  <si>
    <t>Kemenesmagasi</t>
  </si>
  <si>
    <t>Kemenesmihályfa</t>
  </si>
  <si>
    <t>Kemenespálfa</t>
  </si>
  <si>
    <t>Kemenessömjén</t>
  </si>
  <si>
    <t>Kemenesszentmárton</t>
  </si>
  <si>
    <t>Kemestaródfa</t>
  </si>
  <si>
    <t>Kenéz</t>
  </si>
  <si>
    <t>Kenyeri</t>
  </si>
  <si>
    <t>Kercaszomor</t>
  </si>
  <si>
    <t>Kerkáskápolna</t>
  </si>
  <si>
    <t>Kétvölgy</t>
  </si>
  <si>
    <t>Kisrákos</t>
  </si>
  <si>
    <t>Kissomlyó</t>
  </si>
  <si>
    <t>Kisunyom</t>
  </si>
  <si>
    <t>Kiszsidány</t>
  </si>
  <si>
    <t>Kondorfa</t>
  </si>
  <si>
    <t>Köcsk</t>
  </si>
  <si>
    <t>Körmend</t>
  </si>
  <si>
    <t>Kőszeg</t>
  </si>
  <si>
    <t>Kőszegdoroszló</t>
  </si>
  <si>
    <t>Kőszegpaty</t>
  </si>
  <si>
    <t>Kőszegszerdahely</t>
  </si>
  <si>
    <t>Lócs</t>
  </si>
  <si>
    <t>Lukácsháza</t>
  </si>
  <si>
    <t>Magyarlak</t>
  </si>
  <si>
    <t>Magyarnádalja</t>
  </si>
  <si>
    <t>Magyarszecsőd</t>
  </si>
  <si>
    <t>Magyarszombatfa</t>
  </si>
  <si>
    <t>Megyehíd</t>
  </si>
  <si>
    <t>Meggyeskovácsi</t>
  </si>
  <si>
    <t>Mersevát</t>
  </si>
  <si>
    <t>Mesterháza</t>
  </si>
  <si>
    <t>Mesteri</t>
  </si>
  <si>
    <t>Meszlen</t>
  </si>
  <si>
    <t>Mikosszéplak</t>
  </si>
  <si>
    <t>Molnaszecsőd</t>
  </si>
  <si>
    <t>Nádasd</t>
  </si>
  <si>
    <t>Nagygeresd</t>
  </si>
  <si>
    <t>Nagykölked</t>
  </si>
  <si>
    <t>Nagymizdó</t>
  </si>
  <si>
    <t>Nagyrákos</t>
  </si>
  <si>
    <t>Nagysimonyi</t>
  </si>
  <si>
    <t>Nagytilaj</t>
  </si>
  <si>
    <t>Nárai</t>
  </si>
  <si>
    <t>Narda</t>
  </si>
  <si>
    <t>Nemesbőd</t>
  </si>
  <si>
    <t>Nemescsó</t>
  </si>
  <si>
    <t>Nemeskeresztúr</t>
  </si>
  <si>
    <t>Nemeskocs</t>
  </si>
  <si>
    <t>Nemeskolta</t>
  </si>
  <si>
    <t>Nemesládony</t>
  </si>
  <si>
    <t>Nemesmedves</t>
  </si>
  <si>
    <t>Nemesrempehollós</t>
  </si>
  <si>
    <t>Nick</t>
  </si>
  <si>
    <t>Nyőgér</t>
  </si>
  <si>
    <t>Olaszfa</t>
  </si>
  <si>
    <t>Ólmod</t>
  </si>
  <si>
    <t>Orfalu</t>
  </si>
  <si>
    <t>Ostffyasszonyfa</t>
  </si>
  <si>
    <t>Oszkó</t>
  </si>
  <si>
    <t>Ölbő</t>
  </si>
  <si>
    <t>Őrimagyarósd</t>
  </si>
  <si>
    <t>Őriszentpéter</t>
  </si>
  <si>
    <t>Pácsony</t>
  </si>
  <si>
    <t>Pankasz</t>
  </si>
  <si>
    <t>Pápoc</t>
  </si>
  <si>
    <t>Pecöl</t>
  </si>
  <si>
    <t>Perenye</t>
  </si>
  <si>
    <t>Peresznye</t>
  </si>
  <si>
    <t>Petőmihályfa</t>
  </si>
  <si>
    <t>Pinkamindszent</t>
  </si>
  <si>
    <t>Pornóapáti</t>
  </si>
  <si>
    <t>Porpác</t>
  </si>
  <si>
    <t>Pósfa</t>
  </si>
  <si>
    <t>Pusztacsó</t>
  </si>
  <si>
    <t>Püspökmolnári</t>
  </si>
  <si>
    <t>Rábagyarmat</t>
  </si>
  <si>
    <t>Rábahídvég</t>
  </si>
  <si>
    <t>Rábapaty</t>
  </si>
  <si>
    <t>Rábatöttös</t>
  </si>
  <si>
    <t>Rádóckölked</t>
  </si>
  <si>
    <t>Rátót</t>
  </si>
  <si>
    <t>Répcelak</t>
  </si>
  <si>
    <t>Répceszentgyörgy</t>
  </si>
  <si>
    <t>Rönök</t>
  </si>
  <si>
    <t>Rum</t>
  </si>
  <si>
    <t>Sajtoskál</t>
  </si>
  <si>
    <t>Salköveskút</t>
  </si>
  <si>
    <t>Sárfimizdó</t>
  </si>
  <si>
    <t>Sárvár</t>
  </si>
  <si>
    <t>Sé</t>
  </si>
  <si>
    <t>Simaság</t>
  </si>
  <si>
    <t>Sitke</t>
  </si>
  <si>
    <t>Sorkifalud</t>
  </si>
  <si>
    <t>Sorkikápolna</t>
  </si>
  <si>
    <t>Sorokpolány</t>
  </si>
  <si>
    <t>Sótony</t>
  </si>
  <si>
    <t>Söpte</t>
  </si>
  <si>
    <t>Szaknyér</t>
  </si>
  <si>
    <t>Szakonyfalu</t>
  </si>
  <si>
    <t>Szalafő</t>
  </si>
  <si>
    <t>Szarvaskend</t>
  </si>
  <si>
    <t>Szatta</t>
  </si>
  <si>
    <t>Szeleste</t>
  </si>
  <si>
    <t>Szemenye</t>
  </si>
  <si>
    <t>Szentgotthárd</t>
  </si>
  <si>
    <t>Szentpéterfa</t>
  </si>
  <si>
    <t>Szergény</t>
  </si>
  <si>
    <t>Szombathely</t>
  </si>
  <si>
    <t>Szőce</t>
  </si>
  <si>
    <t>Tanakajd</t>
  </si>
  <si>
    <t>Táplánszentkereszt</t>
  </si>
  <si>
    <t>Telekes</t>
  </si>
  <si>
    <t>Tokorcs</t>
  </si>
  <si>
    <t>Tompaládony</t>
  </si>
  <si>
    <t>Tormásliget</t>
  </si>
  <si>
    <t>Torony</t>
  </si>
  <si>
    <t>Tömörd</t>
  </si>
  <si>
    <t>Uraiújfalu</t>
  </si>
  <si>
    <t>Vámoscsalád</t>
  </si>
  <si>
    <t>Vasalja</t>
  </si>
  <si>
    <t>Vásárosmiske</t>
  </si>
  <si>
    <t>Vasasszonyfa</t>
  </si>
  <si>
    <t>Vasegerszeg</t>
  </si>
  <si>
    <t>Vashosszúfalu</t>
  </si>
  <si>
    <t>Vaskeresztes</t>
  </si>
  <si>
    <t>Vassurány</t>
  </si>
  <si>
    <t>Vasvár</t>
  </si>
  <si>
    <t>Vasszécseny</t>
  </si>
  <si>
    <t>Vasszentmihály</t>
  </si>
  <si>
    <t>Vasszilvágy</t>
  </si>
  <si>
    <t>Vát</t>
  </si>
  <si>
    <t>Velem</t>
  </si>
  <si>
    <t>Velemér</t>
  </si>
  <si>
    <t>Vép</t>
  </si>
  <si>
    <t>Viszák</t>
  </si>
  <si>
    <t>Vönöck</t>
  </si>
  <si>
    <t>Zsédeny</t>
  </si>
  <si>
    <t>Zsennye</t>
  </si>
  <si>
    <t xml:space="preserve">Kifosztás </t>
  </si>
  <si>
    <t>Országos</t>
  </si>
  <si>
    <t>Csalás</t>
  </si>
  <si>
    <t>Zala MRFK 323/2015. bü számú bűncselekmény száma</t>
  </si>
  <si>
    <t>Bűncselekmények száma a Zala MRFK 323/2015.bü. sorozat ügye nélkül</t>
  </si>
  <si>
    <t>Felderítési eredményesség</t>
  </si>
  <si>
    <t>Készpénz helyettesítő fizetési eszközzel visszaélés</t>
  </si>
  <si>
    <t>KR NNI 458/2014.bü. számú bűncselekmény száma</t>
  </si>
  <si>
    <t>Bűncselekmények száma a KR NNI 458/2014.bü. számú sorozat bűncselekménye nélkül</t>
  </si>
  <si>
    <t>Felderítési eredményesség a KR NNI 458/2014.bü. számú sorozat bűncselekménye nélkül</t>
  </si>
  <si>
    <t>Határzárral kapcsolatos bűncselekmények száma</t>
  </si>
  <si>
    <t>KR NNI 458/2014. bü bűncselekmény száma</t>
  </si>
  <si>
    <t>Zala MRFK 323/2015. bü számú és 79/2016. bü. számú bűncselekmény száma</t>
  </si>
  <si>
    <t>2010. év</t>
  </si>
  <si>
    <t>2011. év</t>
  </si>
  <si>
    <t>2012. év</t>
  </si>
  <si>
    <t>2013. év</t>
  </si>
  <si>
    <t>2014. év</t>
  </si>
  <si>
    <t>2015. év</t>
  </si>
  <si>
    <t>2016. év</t>
  </si>
  <si>
    <t>2017. év</t>
  </si>
  <si>
    <t>2010.</t>
  </si>
  <si>
    <t>2011.</t>
  </si>
  <si>
    <t>2013.</t>
  </si>
  <si>
    <t>2014.</t>
  </si>
  <si>
    <t>2015.</t>
  </si>
  <si>
    <t>2016.</t>
  </si>
  <si>
    <t>2017.</t>
  </si>
  <si>
    <t xml:space="preserve">2010.
</t>
  </si>
  <si>
    <t xml:space="preserve">2012.
</t>
  </si>
  <si>
    <t xml:space="preserve">2014.
</t>
  </si>
  <si>
    <t xml:space="preserve">2016.
</t>
  </si>
  <si>
    <t>Felderítési eredményesség a Zala MRFK és KR NNI sok B lapos ügye nélkül</t>
  </si>
  <si>
    <t>Nyomozáseredményességi mutató (%)</t>
  </si>
  <si>
    <t>Nyomozáseredményesség</t>
  </si>
  <si>
    <t>Nyomozáseredményesség a Zala MRFK 323/2015.bü. sorozat ügye nélkül</t>
  </si>
  <si>
    <t>Nyomozáseredményesség a KR NNI 458/2014.bü. számú sorozat bűncselekménye nélkül</t>
  </si>
  <si>
    <t>Nyomozáseredményesség a Zala MRFK és KR NNI sok B lapos ügye nélkül</t>
  </si>
  <si>
    <t>Korrupciós bűncselekmények</t>
  </si>
  <si>
    <t>180 napon túl folyamatban lévő ügyek száma</t>
  </si>
  <si>
    <t>június</t>
  </si>
  <si>
    <t>július</t>
  </si>
  <si>
    <t>augusztus</t>
  </si>
  <si>
    <t>szeptember</t>
  </si>
  <si>
    <t>október</t>
  </si>
  <si>
    <t>november</t>
  </si>
  <si>
    <t>december</t>
  </si>
  <si>
    <r>
      <t xml:space="preserve">Rendőri eljárásban regisztrált </t>
    </r>
    <r>
      <rPr>
        <b/>
        <u/>
        <sz val="11"/>
        <color theme="1"/>
        <rFont val="Times New Roman"/>
        <family val="1"/>
        <charset val="238"/>
      </rPr>
      <t>szándékos befejezett emberölés b</t>
    </r>
    <r>
      <rPr>
        <b/>
        <sz val="11"/>
        <color theme="1"/>
        <rFont val="Times New Roman"/>
        <family val="1"/>
        <charset val="238"/>
      </rPr>
      <t>űncselekmények</t>
    </r>
  </si>
  <si>
    <t>Betöréses lopás</t>
  </si>
  <si>
    <r>
      <rPr>
        <b/>
        <sz val="10"/>
        <rFont val="Times New Roman"/>
        <family val="1"/>
        <charset val="238"/>
      </rPr>
      <t xml:space="preserve">Közterületen elkövetett bűncselekmények </t>
    </r>
    <r>
      <rPr>
        <sz val="10"/>
        <rFont val="Times New Roman"/>
        <family val="1"/>
        <charset val="238"/>
      </rPr>
      <t xml:space="preserve">
(A kiemelten kezelt bűncselekmények körében)</t>
    </r>
  </si>
  <si>
    <t>Illetékességi terület</t>
  </si>
  <si>
    <t>2012.</t>
  </si>
  <si>
    <t>Ismeretlen*</t>
  </si>
  <si>
    <t>Bp. I. kerületi Rendőrkapitányság</t>
  </si>
  <si>
    <t>Bp. II. kerületi Rendőrkapitányság</t>
  </si>
  <si>
    <t>Bp. III. kerületi Rendőrkapitányság</t>
  </si>
  <si>
    <t>Bp. IV. kerületi Rendőrkapitányság</t>
  </si>
  <si>
    <t>Bp. V. kerületi Rendőrkapitányság</t>
  </si>
  <si>
    <t>Bp. VI. kerületi Rendőrkapitányság</t>
  </si>
  <si>
    <t>Bp. VII. kerületi Rendőrkapitányság</t>
  </si>
  <si>
    <t>Bp. VIII. kerületi Rendőrkapitányság</t>
  </si>
  <si>
    <t>Bp. IX. kerületi Rendőrkapitányság</t>
  </si>
  <si>
    <t>Bp. X. kerületi Rendőrkapitányság</t>
  </si>
  <si>
    <t>Bp. XI. kerületi Rendőrkapitányság</t>
  </si>
  <si>
    <t>Bp. XII. kerületi Rendőrkapitányság</t>
  </si>
  <si>
    <t>Bp. XIII. kerületi Rendőrkapitányság</t>
  </si>
  <si>
    <t>Bp. XIV. kerületi Rendőrkapitányság</t>
  </si>
  <si>
    <t>Bp. XV. kerületi Rendőrkapitányság</t>
  </si>
  <si>
    <t>Bp. XVI. kerületi Rendőrkapitányság</t>
  </si>
  <si>
    <t>Bp. XVII. kerületi Rendőrkapitányság</t>
  </si>
  <si>
    <t>Bp. XVIII. kerületi Rendőrkapitányság</t>
  </si>
  <si>
    <t>Bp. XIX. kerületi Rendőrkapitányság</t>
  </si>
  <si>
    <t>Bp. XX-XXIII. kerületi Rendőrkapitányság</t>
  </si>
  <si>
    <t>Bp. XXI. kerületi Rendőrkapitányság</t>
  </si>
  <si>
    <t>Bp. XXII. kerületi Rendőrkapitányság</t>
  </si>
  <si>
    <t>Egeri Rendőrkapitányság</t>
  </si>
  <si>
    <t>Balatonalmádii Rendőrkapitányság</t>
  </si>
  <si>
    <t>Külföld</t>
  </si>
  <si>
    <t>*Az előforduló hiányzó vagy hibás településkódok miatt nem lehetett azonosítani a települést.</t>
  </si>
  <si>
    <t>KR NNI összesen:</t>
  </si>
  <si>
    <t>Megye NYE</t>
  </si>
  <si>
    <t>Megye FE</t>
  </si>
  <si>
    <t>Eltérés az országos átlagtól</t>
  </si>
  <si>
    <t>2018. év</t>
  </si>
  <si>
    <t>Időszaki átlag (2014-2018)</t>
  </si>
  <si>
    <t>Eltérés az előző (2017.) év azonos időszakától</t>
  </si>
  <si>
    <t>Eltérés a bázisidőszaktól (2010.)</t>
  </si>
  <si>
    <t>időszaki átlag 2014-2018</t>
  </si>
  <si>
    <t>Rendőri eljárásban regisztrált bűncselekmények száma (elkövetés helye szerint)</t>
  </si>
  <si>
    <t>Rendőri eljárásban regisztrált bűncselekmények száma (eljáró szerv szerint)</t>
  </si>
  <si>
    <t>2017. év VI-XII. hó</t>
  </si>
  <si>
    <t>Megye BCS</t>
  </si>
  <si>
    <t>Eltérés az országos átlagtól Nyomered</t>
  </si>
  <si>
    <t>Eltérés az országos átlagtól Feldered</t>
  </si>
  <si>
    <t>180 napon túl folyamatban lévő ügyek száma 2017. év</t>
  </si>
  <si>
    <t>2017/I. félév</t>
  </si>
  <si>
    <t>Kábítószerrel kapcsolatos bűncselekmények</t>
  </si>
  <si>
    <t>Repülőtéri Rendőr Igazgatóság összesen:</t>
  </si>
  <si>
    <t>** A 2018. I-IV. havi adatok tájékoztató jellegűek</t>
  </si>
  <si>
    <t>az ENyÜBS 2010-2018. évi adatai alapján</t>
  </si>
  <si>
    <t>2018.</t>
  </si>
  <si>
    <t>Rendőri eljárásban regisztrált bűncselekmények száma a rendőrkapitányság illetékességi területe szerint 2010-2018. évi ENyÜBS adatok alapján</t>
  </si>
  <si>
    <t>Rendőri eljárásban regisztrált bűncselekmények számának alakulása 2010-2018. évi ENYÜBS adatok alapján</t>
  </si>
  <si>
    <t>Eljáró szerv szerinti adatok alakulása a 
2010-2018. évi ENYÜBS adatok alapján</t>
  </si>
  <si>
    <t>Rendőri eljárásban regisztrált befejezett nyomozások eredményességének alakulása 2010-2018. évi ENYÜBS adatok alapján</t>
  </si>
  <si>
    <t>Rendőri eljárásban regisztrált befejezett nyomozások felderítési eredményessége az ENyÜBS 2015-2018. évi adatok alapján
(A Büntető Törvénykönyvről szóló 2012. évi C. törvény szerint befejezett nyomozások vonatkozásában)</t>
  </si>
  <si>
    <t>Rendőri eljárásban regisztrált bíróság elé állítással befejezett nyomozások számának alakulása szolgálati áganként, rendőrkapitánysági bontásban 2010-2018. évi ENyÜBS adatok alapján</t>
  </si>
  <si>
    <t>2018. 
I-XI. hó</t>
  </si>
  <si>
    <t>Országos átlag NYE 2018. I-XI.hó</t>
  </si>
  <si>
    <t>Országos átlag FE 2018. I-XI. hó</t>
  </si>
  <si>
    <t>2010.
I-XI. hó</t>
  </si>
  <si>
    <t>2011.
I-XI. hó</t>
  </si>
  <si>
    <t>2012.
I-XI. hó</t>
  </si>
  <si>
    <t>2013.
I-XI. hó</t>
  </si>
  <si>
    <t>2014.
I-XI. hó</t>
  </si>
  <si>
    <t>2015.
I-XI. hó</t>
  </si>
  <si>
    <t>2016.
I-XI. hó</t>
  </si>
  <si>
    <t>2017.
I-XI. hó</t>
  </si>
  <si>
    <t>2018.
I-XI. hó</t>
  </si>
  <si>
    <t>Rendőri eljárásban regisztrált bűncselekmények száma éa a befejezett nyomozások eredményessége</t>
  </si>
  <si>
    <t>Regisztrált bűncselekmények 100 000 lakosra vetített aránya</t>
  </si>
  <si>
    <t>Kábítószerrel kapcsolatos bűncselekmények (terjesztői magatartás)</t>
  </si>
  <si>
    <t>Rendőri eljárásban regisztrált bűncselekmények száma az elkövetés helye (megye, település) szerinti bontásban a 2010-2018. évi ENyÜBS adatok alapján</t>
  </si>
  <si>
    <t>Közterületen elkövetett bűncselekmények 
(A kiemelten kezelt bűncselekmények körében)</t>
  </si>
  <si>
    <t>Megye</t>
  </si>
  <si>
    <t>Település</t>
  </si>
  <si>
    <t>2010.év</t>
  </si>
  <si>
    <t>Szombathely Rk</t>
  </si>
  <si>
    <t>Celldömölk Rk</t>
  </si>
  <si>
    <t>Körmend Rk</t>
  </si>
  <si>
    <t>Sárvár Rk</t>
  </si>
  <si>
    <t>Kőszeg Rk</t>
  </si>
  <si>
    <t>Vasvár 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</si>
</sst>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F_t_-;\-* #,##0.00\ _F_t_-;_-* &quot;-&quot;??\ _F_t_-;_-@_-"/>
    <numFmt numFmtId="164" formatCode="_-* #,##0\ _F_t_-;\-* #,##0\ _F_t_-;_-* &quot;-&quot;??\ _F_t_-;_-@_-"/>
    <numFmt numFmtId="165" formatCode="0.0"/>
    <numFmt numFmtId="166" formatCode="_-* #,##0.0\ _F_t_-;\-* #,##0.0\ _F_t_-;_-* &quot;-&quot;??\ _F_t_-;_-@_-"/>
    <numFmt numFmtId="167" formatCode="#,##0.0_ ;\-#,##0.0\ "/>
    <numFmt numFmtId="168" formatCode="###0"/>
    <numFmt numFmtId="169" formatCode="###0.0"/>
    <numFmt numFmtId="170" formatCode="#,##0.0"/>
    <numFmt numFmtId="171" formatCode="#,##0_ ;\-#,##0\ "/>
  </numFmts>
  <fonts count="3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4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u/>
      <sz val="11"/>
      <color theme="1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sz val="10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sz val="11"/>
      <color theme="0" tint="-0.499984740745262"/>
      <name val="Times New Roman"/>
      <family val="1"/>
      <charset val="238"/>
    </font>
    <font>
      <b/>
      <sz val="20"/>
      <color theme="1"/>
      <name val="Times New Roman"/>
      <family val="1"/>
      <charset val="238"/>
    </font>
    <font>
      <b/>
      <sz val="18"/>
      <color theme="1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color theme="1"/>
      <name val="Times New Roman"/>
      <family val="2"/>
      <charset val="238"/>
    </font>
    <font>
      <b/>
      <i/>
      <sz val="10"/>
      <color theme="1"/>
      <name val="Times New Roman"/>
      <family val="1"/>
      <charset val="238"/>
    </font>
    <font>
      <sz val="10"/>
      <color indexed="8"/>
      <name val="Arial"/>
      <family val="2"/>
      <charset val="238"/>
    </font>
    <font>
      <sz val="11"/>
      <color indexed="8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color theme="0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name val="Times New Roman"/>
      <family val="1"/>
      <charset val="238"/>
    </font>
    <font>
      <i/>
      <sz val="10"/>
      <color theme="0"/>
      <name val="Times New Roman"/>
      <family val="1"/>
      <charset val="238"/>
    </font>
    <font>
      <i/>
      <sz val="11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lightGray"/>
    </fill>
    <fill>
      <patternFill patternType="solid">
        <fgColor theme="0"/>
        <bgColor indexed="64"/>
      </patternFill>
    </fill>
    <fill>
      <patternFill patternType="lightGray">
        <bgColor theme="0" tint="-4.9989318521683403E-2"/>
      </patternFill>
    </fill>
    <fill>
      <patternFill patternType="solid">
        <fgColor rgb="FFC0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7" tint="0.39997558519241921"/>
        <bgColor indexed="64"/>
      </patternFill>
    </fill>
  </fills>
  <borders count="9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24" fillId="0" borderId="0"/>
    <xf numFmtId="43" fontId="24" fillId="0" borderId="0" applyFont="0" applyFill="0" applyBorder="0" applyAlignment="0" applyProtection="0"/>
    <xf numFmtId="0" fontId="26" fillId="0" borderId="0"/>
    <xf numFmtId="0" fontId="32" fillId="0" borderId="0"/>
    <xf numFmtId="43" fontId="32" fillId="0" borderId="0" applyFont="0" applyFill="0" applyBorder="0" applyAlignment="0" applyProtection="0"/>
  </cellStyleXfs>
  <cellXfs count="1055">
    <xf numFmtId="0" fontId="0" fillId="0" borderId="0" xfId="0"/>
    <xf numFmtId="0" fontId="2" fillId="2" borderId="4" xfId="0" applyFont="1" applyFill="1" applyBorder="1" applyAlignment="1">
      <alignment horizontal="center" vertical="center"/>
    </xf>
    <xf numFmtId="0" fontId="3" fillId="0" borderId="0" xfId="0" applyFont="1"/>
    <xf numFmtId="0" fontId="4" fillId="0" borderId="4" xfId="0" applyFont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3" fillId="3" borderId="6" xfId="0" applyFont="1" applyFill="1" applyBorder="1"/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4" fillId="0" borderId="21" xfId="0" applyFont="1" applyBorder="1" applyAlignment="1">
      <alignment horizontal="right" vertical="center" wrapText="1"/>
    </xf>
    <xf numFmtId="164" fontId="4" fillId="2" borderId="8" xfId="0" applyNumberFormat="1" applyFont="1" applyFill="1" applyBorder="1" applyAlignment="1">
      <alignment horizontal="center" vertical="center"/>
    </xf>
    <xf numFmtId="165" fontId="4" fillId="0" borderId="26" xfId="0" applyNumberFormat="1" applyFont="1" applyBorder="1" applyAlignment="1">
      <alignment horizontal="center" vertical="center"/>
    </xf>
    <xf numFmtId="165" fontId="4" fillId="2" borderId="8" xfId="0" applyNumberFormat="1" applyFont="1" applyFill="1" applyBorder="1" applyAlignment="1">
      <alignment horizontal="center" vertical="center"/>
    </xf>
    <xf numFmtId="165" fontId="4" fillId="0" borderId="28" xfId="0" applyNumberFormat="1" applyFont="1" applyBorder="1" applyAlignment="1">
      <alignment horizontal="center" vertical="center"/>
    </xf>
    <xf numFmtId="165" fontId="4" fillId="0" borderId="29" xfId="0" applyNumberFormat="1" applyFont="1" applyBorder="1" applyAlignment="1">
      <alignment horizontal="center" vertical="center"/>
    </xf>
    <xf numFmtId="165" fontId="4" fillId="0" borderId="25" xfId="0" applyNumberFormat="1" applyFont="1" applyBorder="1" applyAlignment="1">
      <alignment horizontal="right"/>
    </xf>
    <xf numFmtId="0" fontId="3" fillId="3" borderId="19" xfId="0" applyFont="1" applyFill="1" applyBorder="1"/>
    <xf numFmtId="0" fontId="3" fillId="3" borderId="0" xfId="0" applyFont="1" applyFill="1" applyBorder="1"/>
    <xf numFmtId="0" fontId="3" fillId="3" borderId="20" xfId="0" applyFont="1" applyFill="1" applyBorder="1"/>
    <xf numFmtId="0" fontId="0" fillId="0" borderId="0" xfId="0" applyNumberFormat="1"/>
    <xf numFmtId="0" fontId="3" fillId="0" borderId="32" xfId="0" applyFont="1" applyBorder="1" applyAlignment="1">
      <alignment horizontal="right" vertical="center" wrapText="1"/>
    </xf>
    <xf numFmtId="164" fontId="3" fillId="2" borderId="8" xfId="0" applyNumberFormat="1" applyFont="1" applyFill="1" applyBorder="1" applyAlignment="1">
      <alignment horizontal="center" vertical="center"/>
    </xf>
    <xf numFmtId="165" fontId="4" fillId="0" borderId="38" xfId="0" applyNumberFormat="1" applyFont="1" applyBorder="1" applyAlignment="1">
      <alignment horizontal="center" vertical="center"/>
    </xf>
    <xf numFmtId="165" fontId="3" fillId="0" borderId="33" xfId="0" applyNumberFormat="1" applyFont="1" applyBorder="1" applyAlignment="1">
      <alignment horizontal="center" vertical="center"/>
    </xf>
    <xf numFmtId="165" fontId="4" fillId="0" borderId="34" xfId="0" applyNumberFormat="1" applyFont="1" applyBorder="1" applyAlignment="1">
      <alignment horizontal="center" vertical="center"/>
    </xf>
    <xf numFmtId="165" fontId="4" fillId="0" borderId="36" xfId="0" applyNumberFormat="1" applyFont="1" applyBorder="1" applyAlignment="1">
      <alignment horizontal="right"/>
    </xf>
    <xf numFmtId="0" fontId="4" fillId="0" borderId="32" xfId="0" applyFont="1" applyBorder="1" applyAlignment="1">
      <alignment horizontal="right" vertical="center" wrapText="1"/>
    </xf>
    <xf numFmtId="165" fontId="4" fillId="0" borderId="33" xfId="0" applyNumberFormat="1" applyFont="1" applyBorder="1" applyAlignment="1">
      <alignment horizontal="center" vertical="center"/>
    </xf>
    <xf numFmtId="165" fontId="4" fillId="0" borderId="36" xfId="0" applyNumberFormat="1" applyFont="1" applyBorder="1" applyAlignment="1">
      <alignment horizontal="right" vertical="center"/>
    </xf>
    <xf numFmtId="0" fontId="3" fillId="3" borderId="0" xfId="0" applyFont="1" applyFill="1" applyBorder="1" applyAlignment="1">
      <alignment vertical="center"/>
    </xf>
    <xf numFmtId="0" fontId="0" fillId="0" borderId="0" xfId="0" applyNumberFormat="1" applyAlignment="1">
      <alignment vertical="center"/>
    </xf>
    <xf numFmtId="0" fontId="3" fillId="0" borderId="0" xfId="0" applyFont="1" applyAlignment="1">
      <alignment vertical="center"/>
    </xf>
    <xf numFmtId="165" fontId="4" fillId="0" borderId="39" xfId="0" applyNumberFormat="1" applyFont="1" applyBorder="1" applyAlignment="1">
      <alignment horizontal="right"/>
    </xf>
    <xf numFmtId="0" fontId="4" fillId="0" borderId="40" xfId="0" applyFont="1" applyBorder="1" applyAlignment="1">
      <alignment horizontal="right" wrapText="1"/>
    </xf>
    <xf numFmtId="165" fontId="4" fillId="0" borderId="41" xfId="0" applyNumberFormat="1" applyFont="1" applyBorder="1" applyAlignment="1">
      <alignment horizontal="center" vertical="center"/>
    </xf>
    <xf numFmtId="165" fontId="4" fillId="0" borderId="42" xfId="0" applyNumberFormat="1" applyFont="1" applyBorder="1" applyAlignment="1">
      <alignment horizontal="center" vertical="center"/>
    </xf>
    <xf numFmtId="165" fontId="4" fillId="0" borderId="45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right"/>
    </xf>
    <xf numFmtId="165" fontId="4" fillId="0" borderId="15" xfId="0" applyNumberFormat="1" applyFont="1" applyBorder="1" applyAlignment="1">
      <alignment horizontal="center" vertical="center"/>
    </xf>
    <xf numFmtId="165" fontId="4" fillId="0" borderId="12" xfId="0" applyNumberFormat="1" applyFont="1" applyBorder="1" applyAlignment="1">
      <alignment horizontal="center"/>
    </xf>
    <xf numFmtId="165" fontId="4" fillId="0" borderId="13" xfId="0" applyNumberFormat="1" applyFont="1" applyBorder="1" applyAlignment="1">
      <alignment horizontal="center" vertical="center"/>
    </xf>
    <xf numFmtId="165" fontId="4" fillId="0" borderId="47" xfId="0" applyNumberFormat="1" applyFont="1" applyBorder="1" applyAlignment="1">
      <alignment horizontal="right"/>
    </xf>
    <xf numFmtId="165" fontId="4" fillId="0" borderId="3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right" vertical="center" wrapText="1"/>
    </xf>
    <xf numFmtId="166" fontId="4" fillId="2" borderId="8" xfId="0" applyNumberFormat="1" applyFont="1" applyFill="1" applyBorder="1" applyAlignment="1">
      <alignment horizontal="center" vertical="center"/>
    </xf>
    <xf numFmtId="165" fontId="4" fillId="4" borderId="33" xfId="0" applyNumberFormat="1" applyFont="1" applyFill="1" applyBorder="1" applyAlignment="1">
      <alignment horizontal="center" vertical="center"/>
    </xf>
    <xf numFmtId="165" fontId="4" fillId="4" borderId="34" xfId="0" applyNumberFormat="1" applyFont="1" applyFill="1" applyBorder="1" applyAlignment="1">
      <alignment horizontal="center" vertical="center"/>
    </xf>
    <xf numFmtId="165" fontId="4" fillId="4" borderId="38" xfId="0" applyNumberFormat="1" applyFont="1" applyFill="1" applyBorder="1" applyAlignment="1">
      <alignment horizontal="center" vertical="center"/>
    </xf>
    <xf numFmtId="165" fontId="4" fillId="4" borderId="35" xfId="0" applyNumberFormat="1" applyFont="1" applyFill="1" applyBorder="1" applyAlignment="1">
      <alignment horizontal="center" vertical="center"/>
    </xf>
    <xf numFmtId="0" fontId="4" fillId="0" borderId="25" xfId="0" applyFont="1" applyBorder="1" applyAlignment="1">
      <alignment horizontal="right" vertical="center" wrapText="1"/>
    </xf>
    <xf numFmtId="165" fontId="4" fillId="0" borderId="51" xfId="0" applyNumberFormat="1" applyFont="1" applyBorder="1" applyAlignment="1">
      <alignment horizontal="center" vertical="center"/>
    </xf>
    <xf numFmtId="0" fontId="4" fillId="0" borderId="52" xfId="0" applyFont="1" applyBorder="1" applyAlignment="1">
      <alignment horizontal="right" vertical="center" wrapText="1"/>
    </xf>
    <xf numFmtId="165" fontId="4" fillId="0" borderId="53" xfId="0" applyNumberFormat="1" applyFont="1" applyBorder="1" applyAlignment="1">
      <alignment horizontal="center" vertical="center"/>
    </xf>
    <xf numFmtId="165" fontId="4" fillId="0" borderId="54" xfId="0" applyNumberFormat="1" applyFont="1" applyBorder="1" applyAlignment="1">
      <alignment horizontal="center" vertical="center"/>
    </xf>
    <xf numFmtId="165" fontId="4" fillId="0" borderId="56" xfId="0" applyNumberFormat="1" applyFont="1" applyBorder="1" applyAlignment="1">
      <alignment horizontal="center" vertical="center"/>
    </xf>
    <xf numFmtId="0" fontId="4" fillId="0" borderId="57" xfId="0" applyFont="1" applyBorder="1" applyAlignment="1">
      <alignment horizontal="right" wrapText="1"/>
    </xf>
    <xf numFmtId="166" fontId="4" fillId="2" borderId="11" xfId="1" applyNumberFormat="1" applyFont="1" applyFill="1" applyBorder="1" applyAlignment="1">
      <alignment horizontal="center" vertical="center"/>
    </xf>
    <xf numFmtId="165" fontId="4" fillId="2" borderId="11" xfId="0" applyNumberFormat="1" applyFont="1" applyFill="1" applyBorder="1" applyAlignment="1">
      <alignment horizontal="center" vertical="center"/>
    </xf>
    <xf numFmtId="165" fontId="4" fillId="4" borderId="53" xfId="0" applyNumberFormat="1" applyFont="1" applyFill="1" applyBorder="1" applyAlignment="1">
      <alignment horizontal="center" vertical="center"/>
    </xf>
    <xf numFmtId="165" fontId="4" fillId="4" borderId="54" xfId="0" applyNumberFormat="1" applyFont="1" applyFill="1" applyBorder="1" applyAlignment="1">
      <alignment horizontal="center" vertical="center"/>
    </xf>
    <xf numFmtId="165" fontId="4" fillId="4" borderId="56" xfId="0" applyNumberFormat="1" applyFont="1" applyFill="1" applyBorder="1" applyAlignment="1">
      <alignment horizontal="center" vertical="center"/>
    </xf>
    <xf numFmtId="165" fontId="4" fillId="4" borderId="55" xfId="0" applyNumberFormat="1" applyFont="1" applyFill="1" applyBorder="1" applyAlignment="1">
      <alignment horizontal="center" vertical="center"/>
    </xf>
    <xf numFmtId="0" fontId="3" fillId="3" borderId="57" xfId="0" applyFont="1" applyFill="1" applyBorder="1"/>
    <xf numFmtId="0" fontId="3" fillId="3" borderId="9" xfId="0" applyFont="1" applyFill="1" applyBorder="1"/>
    <xf numFmtId="166" fontId="4" fillId="5" borderId="0" xfId="1" applyNumberFormat="1" applyFont="1" applyFill="1" applyBorder="1" applyAlignment="1">
      <alignment horizontal="center" vertical="center"/>
    </xf>
    <xf numFmtId="165" fontId="4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/>
    <xf numFmtId="165" fontId="4" fillId="0" borderId="0" xfId="0" applyNumberFormat="1" applyFont="1" applyBorder="1" applyAlignment="1">
      <alignment horizontal="right" vertical="center"/>
    </xf>
    <xf numFmtId="164" fontId="3" fillId="0" borderId="0" xfId="0" applyNumberFormat="1" applyFont="1" applyBorder="1" applyAlignment="1"/>
    <xf numFmtId="164" fontId="4" fillId="0" borderId="0" xfId="0" applyNumberFormat="1" applyFont="1" applyBorder="1" applyAlignment="1"/>
    <xf numFmtId="0" fontId="10" fillId="0" borderId="0" xfId="0" applyFont="1" applyAlignment="1"/>
    <xf numFmtId="165" fontId="4" fillId="4" borderId="22" xfId="0" applyNumberFormat="1" applyFont="1" applyFill="1" applyBorder="1" applyAlignment="1">
      <alignment horizontal="center" vertical="center"/>
    </xf>
    <xf numFmtId="165" fontId="4" fillId="4" borderId="27" xfId="0" applyNumberFormat="1" applyFont="1" applyFill="1" applyBorder="1" applyAlignment="1">
      <alignment horizontal="center" vertical="center"/>
    </xf>
    <xf numFmtId="165" fontId="4" fillId="0" borderId="12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0" fillId="3" borderId="0" xfId="0" applyNumberFormat="1" applyFill="1" applyBorder="1"/>
    <xf numFmtId="0" fontId="0" fillId="3" borderId="0" xfId="0" applyNumberFormat="1" applyFill="1" applyBorder="1" applyAlignment="1">
      <alignment vertical="center"/>
    </xf>
    <xf numFmtId="0" fontId="0" fillId="3" borderId="9" xfId="0" applyNumberFormat="1" applyFill="1" applyBorder="1"/>
    <xf numFmtId="167" fontId="4" fillId="6" borderId="47" xfId="0" applyNumberFormat="1" applyFont="1" applyFill="1" applyBorder="1" applyAlignment="1">
      <alignment horizontal="center" vertical="center"/>
    </xf>
    <xf numFmtId="3" fontId="4" fillId="0" borderId="33" xfId="1" applyNumberFormat="1" applyFont="1" applyBorder="1" applyAlignment="1">
      <alignment horizontal="center" vertical="center"/>
    </xf>
    <xf numFmtId="3" fontId="4" fillId="0" borderId="22" xfId="1" applyNumberFormat="1" applyFont="1" applyBorder="1" applyAlignment="1">
      <alignment horizontal="center" vertical="center"/>
    </xf>
    <xf numFmtId="3" fontId="4" fillId="0" borderId="23" xfId="1" applyNumberFormat="1" applyFont="1" applyBorder="1" applyAlignment="1">
      <alignment horizontal="center" vertical="center"/>
    </xf>
    <xf numFmtId="3" fontId="3" fillId="0" borderId="33" xfId="1" applyNumberFormat="1" applyFont="1" applyBorder="1" applyAlignment="1">
      <alignment horizontal="center" vertical="center"/>
    </xf>
    <xf numFmtId="3" fontId="4" fillId="0" borderId="41" xfId="1" applyNumberFormat="1" applyFont="1" applyBorder="1" applyAlignment="1">
      <alignment horizontal="center" vertical="center"/>
    </xf>
    <xf numFmtId="0" fontId="13" fillId="0" borderId="0" xfId="2" applyFont="1"/>
    <xf numFmtId="0" fontId="14" fillId="0" borderId="16" xfId="2" applyFont="1" applyBorder="1" applyAlignment="1">
      <alignment vertical="center"/>
    </xf>
    <xf numFmtId="0" fontId="15" fillId="0" borderId="17" xfId="2" applyFont="1" applyFill="1" applyBorder="1" applyAlignment="1">
      <alignment horizontal="center" vertical="center"/>
    </xf>
    <xf numFmtId="0" fontId="14" fillId="0" borderId="18" xfId="2" applyFont="1" applyBorder="1" applyAlignment="1">
      <alignment vertical="center"/>
    </xf>
    <xf numFmtId="0" fontId="14" fillId="0" borderId="16" xfId="2" applyFont="1" applyBorder="1" applyAlignment="1">
      <alignment horizontal="center" vertical="center"/>
    </xf>
    <xf numFmtId="0" fontId="14" fillId="0" borderId="17" xfId="2" applyFont="1" applyBorder="1" applyAlignment="1">
      <alignment horizontal="center" vertical="center"/>
    </xf>
    <xf numFmtId="0" fontId="15" fillId="0" borderId="17" xfId="2" applyFont="1" applyBorder="1" applyAlignment="1">
      <alignment horizontal="center" vertical="center"/>
    </xf>
    <xf numFmtId="0" fontId="14" fillId="0" borderId="0" xfId="2" applyFont="1"/>
    <xf numFmtId="49" fontId="14" fillId="0" borderId="28" xfId="2" applyNumberFormat="1" applyFont="1" applyBorder="1"/>
    <xf numFmtId="49" fontId="14" fillId="0" borderId="29" xfId="2" applyNumberFormat="1" applyFont="1" applyBorder="1" applyAlignment="1">
      <alignment horizontal="right"/>
    </xf>
    <xf numFmtId="0" fontId="14" fillId="0" borderId="30" xfId="2" applyFont="1" applyBorder="1"/>
    <xf numFmtId="0" fontId="14" fillId="0" borderId="28" xfId="2" applyFont="1" applyBorder="1"/>
    <xf numFmtId="0" fontId="14" fillId="0" borderId="29" xfId="2" applyFont="1" applyBorder="1"/>
    <xf numFmtId="3" fontId="15" fillId="0" borderId="29" xfId="2" applyNumberFormat="1" applyFont="1" applyBorder="1"/>
    <xf numFmtId="3" fontId="15" fillId="0" borderId="30" xfId="2" applyNumberFormat="1" applyFont="1" applyBorder="1"/>
    <xf numFmtId="0" fontId="13" fillId="0" borderId="33" xfId="2" applyFont="1" applyBorder="1"/>
    <xf numFmtId="0" fontId="13" fillId="0" borderId="34" xfId="2" applyFont="1" applyFill="1" applyBorder="1" applyAlignment="1">
      <alignment horizontal="right"/>
    </xf>
    <xf numFmtId="0" fontId="13" fillId="0" borderId="35" xfId="2" applyFont="1" applyBorder="1"/>
    <xf numFmtId="0" fontId="13" fillId="0" borderId="34" xfId="2" applyFont="1" applyBorder="1"/>
    <xf numFmtId="3" fontId="13" fillId="0" borderId="34" xfId="2" applyNumberFormat="1" applyFont="1" applyBorder="1"/>
    <xf numFmtId="3" fontId="13" fillId="0" borderId="35" xfId="2" applyNumberFormat="1" applyFont="1" applyBorder="1"/>
    <xf numFmtId="0" fontId="13" fillId="0" borderId="41" xfId="2" applyFont="1" applyBorder="1"/>
    <xf numFmtId="0" fontId="13" fillId="0" borderId="42" xfId="2" applyFont="1" applyFill="1" applyBorder="1" applyAlignment="1">
      <alignment horizontal="right"/>
    </xf>
    <xf numFmtId="0" fontId="13" fillId="0" borderId="43" xfId="2" applyFont="1" applyBorder="1"/>
    <xf numFmtId="0" fontId="13" fillId="0" borderId="42" xfId="2" applyFont="1" applyBorder="1"/>
    <xf numFmtId="3" fontId="13" fillId="0" borderId="42" xfId="2" applyNumberFormat="1" applyFont="1" applyBorder="1"/>
    <xf numFmtId="3" fontId="13" fillId="0" borderId="43" xfId="2" applyNumberFormat="1" applyFont="1" applyBorder="1"/>
    <xf numFmtId="0" fontId="13" fillId="0" borderId="53" xfId="2" applyFont="1" applyBorder="1"/>
    <xf numFmtId="0" fontId="13" fillId="0" borderId="54" xfId="2" applyFont="1" applyFill="1" applyBorder="1" applyAlignment="1">
      <alignment horizontal="right"/>
    </xf>
    <xf numFmtId="0" fontId="13" fillId="0" borderId="55" xfId="2" applyFont="1" applyBorder="1"/>
    <xf numFmtId="0" fontId="13" fillId="0" borderId="54" xfId="2" applyFont="1" applyBorder="1"/>
    <xf numFmtId="3" fontId="13" fillId="0" borderId="54" xfId="2" applyNumberFormat="1" applyFont="1" applyBorder="1"/>
    <xf numFmtId="3" fontId="13" fillId="0" borderId="55" xfId="2" applyNumberFormat="1" applyFont="1" applyBorder="1"/>
    <xf numFmtId="49" fontId="14" fillId="0" borderId="22" xfId="2" applyNumberFormat="1" applyFont="1" applyBorder="1"/>
    <xf numFmtId="49" fontId="14" fillId="0" borderId="23" xfId="2" applyNumberFormat="1" applyFont="1" applyBorder="1" applyAlignment="1">
      <alignment horizontal="right"/>
    </xf>
    <xf numFmtId="0" fontId="14" fillId="0" borderId="24" xfId="2" applyFont="1" applyBorder="1"/>
    <xf numFmtId="0" fontId="14" fillId="0" borderId="22" xfId="2" applyFont="1" applyBorder="1"/>
    <xf numFmtId="0" fontId="14" fillId="0" borderId="23" xfId="2" applyFont="1" applyBorder="1"/>
    <xf numFmtId="3" fontId="15" fillId="0" borderId="23" xfId="2" applyNumberFormat="1" applyFont="1" applyBorder="1"/>
    <xf numFmtId="3" fontId="15" fillId="0" borderId="24" xfId="2" applyNumberFormat="1" applyFont="1" applyBorder="1"/>
    <xf numFmtId="0" fontId="15" fillId="0" borderId="0" xfId="2" applyFont="1"/>
    <xf numFmtId="0" fontId="14" fillId="0" borderId="1" xfId="2" applyFont="1" applyBorder="1"/>
    <xf numFmtId="49" fontId="14" fillId="0" borderId="2" xfId="2" applyNumberFormat="1" applyFont="1" applyBorder="1" applyAlignment="1">
      <alignment horizontal="right"/>
    </xf>
    <xf numFmtId="0" fontId="14" fillId="0" borderId="2" xfId="2" applyFont="1" applyBorder="1"/>
    <xf numFmtId="0" fontId="14" fillId="0" borderId="12" xfId="2" applyFont="1" applyBorder="1"/>
    <xf numFmtId="0" fontId="14" fillId="0" borderId="13" xfId="2" applyFont="1" applyBorder="1"/>
    <xf numFmtId="3" fontId="15" fillId="0" borderId="13" xfId="2" applyNumberFormat="1" applyFont="1" applyBorder="1"/>
    <xf numFmtId="0" fontId="13" fillId="0" borderId="0" xfId="2" applyFont="1" applyFill="1" applyBorder="1"/>
    <xf numFmtId="0" fontId="14" fillId="0" borderId="12" xfId="8" applyNumberFormat="1" applyFont="1" applyBorder="1" applyAlignment="1">
      <alignment horizontal="center" vertical="center" wrapText="1"/>
    </xf>
    <xf numFmtId="0" fontId="14" fillId="0" borderId="13" xfId="8" applyNumberFormat="1" applyFont="1" applyBorder="1" applyAlignment="1">
      <alignment horizontal="center" vertical="center" wrapText="1"/>
    </xf>
    <xf numFmtId="0" fontId="14" fillId="0" borderId="15" xfId="8" applyNumberFormat="1" applyFont="1" applyBorder="1" applyAlignment="1">
      <alignment horizontal="center" vertical="center" wrapText="1"/>
    </xf>
    <xf numFmtId="0" fontId="13" fillId="0" borderId="0" xfId="2" applyFont="1" applyAlignment="1">
      <alignment vertical="center"/>
    </xf>
    <xf numFmtId="0" fontId="7" fillId="0" borderId="31" xfId="2" applyFont="1" applyBorder="1" applyAlignment="1">
      <alignment horizontal="left" vertical="top" wrapText="1"/>
    </xf>
    <xf numFmtId="0" fontId="7" fillId="0" borderId="28" xfId="2" applyFont="1" applyBorder="1" applyAlignment="1">
      <alignment horizontal="right" vertical="top" wrapText="1"/>
    </xf>
    <xf numFmtId="168" fontId="7" fillId="0" borderId="64" xfId="2" applyNumberFormat="1" applyFont="1" applyBorder="1" applyAlignment="1">
      <alignment horizontal="right" vertical="center"/>
    </xf>
    <xf numFmtId="168" fontId="7" fillId="0" borderId="29" xfId="2" applyNumberFormat="1" applyFont="1" applyBorder="1" applyAlignment="1">
      <alignment horizontal="right" vertical="center"/>
    </xf>
    <xf numFmtId="168" fontId="7" fillId="0" borderId="51" xfId="2" applyNumberFormat="1" applyFont="1" applyBorder="1" applyAlignment="1">
      <alignment horizontal="right" vertical="center"/>
    </xf>
    <xf numFmtId="0" fontId="7" fillId="0" borderId="67" xfId="2" applyFont="1" applyBorder="1" applyAlignment="1">
      <alignment horizontal="left" vertical="top" wrapText="1"/>
    </xf>
    <xf numFmtId="0" fontId="7" fillId="0" borderId="33" xfId="2" applyFont="1" applyBorder="1" applyAlignment="1">
      <alignment horizontal="right" vertical="top" wrapText="1"/>
    </xf>
    <xf numFmtId="0" fontId="13" fillId="0" borderId="37" xfId="2" applyFont="1" applyBorder="1" applyAlignment="1">
      <alignment horizontal="right" vertical="center"/>
    </xf>
    <xf numFmtId="0" fontId="13" fillId="0" borderId="34" xfId="2" applyFont="1" applyBorder="1" applyAlignment="1">
      <alignment horizontal="right" vertical="center"/>
    </xf>
    <xf numFmtId="0" fontId="13" fillId="0" borderId="38" xfId="2" applyFont="1" applyBorder="1" applyAlignment="1">
      <alignment horizontal="right" vertical="center"/>
    </xf>
    <xf numFmtId="0" fontId="7" fillId="0" borderId="68" xfId="2" applyFont="1" applyBorder="1" applyAlignment="1">
      <alignment horizontal="left" vertical="top" wrapText="1"/>
    </xf>
    <xf numFmtId="0" fontId="7" fillId="0" borderId="53" xfId="2" applyFont="1" applyBorder="1" applyAlignment="1">
      <alignment horizontal="right" vertical="top" wrapText="1"/>
    </xf>
    <xf numFmtId="0" fontId="13" fillId="0" borderId="54" xfId="2" applyFont="1" applyBorder="1" applyAlignment="1">
      <alignment horizontal="right" vertical="center"/>
    </xf>
    <xf numFmtId="0" fontId="13" fillId="0" borderId="56" xfId="2" applyFont="1" applyBorder="1" applyAlignment="1">
      <alignment horizontal="right" vertical="center"/>
    </xf>
    <xf numFmtId="0" fontId="7" fillId="0" borderId="27" xfId="2" applyFont="1" applyBorder="1" applyAlignment="1">
      <alignment horizontal="left" vertical="top" wrapText="1"/>
    </xf>
    <xf numFmtId="168" fontId="7" fillId="0" borderId="26" xfId="2" applyNumberFormat="1" applyFont="1" applyBorder="1" applyAlignment="1">
      <alignment horizontal="right" vertical="center"/>
    </xf>
    <xf numFmtId="168" fontId="7" fillId="0" borderId="23" xfId="2" applyNumberFormat="1" applyFont="1" applyBorder="1" applyAlignment="1">
      <alignment horizontal="right" vertical="center"/>
    </xf>
    <xf numFmtId="168" fontId="7" fillId="0" borderId="27" xfId="2" applyNumberFormat="1" applyFont="1" applyBorder="1" applyAlignment="1">
      <alignment horizontal="right" vertical="center"/>
    </xf>
    <xf numFmtId="0" fontId="7" fillId="0" borderId="38" xfId="2" applyFont="1" applyBorder="1" applyAlignment="1">
      <alignment horizontal="left" vertical="top" wrapText="1"/>
    </xf>
    <xf numFmtId="0" fontId="7" fillId="0" borderId="56" xfId="2" applyFont="1" applyBorder="1" applyAlignment="1">
      <alignment horizontal="left" vertical="top" wrapText="1"/>
    </xf>
    <xf numFmtId="0" fontId="13" fillId="0" borderId="65" xfId="2" applyFont="1" applyBorder="1" applyAlignment="1">
      <alignment horizontal="right" vertical="center"/>
    </xf>
    <xf numFmtId="0" fontId="7" fillId="0" borderId="51" xfId="2" applyFont="1" applyBorder="1" applyAlignment="1">
      <alignment horizontal="left" vertical="top" wrapText="1"/>
    </xf>
    <xf numFmtId="0" fontId="13" fillId="0" borderId="29" xfId="2" applyFont="1" applyBorder="1" applyAlignment="1">
      <alignment horizontal="right" vertical="center"/>
    </xf>
    <xf numFmtId="168" fontId="7" fillId="0" borderId="38" xfId="2" applyNumberFormat="1" applyFont="1" applyBorder="1" applyAlignment="1">
      <alignment horizontal="right" vertical="center"/>
    </xf>
    <xf numFmtId="168" fontId="13" fillId="0" borderId="0" xfId="2" applyNumberFormat="1" applyFont="1"/>
    <xf numFmtId="168" fontId="7" fillId="0" borderId="34" xfId="2" applyNumberFormat="1" applyFont="1" applyBorder="1" applyAlignment="1">
      <alignment horizontal="right" vertical="center"/>
    </xf>
    <xf numFmtId="0" fontId="13" fillId="0" borderId="26" xfId="2" applyFont="1" applyBorder="1" applyAlignment="1">
      <alignment horizontal="right" vertical="center"/>
    </xf>
    <xf numFmtId="0" fontId="13" fillId="0" borderId="51" xfId="2" applyFont="1" applyBorder="1" applyAlignment="1">
      <alignment horizontal="right" vertical="center"/>
    </xf>
    <xf numFmtId="0" fontId="13" fillId="0" borderId="48" xfId="2" applyFont="1" applyBorder="1" applyAlignment="1">
      <alignment horizontal="right" vertical="center"/>
    </xf>
    <xf numFmtId="168" fontId="7" fillId="0" borderId="13" xfId="2" applyNumberFormat="1" applyFont="1" applyBorder="1" applyAlignment="1">
      <alignment horizontal="right" vertical="center"/>
    </xf>
    <xf numFmtId="0" fontId="13" fillId="0" borderId="13" xfId="2" applyFont="1" applyBorder="1" applyAlignment="1">
      <alignment horizontal="right" vertical="center"/>
    </xf>
    <xf numFmtId="0" fontId="13" fillId="0" borderId="15" xfId="2" applyFont="1" applyBorder="1" applyAlignment="1">
      <alignment horizontal="right" vertical="center"/>
    </xf>
    <xf numFmtId="168" fontId="15" fillId="0" borderId="48" xfId="2" applyNumberFormat="1" applyFont="1" applyBorder="1" applyAlignment="1">
      <alignment horizontal="right" vertical="center"/>
    </xf>
    <xf numFmtId="168" fontId="15" fillId="0" borderId="13" xfId="2" applyNumberFormat="1" applyFont="1" applyBorder="1" applyAlignment="1">
      <alignment horizontal="right" vertical="center"/>
    </xf>
    <xf numFmtId="168" fontId="15" fillId="0" borderId="15" xfId="2" applyNumberFormat="1" applyFont="1" applyBorder="1" applyAlignment="1">
      <alignment horizontal="right" vertical="center"/>
    </xf>
    <xf numFmtId="0" fontId="7" fillId="0" borderId="58" xfId="2" applyFont="1" applyBorder="1" applyAlignment="1">
      <alignment horizontal="center" textRotation="90" wrapText="1"/>
    </xf>
    <xf numFmtId="0" fontId="7" fillId="0" borderId="59" xfId="2" applyFont="1" applyBorder="1" applyAlignment="1">
      <alignment horizontal="center" textRotation="90" wrapText="1"/>
    </xf>
    <xf numFmtId="1" fontId="13" fillId="0" borderId="34" xfId="2" applyNumberFormat="1" applyFont="1" applyBorder="1" applyAlignment="1">
      <alignment horizontal="right" vertical="center"/>
    </xf>
    <xf numFmtId="0" fontId="7" fillId="0" borderId="45" xfId="2" applyFont="1" applyBorder="1" applyAlignment="1">
      <alignment horizontal="left" vertical="top" wrapText="1"/>
    </xf>
    <xf numFmtId="1" fontId="13" fillId="0" borderId="42" xfId="2" applyNumberFormat="1" applyFont="1" applyBorder="1" applyAlignment="1">
      <alignment horizontal="right" vertical="center"/>
    </xf>
    <xf numFmtId="1" fontId="13" fillId="0" borderId="23" xfId="2" applyNumberFormat="1" applyFont="1" applyBorder="1" applyAlignment="1">
      <alignment horizontal="right" vertical="center"/>
    </xf>
    <xf numFmtId="0" fontId="13" fillId="0" borderId="0" xfId="2" applyFont="1" applyFill="1"/>
    <xf numFmtId="0" fontId="8" fillId="0" borderId="62" xfId="2" applyFont="1" applyBorder="1" applyAlignment="1">
      <alignment horizontal="center" vertical="center" wrapText="1"/>
    </xf>
    <xf numFmtId="0" fontId="8" fillId="0" borderId="20" xfId="2" applyFont="1" applyBorder="1" applyAlignment="1">
      <alignment horizontal="left" vertical="top" wrapText="1"/>
    </xf>
    <xf numFmtId="0" fontId="8" fillId="0" borderId="46" xfId="2" applyFont="1" applyBorder="1" applyAlignment="1">
      <alignment horizontal="right" vertical="top" wrapText="1"/>
    </xf>
    <xf numFmtId="168" fontId="15" fillId="0" borderId="46" xfId="2" applyNumberFormat="1" applyFont="1" applyBorder="1" applyAlignment="1">
      <alignment horizontal="right" vertical="center"/>
    </xf>
    <xf numFmtId="168" fontId="15" fillId="0" borderId="0" xfId="2" applyNumberFormat="1" applyFont="1"/>
    <xf numFmtId="0" fontId="8" fillId="0" borderId="12" xfId="2" applyFont="1" applyBorder="1" applyAlignment="1">
      <alignment horizontal="right" vertical="top" wrapText="1"/>
    </xf>
    <xf numFmtId="0" fontId="8" fillId="0" borderId="48" xfId="2" applyFont="1" applyBorder="1" applyAlignment="1">
      <alignment horizontal="right" vertical="top" wrapText="1"/>
    </xf>
    <xf numFmtId="0" fontId="8" fillId="0" borderId="3" xfId="2" applyFont="1" applyBorder="1" applyAlignment="1">
      <alignment horizontal="right" vertical="top" wrapText="1"/>
    </xf>
    <xf numFmtId="0" fontId="8" fillId="0" borderId="47" xfId="2" applyFont="1" applyBorder="1" applyAlignment="1">
      <alignment horizontal="left" vertical="top" wrapText="1"/>
    </xf>
    <xf numFmtId="0" fontId="8" fillId="0" borderId="66" xfId="2" applyFont="1" applyBorder="1" applyAlignment="1">
      <alignment horizontal="right" vertical="top" wrapText="1"/>
    </xf>
    <xf numFmtId="0" fontId="17" fillId="7" borderId="0" xfId="0" applyFont="1" applyFill="1" applyAlignment="1">
      <alignment horizontal="center" vertical="center"/>
    </xf>
    <xf numFmtId="0" fontId="13" fillId="0" borderId="38" xfId="2" applyFont="1" applyBorder="1"/>
    <xf numFmtId="0" fontId="7" fillId="0" borderId="3" xfId="2" applyFont="1" applyBorder="1" applyAlignment="1">
      <alignment horizontal="left" vertical="top" wrapText="1"/>
    </xf>
    <xf numFmtId="169" fontId="7" fillId="0" borderId="21" xfId="8" applyNumberFormat="1" applyFont="1" applyBorder="1" applyAlignment="1">
      <alignment horizontal="right" vertical="center"/>
    </xf>
    <xf numFmtId="169" fontId="7" fillId="0" borderId="23" xfId="8" applyNumberFormat="1" applyFont="1" applyBorder="1" applyAlignment="1">
      <alignment horizontal="right" vertical="center"/>
    </xf>
    <xf numFmtId="169" fontId="7" fillId="0" borderId="27" xfId="8" applyNumberFormat="1" applyFont="1" applyBorder="1" applyAlignment="1">
      <alignment horizontal="right" vertical="center"/>
    </xf>
    <xf numFmtId="169" fontId="7" fillId="0" borderId="32" xfId="8" applyNumberFormat="1" applyFont="1" applyBorder="1" applyAlignment="1">
      <alignment horizontal="right" vertical="center"/>
    </xf>
    <xf numFmtId="169" fontId="7" fillId="0" borderId="34" xfId="8" applyNumberFormat="1" applyFont="1" applyBorder="1" applyAlignment="1">
      <alignment horizontal="right" vertical="center"/>
    </xf>
    <xf numFmtId="169" fontId="7" fillId="0" borderId="38" xfId="8" applyNumberFormat="1" applyFont="1" applyBorder="1" applyAlignment="1">
      <alignment horizontal="right" vertical="center"/>
    </xf>
    <xf numFmtId="169" fontId="7" fillId="0" borderId="19" xfId="8" applyNumberFormat="1" applyFont="1" applyBorder="1" applyAlignment="1">
      <alignment horizontal="right" vertical="center"/>
    </xf>
    <xf numFmtId="169" fontId="7" fillId="0" borderId="63" xfId="8" applyNumberFormat="1" applyFont="1" applyBorder="1" applyAlignment="1">
      <alignment horizontal="right" vertical="center"/>
    </xf>
    <xf numFmtId="169" fontId="7" fillId="0" borderId="50" xfId="8" applyNumberFormat="1" applyFont="1" applyBorder="1" applyAlignment="1">
      <alignment horizontal="right" vertical="center"/>
    </xf>
    <xf numFmtId="169" fontId="7" fillId="0" borderId="75" xfId="8" applyNumberFormat="1" applyFont="1" applyBorder="1" applyAlignment="1">
      <alignment horizontal="right" vertical="center"/>
    </xf>
    <xf numFmtId="169" fontId="7" fillId="0" borderId="29" xfId="8" applyNumberFormat="1" applyFont="1" applyBorder="1" applyAlignment="1">
      <alignment horizontal="right" vertical="center"/>
    </xf>
    <xf numFmtId="169" fontId="7" fillId="0" borderId="51" xfId="8" applyNumberFormat="1" applyFont="1" applyBorder="1" applyAlignment="1">
      <alignment horizontal="right" vertical="center"/>
    </xf>
    <xf numFmtId="169" fontId="7" fillId="0" borderId="76" xfId="8" applyNumberFormat="1" applyFont="1" applyBorder="1" applyAlignment="1">
      <alignment horizontal="right" vertical="center"/>
    </xf>
    <xf numFmtId="169" fontId="7" fillId="0" borderId="54" xfId="8" applyNumberFormat="1" applyFont="1" applyBorder="1" applyAlignment="1">
      <alignment horizontal="right" vertical="center"/>
    </xf>
    <xf numFmtId="169" fontId="7" fillId="0" borderId="56" xfId="8" applyNumberFormat="1" applyFont="1" applyBorder="1" applyAlignment="1">
      <alignment horizontal="right" vertical="center"/>
    </xf>
    <xf numFmtId="169" fontId="7" fillId="0" borderId="40" xfId="8" applyNumberFormat="1" applyFont="1" applyBorder="1" applyAlignment="1">
      <alignment horizontal="right" vertical="center"/>
    </xf>
    <xf numFmtId="169" fontId="7" fillId="0" borderId="42" xfId="8" applyNumberFormat="1" applyFont="1" applyBorder="1" applyAlignment="1">
      <alignment horizontal="right" vertical="center"/>
    </xf>
    <xf numFmtId="169" fontId="7" fillId="0" borderId="45" xfId="8" applyNumberFormat="1" applyFont="1" applyBorder="1" applyAlignment="1">
      <alignment horizontal="right" vertical="center"/>
    </xf>
    <xf numFmtId="169" fontId="7" fillId="0" borderId="28" xfId="8" applyNumberFormat="1" applyFont="1" applyBorder="1" applyAlignment="1">
      <alignment horizontal="right" vertical="center"/>
    </xf>
    <xf numFmtId="169" fontId="7" fillId="0" borderId="33" xfId="8" applyNumberFormat="1" applyFont="1" applyBorder="1" applyAlignment="1">
      <alignment horizontal="right" vertical="center"/>
    </xf>
    <xf numFmtId="169" fontId="7" fillId="0" borderId="53" xfId="8" applyNumberFormat="1" applyFont="1" applyBorder="1" applyAlignment="1">
      <alignment horizontal="right" vertical="center"/>
    </xf>
    <xf numFmtId="169" fontId="7" fillId="0" borderId="1" xfId="8" applyNumberFormat="1" applyFont="1" applyBorder="1" applyAlignment="1">
      <alignment horizontal="right" vertical="center"/>
    </xf>
    <xf numFmtId="169" fontId="7" fillId="0" borderId="13" xfId="8" applyNumberFormat="1" applyFont="1" applyBorder="1" applyAlignment="1">
      <alignment horizontal="right" vertical="center"/>
    </xf>
    <xf numFmtId="169" fontId="7" fillId="0" borderId="15" xfId="8" applyNumberFormat="1" applyFont="1" applyBorder="1" applyAlignment="1">
      <alignment horizontal="right" vertical="center"/>
    </xf>
    <xf numFmtId="0" fontId="13" fillId="0" borderId="0" xfId="0" applyFont="1" applyAlignment="1">
      <alignment wrapText="1"/>
    </xf>
    <xf numFmtId="2" fontId="12" fillId="0" borderId="0" xfId="0" applyNumberFormat="1" applyFont="1"/>
    <xf numFmtId="1" fontId="7" fillId="0" borderId="22" xfId="9" applyNumberFormat="1" applyFont="1" applyBorder="1" applyAlignment="1">
      <alignment horizontal="right" vertical="center"/>
    </xf>
    <xf numFmtId="1" fontId="7" fillId="0" borderId="26" xfId="9" applyNumberFormat="1" applyFont="1" applyBorder="1" applyAlignment="1">
      <alignment horizontal="right" vertical="center"/>
    </xf>
    <xf numFmtId="1" fontId="7" fillId="0" borderId="23" xfId="9" applyNumberFormat="1" applyFont="1" applyBorder="1" applyAlignment="1">
      <alignment horizontal="right" vertical="center"/>
    </xf>
    <xf numFmtId="1" fontId="7" fillId="0" borderId="27" xfId="9" applyNumberFormat="1" applyFont="1" applyBorder="1" applyAlignment="1">
      <alignment horizontal="right" vertical="center"/>
    </xf>
    <xf numFmtId="2" fontId="0" fillId="0" borderId="0" xfId="0" applyNumberFormat="1"/>
    <xf numFmtId="1" fontId="7" fillId="0" borderId="0" xfId="9" applyNumberFormat="1" applyFont="1" applyBorder="1" applyAlignment="1">
      <alignment vertical="center" textRotation="90" wrapText="1"/>
    </xf>
    <xf numFmtId="1" fontId="7" fillId="0" borderId="33" xfId="9" applyNumberFormat="1" applyFont="1" applyBorder="1" applyAlignment="1">
      <alignment horizontal="right" vertical="center"/>
    </xf>
    <xf numFmtId="1" fontId="7" fillId="0" borderId="37" xfId="9" applyNumberFormat="1" applyFont="1" applyBorder="1" applyAlignment="1">
      <alignment horizontal="right" vertical="center"/>
    </xf>
    <xf numFmtId="1" fontId="7" fillId="0" borderId="34" xfId="9" applyNumberFormat="1" applyFont="1" applyBorder="1" applyAlignment="1">
      <alignment horizontal="right" vertical="center"/>
    </xf>
    <xf numFmtId="1" fontId="7" fillId="0" borderId="38" xfId="9" applyNumberFormat="1" applyFont="1" applyBorder="1" applyAlignment="1">
      <alignment horizontal="right" vertical="center"/>
    </xf>
    <xf numFmtId="1" fontId="7" fillId="0" borderId="44" xfId="9" applyNumberFormat="1" applyFont="1" applyBorder="1" applyAlignment="1">
      <alignment horizontal="right" vertical="center"/>
    </xf>
    <xf numFmtId="1" fontId="7" fillId="0" borderId="42" xfId="9" applyNumberFormat="1" applyFont="1" applyBorder="1" applyAlignment="1">
      <alignment horizontal="right" vertical="center"/>
    </xf>
    <xf numFmtId="1" fontId="7" fillId="0" borderId="45" xfId="9" applyNumberFormat="1" applyFont="1" applyBorder="1" applyAlignment="1">
      <alignment horizontal="right" vertical="center"/>
    </xf>
    <xf numFmtId="1" fontId="7" fillId="0" borderId="64" xfId="9" applyNumberFormat="1" applyFont="1" applyBorder="1" applyAlignment="1">
      <alignment horizontal="right" vertical="center"/>
    </xf>
    <xf numFmtId="1" fontId="7" fillId="0" borderId="29" xfId="9" applyNumberFormat="1" applyFont="1" applyBorder="1" applyAlignment="1">
      <alignment horizontal="right" vertical="center"/>
    </xf>
    <xf numFmtId="1" fontId="7" fillId="0" borderId="51" xfId="9" applyNumberFormat="1" applyFont="1" applyBorder="1" applyAlignment="1">
      <alignment horizontal="right" vertical="center"/>
    </xf>
    <xf numFmtId="1" fontId="13" fillId="5" borderId="37" xfId="9" applyNumberFormat="1" applyFont="1" applyFill="1" applyBorder="1" applyAlignment="1">
      <alignment horizontal="right" vertical="center"/>
    </xf>
    <xf numFmtId="1" fontId="0" fillId="0" borderId="0" xfId="0" applyNumberFormat="1"/>
    <xf numFmtId="0" fontId="5" fillId="0" borderId="0" xfId="0" applyFont="1"/>
    <xf numFmtId="0" fontId="18" fillId="0" borderId="0" xfId="0" applyFont="1" applyAlignment="1">
      <alignment vertical="center"/>
    </xf>
    <xf numFmtId="0" fontId="7" fillId="0" borderId="10" xfId="2" applyFont="1" applyBorder="1" applyAlignment="1">
      <alignment horizontal="left" vertical="top" wrapText="1"/>
    </xf>
    <xf numFmtId="1" fontId="13" fillId="5" borderId="26" xfId="9" applyNumberFormat="1" applyFont="1" applyFill="1" applyBorder="1" applyAlignment="1">
      <alignment horizontal="right" vertical="center"/>
    </xf>
    <xf numFmtId="0" fontId="7" fillId="0" borderId="47" xfId="2" applyFont="1" applyBorder="1" applyAlignment="1">
      <alignment horizontal="left" vertical="top" wrapText="1"/>
    </xf>
    <xf numFmtId="0" fontId="5" fillId="0" borderId="0" xfId="0" applyFont="1" applyAlignment="1">
      <alignment vertical="center" wrapText="1"/>
    </xf>
    <xf numFmtId="2" fontId="5" fillId="0" borderId="58" xfId="0" applyNumberFormat="1" applyFont="1" applyBorder="1" applyAlignment="1">
      <alignment textRotation="90" wrapText="1"/>
    </xf>
    <xf numFmtId="2" fontId="5" fillId="0" borderId="59" xfId="0" applyNumberFormat="1" applyFont="1" applyBorder="1" applyAlignment="1">
      <alignment textRotation="90" wrapText="1"/>
    </xf>
    <xf numFmtId="2" fontId="5" fillId="0" borderId="69" xfId="0" applyNumberFormat="1" applyFont="1" applyBorder="1" applyAlignment="1">
      <alignment textRotation="90" wrapText="1"/>
    </xf>
    <xf numFmtId="2" fontId="5" fillId="0" borderId="0" xfId="0" applyNumberFormat="1" applyFont="1" applyAlignment="1">
      <alignment textRotation="90" wrapText="1"/>
    </xf>
    <xf numFmtId="0" fontId="5" fillId="0" borderId="28" xfId="0" applyFont="1" applyBorder="1"/>
    <xf numFmtId="0" fontId="5" fillId="0" borderId="29" xfId="0" applyFont="1" applyBorder="1"/>
    <xf numFmtId="0" fontId="5" fillId="0" borderId="33" xfId="0" applyFont="1" applyBorder="1"/>
    <xf numFmtId="0" fontId="5" fillId="0" borderId="34" xfId="0" applyFont="1" applyBorder="1"/>
    <xf numFmtId="0" fontId="14" fillId="0" borderId="0" xfId="0" applyFont="1"/>
    <xf numFmtId="0" fontId="0" fillId="0" borderId="19" xfId="0" applyBorder="1"/>
    <xf numFmtId="0" fontId="0" fillId="0" borderId="0" xfId="0" applyBorder="1"/>
    <xf numFmtId="0" fontId="0" fillId="0" borderId="20" xfId="0" applyBorder="1"/>
    <xf numFmtId="0" fontId="5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0" borderId="53" xfId="0" applyBorder="1"/>
    <xf numFmtId="0" fontId="0" fillId="0" borderId="54" xfId="0" applyBorder="1"/>
    <xf numFmtId="0" fontId="0" fillId="0" borderId="56" xfId="0" applyBorder="1"/>
    <xf numFmtId="165" fontId="0" fillId="0" borderId="0" xfId="0" applyNumberFormat="1"/>
    <xf numFmtId="0" fontId="20" fillId="0" borderId="0" xfId="0" applyFont="1"/>
    <xf numFmtId="3" fontId="20" fillId="0" borderId="0" xfId="0" applyNumberFormat="1" applyFont="1"/>
    <xf numFmtId="0" fontId="21" fillId="8" borderId="0" xfId="0" applyFont="1" applyFill="1" applyAlignment="1">
      <alignment horizontal="center" vertical="center"/>
    </xf>
    <xf numFmtId="0" fontId="8" fillId="0" borderId="62" xfId="2" applyFont="1" applyBorder="1" applyAlignment="1">
      <alignment horizontal="right" vertical="top" wrapText="1"/>
    </xf>
    <xf numFmtId="0" fontId="7" fillId="0" borderId="34" xfId="2" applyFont="1" applyBorder="1" applyAlignment="1">
      <alignment horizontal="right" vertical="top" wrapText="1"/>
    </xf>
    <xf numFmtId="168" fontId="13" fillId="0" borderId="34" xfId="2" applyNumberFormat="1" applyFont="1" applyBorder="1" applyAlignment="1">
      <alignment horizontal="right" vertical="center"/>
    </xf>
    <xf numFmtId="0" fontId="4" fillId="0" borderId="57" xfId="0" applyFont="1" applyBorder="1" applyAlignment="1">
      <alignment horizontal="center" vertical="center" wrapText="1"/>
    </xf>
    <xf numFmtId="0" fontId="8" fillId="0" borderId="3" xfId="2" applyFont="1" applyBorder="1" applyAlignment="1">
      <alignment horizontal="left" vertical="top" wrapText="1"/>
    </xf>
    <xf numFmtId="168" fontId="7" fillId="0" borderId="30" xfId="2" applyNumberFormat="1" applyFont="1" applyBorder="1" applyAlignment="1">
      <alignment horizontal="right" vertical="center"/>
    </xf>
    <xf numFmtId="0" fontId="13" fillId="0" borderId="35" xfId="2" applyFont="1" applyBorder="1" applyAlignment="1">
      <alignment horizontal="right" vertical="center"/>
    </xf>
    <xf numFmtId="0" fontId="13" fillId="0" borderId="55" xfId="2" applyFont="1" applyBorder="1" applyAlignment="1">
      <alignment horizontal="right" vertical="center"/>
    </xf>
    <xf numFmtId="168" fontId="7" fillId="0" borderId="24" xfId="2" applyNumberFormat="1" applyFont="1" applyBorder="1" applyAlignment="1">
      <alignment horizontal="right" vertical="center"/>
    </xf>
    <xf numFmtId="0" fontId="13" fillId="0" borderId="30" xfId="2" applyFont="1" applyBorder="1" applyAlignment="1">
      <alignment horizontal="right" vertical="center"/>
    </xf>
    <xf numFmtId="0" fontId="13" fillId="0" borderId="14" xfId="2" applyFont="1" applyBorder="1" applyAlignment="1">
      <alignment horizontal="right" vertical="center"/>
    </xf>
    <xf numFmtId="168" fontId="15" fillId="0" borderId="14" xfId="2" applyNumberFormat="1" applyFont="1" applyBorder="1" applyAlignment="1">
      <alignment horizontal="right" vertical="center"/>
    </xf>
    <xf numFmtId="0" fontId="7" fillId="0" borderId="22" xfId="2" applyFont="1" applyBorder="1" applyAlignment="1">
      <alignment horizontal="right" vertical="top" wrapText="1"/>
    </xf>
    <xf numFmtId="0" fontId="8" fillId="0" borderId="20" xfId="2" applyFont="1" applyBorder="1" applyAlignment="1">
      <alignment horizontal="right" vertical="top" wrapText="1"/>
    </xf>
    <xf numFmtId="168" fontId="15" fillId="0" borderId="20" xfId="2" applyNumberFormat="1" applyFont="1" applyBorder="1" applyAlignment="1">
      <alignment horizontal="right" vertical="center"/>
    </xf>
    <xf numFmtId="168" fontId="15" fillId="0" borderId="62" xfId="2" applyNumberFormat="1" applyFont="1" applyBorder="1" applyAlignment="1">
      <alignment horizontal="right" vertical="center"/>
    </xf>
    <xf numFmtId="0" fontId="8" fillId="0" borderId="60" xfId="2" applyFont="1" applyBorder="1" applyAlignment="1">
      <alignment horizontal="left" vertical="top" wrapText="1"/>
    </xf>
    <xf numFmtId="0" fontId="8" fillId="0" borderId="58" xfId="2" applyFont="1" applyBorder="1" applyAlignment="1">
      <alignment horizontal="right" vertical="top" wrapText="1"/>
    </xf>
    <xf numFmtId="0" fontId="8" fillId="0" borderId="60" xfId="2" applyFont="1" applyBorder="1" applyAlignment="1">
      <alignment horizontal="right" vertical="top" wrapText="1"/>
    </xf>
    <xf numFmtId="0" fontId="7" fillId="0" borderId="47" xfId="2" applyFont="1" applyBorder="1" applyAlignment="1">
      <alignment horizontal="center" vertical="center" wrapText="1"/>
    </xf>
    <xf numFmtId="0" fontId="7" fillId="0" borderId="12" xfId="2" applyFont="1" applyBorder="1" applyAlignment="1">
      <alignment horizontal="right" vertical="top" wrapText="1"/>
    </xf>
    <xf numFmtId="0" fontId="15" fillId="0" borderId="12" xfId="2" applyFont="1" applyBorder="1" applyAlignment="1">
      <alignment horizontal="right"/>
    </xf>
    <xf numFmtId="169" fontId="7" fillId="0" borderId="24" xfId="8" applyNumberFormat="1" applyFont="1" applyBorder="1" applyAlignment="1">
      <alignment horizontal="right" vertical="center"/>
    </xf>
    <xf numFmtId="169" fontId="7" fillId="0" borderId="35" xfId="8" applyNumberFormat="1" applyFont="1" applyBorder="1" applyAlignment="1">
      <alignment horizontal="right" vertical="center"/>
    </xf>
    <xf numFmtId="169" fontId="7" fillId="0" borderId="49" xfId="8" applyNumberFormat="1" applyFont="1" applyBorder="1" applyAlignment="1">
      <alignment horizontal="right" vertical="center"/>
    </xf>
    <xf numFmtId="169" fontId="7" fillId="0" borderId="30" xfId="8" applyNumberFormat="1" applyFont="1" applyBorder="1" applyAlignment="1">
      <alignment horizontal="right" vertical="center"/>
    </xf>
    <xf numFmtId="169" fontId="7" fillId="0" borderId="55" xfId="8" applyNumberFormat="1" applyFont="1" applyBorder="1" applyAlignment="1">
      <alignment horizontal="right" vertical="center"/>
    </xf>
    <xf numFmtId="169" fontId="7" fillId="0" borderId="43" xfId="8" applyNumberFormat="1" applyFont="1" applyBorder="1" applyAlignment="1">
      <alignment horizontal="right" vertical="center"/>
    </xf>
    <xf numFmtId="169" fontId="7" fillId="0" borderId="14" xfId="8" applyNumberFormat="1" applyFont="1" applyBorder="1" applyAlignment="1">
      <alignment horizontal="right" vertical="center"/>
    </xf>
    <xf numFmtId="0" fontId="7" fillId="0" borderId="77" xfId="2" applyFont="1" applyBorder="1" applyAlignment="1">
      <alignment horizontal="left" vertical="top" wrapText="1"/>
    </xf>
    <xf numFmtId="169" fontId="8" fillId="0" borderId="1" xfId="8" applyNumberFormat="1" applyFont="1" applyBorder="1" applyAlignment="1">
      <alignment horizontal="right" vertical="center"/>
    </xf>
    <xf numFmtId="169" fontId="8" fillId="0" borderId="13" xfId="8" applyNumberFormat="1" applyFont="1" applyBorder="1" applyAlignment="1">
      <alignment horizontal="right" vertical="center"/>
    </xf>
    <xf numFmtId="169" fontId="8" fillId="0" borderId="14" xfId="8" applyNumberFormat="1" applyFont="1" applyBorder="1" applyAlignment="1">
      <alignment horizontal="right" vertical="center"/>
    </xf>
    <xf numFmtId="169" fontId="8" fillId="0" borderId="15" xfId="8" applyNumberFormat="1" applyFont="1" applyBorder="1" applyAlignment="1">
      <alignment horizontal="right" vertical="center"/>
    </xf>
    <xf numFmtId="1" fontId="8" fillId="0" borderId="12" xfId="9" applyNumberFormat="1" applyFont="1" applyBorder="1" applyAlignment="1">
      <alignment horizontal="right" vertical="center"/>
    </xf>
    <xf numFmtId="0" fontId="12" fillId="0" borderId="0" xfId="0" applyFont="1"/>
    <xf numFmtId="1" fontId="8" fillId="0" borderId="13" xfId="9" applyNumberFormat="1" applyFont="1" applyBorder="1" applyAlignment="1">
      <alignment horizontal="right" vertical="center"/>
    </xf>
    <xf numFmtId="1" fontId="8" fillId="0" borderId="15" xfId="9" applyNumberFormat="1" applyFont="1" applyBorder="1" applyAlignment="1">
      <alignment horizontal="right" vertical="center"/>
    </xf>
    <xf numFmtId="1" fontId="8" fillId="0" borderId="48" xfId="9" applyNumberFormat="1" applyFont="1" applyBorder="1" applyAlignment="1">
      <alignment horizontal="right" vertical="center"/>
    </xf>
    <xf numFmtId="1" fontId="13" fillId="5" borderId="33" xfId="9" applyNumberFormat="1" applyFont="1" applyFill="1" applyBorder="1" applyAlignment="1">
      <alignment horizontal="right" vertical="center"/>
    </xf>
    <xf numFmtId="0" fontId="4" fillId="0" borderId="12" xfId="8" applyNumberFormat="1" applyFont="1" applyBorder="1" applyAlignment="1">
      <alignment horizontal="center" vertical="center" wrapText="1"/>
    </xf>
    <xf numFmtId="0" fontId="4" fillId="0" borderId="13" xfId="8" applyNumberFormat="1" applyFont="1" applyBorder="1" applyAlignment="1">
      <alignment horizontal="center" vertical="center" wrapText="1"/>
    </xf>
    <xf numFmtId="0" fontId="4" fillId="0" borderId="14" xfId="8" applyNumberFormat="1" applyFont="1" applyBorder="1" applyAlignment="1">
      <alignment horizontal="center" vertical="center" wrapText="1"/>
    </xf>
    <xf numFmtId="0" fontId="4" fillId="0" borderId="15" xfId="8" applyNumberFormat="1" applyFont="1" applyBorder="1" applyAlignment="1">
      <alignment horizontal="center" vertical="center" wrapText="1"/>
    </xf>
    <xf numFmtId="1" fontId="5" fillId="0" borderId="0" xfId="0" applyNumberFormat="1" applyFont="1"/>
    <xf numFmtId="165" fontId="4" fillId="4" borderId="71" xfId="0" applyNumberFormat="1" applyFont="1" applyFill="1" applyBorder="1" applyAlignment="1">
      <alignment horizontal="center" vertical="center"/>
    </xf>
    <xf numFmtId="165" fontId="4" fillId="4" borderId="73" xfId="0" applyNumberFormat="1" applyFont="1" applyFill="1" applyBorder="1" applyAlignment="1">
      <alignment horizontal="center" vertical="center"/>
    </xf>
    <xf numFmtId="165" fontId="4" fillId="4" borderId="23" xfId="0" applyNumberFormat="1" applyFont="1" applyFill="1" applyBorder="1" applyAlignment="1">
      <alignment horizontal="center" vertical="center"/>
    </xf>
    <xf numFmtId="165" fontId="4" fillId="4" borderId="24" xfId="0" applyNumberFormat="1" applyFont="1" applyFill="1" applyBorder="1" applyAlignment="1">
      <alignment horizontal="center" vertical="center"/>
    </xf>
    <xf numFmtId="0" fontId="0" fillId="0" borderId="34" xfId="0" applyBorder="1"/>
    <xf numFmtId="0" fontId="0" fillId="0" borderId="28" xfId="0" applyBorder="1"/>
    <xf numFmtId="0" fontId="0" fillId="0" borderId="29" xfId="0" applyBorder="1"/>
    <xf numFmtId="0" fontId="0" fillId="0" borderId="51" xfId="0" applyBorder="1"/>
    <xf numFmtId="0" fontId="0" fillId="0" borderId="33" xfId="0" applyBorder="1"/>
    <xf numFmtId="0" fontId="0" fillId="0" borderId="38" xfId="0" applyBorder="1"/>
    <xf numFmtId="165" fontId="4" fillId="2" borderId="19" xfId="0" applyNumberFormat="1" applyFont="1" applyFill="1" applyBorder="1" applyAlignment="1">
      <alignment horizontal="center" vertical="center"/>
    </xf>
    <xf numFmtId="0" fontId="0" fillId="0" borderId="4" xfId="0" applyBorder="1"/>
    <xf numFmtId="0" fontId="0" fillId="0" borderId="8" xfId="0" applyBorder="1"/>
    <xf numFmtId="0" fontId="0" fillId="0" borderId="11" xfId="0" applyBorder="1"/>
    <xf numFmtId="165" fontId="4" fillId="4" borderId="70" xfId="0" applyNumberFormat="1" applyFont="1" applyFill="1" applyBorder="1" applyAlignment="1">
      <alignment horizontal="center" vertic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57" xfId="0" applyBorder="1"/>
    <xf numFmtId="0" fontId="0" fillId="0" borderId="9" xfId="0" applyBorder="1"/>
    <xf numFmtId="0" fontId="0" fillId="0" borderId="60" xfId="0" applyBorder="1"/>
    <xf numFmtId="168" fontId="13" fillId="0" borderId="33" xfId="2" applyNumberFormat="1" applyFont="1" applyBorder="1" applyAlignment="1">
      <alignment horizontal="right" vertical="center"/>
    </xf>
    <xf numFmtId="0" fontId="4" fillId="0" borderId="40" xfId="0" applyFont="1" applyBorder="1" applyAlignment="1">
      <alignment horizontal="right" vertical="center" wrapText="1"/>
    </xf>
    <xf numFmtId="165" fontId="4" fillId="0" borderId="58" xfId="0" applyNumberFormat="1" applyFont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168" fontId="13" fillId="0" borderId="42" xfId="2" applyNumberFormat="1" applyFont="1" applyBorder="1" applyAlignment="1">
      <alignment horizontal="right" vertical="center"/>
    </xf>
    <xf numFmtId="0" fontId="15" fillId="0" borderId="12" xfId="2" applyFont="1" applyBorder="1" applyAlignment="1"/>
    <xf numFmtId="0" fontId="8" fillId="0" borderId="12" xfId="2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 wrapText="1"/>
    </xf>
    <xf numFmtId="0" fontId="3" fillId="0" borderId="0" xfId="0" applyFont="1" applyFill="1"/>
    <xf numFmtId="1" fontId="15" fillId="0" borderId="13" xfId="2" applyNumberFormat="1" applyFont="1" applyBorder="1" applyAlignment="1">
      <alignment horizontal="right" vertical="center"/>
    </xf>
    <xf numFmtId="0" fontId="0" fillId="0" borderId="1" xfId="0" applyBorder="1"/>
    <xf numFmtId="165" fontId="4" fillId="0" borderId="12" xfId="0" applyNumberFormat="1" applyFont="1" applyBorder="1" applyAlignment="1">
      <alignment horizontal="center" vertical="center" wrapText="1"/>
    </xf>
    <xf numFmtId="165" fontId="4" fillId="0" borderId="14" xfId="0" applyNumberFormat="1" applyFont="1" applyBorder="1" applyAlignment="1">
      <alignment horizontal="center" vertical="center" wrapText="1"/>
    </xf>
    <xf numFmtId="165" fontId="4" fillId="0" borderId="15" xfId="0" applyNumberFormat="1" applyFont="1" applyBorder="1" applyAlignment="1">
      <alignment horizontal="center" vertical="center" wrapText="1"/>
    </xf>
    <xf numFmtId="164" fontId="4" fillId="0" borderId="36" xfId="0" applyNumberFormat="1" applyFont="1" applyBorder="1" applyAlignment="1">
      <alignment horizontal="center" vertical="center" wrapText="1"/>
    </xf>
    <xf numFmtId="0" fontId="5" fillId="0" borderId="38" xfId="0" applyFont="1" applyBorder="1"/>
    <xf numFmtId="3" fontId="5" fillId="0" borderId="34" xfId="0" applyNumberFormat="1" applyFont="1" applyBorder="1"/>
    <xf numFmtId="0" fontId="5" fillId="0" borderId="51" xfId="0" applyFont="1" applyBorder="1"/>
    <xf numFmtId="0" fontId="14" fillId="0" borderId="0" xfId="0" applyFont="1" applyAlignment="1">
      <alignment horizontal="center" vertical="center"/>
    </xf>
    <xf numFmtId="0" fontId="14" fillId="0" borderId="5" xfId="0" applyFont="1" applyBorder="1" applyAlignment="1">
      <alignment horizontal="left"/>
    </xf>
    <xf numFmtId="0" fontId="7" fillId="0" borderId="32" xfId="2" applyFont="1" applyBorder="1" applyAlignment="1">
      <alignment horizontal="left" vertical="top" wrapText="1"/>
    </xf>
    <xf numFmtId="0" fontId="7" fillId="0" borderId="76" xfId="2" applyFont="1" applyBorder="1" applyAlignment="1">
      <alignment horizontal="left" vertical="top" wrapText="1"/>
    </xf>
    <xf numFmtId="0" fontId="5" fillId="0" borderId="53" xfId="0" applyFont="1" applyBorder="1"/>
    <xf numFmtId="0" fontId="5" fillId="0" borderId="54" xfId="0" applyFont="1" applyBorder="1"/>
    <xf numFmtId="0" fontId="5" fillId="0" borderId="56" xfId="0" applyFont="1" applyBorder="1"/>
    <xf numFmtId="0" fontId="14" fillId="0" borderId="75" xfId="0" applyFont="1" applyBorder="1" applyAlignment="1">
      <alignment horizontal="left"/>
    </xf>
    <xf numFmtId="0" fontId="5" fillId="0" borderId="32" xfId="0" applyFont="1" applyBorder="1" applyAlignment="1">
      <alignment horizontal="left"/>
    </xf>
    <xf numFmtId="0" fontId="5" fillId="0" borderId="76" xfId="0" applyFont="1" applyBorder="1" applyAlignment="1">
      <alignment horizontal="left"/>
    </xf>
    <xf numFmtId="0" fontId="5" fillId="0" borderId="75" xfId="0" applyFont="1" applyBorder="1" applyAlignment="1">
      <alignment horizontal="left"/>
    </xf>
    <xf numFmtId="0" fontId="14" fillId="0" borderId="1" xfId="0" applyFont="1" applyBorder="1"/>
    <xf numFmtId="3" fontId="14" fillId="0" borderId="12" xfId="0" applyNumberFormat="1" applyFont="1" applyBorder="1"/>
    <xf numFmtId="3" fontId="14" fillId="0" borderId="13" xfId="0" applyNumberFormat="1" applyFont="1" applyBorder="1"/>
    <xf numFmtId="3" fontId="14" fillId="0" borderId="15" xfId="0" applyNumberFormat="1" applyFont="1" applyBorder="1"/>
    <xf numFmtId="0" fontId="5" fillId="0" borderId="0" xfId="0" applyFont="1" applyAlignment="1">
      <alignment horizontal="right" wrapText="1"/>
    </xf>
    <xf numFmtId="0" fontId="5" fillId="0" borderId="34" xfId="0" applyFont="1" applyBorder="1" applyAlignment="1">
      <alignment horizontal="right"/>
    </xf>
    <xf numFmtId="0" fontId="5" fillId="0" borderId="38" xfId="0" applyFont="1" applyBorder="1" applyAlignment="1">
      <alignment horizontal="right"/>
    </xf>
    <xf numFmtId="0" fontId="5" fillId="0" borderId="54" xfId="0" applyFont="1" applyBorder="1" applyAlignment="1">
      <alignment horizontal="right"/>
    </xf>
    <xf numFmtId="0" fontId="5" fillId="0" borderId="56" xfId="0" applyFont="1" applyBorder="1" applyAlignment="1">
      <alignment horizontal="right"/>
    </xf>
    <xf numFmtId="0" fontId="5" fillId="0" borderId="33" xfId="0" applyFont="1" applyBorder="1" applyAlignment="1">
      <alignment horizontal="right"/>
    </xf>
    <xf numFmtId="0" fontId="5" fillId="0" borderId="53" xfId="0" applyFont="1" applyBorder="1" applyAlignment="1">
      <alignment horizontal="right"/>
    </xf>
    <xf numFmtId="0" fontId="14" fillId="0" borderId="28" xfId="0" applyFont="1" applyBorder="1" applyAlignment="1">
      <alignment horizontal="right"/>
    </xf>
    <xf numFmtId="0" fontId="14" fillId="0" borderId="29" xfId="0" applyFont="1" applyBorder="1" applyAlignment="1">
      <alignment horizontal="right"/>
    </xf>
    <xf numFmtId="0" fontId="14" fillId="0" borderId="51" xfId="0" applyFont="1" applyBorder="1" applyAlignment="1">
      <alignment horizontal="right"/>
    </xf>
    <xf numFmtId="0" fontId="7" fillId="0" borderId="54" xfId="2" applyFont="1" applyBorder="1" applyAlignment="1">
      <alignment horizontal="right" vertical="top" wrapText="1"/>
    </xf>
    <xf numFmtId="0" fontId="14" fillId="0" borderId="1" xfId="0" applyFont="1" applyBorder="1" applyAlignment="1">
      <alignment horizontal="left"/>
    </xf>
    <xf numFmtId="0" fontId="14" fillId="0" borderId="12" xfId="0" applyFont="1" applyBorder="1" applyAlignment="1">
      <alignment horizontal="right"/>
    </xf>
    <xf numFmtId="0" fontId="14" fillId="0" borderId="13" xfId="0" applyFont="1" applyBorder="1" applyAlignment="1">
      <alignment horizontal="right"/>
    </xf>
    <xf numFmtId="0" fontId="14" fillId="0" borderId="15" xfId="0" applyFont="1" applyBorder="1" applyAlignment="1">
      <alignment horizontal="right"/>
    </xf>
    <xf numFmtId="0" fontId="14" fillId="0" borderId="22" xfId="0" applyFont="1" applyBorder="1" applyAlignment="1">
      <alignment horizontal="right"/>
    </xf>
    <xf numFmtId="0" fontId="14" fillId="0" borderId="23" xfId="0" applyFont="1" applyBorder="1" applyAlignment="1">
      <alignment horizontal="right"/>
    </xf>
    <xf numFmtId="0" fontId="14" fillId="0" borderId="27" xfId="0" applyFont="1" applyBorder="1" applyAlignment="1">
      <alignment horizontal="right"/>
    </xf>
    <xf numFmtId="0" fontId="24" fillId="0" borderId="0" xfId="11"/>
    <xf numFmtId="0" fontId="14" fillId="0" borderId="12" xfId="11" applyFont="1" applyBorder="1" applyAlignment="1">
      <alignment horizontal="center" vertical="center" wrapText="1"/>
    </xf>
    <xf numFmtId="0" fontId="14" fillId="0" borderId="13" xfId="11" applyFont="1" applyBorder="1" applyAlignment="1">
      <alignment horizontal="center" vertical="center" wrapText="1"/>
    </xf>
    <xf numFmtId="0" fontId="14" fillId="0" borderId="15" xfId="11" applyFont="1" applyBorder="1" applyAlignment="1">
      <alignment horizontal="center" vertical="center" wrapText="1"/>
    </xf>
    <xf numFmtId="3" fontId="14" fillId="0" borderId="12" xfId="11" applyNumberFormat="1" applyFont="1" applyBorder="1"/>
    <xf numFmtId="3" fontId="14" fillId="0" borderId="13" xfId="11" applyNumberFormat="1" applyFont="1" applyBorder="1"/>
    <xf numFmtId="3" fontId="25" fillId="0" borderId="13" xfId="11" applyNumberFormat="1" applyFont="1" applyBorder="1"/>
    <xf numFmtId="3" fontId="14" fillId="0" borderId="15" xfId="11" applyNumberFormat="1" applyFont="1" applyBorder="1"/>
    <xf numFmtId="164" fontId="0" fillId="0" borderId="0" xfId="12" applyNumberFormat="1" applyFont="1" applyAlignment="1">
      <alignment horizontal="right"/>
    </xf>
    <xf numFmtId="3" fontId="9" fillId="0" borderId="0" xfId="12" applyNumberFormat="1" applyFont="1"/>
    <xf numFmtId="3" fontId="24" fillId="0" borderId="0" xfId="11" applyNumberFormat="1"/>
    <xf numFmtId="170" fontId="9" fillId="0" borderId="0" xfId="12" applyNumberFormat="1" applyFont="1"/>
    <xf numFmtId="170" fontId="24" fillId="0" borderId="0" xfId="11" applyNumberFormat="1"/>
    <xf numFmtId="165" fontId="14" fillId="0" borderId="12" xfId="11" applyNumberFormat="1" applyFont="1" applyFill="1" applyBorder="1"/>
    <xf numFmtId="165" fontId="14" fillId="0" borderId="13" xfId="11" applyNumberFormat="1" applyFont="1" applyBorder="1" applyAlignment="1">
      <alignment horizontal="right"/>
    </xf>
    <xf numFmtId="165" fontId="25" fillId="0" borderId="13" xfId="11" applyNumberFormat="1" applyFont="1" applyBorder="1" applyAlignment="1">
      <alignment horizontal="right"/>
    </xf>
    <xf numFmtId="165" fontId="14" fillId="0" borderId="47" xfId="11" applyNumberFormat="1" applyFont="1" applyBorder="1" applyAlignment="1">
      <alignment horizontal="right"/>
    </xf>
    <xf numFmtId="165" fontId="24" fillId="0" borderId="0" xfId="11" applyNumberFormat="1"/>
    <xf numFmtId="0" fontId="27" fillId="0" borderId="79" xfId="13" applyFont="1" applyFill="1" applyBorder="1" applyAlignment="1">
      <alignment horizontal="right" wrapText="1"/>
    </xf>
    <xf numFmtId="0" fontId="0" fillId="0" borderId="0" xfId="0" applyAlignment="1">
      <alignment horizontal="center" vertical="center"/>
    </xf>
    <xf numFmtId="0" fontId="4" fillId="0" borderId="47" xfId="0" applyFont="1" applyBorder="1" applyAlignment="1">
      <alignment horizontal="center" vertical="center" wrapText="1"/>
    </xf>
    <xf numFmtId="0" fontId="14" fillId="0" borderId="14" xfId="11" applyFont="1" applyBorder="1" applyAlignment="1">
      <alignment horizontal="center" vertical="center" wrapText="1"/>
    </xf>
    <xf numFmtId="3" fontId="14" fillId="0" borderId="14" xfId="11" applyNumberFormat="1" applyFont="1" applyBorder="1"/>
    <xf numFmtId="165" fontId="14" fillId="0" borderId="2" xfId="11" applyNumberFormat="1" applyFont="1" applyBorder="1" applyAlignment="1">
      <alignment horizontal="right"/>
    </xf>
    <xf numFmtId="0" fontId="5" fillId="0" borderId="0" xfId="11" applyFont="1"/>
    <xf numFmtId="3" fontId="14" fillId="0" borderId="34" xfId="11" applyNumberFormat="1" applyFont="1" applyBorder="1"/>
    <xf numFmtId="3" fontId="5" fillId="0" borderId="34" xfId="12" applyNumberFormat="1" applyFont="1" applyBorder="1"/>
    <xf numFmtId="170" fontId="5" fillId="0" borderId="34" xfId="12" applyNumberFormat="1" applyFont="1" applyBorder="1"/>
    <xf numFmtId="165" fontId="14" fillId="0" borderId="34" xfId="11" applyNumberFormat="1" applyFont="1" applyBorder="1" applyAlignment="1">
      <alignment horizontal="right"/>
    </xf>
    <xf numFmtId="165" fontId="25" fillId="0" borderId="34" xfId="11" applyNumberFormat="1" applyFont="1" applyBorder="1" applyAlignment="1">
      <alignment horizontal="right"/>
    </xf>
    <xf numFmtId="3" fontId="14" fillId="0" borderId="38" xfId="11" applyNumberFormat="1" applyFont="1" applyBorder="1"/>
    <xf numFmtId="3" fontId="5" fillId="0" borderId="38" xfId="11" applyNumberFormat="1" applyFont="1" applyBorder="1"/>
    <xf numFmtId="170" fontId="5" fillId="0" borderId="38" xfId="11" applyNumberFormat="1" applyFont="1" applyBorder="1"/>
    <xf numFmtId="165" fontId="14" fillId="0" borderId="38" xfId="11" applyNumberFormat="1" applyFont="1" applyBorder="1" applyAlignment="1">
      <alignment horizontal="right"/>
    </xf>
    <xf numFmtId="0" fontId="5" fillId="0" borderId="54" xfId="11" applyFont="1" applyBorder="1"/>
    <xf numFmtId="165" fontId="14" fillId="0" borderId="54" xfId="11" applyNumberFormat="1" applyFont="1" applyBorder="1" applyAlignment="1">
      <alignment horizontal="right"/>
    </xf>
    <xf numFmtId="165" fontId="14" fillId="0" borderId="56" xfId="11" applyNumberFormat="1" applyFont="1" applyBorder="1"/>
    <xf numFmtId="3" fontId="14" fillId="0" borderId="37" xfId="11" applyNumberFormat="1" applyFont="1" applyBorder="1"/>
    <xf numFmtId="3" fontId="5" fillId="0" borderId="37" xfId="12" applyNumberFormat="1" applyFont="1" applyBorder="1"/>
    <xf numFmtId="170" fontId="5" fillId="0" borderId="37" xfId="12" applyNumberFormat="1" applyFont="1" applyBorder="1"/>
    <xf numFmtId="165" fontId="14" fillId="0" borderId="37" xfId="11" applyNumberFormat="1" applyFont="1" applyFill="1" applyBorder="1"/>
    <xf numFmtId="0" fontId="5" fillId="0" borderId="65" xfId="11" applyFont="1" applyBorder="1"/>
    <xf numFmtId="0" fontId="5" fillId="0" borderId="47" xfId="11" applyFont="1" applyBorder="1" applyAlignment="1">
      <alignment wrapText="1"/>
    </xf>
    <xf numFmtId="0" fontId="5" fillId="0" borderId="78" xfId="11" applyFont="1" applyBorder="1" applyAlignment="1">
      <alignment wrapText="1"/>
    </xf>
    <xf numFmtId="0" fontId="5" fillId="0" borderId="36" xfId="11" applyFont="1" applyBorder="1" applyAlignment="1">
      <alignment wrapText="1"/>
    </xf>
    <xf numFmtId="0" fontId="5" fillId="0" borderId="52" xfId="11" applyFont="1" applyBorder="1" applyAlignment="1">
      <alignment wrapText="1"/>
    </xf>
    <xf numFmtId="0" fontId="24" fillId="0" borderId="0" xfId="11" applyAlignment="1">
      <alignment wrapText="1"/>
    </xf>
    <xf numFmtId="0" fontId="29" fillId="0" borderId="0" xfId="0" applyFont="1"/>
    <xf numFmtId="165" fontId="7" fillId="0" borderId="38" xfId="2" applyNumberFormat="1" applyFont="1" applyBorder="1" applyAlignment="1">
      <alignment horizontal="right" vertical="center"/>
    </xf>
    <xf numFmtId="165" fontId="13" fillId="0" borderId="0" xfId="2" applyNumberFormat="1" applyFont="1"/>
    <xf numFmtId="165" fontId="13" fillId="0" borderId="0" xfId="2" applyNumberFormat="1" applyFont="1" applyFill="1"/>
    <xf numFmtId="0" fontId="5" fillId="0" borderId="28" xfId="0" applyFont="1" applyBorder="1" applyAlignment="1">
      <alignment horizontal="right"/>
    </xf>
    <xf numFmtId="0" fontId="5" fillId="0" borderId="29" xfId="0" applyFont="1" applyBorder="1" applyAlignment="1">
      <alignment horizontal="right"/>
    </xf>
    <xf numFmtId="165" fontId="5" fillId="0" borderId="51" xfId="0" applyNumberFormat="1" applyFont="1" applyBorder="1" applyAlignment="1">
      <alignment horizontal="right"/>
    </xf>
    <xf numFmtId="165" fontId="5" fillId="0" borderId="38" xfId="0" applyNumberFormat="1" applyFont="1" applyBorder="1" applyAlignment="1">
      <alignment horizontal="right"/>
    </xf>
    <xf numFmtId="0" fontId="5" fillId="0" borderId="22" xfId="0" applyFont="1" applyBorder="1" applyAlignment="1">
      <alignment horizontal="right"/>
    </xf>
    <xf numFmtId="0" fontId="5" fillId="0" borderId="23" xfId="0" applyFont="1" applyBorder="1" applyAlignment="1">
      <alignment horizontal="right"/>
    </xf>
    <xf numFmtId="165" fontId="5" fillId="0" borderId="27" xfId="0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0" fontId="5" fillId="0" borderId="63" xfId="0" applyFont="1" applyBorder="1" applyAlignment="1">
      <alignment horizontal="right"/>
    </xf>
    <xf numFmtId="165" fontId="5" fillId="0" borderId="50" xfId="0" applyNumberFormat="1" applyFont="1" applyBorder="1" applyAlignment="1">
      <alignment horizontal="right"/>
    </xf>
    <xf numFmtId="165" fontId="14" fillId="0" borderId="15" xfId="0" applyNumberFormat="1" applyFont="1" applyBorder="1" applyAlignment="1">
      <alignment horizontal="right"/>
    </xf>
    <xf numFmtId="0" fontId="14" fillId="0" borderId="28" xfId="11" applyFont="1" applyBorder="1" applyAlignment="1">
      <alignment horizontal="center" vertical="center"/>
    </xf>
    <xf numFmtId="0" fontId="14" fillId="0" borderId="64" xfId="11" applyFont="1" applyBorder="1" applyAlignment="1">
      <alignment horizontal="center" vertical="center"/>
    </xf>
    <xf numFmtId="0" fontId="14" fillId="0" borderId="31" xfId="11" applyFont="1" applyBorder="1" applyAlignment="1">
      <alignment horizontal="center" vertical="center"/>
    </xf>
    <xf numFmtId="3" fontId="5" fillId="0" borderId="37" xfId="11" applyNumberFormat="1" applyFont="1" applyBorder="1"/>
    <xf numFmtId="3" fontId="5" fillId="0" borderId="34" xfId="11" applyNumberFormat="1" applyFont="1" applyBorder="1"/>
    <xf numFmtId="3" fontId="5" fillId="0" borderId="38" xfId="12" applyNumberFormat="1" applyFont="1" applyBorder="1" applyAlignment="1">
      <alignment horizontal="right"/>
    </xf>
    <xf numFmtId="0" fontId="3" fillId="0" borderId="0" xfId="0" applyFont="1" applyAlignment="1"/>
    <xf numFmtId="0" fontId="31" fillId="0" borderId="0" xfId="0" applyFont="1" applyAlignment="1"/>
    <xf numFmtId="0" fontId="31" fillId="0" borderId="0" xfId="0" applyFont="1"/>
    <xf numFmtId="1" fontId="15" fillId="0" borderId="80" xfId="14" applyNumberFormat="1" applyFont="1" applyFill="1" applyBorder="1" applyAlignment="1">
      <alignment horizontal="center" vertical="center" wrapText="1"/>
    </xf>
    <xf numFmtId="1" fontId="15" fillId="0" borderId="81" xfId="14" applyNumberFormat="1" applyFont="1" applyFill="1" applyBorder="1" applyAlignment="1">
      <alignment horizontal="center" vertical="center" wrapText="1"/>
    </xf>
    <xf numFmtId="1" fontId="15" fillId="0" borderId="82" xfId="14" applyNumberFormat="1" applyFont="1" applyFill="1" applyBorder="1" applyAlignment="1">
      <alignment horizontal="center" vertical="center" wrapText="1"/>
    </xf>
    <xf numFmtId="0" fontId="33" fillId="0" borderId="0" xfId="14" applyFont="1"/>
    <xf numFmtId="164" fontId="15" fillId="0" borderId="84" xfId="15" applyNumberFormat="1" applyFont="1" applyFill="1" applyBorder="1" applyAlignment="1">
      <alignment horizontal="center" vertical="center" wrapText="1"/>
    </xf>
    <xf numFmtId="164" fontId="15" fillId="0" borderId="85" xfId="15" applyNumberFormat="1" applyFont="1" applyFill="1" applyBorder="1" applyAlignment="1">
      <alignment horizontal="center" vertical="center" wrapText="1"/>
    </xf>
    <xf numFmtId="164" fontId="15" fillId="0" borderId="86" xfId="15" applyNumberFormat="1" applyFont="1" applyFill="1" applyBorder="1" applyAlignment="1">
      <alignment horizontal="center" vertical="center" wrapText="1"/>
    </xf>
    <xf numFmtId="164" fontId="15" fillId="0" borderId="89" xfId="15" applyNumberFormat="1" applyFont="1" applyFill="1" applyBorder="1" applyAlignment="1">
      <alignment horizontal="center" vertical="center" wrapText="1"/>
    </xf>
    <xf numFmtId="164" fontId="15" fillId="0" borderId="90" xfId="15" applyNumberFormat="1" applyFont="1" applyFill="1" applyBorder="1" applyAlignment="1">
      <alignment horizontal="center" vertical="center" wrapText="1"/>
    </xf>
    <xf numFmtId="164" fontId="15" fillId="0" borderId="91" xfId="15" applyNumberFormat="1" applyFont="1" applyFill="1" applyBorder="1" applyAlignment="1">
      <alignment horizontal="center" vertical="center" wrapText="1"/>
    </xf>
    <xf numFmtId="164" fontId="15" fillId="0" borderId="93" xfId="15" applyNumberFormat="1" applyFont="1" applyFill="1" applyBorder="1" applyAlignment="1">
      <alignment horizontal="center" vertical="center" wrapText="1"/>
    </xf>
    <xf numFmtId="164" fontId="15" fillId="0" borderId="94" xfId="15" applyNumberFormat="1" applyFont="1" applyFill="1" applyBorder="1" applyAlignment="1">
      <alignment horizontal="center" vertical="center" wrapText="1"/>
    </xf>
    <xf numFmtId="1" fontId="15" fillId="0" borderId="87" xfId="14" applyNumberFormat="1" applyFont="1" applyFill="1" applyBorder="1" applyAlignment="1">
      <alignment horizontal="left" vertical="center" wrapText="1"/>
    </xf>
    <xf numFmtId="0" fontId="14" fillId="0" borderId="47" xfId="14" applyFont="1" applyBorder="1" applyAlignment="1">
      <alignment horizontal="left" vertical="center"/>
    </xf>
    <xf numFmtId="1" fontId="15" fillId="0" borderId="83" xfId="14" applyNumberFormat="1" applyFont="1" applyFill="1" applyBorder="1" applyAlignment="1">
      <alignment horizontal="left" vertical="center" wrapText="1"/>
    </xf>
    <xf numFmtId="1" fontId="15" fillId="0" borderId="88" xfId="14" applyNumberFormat="1" applyFont="1" applyFill="1" applyBorder="1" applyAlignment="1">
      <alignment horizontal="left" vertical="center" wrapText="1"/>
    </xf>
    <xf numFmtId="1" fontId="15" fillId="0" borderId="92" xfId="14" applyNumberFormat="1" applyFont="1" applyBorder="1" applyAlignment="1">
      <alignment horizontal="left" vertical="center" wrapText="1"/>
    </xf>
    <xf numFmtId="0" fontId="33" fillId="0" borderId="0" xfId="14" applyFont="1" applyAlignment="1">
      <alignment horizontal="left"/>
    </xf>
    <xf numFmtId="0" fontId="8" fillId="0" borderId="13" xfId="2" applyFont="1" applyBorder="1" applyAlignment="1">
      <alignment horizontal="center" vertical="center" wrapText="1"/>
    </xf>
    <xf numFmtId="0" fontId="15" fillId="0" borderId="15" xfId="2" applyFont="1" applyBorder="1" applyAlignment="1">
      <alignment horizontal="center" vertical="center"/>
    </xf>
    <xf numFmtId="168" fontId="7" fillId="0" borderId="12" xfId="2" applyNumberFormat="1" applyFont="1" applyBorder="1" applyAlignment="1">
      <alignment horizontal="right" vertical="top"/>
    </xf>
    <xf numFmtId="168" fontId="7" fillId="0" borderId="13" xfId="2" applyNumberFormat="1" applyFont="1" applyBorder="1" applyAlignment="1">
      <alignment horizontal="right" vertical="top"/>
    </xf>
    <xf numFmtId="168" fontId="7" fillId="0" borderId="14" xfId="2" applyNumberFormat="1" applyFont="1" applyBorder="1" applyAlignment="1">
      <alignment horizontal="right" vertical="top"/>
    </xf>
    <xf numFmtId="0" fontId="13" fillId="0" borderId="15" xfId="2" applyFont="1" applyBorder="1"/>
    <xf numFmtId="0" fontId="7" fillId="0" borderId="72" xfId="2" applyFont="1" applyBorder="1" applyAlignment="1">
      <alignment horizontal="left" vertical="top" wrapText="1"/>
    </xf>
    <xf numFmtId="168" fontId="7" fillId="0" borderId="22" xfId="2" applyNumberFormat="1" applyFont="1" applyBorder="1" applyAlignment="1">
      <alignment horizontal="right" vertical="top"/>
    </xf>
    <xf numFmtId="168" fontId="7" fillId="0" borderId="23" xfId="2" applyNumberFormat="1" applyFont="1" applyBorder="1" applyAlignment="1">
      <alignment horizontal="right" vertical="top"/>
    </xf>
    <xf numFmtId="168" fontId="7" fillId="0" borderId="24" xfId="2" applyNumberFormat="1" applyFont="1" applyBorder="1" applyAlignment="1">
      <alignment horizontal="right" vertical="top"/>
    </xf>
    <xf numFmtId="0" fontId="13" fillId="0" borderId="27" xfId="2" applyFont="1" applyBorder="1"/>
    <xf numFmtId="0" fontId="7" fillId="0" borderId="71" xfId="2" applyFont="1" applyBorder="1" applyAlignment="1">
      <alignment horizontal="left" vertical="top" wrapText="1"/>
    </xf>
    <xf numFmtId="168" fontId="7" fillId="0" borderId="33" xfId="2" applyNumberFormat="1" applyFont="1" applyBorder="1" applyAlignment="1">
      <alignment horizontal="right" vertical="top"/>
    </xf>
    <xf numFmtId="168" fontId="7" fillId="0" borderId="34" xfId="2" applyNumberFormat="1" applyFont="1" applyBorder="1" applyAlignment="1">
      <alignment horizontal="right" vertical="top"/>
    </xf>
    <xf numFmtId="168" fontId="7" fillId="0" borderId="35" xfId="2" applyNumberFormat="1" applyFont="1" applyBorder="1" applyAlignment="1">
      <alignment horizontal="right" vertical="top"/>
    </xf>
    <xf numFmtId="0" fontId="7" fillId="0" borderId="74" xfId="2" applyFont="1" applyBorder="1" applyAlignment="1">
      <alignment horizontal="left" vertical="top" wrapText="1"/>
    </xf>
    <xf numFmtId="168" fontId="7" fillId="0" borderId="41" xfId="2" applyNumberFormat="1" applyFont="1" applyBorder="1" applyAlignment="1">
      <alignment horizontal="right" vertical="top"/>
    </xf>
    <xf numFmtId="168" fontId="7" fillId="0" borderId="42" xfId="2" applyNumberFormat="1" applyFont="1" applyBorder="1" applyAlignment="1">
      <alignment horizontal="right" vertical="top"/>
    </xf>
    <xf numFmtId="168" fontId="7" fillId="0" borderId="43" xfId="2" applyNumberFormat="1" applyFont="1" applyBorder="1" applyAlignment="1">
      <alignment horizontal="right" vertical="top"/>
    </xf>
    <xf numFmtId="0" fontId="13" fillId="0" borderId="45" xfId="2" applyFont="1" applyBorder="1"/>
    <xf numFmtId="0" fontId="8" fillId="0" borderId="6" xfId="2" applyFont="1" applyBorder="1" applyAlignment="1">
      <alignment horizontal="left" vertical="center" wrapText="1"/>
    </xf>
    <xf numFmtId="168" fontId="8" fillId="0" borderId="12" xfId="2" applyNumberFormat="1" applyFont="1" applyBorder="1" applyAlignment="1">
      <alignment horizontal="right" vertical="top"/>
    </xf>
    <xf numFmtId="168" fontId="8" fillId="0" borderId="13" xfId="2" applyNumberFormat="1" applyFont="1" applyBorder="1" applyAlignment="1">
      <alignment horizontal="right" vertical="top"/>
    </xf>
    <xf numFmtId="168" fontId="8" fillId="0" borderId="14" xfId="2" applyNumberFormat="1" applyFont="1" applyBorder="1" applyAlignment="1">
      <alignment horizontal="right" vertical="top"/>
    </xf>
    <xf numFmtId="0" fontId="15" fillId="0" borderId="15" xfId="2" applyFont="1" applyBorder="1"/>
    <xf numFmtId="0" fontId="7" fillId="0" borderId="75" xfId="2" applyFont="1" applyBorder="1" applyAlignment="1">
      <alignment horizontal="left" vertical="top" wrapText="1"/>
    </xf>
    <xf numFmtId="0" fontId="7" fillId="0" borderId="40" xfId="2" applyFont="1" applyBorder="1" applyAlignment="1">
      <alignment horizontal="left" vertical="top" wrapText="1"/>
    </xf>
    <xf numFmtId="0" fontId="8" fillId="0" borderId="47" xfId="2" applyFont="1" applyBorder="1" applyAlignment="1">
      <alignment vertical="top" wrapText="1"/>
    </xf>
    <xf numFmtId="0" fontId="8" fillId="0" borderId="5" xfId="2" applyFont="1" applyBorder="1" applyAlignment="1">
      <alignment vertical="top" wrapText="1"/>
    </xf>
    <xf numFmtId="0" fontId="8" fillId="0" borderId="2" xfId="2" applyFont="1" applyBorder="1" applyAlignment="1">
      <alignment vertical="top" wrapText="1"/>
    </xf>
    <xf numFmtId="0" fontId="8" fillId="0" borderId="2" xfId="2" applyFont="1" applyBorder="1" applyAlignment="1">
      <alignment horizontal="left" vertical="top" wrapText="1"/>
    </xf>
    <xf numFmtId="168" fontId="8" fillId="0" borderId="16" xfId="2" applyNumberFormat="1" applyFont="1" applyBorder="1" applyAlignment="1">
      <alignment horizontal="right" vertical="top"/>
    </xf>
    <xf numFmtId="168" fontId="8" fillId="0" borderId="17" xfId="2" applyNumberFormat="1" applyFont="1" applyBorder="1" applyAlignment="1">
      <alignment horizontal="right" vertical="top"/>
    </xf>
    <xf numFmtId="168" fontId="8" fillId="0" borderId="18" xfId="2" applyNumberFormat="1" applyFont="1" applyBorder="1" applyAlignment="1">
      <alignment horizontal="right" vertical="top"/>
    </xf>
    <xf numFmtId="0" fontId="15" fillId="0" borderId="61" xfId="2" applyFont="1" applyBorder="1"/>
    <xf numFmtId="168" fontId="8" fillId="0" borderId="15" xfId="2" applyNumberFormat="1" applyFont="1" applyBorder="1" applyAlignment="1">
      <alignment horizontal="right" vertical="top"/>
    </xf>
    <xf numFmtId="0" fontId="13" fillId="9" borderId="0" xfId="2" applyFont="1" applyFill="1"/>
    <xf numFmtId="0" fontId="8" fillId="9" borderId="12" xfId="0" applyFont="1" applyFill="1" applyBorder="1" applyAlignment="1">
      <alignment horizontal="center" vertical="center" wrapText="1"/>
    </xf>
    <xf numFmtId="0" fontId="8" fillId="9" borderId="13" xfId="0" applyFont="1" applyFill="1" applyBorder="1" applyAlignment="1">
      <alignment horizontal="center" vertical="center" wrapText="1"/>
    </xf>
    <xf numFmtId="0" fontId="15" fillId="9" borderId="15" xfId="0" applyFont="1" applyFill="1" applyBorder="1" applyAlignment="1">
      <alignment horizontal="center" vertical="center"/>
    </xf>
    <xf numFmtId="168" fontId="7" fillId="9" borderId="12" xfId="0" applyNumberFormat="1" applyFont="1" applyFill="1" applyBorder="1" applyAlignment="1">
      <alignment horizontal="right" vertical="top"/>
    </xf>
    <xf numFmtId="168" fontId="7" fillId="9" borderId="13" xfId="0" applyNumberFormat="1" applyFont="1" applyFill="1" applyBorder="1" applyAlignment="1">
      <alignment horizontal="right" vertical="top"/>
    </xf>
    <xf numFmtId="168" fontId="7" fillId="9" borderId="14" xfId="0" applyNumberFormat="1" applyFont="1" applyFill="1" applyBorder="1" applyAlignment="1">
      <alignment horizontal="right" vertical="top"/>
    </xf>
    <xf numFmtId="0" fontId="13" fillId="9" borderId="15" xfId="0" applyFont="1" applyFill="1" applyBorder="1"/>
    <xf numFmtId="0" fontId="13" fillId="9" borderId="12" xfId="0" applyFont="1" applyFill="1" applyBorder="1"/>
    <xf numFmtId="0" fontId="13" fillId="9" borderId="13" xfId="0" applyFont="1" applyFill="1" applyBorder="1"/>
    <xf numFmtId="0" fontId="13" fillId="9" borderId="14" xfId="0" applyFont="1" applyFill="1" applyBorder="1"/>
    <xf numFmtId="169" fontId="7" fillId="9" borderId="22" xfId="0" applyNumberFormat="1" applyFont="1" applyFill="1" applyBorder="1" applyAlignment="1"/>
    <xf numFmtId="169" fontId="7" fillId="9" borderId="23" xfId="0" applyNumberFormat="1" applyFont="1" applyFill="1" applyBorder="1" applyAlignment="1"/>
    <xf numFmtId="169" fontId="7" fillId="9" borderId="24" xfId="0" applyNumberFormat="1" applyFont="1" applyFill="1" applyBorder="1" applyAlignment="1"/>
    <xf numFmtId="169" fontId="13" fillId="9" borderId="27" xfId="0" applyNumberFormat="1" applyFont="1" applyFill="1" applyBorder="1" applyAlignment="1"/>
    <xf numFmtId="169" fontId="13" fillId="9" borderId="22" xfId="0" applyNumberFormat="1" applyFont="1" applyFill="1" applyBorder="1" applyAlignment="1"/>
    <xf numFmtId="169" fontId="13" fillId="9" borderId="23" xfId="0" applyNumberFormat="1" applyFont="1" applyFill="1" applyBorder="1" applyAlignment="1"/>
    <xf numFmtId="169" fontId="13" fillId="9" borderId="24" xfId="0" applyNumberFormat="1" applyFont="1" applyFill="1" applyBorder="1" applyAlignment="1"/>
    <xf numFmtId="169" fontId="7" fillId="9" borderId="33" xfId="0" applyNumberFormat="1" applyFont="1" applyFill="1" applyBorder="1" applyAlignment="1"/>
    <xf numFmtId="169" fontId="7" fillId="9" borderId="34" xfId="0" applyNumberFormat="1" applyFont="1" applyFill="1" applyBorder="1" applyAlignment="1"/>
    <xf numFmtId="169" fontId="7" fillId="9" borderId="35" xfId="0" applyNumberFormat="1" applyFont="1" applyFill="1" applyBorder="1" applyAlignment="1"/>
    <xf numFmtId="169" fontId="13" fillId="9" borderId="38" xfId="0" applyNumberFormat="1" applyFont="1" applyFill="1" applyBorder="1" applyAlignment="1"/>
    <xf numFmtId="169" fontId="13" fillId="9" borderId="33" xfId="0" applyNumberFormat="1" applyFont="1" applyFill="1" applyBorder="1" applyAlignment="1"/>
    <xf numFmtId="169" fontId="13" fillId="9" borderId="34" xfId="0" applyNumberFormat="1" applyFont="1" applyFill="1" applyBorder="1" applyAlignment="1"/>
    <xf numFmtId="169" fontId="13" fillId="9" borderId="35" xfId="0" applyNumberFormat="1" applyFont="1" applyFill="1" applyBorder="1" applyAlignment="1"/>
    <xf numFmtId="169" fontId="7" fillId="9" borderId="41" xfId="0" applyNumberFormat="1" applyFont="1" applyFill="1" applyBorder="1" applyAlignment="1"/>
    <xf numFmtId="169" fontId="7" fillId="9" borderId="42" xfId="0" applyNumberFormat="1" applyFont="1" applyFill="1" applyBorder="1" applyAlignment="1"/>
    <xf numFmtId="169" fontId="7" fillId="9" borderId="43" xfId="0" applyNumberFormat="1" applyFont="1" applyFill="1" applyBorder="1" applyAlignment="1"/>
    <xf numFmtId="169" fontId="13" fillId="9" borderId="45" xfId="0" applyNumberFormat="1" applyFont="1" applyFill="1" applyBorder="1" applyAlignment="1"/>
    <xf numFmtId="169" fontId="13" fillId="9" borderId="41" xfId="0" applyNumberFormat="1" applyFont="1" applyFill="1" applyBorder="1" applyAlignment="1"/>
    <xf numFmtId="169" fontId="13" fillId="9" borderId="42" xfId="0" applyNumberFormat="1" applyFont="1" applyFill="1" applyBorder="1" applyAlignment="1"/>
    <xf numFmtId="169" fontId="13" fillId="9" borderId="43" xfId="0" applyNumberFormat="1" applyFont="1" applyFill="1" applyBorder="1" applyAlignment="1"/>
    <xf numFmtId="169" fontId="8" fillId="9" borderId="12" xfId="0" applyNumberFormat="1" applyFont="1" applyFill="1" applyBorder="1" applyAlignment="1"/>
    <xf numFmtId="169" fontId="8" fillId="9" borderId="13" xfId="0" applyNumberFormat="1" applyFont="1" applyFill="1" applyBorder="1" applyAlignment="1"/>
    <xf numFmtId="169" fontId="8" fillId="9" borderId="14" xfId="0" applyNumberFormat="1" applyFont="1" applyFill="1" applyBorder="1" applyAlignment="1"/>
    <xf numFmtId="169" fontId="15" fillId="9" borderId="15" xfId="0" applyNumberFormat="1" applyFont="1" applyFill="1" applyBorder="1" applyAlignment="1"/>
    <xf numFmtId="169" fontId="15" fillId="9" borderId="12" xfId="0" applyNumberFormat="1" applyFont="1" applyFill="1" applyBorder="1" applyAlignment="1"/>
    <xf numFmtId="169" fontId="15" fillId="9" borderId="13" xfId="0" applyNumberFormat="1" applyFont="1" applyFill="1" applyBorder="1" applyAlignment="1"/>
    <xf numFmtId="169" fontId="15" fillId="9" borderId="14" xfId="0" applyNumberFormat="1" applyFont="1" applyFill="1" applyBorder="1" applyAlignment="1"/>
    <xf numFmtId="169" fontId="8" fillId="9" borderId="16" xfId="0" applyNumberFormat="1" applyFont="1" applyFill="1" applyBorder="1" applyAlignment="1"/>
    <xf numFmtId="169" fontId="8" fillId="9" borderId="17" xfId="0" applyNumberFormat="1" applyFont="1" applyFill="1" applyBorder="1" applyAlignment="1"/>
    <xf numFmtId="169" fontId="8" fillId="9" borderId="18" xfId="0" applyNumberFormat="1" applyFont="1" applyFill="1" applyBorder="1" applyAlignment="1"/>
    <xf numFmtId="169" fontId="15" fillId="9" borderId="61" xfId="0" applyNumberFormat="1" applyFont="1" applyFill="1" applyBorder="1" applyAlignment="1"/>
    <xf numFmtId="169" fontId="15" fillId="9" borderId="16" xfId="0" applyNumberFormat="1" applyFont="1" applyFill="1" applyBorder="1" applyAlignment="1"/>
    <xf numFmtId="169" fontId="15" fillId="9" borderId="17" xfId="0" applyNumberFormat="1" applyFont="1" applyFill="1" applyBorder="1" applyAlignment="1"/>
    <xf numFmtId="169" fontId="15" fillId="9" borderId="18" xfId="0" applyNumberFormat="1" applyFont="1" applyFill="1" applyBorder="1" applyAlignment="1"/>
    <xf numFmtId="169" fontId="7" fillId="9" borderId="12" xfId="0" applyNumberFormat="1" applyFont="1" applyFill="1" applyBorder="1" applyAlignment="1"/>
    <xf numFmtId="169" fontId="7" fillId="9" borderId="13" xfId="0" applyNumberFormat="1" applyFont="1" applyFill="1" applyBorder="1" applyAlignment="1"/>
    <xf numFmtId="169" fontId="7" fillId="9" borderId="14" xfId="0" applyNumberFormat="1" applyFont="1" applyFill="1" applyBorder="1" applyAlignment="1"/>
    <xf numFmtId="169" fontId="13" fillId="9" borderId="15" xfId="0" applyNumberFormat="1" applyFont="1" applyFill="1" applyBorder="1" applyAlignment="1"/>
    <xf numFmtId="169" fontId="13" fillId="9" borderId="12" xfId="0" applyNumberFormat="1" applyFont="1" applyFill="1" applyBorder="1" applyAlignment="1"/>
    <xf numFmtId="169" fontId="13" fillId="9" borderId="13" xfId="0" applyNumberFormat="1" applyFont="1" applyFill="1" applyBorder="1" applyAlignment="1"/>
    <xf numFmtId="169" fontId="13" fillId="9" borderId="14" xfId="0" applyNumberFormat="1" applyFont="1" applyFill="1" applyBorder="1" applyAlignment="1"/>
    <xf numFmtId="169" fontId="8" fillId="9" borderId="15" xfId="0" applyNumberFormat="1" applyFont="1" applyFill="1" applyBorder="1" applyAlignment="1"/>
    <xf numFmtId="0" fontId="7" fillId="0" borderId="41" xfId="10" applyFont="1" applyBorder="1" applyAlignment="1">
      <alignment horizontal="center" vertical="center" textRotation="90" wrapText="1"/>
    </xf>
    <xf numFmtId="0" fontId="7" fillId="0" borderId="42" xfId="10" applyFont="1" applyBorder="1" applyAlignment="1">
      <alignment horizontal="center" vertical="center" textRotation="90" wrapText="1"/>
    </xf>
    <xf numFmtId="0" fontId="7" fillId="0" borderId="45" xfId="10" applyFont="1" applyBorder="1" applyAlignment="1">
      <alignment horizontal="center" vertical="center" textRotation="90" wrapText="1"/>
    </xf>
    <xf numFmtId="0" fontId="7" fillId="0" borderId="56" xfId="10" applyFont="1" applyBorder="1" applyAlignment="1">
      <alignment horizontal="center" vertical="center" textRotation="90" wrapText="1"/>
    </xf>
    <xf numFmtId="168" fontId="7" fillId="0" borderId="28" xfId="10" applyNumberFormat="1" applyFont="1" applyBorder="1" applyAlignment="1">
      <alignment vertical="top"/>
    </xf>
    <xf numFmtId="0" fontId="7" fillId="0" borderId="29" xfId="10" applyFont="1" applyBorder="1" applyAlignment="1">
      <alignment vertical="top" wrapText="1"/>
    </xf>
    <xf numFmtId="168" fontId="7" fillId="0" borderId="51" xfId="10" applyNumberFormat="1" applyFont="1" applyBorder="1" applyAlignment="1">
      <alignment vertical="top"/>
    </xf>
    <xf numFmtId="168" fontId="7" fillId="0" borderId="29" xfId="10" applyNumberFormat="1" applyFont="1" applyBorder="1" applyAlignment="1">
      <alignment vertical="top"/>
    </xf>
    <xf numFmtId="168" fontId="7" fillId="0" borderId="33" xfId="10" applyNumberFormat="1" applyFont="1" applyBorder="1" applyAlignment="1">
      <alignment vertical="top"/>
    </xf>
    <xf numFmtId="0" fontId="7" fillId="0" borderId="34" xfId="10" applyFont="1" applyBorder="1" applyAlignment="1">
      <alignment vertical="top" wrapText="1"/>
    </xf>
    <xf numFmtId="168" fontId="7" fillId="0" borderId="38" xfId="10" applyNumberFormat="1" applyFont="1" applyBorder="1" applyAlignment="1">
      <alignment vertical="top"/>
    </xf>
    <xf numFmtId="0" fontId="7" fillId="0" borderId="33" xfId="10" applyFont="1" applyBorder="1" applyAlignment="1">
      <alignment vertical="top" wrapText="1"/>
    </xf>
    <xf numFmtId="0" fontId="7" fillId="0" borderId="38" xfId="10" applyFont="1" applyBorder="1" applyAlignment="1">
      <alignment vertical="top" wrapText="1"/>
    </xf>
    <xf numFmtId="168" fontId="7" fillId="0" borderId="34" xfId="10" applyNumberFormat="1" applyFont="1" applyBorder="1" applyAlignment="1">
      <alignment vertical="top"/>
    </xf>
    <xf numFmtId="168" fontId="7" fillId="0" borderId="41" xfId="10" applyNumberFormat="1" applyFont="1" applyBorder="1" applyAlignment="1">
      <alignment vertical="top"/>
    </xf>
    <xf numFmtId="0" fontId="7" fillId="0" borderId="42" xfId="10" applyFont="1" applyBorder="1" applyAlignment="1">
      <alignment vertical="top" wrapText="1"/>
    </xf>
    <xf numFmtId="168" fontId="7" fillId="0" borderId="45" xfId="10" applyNumberFormat="1" applyFont="1" applyBorder="1" applyAlignment="1">
      <alignment vertical="top"/>
    </xf>
    <xf numFmtId="168" fontId="7" fillId="0" borderId="42" xfId="10" applyNumberFormat="1" applyFont="1" applyBorder="1" applyAlignment="1">
      <alignment vertical="top"/>
    </xf>
    <xf numFmtId="0" fontId="7" fillId="0" borderId="22" xfId="10" applyFont="1" applyBorder="1" applyAlignment="1">
      <alignment vertical="top" wrapText="1"/>
    </xf>
    <xf numFmtId="0" fontId="7" fillId="0" borderId="23" xfId="10" applyFont="1" applyBorder="1" applyAlignment="1">
      <alignment vertical="top" wrapText="1"/>
    </xf>
    <xf numFmtId="0" fontId="7" fillId="0" borderId="27" xfId="10" applyFont="1" applyBorder="1" applyAlignment="1">
      <alignment vertical="top" wrapText="1"/>
    </xf>
    <xf numFmtId="168" fontId="7" fillId="0" borderId="22" xfId="10" applyNumberFormat="1" applyFont="1" applyBorder="1" applyAlignment="1">
      <alignment vertical="top"/>
    </xf>
    <xf numFmtId="168" fontId="7" fillId="0" borderId="23" xfId="10" applyNumberFormat="1" applyFont="1" applyBorder="1" applyAlignment="1">
      <alignment vertical="top"/>
    </xf>
    <xf numFmtId="168" fontId="7" fillId="0" borderId="27" xfId="10" applyNumberFormat="1" applyFont="1" applyBorder="1" applyAlignment="1">
      <alignment vertical="top"/>
    </xf>
    <xf numFmtId="0" fontId="7" fillId="0" borderId="28" xfId="10" applyFont="1" applyBorder="1" applyAlignment="1">
      <alignment vertical="top" wrapText="1"/>
    </xf>
    <xf numFmtId="0" fontId="7" fillId="0" borderId="51" xfId="10" applyFont="1" applyBorder="1" applyAlignment="1">
      <alignment vertical="top" wrapText="1"/>
    </xf>
    <xf numFmtId="0" fontId="14" fillId="0" borderId="12" xfId="0" applyFont="1" applyBorder="1" applyAlignment="1"/>
    <xf numFmtId="0" fontId="14" fillId="0" borderId="48" xfId="0" applyFont="1" applyBorder="1" applyAlignment="1"/>
    <xf numFmtId="0" fontId="14" fillId="0" borderId="3" xfId="0" applyFont="1" applyBorder="1" applyAlignment="1"/>
    <xf numFmtId="0" fontId="5" fillId="10" borderId="34" xfId="0" applyFont="1" applyFill="1" applyBorder="1"/>
    <xf numFmtId="0" fontId="5" fillId="0" borderId="34" xfId="0" applyFont="1" applyBorder="1" applyAlignment="1">
      <alignment wrapText="1"/>
    </xf>
    <xf numFmtId="0" fontId="5" fillId="10" borderId="34" xfId="0" applyFont="1" applyFill="1" applyBorder="1" applyAlignment="1">
      <alignment wrapText="1"/>
    </xf>
    <xf numFmtId="0" fontId="5" fillId="0" borderId="33" xfId="0" applyFont="1" applyBorder="1" applyAlignment="1">
      <alignment wrapText="1"/>
    </xf>
    <xf numFmtId="0" fontId="5" fillId="10" borderId="54" xfId="0" applyFont="1" applyFill="1" applyBorder="1"/>
    <xf numFmtId="0" fontId="0" fillId="0" borderId="0" xfId="0" applyFill="1"/>
    <xf numFmtId="0" fontId="5" fillId="11" borderId="34" xfId="0" applyFont="1" applyFill="1" applyBorder="1"/>
    <xf numFmtId="0" fontId="5" fillId="11" borderId="34" xfId="0" applyFont="1" applyFill="1" applyBorder="1" applyAlignment="1">
      <alignment wrapText="1"/>
    </xf>
    <xf numFmtId="0" fontId="5" fillId="11" borderId="54" xfId="0" applyFont="1" applyFill="1" applyBorder="1"/>
    <xf numFmtId="165" fontId="5" fillId="0" borderId="34" xfId="0" applyNumberFormat="1" applyFont="1" applyBorder="1"/>
    <xf numFmtId="165" fontId="5" fillId="0" borderId="54" xfId="0" applyNumberFormat="1" applyFont="1" applyBorder="1"/>
    <xf numFmtId="0" fontId="0" fillId="0" borderId="0" xfId="0" applyNumberFormat="1" applyFill="1"/>
    <xf numFmtId="0" fontId="14" fillId="0" borderId="14" xfId="8" applyNumberFormat="1" applyFont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right" wrapText="1"/>
    </xf>
    <xf numFmtId="0" fontId="4" fillId="0" borderId="1" xfId="0" applyFont="1" applyFill="1" applyBorder="1" applyAlignment="1">
      <alignment horizontal="right"/>
    </xf>
    <xf numFmtId="0" fontId="5" fillId="0" borderId="30" xfId="0" applyFont="1" applyBorder="1"/>
    <xf numFmtId="0" fontId="5" fillId="0" borderId="35" xfId="0" applyFont="1" applyBorder="1"/>
    <xf numFmtId="0" fontId="5" fillId="0" borderId="55" xfId="0" applyFont="1" applyBorder="1"/>
    <xf numFmtId="3" fontId="14" fillId="0" borderId="14" xfId="0" applyNumberFormat="1" applyFont="1" applyBorder="1"/>
    <xf numFmtId="0" fontId="14" fillId="0" borderId="30" xfId="0" applyFont="1" applyBorder="1" applyAlignment="1">
      <alignment horizontal="right"/>
    </xf>
    <xf numFmtId="0" fontId="5" fillId="0" borderId="35" xfId="0" applyFont="1" applyBorder="1" applyAlignment="1">
      <alignment horizontal="right"/>
    </xf>
    <xf numFmtId="0" fontId="5" fillId="0" borderId="55" xfId="0" applyFont="1" applyBorder="1" applyAlignment="1">
      <alignment horizontal="right"/>
    </xf>
    <xf numFmtId="0" fontId="14" fillId="0" borderId="14" xfId="0" applyFont="1" applyBorder="1" applyAlignment="1">
      <alignment horizontal="right"/>
    </xf>
    <xf numFmtId="0" fontId="14" fillId="0" borderId="24" xfId="0" applyFont="1" applyBorder="1" applyAlignment="1">
      <alignment horizontal="right"/>
    </xf>
    <xf numFmtId="0" fontId="0" fillId="0" borderId="0" xfId="0" applyAlignment="1">
      <alignment wrapText="1"/>
    </xf>
    <xf numFmtId="0" fontId="5" fillId="0" borderId="28" xfId="0" applyFont="1" applyBorder="1" applyAlignment="1">
      <alignment wrapText="1"/>
    </xf>
    <xf numFmtId="0" fontId="14" fillId="0" borderId="58" xfId="8" applyNumberFormat="1" applyFont="1" applyBorder="1" applyAlignment="1">
      <alignment horizontal="center" vertical="center" wrapText="1"/>
    </xf>
    <xf numFmtId="0" fontId="14" fillId="0" borderId="59" xfId="8" applyNumberFormat="1" applyFont="1" applyBorder="1" applyAlignment="1">
      <alignment horizontal="center" vertical="center" wrapText="1"/>
    </xf>
    <xf numFmtId="0" fontId="14" fillId="0" borderId="69" xfId="8" applyNumberFormat="1" applyFont="1" applyBorder="1" applyAlignment="1">
      <alignment horizontal="center" vertical="center" wrapText="1"/>
    </xf>
    <xf numFmtId="1" fontId="13" fillId="5" borderId="34" xfId="9" applyNumberFormat="1" applyFont="1" applyFill="1" applyBorder="1" applyAlignment="1">
      <alignment horizontal="right" vertical="center"/>
    </xf>
    <xf numFmtId="0" fontId="7" fillId="0" borderId="25" xfId="2" applyFont="1" applyBorder="1" applyAlignment="1">
      <alignment horizontal="left" vertical="top" wrapText="1"/>
    </xf>
    <xf numFmtId="0" fontId="7" fillId="0" borderId="36" xfId="2" applyFont="1" applyBorder="1" applyAlignment="1">
      <alignment horizontal="left" vertical="top" wrapText="1"/>
    </xf>
    <xf numFmtId="0" fontId="7" fillId="0" borderId="52" xfId="2" applyFont="1" applyBorder="1" applyAlignment="1">
      <alignment horizontal="left" vertical="top" wrapText="1"/>
    </xf>
    <xf numFmtId="165" fontId="4" fillId="4" borderId="26" xfId="0" applyNumberFormat="1" applyFont="1" applyFill="1" applyBorder="1" applyAlignment="1">
      <alignment horizontal="center" vertical="center"/>
    </xf>
    <xf numFmtId="165" fontId="4" fillId="4" borderId="37" xfId="0" applyNumberFormat="1" applyFont="1" applyFill="1" applyBorder="1" applyAlignment="1">
      <alignment horizontal="center" vertical="center"/>
    </xf>
    <xf numFmtId="165" fontId="4" fillId="4" borderId="65" xfId="0" applyNumberFormat="1" applyFont="1" applyFill="1" applyBorder="1" applyAlignment="1">
      <alignment horizontal="center" vertical="center"/>
    </xf>
    <xf numFmtId="170" fontId="4" fillId="0" borderId="23" xfId="1" applyNumberFormat="1" applyFont="1" applyBorder="1" applyAlignment="1">
      <alignment horizontal="center" vertical="center"/>
    </xf>
    <xf numFmtId="3" fontId="4" fillId="0" borderId="59" xfId="1" applyNumberFormat="1" applyFont="1" applyBorder="1" applyAlignment="1">
      <alignment horizontal="center" vertical="center"/>
    </xf>
    <xf numFmtId="170" fontId="4" fillId="0" borderId="59" xfId="1" applyNumberFormat="1" applyFont="1" applyBorder="1" applyAlignment="1">
      <alignment horizontal="center" vertical="center"/>
    </xf>
    <xf numFmtId="3" fontId="3" fillId="0" borderId="23" xfId="1" applyNumberFormat="1" applyFont="1" applyBorder="1" applyAlignment="1">
      <alignment horizontal="center" vertical="center"/>
    </xf>
    <xf numFmtId="3" fontId="4" fillId="0" borderId="53" xfId="0" applyNumberFormat="1" applyFont="1" applyBorder="1" applyAlignment="1">
      <alignment horizontal="center" vertical="center"/>
    </xf>
    <xf numFmtId="3" fontId="4" fillId="0" borderId="12" xfId="0" applyNumberFormat="1" applyFont="1" applyBorder="1" applyAlignment="1">
      <alignment horizontal="center" vertical="center"/>
    </xf>
    <xf numFmtId="170" fontId="4" fillId="0" borderId="12" xfId="0" applyNumberFormat="1" applyFont="1" applyBorder="1" applyAlignment="1">
      <alignment horizontal="center" vertical="center"/>
    </xf>
    <xf numFmtId="171" fontId="3" fillId="0" borderId="36" xfId="0" applyNumberFormat="1" applyFont="1" applyBorder="1" applyAlignment="1">
      <alignment horizontal="right" vertical="center"/>
    </xf>
    <xf numFmtId="171" fontId="4" fillId="0" borderId="25" xfId="0" applyNumberFormat="1" applyFont="1" applyBorder="1" applyAlignment="1">
      <alignment horizontal="right" vertical="center"/>
    </xf>
    <xf numFmtId="171" fontId="4" fillId="0" borderId="36" xfId="0" applyNumberFormat="1" applyFont="1" applyBorder="1" applyAlignment="1">
      <alignment horizontal="right" vertical="center"/>
    </xf>
    <xf numFmtId="171" fontId="4" fillId="0" borderId="39" xfId="0" applyNumberFormat="1" applyFont="1" applyBorder="1" applyAlignment="1">
      <alignment horizontal="right" vertical="center"/>
    </xf>
    <xf numFmtId="171" fontId="4" fillId="0" borderId="47" xfId="0" applyNumberFormat="1" applyFont="1" applyBorder="1" applyAlignment="1">
      <alignment horizontal="right" vertical="center"/>
    </xf>
    <xf numFmtId="165" fontId="4" fillId="0" borderId="59" xfId="0" applyNumberFormat="1" applyFont="1" applyBorder="1" applyAlignment="1">
      <alignment horizontal="center" vertical="center"/>
    </xf>
    <xf numFmtId="165" fontId="4" fillId="0" borderId="69" xfId="0" applyNumberFormat="1" applyFont="1" applyBorder="1" applyAlignment="1">
      <alignment horizontal="center" vertical="center"/>
    </xf>
    <xf numFmtId="165" fontId="3" fillId="0" borderId="26" xfId="0" applyNumberFormat="1" applyFont="1" applyBorder="1" applyAlignment="1">
      <alignment horizontal="center" vertical="center"/>
    </xf>
    <xf numFmtId="165" fontId="3" fillId="0" borderId="34" xfId="0" applyNumberFormat="1" applyFont="1" applyBorder="1" applyAlignment="1">
      <alignment horizontal="center" vertical="center"/>
    </xf>
    <xf numFmtId="165" fontId="3" fillId="0" borderId="36" xfId="0" applyNumberFormat="1" applyFont="1" applyBorder="1" applyAlignment="1">
      <alignment horizontal="right"/>
    </xf>
    <xf numFmtId="165" fontId="3" fillId="0" borderId="38" xfId="0" applyNumberFormat="1" applyFont="1" applyBorder="1" applyAlignment="1">
      <alignment horizontal="center" vertical="center"/>
    </xf>
    <xf numFmtId="165" fontId="3" fillId="0" borderId="67" xfId="0" applyNumberFormat="1" applyFont="1" applyBorder="1" applyAlignment="1">
      <alignment horizontal="center" vertical="center"/>
    </xf>
    <xf numFmtId="165" fontId="4" fillId="0" borderId="67" xfId="0" applyNumberFormat="1" applyFont="1" applyBorder="1" applyAlignment="1">
      <alignment horizontal="center" vertical="center"/>
    </xf>
    <xf numFmtId="165" fontId="4" fillId="0" borderId="77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3" fontId="4" fillId="0" borderId="12" xfId="1" applyNumberFormat="1" applyFont="1" applyBorder="1" applyAlignment="1">
      <alignment horizontal="center" vertical="center"/>
    </xf>
    <xf numFmtId="171" fontId="4" fillId="0" borderId="47" xfId="0" applyNumberFormat="1" applyFont="1" applyBorder="1" applyAlignment="1">
      <alignment horizontal="right"/>
    </xf>
    <xf numFmtId="170" fontId="4" fillId="0" borderId="62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horizontal="right" vertical="center" wrapText="1"/>
    </xf>
    <xf numFmtId="0" fontId="4" fillId="0" borderId="47" xfId="0" applyFont="1" applyBorder="1" applyAlignment="1">
      <alignment horizontal="right" vertical="center" wrapText="1"/>
    </xf>
    <xf numFmtId="171" fontId="4" fillId="0" borderId="11" xfId="0" applyNumberFormat="1" applyFont="1" applyBorder="1" applyAlignment="1">
      <alignment horizontal="right"/>
    </xf>
    <xf numFmtId="0" fontId="4" fillId="0" borderId="95" xfId="0" applyFont="1" applyBorder="1" applyAlignment="1">
      <alignment horizontal="center" vertical="center" wrapText="1"/>
    </xf>
    <xf numFmtId="0" fontId="4" fillId="0" borderId="3" xfId="8" applyNumberFormat="1" applyFont="1" applyBorder="1" applyAlignment="1">
      <alignment horizontal="center" vertical="center" wrapText="1"/>
    </xf>
    <xf numFmtId="0" fontId="34" fillId="0" borderId="0" xfId="0" applyFont="1"/>
    <xf numFmtId="165" fontId="5" fillId="0" borderId="34" xfId="0" applyNumberFormat="1" applyFont="1" applyFill="1" applyBorder="1"/>
    <xf numFmtId="165" fontId="5" fillId="0" borderId="38" xfId="0" applyNumberFormat="1" applyFont="1" applyFill="1" applyBorder="1"/>
    <xf numFmtId="3" fontId="15" fillId="0" borderId="31" xfId="2" applyNumberFormat="1" applyFont="1" applyBorder="1"/>
    <xf numFmtId="3" fontId="13" fillId="0" borderId="67" xfId="2" applyNumberFormat="1" applyFont="1" applyBorder="1"/>
    <xf numFmtId="3" fontId="13" fillId="0" borderId="77" xfId="2" applyNumberFormat="1" applyFont="1" applyBorder="1"/>
    <xf numFmtId="3" fontId="13" fillId="0" borderId="68" xfId="2" applyNumberFormat="1" applyFont="1" applyBorder="1"/>
    <xf numFmtId="3" fontId="15" fillId="0" borderId="10" xfId="2" applyNumberFormat="1" applyFont="1" applyBorder="1"/>
    <xf numFmtId="3" fontId="15" fillId="0" borderId="3" xfId="2" applyNumberFormat="1" applyFont="1" applyBorder="1"/>
    <xf numFmtId="3" fontId="15" fillId="0" borderId="2" xfId="2" applyNumberFormat="1" applyFont="1" applyBorder="1"/>
    <xf numFmtId="49" fontId="14" fillId="0" borderId="1" xfId="2" applyNumberFormat="1" applyFont="1" applyBorder="1"/>
    <xf numFmtId="0" fontId="8" fillId="0" borderId="3" xfId="2" applyFont="1" applyBorder="1" applyAlignment="1">
      <alignment vertical="top" wrapText="1"/>
    </xf>
    <xf numFmtId="0" fontId="8" fillId="0" borderId="47" xfId="2" applyFont="1" applyFill="1" applyBorder="1" applyAlignment="1">
      <alignment horizontal="left" vertical="top" wrapText="1"/>
    </xf>
    <xf numFmtId="0" fontId="7" fillId="0" borderId="69" xfId="2" applyFont="1" applyBorder="1" applyAlignment="1">
      <alignment horizontal="center" textRotation="90" wrapText="1"/>
    </xf>
    <xf numFmtId="165" fontId="7" fillId="0" borderId="45" xfId="2" applyNumberFormat="1" applyFont="1" applyBorder="1" applyAlignment="1">
      <alignment horizontal="right" vertical="center"/>
    </xf>
    <xf numFmtId="165" fontId="7" fillId="0" borderId="27" xfId="2" applyNumberFormat="1" applyFont="1" applyBorder="1" applyAlignment="1">
      <alignment horizontal="right" vertical="center"/>
    </xf>
    <xf numFmtId="165" fontId="8" fillId="0" borderId="15" xfId="2" applyNumberFormat="1" applyFont="1" applyBorder="1" applyAlignment="1">
      <alignment horizontal="right" vertical="center"/>
    </xf>
    <xf numFmtId="2" fontId="5" fillId="0" borderId="62" xfId="0" applyNumberFormat="1" applyFont="1" applyBorder="1" applyAlignment="1">
      <alignment textRotation="90" wrapText="1"/>
    </xf>
    <xf numFmtId="2" fontId="5" fillId="0" borderId="63" xfId="0" applyNumberFormat="1" applyFont="1" applyBorder="1" applyAlignment="1">
      <alignment textRotation="90" wrapText="1"/>
    </xf>
    <xf numFmtId="165" fontId="5" fillId="0" borderId="50" xfId="0" applyNumberFormat="1" applyFont="1" applyBorder="1" applyAlignment="1">
      <alignment textRotation="90" wrapText="1"/>
    </xf>
    <xf numFmtId="1" fontId="15" fillId="0" borderId="12" xfId="2" applyNumberFormat="1" applyFont="1" applyBorder="1" applyAlignment="1">
      <alignment horizontal="right" vertical="center"/>
    </xf>
    <xf numFmtId="168" fontId="15" fillId="0" borderId="12" xfId="2" applyNumberFormat="1" applyFont="1" applyBorder="1" applyAlignment="1">
      <alignment horizontal="right" vertical="center"/>
    </xf>
    <xf numFmtId="0" fontId="7" fillId="0" borderId="28" xfId="2" applyFont="1" applyBorder="1" applyAlignment="1">
      <alignment horizontal="right" vertical="center" wrapText="1"/>
    </xf>
    <xf numFmtId="0" fontId="7" fillId="0" borderId="29" xfId="2" applyFont="1" applyBorder="1" applyAlignment="1">
      <alignment horizontal="right" vertical="center" wrapText="1"/>
    </xf>
    <xf numFmtId="165" fontId="7" fillId="0" borderId="51" xfId="2" applyNumberFormat="1" applyFont="1" applyBorder="1" applyAlignment="1">
      <alignment horizontal="right" vertical="center" wrapText="1"/>
    </xf>
    <xf numFmtId="0" fontId="7" fillId="0" borderId="33" xfId="2" applyFont="1" applyBorder="1" applyAlignment="1">
      <alignment horizontal="right" vertical="center" wrapText="1"/>
    </xf>
    <xf numFmtId="0" fontId="7" fillId="0" borderId="34" xfId="2" applyFont="1" applyBorder="1" applyAlignment="1">
      <alignment horizontal="right" vertical="center" wrapText="1"/>
    </xf>
    <xf numFmtId="165" fontId="7" fillId="0" borderId="38" xfId="2" applyNumberFormat="1" applyFont="1" applyBorder="1" applyAlignment="1">
      <alignment horizontal="right" vertical="center" wrapText="1"/>
    </xf>
    <xf numFmtId="1" fontId="13" fillId="0" borderId="33" xfId="2" applyNumberFormat="1" applyFont="1" applyBorder="1" applyAlignment="1">
      <alignment horizontal="right" vertical="center"/>
    </xf>
    <xf numFmtId="0" fontId="7" fillId="0" borderId="53" xfId="2" applyFont="1" applyBorder="1" applyAlignment="1">
      <alignment horizontal="right" vertical="center" wrapText="1"/>
    </xf>
    <xf numFmtId="0" fontId="7" fillId="0" borderId="54" xfId="2" applyFont="1" applyBorder="1" applyAlignment="1">
      <alignment horizontal="right" vertical="center" wrapText="1"/>
    </xf>
    <xf numFmtId="165" fontId="7" fillId="0" borderId="56" xfId="2" applyNumberFormat="1" applyFont="1" applyBorder="1" applyAlignment="1">
      <alignment horizontal="right" vertical="center" wrapText="1"/>
    </xf>
    <xf numFmtId="1" fontId="13" fillId="0" borderId="41" xfId="2" applyNumberFormat="1" applyFont="1" applyBorder="1" applyAlignment="1">
      <alignment horizontal="right" vertical="center"/>
    </xf>
    <xf numFmtId="168" fontId="13" fillId="0" borderId="41" xfId="2" applyNumberFormat="1" applyFont="1" applyBorder="1" applyAlignment="1">
      <alignment horizontal="right" vertical="center"/>
    </xf>
    <xf numFmtId="0" fontId="8" fillId="0" borderId="12" xfId="2" applyFont="1" applyBorder="1" applyAlignment="1">
      <alignment horizontal="right" vertical="center" wrapText="1"/>
    </xf>
    <xf numFmtId="0" fontId="8" fillId="0" borderId="13" xfId="2" applyFont="1" applyBorder="1" applyAlignment="1">
      <alignment horizontal="right" vertical="center" wrapText="1"/>
    </xf>
    <xf numFmtId="165" fontId="8" fillId="0" borderId="15" xfId="2" applyNumberFormat="1" applyFont="1" applyBorder="1" applyAlignment="1">
      <alignment horizontal="right" vertical="center" wrapText="1"/>
    </xf>
    <xf numFmtId="1" fontId="13" fillId="0" borderId="22" xfId="2" applyNumberFormat="1" applyFont="1" applyBorder="1" applyAlignment="1">
      <alignment horizontal="right" vertical="center"/>
    </xf>
    <xf numFmtId="168" fontId="13" fillId="0" borderId="22" xfId="2" applyNumberFormat="1" applyFont="1" applyBorder="1" applyAlignment="1">
      <alignment horizontal="right" vertical="center"/>
    </xf>
    <xf numFmtId="168" fontId="13" fillId="0" borderId="23" xfId="2" applyNumberFormat="1" applyFont="1" applyBorder="1" applyAlignment="1">
      <alignment horizontal="right" vertical="center"/>
    </xf>
    <xf numFmtId="0" fontId="7" fillId="0" borderId="41" xfId="2" applyFont="1" applyBorder="1" applyAlignment="1">
      <alignment horizontal="right" vertical="center" wrapText="1"/>
    </xf>
    <xf numFmtId="0" fontId="7" fillId="0" borderId="42" xfId="2" applyFont="1" applyBorder="1" applyAlignment="1">
      <alignment horizontal="right" vertical="center" wrapText="1"/>
    </xf>
    <xf numFmtId="165" fontId="7" fillId="0" borderId="45" xfId="2" applyNumberFormat="1" applyFont="1" applyBorder="1" applyAlignment="1">
      <alignment horizontal="right" vertical="center" wrapText="1"/>
    </xf>
    <xf numFmtId="0" fontId="13" fillId="0" borderId="0" xfId="2" applyFont="1" applyAlignment="1">
      <alignment horizontal="center" vertical="center"/>
    </xf>
    <xf numFmtId="0" fontId="8" fillId="0" borderId="8" xfId="2" applyFont="1" applyBorder="1" applyAlignment="1">
      <alignment horizontal="left" vertical="top" wrapText="1"/>
    </xf>
    <xf numFmtId="0" fontId="15" fillId="0" borderId="48" xfId="2" applyFont="1" applyFill="1" applyBorder="1" applyAlignment="1"/>
    <xf numFmtId="0" fontId="15" fillId="0" borderId="47" xfId="2" applyFont="1" applyFill="1" applyBorder="1" applyAlignment="1"/>
    <xf numFmtId="0" fontId="14" fillId="0" borderId="47" xfId="0" applyFont="1" applyBorder="1"/>
    <xf numFmtId="0" fontId="14" fillId="0" borderId="48" xfId="8" applyNumberFormat="1" applyFont="1" applyBorder="1" applyAlignment="1">
      <alignment horizontal="center" vertical="center" wrapText="1"/>
    </xf>
    <xf numFmtId="0" fontId="8" fillId="0" borderId="1" xfId="2" applyFont="1" applyBorder="1" applyAlignment="1">
      <alignment horizontal="left" vertical="top" wrapText="1"/>
    </xf>
    <xf numFmtId="0" fontId="7" fillId="0" borderId="24" xfId="2" applyFont="1" applyBorder="1" applyAlignment="1">
      <alignment horizontal="left" vertical="top" wrapText="1"/>
    </xf>
    <xf numFmtId="0" fontId="7" fillId="0" borderId="35" xfId="2" applyFont="1" applyBorder="1" applyAlignment="1">
      <alignment horizontal="left" vertical="top" wrapText="1"/>
    </xf>
    <xf numFmtId="0" fontId="7" fillId="0" borderId="43" xfId="2" applyFont="1" applyBorder="1" applyAlignment="1">
      <alignment horizontal="left" vertical="top" wrapText="1"/>
    </xf>
    <xf numFmtId="0" fontId="7" fillId="0" borderId="70" xfId="2" applyFont="1" applyBorder="1" applyAlignment="1">
      <alignment horizontal="left" vertical="top" wrapText="1"/>
    </xf>
    <xf numFmtId="0" fontId="7" fillId="0" borderId="36" xfId="9" applyFont="1" applyBorder="1" applyAlignment="1">
      <alignment horizontal="center" vertical="center" wrapText="1"/>
    </xf>
    <xf numFmtId="0" fontId="8" fillId="0" borderId="36" xfId="9" applyFont="1" applyBorder="1" applyAlignment="1">
      <alignment horizontal="center" vertical="center"/>
    </xf>
    <xf numFmtId="0" fontId="0" fillId="0" borderId="36" xfId="0" applyBorder="1"/>
    <xf numFmtId="0" fontId="7" fillId="0" borderId="78" xfId="9" applyFont="1" applyBorder="1" applyAlignment="1">
      <alignment horizontal="center" vertical="center" wrapText="1"/>
    </xf>
    <xf numFmtId="0" fontId="7" fillId="0" borderId="39" xfId="9" applyFont="1" applyBorder="1" applyAlignment="1">
      <alignment horizontal="center" vertical="center" wrapText="1"/>
    </xf>
    <xf numFmtId="1" fontId="7" fillId="0" borderId="41" xfId="9" applyNumberFormat="1" applyFont="1" applyBorder="1" applyAlignment="1">
      <alignment horizontal="right" vertical="center"/>
    </xf>
    <xf numFmtId="0" fontId="8" fillId="0" borderId="39" xfId="9" applyFont="1" applyBorder="1" applyAlignment="1">
      <alignment horizontal="center" vertical="center"/>
    </xf>
    <xf numFmtId="0" fontId="15" fillId="0" borderId="39" xfId="9" applyFont="1" applyBorder="1" applyAlignment="1">
      <alignment horizontal="left"/>
    </xf>
    <xf numFmtId="0" fontId="0" fillId="0" borderId="39" xfId="0" applyBorder="1"/>
    <xf numFmtId="0" fontId="8" fillId="0" borderId="78" xfId="9" applyFont="1" applyBorder="1" applyAlignment="1">
      <alignment horizontal="center" vertical="center"/>
    </xf>
    <xf numFmtId="1" fontId="13" fillId="5" borderId="22" xfId="9" applyNumberFormat="1" applyFont="1" applyFill="1" applyBorder="1" applyAlignment="1">
      <alignment horizontal="right" vertical="center"/>
    </xf>
    <xf numFmtId="1" fontId="13" fillId="5" borderId="23" xfId="9" applyNumberFormat="1" applyFont="1" applyFill="1" applyBorder="1" applyAlignment="1">
      <alignment horizontal="right" vertical="center"/>
    </xf>
    <xf numFmtId="0" fontId="7" fillId="0" borderId="78" xfId="9" applyFont="1" applyFill="1" applyBorder="1" applyAlignment="1">
      <alignment horizontal="left" vertical="center" wrapText="1"/>
    </xf>
    <xf numFmtId="0" fontId="0" fillId="0" borderId="78" xfId="0" applyBorder="1"/>
    <xf numFmtId="0" fontId="8" fillId="0" borderId="47" xfId="9" applyFont="1" applyBorder="1" applyAlignment="1">
      <alignment horizontal="center" vertical="center"/>
    </xf>
    <xf numFmtId="0" fontId="8" fillId="0" borderId="47" xfId="9" applyFont="1" applyBorder="1" applyAlignment="1">
      <alignment horizontal="center" vertical="center" wrapText="1"/>
    </xf>
    <xf numFmtId="0" fontId="12" fillId="0" borderId="47" xfId="0" applyFont="1" applyBorder="1"/>
    <xf numFmtId="0" fontId="15" fillId="0" borderId="57" xfId="2" applyFont="1" applyFill="1" applyBorder="1" applyAlignment="1"/>
    <xf numFmtId="0" fontId="12" fillId="0" borderId="11" xfId="0" applyFont="1" applyBorder="1"/>
    <xf numFmtId="1" fontId="8" fillId="0" borderId="58" xfId="9" applyNumberFormat="1" applyFont="1" applyBorder="1" applyAlignment="1">
      <alignment horizontal="right" vertical="center"/>
    </xf>
    <xf numFmtId="1" fontId="8" fillId="0" borderId="59" xfId="9" applyNumberFormat="1" applyFont="1" applyBorder="1" applyAlignment="1">
      <alignment horizontal="right" vertical="center"/>
    </xf>
    <xf numFmtId="1" fontId="8" fillId="0" borderId="69" xfId="9" applyNumberFormat="1" applyFont="1" applyBorder="1" applyAlignment="1">
      <alignment horizontal="right" vertical="center"/>
    </xf>
    <xf numFmtId="1" fontId="8" fillId="0" borderId="66" xfId="9" applyNumberFormat="1" applyFont="1" applyBorder="1" applyAlignment="1">
      <alignment horizontal="right" vertical="center"/>
    </xf>
    <xf numFmtId="0" fontId="8" fillId="0" borderId="36" xfId="2" applyFont="1" applyBorder="1" applyAlignment="1">
      <alignment horizontal="center" vertical="center"/>
    </xf>
    <xf numFmtId="0" fontId="8" fillId="0" borderId="39" xfId="2" applyFont="1" applyBorder="1" applyAlignment="1">
      <alignment horizontal="center" vertical="center"/>
    </xf>
    <xf numFmtId="0" fontId="7" fillId="0" borderId="78" xfId="2" applyFont="1" applyBorder="1" applyAlignment="1">
      <alignment horizontal="center" vertical="center" wrapText="1"/>
    </xf>
    <xf numFmtId="0" fontId="8" fillId="0" borderId="47" xfId="2" applyFont="1" applyBorder="1" applyAlignment="1">
      <alignment horizontal="center" vertical="center"/>
    </xf>
    <xf numFmtId="0" fontId="14" fillId="0" borderId="3" xfId="0" applyFont="1" applyBorder="1"/>
    <xf numFmtId="0" fontId="5" fillId="0" borderId="25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5" fillId="0" borderId="78" xfId="0" applyFont="1" applyBorder="1" applyAlignment="1">
      <alignment horizontal="center" vertical="center" wrapText="1"/>
    </xf>
    <xf numFmtId="0" fontId="15" fillId="0" borderId="47" xfId="2" applyFont="1" applyFill="1" applyBorder="1" applyAlignment="1">
      <alignment horizontal="center"/>
    </xf>
    <xf numFmtId="0" fontId="14" fillId="0" borderId="47" xfId="0" applyFont="1" applyBorder="1" applyAlignment="1">
      <alignment horizontal="center" vertical="center" wrapText="1"/>
    </xf>
    <xf numFmtId="0" fontId="7" fillId="0" borderId="41" xfId="10" applyFont="1" applyBorder="1" applyAlignment="1">
      <alignment vertical="top" wrapText="1"/>
    </xf>
    <xf numFmtId="0" fontId="7" fillId="0" borderId="16" xfId="10" applyFont="1" applyBorder="1" applyAlignment="1">
      <alignment vertical="top" wrapText="1"/>
    </xf>
    <xf numFmtId="0" fontId="7" fillId="0" borderId="17" xfId="10" applyFont="1" applyBorder="1" applyAlignment="1">
      <alignment vertical="top" wrapText="1"/>
    </xf>
    <xf numFmtId="0" fontId="7" fillId="0" borderId="61" xfId="10" applyFont="1" applyBorder="1" applyAlignment="1">
      <alignment vertical="top" wrapText="1"/>
    </xf>
    <xf numFmtId="168" fontId="7" fillId="0" borderId="16" xfId="10" applyNumberFormat="1" applyFont="1" applyBorder="1" applyAlignment="1">
      <alignment vertical="top"/>
    </xf>
    <xf numFmtId="168" fontId="7" fillId="0" borderId="61" xfId="10" applyNumberFormat="1" applyFont="1" applyBorder="1" applyAlignment="1">
      <alignment vertical="top"/>
    </xf>
    <xf numFmtId="168" fontId="7" fillId="0" borderId="62" xfId="10" applyNumberFormat="1" applyFont="1" applyBorder="1" applyAlignment="1">
      <alignment vertical="top"/>
    </xf>
    <xf numFmtId="0" fontId="7" fillId="0" borderId="63" xfId="10" applyFont="1" applyBorder="1" applyAlignment="1">
      <alignment vertical="top" wrapText="1"/>
    </xf>
    <xf numFmtId="168" fontId="7" fillId="0" borderId="50" xfId="10" applyNumberFormat="1" applyFont="1" applyBorder="1" applyAlignment="1">
      <alignment vertical="top"/>
    </xf>
    <xf numFmtId="168" fontId="7" fillId="0" borderId="63" xfId="10" applyNumberFormat="1" applyFont="1" applyBorder="1" applyAlignment="1">
      <alignment vertical="top"/>
    </xf>
    <xf numFmtId="168" fontId="8" fillId="0" borderId="12" xfId="10" applyNumberFormat="1" applyFont="1" applyBorder="1" applyAlignment="1">
      <alignment vertical="top"/>
    </xf>
    <xf numFmtId="168" fontId="8" fillId="0" borderId="13" xfId="10" applyNumberFormat="1" applyFont="1" applyBorder="1" applyAlignment="1">
      <alignment vertical="top"/>
    </xf>
    <xf numFmtId="168" fontId="8" fillId="0" borderId="15" xfId="10" applyNumberFormat="1" applyFont="1" applyBorder="1" applyAlignment="1">
      <alignment vertical="top"/>
    </xf>
    <xf numFmtId="0" fontId="8" fillId="0" borderId="13" xfId="10" applyFont="1" applyBorder="1" applyAlignment="1">
      <alignment vertical="top" wrapText="1"/>
    </xf>
    <xf numFmtId="0" fontId="14" fillId="0" borderId="47" xfId="0" applyFont="1" applyBorder="1" applyAlignment="1">
      <alignment vertical="center"/>
    </xf>
    <xf numFmtId="0" fontId="7" fillId="0" borderId="31" xfId="10" applyFont="1" applyBorder="1" applyAlignment="1">
      <alignment horizontal="left" vertical="top" wrapText="1"/>
    </xf>
    <xf numFmtId="0" fontId="7" fillId="0" borderId="67" xfId="10" applyFont="1" applyBorder="1" applyAlignment="1">
      <alignment horizontal="left" vertical="top" wrapText="1"/>
    </xf>
    <xf numFmtId="0" fontId="7" fillId="0" borderId="77" xfId="10" applyFont="1" applyBorder="1" applyAlignment="1">
      <alignment horizontal="left" vertical="top" wrapText="1"/>
    </xf>
    <xf numFmtId="0" fontId="8" fillId="0" borderId="3" xfId="10" applyFont="1" applyBorder="1" applyAlignment="1">
      <alignment horizontal="left" vertical="top" wrapText="1"/>
    </xf>
    <xf numFmtId="0" fontId="7" fillId="0" borderId="10" xfId="10" applyFont="1" applyBorder="1" applyAlignment="1">
      <alignment horizontal="left" vertical="top" wrapText="1"/>
    </xf>
    <xf numFmtId="0" fontId="7" fillId="0" borderId="7" xfId="10" applyFont="1" applyBorder="1" applyAlignment="1">
      <alignment horizontal="left" vertical="top" wrapText="1"/>
    </xf>
    <xf numFmtId="0" fontId="7" fillId="0" borderId="20" xfId="10" applyFont="1" applyBorder="1" applyAlignment="1">
      <alignment horizontal="left" vertical="top" wrapText="1"/>
    </xf>
    <xf numFmtId="0" fontId="14" fillId="0" borderId="3" xfId="0" applyFont="1" applyBorder="1" applyAlignment="1">
      <alignment vertical="center"/>
    </xf>
    <xf numFmtId="0" fontId="14" fillId="0" borderId="75" xfId="0" applyFont="1" applyFill="1" applyBorder="1" applyAlignment="1">
      <alignment horizontal="left"/>
    </xf>
    <xf numFmtId="0" fontId="14" fillId="0" borderId="28" xfId="0" applyFont="1" applyFill="1" applyBorder="1" applyAlignment="1">
      <alignment horizontal="right"/>
    </xf>
    <xf numFmtId="0" fontId="14" fillId="0" borderId="29" xfId="0" applyFont="1" applyFill="1" applyBorder="1" applyAlignment="1">
      <alignment horizontal="right"/>
    </xf>
    <xf numFmtId="0" fontId="14" fillId="0" borderId="30" xfId="0" applyFont="1" applyFill="1" applyBorder="1" applyAlignment="1">
      <alignment horizontal="right"/>
    </xf>
    <xf numFmtId="0" fontId="14" fillId="0" borderId="51" xfId="0" applyFont="1" applyFill="1" applyBorder="1" applyAlignment="1">
      <alignment horizontal="right"/>
    </xf>
    <xf numFmtId="0" fontId="14" fillId="0" borderId="0" xfId="0" applyFont="1" applyFill="1" applyAlignment="1">
      <alignment horizontal="right"/>
    </xf>
    <xf numFmtId="0" fontId="14" fillId="0" borderId="28" xfId="0" applyFont="1" applyBorder="1"/>
    <xf numFmtId="0" fontId="14" fillId="0" borderId="29" xfId="0" applyFont="1" applyBorder="1"/>
    <xf numFmtId="0" fontId="14" fillId="0" borderId="30" xfId="0" applyFont="1" applyBorder="1"/>
    <xf numFmtId="0" fontId="14" fillId="0" borderId="51" xfId="0" applyFont="1" applyBorder="1"/>
    <xf numFmtId="3" fontId="14" fillId="0" borderId="28" xfId="0" applyNumberFormat="1" applyFont="1" applyBorder="1"/>
    <xf numFmtId="3" fontId="14" fillId="0" borderId="29" xfId="0" applyNumberFormat="1" applyFont="1" applyBorder="1"/>
    <xf numFmtId="0" fontId="14" fillId="0" borderId="28" xfId="0" applyFont="1" applyFill="1" applyBorder="1"/>
    <xf numFmtId="0" fontId="14" fillId="0" borderId="29" xfId="0" applyFont="1" applyFill="1" applyBorder="1"/>
    <xf numFmtId="0" fontId="14" fillId="0" borderId="30" xfId="0" applyFont="1" applyFill="1" applyBorder="1"/>
    <xf numFmtId="0" fontId="14" fillId="0" borderId="51" xfId="0" applyFont="1" applyFill="1" applyBorder="1"/>
    <xf numFmtId="0" fontId="14" fillId="0" borderId="0" xfId="0" applyFont="1" applyFill="1"/>
    <xf numFmtId="0" fontId="14" fillId="0" borderId="32" xfId="0" applyFont="1" applyBorder="1"/>
    <xf numFmtId="0" fontId="14" fillId="0" borderId="33" xfId="0" applyFont="1" applyBorder="1"/>
    <xf numFmtId="0" fontId="14" fillId="0" borderId="34" xfId="0" applyFont="1" applyBorder="1"/>
    <xf numFmtId="0" fontId="14" fillId="0" borderId="35" xfId="0" applyFont="1" applyBorder="1"/>
    <xf numFmtId="0" fontId="14" fillId="0" borderId="38" xfId="0" applyFont="1" applyBorder="1"/>
    <xf numFmtId="0" fontId="14" fillId="0" borderId="76" xfId="0" applyFont="1" applyBorder="1"/>
    <xf numFmtId="0" fontId="14" fillId="0" borderId="53" xfId="0" applyFont="1" applyBorder="1"/>
    <xf numFmtId="0" fontId="14" fillId="0" borderId="54" xfId="0" applyFont="1" applyBorder="1"/>
    <xf numFmtId="0" fontId="14" fillId="0" borderId="55" xfId="0" applyFont="1" applyBorder="1"/>
    <xf numFmtId="0" fontId="14" fillId="0" borderId="56" xfId="0" applyFont="1" applyBorder="1"/>
    <xf numFmtId="0" fontId="5" fillId="0" borderId="21" xfId="0" applyFont="1" applyBorder="1" applyAlignment="1">
      <alignment horizontal="left"/>
    </xf>
    <xf numFmtId="0" fontId="5" fillId="0" borderId="24" xfId="0" applyFont="1" applyBorder="1" applyAlignment="1">
      <alignment horizontal="right"/>
    </xf>
    <xf numFmtId="0" fontId="5" fillId="0" borderId="27" xfId="0" applyFont="1" applyBorder="1" applyAlignment="1">
      <alignment horizontal="right"/>
    </xf>
    <xf numFmtId="0" fontId="14" fillId="0" borderId="32" xfId="0" applyFont="1" applyBorder="1" applyAlignment="1">
      <alignment horizontal="left"/>
    </xf>
    <xf numFmtId="0" fontId="14" fillId="0" borderId="33" xfId="0" applyFont="1" applyBorder="1" applyAlignment="1">
      <alignment horizontal="right"/>
    </xf>
    <xf numFmtId="0" fontId="14" fillId="0" borderId="34" xfId="0" applyFont="1" applyBorder="1" applyAlignment="1">
      <alignment horizontal="right"/>
    </xf>
    <xf numFmtId="0" fontId="14" fillId="0" borderId="35" xfId="0" applyFont="1" applyBorder="1" applyAlignment="1">
      <alignment horizontal="right"/>
    </xf>
    <xf numFmtId="0" fontId="14" fillId="0" borderId="38" xfId="0" applyFont="1" applyBorder="1" applyAlignment="1">
      <alignment horizontal="right"/>
    </xf>
    <xf numFmtId="0" fontId="14" fillId="0" borderId="76" xfId="0" applyFont="1" applyBorder="1" applyAlignment="1">
      <alignment horizontal="left"/>
    </xf>
    <xf numFmtId="0" fontId="14" fillId="0" borderId="53" xfId="0" applyFont="1" applyBorder="1" applyAlignment="1">
      <alignment horizontal="right"/>
    </xf>
    <xf numFmtId="0" fontId="14" fillId="0" borderId="54" xfId="0" applyFont="1" applyBorder="1" applyAlignment="1">
      <alignment horizontal="right"/>
    </xf>
    <xf numFmtId="0" fontId="14" fillId="0" borderId="55" xfId="0" applyFont="1" applyBorder="1" applyAlignment="1">
      <alignment horizontal="right"/>
    </xf>
    <xf numFmtId="0" fontId="14" fillId="0" borderId="56" xfId="0" applyFont="1" applyBorder="1" applyAlignment="1">
      <alignment horizontal="right"/>
    </xf>
    <xf numFmtId="0" fontId="8" fillId="0" borderId="15" xfId="2" applyFont="1" applyBorder="1" applyAlignment="1">
      <alignment horizontal="left" vertical="top" wrapText="1"/>
    </xf>
    <xf numFmtId="0" fontId="5" fillId="10" borderId="29" xfId="0" applyFont="1" applyFill="1" applyBorder="1" applyAlignment="1">
      <alignment horizontal="center" vertical="center" wrapText="1"/>
    </xf>
    <xf numFmtId="0" fontId="5" fillId="11" borderId="51" xfId="0" applyFont="1" applyFill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11" borderId="29" xfId="0" applyFont="1" applyFill="1" applyBorder="1" applyAlignment="1">
      <alignment horizontal="center" vertical="center" wrapText="1"/>
    </xf>
    <xf numFmtId="165" fontId="5" fillId="11" borderId="34" xfId="0" applyNumberFormat="1" applyFont="1" applyFill="1" applyBorder="1"/>
    <xf numFmtId="165" fontId="5" fillId="0" borderId="54" xfId="0" applyNumberFormat="1" applyFont="1" applyFill="1" applyBorder="1"/>
    <xf numFmtId="165" fontId="5" fillId="0" borderId="56" xfId="0" applyNumberFormat="1" applyFont="1" applyFill="1" applyBorder="1"/>
    <xf numFmtId="0" fontId="4" fillId="0" borderId="1" xfId="0" applyFont="1" applyBorder="1" applyAlignment="1">
      <alignment horizontal="center" vertical="center" wrapText="1"/>
    </xf>
    <xf numFmtId="165" fontId="4" fillId="0" borderId="75" xfId="0" applyNumberFormat="1" applyFont="1" applyBorder="1" applyAlignment="1">
      <alignment horizontal="center" vertical="center"/>
    </xf>
    <xf numFmtId="165" fontId="3" fillId="0" borderId="32" xfId="0" applyNumberFormat="1" applyFont="1" applyBorder="1" applyAlignment="1">
      <alignment horizontal="center" vertical="center"/>
    </xf>
    <xf numFmtId="165" fontId="4" fillId="0" borderId="32" xfId="0" applyNumberFormat="1" applyFont="1" applyBorder="1" applyAlignment="1">
      <alignment horizontal="center" vertical="center"/>
    </xf>
    <xf numFmtId="165" fontId="4" fillId="0" borderId="40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25" xfId="0" applyNumberFormat="1" applyFont="1" applyBorder="1" applyAlignment="1">
      <alignment horizontal="center" vertical="center"/>
    </xf>
    <xf numFmtId="165" fontId="3" fillId="0" borderId="36" xfId="0" applyNumberFormat="1" applyFont="1" applyBorder="1" applyAlignment="1">
      <alignment horizontal="center" vertical="center"/>
    </xf>
    <xf numFmtId="165" fontId="4" fillId="0" borderId="36" xfId="0" applyNumberFormat="1" applyFont="1" applyBorder="1" applyAlignment="1">
      <alignment horizontal="center" vertical="center"/>
    </xf>
    <xf numFmtId="165" fontId="4" fillId="0" borderId="39" xfId="0" applyNumberFormat="1" applyFont="1" applyBorder="1" applyAlignment="1">
      <alignment horizontal="center" vertical="center"/>
    </xf>
    <xf numFmtId="165" fontId="4" fillId="0" borderId="47" xfId="0" applyNumberFormat="1" applyFont="1" applyBorder="1" applyAlignment="1">
      <alignment horizontal="center" vertical="center"/>
    </xf>
    <xf numFmtId="165" fontId="4" fillId="6" borderId="12" xfId="0" applyNumberFormat="1" applyFont="1" applyFill="1" applyBorder="1" applyAlignment="1">
      <alignment horizontal="center" vertical="center"/>
    </xf>
    <xf numFmtId="165" fontId="4" fillId="6" borderId="13" xfId="0" applyNumberFormat="1" applyFont="1" applyFill="1" applyBorder="1" applyAlignment="1">
      <alignment horizontal="center" vertical="center"/>
    </xf>
    <xf numFmtId="165" fontId="4" fillId="6" borderId="15" xfId="0" applyNumberFormat="1" applyFont="1" applyFill="1" applyBorder="1" applyAlignment="1">
      <alignment horizontal="center" vertical="center"/>
    </xf>
    <xf numFmtId="0" fontId="8" fillId="0" borderId="14" xfId="2" applyFont="1" applyBorder="1" applyAlignment="1">
      <alignment horizontal="center" vertical="center" wrapText="1"/>
    </xf>
    <xf numFmtId="0" fontId="8" fillId="9" borderId="14" xfId="0" applyFont="1" applyFill="1" applyBorder="1" applyAlignment="1">
      <alignment horizontal="center" vertical="center" wrapText="1"/>
    </xf>
    <xf numFmtId="0" fontId="14" fillId="0" borderId="22" xfId="0" applyFont="1" applyBorder="1"/>
    <xf numFmtId="0" fontId="14" fillId="0" borderId="23" xfId="0" applyFont="1" applyBorder="1"/>
    <xf numFmtId="0" fontId="14" fillId="0" borderId="24" xfId="0" applyFont="1" applyBorder="1"/>
    <xf numFmtId="0" fontId="14" fillId="0" borderId="27" xfId="0" applyFont="1" applyBorder="1"/>
    <xf numFmtId="0" fontId="14" fillId="0" borderId="48" xfId="11" applyFont="1" applyBorder="1" applyAlignment="1">
      <alignment horizontal="center" vertical="center" wrapText="1"/>
    </xf>
    <xf numFmtId="0" fontId="15" fillId="0" borderId="18" xfId="2" applyFont="1" applyBorder="1" applyAlignment="1">
      <alignment horizontal="center" vertical="center"/>
    </xf>
    <xf numFmtId="3" fontId="15" fillId="0" borderId="72" xfId="2" applyNumberFormat="1" applyFont="1" applyBorder="1"/>
    <xf numFmtId="3" fontId="13" fillId="0" borderId="71" xfId="2" applyNumberFormat="1" applyFont="1" applyBorder="1"/>
    <xf numFmtId="3" fontId="13" fillId="0" borderId="74" xfId="2" applyNumberFormat="1" applyFont="1" applyBorder="1"/>
    <xf numFmtId="3" fontId="13" fillId="0" borderId="73" xfId="2" applyNumberFormat="1" applyFont="1" applyBorder="1"/>
    <xf numFmtId="3" fontId="15" fillId="0" borderId="70" xfId="2" applyNumberFormat="1" applyFont="1" applyBorder="1"/>
    <xf numFmtId="164" fontId="34" fillId="0" borderId="0" xfId="0" applyNumberFormat="1" applyFont="1" applyBorder="1" applyAlignment="1"/>
    <xf numFmtId="165" fontId="28" fillId="0" borderId="0" xfId="0" applyNumberFormat="1" applyFont="1" applyBorder="1" applyAlignment="1">
      <alignment horizontal="right" vertical="center"/>
    </xf>
    <xf numFmtId="0" fontId="34" fillId="0" borderId="0" xfId="0" applyFont="1" applyFill="1"/>
    <xf numFmtId="3" fontId="34" fillId="0" borderId="0" xfId="0" applyNumberFormat="1" applyFont="1"/>
    <xf numFmtId="164" fontId="28" fillId="0" borderId="0" xfId="0" applyNumberFormat="1" applyFont="1" applyBorder="1" applyAlignment="1"/>
    <xf numFmtId="0" fontId="4" fillId="0" borderId="32" xfId="0" applyFont="1" applyFill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3" fontId="0" fillId="0" borderId="0" xfId="0" applyNumberFormat="1"/>
    <xf numFmtId="0" fontId="4" fillId="0" borderId="57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right" wrapText="1"/>
    </xf>
    <xf numFmtId="0" fontId="14" fillId="0" borderId="6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left" vertical="center" wrapText="1"/>
    </xf>
    <xf numFmtId="0" fontId="5" fillId="0" borderId="64" xfId="0" applyFont="1" applyBorder="1" applyAlignment="1">
      <alignment horizontal="right"/>
    </xf>
    <xf numFmtId="0" fontId="13" fillId="5" borderId="29" xfId="0" applyFont="1" applyFill="1" applyBorder="1" applyAlignment="1">
      <alignment horizontal="right"/>
    </xf>
    <xf numFmtId="0" fontId="5" fillId="0" borderId="30" xfId="0" applyFont="1" applyBorder="1" applyAlignment="1">
      <alignment horizontal="right"/>
    </xf>
    <xf numFmtId="0" fontId="5" fillId="0" borderId="51" xfId="0" applyFont="1" applyBorder="1" applyAlignment="1">
      <alignment horizontal="right"/>
    </xf>
    <xf numFmtId="0" fontId="35" fillId="2" borderId="29" xfId="0" applyFont="1" applyFill="1" applyBorder="1" applyAlignment="1">
      <alignment horizontal="right"/>
    </xf>
    <xf numFmtId="0" fontId="5" fillId="0" borderId="67" xfId="0" applyFont="1" applyBorder="1" applyAlignment="1">
      <alignment horizontal="left" vertical="center" wrapText="1"/>
    </xf>
    <xf numFmtId="0" fontId="5" fillId="0" borderId="37" xfId="0" applyFont="1" applyBorder="1" applyAlignment="1">
      <alignment horizontal="right"/>
    </xf>
    <xf numFmtId="0" fontId="13" fillId="5" borderId="34" xfId="0" applyFont="1" applyFill="1" applyBorder="1" applyAlignment="1">
      <alignment horizontal="right"/>
    </xf>
    <xf numFmtId="0" fontId="35" fillId="2" borderId="34" xfId="0" applyFont="1" applyFill="1" applyBorder="1" applyAlignment="1">
      <alignment horizontal="right"/>
    </xf>
    <xf numFmtId="0" fontId="14" fillId="0" borderId="37" xfId="0" applyFont="1" applyBorder="1" applyAlignment="1">
      <alignment horizontal="right"/>
    </xf>
    <xf numFmtId="0" fontId="15" fillId="5" borderId="34" xfId="0" applyFont="1" applyFill="1" applyBorder="1" applyAlignment="1">
      <alignment horizontal="right"/>
    </xf>
    <xf numFmtId="0" fontId="14" fillId="0" borderId="68" xfId="0" applyFont="1" applyBorder="1" applyAlignment="1">
      <alignment horizontal="left" vertical="center" wrapText="1"/>
    </xf>
    <xf numFmtId="0" fontId="14" fillId="0" borderId="65" xfId="0" applyFont="1" applyBorder="1" applyAlignment="1">
      <alignment horizontal="right"/>
    </xf>
    <xf numFmtId="0" fontId="15" fillId="5" borderId="54" xfId="0" applyFont="1" applyFill="1" applyBorder="1" applyAlignment="1">
      <alignment horizontal="right"/>
    </xf>
    <xf numFmtId="0" fontId="35" fillId="2" borderId="54" xfId="0" applyFont="1" applyFill="1" applyBorder="1" applyAlignment="1">
      <alignment horizontal="right"/>
    </xf>
    <xf numFmtId="0" fontId="36" fillId="0" borderId="0" xfId="0" applyFont="1"/>
    <xf numFmtId="165" fontId="15" fillId="0" borderId="34" xfId="0" applyNumberFormat="1" applyFont="1" applyBorder="1" applyAlignment="1">
      <alignment horizontal="center" vertical="center"/>
    </xf>
    <xf numFmtId="0" fontId="7" fillId="0" borderId="51" xfId="0" applyFont="1" applyBorder="1" applyAlignment="1">
      <alignment horizontal="left" vertical="top" wrapText="1"/>
    </xf>
    <xf numFmtId="0" fontId="7" fillId="0" borderId="38" xfId="0" applyFont="1" applyBorder="1" applyAlignment="1">
      <alignment horizontal="left" vertical="top" wrapText="1"/>
    </xf>
    <xf numFmtId="0" fontId="7" fillId="0" borderId="56" xfId="0" applyFont="1" applyBorder="1" applyAlignment="1">
      <alignment horizontal="left" vertical="top" wrapText="1"/>
    </xf>
    <xf numFmtId="0" fontId="8" fillId="0" borderId="19" xfId="2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5" fillId="0" borderId="0" xfId="0" applyFont="1" applyBorder="1" applyAlignment="1">
      <alignment horizontal="left" wrapText="1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60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3" fillId="0" borderId="6" xfId="0" applyFont="1" applyBorder="1" applyAlignment="1">
      <alignment horizontal="left" wrapText="1"/>
    </xf>
    <xf numFmtId="0" fontId="9" fillId="0" borderId="0" xfId="0" applyFont="1" applyAlignment="1">
      <alignment horizontal="left"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11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0" fillId="0" borderId="0" xfId="0" applyAlignment="1">
      <alignment wrapText="1"/>
    </xf>
    <xf numFmtId="0" fontId="5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3" fontId="10" fillId="0" borderId="0" xfId="0" applyNumberFormat="1" applyFont="1" applyAlignment="1">
      <alignment horizontal="center"/>
    </xf>
    <xf numFmtId="0" fontId="16" fillId="0" borderId="12" xfId="3" applyFont="1" applyFill="1" applyBorder="1" applyAlignment="1">
      <alignment horizontal="center" vertical="center" wrapText="1"/>
    </xf>
    <xf numFmtId="0" fontId="16" fillId="0" borderId="48" xfId="3" applyFont="1" applyFill="1" applyBorder="1" applyAlignment="1">
      <alignment horizontal="center" vertical="center" wrapText="1"/>
    </xf>
    <xf numFmtId="0" fontId="16" fillId="0" borderId="13" xfId="3" applyFont="1" applyFill="1" applyBorder="1" applyAlignment="1">
      <alignment horizontal="center" vertical="center" wrapText="1"/>
    </xf>
    <xf numFmtId="0" fontId="16" fillId="0" borderId="14" xfId="3" applyFont="1" applyFill="1" applyBorder="1" applyAlignment="1">
      <alignment horizontal="center" vertical="center" wrapText="1"/>
    </xf>
    <xf numFmtId="0" fontId="16" fillId="0" borderId="15" xfId="3" applyFont="1" applyFill="1" applyBorder="1" applyAlignment="1">
      <alignment horizontal="center" vertical="center" wrapText="1"/>
    </xf>
    <xf numFmtId="0" fontId="14" fillId="0" borderId="12" xfId="3" applyFont="1" applyFill="1" applyBorder="1" applyAlignment="1">
      <alignment horizontal="center" vertical="center" wrapText="1"/>
    </xf>
    <xf numFmtId="0" fontId="14" fillId="0" borderId="48" xfId="3" applyFont="1" applyFill="1" applyBorder="1" applyAlignment="1">
      <alignment horizontal="center" vertical="center" wrapText="1"/>
    </xf>
    <xf numFmtId="0" fontId="14" fillId="0" borderId="13" xfId="3" applyFont="1" applyFill="1" applyBorder="1" applyAlignment="1">
      <alignment horizontal="center" vertical="center" wrapText="1"/>
    </xf>
    <xf numFmtId="0" fontId="14" fillId="0" borderId="14" xfId="3" applyFont="1" applyFill="1" applyBorder="1" applyAlignment="1">
      <alignment horizontal="center" vertical="center" wrapText="1"/>
    </xf>
    <xf numFmtId="0" fontId="14" fillId="0" borderId="15" xfId="3" applyFont="1" applyFill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8" fillId="0" borderId="57" xfId="2" applyFont="1" applyBorder="1" applyAlignment="1">
      <alignment horizontal="center" vertical="center" wrapText="1"/>
    </xf>
    <xf numFmtId="0" fontId="8" fillId="0" borderId="60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8" xfId="2" applyFont="1" applyBorder="1" applyAlignment="1">
      <alignment horizontal="center" vertical="center" wrapText="1"/>
    </xf>
    <xf numFmtId="0" fontId="8" fillId="0" borderId="11" xfId="2" applyFont="1" applyBorder="1" applyAlignment="1">
      <alignment horizontal="center" vertical="center" wrapText="1"/>
    </xf>
    <xf numFmtId="0" fontId="7" fillId="0" borderId="12" xfId="2" applyFont="1" applyBorder="1" applyAlignment="1">
      <alignment horizontal="left" vertical="top" wrapText="1"/>
    </xf>
    <xf numFmtId="0" fontId="7" fillId="0" borderId="14" xfId="2" applyFont="1" applyBorder="1" applyAlignment="1">
      <alignment horizontal="left" vertical="top" wrapText="1"/>
    </xf>
    <xf numFmtId="0" fontId="8" fillId="0" borderId="25" xfId="2" applyFont="1" applyBorder="1" applyAlignment="1">
      <alignment horizontal="center" vertical="center" wrapText="1"/>
    </xf>
    <xf numFmtId="0" fontId="8" fillId="0" borderId="36" xfId="2" applyFont="1" applyBorder="1" applyAlignment="1">
      <alignment horizontal="center" vertical="center" wrapText="1"/>
    </xf>
    <xf numFmtId="0" fontId="8" fillId="0" borderId="52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8" fillId="0" borderId="19" xfId="2" applyFont="1" applyBorder="1" applyAlignment="1">
      <alignment horizontal="center" vertical="center" wrapText="1"/>
    </xf>
    <xf numFmtId="0" fontId="13" fillId="9" borderId="5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/>
    </xf>
    <xf numFmtId="0" fontId="13" fillId="9" borderId="7" xfId="0" applyFont="1" applyFill="1" applyBorder="1" applyAlignment="1">
      <alignment horizontal="center" vertical="center"/>
    </xf>
    <xf numFmtId="0" fontId="14" fillId="0" borderId="1" xfId="3" applyFont="1" applyFill="1" applyBorder="1" applyAlignment="1">
      <alignment horizontal="center" vertical="center" wrapText="1"/>
    </xf>
    <xf numFmtId="0" fontId="14" fillId="0" borderId="2" xfId="3" applyFont="1" applyFill="1" applyBorder="1" applyAlignment="1">
      <alignment horizontal="center" vertical="center" wrapText="1"/>
    </xf>
    <xf numFmtId="0" fontId="14" fillId="0" borderId="3" xfId="3" applyFont="1" applyFill="1" applyBorder="1" applyAlignment="1">
      <alignment horizontal="center" vertical="center" wrapText="1"/>
    </xf>
    <xf numFmtId="0" fontId="8" fillId="9" borderId="5" xfId="0" applyFont="1" applyFill="1" applyBorder="1" applyAlignment="1">
      <alignment horizontal="center" vertical="center" wrapText="1"/>
    </xf>
    <xf numFmtId="0" fontId="8" fillId="9" borderId="6" xfId="0" applyFont="1" applyFill="1" applyBorder="1" applyAlignment="1">
      <alignment horizontal="center" vertical="center" wrapText="1"/>
    </xf>
    <xf numFmtId="0" fontId="8" fillId="9" borderId="7" xfId="0" applyFont="1" applyFill="1" applyBorder="1" applyAlignment="1">
      <alignment horizontal="center" vertical="center" wrapText="1"/>
    </xf>
    <xf numFmtId="0" fontId="15" fillId="9" borderId="5" xfId="0" applyFont="1" applyFill="1" applyBorder="1" applyAlignment="1">
      <alignment horizontal="center" vertical="center"/>
    </xf>
    <xf numFmtId="0" fontId="15" fillId="9" borderId="6" xfId="0" applyFont="1" applyFill="1" applyBorder="1" applyAlignment="1">
      <alignment horizontal="center" vertical="center"/>
    </xf>
    <xf numFmtId="0" fontId="15" fillId="9" borderId="7" xfId="0" applyFont="1" applyFill="1" applyBorder="1" applyAlignment="1">
      <alignment horizontal="center" vertical="center"/>
    </xf>
    <xf numFmtId="0" fontId="16" fillId="0" borderId="1" xfId="3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0" fontId="16" fillId="0" borderId="3" xfId="3" applyFont="1" applyFill="1" applyBorder="1" applyAlignment="1">
      <alignment horizontal="center" vertical="center" wrapText="1"/>
    </xf>
    <xf numFmtId="0" fontId="14" fillId="0" borderId="57" xfId="3" applyFont="1" applyFill="1" applyBorder="1" applyAlignment="1">
      <alignment horizontal="center" vertical="center" wrapText="1"/>
    </xf>
    <xf numFmtId="0" fontId="14" fillId="0" borderId="9" xfId="3" applyFont="1" applyFill="1" applyBorder="1" applyAlignment="1">
      <alignment horizontal="center" vertical="center" wrapText="1"/>
    </xf>
    <xf numFmtId="0" fontId="14" fillId="0" borderId="60" xfId="3" applyFont="1" applyFill="1" applyBorder="1" applyAlignment="1">
      <alignment horizontal="center" vertical="center" wrapText="1"/>
    </xf>
    <xf numFmtId="0" fontId="14" fillId="0" borderId="5" xfId="3" applyFont="1" applyFill="1" applyBorder="1" applyAlignment="1">
      <alignment horizontal="center" vertical="center" wrapText="1"/>
    </xf>
    <xf numFmtId="0" fontId="14" fillId="0" borderId="6" xfId="3" applyFont="1" applyFill="1" applyBorder="1" applyAlignment="1">
      <alignment horizontal="center" vertical="center" wrapText="1"/>
    </xf>
    <xf numFmtId="0" fontId="14" fillId="0" borderId="7" xfId="3" applyFont="1" applyFill="1" applyBorder="1" applyAlignment="1">
      <alignment horizontal="center" vertical="center" wrapText="1"/>
    </xf>
    <xf numFmtId="0" fontId="7" fillId="0" borderId="4" xfId="2" applyFont="1" applyBorder="1" applyAlignment="1">
      <alignment horizontal="center" vertical="center" wrapText="1"/>
    </xf>
    <xf numFmtId="0" fontId="7" fillId="0" borderId="8" xfId="2" applyFont="1" applyBorder="1" applyAlignment="1">
      <alignment horizontal="center" vertical="center" wrapText="1"/>
    </xf>
    <xf numFmtId="0" fontId="7" fillId="0" borderId="11" xfId="2" applyFont="1" applyBorder="1" applyAlignment="1">
      <alignment horizontal="center" vertical="center" wrapText="1"/>
    </xf>
    <xf numFmtId="0" fontId="14" fillId="0" borderId="5" xfId="2" applyFont="1" applyBorder="1" applyAlignment="1">
      <alignment horizontal="center" vertical="center" wrapText="1"/>
    </xf>
    <xf numFmtId="0" fontId="14" fillId="0" borderId="7" xfId="2" applyFont="1" applyBorder="1" applyAlignment="1">
      <alignment horizontal="center" vertical="center" wrapText="1"/>
    </xf>
    <xf numFmtId="0" fontId="14" fillId="0" borderId="57" xfId="2" applyFont="1" applyBorder="1" applyAlignment="1">
      <alignment horizontal="center" vertical="center" wrapText="1"/>
    </xf>
    <xf numFmtId="0" fontId="14" fillId="0" borderId="9" xfId="2" applyFont="1" applyBorder="1" applyAlignment="1">
      <alignment horizontal="center" vertical="center" wrapText="1"/>
    </xf>
    <xf numFmtId="0" fontId="14" fillId="0" borderId="6" xfId="2" applyFont="1" applyBorder="1" applyAlignment="1">
      <alignment horizontal="center" vertical="center" wrapText="1"/>
    </xf>
    <xf numFmtId="0" fontId="7" fillId="0" borderId="12" xfId="2" applyFont="1" applyBorder="1" applyAlignment="1">
      <alignment horizontal="center" vertical="center" wrapText="1"/>
    </xf>
    <xf numFmtId="0" fontId="7" fillId="0" borderId="13" xfId="2" applyFont="1" applyBorder="1" applyAlignment="1">
      <alignment horizontal="center" vertical="center" wrapText="1"/>
    </xf>
    <xf numFmtId="0" fontId="7" fillId="0" borderId="15" xfId="2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9" fillId="0" borderId="1" xfId="2" applyFont="1" applyBorder="1" applyAlignment="1">
      <alignment horizontal="center" vertical="center"/>
    </xf>
    <xf numFmtId="0" fontId="19" fillId="0" borderId="2" xfId="2" applyFont="1" applyBorder="1" applyAlignment="1">
      <alignment horizontal="center" vertical="center"/>
    </xf>
    <xf numFmtId="0" fontId="19" fillId="0" borderId="3" xfId="2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4" fillId="0" borderId="19" xfId="2" applyFont="1" applyBorder="1" applyAlignment="1">
      <alignment horizontal="center" vertical="center" wrapText="1"/>
    </xf>
    <xf numFmtId="0" fontId="14" fillId="0" borderId="0" xfId="2" applyFont="1" applyBorder="1" applyAlignment="1">
      <alignment horizontal="center" vertical="center" wrapText="1"/>
    </xf>
    <xf numFmtId="0" fontId="14" fillId="0" borderId="60" xfId="2" applyFont="1" applyBorder="1" applyAlignment="1">
      <alignment horizontal="center" vertical="center" wrapText="1"/>
    </xf>
    <xf numFmtId="0" fontId="16" fillId="0" borderId="6" xfId="3" applyFont="1" applyFill="1" applyBorder="1" applyAlignment="1">
      <alignment horizontal="center" vertical="center" wrapText="1"/>
    </xf>
    <xf numFmtId="0" fontId="16" fillId="0" borderId="7" xfId="3" applyFont="1" applyFill="1" applyBorder="1" applyAlignment="1">
      <alignment horizontal="center" vertical="center" wrapText="1"/>
    </xf>
    <xf numFmtId="0" fontId="7" fillId="0" borderId="5" xfId="2" applyFont="1" applyBorder="1" applyAlignment="1">
      <alignment horizontal="center" vertical="center" wrapText="1"/>
    </xf>
    <xf numFmtId="0" fontId="7" fillId="0" borderId="19" xfId="2" applyFont="1" applyBorder="1" applyAlignment="1">
      <alignment horizontal="center" vertical="center" wrapText="1"/>
    </xf>
    <xf numFmtId="0" fontId="7" fillId="0" borderId="57" xfId="2" applyFont="1" applyBorder="1" applyAlignment="1">
      <alignment horizontal="center" vertical="center" wrapText="1"/>
    </xf>
    <xf numFmtId="0" fontId="19" fillId="0" borderId="1" xfId="2" applyFont="1" applyFill="1" applyBorder="1" applyAlignment="1">
      <alignment horizontal="center" vertical="center"/>
    </xf>
    <xf numFmtId="0" fontId="19" fillId="0" borderId="2" xfId="2" applyFont="1" applyFill="1" applyBorder="1" applyAlignment="1">
      <alignment horizontal="center" vertical="center"/>
    </xf>
    <xf numFmtId="0" fontId="19" fillId="0" borderId="3" xfId="2" applyFont="1" applyFill="1" applyBorder="1" applyAlignment="1">
      <alignment horizontal="center" vertical="center"/>
    </xf>
    <xf numFmtId="0" fontId="14" fillId="0" borderId="5" xfId="2" applyFont="1" applyFill="1" applyBorder="1" applyAlignment="1">
      <alignment horizontal="center" vertical="center" wrapText="1"/>
    </xf>
    <xf numFmtId="0" fontId="14" fillId="0" borderId="6" xfId="2" applyFont="1" applyFill="1" applyBorder="1" applyAlignment="1">
      <alignment horizontal="center" vertical="center" wrapText="1"/>
    </xf>
    <xf numFmtId="0" fontId="14" fillId="0" borderId="7" xfId="2" applyFont="1" applyFill="1" applyBorder="1" applyAlignment="1">
      <alignment horizontal="center" vertical="center" wrapText="1"/>
    </xf>
    <xf numFmtId="0" fontId="14" fillId="0" borderId="19" xfId="2" applyFont="1" applyFill="1" applyBorder="1" applyAlignment="1">
      <alignment horizontal="center" vertical="center" wrapText="1"/>
    </xf>
    <xf numFmtId="0" fontId="14" fillId="0" borderId="0" xfId="2" applyFont="1" applyFill="1" applyBorder="1" applyAlignment="1">
      <alignment horizontal="center" vertical="center" wrapText="1"/>
    </xf>
    <xf numFmtId="0" fontId="14" fillId="0" borderId="20" xfId="2" applyFont="1" applyFill="1" applyBorder="1" applyAlignment="1">
      <alignment horizontal="center" vertical="center" wrapText="1"/>
    </xf>
    <xf numFmtId="0" fontId="14" fillId="0" borderId="57" xfId="2" applyFont="1" applyFill="1" applyBorder="1" applyAlignment="1">
      <alignment horizontal="center" vertical="center" wrapText="1"/>
    </xf>
    <xf numFmtId="0" fontId="14" fillId="0" borderId="9" xfId="2" applyFont="1" applyFill="1" applyBorder="1" applyAlignment="1">
      <alignment horizontal="center" vertical="center" wrapText="1"/>
    </xf>
    <xf numFmtId="0" fontId="14" fillId="0" borderId="60" xfId="2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57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60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4" fillId="0" borderId="4" xfId="9" applyFont="1" applyBorder="1" applyAlignment="1">
      <alignment horizontal="center" vertical="center" wrapText="1"/>
    </xf>
    <xf numFmtId="0" fontId="14" fillId="0" borderId="57" xfId="9" applyFont="1" applyBorder="1" applyAlignment="1">
      <alignment horizontal="center" vertical="center" wrapText="1"/>
    </xf>
    <xf numFmtId="0" fontId="8" fillId="0" borderId="25" xfId="10" applyFont="1" applyBorder="1" applyAlignment="1">
      <alignment horizontal="center" vertical="center" wrapText="1"/>
    </xf>
    <xf numFmtId="0" fontId="8" fillId="0" borderId="36" xfId="10" applyFont="1" applyBorder="1" applyAlignment="1">
      <alignment horizontal="center" vertical="center" wrapText="1"/>
    </xf>
    <xf numFmtId="0" fontId="8" fillId="0" borderId="52" xfId="10" applyFont="1" applyBorder="1" applyAlignment="1">
      <alignment horizontal="center" vertical="center" wrapText="1"/>
    </xf>
    <xf numFmtId="0" fontId="8" fillId="0" borderId="28" xfId="10" applyFont="1" applyBorder="1" applyAlignment="1">
      <alignment horizontal="center" vertical="center" wrapText="1"/>
    </xf>
    <xf numFmtId="0" fontId="8" fillId="0" borderId="51" xfId="10" applyFont="1" applyBorder="1" applyAlignment="1">
      <alignment horizontal="center" vertical="center" wrapText="1"/>
    </xf>
    <xf numFmtId="0" fontId="8" fillId="0" borderId="41" xfId="10" applyFont="1" applyBorder="1" applyAlignment="1">
      <alignment horizontal="center" vertical="center" wrapText="1"/>
    </xf>
    <xf numFmtId="0" fontId="8" fillId="0" borderId="45" xfId="10" applyFont="1" applyBorder="1" applyAlignment="1">
      <alignment horizontal="center" vertical="center" wrapText="1"/>
    </xf>
    <xf numFmtId="0" fontId="8" fillId="0" borderId="29" xfId="10" applyFont="1" applyBorder="1" applyAlignment="1">
      <alignment horizontal="center" vertical="center" wrapText="1"/>
    </xf>
    <xf numFmtId="0" fontId="8" fillId="0" borderId="39" xfId="10" applyFont="1" applyBorder="1" applyAlignment="1">
      <alignment horizontal="center" vertical="center" wrapText="1"/>
    </xf>
    <xf numFmtId="0" fontId="8" fillId="0" borderId="78" xfId="10" applyFont="1" applyBorder="1" applyAlignment="1">
      <alignment horizontal="center" vertical="center" wrapText="1"/>
    </xf>
    <xf numFmtId="0" fontId="8" fillId="0" borderId="4" xfId="10" applyFont="1" applyBorder="1" applyAlignment="1">
      <alignment horizontal="center" vertical="center" wrapText="1"/>
    </xf>
    <xf numFmtId="0" fontId="8" fillId="0" borderId="8" xfId="1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4" fillId="0" borderId="16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6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5" xfId="11" applyFont="1" applyFill="1" applyBorder="1" applyAlignment="1">
      <alignment horizontal="center" vertical="center" wrapText="1"/>
    </xf>
    <xf numFmtId="0" fontId="14" fillId="0" borderId="6" xfId="11" applyFont="1" applyFill="1" applyBorder="1" applyAlignment="1">
      <alignment horizontal="center" vertical="center" wrapText="1"/>
    </xf>
    <xf numFmtId="0" fontId="14" fillId="0" borderId="7" xfId="11" applyFont="1" applyFill="1" applyBorder="1" applyAlignment="1">
      <alignment horizontal="center" vertical="center" wrapText="1"/>
    </xf>
    <xf numFmtId="0" fontId="14" fillId="0" borderId="48" xfId="11" applyFont="1" applyFill="1" applyBorder="1" applyAlignment="1">
      <alignment horizontal="center" vertical="center" wrapText="1"/>
    </xf>
    <xf numFmtId="0" fontId="14" fillId="0" borderId="13" xfId="11" applyFont="1" applyFill="1" applyBorder="1" applyAlignment="1">
      <alignment horizontal="center" vertical="center" wrapText="1"/>
    </xf>
    <xf numFmtId="0" fontId="14" fillId="0" borderId="15" xfId="11" applyFont="1" applyFill="1" applyBorder="1" applyAlignment="1">
      <alignment horizontal="center" vertical="center" wrapText="1"/>
    </xf>
    <xf numFmtId="0" fontId="14" fillId="0" borderId="47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14" fillId="0" borderId="52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</cellXfs>
  <cellStyles count="16">
    <cellStyle name="Ezres" xfId="1" builtinId="3"/>
    <cellStyle name="Ezres 2" xfId="12"/>
    <cellStyle name="Ezres 3" xfId="15"/>
    <cellStyle name="Normál" xfId="0" builtinId="0"/>
    <cellStyle name="Normál 11" xfId="6"/>
    <cellStyle name="Normál 13" xfId="7"/>
    <cellStyle name="Normál 2" xfId="11"/>
    <cellStyle name="Normál 2 2" xfId="2"/>
    <cellStyle name="Normál 3" xfId="8"/>
    <cellStyle name="Normál 3 2" xfId="9"/>
    <cellStyle name="Normál 4" xfId="3"/>
    <cellStyle name="Normál 5" xfId="14"/>
    <cellStyle name="Normál 7" xfId="4"/>
    <cellStyle name="Normál 9" xfId="5"/>
    <cellStyle name="Normál_Munka1" xfId="10"/>
    <cellStyle name="Normál_táblázat" xfId="13"/>
  </cellStyles>
  <dxfs count="8957"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fgColor auto="1"/>
          <bgColor rgb="FFFFFFCC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FF5050"/>
        </patternFill>
      </fill>
    </dxf>
    <dxf>
      <fill>
        <patternFill>
          <bgColor rgb="FF99CCFF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  <dxf>
      <fill>
        <patternFill>
          <bgColor rgb="FF99CCFF"/>
        </patternFill>
      </fill>
    </dxf>
    <dxf>
      <fill>
        <patternFill>
          <bgColor rgb="FFFF5050"/>
        </patternFill>
      </fill>
    </dxf>
    <dxf>
      <fill>
        <patternFill>
          <bgColor rgb="FFFFFFCC"/>
        </patternFill>
      </fill>
    </dxf>
    <dxf>
      <fill>
        <patternFill patternType="solid">
          <fgColor auto="1"/>
          <bgColor theme="0"/>
        </patternFill>
      </fill>
    </dxf>
    <dxf>
      <fill>
        <patternFill>
          <fgColor auto="1"/>
          <bgColor theme="0"/>
        </patternFill>
      </fill>
    </dxf>
  </dxfs>
  <tableStyles count="0" defaultTableStyle="TableStyleMedium2" defaultPivotStyle="PivotStyleLight16"/>
  <colors>
    <mruColors>
      <color rgb="FF17375E"/>
      <color rgb="FF00FF00"/>
      <color rgb="FF328282"/>
      <color rgb="FF006600"/>
      <color rgb="FF008000"/>
      <color rgb="FFDB6413"/>
      <color rgb="FF92D050"/>
      <color rgb="FF99CCFF"/>
      <color rgb="FFF1995D"/>
      <color rgb="FFE7C3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image" Target="../media/image1.jpeg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image" Target="../media/image1.jpeg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image" Target="../media/image1.jpeg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28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29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30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31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32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33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34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35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36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37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38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39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40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1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42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43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44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45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4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47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48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49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image" Target="../media/image1.jpeg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50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51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9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52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0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53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1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54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2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5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3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56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57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5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58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6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59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60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8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61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9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62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63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64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65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66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67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68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69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70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71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9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72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73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74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7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76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77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image" Target="../media/image1.jpeg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image" Target="../media/image1.jpeg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image" Target="../media/image1.jpeg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image" Target="../media/image1.jpeg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image" Target="../media/image1.jpeg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image" Target="../media/image2.jpeg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image" Target="../media/image2.jpeg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openxmlformats.org/officeDocument/2006/relationships/image" Target="../media/image1.jpeg"/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táblázat_eljszerves!$B$4:$J$4</c:f>
              <c:numCache>
                <c:formatCode>#,##0</c:formatCode>
                <c:ptCount val="9"/>
                <c:pt idx="0">
                  <c:v>3</c:v>
                </c:pt>
                <c:pt idx="1">
                  <c:v>6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2</c:v>
                </c:pt>
                <c:pt idx="6">
                  <c:v>6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96-4FAB-9E3A-AD189CEC0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56"/>
        <c:axId val="266724568"/>
        <c:axId val="332237904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6938775510204082E-2"/>
                  <c:y val="3.77985420889398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237-465F-B539-25210D75BC2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táblázat_eljszerves!$R$4:$Z$4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E96-4FAB-9E3A-AD189CEC0923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táblázat_eljszerves!$AG$4:$AO$4</c:f>
              <c:numCache>
                <c:formatCode>General</c:formatCode>
                <c:ptCount val="9"/>
                <c:pt idx="5" formatCode="0.0">
                  <c:v>100</c:v>
                </c:pt>
                <c:pt idx="6" formatCode="0.0">
                  <c:v>100</c:v>
                </c:pt>
                <c:pt idx="7" formatCode="0.0">
                  <c:v>100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E96-4FAB-9E3A-AD189CEC0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241432"/>
        <c:axId val="332239472"/>
      </c:lineChart>
      <c:catAx>
        <c:axId val="26672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2237904"/>
        <c:crosses val="autoZero"/>
        <c:auto val="1"/>
        <c:lblAlgn val="ctr"/>
        <c:lblOffset val="100"/>
        <c:noMultiLvlLbl val="0"/>
      </c:catAx>
      <c:valAx>
        <c:axId val="332237904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266724568"/>
        <c:crosses val="autoZero"/>
        <c:crossBetween val="between"/>
      </c:valAx>
      <c:valAx>
        <c:axId val="332239472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2241432"/>
        <c:crosses val="max"/>
        <c:crossBetween val="between"/>
      </c:valAx>
      <c:catAx>
        <c:axId val="332241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223947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5298496553222618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táblázat_eljszerves!$B$13:$J$13</c:f>
              <c:numCache>
                <c:formatCode>#,##0</c:formatCode>
                <c:ptCount val="9"/>
                <c:pt idx="0">
                  <c:v>14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5</c:v>
                </c:pt>
                <c:pt idx="5">
                  <c:v>2</c:v>
                </c:pt>
                <c:pt idx="6">
                  <c:v>12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05-4985-AE1B-DD94559F6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5325984"/>
        <c:axId val="335322456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"/>
              <c:layout>
                <c:manualLayout>
                  <c:x val="-4.6938775510204082E-2"/>
                  <c:y val="-6.49359569220249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5A3-4007-BAE5-FE8BACC6B3A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táblázat_eljszerves!$R$13:$Z$13</c:f>
              <c:numCache>
                <c:formatCode>0.0</c:formatCode>
                <c:ptCount val="9"/>
                <c:pt idx="0">
                  <c:v>57.1</c:v>
                </c:pt>
                <c:pt idx="1">
                  <c:v>58.3</c:v>
                </c:pt>
                <c:pt idx="2">
                  <c:v>54.5</c:v>
                </c:pt>
                <c:pt idx="3">
                  <c:v>81.8</c:v>
                </c:pt>
                <c:pt idx="4">
                  <c:v>83.3</c:v>
                </c:pt>
                <c:pt idx="5">
                  <c:v>66.7</c:v>
                </c:pt>
                <c:pt idx="6">
                  <c:v>75</c:v>
                </c:pt>
                <c:pt idx="7">
                  <c:v>71.400000000000006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005-4985-AE1B-DD94559F6221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táblázat_eljszerves!$AG$13:$AO$13</c:f>
              <c:numCache>
                <c:formatCode>General</c:formatCode>
                <c:ptCount val="9"/>
                <c:pt idx="5" formatCode="0.0">
                  <c:v>100</c:v>
                </c:pt>
                <c:pt idx="6" formatCode="0.0">
                  <c:v>100</c:v>
                </c:pt>
                <c:pt idx="7" formatCode="0.0">
                  <c:v>100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005-4985-AE1B-DD94559F6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321280"/>
        <c:axId val="335327552"/>
      </c:lineChart>
      <c:catAx>
        <c:axId val="33532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322456"/>
        <c:crosses val="autoZero"/>
        <c:auto val="1"/>
        <c:lblAlgn val="ctr"/>
        <c:lblOffset val="100"/>
        <c:noMultiLvlLbl val="0"/>
      </c:catAx>
      <c:valAx>
        <c:axId val="335322456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325984"/>
        <c:crosses val="autoZero"/>
        <c:crossBetween val="between"/>
      </c:valAx>
      <c:valAx>
        <c:axId val="335327552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321280"/>
        <c:crosses val="max"/>
        <c:crossBetween val="between"/>
      </c:valAx>
      <c:catAx>
        <c:axId val="335321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532755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5298496553222618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táblázat_eljszerves!$B$14:$J$14</c:f>
              <c:numCache>
                <c:formatCode>#,##0</c:formatCode>
                <c:ptCount val="9"/>
                <c:pt idx="0">
                  <c:v>28</c:v>
                </c:pt>
                <c:pt idx="1">
                  <c:v>42</c:v>
                </c:pt>
                <c:pt idx="2">
                  <c:v>23</c:v>
                </c:pt>
                <c:pt idx="3">
                  <c:v>26</c:v>
                </c:pt>
                <c:pt idx="4">
                  <c:v>23</c:v>
                </c:pt>
                <c:pt idx="5">
                  <c:v>19</c:v>
                </c:pt>
                <c:pt idx="6">
                  <c:v>20</c:v>
                </c:pt>
                <c:pt idx="7">
                  <c:v>24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CF-40D5-AC05-BBCB494FE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5149216"/>
        <c:axId val="336508272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938775510204082E-2"/>
                  <c:y val="4.1675315636523477E-2"/>
                </c:manualLayout>
              </c:layout>
              <c:tx>
                <c:rich>
                  <a:bodyPr/>
                  <a:lstStyle/>
                  <a:p>
                    <a:fld id="{8888A950-C6E3-4A18-B0C9-130F672B4392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3CF-40D5-AC05-BBCB494FEF9A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-5.2595628415300646E-2"/>
                  <c:y val="3.3333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494-4C8A-B34C-BD4E0FEED0F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táblázat_eljszerves!$R$14:$Z$14</c:f>
              <c:numCache>
                <c:formatCode>0.0</c:formatCode>
                <c:ptCount val="9"/>
                <c:pt idx="0">
                  <c:v>87.1</c:v>
                </c:pt>
                <c:pt idx="1">
                  <c:v>85.1</c:v>
                </c:pt>
                <c:pt idx="2">
                  <c:v>84.6</c:v>
                </c:pt>
                <c:pt idx="3">
                  <c:v>86.8</c:v>
                </c:pt>
                <c:pt idx="4">
                  <c:v>92</c:v>
                </c:pt>
                <c:pt idx="5">
                  <c:v>89.5</c:v>
                </c:pt>
                <c:pt idx="6">
                  <c:v>81.8</c:v>
                </c:pt>
                <c:pt idx="7">
                  <c:v>80</c:v>
                </c:pt>
                <c:pt idx="8">
                  <c:v>83.8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3CF-40D5-AC05-BBCB494FEF9A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táblázat_eljszerves!$AG$14:$AO$14</c:f>
              <c:numCache>
                <c:formatCode>General</c:formatCode>
                <c:ptCount val="9"/>
                <c:pt idx="5" formatCode="0.0">
                  <c:v>77.8</c:v>
                </c:pt>
                <c:pt idx="6" formatCode="0.0">
                  <c:v>86.7</c:v>
                </c:pt>
                <c:pt idx="7" formatCode="0.0">
                  <c:v>81.8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3CF-40D5-AC05-BBCB494FE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512976"/>
        <c:axId val="336507880"/>
      </c:lineChart>
      <c:catAx>
        <c:axId val="33514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508272"/>
        <c:crosses val="autoZero"/>
        <c:auto val="1"/>
        <c:lblAlgn val="ctr"/>
        <c:lblOffset val="100"/>
        <c:noMultiLvlLbl val="0"/>
      </c:catAx>
      <c:valAx>
        <c:axId val="336508272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149216"/>
        <c:crosses val="autoZero"/>
        <c:crossBetween val="between"/>
      </c:valAx>
      <c:valAx>
        <c:axId val="336507880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512976"/>
        <c:crosses val="max"/>
        <c:crossBetween val="between"/>
      </c:valAx>
      <c:catAx>
        <c:axId val="336512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650788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4516777317229604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034-4CBD-AA86-FADD2064DBA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034-4CBD-AA86-FADD2064DBA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0F4-449F-80A4-6B5A2D8DF08A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táblázat_eljszerves!$B$15:$J$15</c:f>
              <c:numCache>
                <c:formatCode>#,##0</c:formatCode>
                <c:ptCount val="9"/>
                <c:pt idx="0">
                  <c:v>3657</c:v>
                </c:pt>
                <c:pt idx="1">
                  <c:v>3031</c:v>
                </c:pt>
                <c:pt idx="2">
                  <c:v>2879</c:v>
                </c:pt>
                <c:pt idx="3">
                  <c:v>2261</c:v>
                </c:pt>
                <c:pt idx="4">
                  <c:v>2249</c:v>
                </c:pt>
                <c:pt idx="5">
                  <c:v>1855</c:v>
                </c:pt>
                <c:pt idx="6">
                  <c:v>1385</c:v>
                </c:pt>
                <c:pt idx="7">
                  <c:v>1363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40-4DED-8E5A-F0F8E93A8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6507096"/>
        <c:axId val="336506704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8"/>
              <c:layout>
                <c:manualLayout>
                  <c:x val="-4.4206574588012665E-2"/>
                  <c:y val="-2.2358605174353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0F4-449F-80A4-6B5A2D8DF08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táblázat_eljszerves!$R$15:$Z$15</c:f>
              <c:numCache>
                <c:formatCode>0.0</c:formatCode>
                <c:ptCount val="9"/>
                <c:pt idx="0">
                  <c:v>33.1</c:v>
                </c:pt>
                <c:pt idx="1">
                  <c:v>26.3</c:v>
                </c:pt>
                <c:pt idx="2">
                  <c:v>29.7</c:v>
                </c:pt>
                <c:pt idx="3">
                  <c:v>33.799999999999997</c:v>
                </c:pt>
                <c:pt idx="4">
                  <c:v>33.700000000000003</c:v>
                </c:pt>
                <c:pt idx="5">
                  <c:v>38.200000000000003</c:v>
                </c:pt>
                <c:pt idx="6">
                  <c:v>41</c:v>
                </c:pt>
                <c:pt idx="7">
                  <c:v>45.8</c:v>
                </c:pt>
                <c:pt idx="8">
                  <c:v>44.9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240-4DED-8E5A-F0F8E93A84FA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FF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táblázat_eljszerves!$AG$15:$AO$15</c:f>
              <c:numCache>
                <c:formatCode>General</c:formatCode>
                <c:ptCount val="9"/>
                <c:pt idx="5" formatCode="0.0">
                  <c:v>32.700000000000003</c:v>
                </c:pt>
                <c:pt idx="6" formatCode="0.0">
                  <c:v>37.700000000000003</c:v>
                </c:pt>
                <c:pt idx="7" formatCode="0.0">
                  <c:v>42.3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240-4DED-8E5A-F0F8E93A8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509448"/>
        <c:axId val="336511016"/>
      </c:lineChart>
      <c:catAx>
        <c:axId val="336507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506704"/>
        <c:crosses val="autoZero"/>
        <c:auto val="1"/>
        <c:lblAlgn val="ctr"/>
        <c:lblOffset val="100"/>
        <c:noMultiLvlLbl val="0"/>
      </c:catAx>
      <c:valAx>
        <c:axId val="336506704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507096"/>
        <c:crosses val="autoZero"/>
        <c:crossBetween val="between"/>
        <c:majorUnit val="50000"/>
      </c:valAx>
      <c:valAx>
        <c:axId val="336511016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509448"/>
        <c:crosses val="max"/>
        <c:crossBetween val="between"/>
      </c:valAx>
      <c:catAx>
        <c:axId val="336509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651101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5298491844932458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786152996307423E-2"/>
          <c:y val="0.24693303337082861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EC2-40DC-ABB0-F2BEDBE4323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-2.7137414833085127E-2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EC2-40DC-ABB0-F2BEDBE4323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5B6-4474-9C81-E66332632E06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táblázat_eljszerves!$B$16:$J$16</c:f>
              <c:numCache>
                <c:formatCode>#,##0</c:formatCode>
                <c:ptCount val="9"/>
                <c:pt idx="0">
                  <c:v>10</c:v>
                </c:pt>
                <c:pt idx="1">
                  <c:v>18</c:v>
                </c:pt>
                <c:pt idx="2">
                  <c:v>15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5</c:v>
                </c:pt>
                <c:pt idx="7">
                  <c:v>11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97-4FD7-8EBF-9CC739039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6511408"/>
        <c:axId val="336511800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"/>
              <c:layout>
                <c:manualLayout>
                  <c:x val="-4.6938775510204082E-2"/>
                  <c:y val="-8.04430511123592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678-46BE-B2E9-0D2A6A7E2E5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7131147540983707E-2"/>
                  <c:y val="-3.71428571428572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5B6-4474-9C81-E66332632E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táblázat_eljszerves!$R$16:$Z$16</c:f>
              <c:numCache>
                <c:formatCode>0.0</c:formatCode>
                <c:ptCount val="9"/>
                <c:pt idx="0">
                  <c:v>30</c:v>
                </c:pt>
                <c:pt idx="1">
                  <c:v>69.400000000000006</c:v>
                </c:pt>
                <c:pt idx="2">
                  <c:v>70.599999999999994</c:v>
                </c:pt>
                <c:pt idx="3">
                  <c:v>14.3</c:v>
                </c:pt>
                <c:pt idx="4">
                  <c:v>70</c:v>
                </c:pt>
                <c:pt idx="5">
                  <c:v>41.7</c:v>
                </c:pt>
                <c:pt idx="6">
                  <c:v>75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C97-4FD7-8EBF-9CC739039C5B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4.8299341680650573E-2"/>
                  <c:y val="6.640359955005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5B6-4474-9C81-E66332632E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FF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táblázat_eljszerves!$AG$16:$AO$16</c:f>
              <c:numCache>
                <c:formatCode>General</c:formatCode>
                <c:ptCount val="9"/>
                <c:pt idx="5" formatCode="0.0">
                  <c:v>41.7</c:v>
                </c:pt>
                <c:pt idx="6" formatCode="0.0">
                  <c:v>75</c:v>
                </c:pt>
                <c:pt idx="7" formatCode="0.0">
                  <c:v>100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C97-4FD7-8EBF-9CC739039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514152"/>
        <c:axId val="336509840"/>
      </c:lineChart>
      <c:catAx>
        <c:axId val="33651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511800"/>
        <c:crosses val="autoZero"/>
        <c:auto val="1"/>
        <c:lblAlgn val="ctr"/>
        <c:lblOffset val="100"/>
        <c:noMultiLvlLbl val="0"/>
      </c:catAx>
      <c:valAx>
        <c:axId val="336511800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511408"/>
        <c:crosses val="autoZero"/>
        <c:crossBetween val="between"/>
      </c:valAx>
      <c:valAx>
        <c:axId val="336509840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514152"/>
        <c:crosses val="max"/>
        <c:crossBetween val="between"/>
      </c:valAx>
      <c:catAx>
        <c:axId val="336514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650984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4907634581081031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5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C30-4077-86D7-BC95700C5D7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0-4077-86D7-BC95700C5D7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tx>
                <c:rich>
                  <a:bodyPr/>
                  <a:lstStyle/>
                  <a:p>
                    <a:fld id="{1C264DC6-24CD-49A2-AB8A-39F839E16641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F90-453B-9423-315AEB987120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táblázat_eljszerves!$B$17:$J$17</c:f>
              <c:numCache>
                <c:formatCode>#,##0</c:formatCode>
                <c:ptCount val="9"/>
                <c:pt idx="0">
                  <c:v>210</c:v>
                </c:pt>
                <c:pt idx="1">
                  <c:v>92</c:v>
                </c:pt>
                <c:pt idx="2">
                  <c:v>91</c:v>
                </c:pt>
                <c:pt idx="3">
                  <c:v>47</c:v>
                </c:pt>
                <c:pt idx="4">
                  <c:v>72</c:v>
                </c:pt>
                <c:pt idx="5">
                  <c:v>45</c:v>
                </c:pt>
                <c:pt idx="6">
                  <c:v>17</c:v>
                </c:pt>
                <c:pt idx="7">
                  <c:v>20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87E-4645-8876-0453B135D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6510232"/>
        <c:axId val="336510624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8"/>
              <c:layout>
                <c:manualLayout>
                  <c:x val="-4.6938815025171034E-2"/>
                  <c:y val="-4.61573303337084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90-453B-9423-315AEB98712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táblázat_eljszerves!$R$17:$Z$17</c:f>
              <c:numCache>
                <c:formatCode>0.0</c:formatCode>
                <c:ptCount val="9"/>
                <c:pt idx="0">
                  <c:v>47.4</c:v>
                </c:pt>
                <c:pt idx="1">
                  <c:v>9.8000000000000007</c:v>
                </c:pt>
                <c:pt idx="2">
                  <c:v>31.9</c:v>
                </c:pt>
                <c:pt idx="3">
                  <c:v>8.5</c:v>
                </c:pt>
                <c:pt idx="4">
                  <c:v>52.8</c:v>
                </c:pt>
                <c:pt idx="5">
                  <c:v>33.299999999999997</c:v>
                </c:pt>
                <c:pt idx="6">
                  <c:v>11.8</c:v>
                </c:pt>
                <c:pt idx="7">
                  <c:v>35</c:v>
                </c:pt>
                <c:pt idx="8">
                  <c:v>18.8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87E-4645-8876-0453B135DBAA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8299319727891157E-2"/>
                  <c:y val="3.5860155315147968E-2"/>
                </c:manualLayout>
              </c:layout>
              <c:tx>
                <c:rich>
                  <a:bodyPr/>
                  <a:lstStyle/>
                  <a:p>
                    <a:fld id="{2D8EF2F7-751D-4BB1-928B-2D1D40EC088A}" type="VALUE">
                      <a:rPr lang="en-US">
                        <a:solidFill>
                          <a:srgbClr val="00FF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87E-4645-8876-0453B135DBAA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-4.8299341680650573E-2"/>
                  <c:y val="3.45151856017996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F90-453B-9423-315AEB98712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FF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táblázat_eljszerves!$AG$17:$AO$17</c:f>
              <c:numCache>
                <c:formatCode>General</c:formatCode>
                <c:ptCount val="9"/>
                <c:pt idx="5" formatCode="0.0">
                  <c:v>28.6</c:v>
                </c:pt>
                <c:pt idx="6" formatCode="0.0">
                  <c:v>11.8</c:v>
                </c:pt>
                <c:pt idx="7" formatCode="0.0">
                  <c:v>35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87E-4645-8876-0453B135D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509056"/>
        <c:axId val="336512584"/>
      </c:lineChart>
      <c:catAx>
        <c:axId val="336510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510624"/>
        <c:crosses val="autoZero"/>
        <c:auto val="1"/>
        <c:lblAlgn val="ctr"/>
        <c:lblOffset val="100"/>
        <c:noMultiLvlLbl val="0"/>
      </c:catAx>
      <c:valAx>
        <c:axId val="336510624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510232"/>
        <c:crosses val="autoZero"/>
        <c:crossBetween val="between"/>
      </c:valAx>
      <c:valAx>
        <c:axId val="336512584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509056"/>
        <c:crosses val="max"/>
        <c:crossBetween val="between"/>
      </c:valAx>
      <c:catAx>
        <c:axId val="336509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651258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5689349108783884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8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244-49ED-AA57-D6453D2AF70A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táblázat_eljszerves!$B$18:$J$18</c:f>
              <c:numCache>
                <c:formatCode>#,##0</c:formatCode>
                <c:ptCount val="9"/>
                <c:pt idx="0">
                  <c:v>374</c:v>
                </c:pt>
                <c:pt idx="1">
                  <c:v>275</c:v>
                </c:pt>
                <c:pt idx="2">
                  <c:v>322</c:v>
                </c:pt>
                <c:pt idx="3">
                  <c:v>254</c:v>
                </c:pt>
                <c:pt idx="4">
                  <c:v>234</c:v>
                </c:pt>
                <c:pt idx="5">
                  <c:v>272</c:v>
                </c:pt>
                <c:pt idx="6">
                  <c:v>239</c:v>
                </c:pt>
                <c:pt idx="7">
                  <c:v>172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12-45F9-B4F2-891FAE838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6513368"/>
        <c:axId val="336280184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"/>
              <c:layout>
                <c:manualLayout>
                  <c:x val="-4.4398907103825234E-2"/>
                  <c:y val="-2.9523809523809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395-43D8-9558-3EF7A76A3DF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7131147540983603E-2"/>
                  <c:y val="-7.1428571428571563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244-49ED-AA57-D6453D2AF70A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táblázat_eljszerves!$R$18:$Z$18</c:f>
              <c:numCache>
                <c:formatCode>0.0</c:formatCode>
                <c:ptCount val="9"/>
                <c:pt idx="0">
                  <c:v>22</c:v>
                </c:pt>
                <c:pt idx="1">
                  <c:v>13.7</c:v>
                </c:pt>
                <c:pt idx="2">
                  <c:v>27.6</c:v>
                </c:pt>
                <c:pt idx="3">
                  <c:v>35.6</c:v>
                </c:pt>
                <c:pt idx="4">
                  <c:v>25.3</c:v>
                </c:pt>
                <c:pt idx="5">
                  <c:v>31.6</c:v>
                </c:pt>
                <c:pt idx="6">
                  <c:v>39.700000000000003</c:v>
                </c:pt>
                <c:pt idx="7">
                  <c:v>49.4</c:v>
                </c:pt>
                <c:pt idx="8">
                  <c:v>48.7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12-45F9-B4F2-891FAE8380CC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tx>
                <c:rich>
                  <a:bodyPr/>
                  <a:lstStyle/>
                  <a:p>
                    <a:fld id="{85E654DF-C98C-454D-A83C-0EB744A63A51}" type="VALUE">
                      <a:rPr lang="en-US">
                        <a:solidFill>
                          <a:srgbClr val="00FF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112-45F9-B4F2-891FAE8380CC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-4.8299319727891254E-2"/>
                  <c:y val="4.3613715723740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244-49ED-AA57-D6453D2AF70A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FF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táblázat_eljszerves!$AG$18:$AO$18</c:f>
              <c:numCache>
                <c:formatCode>General</c:formatCode>
                <c:ptCount val="9"/>
                <c:pt idx="5" formatCode="0.0">
                  <c:v>30.5</c:v>
                </c:pt>
                <c:pt idx="6" formatCode="0.0">
                  <c:v>39.200000000000003</c:v>
                </c:pt>
                <c:pt idx="7" formatCode="0.0">
                  <c:v>48.2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112-45F9-B4F2-891FAE838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275480"/>
        <c:axId val="336277048"/>
      </c:lineChart>
      <c:catAx>
        <c:axId val="336513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280184"/>
        <c:crosses val="autoZero"/>
        <c:auto val="1"/>
        <c:lblAlgn val="ctr"/>
        <c:lblOffset val="100"/>
        <c:noMultiLvlLbl val="0"/>
      </c:catAx>
      <c:valAx>
        <c:axId val="336280184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513368"/>
        <c:crosses val="autoZero"/>
        <c:crossBetween val="between"/>
      </c:valAx>
      <c:valAx>
        <c:axId val="336277048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275480"/>
        <c:crosses val="max"/>
        <c:crossBetween val="between"/>
      </c:valAx>
      <c:catAx>
        <c:axId val="336275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627704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5298496553222618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táblázat_eljszerves!$B$19:$J$19</c:f>
              <c:numCache>
                <c:formatCode>#,##0</c:formatCode>
                <c:ptCount val="9"/>
                <c:pt idx="0">
                  <c:v>62</c:v>
                </c:pt>
                <c:pt idx="1">
                  <c:v>40</c:v>
                </c:pt>
                <c:pt idx="2">
                  <c:v>31</c:v>
                </c:pt>
                <c:pt idx="3">
                  <c:v>19</c:v>
                </c:pt>
                <c:pt idx="4">
                  <c:v>23</c:v>
                </c:pt>
                <c:pt idx="5">
                  <c:v>10</c:v>
                </c:pt>
                <c:pt idx="6">
                  <c:v>9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21-41FB-BABE-CFAC80D25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6278616"/>
        <c:axId val="336279008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F94DB43C-22BA-4893-A5A7-9B4BD8B83736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421-41FB-BABE-CFAC80D25A2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43CA8F8-9D5C-472F-BBEC-87D680A08374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421-41FB-BABE-CFAC80D25A2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6DE5AF0-C052-455E-8684-86677C8F839C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421-41FB-BABE-CFAC80D25A2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4.7235390179523593E-2"/>
                  <c:y val="-2.5714285714285783E-2"/>
                </c:manualLayout>
              </c:layout>
              <c:tx>
                <c:rich>
                  <a:bodyPr/>
                  <a:lstStyle/>
                  <a:p>
                    <a:fld id="{366A16B3-9CA9-4595-816E-1A6013FE0F3D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421-41FB-BABE-CFAC80D25A2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365D79F-2566-4371-BD7D-912FC8AA7893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421-41FB-BABE-CFAC80D25A2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4.9973673668191623E-2"/>
                  <c:y val="-5.2380952380952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421-41FB-BABE-CFAC80D25A2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758823202187621E-2"/>
                  <c:y val="-4.857142857142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421-41FB-BABE-CFAC80D25A2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8742093713695622E-2"/>
                  <c:y val="3.198350206224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E9C-4CA6-9387-369E49426739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táblázat_eljszerves!$R$19:$Z$19</c:f>
              <c:numCache>
                <c:formatCode>0.0</c:formatCode>
                <c:ptCount val="9"/>
                <c:pt idx="0">
                  <c:v>69.8</c:v>
                </c:pt>
                <c:pt idx="1">
                  <c:v>73.8</c:v>
                </c:pt>
                <c:pt idx="2">
                  <c:v>53.1</c:v>
                </c:pt>
                <c:pt idx="3">
                  <c:v>73.7</c:v>
                </c:pt>
                <c:pt idx="4">
                  <c:v>60.9</c:v>
                </c:pt>
                <c:pt idx="5">
                  <c:v>75</c:v>
                </c:pt>
                <c:pt idx="6">
                  <c:v>100</c:v>
                </c:pt>
                <c:pt idx="7">
                  <c:v>100</c:v>
                </c:pt>
                <c:pt idx="8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421-41FB-BABE-CFAC80D25A22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586624843518957E-2"/>
                  <c:y val="5.2380952380952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421-41FB-BABE-CFAC80D25A2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0441373399753705E-2"/>
                  <c:y val="5.238102651500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421-41FB-BABE-CFAC80D25A2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0136054421768805E-2"/>
                  <c:y val="-3.5860166261742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E9C-4CA6-9387-369E49426739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táblázat_eljszerves!$AG$19:$AO$19</c:f>
              <c:numCache>
                <c:formatCode>General</c:formatCode>
                <c:ptCount val="9"/>
                <c:pt idx="5" formatCode="0.0">
                  <c:v>87.5</c:v>
                </c:pt>
                <c:pt idx="6" formatCode="0.0">
                  <c:v>100</c:v>
                </c:pt>
                <c:pt idx="7" formatCode="0.0">
                  <c:v>100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F421-41FB-BABE-CFAC80D25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279400"/>
        <c:axId val="336277832"/>
      </c:lineChart>
      <c:catAx>
        <c:axId val="33627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279008"/>
        <c:crosses val="autoZero"/>
        <c:auto val="1"/>
        <c:lblAlgn val="ctr"/>
        <c:lblOffset val="100"/>
        <c:noMultiLvlLbl val="0"/>
      </c:catAx>
      <c:valAx>
        <c:axId val="336279008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278616"/>
        <c:crosses val="autoZero"/>
        <c:crossBetween val="between"/>
      </c:valAx>
      <c:valAx>
        <c:axId val="336277832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279400"/>
        <c:crosses val="max"/>
        <c:crossBetween val="between"/>
      </c:valAx>
      <c:catAx>
        <c:axId val="336279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627783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6080211321507282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313-41FB-8834-34EAC47541E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313-41FB-8834-34EAC47541E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555-4076-B54A-2AFD7E403B28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táblázat_eljszerves!$B$20:$J$20</c:f>
              <c:numCache>
                <c:formatCode>#,##0</c:formatCode>
                <c:ptCount val="9"/>
                <c:pt idx="0">
                  <c:v>3</c:v>
                </c:pt>
                <c:pt idx="1">
                  <c:v>10</c:v>
                </c:pt>
                <c:pt idx="2">
                  <c:v>9</c:v>
                </c:pt>
                <c:pt idx="3">
                  <c:v>6</c:v>
                </c:pt>
                <c:pt idx="4">
                  <c:v>9</c:v>
                </c:pt>
                <c:pt idx="5">
                  <c:v>4</c:v>
                </c:pt>
                <c:pt idx="6">
                  <c:v>33</c:v>
                </c:pt>
                <c:pt idx="7">
                  <c:v>25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9D-4892-9C57-33E573C0E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6276656"/>
        <c:axId val="336276264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7131147540983617E-2"/>
                  <c:y val="-3.3333333333333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313-41FB-8834-34EAC47541E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6927627898971647E-2"/>
                  <c:y val="-2.6302812148481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55-4076-B54A-2AFD7E403B28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táblázat_eljszerves!$R$20:$Z$20</c:f>
              <c:numCache>
                <c:formatCode>0.0</c:formatCode>
                <c:ptCount val="9"/>
                <c:pt idx="0">
                  <c:v>75</c:v>
                </c:pt>
                <c:pt idx="1">
                  <c:v>54.5</c:v>
                </c:pt>
                <c:pt idx="2">
                  <c:v>66.7</c:v>
                </c:pt>
                <c:pt idx="3">
                  <c:v>66.7</c:v>
                </c:pt>
                <c:pt idx="4">
                  <c:v>66.7</c:v>
                </c:pt>
                <c:pt idx="5">
                  <c:v>75</c:v>
                </c:pt>
                <c:pt idx="6">
                  <c:v>86.1</c:v>
                </c:pt>
                <c:pt idx="7">
                  <c:v>88</c:v>
                </c:pt>
                <c:pt idx="8">
                  <c:v>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A9D-4892-9C57-33E573C0E78C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tx>
                <c:rich>
                  <a:bodyPr/>
                  <a:lstStyle/>
                  <a:p>
                    <a:fld id="{9BDF7565-01CA-4CD1-8827-25B5433EFCDD}" type="VALUE">
                      <a:rPr lang="en-US">
                        <a:solidFill>
                          <a:srgbClr val="00FF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A9D-4892-9C57-33E573C0E78C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FF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táblázat_eljszerves!$AG$20:$AO$20</c:f>
              <c:numCache>
                <c:formatCode>General</c:formatCode>
                <c:ptCount val="9"/>
                <c:pt idx="5" formatCode="0.0">
                  <c:v>66.7</c:v>
                </c:pt>
                <c:pt idx="6" formatCode="0.0">
                  <c:v>91.2</c:v>
                </c:pt>
                <c:pt idx="7" formatCode="0.0">
                  <c:v>87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A9D-4892-9C57-33E573C0E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274696"/>
        <c:axId val="336279792"/>
      </c:lineChart>
      <c:catAx>
        <c:axId val="33627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276264"/>
        <c:crosses val="autoZero"/>
        <c:auto val="1"/>
        <c:lblAlgn val="ctr"/>
        <c:lblOffset val="100"/>
        <c:noMultiLvlLbl val="0"/>
      </c:catAx>
      <c:valAx>
        <c:axId val="336276264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276656"/>
        <c:crosses val="autoZero"/>
        <c:crossBetween val="between"/>
      </c:valAx>
      <c:valAx>
        <c:axId val="336279792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274696"/>
        <c:crosses val="max"/>
        <c:crossBetween val="between"/>
      </c:valAx>
      <c:catAx>
        <c:axId val="336274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627979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4907639169080286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táblázat_eljszerves!$B$21:$J$21</c:f>
              <c:numCache>
                <c:formatCode>#,##0</c:formatCode>
                <c:ptCount val="9"/>
                <c:pt idx="0">
                  <c:v>15</c:v>
                </c:pt>
                <c:pt idx="1">
                  <c:v>11</c:v>
                </c:pt>
                <c:pt idx="2">
                  <c:v>13</c:v>
                </c:pt>
                <c:pt idx="3">
                  <c:v>4</c:v>
                </c:pt>
                <c:pt idx="4">
                  <c:v>9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12-405B-A8B2-164D54638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6273912"/>
        <c:axId val="336274304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7235390179523593E-2"/>
                  <c:y val="-6.3809523809523816E-2"/>
                </c:manualLayout>
              </c:layout>
              <c:tx>
                <c:rich>
                  <a:bodyPr/>
                  <a:lstStyle/>
                  <a:p>
                    <a:fld id="{642CBD5D-212E-4283-99C8-8564B8098E30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012-405B-A8B2-164D54638639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B0B7D54-A305-4398-801A-A66FD851C614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012-405B-A8B2-164D54638639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15EBD4C-75BB-471C-9411-18AB2D315907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012-405B-A8B2-164D54638639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346C8C6-7406-430F-9660-AC4A2B2AB773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012-405B-A8B2-164D54638639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-4.6938775510204082E-2"/>
                  <c:y val="-6.8812751475234885E-2"/>
                </c:manualLayout>
              </c:layout>
              <c:tx>
                <c:rich>
                  <a:bodyPr/>
                  <a:lstStyle/>
                  <a:p>
                    <a:fld id="{5F77D57D-D076-4DC3-85BB-8F644DA34A8F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012-405B-A8B2-164D54638639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4.9973673668191623E-2"/>
                  <c:y val="-3.3333333333333333E-2"/>
                </c:manualLayout>
              </c:layout>
              <c:tx>
                <c:rich>
                  <a:bodyPr/>
                  <a:lstStyle/>
                  <a:p>
                    <a:fld id="{0F7AC914-CEB3-4FC0-9CB2-B1C70E7ED4D7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012-405B-A8B2-164D54638639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4.44970807220526E-2"/>
                  <c:y val="-4.46274770530040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012-405B-A8B2-164D54638639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táblázat_eljszerves!$R$21:$Z$21</c:f>
              <c:numCache>
                <c:formatCode>0.0</c:formatCode>
                <c:ptCount val="9"/>
                <c:pt idx="0">
                  <c:v>59.1</c:v>
                </c:pt>
                <c:pt idx="1">
                  <c:v>58.8</c:v>
                </c:pt>
                <c:pt idx="2">
                  <c:v>66.7</c:v>
                </c:pt>
                <c:pt idx="3">
                  <c:v>40</c:v>
                </c:pt>
                <c:pt idx="4">
                  <c:v>64.3</c:v>
                </c:pt>
                <c:pt idx="5">
                  <c:v>44.4</c:v>
                </c:pt>
                <c:pt idx="6">
                  <c:v>55.6</c:v>
                </c:pt>
                <c:pt idx="7">
                  <c:v>62.5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012-405B-A8B2-164D54638639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6"/>
              <c:tx>
                <c:rich>
                  <a:bodyPr/>
                  <a:lstStyle/>
                  <a:p>
                    <a:fld id="{D6250E47-5E5A-4604-B77F-9DC090E35410}" type="VALUE">
                      <a:rPr lang="en-US">
                        <a:solidFill>
                          <a:srgbClr val="0066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012-405B-A8B2-164D54638639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táblázat_eljszerves!$AG$21:$AO$21</c:f>
              <c:numCache>
                <c:formatCode>General</c:formatCode>
                <c:ptCount val="9"/>
                <c:pt idx="5" formatCode="0.0">
                  <c:v>66.7</c:v>
                </c:pt>
                <c:pt idx="6" formatCode="0.0">
                  <c:v>100</c:v>
                </c:pt>
                <c:pt idx="7" formatCode="0.0">
                  <c:v>75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3012-405B-A8B2-164D54638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275872"/>
        <c:axId val="336275088"/>
      </c:lineChart>
      <c:catAx>
        <c:axId val="336273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274304"/>
        <c:crosses val="autoZero"/>
        <c:auto val="1"/>
        <c:lblAlgn val="ctr"/>
        <c:lblOffset val="100"/>
        <c:noMultiLvlLbl val="0"/>
      </c:catAx>
      <c:valAx>
        <c:axId val="336274304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273912"/>
        <c:crosses val="autoZero"/>
        <c:crossBetween val="between"/>
      </c:valAx>
      <c:valAx>
        <c:axId val="336275088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275872"/>
        <c:crosses val="max"/>
        <c:crossBetween val="between"/>
      </c:valAx>
      <c:catAx>
        <c:axId val="336275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627508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4516781784937957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6"/>
              <c:tx>
                <c:rich>
                  <a:bodyPr/>
                  <a:lstStyle/>
                  <a:p>
                    <a:fld id="{FA6A56B1-23C3-4A45-B3EE-85206932B03B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8A3-4035-AD23-DD4E943F7EB0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E8808B6-839A-4CC1-9088-F8E06FB8D5CB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BF8-45F9-937C-0C4AD5D8B75B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táblázat_eljszerves!$B$22:$J$22</c:f>
              <c:numCache>
                <c:formatCode>#,##0</c:formatCode>
                <c:ptCount val="9"/>
                <c:pt idx="0">
                  <c:v>305</c:v>
                </c:pt>
                <c:pt idx="1">
                  <c:v>295</c:v>
                </c:pt>
                <c:pt idx="2">
                  <c:v>205</c:v>
                </c:pt>
                <c:pt idx="3">
                  <c:v>169</c:v>
                </c:pt>
                <c:pt idx="4">
                  <c:v>159</c:v>
                </c:pt>
                <c:pt idx="5">
                  <c:v>150</c:v>
                </c:pt>
                <c:pt idx="6">
                  <c:v>113</c:v>
                </c:pt>
                <c:pt idx="7">
                  <c:v>134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A3-4035-AD23-DD4E943F7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6278224"/>
        <c:axId val="337331592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5"/>
              <c:layout>
                <c:manualLayout>
                  <c:x val="-4.4217687074829932E-2"/>
                  <c:y val="-3.3921768541356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8A3-4035-AD23-DD4E943F7EB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6938775510204082E-2"/>
                  <c:y val="-5.718240982685787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1000" b="1" baseline="0">
                        <a:solidFill>
                          <a:sysClr val="windowText" lastClr="000000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defRPr>
                    </a:pPr>
                    <a:fld id="{FB02CE91-FFB0-495B-BD3B-3AFC57203082}" type="VALU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000" b="1" baseline="0">
                          <a:solidFill>
                            <a:sysClr val="windowText" lastClr="000000"/>
                          </a:solidFill>
                          <a:latin typeface="Times New Roman" panose="02020603050405020304" pitchFamily="18" charset="0"/>
                          <a:cs typeface="Times New Roman" panose="02020603050405020304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numFmt formatCode="#,##0.0" sourceLinked="0"/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8A3-4035-AD23-DD4E943F7EB0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táblázat_eljszerves!$R$22:$Z$22</c:f>
              <c:numCache>
                <c:formatCode>0.0</c:formatCode>
                <c:ptCount val="9"/>
                <c:pt idx="0">
                  <c:v>26.8</c:v>
                </c:pt>
                <c:pt idx="1">
                  <c:v>30.2</c:v>
                </c:pt>
                <c:pt idx="2">
                  <c:v>27.6</c:v>
                </c:pt>
                <c:pt idx="3">
                  <c:v>35.700000000000003</c:v>
                </c:pt>
                <c:pt idx="4">
                  <c:v>25.7</c:v>
                </c:pt>
                <c:pt idx="5">
                  <c:v>41.3</c:v>
                </c:pt>
                <c:pt idx="6">
                  <c:v>31.6</c:v>
                </c:pt>
                <c:pt idx="7">
                  <c:v>34.799999999999997</c:v>
                </c:pt>
                <c:pt idx="8">
                  <c:v>24.8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F8A3-4035-AD23-DD4E943F7EB0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8299319727891157E-2"/>
                  <c:y val="-4.3613702410315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8A3-4035-AD23-DD4E943F7EB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8299319727891254E-2"/>
                  <c:y val="-3.586015531514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BF8-45F9-937C-0C4AD5D8B75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FF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táblázat_eljszerves!$AG$22:$AO$22</c:f>
              <c:numCache>
                <c:formatCode>General</c:formatCode>
                <c:ptCount val="9"/>
                <c:pt idx="5" formatCode="0.0">
                  <c:v>38.6</c:v>
                </c:pt>
                <c:pt idx="6" formatCode="0.0">
                  <c:v>26.7</c:v>
                </c:pt>
                <c:pt idx="7" formatCode="0.0">
                  <c:v>31.7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A3-4035-AD23-DD4E943F7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331984"/>
        <c:axId val="337328848"/>
      </c:lineChart>
      <c:catAx>
        <c:axId val="33627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7331592"/>
        <c:crosses val="autoZero"/>
        <c:auto val="1"/>
        <c:lblAlgn val="ctr"/>
        <c:lblOffset val="100"/>
        <c:noMultiLvlLbl val="0"/>
      </c:catAx>
      <c:valAx>
        <c:axId val="337331592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6278224"/>
        <c:crosses val="autoZero"/>
        <c:crossBetween val="between"/>
      </c:valAx>
      <c:valAx>
        <c:axId val="337328848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7331984"/>
        <c:crosses val="max"/>
        <c:crossBetween val="between"/>
      </c:valAx>
      <c:catAx>
        <c:axId val="33733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732884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6080206372635314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táblázat_eljszerves!$B$5:$J$5</c:f>
              <c:numCache>
                <c:formatCode>#,##0</c:formatCode>
                <c:ptCount val="9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7D-4206-8547-F0D8E4B43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2238296"/>
        <c:axId val="332238688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tx>
                <c:rich>
                  <a:bodyPr/>
                  <a:lstStyle/>
                  <a:p>
                    <a:fld id="{C66AA9CB-FB03-4637-A0D9-D0A9E523F6C7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7D-4206-8547-F0D8E4B43749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6938775510204082E-2"/>
                  <c:y val="6.500346216583063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210-4136-9BB5-3C6DFC5B993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7131147540983603E-2"/>
                  <c:y val="-4.2857142857142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042-4005-AA64-F15E1262074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táblázat_eljszerves!$R$5:$Z$5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47D-4206-8547-F0D8E4B43749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5.5102040816326532E-2"/>
                  <c:y val="-2.81358269075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210-4136-9BB5-3C6DFC5B993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2425455014844455E-2"/>
                  <c:y val="4.224941882264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210-4136-9BB5-3C6DFC5B993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táblázat_eljszerves!$AG$5:$AO$5</c:f>
              <c:numCache>
                <c:formatCode>General</c:formatCode>
                <c:ptCount val="9"/>
                <c:pt idx="5" formatCode="0.0">
                  <c:v>100</c:v>
                </c:pt>
                <c:pt idx="6" formatCode="0.0">
                  <c:v>100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47D-4206-8547-F0D8E4B43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240648"/>
        <c:axId val="332239080"/>
      </c:lineChart>
      <c:catAx>
        <c:axId val="332238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2238688"/>
        <c:crosses val="autoZero"/>
        <c:auto val="1"/>
        <c:lblAlgn val="ctr"/>
        <c:lblOffset val="100"/>
        <c:noMultiLvlLbl val="0"/>
      </c:catAx>
      <c:valAx>
        <c:axId val="332238688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2238296"/>
        <c:crosses val="autoZero"/>
        <c:crossBetween val="between"/>
      </c:valAx>
      <c:valAx>
        <c:axId val="332239080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2240648"/>
        <c:crosses val="max"/>
        <c:crossBetween val="between"/>
      </c:valAx>
      <c:catAx>
        <c:axId val="332240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223908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411874001710077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táblázat_eljszerves!$B$23:$J$23</c:f>
              <c:numCache>
                <c:formatCode>#,##0</c:formatCode>
                <c:ptCount val="9"/>
                <c:pt idx="0">
                  <c:v>25</c:v>
                </c:pt>
                <c:pt idx="1">
                  <c:v>29</c:v>
                </c:pt>
                <c:pt idx="2">
                  <c:v>30</c:v>
                </c:pt>
                <c:pt idx="3">
                  <c:v>25</c:v>
                </c:pt>
                <c:pt idx="4">
                  <c:v>29</c:v>
                </c:pt>
                <c:pt idx="5">
                  <c:v>31</c:v>
                </c:pt>
                <c:pt idx="6">
                  <c:v>8</c:v>
                </c:pt>
                <c:pt idx="7">
                  <c:v>11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69-4C8F-B153-2226EB29A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7330416"/>
        <c:axId val="337329632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6E98ACD6-F673-41A3-9DE6-3D9FBECB6468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869-4C8F-B153-2226EB29A24A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4.7235390179523613E-2"/>
                  <c:y val="-6.3809523809523816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1000" b="1" baseline="0">
                        <a:solidFill>
                          <a:schemeClr val="bg1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defRPr>
                    </a:pPr>
                    <a:fld id="{92C43526-65ED-41D8-84F3-E11817E42655}" type="VALUE">
                      <a:rPr lang="en-US">
                        <a:solidFill>
                          <a:schemeClr val="bg1"/>
                        </a:solidFill>
                      </a:rPr>
                      <a:pPr>
                        <a:defRPr sz="1000" b="1" baseline="0">
                          <a:solidFill>
                            <a:schemeClr val="bg1"/>
                          </a:solidFill>
                          <a:latin typeface="Times New Roman" panose="02020603050405020304" pitchFamily="18" charset="0"/>
                          <a:cs typeface="Times New Roman" panose="02020603050405020304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numFmt formatCode="#,##0.0" sourceLinked="0"/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869-4C8F-B153-2226EB29A24A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A909A18-03E8-47D6-A2F6-0F4A3FEE1C13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869-4C8F-B153-2226EB29A24A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D479276-4244-404E-9452-3886A8C56216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869-4C8F-B153-2226EB29A24A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DFE5241-FEBC-4622-9334-A5B28D96C166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869-4C8F-B153-2226EB29A24A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4.4497106690855555E-2"/>
                  <c:y val="-3.3333333333333333E-2"/>
                </c:manualLayout>
              </c:layout>
              <c:tx>
                <c:rich>
                  <a:bodyPr/>
                  <a:lstStyle/>
                  <a:p>
                    <a:fld id="{9BAEE444-5785-41D5-9F6B-41F9357E859D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869-4C8F-B153-2226EB29A24A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4.723539017952369E-2"/>
                  <c:y val="-4.0952380952380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869-4C8F-B153-2226EB29A24A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táblázat_eljszerves!$R$23:$Z$23</c:f>
              <c:numCache>
                <c:formatCode>0.0</c:formatCode>
                <c:ptCount val="9"/>
                <c:pt idx="0">
                  <c:v>85.7</c:v>
                </c:pt>
                <c:pt idx="1">
                  <c:v>87.5</c:v>
                </c:pt>
                <c:pt idx="2">
                  <c:v>78.400000000000006</c:v>
                </c:pt>
                <c:pt idx="3">
                  <c:v>79.400000000000006</c:v>
                </c:pt>
                <c:pt idx="4">
                  <c:v>84.8</c:v>
                </c:pt>
                <c:pt idx="5">
                  <c:v>90.6</c:v>
                </c:pt>
                <c:pt idx="6">
                  <c:v>81.8</c:v>
                </c:pt>
                <c:pt idx="7">
                  <c:v>91.7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69-4C8F-B153-2226EB29A24A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táblázat_eljszerves!$AG$23:$AO$23</c:f>
              <c:numCache>
                <c:formatCode>General</c:formatCode>
                <c:ptCount val="9"/>
                <c:pt idx="5" formatCode="0.0">
                  <c:v>92.6</c:v>
                </c:pt>
                <c:pt idx="6" formatCode="0.0">
                  <c:v>100</c:v>
                </c:pt>
                <c:pt idx="7" formatCode="0.0">
                  <c:v>100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69-4C8F-B153-2226EB29A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333160"/>
        <c:axId val="337325712"/>
      </c:lineChart>
      <c:catAx>
        <c:axId val="33733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7329632"/>
        <c:crosses val="autoZero"/>
        <c:auto val="1"/>
        <c:lblAlgn val="ctr"/>
        <c:lblOffset val="100"/>
        <c:noMultiLvlLbl val="0"/>
      </c:catAx>
      <c:valAx>
        <c:axId val="337329632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7330416"/>
        <c:crosses val="autoZero"/>
        <c:crossBetween val="between"/>
      </c:valAx>
      <c:valAx>
        <c:axId val="337325712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7333160"/>
        <c:crosses val="max"/>
        <c:crossBetween val="between"/>
      </c:valAx>
      <c:catAx>
        <c:axId val="33733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732571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5298491844932458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táblázat_eljszerves!$B$24:$J$24</c:f>
              <c:numCache>
                <c:formatCode>#,##0</c:formatCode>
                <c:ptCount val="9"/>
                <c:pt idx="0">
                  <c:v>20</c:v>
                </c:pt>
                <c:pt idx="1">
                  <c:v>25</c:v>
                </c:pt>
                <c:pt idx="2">
                  <c:v>15</c:v>
                </c:pt>
                <c:pt idx="3">
                  <c:v>19</c:v>
                </c:pt>
                <c:pt idx="4">
                  <c:v>30</c:v>
                </c:pt>
                <c:pt idx="5">
                  <c:v>22</c:v>
                </c:pt>
                <c:pt idx="6">
                  <c:v>25</c:v>
                </c:pt>
                <c:pt idx="7">
                  <c:v>45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953-4192-A15A-BAEB58AD5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7327672"/>
        <c:axId val="337330024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2711957156859661E-2"/>
                  <c:y val="-5.6190476190476193E-2"/>
                </c:manualLayout>
              </c:layout>
              <c:tx>
                <c:rich>
                  <a:bodyPr/>
                  <a:lstStyle/>
                  <a:p>
                    <a:fld id="{3F248D00-B9C1-4C42-8C32-C6096BC37266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953-4192-A15A-BAEB58AD5F14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EC6E723-B2B3-40F4-A93A-7841CFD02F1B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953-4192-A15A-BAEB58AD5F14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táblázat_eljszerves!$R$24:$Z$24</c:f>
              <c:numCache>
                <c:formatCode>0.0</c:formatCode>
                <c:ptCount val="9"/>
                <c:pt idx="0">
                  <c:v>71.400000000000006</c:v>
                </c:pt>
                <c:pt idx="1">
                  <c:v>92.3</c:v>
                </c:pt>
                <c:pt idx="2">
                  <c:v>82.4</c:v>
                </c:pt>
                <c:pt idx="3">
                  <c:v>68.400000000000006</c:v>
                </c:pt>
                <c:pt idx="4">
                  <c:v>78.8</c:v>
                </c:pt>
                <c:pt idx="5">
                  <c:v>95.2</c:v>
                </c:pt>
                <c:pt idx="6">
                  <c:v>88.5</c:v>
                </c:pt>
                <c:pt idx="7">
                  <c:v>93.3</c:v>
                </c:pt>
                <c:pt idx="8">
                  <c:v>78.900000000000006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53-4192-A15A-BAEB58AD5F14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849726775956284E-2"/>
                  <c:y val="6.19047619047619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rgbClr val="00FF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953-4192-A15A-BAEB58AD5F1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1000" b="1" baseline="0">
                        <a:solidFill>
                          <a:srgbClr val="006600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defRPr>
                    </a:pPr>
                    <a:fld id="{FDCA5E48-E409-4AF0-8654-9825664E139D}" type="VALUE">
                      <a:rPr lang="en-US">
                        <a:solidFill>
                          <a:srgbClr val="006600"/>
                        </a:solidFill>
                      </a:rPr>
                      <a:pPr>
                        <a:defRPr sz="1000" b="1" baseline="0">
                          <a:solidFill>
                            <a:srgbClr val="006600"/>
                          </a:solidFill>
                          <a:latin typeface="Times New Roman" panose="02020603050405020304" pitchFamily="18" charset="0"/>
                          <a:cs typeface="Times New Roman" panose="02020603050405020304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953-4192-A15A-BAEB58AD5F14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rgbClr val="0066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táblázat_eljszerves!$AG$24:$AO$24</c:f>
              <c:numCache>
                <c:formatCode>General</c:formatCode>
                <c:ptCount val="9"/>
                <c:pt idx="5" formatCode="0.0">
                  <c:v>92.9</c:v>
                </c:pt>
                <c:pt idx="6" formatCode="0.0">
                  <c:v>94.1</c:v>
                </c:pt>
                <c:pt idx="7" formatCode="0.0">
                  <c:v>93.3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953-4192-A15A-BAEB58AD5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326104"/>
        <c:axId val="337330808"/>
      </c:lineChart>
      <c:catAx>
        <c:axId val="337327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7330024"/>
        <c:crosses val="autoZero"/>
        <c:auto val="1"/>
        <c:lblAlgn val="ctr"/>
        <c:lblOffset val="100"/>
        <c:noMultiLvlLbl val="0"/>
      </c:catAx>
      <c:valAx>
        <c:axId val="337330024"/>
        <c:scaling>
          <c:orientation val="minMax"/>
          <c:max val="2000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7327672"/>
        <c:crosses val="autoZero"/>
        <c:crossBetween val="between"/>
        <c:majorUnit val="500"/>
      </c:valAx>
      <c:valAx>
        <c:axId val="337330808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7326104"/>
        <c:crosses val="max"/>
        <c:crossBetween val="between"/>
      </c:valAx>
      <c:catAx>
        <c:axId val="337326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733080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5298491844932458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8"/>
              <c:tx>
                <c:rich>
                  <a:bodyPr/>
                  <a:lstStyle/>
                  <a:p>
                    <a:fld id="{C923FD4E-6E28-4180-983C-FAA5D62EA96B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126-4CB6-86F6-8275FA7EEAF0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táblázat_eljszerves!$B$25:$J$25</c:f>
              <c:numCache>
                <c:formatCode>#,##0</c:formatCode>
                <c:ptCount val="9"/>
                <c:pt idx="0">
                  <c:v>5005</c:v>
                </c:pt>
                <c:pt idx="1">
                  <c:v>4367</c:v>
                </c:pt>
                <c:pt idx="2">
                  <c:v>4012</c:v>
                </c:pt>
                <c:pt idx="3">
                  <c:v>3296</c:v>
                </c:pt>
                <c:pt idx="4">
                  <c:v>3284</c:v>
                </c:pt>
                <c:pt idx="5">
                  <c:v>2789</c:v>
                </c:pt>
                <c:pt idx="6">
                  <c:v>2231</c:v>
                </c:pt>
                <c:pt idx="7">
                  <c:v>2235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F2-4E10-8CC8-E1AFD81C7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7328064"/>
        <c:axId val="337326496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táblázat_eljszerves!$R$3:$Z$3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táblázat_eljszerves!$R$25:$Z$25</c:f>
              <c:numCache>
                <c:formatCode>0.0</c:formatCode>
                <c:ptCount val="9"/>
                <c:pt idx="0">
                  <c:v>43.1</c:v>
                </c:pt>
                <c:pt idx="1">
                  <c:v>40</c:v>
                </c:pt>
                <c:pt idx="2">
                  <c:v>41.2</c:v>
                </c:pt>
                <c:pt idx="3">
                  <c:v>46.5</c:v>
                </c:pt>
                <c:pt idx="4">
                  <c:v>45.9</c:v>
                </c:pt>
                <c:pt idx="5">
                  <c:v>51.2</c:v>
                </c:pt>
                <c:pt idx="6">
                  <c:v>53.4</c:v>
                </c:pt>
                <c:pt idx="7">
                  <c:v>56.6</c:v>
                </c:pt>
                <c:pt idx="8">
                  <c:v>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FF2-4E10-8CC8-E1AFD81C7D5F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4.849726775956284E-2"/>
                  <c:y val="-3.90476190476191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rgbClr val="0066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126-4CB6-86F6-8275FA7EEAF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FF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táblázat_eljszerves!$R$3:$Z$3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táblázat_eljszerves!$AG$25:$AO$25</c:f>
              <c:numCache>
                <c:formatCode>General</c:formatCode>
                <c:ptCount val="9"/>
                <c:pt idx="5" formatCode="0.0">
                  <c:v>42.7</c:v>
                </c:pt>
                <c:pt idx="6" formatCode="0.0">
                  <c:v>47.1</c:v>
                </c:pt>
                <c:pt idx="7" formatCode="0.0">
                  <c:v>50.8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FF2-4E10-8CC8-E1AFD81C7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331200"/>
        <c:axId val="337326888"/>
      </c:lineChart>
      <c:catAx>
        <c:axId val="33732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7326496"/>
        <c:crosses val="autoZero"/>
        <c:auto val="1"/>
        <c:lblAlgn val="ctr"/>
        <c:lblOffset val="100"/>
        <c:noMultiLvlLbl val="0"/>
      </c:catAx>
      <c:valAx>
        <c:axId val="337326496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7328064"/>
        <c:crosses val="autoZero"/>
        <c:crossBetween val="between"/>
      </c:valAx>
      <c:valAx>
        <c:axId val="337326888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7331200"/>
        <c:crosses val="max"/>
        <c:crossBetween val="between"/>
      </c:valAx>
      <c:catAx>
        <c:axId val="337331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732688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táblázat_eljszerves!$B$29:$J$29</c:f>
              <c:numCache>
                <c:formatCode>#,##0</c:formatCode>
                <c:ptCount val="9"/>
                <c:pt idx="0">
                  <c:v>2183</c:v>
                </c:pt>
                <c:pt idx="1">
                  <c:v>2010</c:v>
                </c:pt>
                <c:pt idx="2">
                  <c:v>1896</c:v>
                </c:pt>
                <c:pt idx="3">
                  <c:v>1587</c:v>
                </c:pt>
                <c:pt idx="4">
                  <c:v>1205</c:v>
                </c:pt>
                <c:pt idx="5">
                  <c:v>1168</c:v>
                </c:pt>
                <c:pt idx="6">
                  <c:v>1083</c:v>
                </c:pt>
                <c:pt idx="7">
                  <c:v>1197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E-469B-AFA7-7C85A0339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7328456"/>
        <c:axId val="338182224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fld id="{2DC4B34E-86DB-4E48-BF0A-56AF37AD4491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80E-469B-AFA7-7C85A0339E04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78A06C5-68FB-46B4-99EA-01B9764E37BF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80E-469B-AFA7-7C85A0339E04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táblázat_eljszerves!$R$29:$Z$29</c:f>
              <c:numCache>
                <c:formatCode>0.0</c:formatCode>
                <c:ptCount val="9"/>
                <c:pt idx="0">
                  <c:v>59.8</c:v>
                </c:pt>
                <c:pt idx="1">
                  <c:v>56.2</c:v>
                </c:pt>
                <c:pt idx="2">
                  <c:v>51.6</c:v>
                </c:pt>
                <c:pt idx="3">
                  <c:v>64.2</c:v>
                </c:pt>
                <c:pt idx="4">
                  <c:v>72.2</c:v>
                </c:pt>
                <c:pt idx="5">
                  <c:v>76.099999999999994</c:v>
                </c:pt>
                <c:pt idx="6">
                  <c:v>80.400000000000006</c:v>
                </c:pt>
                <c:pt idx="7">
                  <c:v>85.8</c:v>
                </c:pt>
                <c:pt idx="8">
                  <c:v>78.5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80E-469B-AFA7-7C85A0339E04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4.8299319727891157E-2"/>
                  <c:y val="-7.42424145798466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rgbClr val="0066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83B-41B7-878B-B00F2529FEE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rgbClr val="0066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FF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táblázat_eljszerves!$AG$29:$AO$29</c:f>
              <c:numCache>
                <c:formatCode>General</c:formatCode>
                <c:ptCount val="9"/>
                <c:pt idx="5" formatCode="0.0">
                  <c:v>54</c:v>
                </c:pt>
                <c:pt idx="6" formatCode="0.0">
                  <c:v>61.9</c:v>
                </c:pt>
                <c:pt idx="7" formatCode="0.0">
                  <c:v>71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80E-469B-AFA7-7C85A0339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184968"/>
        <c:axId val="338189280"/>
      </c:lineChart>
      <c:catAx>
        <c:axId val="337328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8182224"/>
        <c:crosses val="autoZero"/>
        <c:auto val="1"/>
        <c:lblAlgn val="ctr"/>
        <c:lblOffset val="100"/>
        <c:noMultiLvlLbl val="0"/>
      </c:catAx>
      <c:valAx>
        <c:axId val="338182224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7328456"/>
        <c:crosses val="autoZero"/>
        <c:crossBetween val="between"/>
      </c:valAx>
      <c:valAx>
        <c:axId val="338189280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8184968"/>
        <c:crosses val="max"/>
        <c:crossBetween val="between"/>
      </c:valAx>
      <c:catAx>
        <c:axId val="338184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818928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4135441755781974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v>Bűncselekmények száma</c:v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táblázat_eljszerves!$B$30:$J$30</c:f>
              <c:numCache>
                <c:formatCode>#,##0</c:formatCode>
                <c:ptCount val="9"/>
                <c:pt idx="0">
                  <c:v>7819</c:v>
                </c:pt>
                <c:pt idx="1">
                  <c:v>8159</c:v>
                </c:pt>
                <c:pt idx="2">
                  <c:v>7147</c:v>
                </c:pt>
                <c:pt idx="3">
                  <c:v>5666</c:v>
                </c:pt>
                <c:pt idx="4">
                  <c:v>5445</c:v>
                </c:pt>
                <c:pt idx="5">
                  <c:v>5461</c:v>
                </c:pt>
                <c:pt idx="6">
                  <c:v>4487</c:v>
                </c:pt>
                <c:pt idx="7">
                  <c:v>4827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1B-4E60-92AA-E9A5FFD32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8184576"/>
        <c:axId val="338189672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táblázat_eljszerves!$R$3:$Z$3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táblázat_eljszerves!$R$30:$Z$30</c:f>
              <c:numCache>
                <c:formatCode>0.0</c:formatCode>
                <c:ptCount val="9"/>
                <c:pt idx="0">
                  <c:v>54.4</c:v>
                </c:pt>
                <c:pt idx="1">
                  <c:v>47.4</c:v>
                </c:pt>
                <c:pt idx="2">
                  <c:v>46.1</c:v>
                </c:pt>
                <c:pt idx="3">
                  <c:v>59</c:v>
                </c:pt>
                <c:pt idx="4">
                  <c:v>59.1</c:v>
                </c:pt>
                <c:pt idx="5">
                  <c:v>68.5</c:v>
                </c:pt>
                <c:pt idx="6">
                  <c:v>67.5</c:v>
                </c:pt>
                <c:pt idx="7">
                  <c:v>71.2</c:v>
                </c:pt>
                <c:pt idx="8">
                  <c:v>74.7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B1B-4E60-92AA-E9A5FFD32ADE}"/>
            </c:ext>
          </c:extLst>
        </c:ser>
        <c:ser>
          <c:idx val="2"/>
          <c:order val="2"/>
          <c:tx>
            <c:v>Felderítési eredményesség (%)</c:v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tx>
                <c:rich>
                  <a:bodyPr wrap="square" lIns="38100" tIns="19050" rIns="38100" bIns="19050" anchor="ctr" anchorCtr="0">
                    <a:spAutoFit/>
                  </a:bodyPr>
                  <a:lstStyle/>
                  <a:p>
                    <a:pPr algn="ctr" rtl="0">
                      <a:defRPr sz="1000" b="1" i="0" u="none" strike="noStrike" kern="1200" baseline="0">
                        <a:solidFill>
                          <a:srgbClr val="006600"/>
                        </a:solidFill>
                        <a:latin typeface="Times New Roman" panose="02020603050405020304" pitchFamily="18" charset="0"/>
                        <a:ea typeface="+mn-ea"/>
                        <a:cs typeface="Times New Roman" panose="02020603050405020304" pitchFamily="18" charset="0"/>
                      </a:defRPr>
                    </a:pPr>
                    <a:fld id="{B5BBA094-C2AB-46BF-BDDA-59FEB8A703F9}" type="VALUE">
                      <a:rPr lang="en-US" sz="1000" b="1" i="0" u="none" strike="noStrike" kern="1200" baseline="0">
                        <a:solidFill>
                          <a:srgbClr val="006600"/>
                        </a:solidFill>
                        <a:latin typeface="Times New Roman" panose="02020603050405020304" pitchFamily="18" charset="0"/>
                        <a:ea typeface="+mn-ea"/>
                        <a:cs typeface="Times New Roman" panose="02020603050405020304" pitchFamily="18" charset="0"/>
                      </a:rPr>
                      <a:pPr algn="ctr" rtl="0">
                        <a:defRPr sz="1000" b="1" i="0" u="none" strike="noStrike" kern="1200" baseline="0">
                          <a:solidFill>
                            <a:srgbClr val="006600"/>
                          </a:solidFill>
                          <a:latin typeface="Times New Roman" panose="02020603050405020304" pitchFamily="18" charset="0"/>
                          <a:ea typeface="+mn-ea"/>
                          <a:cs typeface="Times New Roman" panose="02020603050405020304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C4A-48B3-B6CA-DF15A58A1791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4.8299341680650476E-2"/>
                  <c:y val="-2.8241169853768278E-2"/>
                </c:manualLayout>
              </c:layout>
              <c:tx>
                <c:rich>
                  <a:bodyPr wrap="square" lIns="38100" tIns="19050" rIns="38100" bIns="19050" anchor="ctr" anchorCtr="0">
                    <a:spAutoFit/>
                  </a:bodyPr>
                  <a:lstStyle/>
                  <a:p>
                    <a:pPr algn="ctr" rtl="0">
                      <a:defRPr sz="1000" b="1" i="0" u="none" strike="noStrike" kern="1200" baseline="0">
                        <a:solidFill>
                          <a:srgbClr val="00FF00"/>
                        </a:solidFill>
                        <a:latin typeface="Times New Roman" panose="02020603050405020304" pitchFamily="18" charset="0"/>
                        <a:ea typeface="+mn-ea"/>
                        <a:cs typeface="Times New Roman" panose="02020603050405020304" pitchFamily="18" charset="0"/>
                      </a:defRPr>
                    </a:pPr>
                    <a:fld id="{75FB5633-2313-4DA3-9B78-FA1F7288046D}" type="VALUE">
                      <a:rPr lang="en-US" sz="1000" b="1" i="0" u="none" strike="noStrike" kern="1200" baseline="0">
                        <a:solidFill>
                          <a:srgbClr val="006600"/>
                        </a:solidFill>
                        <a:latin typeface="Times New Roman" panose="02020603050405020304" pitchFamily="18" charset="0"/>
                        <a:ea typeface="+mn-ea"/>
                        <a:cs typeface="Times New Roman" panose="02020603050405020304" pitchFamily="18" charset="0"/>
                      </a:rPr>
                      <a:pPr algn="ctr" rtl="0">
                        <a:defRPr sz="1000" b="1" i="0" u="none" strike="noStrike" kern="1200" baseline="0">
                          <a:solidFill>
                            <a:srgbClr val="00FF00"/>
                          </a:solidFill>
                          <a:latin typeface="Times New Roman" panose="02020603050405020304" pitchFamily="18" charset="0"/>
                          <a:ea typeface="+mn-ea"/>
                          <a:cs typeface="Times New Roman" panose="02020603050405020304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1A8-474E-B090-41078584E317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-4.5580641825957294E-2"/>
                  <c:y val="-3.58602174728158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rgbClr val="0066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814-48B1-A19D-FFE5B219471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FF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táblázat_eljszerves!$R$3:$Z$3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táblázat_eljszerves!$AG$30:$AO$30</c:f>
              <c:numCache>
                <c:formatCode>General</c:formatCode>
                <c:ptCount val="9"/>
                <c:pt idx="5" formatCode="0.0">
                  <c:v>60.5</c:v>
                </c:pt>
                <c:pt idx="6" formatCode="0.0">
                  <c:v>60.6</c:v>
                </c:pt>
                <c:pt idx="7" formatCode="0.0">
                  <c:v>64.5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B1B-4E60-92AA-E9A5FFD32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185360"/>
        <c:axId val="338183008"/>
      </c:lineChart>
      <c:catAx>
        <c:axId val="33818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8189672"/>
        <c:crosses val="autoZero"/>
        <c:auto val="1"/>
        <c:lblAlgn val="ctr"/>
        <c:lblOffset val="100"/>
        <c:noMultiLvlLbl val="0"/>
      </c:catAx>
      <c:valAx>
        <c:axId val="338189672"/>
        <c:scaling>
          <c:orientation val="minMax"/>
          <c:max val="20000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8184576"/>
        <c:crosses val="autoZero"/>
        <c:crossBetween val="between"/>
        <c:majorUnit val="5000"/>
      </c:valAx>
      <c:valAx>
        <c:axId val="338183008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8185360"/>
        <c:crosses val="max"/>
        <c:crossBetween val="between"/>
      </c:valAx>
      <c:catAx>
        <c:axId val="338185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818300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táblázat_eljszerves!$A$31</c:f>
              <c:strCache>
                <c:ptCount val="1"/>
                <c:pt idx="0">
                  <c:v>Bűnügyek nyomozási ideje (ügyidő)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táblázat_eljszerves!$B$31:$J$31</c:f>
              <c:numCache>
                <c:formatCode>#\ ##0.0</c:formatCode>
                <c:ptCount val="9"/>
                <c:pt idx="0">
                  <c:v>85.125039469529526</c:v>
                </c:pt>
                <c:pt idx="1">
                  <c:v>90.913272877164061</c:v>
                </c:pt>
                <c:pt idx="2">
                  <c:v>96.012478336221832</c:v>
                </c:pt>
                <c:pt idx="3">
                  <c:v>99.976302389345861</c:v>
                </c:pt>
                <c:pt idx="4">
                  <c:v>103.88130504403523</c:v>
                </c:pt>
                <c:pt idx="5">
                  <c:v>105.67323943661972</c:v>
                </c:pt>
                <c:pt idx="6">
                  <c:v>107.46680999731255</c:v>
                </c:pt>
                <c:pt idx="7">
                  <c:v>105.11502590673575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AC-45FB-8396-2663E7D1A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8185752"/>
        <c:axId val="338183792"/>
      </c:barChart>
      <c:catAx>
        <c:axId val="33818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8183792"/>
        <c:crosses val="autoZero"/>
        <c:auto val="1"/>
        <c:lblAlgn val="ctr"/>
        <c:lblOffset val="100"/>
        <c:noMultiLvlLbl val="0"/>
      </c:catAx>
      <c:valAx>
        <c:axId val="338183792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81857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v>Bíróság elé állítások száma</c:v>
          </c:tx>
          <c:spPr>
            <a:solidFill>
              <a:srgbClr val="17375E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táblázat_eljszerves!$B$33:$J$33</c:f>
              <c:numCache>
                <c:formatCode>#,##0</c:formatCode>
                <c:ptCount val="9"/>
                <c:pt idx="0">
                  <c:v>213</c:v>
                </c:pt>
                <c:pt idx="1">
                  <c:v>231</c:v>
                </c:pt>
                <c:pt idx="2">
                  <c:v>236</c:v>
                </c:pt>
                <c:pt idx="3">
                  <c:v>319</c:v>
                </c:pt>
                <c:pt idx="4">
                  <c:v>378</c:v>
                </c:pt>
                <c:pt idx="5">
                  <c:v>243</c:v>
                </c:pt>
                <c:pt idx="6">
                  <c:v>208</c:v>
                </c:pt>
                <c:pt idx="7">
                  <c:v>247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A9-4B1E-9F7B-9048C5EC4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8187712"/>
        <c:axId val="338188888"/>
      </c:barChart>
      <c:catAx>
        <c:axId val="3381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8188888"/>
        <c:crosses val="autoZero"/>
        <c:auto val="1"/>
        <c:lblAlgn val="ctr"/>
        <c:lblOffset val="100"/>
        <c:noMultiLvlLbl val="0"/>
      </c:catAx>
      <c:valAx>
        <c:axId val="338188888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8187712"/>
        <c:crosses val="autoZero"/>
        <c:crossBetween val="between"/>
        <c:majorUnit val="2000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6"/>
              <c:tx>
                <c:rich>
                  <a:bodyPr/>
                  <a:lstStyle/>
                  <a:p>
                    <a:fld id="{EAB1DF17-68C2-4140-89E4-CAB63042895D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DA8-4E47-9A26-89116700937C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A537F0B-B56F-478A-9A04-0032AA270943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93C-4697-9AF2-403F20B3B03D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táblázat_eljszerves!$B$26:$J$26</c:f>
              <c:numCache>
                <c:formatCode>#,##0</c:formatCode>
                <c:ptCount val="9"/>
                <c:pt idx="0">
                  <c:v>1590</c:v>
                </c:pt>
                <c:pt idx="1">
                  <c:v>1387</c:v>
                </c:pt>
                <c:pt idx="2">
                  <c:v>1335</c:v>
                </c:pt>
                <c:pt idx="3">
                  <c:v>920</c:v>
                </c:pt>
                <c:pt idx="4">
                  <c:v>611</c:v>
                </c:pt>
                <c:pt idx="5">
                  <c:v>590</c:v>
                </c:pt>
                <c:pt idx="6">
                  <c:v>526</c:v>
                </c:pt>
                <c:pt idx="7">
                  <c:v>506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DA8-4E47-9A26-891167009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8182616"/>
        <c:axId val="338186144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1000" b="1" baseline="0">
                        <a:solidFill>
                          <a:sysClr val="windowText" lastClr="000000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defRPr>
                    </a:pPr>
                    <a:fld id="{2DB7D2F2-306F-4A7B-B288-BEB9A10A0E4D}" type="VALU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000" b="1" baseline="0">
                          <a:solidFill>
                            <a:sysClr val="windowText" lastClr="000000"/>
                          </a:solidFill>
                          <a:latin typeface="Times New Roman" panose="02020603050405020304" pitchFamily="18" charset="0"/>
                          <a:cs typeface="Times New Roman" panose="02020603050405020304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DA8-4E47-9A26-89116700937C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1000" b="1" baseline="0">
                        <a:solidFill>
                          <a:sysClr val="windowText" lastClr="000000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defRPr>
                    </a:pPr>
                    <a:fld id="{11AB3FD5-0C39-464B-98F7-EEC5B8BA3EDF}" type="VALU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000" b="1" baseline="0">
                          <a:solidFill>
                            <a:sysClr val="windowText" lastClr="000000"/>
                          </a:solidFill>
                          <a:latin typeface="Times New Roman" panose="02020603050405020304" pitchFamily="18" charset="0"/>
                          <a:cs typeface="Times New Roman" panose="02020603050405020304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DA8-4E47-9A26-89116700937C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táblázat_eljszerves!$R$3:$Z$3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táblázat_eljszerves!$R$26:$Z$26</c:f>
              <c:numCache>
                <c:formatCode>0.0</c:formatCode>
                <c:ptCount val="9"/>
                <c:pt idx="0">
                  <c:v>51.5</c:v>
                </c:pt>
                <c:pt idx="1">
                  <c:v>45.3</c:v>
                </c:pt>
                <c:pt idx="2">
                  <c:v>43.6</c:v>
                </c:pt>
                <c:pt idx="3">
                  <c:v>50.8</c:v>
                </c:pt>
                <c:pt idx="4">
                  <c:v>56.4</c:v>
                </c:pt>
                <c:pt idx="5">
                  <c:v>62.9</c:v>
                </c:pt>
                <c:pt idx="6">
                  <c:v>69.400000000000006</c:v>
                </c:pt>
                <c:pt idx="7">
                  <c:v>83.2</c:v>
                </c:pt>
                <c:pt idx="8">
                  <c:v>63.2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BDA8-4E47-9A26-89116700937C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8299319727891157E-2"/>
                  <c:y val="-3.567492648641983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rgbClr val="00FF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DA8-4E47-9A26-89116700937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táblázat_eljszerves!$R$3:$Z$3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táblázat_eljszerves!$AG$26:$AO$26</c:f>
              <c:numCache>
                <c:formatCode>General</c:formatCode>
                <c:ptCount val="9"/>
                <c:pt idx="5" formatCode="0.0">
                  <c:v>55.1</c:v>
                </c:pt>
                <c:pt idx="6" formatCode="0.0">
                  <c:v>63.3</c:v>
                </c:pt>
                <c:pt idx="7" formatCode="0.0">
                  <c:v>79.7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DA8-4E47-9A26-891167009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186536"/>
        <c:axId val="338188104"/>
      </c:lineChart>
      <c:catAx>
        <c:axId val="338182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8186144"/>
        <c:crosses val="autoZero"/>
        <c:auto val="1"/>
        <c:lblAlgn val="ctr"/>
        <c:lblOffset val="100"/>
        <c:noMultiLvlLbl val="0"/>
      </c:catAx>
      <c:valAx>
        <c:axId val="338186144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8182616"/>
        <c:crosses val="autoZero"/>
        <c:crossBetween val="between"/>
        <c:majorUnit val="20000"/>
      </c:valAx>
      <c:valAx>
        <c:axId val="338188104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8186536"/>
        <c:crosses val="max"/>
        <c:crossBetween val="between"/>
      </c:valAx>
      <c:catAx>
        <c:axId val="338186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818810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4135441755781974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56476763933922"/>
          <c:y val="0.23682981388690053"/>
          <c:w val="0.78667490093150128"/>
          <c:h val="0.64872106895728954"/>
        </c:manualLayout>
      </c:layout>
      <c:barChart>
        <c:barDir val="col"/>
        <c:grouping val="stacked"/>
        <c:varyColors val="0"/>
        <c:ser>
          <c:idx val="3"/>
          <c:order val="0"/>
          <c:invertIfNegative val="0"/>
          <c:val>
            <c:numRef>
              <c:f>bcs!#REF!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A5E0-4540-AE21-9D3E6CA881B3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1"/>
          <c:invertIfNegative val="0"/>
          <c:val>
            <c:numRef>
              <c:f>bcs!#REF!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5E0-4540-AE21-9D3E6CA881B3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2"/>
          <c:invertIfNegative val="0"/>
          <c:val>
            <c:numRef>
              <c:f>bcs!#REF!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E0-4540-AE21-9D3E6CA881B3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3"/>
          <c:invertIfNegative val="0"/>
          <c:val>
            <c:numRef>
              <c:f>bcs!#REF!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5E0-4540-AE21-9D3E6CA881B3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0"/>
          <c:order val="4"/>
          <c:invertIfNegative val="0"/>
          <c:val>
            <c:numRef>
              <c:f>bcs!#REF!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E0-4540-AE21-9D3E6CA881B3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invertIfNegative val="0"/>
          <c:val>
            <c:numRef>
              <c:f>bcs!#REF!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A5E0-4540-AE21-9D3E6CA881B3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337930536"/>
        <c:axId val="337931320"/>
      </c:barChart>
      <c:catAx>
        <c:axId val="337930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 b="1"/>
            </a:pPr>
            <a:endParaRPr lang="hu-HU"/>
          </a:p>
        </c:txPr>
        <c:crossAx val="337931320"/>
        <c:crosses val="autoZero"/>
        <c:auto val="1"/>
        <c:lblAlgn val="ctr"/>
        <c:lblOffset val="100"/>
        <c:noMultiLvlLbl val="0"/>
      </c:catAx>
      <c:valAx>
        <c:axId val="337931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hu-HU"/>
          </a:p>
        </c:txPr>
        <c:crossAx val="3379305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17341868851759384"/>
          <c:y val="1.8877865352340085E-2"/>
          <c:w val="0.70357040735761689"/>
          <c:h val="0.15977353359818147"/>
        </c:manualLayout>
      </c:layout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hu-HU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56476763933922"/>
          <c:y val="0.23682981388690053"/>
          <c:w val="0.78667490093150128"/>
          <c:h val="0.64872106895728954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val>
            <c:numRef>
              <c:f>bcs!#REF!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DD-45C6-A71C-AB4B5558B5F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1"/>
          <c:invertIfNegative val="0"/>
          <c:val>
            <c:numRef>
              <c:f>bcs!#REF!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DD-45C6-A71C-AB4B5558B5F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2"/>
          <c:invertIfNegative val="0"/>
          <c:val>
            <c:numRef>
              <c:f>bcs!#REF!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BDD-45C6-A71C-AB4B5558B5F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3"/>
          <c:invertIfNegative val="0"/>
          <c:val>
            <c:numRef>
              <c:f>bcs!#REF!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BDD-45C6-A71C-AB4B5558B5F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4"/>
          <c:invertIfNegative val="0"/>
          <c:val>
            <c:numRef>
              <c:f>bcs!#REF!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6BDD-45C6-A71C-AB4B5558B5F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5"/>
          <c:order val="5"/>
          <c:invertIfNegative val="0"/>
          <c:val>
            <c:numRef>
              <c:f>bcs!#REF!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DD-45C6-A71C-AB4B5558B5F9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337926616"/>
        <c:axId val="337925832"/>
      </c:barChart>
      <c:catAx>
        <c:axId val="337926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 b="1"/>
            </a:pPr>
            <a:endParaRPr lang="hu-HU"/>
          </a:p>
        </c:txPr>
        <c:crossAx val="337925832"/>
        <c:crosses val="autoZero"/>
        <c:auto val="1"/>
        <c:lblAlgn val="ctr"/>
        <c:lblOffset val="100"/>
        <c:noMultiLvlLbl val="0"/>
      </c:catAx>
      <c:valAx>
        <c:axId val="337925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hu-HU"/>
          </a:p>
        </c:txPr>
        <c:crossAx val="3379266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17341866148620144"/>
          <c:y val="4.9712777380100208E-2"/>
          <c:w val="0.7381485024542469"/>
          <c:h val="0.16206454306848009"/>
        </c:manualLayout>
      </c:layout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hu-HU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táblázat_eljszerves!$B$6:$J$6</c:f>
              <c:numCache>
                <c:formatCode>#,##0</c:formatCode>
                <c:ptCount val="9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E1-4325-853D-9DF740661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2240256"/>
        <c:axId val="335147648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6"/>
              <c:layout>
                <c:manualLayout>
                  <c:x val="-4.693877551020418E-2"/>
                  <c:y val="3.5860166261742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AE1-4325-853D-9DF74066118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táblázat_eljszerves!$R$6:$Z$6</c:f>
              <c:numCache>
                <c:formatCode>0.0</c:formatCode>
                <c:ptCount val="9"/>
                <c:pt idx="0">
                  <c:v>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AE1-4325-853D-9DF74066118C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5102040816326629E-2"/>
                  <c:y val="-3.7798553627241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3E9-4F3F-AB0A-644E0EDE987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táblázat_eljszerves!$AG$6:$AO$6</c:f>
              <c:numCache>
                <c:formatCode>General</c:formatCode>
                <c:ptCount val="9"/>
                <c:pt idx="5" formatCode="0.0">
                  <c:v>0</c:v>
                </c:pt>
                <c:pt idx="6" formatCode="0.0">
                  <c:v>100</c:v>
                </c:pt>
                <c:pt idx="7" formatCode="0.0">
                  <c:v>100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AE1-4325-853D-9DF740661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45296"/>
        <c:axId val="335150784"/>
      </c:lineChart>
      <c:catAx>
        <c:axId val="33224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147648"/>
        <c:crosses val="autoZero"/>
        <c:auto val="1"/>
        <c:lblAlgn val="ctr"/>
        <c:lblOffset val="100"/>
        <c:noMultiLvlLbl val="0"/>
      </c:catAx>
      <c:valAx>
        <c:axId val="335147648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2240256"/>
        <c:crosses val="autoZero"/>
        <c:crossBetween val="between"/>
      </c:valAx>
      <c:valAx>
        <c:axId val="335150784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145296"/>
        <c:crosses val="max"/>
        <c:crossBetween val="between"/>
      </c:valAx>
      <c:catAx>
        <c:axId val="335145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515078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4205142267471399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47181880347009"/>
          <c:y val="0.21819771433857058"/>
          <c:w val="0.84139515840334067"/>
          <c:h val="0.64996466083293702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val>
            <c:numRef>
              <c:f>bcs!#REF!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3C-486A-9EF2-747B89E736A7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invertIfNegative val="0"/>
          <c:val>
            <c:numRef>
              <c:f>bcs!#REF!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3C-486A-9EF2-747B89E736A7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invertIfNegative val="0"/>
          <c:val>
            <c:numRef>
              <c:f>bcs!#REF!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93C-486A-9EF2-747B89E736A7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337930928"/>
        <c:axId val="337924656"/>
      </c:barChart>
      <c:catAx>
        <c:axId val="337930928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 b="1"/>
            </a:pPr>
            <a:endParaRPr lang="hu-HU"/>
          </a:p>
        </c:txPr>
        <c:crossAx val="337924656"/>
        <c:crosses val="autoZero"/>
        <c:auto val="1"/>
        <c:lblAlgn val="ctr"/>
        <c:lblOffset val="100"/>
        <c:noMultiLvlLbl val="0"/>
      </c:catAx>
      <c:valAx>
        <c:axId val="3379246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hu-HU"/>
          </a:p>
        </c:txPr>
        <c:crossAx val="33793092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1707028901022104"/>
          <c:y val="4.9712840796310352E-2"/>
          <c:w val="0.70294925359896876"/>
          <c:h val="0.12810934144595565"/>
        </c:manualLayout>
      </c:layout>
      <c:overlay val="0"/>
      <c:txPr>
        <a:bodyPr/>
        <a:lstStyle/>
        <a:p>
          <a:pPr rtl="0">
            <a:defRPr/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hu-HU"/>
    </a:p>
  </c:txPr>
  <c:printSettings>
    <c:headerFooter/>
    <c:pageMargins b="0.74803149606299268" l="0.70866141732283516" r="0.70866141732283516" t="0.74803149606299268" header="0.31496062992126028" footer="0.31496062992126028"/>
    <c:pageSetup orientation="landscape"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9742568945480138E-2"/>
          <c:y val="0.23048227410309194"/>
          <c:w val="0.90814857965970752"/>
          <c:h val="0.688626865105423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'180 napon túli'!$B$1:$H$1</c:f>
              <c:strCache>
                <c:ptCount val="7"/>
                <c:pt idx="0">
                  <c:v>június</c:v>
                </c:pt>
                <c:pt idx="1">
                  <c:v>július</c:v>
                </c:pt>
                <c:pt idx="2">
                  <c:v>augusztus</c:v>
                </c:pt>
                <c:pt idx="3">
                  <c:v>szeptember</c:v>
                </c:pt>
                <c:pt idx="4">
                  <c:v>október</c:v>
                </c:pt>
                <c:pt idx="5">
                  <c:v>november</c:v>
                </c:pt>
                <c:pt idx="6">
                  <c:v>december</c:v>
                </c:pt>
              </c:strCache>
            </c:strRef>
          </c:cat>
          <c:val>
            <c:numRef>
              <c:f>bcs!#REF!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E7-4AAB-8BF8-094984F9C17A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bcs!#REF!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49"/>
        <c:axId val="337925440"/>
        <c:axId val="337923872"/>
      </c:barChart>
      <c:catAx>
        <c:axId val="33792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900" b="1"/>
            </a:pPr>
            <a:endParaRPr lang="hu-HU"/>
          </a:p>
        </c:txPr>
        <c:crossAx val="337923872"/>
        <c:crosses val="autoZero"/>
        <c:auto val="1"/>
        <c:lblAlgn val="ctr"/>
        <c:lblOffset val="100"/>
        <c:noMultiLvlLbl val="0"/>
      </c:catAx>
      <c:valAx>
        <c:axId val="337923872"/>
        <c:scaling>
          <c:orientation val="minMax"/>
          <c:max val="400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spPr>
          <a:ln/>
        </c:spPr>
        <c:crossAx val="337925440"/>
        <c:crosses val="autoZero"/>
        <c:crossBetween val="between"/>
        <c:majorUnit val="50"/>
      </c:valAx>
      <c:spPr>
        <a:noFill/>
        <a:ln>
          <a:noFill/>
        </a:ln>
      </c:spPr>
    </c:plotArea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hu-HU"/>
    </a:p>
  </c:txPr>
  <c:printSettings>
    <c:headerFooter>
      <c:oddFooter>&amp;BORFK RFI REO</c:oddFooter>
    </c:headerFooter>
    <c:pageMargins b="0.35433070866141736" l="0.31496062992126028" r="0.31496062992126028" t="0.35433070866141736" header="0.11811023622047249" footer="0.11811023622047249"/>
    <c:pageSetup paperSize="9" orientation="portrait"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bcs!$B$2:$J$2</c:f>
              <c:strCache>
                <c:ptCount val="1"/>
                <c:pt idx="0">
                  <c:v>Bűncselekmények száma</c:v>
                </c:pt>
              </c:strCache>
            </c:strRef>
          </c:tx>
          <c:invertIfNegative val="0"/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'táblázat_eljszerves sértettel'!#REF!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15-46E8-A8FC-2B7C8C1B2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56"/>
        <c:axId val="337927008"/>
        <c:axId val="337930144"/>
      </c:barChart>
      <c:catAx>
        <c:axId val="33792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7930144"/>
        <c:crosses val="autoZero"/>
        <c:auto val="1"/>
        <c:lblAlgn val="ctr"/>
        <c:lblOffset val="100"/>
        <c:noMultiLvlLbl val="0"/>
      </c:catAx>
      <c:valAx>
        <c:axId val="337930144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79270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33351600550757"/>
          <c:y val="2.4564829396325458E-2"/>
          <c:w val="0.68983692437648669"/>
          <c:h val="0.15298496553222618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85858818955891514"/>
          <c:h val="0.644438245219347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bcs!$B$2:$J$2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bcs!$B$4:$J$4</c:f>
              <c:numCache>
                <c:formatCode>#,##0</c:formatCode>
                <c:ptCount val="9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2</c:v>
                </c:pt>
                <c:pt idx="6">
                  <c:v>6</c:v>
                </c:pt>
                <c:pt idx="7">
                  <c:v>2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35-4BCF-BB8F-C6296AAAD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56"/>
        <c:axId val="337929360"/>
        <c:axId val="337927792"/>
      </c:barChart>
      <c:lineChart>
        <c:grouping val="standard"/>
        <c:varyColors val="0"/>
        <c:ser>
          <c:idx val="0"/>
          <c:order val="1"/>
          <c:tx>
            <c:strRef>
              <c:f>bcs!$L$2:$T$2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[1]táblázat_eljszerves!$B$3:$I$3</c:f>
              <c:strCache>
                <c:ptCount val="8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</c:strCache>
            </c:strRef>
          </c:cat>
          <c:val>
            <c:numRef>
              <c:f>bcs!$L$4:$T$4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E35-4BCF-BB8F-C6296AAAD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7928968"/>
        <c:axId val="337928184"/>
      </c:lineChart>
      <c:catAx>
        <c:axId val="33792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7927792"/>
        <c:crosses val="autoZero"/>
        <c:auto val="1"/>
        <c:lblAlgn val="ctr"/>
        <c:lblOffset val="100"/>
        <c:tickLblSkip val="1"/>
        <c:noMultiLvlLbl val="0"/>
      </c:catAx>
      <c:valAx>
        <c:axId val="337927792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7929360"/>
        <c:crosses val="autoZero"/>
        <c:crossBetween val="between"/>
      </c:valAx>
      <c:valAx>
        <c:axId val="337928184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7928968"/>
        <c:crosses val="max"/>
        <c:crossBetween val="between"/>
      </c:valAx>
      <c:catAx>
        <c:axId val="337928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792818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5298496553222618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85043213038685905"/>
          <c:h val="0.6672953880764904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bcs!$B$2:$J$2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bcs!$B$5:$J$5</c:f>
              <c:numCache>
                <c:formatCode>#,##0</c:formatCode>
                <c:ptCount val="9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49-464D-AF0C-0056F3C2D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40635656"/>
        <c:axId val="340634480"/>
      </c:barChart>
      <c:lineChart>
        <c:grouping val="standard"/>
        <c:varyColors val="0"/>
        <c:ser>
          <c:idx val="0"/>
          <c:order val="1"/>
          <c:tx>
            <c:strRef>
              <c:f>bcs!$L$2:$T$2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C66AA9CB-FB03-4637-A0D9-D0A9E523F6C7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149-464D-AF0C-0056F3C2DE33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bcs!$L$5:$T$5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149-464D-AF0C-0056F3C2D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630168"/>
        <c:axId val="340632520"/>
      </c:lineChart>
      <c:catAx>
        <c:axId val="340635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634480"/>
        <c:crosses val="autoZero"/>
        <c:auto val="1"/>
        <c:lblAlgn val="ctr"/>
        <c:lblOffset val="100"/>
        <c:noMultiLvlLbl val="0"/>
      </c:catAx>
      <c:valAx>
        <c:axId val="340634480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635656"/>
        <c:crosses val="autoZero"/>
        <c:crossBetween val="between"/>
      </c:valAx>
      <c:valAx>
        <c:axId val="340632520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630168"/>
        <c:crosses val="max"/>
        <c:crossBetween val="between"/>
      </c:valAx>
      <c:catAx>
        <c:axId val="340630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063252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411874001710077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bcs!$B$2:$J$2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bcs!$B$6:$J$6</c:f>
              <c:numCache>
                <c:formatCode>#,##0</c:formatCode>
                <c:ptCount val="9"/>
                <c:pt idx="0">
                  <c:v>302</c:v>
                </c:pt>
                <c:pt idx="1">
                  <c:v>303</c:v>
                </c:pt>
                <c:pt idx="2">
                  <c:v>274</c:v>
                </c:pt>
                <c:pt idx="3">
                  <c:v>249</c:v>
                </c:pt>
                <c:pt idx="4">
                  <c:v>271</c:v>
                </c:pt>
                <c:pt idx="5">
                  <c:v>267</c:v>
                </c:pt>
                <c:pt idx="6">
                  <c:v>247</c:v>
                </c:pt>
                <c:pt idx="7">
                  <c:v>263</c:v>
                </c:pt>
                <c:pt idx="8">
                  <c:v>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28-489F-90A1-A9CC45683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40630560"/>
        <c:axId val="340633696"/>
      </c:barChart>
      <c:lineChart>
        <c:grouping val="standard"/>
        <c:varyColors val="0"/>
        <c:ser>
          <c:idx val="0"/>
          <c:order val="1"/>
          <c:tx>
            <c:strRef>
              <c:f>bcs!$L$2:$T$2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A328FD74-1015-4856-B141-E0B3EEDF6413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A28-489F-90A1-A9CC45683CA8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bcs!$L$3:$T$3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bcs!$L$6:$T$6</c:f>
              <c:numCache>
                <c:formatCode>0.0</c:formatCode>
                <c:ptCount val="9"/>
                <c:pt idx="0">
                  <c:v>90</c:v>
                </c:pt>
                <c:pt idx="1">
                  <c:v>89.1</c:v>
                </c:pt>
                <c:pt idx="2">
                  <c:v>89.4</c:v>
                </c:pt>
                <c:pt idx="3">
                  <c:v>87.7</c:v>
                </c:pt>
                <c:pt idx="4">
                  <c:v>88.6</c:v>
                </c:pt>
                <c:pt idx="5">
                  <c:v>91.2</c:v>
                </c:pt>
                <c:pt idx="6">
                  <c:v>88.9</c:v>
                </c:pt>
                <c:pt idx="7">
                  <c:v>86.7</c:v>
                </c:pt>
                <c:pt idx="8">
                  <c:v>96.1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AA28-489F-90A1-A9CC45683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634872"/>
        <c:axId val="340634088"/>
      </c:lineChart>
      <c:catAx>
        <c:axId val="34063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633696"/>
        <c:crosses val="autoZero"/>
        <c:auto val="1"/>
        <c:lblAlgn val="ctr"/>
        <c:lblOffset val="100"/>
        <c:noMultiLvlLbl val="0"/>
      </c:catAx>
      <c:valAx>
        <c:axId val="340633696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630560"/>
        <c:crosses val="autoZero"/>
        <c:crossBetween val="between"/>
      </c:valAx>
      <c:valAx>
        <c:axId val="340634088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634872"/>
        <c:crosses val="max"/>
        <c:crossBetween val="between"/>
      </c:valAx>
      <c:catAx>
        <c:axId val="340634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063408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3739188300316399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bcs!$B$2:$J$2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bcs!$B$7:$J$7</c:f>
              <c:numCache>
                <c:formatCode>#,##0</c:formatCode>
                <c:ptCount val="9"/>
                <c:pt idx="0">
                  <c:v>116</c:v>
                </c:pt>
                <c:pt idx="1">
                  <c:v>104</c:v>
                </c:pt>
                <c:pt idx="2">
                  <c:v>83</c:v>
                </c:pt>
                <c:pt idx="3">
                  <c:v>104</c:v>
                </c:pt>
                <c:pt idx="4">
                  <c:v>95</c:v>
                </c:pt>
                <c:pt idx="5">
                  <c:v>93</c:v>
                </c:pt>
                <c:pt idx="6">
                  <c:v>65</c:v>
                </c:pt>
                <c:pt idx="7">
                  <c:v>72</c:v>
                </c:pt>
                <c:pt idx="8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30-476D-BED8-91B1E2589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40628992"/>
        <c:axId val="340632128"/>
      </c:barChart>
      <c:lineChart>
        <c:grouping val="standard"/>
        <c:varyColors val="0"/>
        <c:ser>
          <c:idx val="0"/>
          <c:order val="1"/>
          <c:tx>
            <c:strRef>
              <c:f>bcs!$L$2:$T$2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bcs!$L$7:$T$7</c:f>
              <c:numCache>
                <c:formatCode>0.0</c:formatCode>
                <c:ptCount val="9"/>
                <c:pt idx="0">
                  <c:v>82.6</c:v>
                </c:pt>
                <c:pt idx="1">
                  <c:v>76.7</c:v>
                </c:pt>
                <c:pt idx="2">
                  <c:v>76.400000000000006</c:v>
                </c:pt>
                <c:pt idx="3">
                  <c:v>77.8</c:v>
                </c:pt>
                <c:pt idx="4">
                  <c:v>81.2</c:v>
                </c:pt>
                <c:pt idx="5">
                  <c:v>81.3</c:v>
                </c:pt>
                <c:pt idx="6">
                  <c:v>76</c:v>
                </c:pt>
                <c:pt idx="7">
                  <c:v>75</c:v>
                </c:pt>
                <c:pt idx="8">
                  <c:v>90.6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230-476D-BED8-91B1E2589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631736"/>
        <c:axId val="340632912"/>
      </c:lineChart>
      <c:catAx>
        <c:axId val="340628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632128"/>
        <c:crosses val="autoZero"/>
        <c:auto val="1"/>
        <c:lblAlgn val="ctr"/>
        <c:lblOffset val="100"/>
        <c:noMultiLvlLbl val="0"/>
      </c:catAx>
      <c:valAx>
        <c:axId val="340632128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628992"/>
        <c:crosses val="autoZero"/>
        <c:crossBetween val="between"/>
      </c:valAx>
      <c:valAx>
        <c:axId val="340632912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631736"/>
        <c:crosses val="max"/>
        <c:crossBetween val="between"/>
      </c:valAx>
      <c:catAx>
        <c:axId val="340631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063291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4516781784937957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85043213038685905"/>
          <c:h val="0.640628721409823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bcs!$B$2:$J$2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1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1000" b="1" baseline="0">
                      <a:solidFill>
                        <a:schemeClr val="tx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1000" b="1" baseline="0">
                      <a:solidFill>
                        <a:schemeClr val="tx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tx>
                <c:rich>
                  <a:bodyPr rot="-5400000" vert="horz"/>
                  <a:lstStyle/>
                  <a:p>
                    <a:pPr>
                      <a:defRPr sz="1000" b="1" baseline="0">
                        <a:solidFill>
                          <a:schemeClr val="tx1"/>
                        </a:solidFill>
                        <a:latin typeface="Times New Roman" pitchFamily="18" charset="0"/>
                        <a:cs typeface="Times New Roman" pitchFamily="18" charset="0"/>
                      </a:defRPr>
                    </a:pPr>
                    <a:fld id="{2F1CC006-9C23-49C3-B8FB-20FDBE2582A5}" type="VALUE">
                      <a:rPr lang="en-US">
                        <a:solidFill>
                          <a:schemeClr val="tx1"/>
                        </a:solidFill>
                      </a:rPr>
                      <a:pPr>
                        <a:defRPr sz="1000" b="1" baseline="0">
                          <a:solidFill>
                            <a:schemeClr val="tx1"/>
                          </a:solidFill>
                          <a:latin typeface="Times New Roman" pitchFamily="18" charset="0"/>
                          <a:cs typeface="Times New Roman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numFmt formatCode="#,##0" sourceLinked="0"/>
              <c:spPr>
                <a:noFill/>
                <a:ln>
                  <a:noFill/>
                </a:ln>
                <a:effectLst/>
              </c:sp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327-4994-B8E8-C81E46F9B42F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1000" b="1" baseline="0">
                      <a:solidFill>
                        <a:schemeClr val="tx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bcs!$B$8:$J$8</c:f>
              <c:numCache>
                <c:formatCode>#,##0</c:formatCode>
                <c:ptCount val="9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327-4994-B8E8-C81E46F9B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40635264"/>
        <c:axId val="340636440"/>
      </c:barChart>
      <c:lineChart>
        <c:grouping val="standard"/>
        <c:varyColors val="0"/>
        <c:ser>
          <c:idx val="0"/>
          <c:order val="1"/>
          <c:tx>
            <c:strRef>
              <c:f>bcs!$L$2:$T$2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1000" b="1" baseline="0">
                        <a:solidFill>
                          <a:schemeClr val="bg1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defRPr>
                    </a:pPr>
                    <a:fld id="{37B06550-B442-4DD6-BA75-72F85B185CEF}" type="VALUE">
                      <a:rPr lang="en-US">
                        <a:solidFill>
                          <a:schemeClr val="bg1"/>
                        </a:solidFill>
                      </a:rPr>
                      <a:pPr>
                        <a:defRPr sz="1000" b="1" baseline="0">
                          <a:solidFill>
                            <a:schemeClr val="bg1"/>
                          </a:solidFill>
                          <a:latin typeface="Times New Roman" panose="02020603050405020304" pitchFamily="18" charset="0"/>
                          <a:cs typeface="Times New Roman" panose="02020603050405020304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327-4994-B8E8-C81E46F9B42F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3.7603569152326322E-2"/>
                  <c:y val="-6.761904761904762E-2"/>
                </c:manualLayout>
              </c:layout>
              <c:tx>
                <c:rich>
                  <a:bodyPr/>
                  <a:lstStyle/>
                  <a:p>
                    <a:fld id="{21A57508-DCD0-48A9-870E-9CC630EC1391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27-4994-B8E8-C81E46F9B42F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3.5054174633524539E-2"/>
                  <c:y val="-7.1428571428571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48C-47C6-B5E3-FAA50AFC6D4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603569152326419E-2"/>
                  <c:y val="-0.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48C-47C6-B5E3-FAA50AFC6D45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7603569152326322E-2"/>
                  <c:y val="-6.3809523809523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48C-47C6-B5E3-FAA50AFC6D4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bcs!$L$8:$T$8</c:f>
              <c:numCache>
                <c:formatCode>0.0</c:formatCode>
                <c:ptCount val="9"/>
                <c:pt idx="0">
                  <c:v>100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100</c:v>
                </c:pt>
                <c:pt idx="5">
                  <c:v>100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327-4994-B8E8-C81E46F9B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630952"/>
        <c:axId val="340629384"/>
      </c:lineChart>
      <c:catAx>
        <c:axId val="34063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636440"/>
        <c:crosses val="autoZero"/>
        <c:auto val="1"/>
        <c:lblAlgn val="ctr"/>
        <c:lblOffset val="100"/>
        <c:noMultiLvlLbl val="0"/>
      </c:catAx>
      <c:valAx>
        <c:axId val="340636440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635264"/>
        <c:crosses val="autoZero"/>
        <c:crossBetween val="between"/>
      </c:valAx>
      <c:valAx>
        <c:axId val="340629384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630952"/>
        <c:crosses val="max"/>
        <c:crossBetween val="between"/>
      </c:valAx>
      <c:catAx>
        <c:axId val="340630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062938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339372849322632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84091679739144132"/>
          <c:h val="0.638723659542557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bcs!$B$2:$J$2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bcs!$B$9:$J$9</c:f>
              <c:numCache>
                <c:formatCode>#,##0</c:formatCode>
                <c:ptCount val="9"/>
                <c:pt idx="0">
                  <c:v>46</c:v>
                </c:pt>
                <c:pt idx="1">
                  <c:v>52</c:v>
                </c:pt>
                <c:pt idx="2">
                  <c:v>40</c:v>
                </c:pt>
                <c:pt idx="3">
                  <c:v>32</c:v>
                </c:pt>
                <c:pt idx="4">
                  <c:v>17</c:v>
                </c:pt>
                <c:pt idx="5">
                  <c:v>19</c:v>
                </c:pt>
                <c:pt idx="6">
                  <c:v>27</c:v>
                </c:pt>
                <c:pt idx="7">
                  <c:v>41</c:v>
                </c:pt>
                <c:pt idx="8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40-4DDD-A4FF-41B56CF92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40843008"/>
        <c:axId val="340844184"/>
      </c:barChart>
      <c:lineChart>
        <c:grouping val="standard"/>
        <c:varyColors val="0"/>
        <c:ser>
          <c:idx val="0"/>
          <c:order val="1"/>
          <c:tx>
            <c:strRef>
              <c:f>bcs!$L$2:$T$2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4.3977055449330782E-2"/>
                  <c:y val="-0.06"/>
                </c:manualLayout>
              </c:layout>
              <c:tx>
                <c:rich>
                  <a:bodyPr/>
                  <a:lstStyle/>
                  <a:p>
                    <a:fld id="{9B6647D9-93AE-4BCC-B60B-101526F3B686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E40-4DDD-A4FF-41B56CF9209F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4.397705544933083E-2"/>
                  <c:y val="-7.5238095238095243E-2"/>
                </c:manualLayout>
              </c:layout>
              <c:tx>
                <c:rich>
                  <a:bodyPr/>
                  <a:lstStyle/>
                  <a:p>
                    <a:fld id="{912535D2-6B27-4671-91B6-99E73138F7DF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E40-4DDD-A4FF-41B56CF9209F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EA81C36-B1A9-47E7-809A-5A04319D3485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E40-4DDD-A4FF-41B56CF9209F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bcs!$L$9:$T$9</c:f>
              <c:numCache>
                <c:formatCode>0.0</c:formatCode>
                <c:ptCount val="9"/>
                <c:pt idx="0">
                  <c:v>75.400000000000006</c:v>
                </c:pt>
                <c:pt idx="1">
                  <c:v>80</c:v>
                </c:pt>
                <c:pt idx="2">
                  <c:v>60.7</c:v>
                </c:pt>
                <c:pt idx="3">
                  <c:v>75.599999999999994</c:v>
                </c:pt>
                <c:pt idx="4">
                  <c:v>61.5</c:v>
                </c:pt>
                <c:pt idx="5">
                  <c:v>73.099999999999994</c:v>
                </c:pt>
                <c:pt idx="6">
                  <c:v>77.099999999999994</c:v>
                </c:pt>
                <c:pt idx="7">
                  <c:v>80.400000000000006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E40-4DDD-A4FF-41B56CF92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837520"/>
        <c:axId val="340841048"/>
      </c:lineChart>
      <c:catAx>
        <c:axId val="34084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44184"/>
        <c:crosses val="autoZero"/>
        <c:auto val="1"/>
        <c:lblAlgn val="ctr"/>
        <c:lblOffset val="100"/>
        <c:noMultiLvlLbl val="0"/>
      </c:catAx>
      <c:valAx>
        <c:axId val="340844184"/>
        <c:scaling>
          <c:orientation val="minMax"/>
          <c:max val="60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43008"/>
        <c:crosses val="autoZero"/>
        <c:crossBetween val="between"/>
      </c:valAx>
      <c:valAx>
        <c:axId val="340841048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37520"/>
        <c:crosses val="max"/>
        <c:crossBetween val="between"/>
      </c:valAx>
      <c:catAx>
        <c:axId val="340837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084104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37350670166532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bcs!$B$2:$J$2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C5CB6B2-7894-45C9-94B6-FA5F0B002CF1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9D3-4C1E-BECA-A6D0F1AA980D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C7986D5-8686-42AC-B73D-569E9842A227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9D3-4C1E-BECA-A6D0F1AA980D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2FD1A84-0DAE-496F-BDC8-8323E3A38622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9D3-4C1E-BECA-A6D0F1AA980D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BAC736F-12CE-417A-9FD1-8394A0EF4B26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9D3-4C1E-BECA-A6D0F1AA980D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8B05468-9274-47F0-BA09-547C4521F021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9D3-4C1E-BECA-A6D0F1AA980D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bcs!$B$10:$J$10</c:f>
              <c:numCache>
                <c:formatCode>#,##0</c:formatCode>
                <c:ptCount val="9"/>
                <c:pt idx="0">
                  <c:v>1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6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9D3-4C1E-BECA-A6D0F1AA9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40837128"/>
        <c:axId val="340839872"/>
      </c:barChart>
      <c:lineChart>
        <c:grouping val="standard"/>
        <c:varyColors val="0"/>
        <c:ser>
          <c:idx val="0"/>
          <c:order val="1"/>
          <c:tx>
            <c:strRef>
              <c:f>bcs!$L$2:$T$2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2"/>
              <c:layout>
                <c:manualLayout>
                  <c:x val="-4.397705544933083E-2"/>
                  <c:y val="-8.69918699186991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437-4134-9C04-74C3AAB2DF5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0350541746335242E-2"/>
                  <c:y val="-3.4959349593495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437-4134-9C04-74C3AAB2DF5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217742380672782E-2"/>
                  <c:y val="-3.2249407848409191E-2"/>
                </c:manualLayout>
              </c:layout>
              <c:tx>
                <c:rich>
                  <a:bodyPr/>
                  <a:lstStyle/>
                  <a:p>
                    <a:fld id="{0D2A13A3-FC1E-4EB7-8A26-2182465F0A0C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19D3-4C1E-BECA-A6D0F1AA980D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4.1290555697746194E-2"/>
                  <c:y val="-2.9709749695922185E-2"/>
                </c:manualLayout>
              </c:layout>
              <c:tx>
                <c:rich>
                  <a:bodyPr/>
                  <a:lstStyle/>
                  <a:p>
                    <a:fld id="{B6A465B9-0A6E-4CB2-B1F7-A0A5BF0479C5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19D3-4C1E-BECA-A6D0F1AA980D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4.3977055449330692E-2"/>
                  <c:y val="-5.7723577235772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437-4134-9C04-74C3AAB2DF55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0350541746335152E-2"/>
                  <c:y val="-3.170731707317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437-4134-9C04-74C3AAB2DF55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5029935311623331E-2"/>
                  <c:y val="-3.62138147365725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9D3-4C1E-BECA-A6D0F1AA980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bcs!$L$10:$T$10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40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80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19D3-4C1E-BECA-A6D0F1AA9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833600"/>
        <c:axId val="340843400"/>
      </c:lineChart>
      <c:catAx>
        <c:axId val="340837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39872"/>
        <c:crosses val="autoZero"/>
        <c:auto val="1"/>
        <c:lblAlgn val="ctr"/>
        <c:lblOffset val="100"/>
        <c:noMultiLvlLbl val="0"/>
      </c:catAx>
      <c:valAx>
        <c:axId val="340839872"/>
        <c:scaling>
          <c:orientation val="minMax"/>
          <c:max val="10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37128"/>
        <c:crosses val="autoZero"/>
        <c:crossBetween val="between"/>
      </c:valAx>
      <c:valAx>
        <c:axId val="340843400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33600"/>
        <c:crosses val="max"/>
        <c:crossBetween val="between"/>
      </c:valAx>
      <c:catAx>
        <c:axId val="340833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084340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3373908638471385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táblázat_eljszerves!$B$7:$J$7</c:f>
              <c:numCache>
                <c:formatCode>#,##0</c:formatCode>
                <c:ptCount val="9"/>
                <c:pt idx="0">
                  <c:v>298</c:v>
                </c:pt>
                <c:pt idx="1">
                  <c:v>306</c:v>
                </c:pt>
                <c:pt idx="2">
                  <c:v>274</c:v>
                </c:pt>
                <c:pt idx="3">
                  <c:v>261</c:v>
                </c:pt>
                <c:pt idx="4">
                  <c:v>272</c:v>
                </c:pt>
                <c:pt idx="5">
                  <c:v>268</c:v>
                </c:pt>
                <c:pt idx="6">
                  <c:v>248</c:v>
                </c:pt>
                <c:pt idx="7">
                  <c:v>263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32-49BD-8E16-9CFB41EC9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5146472"/>
        <c:axId val="335144904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6938815025171034E-2"/>
                  <c:y val="-3.029021372328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F7E-4E29-BA81-EC0B96AB152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938815025171034E-2"/>
                  <c:y val="-2.6409298837645295E-2"/>
                </c:manualLayout>
              </c:layout>
              <c:tx>
                <c:rich>
                  <a:bodyPr/>
                  <a:lstStyle/>
                  <a:p>
                    <a:fld id="{A328FD74-1015-4856-B141-E0B3EEDF6413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D32-49BD-8E16-9CFB41EC987B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4.6938775510204082E-2"/>
                  <c:y val="-3.3957042851114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F7E-4E29-BA81-EC0B96AB152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9659863945578281E-2"/>
                  <c:y val="-5.72418722347354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F7E-4E29-BA81-EC0B96AB152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6938775510204082E-2"/>
                  <c:y val="-6.50034820292759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F7E-4E29-BA81-EC0B96AB152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4.1496598639455984E-2"/>
                  <c:y val="2.42550306079387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49E-430B-AD51-18C13533979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táblázat_eljszerves!$R$7:$Z$7</c:f>
              <c:numCache>
                <c:formatCode>0.0</c:formatCode>
                <c:ptCount val="9"/>
                <c:pt idx="0">
                  <c:v>90</c:v>
                </c:pt>
                <c:pt idx="1">
                  <c:v>89.1</c:v>
                </c:pt>
                <c:pt idx="2">
                  <c:v>89.4</c:v>
                </c:pt>
                <c:pt idx="3">
                  <c:v>87.7</c:v>
                </c:pt>
                <c:pt idx="4">
                  <c:v>88.6</c:v>
                </c:pt>
                <c:pt idx="5">
                  <c:v>91.2</c:v>
                </c:pt>
                <c:pt idx="6">
                  <c:v>88.9</c:v>
                </c:pt>
                <c:pt idx="7">
                  <c:v>86.7</c:v>
                </c:pt>
                <c:pt idx="8">
                  <c:v>96.1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D32-49BD-8E16-9CFB41EC987B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4.5578231292517105E-2"/>
                  <c:y val="-4.17186526456547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rgbClr val="0066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49E-430B-AD51-18C13533979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FF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táblázat_eljszerves!$AG$7:$AO$7</c:f>
              <c:numCache>
                <c:formatCode>General</c:formatCode>
                <c:ptCount val="9"/>
                <c:pt idx="5" formatCode="0.0">
                  <c:v>86.4</c:v>
                </c:pt>
                <c:pt idx="6" formatCode="0.0">
                  <c:v>89.4</c:v>
                </c:pt>
                <c:pt idx="7" formatCode="0.0">
                  <c:v>85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D32-49BD-8E16-9CFB41EC9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47256"/>
        <c:axId val="335150000"/>
      </c:lineChart>
      <c:catAx>
        <c:axId val="335146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144904"/>
        <c:crosses val="autoZero"/>
        <c:auto val="1"/>
        <c:lblAlgn val="ctr"/>
        <c:lblOffset val="100"/>
        <c:noMultiLvlLbl val="0"/>
      </c:catAx>
      <c:valAx>
        <c:axId val="335144904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146472"/>
        <c:crosses val="autoZero"/>
        <c:crossBetween val="between"/>
      </c:valAx>
      <c:valAx>
        <c:axId val="335150000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147256"/>
        <c:crosses val="max"/>
        <c:crossBetween val="between"/>
      </c:valAx>
      <c:catAx>
        <c:axId val="335147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515000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3739188300316399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bcs!$B$2:$J$2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bcs!$B$11:$J$11</c:f>
              <c:numCache>
                <c:formatCode>#,##0</c:formatCode>
                <c:ptCount val="9"/>
                <c:pt idx="0">
                  <c:v>528</c:v>
                </c:pt>
                <c:pt idx="1">
                  <c:v>507</c:v>
                </c:pt>
                <c:pt idx="2">
                  <c:v>480</c:v>
                </c:pt>
                <c:pt idx="3">
                  <c:v>446</c:v>
                </c:pt>
                <c:pt idx="4">
                  <c:v>449</c:v>
                </c:pt>
                <c:pt idx="5">
                  <c:v>395</c:v>
                </c:pt>
                <c:pt idx="6">
                  <c:v>336</c:v>
                </c:pt>
                <c:pt idx="7">
                  <c:v>311</c:v>
                </c:pt>
                <c:pt idx="8">
                  <c:v>249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A8-41D1-B772-4AD763B87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40838304"/>
        <c:axId val="340843792"/>
      </c:barChart>
      <c:lineChart>
        <c:grouping val="standard"/>
        <c:varyColors val="0"/>
        <c:ser>
          <c:idx val="0"/>
          <c:order val="1"/>
          <c:tx>
            <c:strRef>
              <c:f>bcs!$L$2:$T$2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1000" b="1" baseline="0">
                        <a:solidFill>
                          <a:schemeClr val="bg1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defRPr>
                    </a:pPr>
                    <a:fld id="{98C5BC35-C2A5-49BC-BA9A-45B84E28208C}" type="VALUE">
                      <a:rPr lang="en-US">
                        <a:solidFill>
                          <a:schemeClr val="bg1"/>
                        </a:solidFill>
                      </a:rPr>
                      <a:pPr>
                        <a:defRPr sz="1000" b="1" baseline="0">
                          <a:solidFill>
                            <a:schemeClr val="bg1"/>
                          </a:solidFill>
                          <a:latin typeface="Times New Roman" panose="02020603050405020304" pitchFamily="18" charset="0"/>
                          <a:cs typeface="Times New Roman" panose="02020603050405020304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DA8-41D1-B772-4AD763B87321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4.7235385084360315E-2"/>
                  <c:y val="-4.0952380952380955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1000" b="1" baseline="0">
                        <a:solidFill>
                          <a:schemeClr val="bg1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defRPr>
                    </a:pPr>
                    <a:fld id="{A7FAE4D5-765C-45C1-B150-BCD7C499D8AC}" type="VALUE">
                      <a:rPr lang="en-US">
                        <a:solidFill>
                          <a:schemeClr val="bg1"/>
                        </a:solidFill>
                      </a:rPr>
                      <a:pPr>
                        <a:defRPr sz="1000" b="1" baseline="0">
                          <a:solidFill>
                            <a:schemeClr val="bg1"/>
                          </a:solidFill>
                          <a:latin typeface="Times New Roman" panose="02020603050405020304" pitchFamily="18" charset="0"/>
                          <a:cs typeface="Times New Roman" panose="02020603050405020304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DA8-41D1-B772-4AD763B87321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4.9671037774197964E-2"/>
                  <c:y val="-3.7266756289610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DA8-41D1-B772-4AD763B8732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412457785602238E-2"/>
                  <c:y val="-6.761904761904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DA8-41D1-B772-4AD763B8732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6897093581592969E-2"/>
                  <c:y val="-9.0476190476190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DA8-41D1-B772-4AD763B8732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0120165366449169E-2"/>
                  <c:y val="-3.3333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DA8-41D1-B772-4AD763B8732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bcs!$L$11:$T$11</c:f>
              <c:numCache>
                <c:formatCode>0.0</c:formatCode>
                <c:ptCount val="9"/>
                <c:pt idx="0">
                  <c:v>79.2</c:v>
                </c:pt>
                <c:pt idx="1">
                  <c:v>76.7</c:v>
                </c:pt>
                <c:pt idx="2">
                  <c:v>75.900000000000006</c:v>
                </c:pt>
                <c:pt idx="3">
                  <c:v>76.3</c:v>
                </c:pt>
                <c:pt idx="4">
                  <c:v>77.599999999999994</c:v>
                </c:pt>
                <c:pt idx="5">
                  <c:v>82.8</c:v>
                </c:pt>
                <c:pt idx="6">
                  <c:v>76</c:v>
                </c:pt>
                <c:pt idx="7">
                  <c:v>77.599999999999994</c:v>
                </c:pt>
                <c:pt idx="8">
                  <c:v>87.9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DA8-41D1-B772-4AD763B87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842224"/>
        <c:axId val="340839088"/>
      </c:lineChart>
      <c:catAx>
        <c:axId val="34083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43792"/>
        <c:crosses val="autoZero"/>
        <c:auto val="1"/>
        <c:lblAlgn val="ctr"/>
        <c:lblOffset val="100"/>
        <c:noMultiLvlLbl val="0"/>
      </c:catAx>
      <c:valAx>
        <c:axId val="340843792"/>
        <c:scaling>
          <c:orientation val="minMax"/>
          <c:max val="550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38304"/>
        <c:crosses val="autoZero"/>
        <c:crossBetween val="between"/>
      </c:valAx>
      <c:valAx>
        <c:axId val="340839088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42224"/>
        <c:crosses val="max"/>
        <c:crossBetween val="between"/>
      </c:valAx>
      <c:catAx>
        <c:axId val="340842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083908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4516781784937957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86402554099506101"/>
          <c:h val="0.640628721409823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bcs!$B$2:$J$2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bcs!$B$12:$J$12</c:f>
              <c:numCache>
                <c:formatCode>#,##0</c:formatCode>
                <c:ptCount val="9"/>
                <c:pt idx="0">
                  <c:v>27</c:v>
                </c:pt>
                <c:pt idx="1">
                  <c:v>37</c:v>
                </c:pt>
                <c:pt idx="2">
                  <c:v>15</c:v>
                </c:pt>
                <c:pt idx="3">
                  <c:v>23</c:v>
                </c:pt>
                <c:pt idx="4">
                  <c:v>21</c:v>
                </c:pt>
                <c:pt idx="5">
                  <c:v>17</c:v>
                </c:pt>
                <c:pt idx="6">
                  <c:v>16</c:v>
                </c:pt>
                <c:pt idx="7">
                  <c:v>21</c:v>
                </c:pt>
                <c:pt idx="8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6A4-4CDB-B68A-BFCE9E647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40841440"/>
        <c:axId val="340839480"/>
      </c:barChart>
      <c:lineChart>
        <c:grouping val="standard"/>
        <c:varyColors val="0"/>
        <c:ser>
          <c:idx val="0"/>
          <c:order val="1"/>
          <c:tx>
            <c:strRef>
              <c:f>bcs!$L$2:$T$2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7131147540983617E-2"/>
                  <c:y val="-7.9047619047619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6A4-4CDB-B68A-BFCE9E6473B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131078022512964E-2"/>
                  <c:y val="-7.1428571428571466E-2"/>
                </c:manualLayout>
              </c:layout>
              <c:tx>
                <c:rich>
                  <a:bodyPr/>
                  <a:lstStyle/>
                  <a:p>
                    <a:fld id="{8888A950-C6E3-4A18-B0C9-130F672B4392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6A4-4CDB-B68A-BFCE9E6473B0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bcs!$L$12:$T$12</c:f>
              <c:numCache>
                <c:formatCode>0.0</c:formatCode>
                <c:ptCount val="9"/>
                <c:pt idx="0">
                  <c:v>87.1</c:v>
                </c:pt>
                <c:pt idx="1">
                  <c:v>85.1</c:v>
                </c:pt>
                <c:pt idx="2">
                  <c:v>84.6</c:v>
                </c:pt>
                <c:pt idx="3">
                  <c:v>86.8</c:v>
                </c:pt>
                <c:pt idx="4">
                  <c:v>92</c:v>
                </c:pt>
                <c:pt idx="5">
                  <c:v>89.5</c:v>
                </c:pt>
                <c:pt idx="6">
                  <c:v>81.8</c:v>
                </c:pt>
                <c:pt idx="7">
                  <c:v>80</c:v>
                </c:pt>
                <c:pt idx="8">
                  <c:v>83.8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6A4-4CDB-B68A-BFCE9E647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835952"/>
        <c:axId val="340838696"/>
      </c:lineChart>
      <c:catAx>
        <c:axId val="34084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39480"/>
        <c:crosses val="autoZero"/>
        <c:auto val="1"/>
        <c:lblAlgn val="ctr"/>
        <c:lblOffset val="100"/>
        <c:noMultiLvlLbl val="0"/>
      </c:catAx>
      <c:valAx>
        <c:axId val="340839480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41440"/>
        <c:crosses val="autoZero"/>
        <c:crossBetween val="between"/>
      </c:valAx>
      <c:valAx>
        <c:axId val="340838696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35952"/>
        <c:crosses val="max"/>
        <c:crossBetween val="between"/>
      </c:valAx>
      <c:catAx>
        <c:axId val="340835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083869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4516777317229604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bcs!$B$2:$J$2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bcs!$B$13:$J$13</c:f>
              <c:numCache>
                <c:formatCode>#,##0</c:formatCode>
                <c:ptCount val="9"/>
                <c:pt idx="0">
                  <c:v>3541</c:v>
                </c:pt>
                <c:pt idx="1">
                  <c:v>3017</c:v>
                </c:pt>
                <c:pt idx="2">
                  <c:v>2863</c:v>
                </c:pt>
                <c:pt idx="3">
                  <c:v>2250</c:v>
                </c:pt>
                <c:pt idx="4">
                  <c:v>2275</c:v>
                </c:pt>
                <c:pt idx="5">
                  <c:v>1872</c:v>
                </c:pt>
                <c:pt idx="6">
                  <c:v>1338</c:v>
                </c:pt>
                <c:pt idx="7">
                  <c:v>1368</c:v>
                </c:pt>
                <c:pt idx="8">
                  <c:v>926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16-4880-9755-63F8D6420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40835168"/>
        <c:axId val="340840656"/>
      </c:barChart>
      <c:lineChart>
        <c:grouping val="standard"/>
        <c:varyColors val="0"/>
        <c:ser>
          <c:idx val="0"/>
          <c:order val="1"/>
          <c:tx>
            <c:strRef>
              <c:f>bcs!$L$2:$T$2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5"/>
              <c:layout>
                <c:manualLayout>
                  <c:x val="-4.3977055449330879E-2"/>
                  <c:y val="-3.7142857142857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ACD-4884-BFAF-9E9793E418E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9683243128094315E-2"/>
                  <c:y val="-3.3787176602924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tx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189-4845-9F95-0881682B607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417843086437917E-2"/>
                  <c:y val="-4.09523809523809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16-4880-9755-63F8D6420C7B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2838828083663169E-2"/>
                  <c:y val="-5.23809523809523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116-4880-9755-63F8D6420C7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bcs!$L$13:$T$13</c:f>
              <c:numCache>
                <c:formatCode>0.0</c:formatCode>
                <c:ptCount val="9"/>
                <c:pt idx="0">
                  <c:v>33.1</c:v>
                </c:pt>
                <c:pt idx="1">
                  <c:v>26.3</c:v>
                </c:pt>
                <c:pt idx="2">
                  <c:v>29.7</c:v>
                </c:pt>
                <c:pt idx="3">
                  <c:v>33.799999999999997</c:v>
                </c:pt>
                <c:pt idx="4">
                  <c:v>33.700000000000003</c:v>
                </c:pt>
                <c:pt idx="5">
                  <c:v>38.200000000000003</c:v>
                </c:pt>
                <c:pt idx="6">
                  <c:v>41</c:v>
                </c:pt>
                <c:pt idx="7">
                  <c:v>45.8</c:v>
                </c:pt>
                <c:pt idx="8">
                  <c:v>44.9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116-4880-9755-63F8D6420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844576"/>
        <c:axId val="340833208"/>
      </c:lineChart>
      <c:catAx>
        <c:axId val="34083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40656"/>
        <c:crosses val="autoZero"/>
        <c:auto val="1"/>
        <c:lblAlgn val="ctr"/>
        <c:lblOffset val="100"/>
        <c:noMultiLvlLbl val="0"/>
      </c:catAx>
      <c:valAx>
        <c:axId val="340840656"/>
        <c:scaling>
          <c:orientation val="minMax"/>
          <c:max val="4000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35168"/>
        <c:crosses val="autoZero"/>
        <c:crossBetween val="between"/>
        <c:majorUnit val="1000"/>
      </c:valAx>
      <c:valAx>
        <c:axId val="340833208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44576"/>
        <c:crosses val="max"/>
        <c:crossBetween val="between"/>
      </c:valAx>
      <c:catAx>
        <c:axId val="340844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083320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5298491844932458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4786152996307423E-2"/>
          <c:y val="0.24693303337082861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bcs!$B$2:$J$2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bcs!$B$14:$J$14</c:f>
              <c:numCache>
                <c:formatCode>#,##0</c:formatCode>
                <c:ptCount val="9"/>
                <c:pt idx="0">
                  <c:v>10</c:v>
                </c:pt>
                <c:pt idx="1">
                  <c:v>14</c:v>
                </c:pt>
                <c:pt idx="2">
                  <c:v>15</c:v>
                </c:pt>
                <c:pt idx="3">
                  <c:v>9</c:v>
                </c:pt>
                <c:pt idx="4">
                  <c:v>9</c:v>
                </c:pt>
                <c:pt idx="5">
                  <c:v>12</c:v>
                </c:pt>
                <c:pt idx="6">
                  <c:v>5</c:v>
                </c:pt>
                <c:pt idx="7">
                  <c:v>12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A89-4E01-8B41-0D24CC6BE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40842616"/>
        <c:axId val="340844968"/>
      </c:barChart>
      <c:lineChart>
        <c:grouping val="standard"/>
        <c:varyColors val="0"/>
        <c:ser>
          <c:idx val="0"/>
          <c:order val="1"/>
          <c:tx>
            <c:strRef>
              <c:f>bcs!$L$2:$T$2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4.397705544933083E-2"/>
                  <c:y val="-8.11965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E1F-46A0-8608-275BC872BB2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6938775510204082E-2"/>
                  <c:y val="-8.0443051112359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B18-4CF7-95E8-9FCA6C9F69D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7131147540983707E-2"/>
                  <c:y val="-3.71428571428572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A89-4E01-8B41-0D24CC6BEAB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6897156136757621E-2"/>
                  <c:y val="-4.09523809523810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A89-4E01-8B41-0D24CC6BEAB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bcs!$L$14:$T$14</c:f>
              <c:numCache>
                <c:formatCode>0.0</c:formatCode>
                <c:ptCount val="9"/>
                <c:pt idx="0">
                  <c:v>30</c:v>
                </c:pt>
                <c:pt idx="1">
                  <c:v>69.400000000000006</c:v>
                </c:pt>
                <c:pt idx="2">
                  <c:v>70.599999999999994</c:v>
                </c:pt>
                <c:pt idx="3">
                  <c:v>14.3</c:v>
                </c:pt>
                <c:pt idx="4">
                  <c:v>70</c:v>
                </c:pt>
                <c:pt idx="5">
                  <c:v>41.7</c:v>
                </c:pt>
                <c:pt idx="6">
                  <c:v>75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A89-4E01-8B41-0D24CC6BE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833992"/>
        <c:axId val="340832816"/>
      </c:lineChart>
      <c:catAx>
        <c:axId val="340842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44968"/>
        <c:crosses val="autoZero"/>
        <c:auto val="1"/>
        <c:lblAlgn val="ctr"/>
        <c:lblOffset val="100"/>
        <c:noMultiLvlLbl val="0"/>
      </c:catAx>
      <c:valAx>
        <c:axId val="340844968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42616"/>
        <c:crosses val="autoZero"/>
        <c:crossBetween val="between"/>
      </c:valAx>
      <c:valAx>
        <c:axId val="340832816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33992"/>
        <c:crosses val="max"/>
        <c:crossBetween val="between"/>
      </c:valAx>
      <c:catAx>
        <c:axId val="340833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083281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4907634581081031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bcs!$B$2:$J$2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7"/>
              <c:tx>
                <c:rich>
                  <a:bodyPr/>
                  <a:lstStyle/>
                  <a:p>
                    <a:fld id="{1C264DC6-24CD-49A2-AB8A-39F839E16641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B32-4524-906B-F414E9534A13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bcs!$B$15:$J$15</c:f>
              <c:numCache>
                <c:formatCode>#,##0</c:formatCode>
                <c:ptCount val="9"/>
                <c:pt idx="0">
                  <c:v>148</c:v>
                </c:pt>
                <c:pt idx="1">
                  <c:v>90</c:v>
                </c:pt>
                <c:pt idx="2">
                  <c:v>91</c:v>
                </c:pt>
                <c:pt idx="3">
                  <c:v>47</c:v>
                </c:pt>
                <c:pt idx="4">
                  <c:v>72</c:v>
                </c:pt>
                <c:pt idx="5">
                  <c:v>45</c:v>
                </c:pt>
                <c:pt idx="6">
                  <c:v>17</c:v>
                </c:pt>
                <c:pt idx="7">
                  <c:v>20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B32-4524-906B-F414E9534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40834776"/>
        <c:axId val="340836736"/>
      </c:barChart>
      <c:lineChart>
        <c:grouping val="standard"/>
        <c:varyColors val="0"/>
        <c:ser>
          <c:idx val="0"/>
          <c:order val="1"/>
          <c:tx>
            <c:strRef>
              <c:f>bcs!$L$2:$T$2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7603569152326322E-2"/>
                  <c:y val="-6.06837606837606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535-497A-B6CA-B4B130DDFF0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7603569152326322E-2"/>
                  <c:y val="-6.06837606837606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535-497A-B6CA-B4B130DDFF0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6938815025171034E-2"/>
                  <c:y val="-4.6157330333708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B32-4524-906B-F414E9534A1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bcs!$L$15:$T$15</c:f>
              <c:numCache>
                <c:formatCode>0.0</c:formatCode>
                <c:ptCount val="9"/>
                <c:pt idx="0">
                  <c:v>47.4</c:v>
                </c:pt>
                <c:pt idx="1">
                  <c:v>9.8000000000000007</c:v>
                </c:pt>
                <c:pt idx="2">
                  <c:v>31.9</c:v>
                </c:pt>
                <c:pt idx="3">
                  <c:v>8.5</c:v>
                </c:pt>
                <c:pt idx="4">
                  <c:v>52.8</c:v>
                </c:pt>
                <c:pt idx="5">
                  <c:v>33.299999999999997</c:v>
                </c:pt>
                <c:pt idx="6">
                  <c:v>11.8</c:v>
                </c:pt>
                <c:pt idx="7">
                  <c:v>35</c:v>
                </c:pt>
                <c:pt idx="8">
                  <c:v>18.8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B32-4524-906B-F414E9534A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848496"/>
        <c:axId val="340848104"/>
      </c:lineChart>
      <c:catAx>
        <c:axId val="340834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36736"/>
        <c:crosses val="autoZero"/>
        <c:auto val="1"/>
        <c:lblAlgn val="ctr"/>
        <c:lblOffset val="100"/>
        <c:noMultiLvlLbl val="0"/>
      </c:catAx>
      <c:valAx>
        <c:axId val="340836736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34776"/>
        <c:crosses val="autoZero"/>
        <c:crossBetween val="between"/>
      </c:valAx>
      <c:valAx>
        <c:axId val="340848104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48496"/>
        <c:crosses val="max"/>
        <c:crossBetween val="between"/>
      </c:valAx>
      <c:catAx>
        <c:axId val="340848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084810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0062881718"/>
          <c:y val="2.8374453193350833E-2"/>
          <c:w val="0.68983692437648669"/>
          <c:h val="0.15689349108783884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bcs!$B$2:$J$2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bcs!$B$16:$J$16</c:f>
              <c:numCache>
                <c:formatCode>#,##0</c:formatCode>
                <c:ptCount val="9"/>
                <c:pt idx="0">
                  <c:v>369</c:v>
                </c:pt>
                <c:pt idx="1">
                  <c:v>277</c:v>
                </c:pt>
                <c:pt idx="2">
                  <c:v>315</c:v>
                </c:pt>
                <c:pt idx="3">
                  <c:v>249</c:v>
                </c:pt>
                <c:pt idx="4">
                  <c:v>246</c:v>
                </c:pt>
                <c:pt idx="5">
                  <c:v>282</c:v>
                </c:pt>
                <c:pt idx="6">
                  <c:v>209</c:v>
                </c:pt>
                <c:pt idx="7">
                  <c:v>171</c:v>
                </c:pt>
                <c:pt idx="8">
                  <c:v>130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AF-4D9E-93BD-73565D83D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40846144"/>
        <c:axId val="340847320"/>
      </c:barChart>
      <c:lineChart>
        <c:grouping val="standard"/>
        <c:varyColors val="0"/>
        <c:ser>
          <c:idx val="0"/>
          <c:order val="1"/>
          <c:tx>
            <c:strRef>
              <c:f>bcs!$L$2:$T$2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5"/>
              <c:layout>
                <c:manualLayout>
                  <c:x val="-4.4399002833584382E-2"/>
                  <c:y val="-4.0952380952380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EDC-48E4-9E9F-3BCC369CF0D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7131078022513054E-2"/>
                  <c:y val="-5.238095238095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BAF-4D9E-93BD-73565D83DAB1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6897078438965623E-2"/>
                  <c:y val="-6.3809523809523885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BAF-4D9E-93BD-73565D83DAB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0100466841575172E-2"/>
                  <c:y val="-9.0476190476190474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BAF-4D9E-93BD-73565D83DAB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bcs!$L$16:$T$16</c:f>
              <c:numCache>
                <c:formatCode>0.0</c:formatCode>
                <c:ptCount val="9"/>
                <c:pt idx="0">
                  <c:v>22</c:v>
                </c:pt>
                <c:pt idx="1">
                  <c:v>13.7</c:v>
                </c:pt>
                <c:pt idx="2">
                  <c:v>27.6</c:v>
                </c:pt>
                <c:pt idx="3">
                  <c:v>35.6</c:v>
                </c:pt>
                <c:pt idx="4">
                  <c:v>25.3</c:v>
                </c:pt>
                <c:pt idx="5">
                  <c:v>31.6</c:v>
                </c:pt>
                <c:pt idx="6">
                  <c:v>39.700000000000003</c:v>
                </c:pt>
                <c:pt idx="7">
                  <c:v>49.4</c:v>
                </c:pt>
                <c:pt idx="8">
                  <c:v>48.7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BAF-4D9E-93BD-73565D83D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846536"/>
        <c:axId val="340845752"/>
      </c:lineChart>
      <c:catAx>
        <c:axId val="34084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47320"/>
        <c:crosses val="autoZero"/>
        <c:auto val="1"/>
        <c:lblAlgn val="ctr"/>
        <c:lblOffset val="100"/>
        <c:noMultiLvlLbl val="0"/>
      </c:catAx>
      <c:valAx>
        <c:axId val="340847320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46144"/>
        <c:crosses val="autoZero"/>
        <c:crossBetween val="between"/>
      </c:valAx>
      <c:valAx>
        <c:axId val="340845752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46536"/>
        <c:crosses val="max"/>
        <c:crossBetween val="between"/>
      </c:valAx>
      <c:catAx>
        <c:axId val="340846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084575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5298496553222618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84363543963671639"/>
          <c:h val="0.644438245219347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bcs!$B$2:$J$2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8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bcs!$B$17:$J$17</c:f>
              <c:numCache>
                <c:formatCode>#,##0</c:formatCode>
                <c:ptCount val="9"/>
                <c:pt idx="0">
                  <c:v>62</c:v>
                </c:pt>
                <c:pt idx="1">
                  <c:v>34</c:v>
                </c:pt>
                <c:pt idx="2">
                  <c:v>31</c:v>
                </c:pt>
                <c:pt idx="3">
                  <c:v>20</c:v>
                </c:pt>
                <c:pt idx="4">
                  <c:v>23</c:v>
                </c:pt>
                <c:pt idx="5">
                  <c:v>12</c:v>
                </c:pt>
                <c:pt idx="6">
                  <c:v>8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F7-4EF5-A16D-D2EFFB297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40847712"/>
        <c:axId val="341999264"/>
      </c:barChart>
      <c:lineChart>
        <c:grouping val="standard"/>
        <c:varyColors val="0"/>
        <c:ser>
          <c:idx val="0"/>
          <c:order val="1"/>
          <c:tx>
            <c:strRef>
              <c:f>bcs!$L$2:$T$2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B43CA8F8-9D5C-472F-BBEC-87D680A08374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FF7-4EF5-A16D-D2EFFB297A9A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6DE5AF0-C052-455E-8684-86677C8F839C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FF7-4EF5-A16D-D2EFFB297A9A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66A16B3-9CA9-4595-816E-1A6013FE0F3D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FF7-4EF5-A16D-D2EFFB297A9A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365D79F-2566-4371-BD7D-912FC8AA7893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FF7-4EF5-A16D-D2EFFB297A9A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-3.7603569152326419E-2"/>
                  <c:y val="-6.3809523809523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26C-4620-A1D9-718255CE6F5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bcs!$L$17:$T$17</c:f>
              <c:numCache>
                <c:formatCode>0.0</c:formatCode>
                <c:ptCount val="9"/>
                <c:pt idx="0">
                  <c:v>69.8</c:v>
                </c:pt>
                <c:pt idx="1">
                  <c:v>73.8</c:v>
                </c:pt>
                <c:pt idx="2">
                  <c:v>53.1</c:v>
                </c:pt>
                <c:pt idx="3">
                  <c:v>73.7</c:v>
                </c:pt>
                <c:pt idx="4">
                  <c:v>60.9</c:v>
                </c:pt>
                <c:pt idx="5">
                  <c:v>75</c:v>
                </c:pt>
                <c:pt idx="6">
                  <c:v>100</c:v>
                </c:pt>
                <c:pt idx="7">
                  <c:v>100</c:v>
                </c:pt>
                <c:pt idx="8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FF7-4EF5-A16D-D2EFFB297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988680"/>
        <c:axId val="341994560"/>
      </c:lineChart>
      <c:catAx>
        <c:axId val="34084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1999264"/>
        <c:crosses val="autoZero"/>
        <c:auto val="1"/>
        <c:lblAlgn val="ctr"/>
        <c:lblOffset val="100"/>
        <c:noMultiLvlLbl val="0"/>
      </c:catAx>
      <c:valAx>
        <c:axId val="341999264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0847712"/>
        <c:crosses val="autoZero"/>
        <c:crossBetween val="between"/>
      </c:valAx>
      <c:valAx>
        <c:axId val="341994560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1988680"/>
        <c:crosses val="max"/>
        <c:crossBetween val="between"/>
      </c:valAx>
      <c:catAx>
        <c:axId val="341988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199456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6080211321507282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bcs!$B$2:$J$2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6"/>
              <c:tx>
                <c:rich>
                  <a:bodyPr/>
                  <a:lstStyle/>
                  <a:p>
                    <a:fld id="{FA6A56B1-23C3-4A45-B3EE-85206932B03B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EC3-4B72-8322-ADC30900774E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0"/>
                  <c:y val="0.21770438695163091"/>
                </c:manualLayout>
              </c:layout>
              <c:tx>
                <c:rich>
                  <a:bodyPr/>
                  <a:lstStyle/>
                  <a:p>
                    <a:fld id="{CE8808B6-839A-4CC1-9088-F8E06FB8D5CB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EC3-4B72-8322-ADC30900774E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bcs!$B$18:$J$18</c:f>
              <c:numCache>
                <c:formatCode>#,##0</c:formatCode>
                <c:ptCount val="9"/>
                <c:pt idx="0">
                  <c:v>302</c:v>
                </c:pt>
                <c:pt idx="1">
                  <c:v>293</c:v>
                </c:pt>
                <c:pt idx="2">
                  <c:v>205</c:v>
                </c:pt>
                <c:pt idx="3">
                  <c:v>168</c:v>
                </c:pt>
                <c:pt idx="4">
                  <c:v>158</c:v>
                </c:pt>
                <c:pt idx="5">
                  <c:v>151</c:v>
                </c:pt>
                <c:pt idx="6">
                  <c:v>114</c:v>
                </c:pt>
                <c:pt idx="7">
                  <c:v>133</c:v>
                </c:pt>
                <c:pt idx="8">
                  <c:v>115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C3-4B72-8322-ADC309007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41989856"/>
        <c:axId val="341990640"/>
      </c:barChart>
      <c:lineChart>
        <c:grouping val="standard"/>
        <c:varyColors val="0"/>
        <c:ser>
          <c:idx val="0"/>
          <c:order val="1"/>
          <c:tx>
            <c:strRef>
              <c:f>bcs!$L$2:$T$2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4.397705544933083E-2"/>
                  <c:y val="-3.5135135135135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26E-45FD-9F8D-092303866D7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217742380672782E-2"/>
                  <c:y val="-4.47326381499609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DA8-45FC-810C-AADCF51A2F7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6938568625384543E-2"/>
                  <c:y val="-5.9035823224799604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1000" b="1" baseline="0">
                        <a:solidFill>
                          <a:sysClr val="windowText" lastClr="000000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defRPr>
                    </a:pPr>
                    <a:fld id="{FB02CE91-FFB0-495B-BD3B-3AFC57203082}" type="VALU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000" b="1" baseline="0">
                          <a:solidFill>
                            <a:sysClr val="windowText" lastClr="000000"/>
                          </a:solidFill>
                          <a:latin typeface="Times New Roman" panose="02020603050405020304" pitchFamily="18" charset="0"/>
                          <a:cs typeface="Times New Roman" panose="02020603050405020304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numFmt formatCode="#,##0.0" sourceLinked="0"/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EC3-4B72-8322-ADC30900774E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4.7131147540983707E-2"/>
                  <c:y val="-6.3809523809523885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EC3-4B72-8322-ADC30900774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3.7381952494943867E-2"/>
                  <c:y val="-8.1003901539334747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EC3-4B72-8322-ADC30900774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bcs!$L$18:$T$18</c:f>
              <c:numCache>
                <c:formatCode>0.0</c:formatCode>
                <c:ptCount val="9"/>
                <c:pt idx="0">
                  <c:v>26.8</c:v>
                </c:pt>
                <c:pt idx="1">
                  <c:v>30.2</c:v>
                </c:pt>
                <c:pt idx="2">
                  <c:v>27.6</c:v>
                </c:pt>
                <c:pt idx="3">
                  <c:v>35.700000000000003</c:v>
                </c:pt>
                <c:pt idx="4">
                  <c:v>25.7</c:v>
                </c:pt>
                <c:pt idx="5">
                  <c:v>41.3</c:v>
                </c:pt>
                <c:pt idx="6">
                  <c:v>31.6</c:v>
                </c:pt>
                <c:pt idx="7">
                  <c:v>34.799999999999997</c:v>
                </c:pt>
                <c:pt idx="8">
                  <c:v>24.8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EEC3-4B72-8322-ADC309007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996520"/>
        <c:axId val="341987112"/>
      </c:lineChart>
      <c:catAx>
        <c:axId val="34198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1990640"/>
        <c:crosses val="autoZero"/>
        <c:auto val="1"/>
        <c:lblAlgn val="ctr"/>
        <c:lblOffset val="100"/>
        <c:noMultiLvlLbl val="0"/>
      </c:catAx>
      <c:valAx>
        <c:axId val="341990640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1989856"/>
        <c:crosses val="autoZero"/>
        <c:crossBetween val="between"/>
      </c:valAx>
      <c:valAx>
        <c:axId val="341987112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1996520"/>
        <c:crosses val="max"/>
        <c:crossBetween val="between"/>
      </c:valAx>
      <c:catAx>
        <c:axId val="341996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198711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6080206372635314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8377297388016252E-2"/>
          <c:y val="0.23550446194225721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bcs!$B$2:$J$2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bcs!$B$19:$J$19</c:f>
              <c:numCache>
                <c:formatCode>#,##0</c:formatCode>
                <c:ptCount val="9"/>
                <c:pt idx="0">
                  <c:v>20</c:v>
                </c:pt>
                <c:pt idx="1">
                  <c:v>30</c:v>
                </c:pt>
                <c:pt idx="2">
                  <c:v>30</c:v>
                </c:pt>
                <c:pt idx="3">
                  <c:v>16</c:v>
                </c:pt>
                <c:pt idx="4">
                  <c:v>29</c:v>
                </c:pt>
                <c:pt idx="5">
                  <c:v>26</c:v>
                </c:pt>
                <c:pt idx="6">
                  <c:v>3</c:v>
                </c:pt>
                <c:pt idx="7">
                  <c:v>11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3A-4BFF-BDEC-1ACF10C14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41996912"/>
        <c:axId val="341994952"/>
      </c:barChart>
      <c:lineChart>
        <c:grouping val="standard"/>
        <c:varyColors val="0"/>
        <c:ser>
          <c:idx val="0"/>
          <c:order val="1"/>
          <c:tx>
            <c:strRef>
              <c:f>bcs!$L$2:$T$2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7235390179523613E-2"/>
                  <c:y val="-6.3809523809523816E-2"/>
                </c:manualLayout>
              </c:layout>
              <c:tx>
                <c:rich>
                  <a:bodyPr/>
                  <a:lstStyle/>
                  <a:p>
                    <a:fld id="{92C43526-65ED-41D8-84F3-E11817E42655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E3A-4BFF-BDEC-1ACF10C145D6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A909A18-03E8-47D6-A2F6-0F4A3FEE1C13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E3A-4BFF-BDEC-1ACF10C145D6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4.397705544933083E-2"/>
                  <c:y val="-7.1171171171171166E-2"/>
                </c:manualLayout>
              </c:layout>
              <c:tx>
                <c:rich>
                  <a:bodyPr/>
                  <a:lstStyle/>
                  <a:p>
                    <a:fld id="{4D479276-4244-404E-9452-3886A8C56216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E3A-4BFF-BDEC-1ACF10C145D6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4.397705544933083E-2"/>
                  <c:y val="-6.3963963963963991E-2"/>
                </c:manualLayout>
              </c:layout>
              <c:tx>
                <c:rich>
                  <a:bodyPr/>
                  <a:lstStyle/>
                  <a:p>
                    <a:fld id="{DDFE5241-FEBC-4622-9334-A5B28D96C166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E3A-4BFF-BDEC-1ACF10C145D6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layout>
                <c:manualLayout>
                  <c:x val="-4.4497172079111524E-2"/>
                  <c:y val="-6.2162162162162193E-2"/>
                </c:manualLayout>
              </c:layout>
              <c:tx>
                <c:rich>
                  <a:bodyPr/>
                  <a:lstStyle/>
                  <a:p>
                    <a:fld id="{9BAEE444-5785-41D5-9F6B-41F9357E859D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E3A-4BFF-BDEC-1ACF10C145D6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4.723539017952369E-2"/>
                  <c:y val="-4.0952380952380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E3A-4BFF-BDEC-1ACF10C145D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0120165366449273E-2"/>
                  <c:y val="-3.7142857142857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E3A-4BFF-BDEC-1ACF10C145D6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bcs!$L$19:$T$19</c:f>
              <c:numCache>
                <c:formatCode>0.0</c:formatCode>
                <c:ptCount val="9"/>
                <c:pt idx="0">
                  <c:v>85.7</c:v>
                </c:pt>
                <c:pt idx="1">
                  <c:v>87.5</c:v>
                </c:pt>
                <c:pt idx="2">
                  <c:v>78.400000000000006</c:v>
                </c:pt>
                <c:pt idx="3">
                  <c:v>79.400000000000006</c:v>
                </c:pt>
                <c:pt idx="4">
                  <c:v>84.8</c:v>
                </c:pt>
                <c:pt idx="5">
                  <c:v>90.6</c:v>
                </c:pt>
                <c:pt idx="6">
                  <c:v>81.8</c:v>
                </c:pt>
                <c:pt idx="7">
                  <c:v>91.7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E3A-4BFF-BDEC-1ACF10C14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997304"/>
        <c:axId val="341992600"/>
      </c:lineChart>
      <c:catAx>
        <c:axId val="34199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1994952"/>
        <c:crosses val="autoZero"/>
        <c:auto val="1"/>
        <c:lblAlgn val="ctr"/>
        <c:lblOffset val="100"/>
        <c:noMultiLvlLbl val="0"/>
      </c:catAx>
      <c:valAx>
        <c:axId val="341994952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1996912"/>
        <c:crosses val="autoZero"/>
        <c:crossBetween val="between"/>
      </c:valAx>
      <c:valAx>
        <c:axId val="341992600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1997304"/>
        <c:crosses val="max"/>
        <c:crossBetween val="between"/>
      </c:valAx>
      <c:catAx>
        <c:axId val="341997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199260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5298491844932458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83819808703660215"/>
          <c:h val="0.638723659542557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bcs!$B$2:$J$2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bcs!$B$20:$J$20</c:f>
              <c:numCache>
                <c:formatCode>#,##0</c:formatCode>
                <c:ptCount val="9"/>
                <c:pt idx="0">
                  <c:v>20</c:v>
                </c:pt>
                <c:pt idx="1">
                  <c:v>25</c:v>
                </c:pt>
                <c:pt idx="2">
                  <c:v>15</c:v>
                </c:pt>
                <c:pt idx="3">
                  <c:v>18</c:v>
                </c:pt>
                <c:pt idx="4">
                  <c:v>29</c:v>
                </c:pt>
                <c:pt idx="5">
                  <c:v>22</c:v>
                </c:pt>
                <c:pt idx="6">
                  <c:v>25</c:v>
                </c:pt>
                <c:pt idx="7">
                  <c:v>44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39-441E-965A-8CA23DE01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41997696"/>
        <c:axId val="341993384"/>
      </c:barChart>
      <c:lineChart>
        <c:grouping val="standard"/>
        <c:varyColors val="0"/>
        <c:ser>
          <c:idx val="0"/>
          <c:order val="1"/>
          <c:tx>
            <c:strRef>
              <c:f>bcs!$L$2:$T$2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"/>
              <c:layout>
                <c:manualLayout>
                  <c:x val="-5.2711957156859661E-2"/>
                  <c:y val="-5.6190476190476193E-2"/>
                </c:manualLayout>
              </c:layout>
              <c:tx>
                <c:rich>
                  <a:bodyPr/>
                  <a:lstStyle/>
                  <a:p>
                    <a:fld id="{3F248D00-B9C1-4C42-8C32-C6096BC37266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439-441E-965A-8CA23DE014E4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EC6E723-B2B3-40F4-A93A-7841CFD02F1B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39-441E-965A-8CA23DE014E4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-3.7381881877781235E-2"/>
                  <c:y val="-4.095238095238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9439-441E-965A-8CA23DE014E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bcs!$L$20:$T$20</c:f>
              <c:numCache>
                <c:formatCode>0.0</c:formatCode>
                <c:ptCount val="9"/>
                <c:pt idx="0">
                  <c:v>71.400000000000006</c:v>
                </c:pt>
                <c:pt idx="1">
                  <c:v>92.3</c:v>
                </c:pt>
                <c:pt idx="2">
                  <c:v>82.4</c:v>
                </c:pt>
                <c:pt idx="3">
                  <c:v>68.400000000000006</c:v>
                </c:pt>
                <c:pt idx="4">
                  <c:v>78.8</c:v>
                </c:pt>
                <c:pt idx="5">
                  <c:v>95.2</c:v>
                </c:pt>
                <c:pt idx="6">
                  <c:v>88.5</c:v>
                </c:pt>
                <c:pt idx="7">
                  <c:v>93.3</c:v>
                </c:pt>
                <c:pt idx="8">
                  <c:v>78.900000000000006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439-441E-965A-8CA23DE01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989072"/>
        <c:axId val="341987504"/>
      </c:lineChart>
      <c:catAx>
        <c:axId val="34199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1993384"/>
        <c:crosses val="autoZero"/>
        <c:auto val="1"/>
        <c:lblAlgn val="ctr"/>
        <c:lblOffset val="100"/>
        <c:noMultiLvlLbl val="0"/>
      </c:catAx>
      <c:valAx>
        <c:axId val="341993384"/>
        <c:scaling>
          <c:orientation val="minMax"/>
          <c:max val="50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1997696"/>
        <c:crosses val="autoZero"/>
        <c:crossBetween val="between"/>
        <c:majorUnit val="10"/>
      </c:valAx>
      <c:valAx>
        <c:axId val="341987504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1989072"/>
        <c:crosses val="max"/>
        <c:crossBetween val="between"/>
      </c:valAx>
      <c:catAx>
        <c:axId val="341989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198750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5298491844932458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táblázat_eljszerves!$B$8:$J$8</c:f>
              <c:numCache>
                <c:formatCode>#,##0</c:formatCode>
                <c:ptCount val="9"/>
                <c:pt idx="0">
                  <c:v>114</c:v>
                </c:pt>
                <c:pt idx="1">
                  <c:v>107</c:v>
                </c:pt>
                <c:pt idx="2">
                  <c:v>83</c:v>
                </c:pt>
                <c:pt idx="3">
                  <c:v>104</c:v>
                </c:pt>
                <c:pt idx="4">
                  <c:v>95</c:v>
                </c:pt>
                <c:pt idx="5">
                  <c:v>94</c:v>
                </c:pt>
                <c:pt idx="6">
                  <c:v>66</c:v>
                </c:pt>
                <c:pt idx="7">
                  <c:v>72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8D-45C5-913C-79D45376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5151960"/>
        <c:axId val="335148824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938775510204082E-2"/>
                  <c:y val="-5.7182427282237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2D9-4C4C-B35D-07D750DAA80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6938815025171034E-2"/>
                  <c:y val="-3.058297712785908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2D9-4C4C-B35D-07D750DAA80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938775510204034E-2"/>
                  <c:y val="-3.39217788962426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2D9-4C4C-B35D-07D750DAA80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táblázat_eljszerves!$R$8:$Z$8</c:f>
              <c:numCache>
                <c:formatCode>0.0</c:formatCode>
                <c:ptCount val="9"/>
                <c:pt idx="0">
                  <c:v>82.6</c:v>
                </c:pt>
                <c:pt idx="1">
                  <c:v>76.7</c:v>
                </c:pt>
                <c:pt idx="2">
                  <c:v>76.400000000000006</c:v>
                </c:pt>
                <c:pt idx="3">
                  <c:v>77.8</c:v>
                </c:pt>
                <c:pt idx="4">
                  <c:v>81.2</c:v>
                </c:pt>
                <c:pt idx="5">
                  <c:v>81.3</c:v>
                </c:pt>
                <c:pt idx="6">
                  <c:v>76</c:v>
                </c:pt>
                <c:pt idx="7">
                  <c:v>75</c:v>
                </c:pt>
                <c:pt idx="8">
                  <c:v>90.6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38D-45C5-913C-79D45376A7B9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rgbClr val="0066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FF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táblázat_eljszerves!$AG$8:$AO$8</c:f>
              <c:numCache>
                <c:formatCode>General</c:formatCode>
                <c:ptCount val="9"/>
                <c:pt idx="5" formatCode="0.0">
                  <c:v>74.2</c:v>
                </c:pt>
                <c:pt idx="6" formatCode="0.0">
                  <c:v>76.2</c:v>
                </c:pt>
                <c:pt idx="7" formatCode="0.0">
                  <c:v>76.900000000000006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38D-45C5-913C-79D45376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45688"/>
        <c:axId val="335144512"/>
      </c:lineChart>
      <c:catAx>
        <c:axId val="335151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148824"/>
        <c:crosses val="autoZero"/>
        <c:auto val="1"/>
        <c:lblAlgn val="ctr"/>
        <c:lblOffset val="100"/>
        <c:noMultiLvlLbl val="0"/>
      </c:catAx>
      <c:valAx>
        <c:axId val="335148824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151960"/>
        <c:crosses val="autoZero"/>
        <c:crossBetween val="between"/>
      </c:valAx>
      <c:valAx>
        <c:axId val="335144512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145688"/>
        <c:crosses val="max"/>
        <c:crossBetween val="between"/>
      </c:valAx>
      <c:catAx>
        <c:axId val="335145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514451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4516781784937957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84091679739144132"/>
          <c:h val="0.6387236595425571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bcs!$B$2:$J$2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7"/>
              <c:layout/>
              <c:tx>
                <c:rich>
                  <a:bodyPr/>
                  <a:lstStyle/>
                  <a:p>
                    <a:fld id="{C923FD4E-6E28-4180-983C-FAA5D62EA96B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69D-4095-84FC-261A7E485D80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bcs!$B$21:$J$21</c:f>
              <c:numCache>
                <c:formatCode>#,##0</c:formatCode>
                <c:ptCount val="9"/>
                <c:pt idx="0">
                  <c:v>4884</c:v>
                </c:pt>
                <c:pt idx="1">
                  <c:v>4337</c:v>
                </c:pt>
                <c:pt idx="2">
                  <c:v>4005</c:v>
                </c:pt>
                <c:pt idx="3">
                  <c:v>3255</c:v>
                </c:pt>
                <c:pt idx="4">
                  <c:v>3308</c:v>
                </c:pt>
                <c:pt idx="5">
                  <c:v>2815</c:v>
                </c:pt>
                <c:pt idx="6">
                  <c:v>2160</c:v>
                </c:pt>
                <c:pt idx="7">
                  <c:v>2236</c:v>
                </c:pt>
                <c:pt idx="8">
                  <c:v>1561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69D-4095-84FC-261A7E485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41998088"/>
        <c:axId val="341998480"/>
      </c:barChart>
      <c:lineChart>
        <c:grouping val="standard"/>
        <c:varyColors val="0"/>
        <c:ser>
          <c:idx val="0"/>
          <c:order val="1"/>
          <c:tx>
            <c:strRef>
              <c:f>bcs!$L$2:$T$2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3977055449330782E-2"/>
                  <c:y val="-5.3164556962025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D05-4643-AD14-AB460BEB7A48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bcs!$L$21:$T$21</c:f>
              <c:numCache>
                <c:formatCode>0.0</c:formatCode>
                <c:ptCount val="9"/>
                <c:pt idx="0">
                  <c:v>43.1</c:v>
                </c:pt>
                <c:pt idx="1">
                  <c:v>40</c:v>
                </c:pt>
                <c:pt idx="2">
                  <c:v>41.2</c:v>
                </c:pt>
                <c:pt idx="3">
                  <c:v>46.5</c:v>
                </c:pt>
                <c:pt idx="4">
                  <c:v>45.9</c:v>
                </c:pt>
                <c:pt idx="5">
                  <c:v>51.2</c:v>
                </c:pt>
                <c:pt idx="6">
                  <c:v>53.4</c:v>
                </c:pt>
                <c:pt idx="7">
                  <c:v>56.6</c:v>
                </c:pt>
                <c:pt idx="8">
                  <c:v>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69D-4095-84FC-261A7E485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988288"/>
        <c:axId val="341991816"/>
      </c:lineChart>
      <c:catAx>
        <c:axId val="341998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1998480"/>
        <c:crosses val="autoZero"/>
        <c:auto val="1"/>
        <c:lblAlgn val="ctr"/>
        <c:lblOffset val="100"/>
        <c:noMultiLvlLbl val="0"/>
      </c:catAx>
      <c:valAx>
        <c:axId val="341998480"/>
        <c:scaling>
          <c:orientation val="minMax"/>
          <c:max val="5000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1998088"/>
        <c:crosses val="autoZero"/>
        <c:crossBetween val="between"/>
        <c:majorUnit val="1000"/>
      </c:valAx>
      <c:valAx>
        <c:axId val="341991816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1988288"/>
        <c:crosses val="max"/>
        <c:crossBetween val="between"/>
      </c:valAx>
      <c:catAx>
        <c:axId val="34198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199181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bcs!$B$2:$J$2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rgbClr val="17375E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bcs!$B$22:$J$22</c:f>
              <c:numCache>
                <c:formatCode>#,##0</c:formatCode>
                <c:ptCount val="9"/>
                <c:pt idx="0">
                  <c:v>2080</c:v>
                </c:pt>
                <c:pt idx="1">
                  <c:v>2023</c:v>
                </c:pt>
                <c:pt idx="2">
                  <c:v>1872</c:v>
                </c:pt>
                <c:pt idx="3">
                  <c:v>1584</c:v>
                </c:pt>
                <c:pt idx="4">
                  <c:v>1200</c:v>
                </c:pt>
                <c:pt idx="5">
                  <c:v>1167</c:v>
                </c:pt>
                <c:pt idx="6">
                  <c:v>1074</c:v>
                </c:pt>
                <c:pt idx="7">
                  <c:v>1191</c:v>
                </c:pt>
                <c:pt idx="8">
                  <c:v>1146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5F-4F5A-BBED-5973F880B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41998872"/>
        <c:axId val="341989464"/>
      </c:barChart>
      <c:lineChart>
        <c:grouping val="standard"/>
        <c:varyColors val="0"/>
        <c:ser>
          <c:idx val="0"/>
          <c:order val="1"/>
          <c:tx>
            <c:strRef>
              <c:f>bcs!$L$2:$T$2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rgbClr val="ED7D31"/>
              </a:solidFill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bcs!$L$22:$T$22</c:f>
              <c:numCache>
                <c:formatCode>0.0</c:formatCode>
                <c:ptCount val="9"/>
                <c:pt idx="0">
                  <c:v>59.8</c:v>
                </c:pt>
                <c:pt idx="1">
                  <c:v>56.2</c:v>
                </c:pt>
                <c:pt idx="2">
                  <c:v>51.6</c:v>
                </c:pt>
                <c:pt idx="3">
                  <c:v>64.2</c:v>
                </c:pt>
                <c:pt idx="4">
                  <c:v>72.2</c:v>
                </c:pt>
                <c:pt idx="5">
                  <c:v>76.099999999999994</c:v>
                </c:pt>
                <c:pt idx="6">
                  <c:v>80.400000000000006</c:v>
                </c:pt>
                <c:pt idx="7">
                  <c:v>85.8</c:v>
                </c:pt>
                <c:pt idx="8">
                  <c:v>78.5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75F-4F5A-BBED-5973F880B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991032"/>
        <c:axId val="341990248"/>
      </c:lineChart>
      <c:catAx>
        <c:axId val="341998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1989464"/>
        <c:crosses val="autoZero"/>
        <c:auto val="1"/>
        <c:lblAlgn val="ctr"/>
        <c:lblOffset val="100"/>
        <c:noMultiLvlLbl val="0"/>
      </c:catAx>
      <c:valAx>
        <c:axId val="341989464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1998872"/>
        <c:crosses val="autoZero"/>
        <c:crossBetween val="between"/>
      </c:valAx>
      <c:valAx>
        <c:axId val="341990248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1991032"/>
        <c:crosses val="max"/>
        <c:crossBetween val="between"/>
      </c:valAx>
      <c:catAx>
        <c:axId val="341991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199024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4135441755781974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bcs!$B$2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rgbClr val="17375E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bcs!$B$23:$J$23</c:f>
              <c:numCache>
                <c:formatCode>#,##0</c:formatCode>
                <c:ptCount val="9"/>
                <c:pt idx="0">
                  <c:v>8053</c:v>
                </c:pt>
                <c:pt idx="1">
                  <c:v>8453</c:v>
                </c:pt>
                <c:pt idx="2">
                  <c:v>7186</c:v>
                </c:pt>
                <c:pt idx="3">
                  <c:v>5772</c:v>
                </c:pt>
                <c:pt idx="4">
                  <c:v>5677</c:v>
                </c:pt>
                <c:pt idx="5">
                  <c:v>5065</c:v>
                </c:pt>
                <c:pt idx="6">
                  <c:v>4236</c:v>
                </c:pt>
                <c:pt idx="7">
                  <c:v>4562</c:v>
                </c:pt>
                <c:pt idx="8">
                  <c:v>3830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96-43B7-BBB4-699F10343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41993776"/>
        <c:axId val="341995344"/>
      </c:barChart>
      <c:lineChart>
        <c:grouping val="standard"/>
        <c:varyColors val="0"/>
        <c:ser>
          <c:idx val="0"/>
          <c:order val="1"/>
          <c:tx>
            <c:strRef>
              <c:f>bcs!$L$2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rgbClr val="ED7D3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4.6526449968132613E-2"/>
                  <c:y val="-4.85714285714286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083-414C-913D-F4986E2DC76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581683503711174E-2"/>
                  <c:y val="-4.4761904761904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72A-4C15-87AA-9FBD5478E59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4.012016536644937E-2"/>
                  <c:y val="-4.47619047619048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496-43B7-BBB4-699F103432FD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bcs!$L$23:$T$23</c:f>
              <c:numCache>
                <c:formatCode>0.0</c:formatCode>
                <c:ptCount val="9"/>
                <c:pt idx="0">
                  <c:v>54.4</c:v>
                </c:pt>
                <c:pt idx="1">
                  <c:v>47.4</c:v>
                </c:pt>
                <c:pt idx="2">
                  <c:v>46.1</c:v>
                </c:pt>
                <c:pt idx="3">
                  <c:v>59</c:v>
                </c:pt>
                <c:pt idx="4">
                  <c:v>59.1</c:v>
                </c:pt>
                <c:pt idx="5">
                  <c:v>68.5</c:v>
                </c:pt>
                <c:pt idx="6">
                  <c:v>67.5</c:v>
                </c:pt>
                <c:pt idx="7">
                  <c:v>71.2</c:v>
                </c:pt>
                <c:pt idx="8">
                  <c:v>74.7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496-43B7-BBB4-699F10343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000048"/>
        <c:axId val="341995736"/>
        <c:extLst xmlns:c16r2="http://schemas.microsoft.com/office/drawing/2015/06/chart"/>
      </c:lineChart>
      <c:catAx>
        <c:axId val="34199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1995344"/>
        <c:crosses val="autoZero"/>
        <c:auto val="1"/>
        <c:lblAlgn val="ctr"/>
        <c:lblOffset val="100"/>
        <c:noMultiLvlLbl val="0"/>
      </c:catAx>
      <c:valAx>
        <c:axId val="341995344"/>
        <c:scaling>
          <c:orientation val="minMax"/>
          <c:max val="9000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1993776"/>
        <c:crosses val="autoZero"/>
        <c:crossBetween val="between"/>
        <c:majorUnit val="1000"/>
      </c:valAx>
      <c:valAx>
        <c:axId val="341995736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000048"/>
        <c:crosses val="max"/>
        <c:crossBetween val="between"/>
      </c:valAx>
      <c:catAx>
        <c:axId val="342000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199573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29167412865318"/>
          <c:y val="7.7738904795991465E-2"/>
          <c:w val="0.61263591475426615"/>
          <c:h val="0.85705440229062335"/>
        </c:manualLayout>
      </c:layout>
      <c:pieChart>
        <c:varyColors val="1"/>
        <c:ser>
          <c:idx val="0"/>
          <c:order val="0"/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E631-4C8D-9291-2EC43DA924A4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#HIV!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60"/>
      </c:pieChart>
      <c:spPr>
        <a:noFill/>
      </c:spPr>
    </c:plotArea>
    <c:plotVisOnly val="1"/>
    <c:dispBlanksAs val="zero"/>
    <c:showDLblsOverMax val="0"/>
  </c:chart>
  <c:spPr>
    <a:blipFill>
      <a:blip xmlns:r="http://schemas.openxmlformats.org/officeDocument/2006/relationships" r:embed="rId1"/>
      <a:stretch>
        <a:fillRect/>
      </a:stretch>
    </a:blipFill>
    <a:ln>
      <a:noFill/>
    </a:ln>
  </c:spPr>
  <c:txPr>
    <a:bodyPr/>
    <a:lstStyle/>
    <a:p>
      <a:pPr>
        <a:defRPr>
          <a:latin typeface="Times New Roman" pitchFamily="18" charset="0"/>
          <a:cs typeface="Times New Roman" pitchFamily="18" charset="0"/>
        </a:defRPr>
      </a:pPr>
      <a:endParaRPr lang="hu-HU"/>
    </a:p>
  </c:txPr>
  <c:printSettings>
    <c:headerFooter/>
    <c:pageMargins b="0.74803149606299313" l="0.70866141732283583" r="0.70866141732283583" t="0.74803149606299313" header="0.31496062992126073" footer="0.31496062992126073"/>
    <c:pageSetup orientation="landscape"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84091679739144132"/>
          <c:h val="0.638723659542557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17375E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bcs!$B$24:$J$24</c:f>
              <c:numCache>
                <c:formatCode>0.0</c:formatCode>
                <c:ptCount val="9"/>
                <c:pt idx="0">
                  <c:v>3104.9027621412374</c:v>
                </c:pt>
                <c:pt idx="1">
                  <c:v>3280.3234919747911</c:v>
                </c:pt>
                <c:pt idx="2">
                  <c:v>2802.018264199206</c:v>
                </c:pt>
                <c:pt idx="3">
                  <c:v>2260.9227008860375</c:v>
                </c:pt>
                <c:pt idx="4">
                  <c:v>2229.9</c:v>
                </c:pt>
                <c:pt idx="5">
                  <c:v>1994.1</c:v>
                </c:pt>
                <c:pt idx="6">
                  <c:v>1669.7610065868053</c:v>
                </c:pt>
                <c:pt idx="7">
                  <c:v>1802.3855335053279</c:v>
                </c:pt>
                <c:pt idx="8">
                  <c:v>1512.0112117802648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236-4A4C-BD2F-966183716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42000440"/>
        <c:axId val="342000832"/>
      </c:barChart>
      <c:catAx>
        <c:axId val="342000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000832"/>
        <c:crosses val="autoZero"/>
        <c:auto val="1"/>
        <c:lblAlgn val="ctr"/>
        <c:lblOffset val="100"/>
        <c:noMultiLvlLbl val="0"/>
      </c:catAx>
      <c:valAx>
        <c:axId val="342000832"/>
        <c:scaling>
          <c:orientation val="minMax"/>
          <c:max val="4000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000440"/>
        <c:crosses val="autoZero"/>
        <c:crossBetween val="between"/>
        <c:majorUnit val="1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helyes'!$B$4:$J$4</c:f>
              <c:numCache>
                <c:formatCode>#,##0</c:formatCode>
                <c:ptCount val="9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2</c:v>
                </c:pt>
                <c:pt idx="6">
                  <c:v>6</c:v>
                </c:pt>
                <c:pt idx="7">
                  <c:v>2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B2-4D8F-9329-E2C5EF4BC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2002008"/>
        <c:axId val="342002400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5.4081098901193704E-2"/>
                  <c:y val="-2.5714285714285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9B2-4D8F-9329-E2C5EF4BC63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4081098901193725E-2"/>
                  <c:y val="-2.5714285714285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9B2-4D8F-9329-E2C5EF4BC63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4081098901193773E-2"/>
                  <c:y val="-3.3333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9B2-4D8F-9329-E2C5EF4BC63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12796494652154E-2"/>
                  <c:y val="-0.14380952380952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9B2-4D8F-9329-E2C5EF4BC63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86624843518957E-2"/>
                  <c:y val="-2.9523809523809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9B2-4D8F-9329-E2C5EF4BC63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723539017952369E-2"/>
                  <c:y val="-4.476190476190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9B2-4D8F-9329-E2C5EF4BC63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'táblázat_elkövetés helyes'!$R$4:$Z$4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9B2-4D8F-9329-E2C5EF4BC633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9.9947347336383344E-2"/>
                  <c:y val="2.952380952380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D9B2-4D8F-9329-E2C5EF4BC63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8604531923857705E-2"/>
                  <c:y val="5.238095238095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9B2-4D8F-9329-E2C5EF4BC63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723539017952369E-2"/>
                  <c:y val="4.4761904761904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EE5-48F1-AC20-71F38162414C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B05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'táblázat_elkövetés helyes'!$AG$4:$AO$4</c:f>
              <c:numCache>
                <c:formatCode>General</c:formatCode>
                <c:ptCount val="9"/>
                <c:pt idx="5" formatCode="0.0">
                  <c:v>100</c:v>
                </c:pt>
                <c:pt idx="6" formatCode="0.0">
                  <c:v>100</c:v>
                </c:pt>
                <c:pt idx="7" formatCode="0.0">
                  <c:v>100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D9B2-4D8F-9329-E2C5EF4BC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611072"/>
        <c:axId val="342610288"/>
      </c:lineChart>
      <c:catAx>
        <c:axId val="342002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002400"/>
        <c:crosses val="autoZero"/>
        <c:auto val="1"/>
        <c:lblAlgn val="ctr"/>
        <c:lblOffset val="100"/>
        <c:noMultiLvlLbl val="0"/>
      </c:catAx>
      <c:valAx>
        <c:axId val="342002400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002008"/>
        <c:crosses val="autoZero"/>
        <c:crossBetween val="between"/>
      </c:valAx>
      <c:valAx>
        <c:axId val="342610288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611072"/>
        <c:crosses val="max"/>
        <c:crossBetween val="between"/>
      </c:valAx>
      <c:catAx>
        <c:axId val="34261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261028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helyes'!$B$3:$H$3</c:f>
              <c:strCache>
                <c:ptCount val="7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</c:strCache>
            </c:strRef>
          </c:cat>
          <c:val>
            <c:numRef>
              <c:f>'táblázat_elkövetés helyes'!$B$5:$J$5</c:f>
              <c:numCache>
                <c:formatCode>#,##0</c:formatCode>
                <c:ptCount val="9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4A-4267-9E34-9CF5B40C5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2612640"/>
        <c:axId val="342610680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0389681457853516E-2"/>
                  <c:y val="-9.0476190476190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4A-4267-9E34-9CF5B40C555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235390179523613E-2"/>
                  <c:y val="-2.5714285714285714E-2"/>
                </c:manualLayout>
              </c:layout>
              <c:tx>
                <c:rich>
                  <a:bodyPr/>
                  <a:lstStyle/>
                  <a:p>
                    <a:fld id="{C66AA9CB-FB03-4637-A0D9-D0A9E523F6C7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B4A-4267-9E34-9CF5B40C5550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5.4081098901193725E-2"/>
                  <c:y val="-2.5714285714285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4A-4267-9E34-9CF5B40C555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4081098901193773E-2"/>
                  <c:y val="-2.5714285714285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B4A-4267-9E34-9CF5B40C555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081098901193773E-2"/>
                  <c:y val="-2.5714285714285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4A-4267-9E34-9CF5B40C555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557665878529842E-2"/>
                  <c:y val="-2.1904761904761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B4A-4267-9E34-9CF5B40C555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723539017952369E-2"/>
                  <c:y val="-4.476190476190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4A-4267-9E34-9CF5B40C5550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'táblázat_elkövetés helyes'!$R$5:$Z$5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B4A-4267-9E34-9CF5B40C5550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0926807622863864E-2"/>
                  <c:y val="-0.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4A-4267-9E34-9CF5B40C555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8604531923857705E-2"/>
                  <c:y val="4.0952380952380955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rgbClr val="92D05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DB4A-4267-9E34-9CF5B40C5550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'táblázat_elkövetés helyes'!$AG$5:$AO$5</c:f>
              <c:numCache>
                <c:formatCode>General</c:formatCode>
                <c:ptCount val="9"/>
                <c:pt idx="5" formatCode="0.0">
                  <c:v>100</c:v>
                </c:pt>
                <c:pt idx="6" formatCode="0.0">
                  <c:v>100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DB4A-4267-9E34-9CF5B40C5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611464"/>
        <c:axId val="342613424"/>
      </c:lineChart>
      <c:catAx>
        <c:axId val="34261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610680"/>
        <c:crosses val="autoZero"/>
        <c:auto val="1"/>
        <c:lblAlgn val="ctr"/>
        <c:lblOffset val="100"/>
        <c:noMultiLvlLbl val="0"/>
      </c:catAx>
      <c:valAx>
        <c:axId val="342610680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612640"/>
        <c:crosses val="autoZero"/>
        <c:crossBetween val="between"/>
      </c:valAx>
      <c:valAx>
        <c:axId val="342613424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611464"/>
        <c:crosses val="max"/>
        <c:crossBetween val="between"/>
      </c:valAx>
      <c:catAx>
        <c:axId val="342611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261342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helyes'!$B$7:$J$7</c:f>
              <c:numCache>
                <c:formatCode>#,##0</c:formatCode>
                <c:ptCount val="9"/>
                <c:pt idx="0">
                  <c:v>302</c:v>
                </c:pt>
                <c:pt idx="1">
                  <c:v>303</c:v>
                </c:pt>
                <c:pt idx="2">
                  <c:v>274</c:v>
                </c:pt>
                <c:pt idx="3">
                  <c:v>249</c:v>
                </c:pt>
                <c:pt idx="4">
                  <c:v>271</c:v>
                </c:pt>
                <c:pt idx="5">
                  <c:v>267</c:v>
                </c:pt>
                <c:pt idx="6">
                  <c:v>247</c:v>
                </c:pt>
                <c:pt idx="7">
                  <c:v>263</c:v>
                </c:pt>
                <c:pt idx="8">
                  <c:v>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11-42FD-87E5-E3BFAFBC2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2611856"/>
        <c:axId val="342602448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7235390179523641E-2"/>
                  <c:y val="-7.52380952380952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011-42FD-87E5-E3BFAFBC2927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235390179523593E-2"/>
                  <c:y val="7.7142857142857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011-42FD-87E5-E3BFAFBC292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723539017952369E-2"/>
                  <c:y val="6.19047619047619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011-42FD-87E5-E3BFAFBC292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7235390179523593E-2"/>
                  <c:y val="2.3809523809523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CB6-48A0-8C73-6426FD71A71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'táblázat_elkövetés helyes'!$R$7:$Z$7</c:f>
              <c:numCache>
                <c:formatCode>0.0</c:formatCode>
                <c:ptCount val="9"/>
                <c:pt idx="0">
                  <c:v>90</c:v>
                </c:pt>
                <c:pt idx="1">
                  <c:v>89.1</c:v>
                </c:pt>
                <c:pt idx="2">
                  <c:v>89.4</c:v>
                </c:pt>
                <c:pt idx="3">
                  <c:v>87.7</c:v>
                </c:pt>
                <c:pt idx="4">
                  <c:v>88.6</c:v>
                </c:pt>
                <c:pt idx="5">
                  <c:v>91.2</c:v>
                </c:pt>
                <c:pt idx="6">
                  <c:v>88.9</c:v>
                </c:pt>
                <c:pt idx="7">
                  <c:v>86.7</c:v>
                </c:pt>
                <c:pt idx="8">
                  <c:v>96.1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011-42FD-87E5-E3BFAFBC2927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312796494652154E-2"/>
                  <c:y val="-6.1904761904761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011-42FD-87E5-E3BFAFBC292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'táblázat_elkövetés helyes'!$AG$7:$AO$7</c:f>
              <c:numCache>
                <c:formatCode>General</c:formatCode>
                <c:ptCount val="9"/>
                <c:pt idx="5" formatCode="0.0">
                  <c:v>86.4</c:v>
                </c:pt>
                <c:pt idx="6" formatCode="0.0">
                  <c:v>89.4</c:v>
                </c:pt>
                <c:pt idx="7" formatCode="0.0">
                  <c:v>85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011-42FD-87E5-E3BFAFBC2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98920"/>
        <c:axId val="342600880"/>
      </c:lineChart>
      <c:catAx>
        <c:axId val="34261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602448"/>
        <c:crosses val="autoZero"/>
        <c:auto val="1"/>
        <c:lblAlgn val="ctr"/>
        <c:lblOffset val="100"/>
        <c:noMultiLvlLbl val="0"/>
      </c:catAx>
      <c:valAx>
        <c:axId val="342602448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611856"/>
        <c:crosses val="autoZero"/>
        <c:crossBetween val="between"/>
      </c:valAx>
      <c:valAx>
        <c:axId val="342600880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598920"/>
        <c:crosses val="max"/>
        <c:crossBetween val="between"/>
      </c:valAx>
      <c:catAx>
        <c:axId val="342598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260088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helyes'!$B$8:$J$8</c:f>
              <c:numCache>
                <c:formatCode>#,##0</c:formatCode>
                <c:ptCount val="9"/>
                <c:pt idx="0">
                  <c:v>116</c:v>
                </c:pt>
                <c:pt idx="1">
                  <c:v>104</c:v>
                </c:pt>
                <c:pt idx="2">
                  <c:v>83</c:v>
                </c:pt>
                <c:pt idx="3">
                  <c:v>104</c:v>
                </c:pt>
                <c:pt idx="4">
                  <c:v>95</c:v>
                </c:pt>
                <c:pt idx="5">
                  <c:v>93</c:v>
                </c:pt>
                <c:pt idx="6">
                  <c:v>65</c:v>
                </c:pt>
                <c:pt idx="7">
                  <c:v>72</c:v>
                </c:pt>
                <c:pt idx="8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90-4AE5-B0C5-68AA932DC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2598528"/>
        <c:axId val="342607936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4.7235390179523593E-2"/>
                  <c:y val="-2.9523809523809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E90-4AE5-B0C5-68AA932DC73F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7235390179523593E-2"/>
                  <c:y val="-2.5714285714285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E90-4AE5-B0C5-68AA932DC73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235390179523593E-2"/>
                  <c:y val="3.9047619047619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E90-4AE5-B0C5-68AA932DC73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758823202187524E-2"/>
                  <c:y val="4.66666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E90-4AE5-B0C5-68AA932DC73F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7235390179523593E-2"/>
                  <c:y val="4.2857142857142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F3C-401D-BF3D-DCDAAF83B28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'táblázat_elkövetés helyes'!$R$8:$Z$8</c:f>
              <c:numCache>
                <c:formatCode>0.0</c:formatCode>
                <c:ptCount val="9"/>
                <c:pt idx="0">
                  <c:v>82.6</c:v>
                </c:pt>
                <c:pt idx="1">
                  <c:v>76.7</c:v>
                </c:pt>
                <c:pt idx="2">
                  <c:v>76.400000000000006</c:v>
                </c:pt>
                <c:pt idx="3">
                  <c:v>77.8</c:v>
                </c:pt>
                <c:pt idx="4">
                  <c:v>81.2</c:v>
                </c:pt>
                <c:pt idx="5">
                  <c:v>81.3</c:v>
                </c:pt>
                <c:pt idx="6">
                  <c:v>76</c:v>
                </c:pt>
                <c:pt idx="7">
                  <c:v>75</c:v>
                </c:pt>
                <c:pt idx="8">
                  <c:v>90.6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E90-4AE5-B0C5-68AA932DC73F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'táblázat_elkövetés helyes'!$AG$8:$AO$8</c:f>
              <c:numCache>
                <c:formatCode>General</c:formatCode>
                <c:ptCount val="9"/>
                <c:pt idx="5" formatCode="0.0">
                  <c:v>74.2</c:v>
                </c:pt>
                <c:pt idx="6" formatCode="0.0">
                  <c:v>76.2</c:v>
                </c:pt>
                <c:pt idx="7" formatCode="0.0">
                  <c:v>76.900000000000006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1E90-4AE5-B0C5-68AA932DC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601272"/>
        <c:axId val="342602056"/>
      </c:lineChart>
      <c:catAx>
        <c:axId val="34259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607936"/>
        <c:crosses val="autoZero"/>
        <c:auto val="1"/>
        <c:lblAlgn val="ctr"/>
        <c:lblOffset val="100"/>
        <c:noMultiLvlLbl val="0"/>
      </c:catAx>
      <c:valAx>
        <c:axId val="342607936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598528"/>
        <c:crosses val="autoZero"/>
        <c:crossBetween val="between"/>
      </c:valAx>
      <c:valAx>
        <c:axId val="342602056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601272"/>
        <c:crosses val="max"/>
        <c:crossBetween val="between"/>
      </c:valAx>
      <c:catAx>
        <c:axId val="342601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260205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helyes'!$B$9:$J$9</c:f>
              <c:numCache>
                <c:formatCode>#,##0</c:formatCode>
                <c:ptCount val="9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1EA-448D-B931-5887F3932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2609112"/>
        <c:axId val="342601664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4081098901193676E-2"/>
                  <c:y val="-2.9523809523809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1EA-448D-B931-5887F3932BC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1342815412525639E-2"/>
                  <c:y val="-3.3333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1EA-448D-B931-5887F3932BC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121118375348376E-2"/>
                  <c:y val="-0.10952380952380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1EA-448D-B931-5887F3932BC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0389681457853606E-2"/>
                  <c:y val="-0.105714285714285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1EA-448D-B931-5887F3932BC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7651397969185471E-2"/>
                  <c:y val="-9.4285714285714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1EA-448D-B931-5887F3932BC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0389681457853606E-2"/>
                  <c:y val="-8.66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01EA-448D-B931-5887F3932BC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0389681457853606E-2"/>
                  <c:y val="-9.0476190476190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01EA-448D-B931-5887F3932BC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312796494652154E-2"/>
                  <c:y val="-9.4285714285714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F49-456B-BE25-E989757FD39B}"/>
                </c:ext>
                <c:ext xmlns:c15="http://schemas.microsoft.com/office/drawing/2012/chart" uri="{CE6537A1-D6FC-4f65-9D91-7224C49458BB}"/>
              </c:extLst>
            </c:dLbl>
            <c:numFmt formatCode="#,##0.0\ _F_t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'táblázat_elkövetés helyes'!$R$9:$Z$9</c:f>
              <c:numCache>
                <c:formatCode>0.0</c:formatCode>
                <c:ptCount val="9"/>
                <c:pt idx="0">
                  <c:v>100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100</c:v>
                </c:pt>
                <c:pt idx="5">
                  <c:v>100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01EA-448D-B931-5887F3932BC1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8.0094792043540003E-2"/>
                  <c:y val="-3.5238095238095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01EA-448D-B931-5887F3932BC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7356508554872069E-2"/>
                  <c:y val="-3.142857142857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01EA-448D-B931-5887F3932BC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8.2833075532208131E-2"/>
                  <c:y val="-3.142857142857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F49-456B-BE25-E989757FD39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B05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'táblázat_elkövetés helyes'!$AG$9:$AO$9</c:f>
              <c:numCache>
                <c:formatCode>General</c:formatCode>
                <c:ptCount val="9"/>
                <c:pt idx="5" formatCode="0.0">
                  <c:v>100</c:v>
                </c:pt>
                <c:pt idx="6" formatCode="0.0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01EA-448D-B931-5887F3932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603232"/>
        <c:axId val="342602840"/>
      </c:lineChart>
      <c:catAx>
        <c:axId val="342609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601664"/>
        <c:crosses val="autoZero"/>
        <c:auto val="1"/>
        <c:lblAlgn val="ctr"/>
        <c:lblOffset val="100"/>
        <c:noMultiLvlLbl val="0"/>
      </c:catAx>
      <c:valAx>
        <c:axId val="342601664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609112"/>
        <c:crosses val="autoZero"/>
        <c:crossBetween val="between"/>
      </c:valAx>
      <c:valAx>
        <c:axId val="342602840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603232"/>
        <c:crosses val="max"/>
        <c:crossBetween val="between"/>
      </c:valAx>
      <c:catAx>
        <c:axId val="342603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260284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6"/>
              <c:tx>
                <c:rich>
                  <a:bodyPr/>
                  <a:lstStyle/>
                  <a:p>
                    <a:fld id="{2F1CC006-9C23-49C3-B8FB-20FDBE2582A5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D4C-412C-ABE2-844114F33B26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táblázat_eljszerves!$B$9:$J$9</c:f>
              <c:numCache>
                <c:formatCode>#,##0</c:formatCode>
                <c:ptCount val="9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D4C-412C-ABE2-844114F33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5146864"/>
        <c:axId val="335148040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5.5135536336646467E-2"/>
                  <c:y val="4.9563404574428198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1000" b="1" baseline="0">
                        <a:solidFill>
                          <a:schemeClr val="tx1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defRPr>
                    </a:pPr>
                    <a:fld id="{37B06550-B442-4DD6-BA75-72F85B185CEF}" type="VALUE">
                      <a:rPr lang="en-US">
                        <a:solidFill>
                          <a:schemeClr val="tx1"/>
                        </a:solidFill>
                      </a:rPr>
                      <a:pPr>
                        <a:defRPr sz="1000" b="1" baseline="0">
                          <a:solidFill>
                            <a:schemeClr val="tx1"/>
                          </a:solidFill>
                          <a:latin typeface="Times New Roman" panose="02020603050405020304" pitchFamily="18" charset="0"/>
                          <a:cs typeface="Times New Roman" panose="02020603050405020304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D4C-412C-ABE2-844114F33B26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1A57508-DCD0-48A9-870E-9CC630EC1391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D4C-412C-ABE2-844114F33B26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layout>
                <c:manualLayout>
                  <c:x val="-5.2380952380952382E-2"/>
                  <c:y val="-3.1983391530742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E9E-4762-B0A0-FE548B8F132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táblázat_eljszerves!$R$9:$Z$9</c:f>
              <c:numCache>
                <c:formatCode>0.0</c:formatCode>
                <c:ptCount val="9"/>
                <c:pt idx="0">
                  <c:v>100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100</c:v>
                </c:pt>
                <c:pt idx="5">
                  <c:v>100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D4C-412C-ABE2-844114F33B26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044544431946007E-2"/>
                  <c:y val="-3.1361276026666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D4C-412C-ABE2-844114F33B2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565857839198669E-2"/>
                  <c:y val="-3.5238050757665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D4C-412C-ABE2-844114F33B2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8299319727891157E-2"/>
                  <c:y val="3.3921778896242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E9E-4762-B0A0-FE548B8F132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táblázat_eljszerves!$AG$9:$AO$9</c:f>
              <c:numCache>
                <c:formatCode>General</c:formatCode>
                <c:ptCount val="9"/>
                <c:pt idx="5" formatCode="0.0">
                  <c:v>100</c:v>
                </c:pt>
                <c:pt idx="6" formatCode="0.0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CD4C-412C-ABE2-844114F33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51176"/>
        <c:axId val="335150392"/>
      </c:lineChart>
      <c:catAx>
        <c:axId val="33514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148040"/>
        <c:crosses val="autoZero"/>
        <c:auto val="1"/>
        <c:lblAlgn val="ctr"/>
        <c:lblOffset val="100"/>
        <c:noMultiLvlLbl val="0"/>
      </c:catAx>
      <c:valAx>
        <c:axId val="335148040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146864"/>
        <c:crosses val="autoZero"/>
        <c:crossBetween val="between"/>
      </c:valAx>
      <c:valAx>
        <c:axId val="335150392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151176"/>
        <c:crosses val="max"/>
        <c:crossBetween val="between"/>
      </c:valAx>
      <c:catAx>
        <c:axId val="335151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515039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339372849322632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helyes'!$B$10:$J$10</c:f>
              <c:numCache>
                <c:formatCode>#,##0</c:formatCode>
                <c:ptCount val="9"/>
                <c:pt idx="0">
                  <c:v>46</c:v>
                </c:pt>
                <c:pt idx="1">
                  <c:v>52</c:v>
                </c:pt>
                <c:pt idx="2">
                  <c:v>40</c:v>
                </c:pt>
                <c:pt idx="3">
                  <c:v>32</c:v>
                </c:pt>
                <c:pt idx="4">
                  <c:v>17</c:v>
                </c:pt>
                <c:pt idx="5">
                  <c:v>19</c:v>
                </c:pt>
                <c:pt idx="6">
                  <c:v>27</c:v>
                </c:pt>
                <c:pt idx="7">
                  <c:v>41</c:v>
                </c:pt>
                <c:pt idx="8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25-4A7B-8EAF-9C58286F1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2607152"/>
        <c:axId val="342599312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2711957156859675E-2"/>
                  <c:y val="-4.8571428571428571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C25-4A7B-8EAF-9C58286F109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7235390179523593E-2"/>
                  <c:y val="3.904761904761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C25-4A7B-8EAF-9C58286F109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723539017952369E-2"/>
                  <c:y val="-4.476190476190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C25-4A7B-8EAF-9C58286F109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4497106690855555E-2"/>
                  <c:y val="3.904761904761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C25-4A7B-8EAF-9C58286F109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4081098901193773E-2"/>
                  <c:y val="-2.9523809523809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C25-4A7B-8EAF-9C58286F109E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497106690855659E-2"/>
                  <c:y val="3.9047619047619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57F-4F0A-A50F-FCFE99D65386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'táblázat_elkövetés helyes'!$R$10:$Z$10</c:f>
              <c:numCache>
                <c:formatCode>0.0</c:formatCode>
                <c:ptCount val="9"/>
                <c:pt idx="0">
                  <c:v>75.400000000000006</c:v>
                </c:pt>
                <c:pt idx="1">
                  <c:v>80</c:v>
                </c:pt>
                <c:pt idx="2">
                  <c:v>60.7</c:v>
                </c:pt>
                <c:pt idx="3">
                  <c:v>75.599999999999994</c:v>
                </c:pt>
                <c:pt idx="4">
                  <c:v>61.5</c:v>
                </c:pt>
                <c:pt idx="5">
                  <c:v>73.099999999999994</c:v>
                </c:pt>
                <c:pt idx="6">
                  <c:v>77.099999999999994</c:v>
                </c:pt>
                <c:pt idx="7">
                  <c:v>80.400000000000006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C25-4A7B-8EAF-9C58286F109E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4497106690855659E-2"/>
                  <c:y val="-0.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3C25-4A7B-8EAF-9C58286F109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758823202187621E-2"/>
                  <c:y val="-9.2380952380952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C25-4A7B-8EAF-9C58286F109E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1758823202187524E-2"/>
                  <c:y val="-8.0952380952381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57F-4F0A-A50F-FCFE99D65386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92D05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'táblázat_elkövetés helyes'!$AG$10:$AO$10</c:f>
              <c:numCache>
                <c:formatCode>General</c:formatCode>
                <c:ptCount val="9"/>
                <c:pt idx="5" formatCode="0.0">
                  <c:v>0</c:v>
                </c:pt>
                <c:pt idx="6" formatCode="0.0">
                  <c:v>0</c:v>
                </c:pt>
                <c:pt idx="7" formatCode="0.0">
                  <c:v>100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3C25-4A7B-8EAF-9C58286F1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99704"/>
        <c:axId val="342609896"/>
      </c:lineChart>
      <c:catAx>
        <c:axId val="34260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599312"/>
        <c:crosses val="autoZero"/>
        <c:auto val="1"/>
        <c:lblAlgn val="ctr"/>
        <c:lblOffset val="100"/>
        <c:noMultiLvlLbl val="0"/>
      </c:catAx>
      <c:valAx>
        <c:axId val="342599312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607152"/>
        <c:crosses val="autoZero"/>
        <c:crossBetween val="between"/>
      </c:valAx>
      <c:valAx>
        <c:axId val="342609896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599704"/>
        <c:crosses val="max"/>
        <c:crossBetween val="between"/>
      </c:valAx>
      <c:catAx>
        <c:axId val="342599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260989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2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vert="horz"/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helyes'!$R$3:$Z$3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helyes'!$B$11:$J$11</c:f>
              <c:numCache>
                <c:formatCode>#,##0</c:formatCode>
                <c:ptCount val="9"/>
                <c:pt idx="0">
                  <c:v>1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6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044-4AB6-9C5E-6B1B1B7C9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2608328"/>
        <c:axId val="342600488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0389681457853502E-2"/>
                  <c:y val="-9.0476190476190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044-4AB6-9C5E-6B1B1B7C96F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127964946521588E-2"/>
                  <c:y val="-9.0476190476190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044-4AB6-9C5E-6B1B1B7C96F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1342815412525694E-2"/>
                  <c:y val="-8.2857142857142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044-4AB6-9C5E-6B1B1B7C96F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081098901193676E-2"/>
                  <c:y val="-2.9523809523809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044-4AB6-9C5E-6B1B1B7C96F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081098901193676E-2"/>
                  <c:y val="-2.1904761904761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044-4AB6-9C5E-6B1B1B7C96F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0389681457853606E-2"/>
                  <c:y val="-9.8095238095238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044-4AB6-9C5E-6B1B1B7C96F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0389681457853606E-2"/>
                  <c:y val="-8.66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8DD-4641-B195-087181BBAB4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'táblázat_elkövetés helyes'!$R$11:$Z$11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40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80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C-C044-4AB6-9C5E-6B1B1B7C96F3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9.3786209486880268E-2"/>
                  <c:y val="-3.142857142857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044-4AB6-9C5E-6B1B1B7C96F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7356508554872069E-2"/>
                  <c:y val="-3.9047619047619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C044-4AB6-9C5E-6B1B1B7C96F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8.0094792043540197E-2"/>
                  <c:y val="-3.5238095238095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8DD-4641-B195-087181BBAB4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B05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'táblázat_elkövetés helyes'!$AG$11:$AO$11</c:f>
              <c:numCache>
                <c:formatCode>General</c:formatCode>
                <c:ptCount val="9"/>
                <c:pt idx="5" formatCode="0.0">
                  <c:v>100</c:v>
                </c:pt>
                <c:pt idx="6" formatCode="0.0">
                  <c:v>75</c:v>
                </c:pt>
                <c:pt idx="7" formatCode="0.0">
                  <c:v>100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C044-4AB6-9C5E-6B1B1B7C9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604800"/>
        <c:axId val="342604408"/>
      </c:lineChart>
      <c:catAx>
        <c:axId val="342608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600488"/>
        <c:crosses val="autoZero"/>
        <c:auto val="1"/>
        <c:lblAlgn val="ctr"/>
        <c:lblOffset val="100"/>
        <c:noMultiLvlLbl val="0"/>
      </c:catAx>
      <c:valAx>
        <c:axId val="342600488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608328"/>
        <c:crosses val="autoZero"/>
        <c:crossBetween val="between"/>
      </c:valAx>
      <c:valAx>
        <c:axId val="342604408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604800"/>
        <c:crosses val="max"/>
        <c:crossBetween val="between"/>
      </c:valAx>
      <c:catAx>
        <c:axId val="342604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260440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helyes'!$B$12:$J$12</c:f>
              <c:numCache>
                <c:formatCode>#,##0</c:formatCode>
                <c:ptCount val="9"/>
                <c:pt idx="0">
                  <c:v>528</c:v>
                </c:pt>
                <c:pt idx="1">
                  <c:v>507</c:v>
                </c:pt>
                <c:pt idx="2">
                  <c:v>480</c:v>
                </c:pt>
                <c:pt idx="3">
                  <c:v>446</c:v>
                </c:pt>
                <c:pt idx="4">
                  <c:v>449</c:v>
                </c:pt>
                <c:pt idx="5">
                  <c:v>395</c:v>
                </c:pt>
                <c:pt idx="6">
                  <c:v>336</c:v>
                </c:pt>
                <c:pt idx="7">
                  <c:v>311</c:v>
                </c:pt>
                <c:pt idx="8">
                  <c:v>249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1F-4268-AFB6-9B44E074E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2608720"/>
        <c:axId val="342605584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4"/>
              <c:layout>
                <c:manualLayout>
                  <c:x val="-4.7235390179523593E-2"/>
                  <c:y val="-5.6190476190476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91F-4268-AFB6-9B44E074E94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6966827097018561E-2"/>
                  <c:y val="3.9047619047619046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91F-4268-AFB6-9B44E074E94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7235390179523593E-2"/>
                  <c:y val="3.9047619047619046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522-4D72-845A-E81455FF2FD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'táblázat_elkövetés helyes'!$R$12:$Z$12</c:f>
              <c:numCache>
                <c:formatCode>0.0</c:formatCode>
                <c:ptCount val="9"/>
                <c:pt idx="0">
                  <c:v>79.2</c:v>
                </c:pt>
                <c:pt idx="1">
                  <c:v>76.7</c:v>
                </c:pt>
                <c:pt idx="2">
                  <c:v>75.900000000000006</c:v>
                </c:pt>
                <c:pt idx="3">
                  <c:v>76.3</c:v>
                </c:pt>
                <c:pt idx="4">
                  <c:v>77.599999999999994</c:v>
                </c:pt>
                <c:pt idx="5">
                  <c:v>82.8</c:v>
                </c:pt>
                <c:pt idx="6">
                  <c:v>76</c:v>
                </c:pt>
                <c:pt idx="7">
                  <c:v>77.599999999999994</c:v>
                </c:pt>
                <c:pt idx="8">
                  <c:v>87.9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91F-4268-AFB6-9B44E074E94D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7235390179523593E-2"/>
                  <c:y val="3.7142857142857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91F-4268-AFB6-9B44E074E94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7235390179523488E-2"/>
                  <c:y val="-8.09523809523809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522-4D72-845A-E81455FF2FD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B05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'táblázat_elkövetés helyes'!$AG$12:$AO$12</c:f>
              <c:numCache>
                <c:formatCode>General</c:formatCode>
                <c:ptCount val="9"/>
                <c:pt idx="5" formatCode="0.0">
                  <c:v>80</c:v>
                </c:pt>
                <c:pt idx="6" formatCode="0.0">
                  <c:v>73.900000000000006</c:v>
                </c:pt>
                <c:pt idx="7" formatCode="0.0">
                  <c:v>77.2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91F-4268-AFB6-9B44E074E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606368"/>
        <c:axId val="342605976"/>
      </c:lineChart>
      <c:catAx>
        <c:axId val="34260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605584"/>
        <c:crosses val="autoZero"/>
        <c:auto val="1"/>
        <c:lblAlgn val="ctr"/>
        <c:lblOffset val="100"/>
        <c:noMultiLvlLbl val="0"/>
      </c:catAx>
      <c:valAx>
        <c:axId val="342605584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608720"/>
        <c:crosses val="autoZero"/>
        <c:crossBetween val="between"/>
      </c:valAx>
      <c:valAx>
        <c:axId val="342605976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606368"/>
        <c:crosses val="max"/>
        <c:crossBetween val="between"/>
      </c:valAx>
      <c:catAx>
        <c:axId val="342606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260597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helyes'!$B$14:$J$14</c:f>
              <c:numCache>
                <c:formatCode>#,##0</c:formatCode>
                <c:ptCount val="9"/>
                <c:pt idx="0">
                  <c:v>27</c:v>
                </c:pt>
                <c:pt idx="1">
                  <c:v>37</c:v>
                </c:pt>
                <c:pt idx="2">
                  <c:v>15</c:v>
                </c:pt>
                <c:pt idx="3">
                  <c:v>23</c:v>
                </c:pt>
                <c:pt idx="4">
                  <c:v>21</c:v>
                </c:pt>
                <c:pt idx="5">
                  <c:v>17</c:v>
                </c:pt>
                <c:pt idx="6">
                  <c:v>16</c:v>
                </c:pt>
                <c:pt idx="7">
                  <c:v>21</c:v>
                </c:pt>
                <c:pt idx="8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B7-44D8-A654-A98FB1B66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2609504"/>
        <c:axId val="342598136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4.9973673668191623E-2"/>
                  <c:y val="3.9047619047618977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B7-44D8-A654-A98FB1B664C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4081098901193725E-2"/>
                  <c:y val="-2.5714285714285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CB7-44D8-A654-A98FB1B664C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8604531923857608E-2"/>
                  <c:y val="4.6666666666666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536-4C7B-9117-A49DFD172310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'táblázat_elkövetés helyes'!$R$14:$Z$14</c:f>
              <c:numCache>
                <c:formatCode>0.0</c:formatCode>
                <c:ptCount val="9"/>
                <c:pt idx="0">
                  <c:v>87.1</c:v>
                </c:pt>
                <c:pt idx="1">
                  <c:v>85.1</c:v>
                </c:pt>
                <c:pt idx="2">
                  <c:v>84.6</c:v>
                </c:pt>
                <c:pt idx="3">
                  <c:v>86.8</c:v>
                </c:pt>
                <c:pt idx="4">
                  <c:v>92</c:v>
                </c:pt>
                <c:pt idx="5">
                  <c:v>89.5</c:v>
                </c:pt>
                <c:pt idx="6">
                  <c:v>81.8</c:v>
                </c:pt>
                <c:pt idx="7">
                  <c:v>80</c:v>
                </c:pt>
                <c:pt idx="8">
                  <c:v>83.8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CB7-44D8-A654-A98FB1B664C2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4497106690855659E-2"/>
                  <c:y val="-0.10380952380952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B7-44D8-A654-A98FB1B664C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'táblázat_elkövetés helyes'!$AG$14:$AO$14</c:f>
              <c:numCache>
                <c:formatCode>General</c:formatCode>
                <c:ptCount val="9"/>
                <c:pt idx="5" formatCode="0.0">
                  <c:v>77.8</c:v>
                </c:pt>
                <c:pt idx="6" formatCode="0.0">
                  <c:v>86.7</c:v>
                </c:pt>
                <c:pt idx="7" formatCode="0.0">
                  <c:v>81.8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6CB7-44D8-A654-A98FB1B66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037056"/>
        <c:axId val="342607544"/>
      </c:lineChart>
      <c:catAx>
        <c:axId val="34260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598136"/>
        <c:crosses val="autoZero"/>
        <c:auto val="1"/>
        <c:lblAlgn val="ctr"/>
        <c:lblOffset val="100"/>
        <c:noMultiLvlLbl val="0"/>
      </c:catAx>
      <c:valAx>
        <c:axId val="342598136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2609504"/>
        <c:crosses val="autoZero"/>
        <c:crossBetween val="between"/>
      </c:valAx>
      <c:valAx>
        <c:axId val="342607544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37056"/>
        <c:crosses val="max"/>
        <c:crossBetween val="between"/>
      </c:valAx>
      <c:catAx>
        <c:axId val="34603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260754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6"/>
              <c:layout>
                <c:manualLayout>
                  <c:x val="-1.0040256805879402E-16"/>
                  <c:y val="0.263143307086614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3D0-4160-A076-3ECCB43D45E3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helyes'!$B$15:$J$15</c:f>
              <c:numCache>
                <c:formatCode>#,##0</c:formatCode>
                <c:ptCount val="9"/>
                <c:pt idx="0">
                  <c:v>3541</c:v>
                </c:pt>
                <c:pt idx="1">
                  <c:v>3017</c:v>
                </c:pt>
                <c:pt idx="2">
                  <c:v>2863</c:v>
                </c:pt>
                <c:pt idx="3">
                  <c:v>2250</c:v>
                </c:pt>
                <c:pt idx="4">
                  <c:v>2275</c:v>
                </c:pt>
                <c:pt idx="5">
                  <c:v>1872</c:v>
                </c:pt>
                <c:pt idx="6">
                  <c:v>1338</c:v>
                </c:pt>
                <c:pt idx="7">
                  <c:v>1368</c:v>
                </c:pt>
                <c:pt idx="8">
                  <c:v>926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D0-4160-A076-3ECCB43D4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6042936"/>
        <c:axId val="346034312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5"/>
              <c:layout>
                <c:manualLayout>
                  <c:x val="-4.7235390179523593E-2"/>
                  <c:y val="-8.28571428571428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3D0-4160-A076-3ECCB43D45E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'táblázat_elkövetés helyes'!$R$15:$Z$15</c:f>
              <c:numCache>
                <c:formatCode>0.0</c:formatCode>
                <c:ptCount val="9"/>
                <c:pt idx="0">
                  <c:v>33.1</c:v>
                </c:pt>
                <c:pt idx="1">
                  <c:v>26.3</c:v>
                </c:pt>
                <c:pt idx="2">
                  <c:v>29.7</c:v>
                </c:pt>
                <c:pt idx="3">
                  <c:v>33.799999999999997</c:v>
                </c:pt>
                <c:pt idx="4">
                  <c:v>33.700000000000003</c:v>
                </c:pt>
                <c:pt idx="5">
                  <c:v>38.200000000000003</c:v>
                </c:pt>
                <c:pt idx="6">
                  <c:v>41</c:v>
                </c:pt>
                <c:pt idx="7">
                  <c:v>45.8</c:v>
                </c:pt>
                <c:pt idx="8">
                  <c:v>44.9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3D0-4160-A076-3ECCB43D45E3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7235390179523593E-2"/>
                  <c:y val="3.7142857142857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3D0-4160-A076-3ECCB43D45E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8604531923857705E-2"/>
                  <c:y val="3.714285714285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3D0-4160-A076-3ECCB43D45E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9973673668191727E-2"/>
                  <c:y val="4.476190476190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078-4DBB-9CCF-422E08D32EF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92D05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'táblázat_elkövetés helyes'!$AG$15:$AO$15</c:f>
              <c:numCache>
                <c:formatCode>General</c:formatCode>
                <c:ptCount val="9"/>
                <c:pt idx="5" formatCode="0.0">
                  <c:v>32.700000000000003</c:v>
                </c:pt>
                <c:pt idx="6" formatCode="0.0">
                  <c:v>37.700000000000003</c:v>
                </c:pt>
                <c:pt idx="7" formatCode="0.0">
                  <c:v>42.3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93D0-4160-A076-3ECCB43D4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037448"/>
        <c:axId val="346038624"/>
      </c:lineChart>
      <c:catAx>
        <c:axId val="34604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34312"/>
        <c:crosses val="autoZero"/>
        <c:auto val="1"/>
        <c:lblAlgn val="ctr"/>
        <c:lblOffset val="100"/>
        <c:noMultiLvlLbl val="0"/>
      </c:catAx>
      <c:valAx>
        <c:axId val="346034312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42936"/>
        <c:crosses val="autoZero"/>
        <c:crossBetween val="between"/>
      </c:valAx>
      <c:valAx>
        <c:axId val="346038624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37448"/>
        <c:crosses val="max"/>
        <c:crossBetween val="between"/>
      </c:valAx>
      <c:catAx>
        <c:axId val="346037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603862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helyes'!$B$16:$J$16</c:f>
              <c:numCache>
                <c:formatCode>#,##0</c:formatCode>
                <c:ptCount val="9"/>
                <c:pt idx="0">
                  <c:v>10</c:v>
                </c:pt>
                <c:pt idx="1">
                  <c:v>14</c:v>
                </c:pt>
                <c:pt idx="2">
                  <c:v>15</c:v>
                </c:pt>
                <c:pt idx="3">
                  <c:v>9</c:v>
                </c:pt>
                <c:pt idx="4">
                  <c:v>9</c:v>
                </c:pt>
                <c:pt idx="5">
                  <c:v>12</c:v>
                </c:pt>
                <c:pt idx="6">
                  <c:v>5</c:v>
                </c:pt>
                <c:pt idx="7">
                  <c:v>12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82-49AC-86EF-609A33848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6039800"/>
        <c:axId val="346035488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4.038968145785353E-2"/>
                  <c:y val="-0.12476190476190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382-49AC-86EF-609A338486B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389681457853502E-2"/>
                  <c:y val="-8.66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382-49AC-86EF-609A338486B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0389681457853502E-2"/>
                  <c:y val="-0.14761904761904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382-49AC-86EF-609A338486B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081098901193676E-2"/>
                  <c:y val="-3.71428571428571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382-49AC-86EF-609A338486B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4.0389681457853502E-2"/>
                  <c:y val="-0.12476190476190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8BC-4274-AE03-BBCBC565D9D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'táblázat_elkövetés helyes'!$R$16:$Z$16</c:f>
              <c:numCache>
                <c:formatCode>0.0</c:formatCode>
                <c:ptCount val="9"/>
                <c:pt idx="0">
                  <c:v>30</c:v>
                </c:pt>
                <c:pt idx="1">
                  <c:v>69.400000000000006</c:v>
                </c:pt>
                <c:pt idx="2">
                  <c:v>70.599999999999994</c:v>
                </c:pt>
                <c:pt idx="3">
                  <c:v>14.3</c:v>
                </c:pt>
                <c:pt idx="4">
                  <c:v>70</c:v>
                </c:pt>
                <c:pt idx="5">
                  <c:v>41.7</c:v>
                </c:pt>
                <c:pt idx="6">
                  <c:v>75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382-49AC-86EF-609A338486B6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0.10473934344155231"/>
                  <c:y val="1.4285714285714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382-49AC-86EF-609A338486B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0747762693022034"/>
                  <c:y val="-9.5238095238109203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382-49AC-86EF-609A338486B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8.8309642509544206E-2"/>
                  <c:y val="-3.142857142857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620-4A62-A276-6E502AE0991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táblázat_eljszerves!$AG$16:$AO$16</c:f>
              <c:numCache>
                <c:formatCode>General</c:formatCode>
                <c:ptCount val="9"/>
                <c:pt idx="5" formatCode="0.0">
                  <c:v>41.7</c:v>
                </c:pt>
                <c:pt idx="6" formatCode="0.0">
                  <c:v>75</c:v>
                </c:pt>
                <c:pt idx="7" formatCode="0.0">
                  <c:v>100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9382-49AC-86EF-609A33848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035880"/>
        <c:axId val="346041368"/>
      </c:lineChart>
      <c:catAx>
        <c:axId val="346039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35488"/>
        <c:crosses val="autoZero"/>
        <c:auto val="1"/>
        <c:lblAlgn val="ctr"/>
        <c:lblOffset val="100"/>
        <c:noMultiLvlLbl val="0"/>
      </c:catAx>
      <c:valAx>
        <c:axId val="346035488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39800"/>
        <c:crosses val="autoZero"/>
        <c:crossBetween val="between"/>
      </c:valAx>
      <c:valAx>
        <c:axId val="346041368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35880"/>
        <c:crosses val="max"/>
        <c:crossBetween val="between"/>
      </c:valAx>
      <c:catAx>
        <c:axId val="346035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604136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466527610737694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layout>
                <c:manualLayout>
                  <c:x val="0"/>
                  <c:y val="0.105709486314210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23C-405B-AF92-C950FF3F17F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0201284029397009E-17"/>
                  <c:y val="0.101964754405699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23C-405B-AF92-C950FF3F17F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0.102727559055118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23C-405B-AF92-C950FF3F17F6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helyes'!$B$17:$J$17</c:f>
              <c:numCache>
                <c:formatCode>#,##0</c:formatCode>
                <c:ptCount val="9"/>
                <c:pt idx="0">
                  <c:v>148</c:v>
                </c:pt>
                <c:pt idx="1">
                  <c:v>90</c:v>
                </c:pt>
                <c:pt idx="2">
                  <c:v>91</c:v>
                </c:pt>
                <c:pt idx="3">
                  <c:v>47</c:v>
                </c:pt>
                <c:pt idx="4">
                  <c:v>72</c:v>
                </c:pt>
                <c:pt idx="5">
                  <c:v>45</c:v>
                </c:pt>
                <c:pt idx="6">
                  <c:v>17</c:v>
                </c:pt>
                <c:pt idx="7">
                  <c:v>20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23C-405B-AF92-C950FF3F1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6039016"/>
        <c:axId val="346034704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389681457853502E-2"/>
                  <c:y val="-6.3809523809523816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23C-405B-AF92-C950FF3F17F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7235390179523641E-2"/>
                  <c:y val="-7.1428571428571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23C-405B-AF92-C950FF3F17F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7235390179523488E-2"/>
                  <c:y val="-6.7619047619047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223C-405B-AF92-C950FF3F17F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0389681457853405E-2"/>
                  <c:y val="-8.2857142857142851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A1E-4882-8D13-978CA6365AA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'táblázat_elkövetés helyes'!$R$17:$Z$17</c:f>
              <c:numCache>
                <c:formatCode>0.0</c:formatCode>
                <c:ptCount val="9"/>
                <c:pt idx="0">
                  <c:v>47.4</c:v>
                </c:pt>
                <c:pt idx="1">
                  <c:v>9.8000000000000007</c:v>
                </c:pt>
                <c:pt idx="2">
                  <c:v>31.9</c:v>
                </c:pt>
                <c:pt idx="3">
                  <c:v>8.5</c:v>
                </c:pt>
                <c:pt idx="4">
                  <c:v>52.8</c:v>
                </c:pt>
                <c:pt idx="5">
                  <c:v>33.299999999999997</c:v>
                </c:pt>
                <c:pt idx="6">
                  <c:v>11.8</c:v>
                </c:pt>
                <c:pt idx="7">
                  <c:v>35</c:v>
                </c:pt>
                <c:pt idx="8">
                  <c:v>18.8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223C-405B-AF92-C950FF3F17F6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9.104792599821214E-2"/>
                  <c:y val="1.0476190476190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23C-405B-AF92-C950FF3F17F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8.8309642509544206E-2"/>
                  <c:y val="2.57142857142855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223C-405B-AF92-C950FF3F17F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9.378620948688017E-2"/>
                  <c:y val="-9.523809523809523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A1E-4882-8D13-978CA6365AA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'táblázat_elkövetés helyes'!$AG$17:$AO$17</c:f>
              <c:numCache>
                <c:formatCode>General</c:formatCode>
                <c:ptCount val="9"/>
                <c:pt idx="5" formatCode="0.0">
                  <c:v>28.6</c:v>
                </c:pt>
                <c:pt idx="6" formatCode="0.0">
                  <c:v>11.8</c:v>
                </c:pt>
                <c:pt idx="7" formatCode="0.0">
                  <c:v>35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223C-405B-AF92-C950FF3F1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042152"/>
        <c:axId val="346039408"/>
      </c:lineChart>
      <c:catAx>
        <c:axId val="346039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34704"/>
        <c:crosses val="autoZero"/>
        <c:auto val="1"/>
        <c:lblAlgn val="ctr"/>
        <c:lblOffset val="100"/>
        <c:noMultiLvlLbl val="0"/>
      </c:catAx>
      <c:valAx>
        <c:axId val="346034704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39016"/>
        <c:crosses val="autoZero"/>
        <c:crossBetween val="between"/>
      </c:valAx>
      <c:valAx>
        <c:axId val="346039408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42152"/>
        <c:crosses val="max"/>
        <c:crossBetween val="between"/>
      </c:valAx>
      <c:catAx>
        <c:axId val="346042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603940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9261870891"/>
          <c:y val="2.4564829396325458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helyes'!$B$18:$J$18</c:f>
              <c:numCache>
                <c:formatCode>#,##0</c:formatCode>
                <c:ptCount val="9"/>
                <c:pt idx="0">
                  <c:v>369</c:v>
                </c:pt>
                <c:pt idx="1">
                  <c:v>277</c:v>
                </c:pt>
                <c:pt idx="2">
                  <c:v>315</c:v>
                </c:pt>
                <c:pt idx="3">
                  <c:v>249</c:v>
                </c:pt>
                <c:pt idx="4">
                  <c:v>246</c:v>
                </c:pt>
                <c:pt idx="5">
                  <c:v>282</c:v>
                </c:pt>
                <c:pt idx="6">
                  <c:v>209</c:v>
                </c:pt>
                <c:pt idx="7">
                  <c:v>171</c:v>
                </c:pt>
                <c:pt idx="8">
                  <c:v>130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CA-46CA-AF25-0C00024DF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6045288"/>
        <c:axId val="346036272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312796494652154E-2"/>
                  <c:y val="-0.109523809523809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CA-46CA-AF25-0C00024DFA2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389681457853502E-2"/>
                  <c:y val="-0.11333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CCA-46CA-AF25-0C00024DFA2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'táblázat_elkövetés helyes'!$R$18:$Z$18</c:f>
              <c:numCache>
                <c:formatCode>0.0</c:formatCode>
                <c:ptCount val="9"/>
                <c:pt idx="0">
                  <c:v>22</c:v>
                </c:pt>
                <c:pt idx="1">
                  <c:v>13.7</c:v>
                </c:pt>
                <c:pt idx="2">
                  <c:v>27.6</c:v>
                </c:pt>
                <c:pt idx="3">
                  <c:v>35.6</c:v>
                </c:pt>
                <c:pt idx="4">
                  <c:v>25.3</c:v>
                </c:pt>
                <c:pt idx="5">
                  <c:v>31.6</c:v>
                </c:pt>
                <c:pt idx="6">
                  <c:v>39.700000000000003</c:v>
                </c:pt>
                <c:pt idx="7">
                  <c:v>49.4</c:v>
                </c:pt>
                <c:pt idx="8">
                  <c:v>48.7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CCA-46CA-AF25-0C00024DFA21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7235390179523593E-2"/>
                  <c:y val="3.71428571428571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rgbClr val="92D05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CA-46CA-AF25-0C00024DFA2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9.9262776464216246E-2"/>
                  <c:y val="6.66666666666666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CCA-46CA-AF25-0C00024DFA2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0.10337020169721819"/>
                  <c:y val="6.3809523809523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782-4A56-9562-BBE0907B175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'táblázat_elkövetés helyes'!$AG$18:$AO$18</c:f>
              <c:numCache>
                <c:formatCode>General</c:formatCode>
                <c:ptCount val="9"/>
                <c:pt idx="5" formatCode="0.0">
                  <c:v>30.5</c:v>
                </c:pt>
                <c:pt idx="6" formatCode="0.0">
                  <c:v>39.200000000000003</c:v>
                </c:pt>
                <c:pt idx="7" formatCode="0.0">
                  <c:v>48.2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CCA-46CA-AF25-0C00024DF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040584"/>
        <c:axId val="346043720"/>
      </c:lineChart>
      <c:catAx>
        <c:axId val="34604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36272"/>
        <c:crosses val="autoZero"/>
        <c:auto val="1"/>
        <c:lblAlgn val="ctr"/>
        <c:lblOffset val="100"/>
        <c:noMultiLvlLbl val="0"/>
      </c:catAx>
      <c:valAx>
        <c:axId val="346036272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45288"/>
        <c:crosses val="autoZero"/>
        <c:crossBetween val="between"/>
      </c:valAx>
      <c:valAx>
        <c:axId val="346043720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40584"/>
        <c:crosses val="max"/>
        <c:crossBetween val="between"/>
      </c:valAx>
      <c:catAx>
        <c:axId val="346040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604372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helyes'!$B$19:$J$19</c:f>
              <c:numCache>
                <c:formatCode>#,##0</c:formatCode>
                <c:ptCount val="9"/>
                <c:pt idx="0">
                  <c:v>62</c:v>
                </c:pt>
                <c:pt idx="1">
                  <c:v>34</c:v>
                </c:pt>
                <c:pt idx="2">
                  <c:v>31</c:v>
                </c:pt>
                <c:pt idx="3">
                  <c:v>20</c:v>
                </c:pt>
                <c:pt idx="4">
                  <c:v>23</c:v>
                </c:pt>
                <c:pt idx="5">
                  <c:v>12</c:v>
                </c:pt>
                <c:pt idx="6">
                  <c:v>8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AB-47C0-94FF-2BA6F7F89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6045680"/>
        <c:axId val="346041760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7235390179523593E-2"/>
                  <c:y val="-7.1428571428571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9AB-47C0-94FF-2BA6F7F89BA9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23539017952369E-2"/>
                  <c:y val="3.5238095238095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9AB-47C0-94FF-2BA6F7F89BA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723539017952369E-2"/>
                  <c:y val="4.66666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9AB-47C0-94FF-2BA6F7F89BA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'táblázat_elkövetés helyes'!$R$19:$Z$19</c:f>
              <c:numCache>
                <c:formatCode>0.0</c:formatCode>
                <c:ptCount val="9"/>
                <c:pt idx="0">
                  <c:v>69.8</c:v>
                </c:pt>
                <c:pt idx="1">
                  <c:v>73.8</c:v>
                </c:pt>
                <c:pt idx="2">
                  <c:v>53.1</c:v>
                </c:pt>
                <c:pt idx="3">
                  <c:v>73.7</c:v>
                </c:pt>
                <c:pt idx="4">
                  <c:v>60.9</c:v>
                </c:pt>
                <c:pt idx="5">
                  <c:v>75</c:v>
                </c:pt>
                <c:pt idx="6">
                  <c:v>100</c:v>
                </c:pt>
                <c:pt idx="7">
                  <c:v>100</c:v>
                </c:pt>
                <c:pt idx="8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9AB-47C0-94FF-2BA6F7F89BA9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5.5450240645527692E-2"/>
                  <c:y val="-3.1428571428571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9AB-47C0-94FF-2BA6F7F89BA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5450240645527796E-2"/>
                  <c:y val="-3.90476190476190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9AB-47C0-94FF-2BA6F7F89BA9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5866248435189674E-2"/>
                  <c:y val="4.09523809523808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6A7-4410-A9C1-AEADF094CD8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'táblázat_elkövetés helyes'!$AG$19:$AO$19</c:f>
              <c:numCache>
                <c:formatCode>General</c:formatCode>
                <c:ptCount val="9"/>
                <c:pt idx="5" formatCode="0.0">
                  <c:v>87.5</c:v>
                </c:pt>
                <c:pt idx="6" formatCode="0.0">
                  <c:v>100</c:v>
                </c:pt>
                <c:pt idx="7" formatCode="0.0">
                  <c:v>100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09AB-47C0-94FF-2BA6F7F89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042544"/>
        <c:axId val="346046072"/>
      </c:lineChart>
      <c:catAx>
        <c:axId val="34604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41760"/>
        <c:crosses val="autoZero"/>
        <c:auto val="1"/>
        <c:lblAlgn val="ctr"/>
        <c:lblOffset val="100"/>
        <c:noMultiLvlLbl val="0"/>
      </c:catAx>
      <c:valAx>
        <c:axId val="346041760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45680"/>
        <c:crosses val="autoZero"/>
        <c:crossBetween val="between"/>
      </c:valAx>
      <c:valAx>
        <c:axId val="346046072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42544"/>
        <c:crosses val="max"/>
        <c:crossBetween val="between"/>
      </c:valAx>
      <c:catAx>
        <c:axId val="346042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604607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5"/>
              <c:layout>
                <c:manualLayout>
                  <c:x val="0"/>
                  <c:y val="0.30229891263592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5E7-4D38-876E-66985822C8A3}"/>
                </c:ex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helyes'!$B$22:$J$22</c:f>
              <c:numCache>
                <c:formatCode>#,##0</c:formatCode>
                <c:ptCount val="9"/>
                <c:pt idx="0">
                  <c:v>302</c:v>
                </c:pt>
                <c:pt idx="1">
                  <c:v>293</c:v>
                </c:pt>
                <c:pt idx="2">
                  <c:v>205</c:v>
                </c:pt>
                <c:pt idx="3">
                  <c:v>168</c:v>
                </c:pt>
                <c:pt idx="4">
                  <c:v>158</c:v>
                </c:pt>
                <c:pt idx="5">
                  <c:v>151</c:v>
                </c:pt>
                <c:pt idx="6">
                  <c:v>114</c:v>
                </c:pt>
                <c:pt idx="7">
                  <c:v>133</c:v>
                </c:pt>
                <c:pt idx="8">
                  <c:v>115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E7-4D38-876E-66985822C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6044112"/>
        <c:axId val="346036664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7235390179523488E-2"/>
                  <c:y val="-4.0952380952380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5E7-4D38-876E-66985822C8A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7235390179523593E-2"/>
                  <c:y val="-4.476190476190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2A3-4A1E-A5D9-515C85B49A5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'táblázat_elkövetés helyes'!$R$22:$Z$22</c:f>
              <c:numCache>
                <c:formatCode>0.0</c:formatCode>
                <c:ptCount val="9"/>
                <c:pt idx="0">
                  <c:v>26.8</c:v>
                </c:pt>
                <c:pt idx="1">
                  <c:v>30.2</c:v>
                </c:pt>
                <c:pt idx="2">
                  <c:v>27.6</c:v>
                </c:pt>
                <c:pt idx="3">
                  <c:v>35.700000000000003</c:v>
                </c:pt>
                <c:pt idx="4">
                  <c:v>25.7</c:v>
                </c:pt>
                <c:pt idx="5">
                  <c:v>41.3</c:v>
                </c:pt>
                <c:pt idx="6">
                  <c:v>31.6</c:v>
                </c:pt>
                <c:pt idx="7">
                  <c:v>34.799999999999997</c:v>
                </c:pt>
                <c:pt idx="8">
                  <c:v>24.8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5E7-4D38-876E-66985822C8A3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7235390179523593E-2"/>
                  <c:y val="3.7142857142857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5E7-4D38-876E-66985822C8A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9973673668191727E-2"/>
                  <c:y val="6.761904761904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5E7-4D38-876E-66985822C8A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312796494652154E-2"/>
                  <c:y val="4.09523809523809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rgbClr val="0066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2A3-4A1E-A5D9-515C85B49A5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92D05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'táblázat_elkövetés helyes'!$AG$22:$AO$22</c:f>
              <c:numCache>
                <c:formatCode>General</c:formatCode>
                <c:ptCount val="9"/>
                <c:pt idx="5" formatCode="0.0">
                  <c:v>38.6</c:v>
                </c:pt>
                <c:pt idx="6" formatCode="0.0">
                  <c:v>26.7</c:v>
                </c:pt>
                <c:pt idx="7" formatCode="0.0">
                  <c:v>31.7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55E7-4D38-876E-66985822C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044504"/>
        <c:axId val="346038232"/>
      </c:lineChart>
      <c:catAx>
        <c:axId val="34604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36664"/>
        <c:crosses val="autoZero"/>
        <c:auto val="1"/>
        <c:lblAlgn val="ctr"/>
        <c:lblOffset val="100"/>
        <c:noMultiLvlLbl val="0"/>
      </c:catAx>
      <c:valAx>
        <c:axId val="346036664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44112"/>
        <c:crosses val="autoZero"/>
        <c:crossBetween val="between"/>
      </c:valAx>
      <c:valAx>
        <c:axId val="346038232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44504"/>
        <c:crosses val="max"/>
        <c:crossBetween val="between"/>
      </c:valAx>
      <c:catAx>
        <c:axId val="346044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603823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táblázat_eljszerves!$B$10:$J$10</c:f>
              <c:numCache>
                <c:formatCode>#,##0</c:formatCode>
                <c:ptCount val="9"/>
                <c:pt idx="0">
                  <c:v>46</c:v>
                </c:pt>
                <c:pt idx="1">
                  <c:v>52</c:v>
                </c:pt>
                <c:pt idx="2">
                  <c:v>34</c:v>
                </c:pt>
                <c:pt idx="3">
                  <c:v>32</c:v>
                </c:pt>
                <c:pt idx="4">
                  <c:v>16</c:v>
                </c:pt>
                <c:pt idx="5">
                  <c:v>19</c:v>
                </c:pt>
                <c:pt idx="6">
                  <c:v>27</c:v>
                </c:pt>
                <c:pt idx="7">
                  <c:v>41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02-447D-9BB7-879EC1147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5323240"/>
        <c:axId val="335327160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7131147540983617E-2"/>
                  <c:y val="-2.9523809523809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C84-45C5-B61D-9E19202226A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131147540983631E-2"/>
                  <c:y val="-2.5714285714285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84-45C5-B61D-9E19202226A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6938775510204082E-2"/>
                  <c:y val="-3.3921768541356395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1000" b="1" baseline="0">
                        <a:solidFill>
                          <a:schemeClr val="tx1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defRPr>
                    </a:pPr>
                    <a:fld id="{9B6647D9-93AE-4BCC-B60B-101526F3B686}" type="VALUE">
                      <a:rPr lang="en-US">
                        <a:solidFill>
                          <a:schemeClr val="tx1"/>
                        </a:solidFill>
                      </a:rPr>
                      <a:pPr>
                        <a:defRPr sz="1000" b="1" baseline="0">
                          <a:solidFill>
                            <a:schemeClr val="tx1"/>
                          </a:solidFill>
                          <a:latin typeface="Times New Roman" panose="02020603050405020304" pitchFamily="18" charset="0"/>
                          <a:cs typeface="Times New Roman" panose="02020603050405020304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B02-447D-9BB7-879EC1147E56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12535D2-6B27-4671-91B6-99E73138F7DF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B02-447D-9BB7-879EC1147E56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723530987198029E-2"/>
                  <c:y val="-4.1086778675913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B02-447D-9BB7-879EC1147E5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497106690855555E-2"/>
                  <c:y val="-2.9523809523809525E-2"/>
                </c:manualLayout>
              </c:layout>
              <c:tx>
                <c:rich>
                  <a:bodyPr/>
                  <a:lstStyle/>
                  <a:p>
                    <a:fld id="{6EA81C36-B1A9-47E7-809A-5A04319D3485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B02-447D-9BB7-879EC1147E56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táblázat_eljszerves!$R$10:$Z$10</c:f>
              <c:numCache>
                <c:formatCode>0.0</c:formatCode>
                <c:ptCount val="9"/>
                <c:pt idx="0">
                  <c:v>75.400000000000006</c:v>
                </c:pt>
                <c:pt idx="1">
                  <c:v>80</c:v>
                </c:pt>
                <c:pt idx="2">
                  <c:v>60.7</c:v>
                </c:pt>
                <c:pt idx="3">
                  <c:v>75.599999999999994</c:v>
                </c:pt>
                <c:pt idx="4">
                  <c:v>61.5</c:v>
                </c:pt>
                <c:pt idx="5">
                  <c:v>73.099999999999994</c:v>
                </c:pt>
                <c:pt idx="6">
                  <c:v>77.099999999999994</c:v>
                </c:pt>
                <c:pt idx="7">
                  <c:v>80.400000000000006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1B02-447D-9BB7-879EC1147E56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4.8299319727891157E-2"/>
                  <c:y val="3.3921768541356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586-43D1-8034-4EF4FEC5841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táblázat_eljszerves!$AG$10:$AO$10</c:f>
              <c:numCache>
                <c:formatCode>General</c:formatCode>
                <c:ptCount val="9"/>
                <c:pt idx="5" formatCode="0.0">
                  <c:v>0</c:v>
                </c:pt>
                <c:pt idx="6" formatCode="0.0">
                  <c:v>0</c:v>
                </c:pt>
                <c:pt idx="7" formatCode="0.0">
                  <c:v>100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1B02-447D-9BB7-879EC1147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325200"/>
        <c:axId val="335327944"/>
      </c:lineChart>
      <c:catAx>
        <c:axId val="335323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327160"/>
        <c:crosses val="autoZero"/>
        <c:auto val="1"/>
        <c:lblAlgn val="ctr"/>
        <c:lblOffset val="100"/>
        <c:noMultiLvlLbl val="0"/>
      </c:catAx>
      <c:valAx>
        <c:axId val="335327160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323240"/>
        <c:crosses val="autoZero"/>
        <c:crossBetween val="between"/>
      </c:valAx>
      <c:valAx>
        <c:axId val="335327944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325200"/>
        <c:crosses val="max"/>
        <c:crossBetween val="between"/>
      </c:valAx>
      <c:catAx>
        <c:axId val="33532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532794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37350670166532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helyes'!$B$23:$J$23</c:f>
              <c:numCache>
                <c:formatCode>#,##0</c:formatCode>
                <c:ptCount val="9"/>
                <c:pt idx="0">
                  <c:v>20</c:v>
                </c:pt>
                <c:pt idx="1">
                  <c:v>30</c:v>
                </c:pt>
                <c:pt idx="2">
                  <c:v>30</c:v>
                </c:pt>
                <c:pt idx="3">
                  <c:v>16</c:v>
                </c:pt>
                <c:pt idx="4">
                  <c:v>29</c:v>
                </c:pt>
                <c:pt idx="5">
                  <c:v>26</c:v>
                </c:pt>
                <c:pt idx="6">
                  <c:v>3</c:v>
                </c:pt>
                <c:pt idx="7">
                  <c:v>11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BF-4644-8C72-D718B0BFE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6048424"/>
        <c:axId val="346047248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4.7235390179523613E-2"/>
                  <c:y val="-7.14285714285714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3BF-4644-8C72-D718B0BFE2A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0389681457853502E-2"/>
                  <c:y val="5.047619047619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3BF-4644-8C72-D718B0BFE2A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497106690855659E-2"/>
                  <c:y val="4.2857142857142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3BF-4644-8C72-D718B0BFE2A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'táblázat_elkövetés helyes'!$R$23:$Z$23</c:f>
              <c:numCache>
                <c:formatCode>0.0</c:formatCode>
                <c:ptCount val="9"/>
                <c:pt idx="0">
                  <c:v>85.7</c:v>
                </c:pt>
                <c:pt idx="1">
                  <c:v>87.5</c:v>
                </c:pt>
                <c:pt idx="2">
                  <c:v>78.400000000000006</c:v>
                </c:pt>
                <c:pt idx="3">
                  <c:v>79.400000000000006</c:v>
                </c:pt>
                <c:pt idx="4">
                  <c:v>84.8</c:v>
                </c:pt>
                <c:pt idx="5">
                  <c:v>90.6</c:v>
                </c:pt>
                <c:pt idx="6">
                  <c:v>81.8</c:v>
                </c:pt>
                <c:pt idx="7">
                  <c:v>91.7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3BF-4644-8C72-D718B0BFE2AF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7235390179523593E-2"/>
                  <c:y val="3.7142857142857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3BF-4644-8C72-D718B0BFE2AF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758823202187524E-2"/>
                  <c:y val="4.476190476190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3BF-4644-8C72-D718B0BFE2A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'táblázat_elkövetés helyes'!$AG$23:$AO$23</c:f>
              <c:numCache>
                <c:formatCode>General</c:formatCode>
                <c:ptCount val="9"/>
                <c:pt idx="5" formatCode="0.0">
                  <c:v>92.6</c:v>
                </c:pt>
                <c:pt idx="6" formatCode="0.0">
                  <c:v>100</c:v>
                </c:pt>
                <c:pt idx="7" formatCode="0.0">
                  <c:v>100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3BF-4644-8C72-D718B0BFE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049208"/>
        <c:axId val="346048816"/>
      </c:lineChart>
      <c:catAx>
        <c:axId val="34604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47248"/>
        <c:crosses val="autoZero"/>
        <c:auto val="1"/>
        <c:lblAlgn val="ctr"/>
        <c:lblOffset val="100"/>
        <c:noMultiLvlLbl val="0"/>
      </c:catAx>
      <c:valAx>
        <c:axId val="346047248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48424"/>
        <c:crosses val="autoZero"/>
        <c:crossBetween val="between"/>
      </c:valAx>
      <c:valAx>
        <c:axId val="346048816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49208"/>
        <c:crosses val="max"/>
        <c:crossBetween val="between"/>
      </c:valAx>
      <c:catAx>
        <c:axId val="346049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604881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helyes'!$B$24:$J$24</c:f>
              <c:numCache>
                <c:formatCode>#,##0</c:formatCode>
                <c:ptCount val="9"/>
                <c:pt idx="0">
                  <c:v>20</c:v>
                </c:pt>
                <c:pt idx="1">
                  <c:v>25</c:v>
                </c:pt>
                <c:pt idx="2">
                  <c:v>15</c:v>
                </c:pt>
                <c:pt idx="3">
                  <c:v>18</c:v>
                </c:pt>
                <c:pt idx="4">
                  <c:v>29</c:v>
                </c:pt>
                <c:pt idx="5">
                  <c:v>22</c:v>
                </c:pt>
                <c:pt idx="6">
                  <c:v>25</c:v>
                </c:pt>
                <c:pt idx="7">
                  <c:v>44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FA-4D08-AC21-E43ED8829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6048032"/>
        <c:axId val="346047640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4.7235390179523613E-2"/>
                  <c:y val="-8.2857142857142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8FA-4D08-AC21-E43ED8829B4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7235390179523593E-2"/>
                  <c:y val="3.9047619047619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8FA-4D08-AC21-E43ED8829B4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7235390179523593E-2"/>
                  <c:y val="-6.761904761904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8FA-4D08-AC21-E43ED8829B4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23539017952369E-2"/>
                  <c:y val="5.0476190476190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8FA-4D08-AC21-E43ED8829B4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2711957156859758E-2"/>
                  <c:y val="4.66666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8FA-4D08-AC21-E43ED8829B4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7235390179523593E-2"/>
                  <c:y val="-6.3809523809523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7DD-4618-813E-9BC9DB42467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'táblázat_elkövetés helyes'!$R$24:$Z$24</c:f>
              <c:numCache>
                <c:formatCode>0.0</c:formatCode>
                <c:ptCount val="9"/>
                <c:pt idx="0">
                  <c:v>71.400000000000006</c:v>
                </c:pt>
                <c:pt idx="1">
                  <c:v>92.3</c:v>
                </c:pt>
                <c:pt idx="2">
                  <c:v>82.4</c:v>
                </c:pt>
                <c:pt idx="3">
                  <c:v>68.400000000000006</c:v>
                </c:pt>
                <c:pt idx="4">
                  <c:v>78.8</c:v>
                </c:pt>
                <c:pt idx="5">
                  <c:v>95.2</c:v>
                </c:pt>
                <c:pt idx="6">
                  <c:v>88.5</c:v>
                </c:pt>
                <c:pt idx="7">
                  <c:v>93.3</c:v>
                </c:pt>
                <c:pt idx="8">
                  <c:v>78.900000000000006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A8FA-4D08-AC21-E43ED8829B43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5.2711957156859661E-2"/>
                  <c:y val="4.476190476190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8FA-4D08-AC21-E43ED8829B4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4497106690855659E-2"/>
                  <c:y val="-3.1428571428571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8FA-4D08-AC21-E43ED8829B4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8604531923857608E-2"/>
                  <c:y val="4.476190476190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7DD-4618-813E-9BC9DB42467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'táblázat_elkövetés helyes'!$AG$24:$AO$24</c:f>
              <c:numCache>
                <c:formatCode>General</c:formatCode>
                <c:ptCount val="9"/>
                <c:pt idx="5" formatCode="0.0">
                  <c:v>92.9</c:v>
                </c:pt>
                <c:pt idx="6" formatCode="0.0">
                  <c:v>94.1</c:v>
                </c:pt>
                <c:pt idx="7" formatCode="0.0">
                  <c:v>93.3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A8FA-4D08-AC21-E43ED8829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049992"/>
        <c:axId val="346046856"/>
      </c:lineChart>
      <c:catAx>
        <c:axId val="34604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47640"/>
        <c:crosses val="autoZero"/>
        <c:auto val="1"/>
        <c:lblAlgn val="ctr"/>
        <c:lblOffset val="100"/>
        <c:noMultiLvlLbl val="0"/>
      </c:catAx>
      <c:valAx>
        <c:axId val="346047640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48032"/>
        <c:crosses val="autoZero"/>
        <c:crossBetween val="between"/>
      </c:valAx>
      <c:valAx>
        <c:axId val="346046856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049992"/>
        <c:crosses val="max"/>
        <c:crossBetween val="between"/>
      </c:valAx>
      <c:catAx>
        <c:axId val="346049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604685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helyes'!$B$25:$J$25</c:f>
              <c:numCache>
                <c:formatCode>#,##0</c:formatCode>
                <c:ptCount val="9"/>
                <c:pt idx="0">
                  <c:v>4884</c:v>
                </c:pt>
                <c:pt idx="1">
                  <c:v>4337</c:v>
                </c:pt>
                <c:pt idx="2">
                  <c:v>4005</c:v>
                </c:pt>
                <c:pt idx="3">
                  <c:v>3255</c:v>
                </c:pt>
                <c:pt idx="4">
                  <c:v>3308</c:v>
                </c:pt>
                <c:pt idx="5">
                  <c:v>2815</c:v>
                </c:pt>
                <c:pt idx="6">
                  <c:v>2160</c:v>
                </c:pt>
                <c:pt idx="7">
                  <c:v>2236</c:v>
                </c:pt>
                <c:pt idx="8">
                  <c:v>1561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1B8-400A-A209-BB71A4B0C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6368680"/>
        <c:axId val="346369072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5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723539017952369E-2"/>
                  <c:y val="-7.1428571428571494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B8-400A-A209-BB71A4B0C08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táblázat_eljszerves!$R$3:$Z$3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'táblázat_elkövetés helyes'!$R$25:$Z$25</c:f>
              <c:numCache>
                <c:formatCode>0.0</c:formatCode>
                <c:ptCount val="9"/>
                <c:pt idx="0">
                  <c:v>43.1</c:v>
                </c:pt>
                <c:pt idx="1">
                  <c:v>40</c:v>
                </c:pt>
                <c:pt idx="2">
                  <c:v>41.2</c:v>
                </c:pt>
                <c:pt idx="3">
                  <c:v>46.5</c:v>
                </c:pt>
                <c:pt idx="4">
                  <c:v>45.9</c:v>
                </c:pt>
                <c:pt idx="5">
                  <c:v>51.2</c:v>
                </c:pt>
                <c:pt idx="6">
                  <c:v>53.4</c:v>
                </c:pt>
                <c:pt idx="7">
                  <c:v>56.6</c:v>
                </c:pt>
                <c:pt idx="8">
                  <c:v>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1B8-400A-A209-BB71A4B0C08D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723539017952369E-2"/>
                  <c:y val="4.0952380952380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B8-400A-A209-BB71A4B0C08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9973673668191623E-2"/>
                  <c:y val="4.476190476190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B8-400A-A209-BB71A4B0C08D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8604531923857705E-2"/>
                  <c:y val="4.476190476190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255-4818-BADA-31D2BA3FB7F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92D05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táblázat_eljszerves!$R$3:$Z$3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'táblázat_elkövetés helyes'!$AG$25:$AO$25</c:f>
              <c:numCache>
                <c:formatCode>General</c:formatCode>
                <c:ptCount val="9"/>
                <c:pt idx="5" formatCode="0.0">
                  <c:v>42.7</c:v>
                </c:pt>
                <c:pt idx="6" formatCode="0.0">
                  <c:v>47.1</c:v>
                </c:pt>
                <c:pt idx="7" formatCode="0.0">
                  <c:v>50.8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1B8-400A-A209-BB71A4B0C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366328"/>
        <c:axId val="346368288"/>
      </c:lineChart>
      <c:catAx>
        <c:axId val="346368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69072"/>
        <c:crosses val="autoZero"/>
        <c:auto val="1"/>
        <c:lblAlgn val="ctr"/>
        <c:lblOffset val="100"/>
        <c:noMultiLvlLbl val="0"/>
      </c:catAx>
      <c:valAx>
        <c:axId val="346369072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68680"/>
        <c:crosses val="autoZero"/>
        <c:crossBetween val="between"/>
      </c:valAx>
      <c:valAx>
        <c:axId val="346368288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66328"/>
        <c:crosses val="max"/>
        <c:crossBetween val="between"/>
      </c:valAx>
      <c:catAx>
        <c:axId val="346366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636828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helyes'!$B$29:$J$29</c:f>
              <c:numCache>
                <c:formatCode>#,##0</c:formatCode>
                <c:ptCount val="9"/>
                <c:pt idx="0">
                  <c:v>2080</c:v>
                </c:pt>
                <c:pt idx="1">
                  <c:v>2023</c:v>
                </c:pt>
                <c:pt idx="2">
                  <c:v>1872</c:v>
                </c:pt>
                <c:pt idx="3">
                  <c:v>1584</c:v>
                </c:pt>
                <c:pt idx="4">
                  <c:v>1200</c:v>
                </c:pt>
                <c:pt idx="5">
                  <c:v>1167</c:v>
                </c:pt>
                <c:pt idx="6">
                  <c:v>1074</c:v>
                </c:pt>
                <c:pt idx="7">
                  <c:v>1191</c:v>
                </c:pt>
                <c:pt idx="8">
                  <c:v>1146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E7-4D9E-AC2F-DB2C69953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6367896"/>
        <c:axId val="346366720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'táblázat_elkövetés helyes'!$R$29:$Z$29</c:f>
              <c:numCache>
                <c:formatCode>0.0</c:formatCode>
                <c:ptCount val="9"/>
                <c:pt idx="0">
                  <c:v>59.8</c:v>
                </c:pt>
                <c:pt idx="1">
                  <c:v>56.2</c:v>
                </c:pt>
                <c:pt idx="2">
                  <c:v>51.6</c:v>
                </c:pt>
                <c:pt idx="3">
                  <c:v>64.2</c:v>
                </c:pt>
                <c:pt idx="4">
                  <c:v>72.2</c:v>
                </c:pt>
                <c:pt idx="5">
                  <c:v>76.099999999999994</c:v>
                </c:pt>
                <c:pt idx="6">
                  <c:v>80.400000000000006</c:v>
                </c:pt>
                <c:pt idx="7">
                  <c:v>85.8</c:v>
                </c:pt>
                <c:pt idx="8">
                  <c:v>78.5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E7-4D9E-AC2F-DB2C699533DA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'táblázat_elkövetés helyes'!$AG$29:$AO$29</c:f>
              <c:numCache>
                <c:formatCode>General</c:formatCode>
                <c:ptCount val="9"/>
                <c:pt idx="5" formatCode="0.0">
                  <c:v>54</c:v>
                </c:pt>
                <c:pt idx="6" formatCode="0.0">
                  <c:v>61.9</c:v>
                </c:pt>
                <c:pt idx="7" formatCode="0.0">
                  <c:v>71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5EE7-4D9E-AC2F-DB2C69953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358488"/>
        <c:axId val="346367504"/>
      </c:lineChart>
      <c:catAx>
        <c:axId val="346367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66720"/>
        <c:crosses val="autoZero"/>
        <c:auto val="1"/>
        <c:lblAlgn val="ctr"/>
        <c:lblOffset val="100"/>
        <c:noMultiLvlLbl val="0"/>
      </c:catAx>
      <c:valAx>
        <c:axId val="346366720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67896"/>
        <c:crosses val="autoZero"/>
        <c:crossBetween val="between"/>
      </c:valAx>
      <c:valAx>
        <c:axId val="346367504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58488"/>
        <c:crosses val="max"/>
        <c:crossBetween val="between"/>
      </c:valAx>
      <c:catAx>
        <c:axId val="346358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636750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helyes'!$B$30:$J$30</c:f>
              <c:numCache>
                <c:formatCode>#,##0</c:formatCode>
                <c:ptCount val="9"/>
                <c:pt idx="0">
                  <c:v>8053</c:v>
                </c:pt>
                <c:pt idx="1">
                  <c:v>8453</c:v>
                </c:pt>
                <c:pt idx="2">
                  <c:v>7186</c:v>
                </c:pt>
                <c:pt idx="3">
                  <c:v>5772</c:v>
                </c:pt>
                <c:pt idx="4">
                  <c:v>5677</c:v>
                </c:pt>
                <c:pt idx="5">
                  <c:v>5065</c:v>
                </c:pt>
                <c:pt idx="6">
                  <c:v>4236</c:v>
                </c:pt>
                <c:pt idx="7">
                  <c:v>4562</c:v>
                </c:pt>
                <c:pt idx="8">
                  <c:v>3830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87-4446-B9D8-FCCBFB8D9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6362016"/>
        <c:axId val="346362800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9863387978142076E-2"/>
                  <c:y val="6.1904761904761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07D-42BD-A51A-EE109EE2662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9863387978142076E-2"/>
                  <c:y val="4.2857142857142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07D-42BD-A51A-EE109EE2662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9863387978142125E-2"/>
                  <c:y val="3.9047619047619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07D-42BD-A51A-EE109EE2662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9863387978142076E-2"/>
                  <c:y val="-2.5714285714285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07D-42BD-A51A-EE109EE2662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7235390179523593E-2"/>
                  <c:y val="-5.61904761904762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A87-4446-B9D8-FCCBFB8D974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táblázat_eljszerves!$R$3:$Z$3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'táblázat_elkövetés helyes'!$R$30:$Z$30</c:f>
              <c:numCache>
                <c:formatCode>0.0</c:formatCode>
                <c:ptCount val="9"/>
                <c:pt idx="0">
                  <c:v>54.4</c:v>
                </c:pt>
                <c:pt idx="1">
                  <c:v>47.4</c:v>
                </c:pt>
                <c:pt idx="2">
                  <c:v>46.1</c:v>
                </c:pt>
                <c:pt idx="3">
                  <c:v>59</c:v>
                </c:pt>
                <c:pt idx="4">
                  <c:v>59.1</c:v>
                </c:pt>
                <c:pt idx="5">
                  <c:v>68.5</c:v>
                </c:pt>
                <c:pt idx="6">
                  <c:v>67.5</c:v>
                </c:pt>
                <c:pt idx="7">
                  <c:v>71.2</c:v>
                </c:pt>
                <c:pt idx="8">
                  <c:v>74.7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A87-4446-B9D8-FCCBFB8D974E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723539017952369E-2"/>
                  <c:y val="6.7619047619047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A87-4446-B9D8-FCCBFB8D974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7235390179523593E-2"/>
                  <c:y val="4.857142857142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A87-4446-B9D8-FCCBFB8D974E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8604531923857705E-2"/>
                  <c:y val="6.761904761904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823-4CE4-8EC4-3C1C5E5E19A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hu-HU" sz="1000" b="1" i="0" u="none" strike="noStrike" kern="1200" baseline="0">
                    <a:solidFill>
                      <a:srgbClr val="0066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táblázat_eljszerves!$R$3:$Z$3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'táblázat_elkövetés helyes'!$AG$30:$AO$30</c:f>
              <c:numCache>
                <c:formatCode>General</c:formatCode>
                <c:ptCount val="9"/>
                <c:pt idx="5" formatCode="0.0">
                  <c:v>60.5</c:v>
                </c:pt>
                <c:pt idx="6" formatCode="0.0">
                  <c:v>60.6</c:v>
                </c:pt>
                <c:pt idx="7" formatCode="0.0">
                  <c:v>64.5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A87-4446-B9D8-FCCBFB8D9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364368"/>
        <c:axId val="346358096"/>
      </c:lineChart>
      <c:catAx>
        <c:axId val="34636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62800"/>
        <c:crosses val="autoZero"/>
        <c:auto val="1"/>
        <c:lblAlgn val="ctr"/>
        <c:lblOffset val="100"/>
        <c:noMultiLvlLbl val="0"/>
      </c:catAx>
      <c:valAx>
        <c:axId val="346362800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62016"/>
        <c:crosses val="autoZero"/>
        <c:crossBetween val="between"/>
      </c:valAx>
      <c:valAx>
        <c:axId val="346358096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64368"/>
        <c:crosses val="max"/>
        <c:crossBetween val="between"/>
      </c:valAx>
      <c:catAx>
        <c:axId val="34636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6358096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rgbClr val="17375E"/>
            </a:solidFill>
            <a:ln>
              <a:solidFill>
                <a:srgbClr val="002060"/>
              </a:solidFill>
            </a:ln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invertIfNegative val="0"/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helyes'!$B$6:$J$6</c:f>
              <c:numCache>
                <c:formatCode>#,##0</c:formatCode>
                <c:ptCount val="9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7DC-465E-BAC0-748F91954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6357312"/>
        <c:axId val="346363192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rgbClr val="ED7D3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3812535818688547E-2"/>
                  <c:y val="-3.0476190476190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7DC-465E-BAC0-748F91954D9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550819307356585E-2"/>
                  <c:y val="-2.2857142857142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7DC-465E-BAC0-748F91954D9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0242236750696752E-2"/>
                  <c:y val="-8.3809523809523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7DC-465E-BAC0-748F91954D9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5718803728032876E-2"/>
                  <c:y val="-8.000000000000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7DC-465E-BAC0-748F91954D9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765669773360684E-2"/>
                  <c:y val="-8.7619047619047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7DC-465E-BAC0-748F91954D9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85940186401641E-2"/>
                  <c:y val="-8.3809523809523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A7DC-465E-BAC0-748F91954D9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202738628469275E-2"/>
                  <c:y val="-3.0476190476190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7DC-465E-BAC0-748F91954D9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202738628469275E-2"/>
                  <c:y val="-2.6666666666666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389-4BC9-A18B-07E2F81E183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'táblázat_elkövetés helyes'!$R$6:$Z$6</c:f>
              <c:numCache>
                <c:formatCode>0.0</c:formatCode>
                <c:ptCount val="9"/>
                <c:pt idx="0">
                  <c:v>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A7DC-465E-BAC0-748F91954D92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/>
          </c:spPr>
          <c:marker>
            <c:symbol val="none"/>
          </c:marker>
          <c:dLbls>
            <c:dLbl>
              <c:idx val="5"/>
              <c:layout>
                <c:manualLayout>
                  <c:x val="-4.3812535818688547E-2"/>
                  <c:y val="-0.1180952380952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A7DC-465E-BAC0-748F91954D9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2.2857142857142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7DC-465E-BAC0-748F91954D9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6.8457087216700852E-2"/>
                  <c:y val="-2.2857142857142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389-4BC9-A18B-07E2F81E18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B05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'táblázat_elkövetés helyes'!$AG$6:$AO$6</c:f>
              <c:numCache>
                <c:formatCode>General</c:formatCode>
                <c:ptCount val="9"/>
                <c:pt idx="5" formatCode="0.0">
                  <c:v>0</c:v>
                </c:pt>
                <c:pt idx="6" formatCode="0.0">
                  <c:v>100</c:v>
                </c:pt>
                <c:pt idx="7" formatCode="0.0">
                  <c:v>100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A7DC-465E-BAC0-748F91954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358880"/>
        <c:axId val="346362408"/>
      </c:lineChart>
      <c:catAx>
        <c:axId val="3463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63192"/>
        <c:crosses val="autoZero"/>
        <c:auto val="1"/>
        <c:lblAlgn val="ctr"/>
        <c:lblOffset val="100"/>
        <c:noMultiLvlLbl val="0"/>
      </c:catAx>
      <c:valAx>
        <c:axId val="346363192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57312"/>
        <c:crosses val="autoZero"/>
        <c:crossBetween val="between"/>
      </c:valAx>
      <c:valAx>
        <c:axId val="346362408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58880"/>
        <c:crosses val="max"/>
        <c:crossBetween val="between"/>
      </c:valAx>
      <c:catAx>
        <c:axId val="3463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636240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rgbClr val="17375E"/>
            </a:solidFill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helyes'!$B$13:$J$13</c:f>
              <c:numCache>
                <c:formatCode>#,##0</c:formatCode>
                <c:ptCount val="9"/>
                <c:pt idx="0">
                  <c:v>14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5</c:v>
                </c:pt>
                <c:pt idx="5">
                  <c:v>2</c:v>
                </c:pt>
                <c:pt idx="6">
                  <c:v>12</c:v>
                </c:pt>
                <c:pt idx="7">
                  <c:v>4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D1-4690-A23E-D0CF0924E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6360056"/>
        <c:axId val="346359664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rgbClr val="ED7D3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6550819307356585E-2"/>
                  <c:y val="-3.0476190476190546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1D1-4690-A23E-D0CF0924E8B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550819307356606E-2"/>
                  <c:y val="-6.4761904761904826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1D1-4690-A23E-D0CF0924E8B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812535818688547E-2"/>
                  <c:y val="-3.8095238095238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1D1-4690-A23E-D0CF0924E8B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550819307356585E-2"/>
                  <c:y val="-3.8095238095238168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1D1-4690-A23E-D0CF0924E8B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6550819307356585E-2"/>
                  <c:y val="3.4285714285714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1D1-4690-A23E-D0CF0924E8B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812535818688547E-2"/>
                  <c:y val="-3.809523809523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1D1-4690-A23E-D0CF0924E8B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074252330020614E-2"/>
                  <c:y val="3.4285714285714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1D1-4690-A23E-D0CF0924E8B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8335968841352583E-2"/>
                  <c:y val="4.5714285714285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1B2-41C1-916E-ED2C952B4B25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'táblázat_elkövetés helyes'!$R$13:$Z$13</c:f>
              <c:numCache>
                <c:formatCode>0.0</c:formatCode>
                <c:ptCount val="9"/>
                <c:pt idx="0">
                  <c:v>57.1</c:v>
                </c:pt>
                <c:pt idx="1">
                  <c:v>58.3</c:v>
                </c:pt>
                <c:pt idx="2">
                  <c:v>54.5</c:v>
                </c:pt>
                <c:pt idx="3">
                  <c:v>81.8</c:v>
                </c:pt>
                <c:pt idx="4">
                  <c:v>83.3</c:v>
                </c:pt>
                <c:pt idx="5">
                  <c:v>66.7</c:v>
                </c:pt>
                <c:pt idx="6">
                  <c:v>75</c:v>
                </c:pt>
                <c:pt idx="7">
                  <c:v>71.400000000000006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B1D1-4690-A23E-D0CF0924E8BC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50800" cap="sq">
              <a:solidFill>
                <a:srgbClr val="92D050"/>
              </a:solidFill>
              <a:headEnd type="none"/>
              <a:tailEnd type="none"/>
            </a:ln>
          </c:spPr>
          <c:marker>
            <c:symbol val="none"/>
          </c:marker>
          <c:dLbls>
            <c:dLbl>
              <c:idx val="5"/>
              <c:layout>
                <c:manualLayout>
                  <c:x val="-6.2980520239364887E-2"/>
                  <c:y val="3.4285714285714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B1D1-4690-A23E-D0CF0924E8B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928910279602472E-2"/>
                  <c:y val="3.4285714285714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1D1-4690-A23E-D0CF0924E8B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202738628469275E-2"/>
                  <c:y val="3.4285714285714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1B2-41C1-916E-ED2C952B4B25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'táblázat_elkövetés helyes'!$AG$13:$AO$13</c:f>
              <c:numCache>
                <c:formatCode>General</c:formatCode>
                <c:ptCount val="9"/>
                <c:pt idx="5" formatCode="0.0">
                  <c:v>100</c:v>
                </c:pt>
                <c:pt idx="6" formatCode="0.0">
                  <c:v>100</c:v>
                </c:pt>
                <c:pt idx="7" formatCode="0.0">
                  <c:v>100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B1D1-4690-A23E-D0CF0924E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357704"/>
        <c:axId val="346363584"/>
      </c:lineChart>
      <c:catAx>
        <c:axId val="346360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59664"/>
        <c:crosses val="autoZero"/>
        <c:auto val="1"/>
        <c:lblAlgn val="ctr"/>
        <c:lblOffset val="100"/>
        <c:noMultiLvlLbl val="0"/>
      </c:catAx>
      <c:valAx>
        <c:axId val="346359664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60056"/>
        <c:crosses val="autoZero"/>
        <c:crossBetween val="between"/>
      </c:valAx>
      <c:valAx>
        <c:axId val="346363584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57704"/>
        <c:crosses val="max"/>
        <c:crossBetween val="between"/>
      </c:valAx>
      <c:catAx>
        <c:axId val="346357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636358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5097385866403676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rgbClr val="17375E"/>
            </a:solidFill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helyes'!$B$20:$J$20</c:f>
              <c:numCache>
                <c:formatCode>#,##0</c:formatCode>
                <c:ptCount val="9"/>
                <c:pt idx="0">
                  <c:v>3</c:v>
                </c:pt>
                <c:pt idx="1">
                  <c:v>10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18</c:v>
                </c:pt>
                <c:pt idx="6">
                  <c:v>20</c:v>
                </c:pt>
                <c:pt idx="7">
                  <c:v>27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55-49AF-A4F4-56903B094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6354568"/>
        <c:axId val="346364760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rgbClr val="ED7D3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9289102796024616E-2"/>
                  <c:y val="-3.809523809523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B55-49AF-A4F4-56903B09451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550819307356606E-2"/>
                  <c:y val="-8.76190476190476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FB55-49AF-A4F4-56903B09451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9289102796024664E-2"/>
                  <c:y val="-3.809523809523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B55-49AF-A4F4-56903B09451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9289102796024664E-2"/>
                  <c:y val="-4.57142857142857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B55-49AF-A4F4-56903B09451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812535818688651E-2"/>
                  <c:y val="-6.09523809523810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B55-49AF-A4F4-56903B09451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812535818688547E-2"/>
                  <c:y val="-3.8095238095238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FB55-49AF-A4F4-56903B09451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812535818688651E-2"/>
                  <c:y val="-9.142857142857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FB55-49AF-A4F4-56903B09451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3812535818688651E-2"/>
                  <c:y val="-4.952380952380952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3C8-471F-ADEC-0123F1DFFEB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'táblázat_elkövetés helyes'!$R$20:$Z$20</c:f>
              <c:numCache>
                <c:formatCode>0.0</c:formatCode>
                <c:ptCount val="9"/>
                <c:pt idx="0">
                  <c:v>75</c:v>
                </c:pt>
                <c:pt idx="1">
                  <c:v>54.5</c:v>
                </c:pt>
                <c:pt idx="2">
                  <c:v>66.7</c:v>
                </c:pt>
                <c:pt idx="3">
                  <c:v>66.7</c:v>
                </c:pt>
                <c:pt idx="4">
                  <c:v>66.7</c:v>
                </c:pt>
                <c:pt idx="5">
                  <c:v>75</c:v>
                </c:pt>
                <c:pt idx="6">
                  <c:v>86.1</c:v>
                </c:pt>
                <c:pt idx="7">
                  <c:v>88</c:v>
                </c:pt>
                <c:pt idx="8">
                  <c:v>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B55-49AF-A4F4-56903B094510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dLbl>
              <c:idx val="5"/>
              <c:layout>
                <c:manualLayout>
                  <c:x val="-4.1074252330020516E-2"/>
                  <c:y val="-0.1447619047619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FB55-49AF-A4F4-56903B09451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812535818688651E-2"/>
                  <c:y val="-2.2857142857142857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0066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B55-49AF-A4F4-56903B09451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6550819307356481E-2"/>
                  <c:y val="4.5714285714285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3C8-471F-ADEC-0123F1DFFEB5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92D05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'táblázat_elkövetés helyes'!$AG$21:$AO$21</c:f>
              <c:numCache>
                <c:formatCode>General</c:formatCode>
                <c:ptCount val="9"/>
                <c:pt idx="5" formatCode="0.0">
                  <c:v>66.7</c:v>
                </c:pt>
                <c:pt idx="6" formatCode="0.0">
                  <c:v>100</c:v>
                </c:pt>
                <c:pt idx="7" formatCode="0.0">
                  <c:v>75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FB55-49AF-A4F4-56903B094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360448"/>
        <c:axId val="346361232"/>
      </c:lineChart>
      <c:catAx>
        <c:axId val="34635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64760"/>
        <c:crosses val="autoZero"/>
        <c:auto val="1"/>
        <c:lblAlgn val="ctr"/>
        <c:lblOffset val="100"/>
        <c:noMultiLvlLbl val="0"/>
      </c:catAx>
      <c:valAx>
        <c:axId val="346364760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54568"/>
        <c:crosses val="autoZero"/>
        <c:crossBetween val="between"/>
      </c:valAx>
      <c:valAx>
        <c:axId val="346361232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60448"/>
        <c:crosses val="max"/>
        <c:crossBetween val="between"/>
      </c:valAx>
      <c:catAx>
        <c:axId val="346360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636123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rgbClr val="17375E"/>
            </a:solidFill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invertIfNegative val="0"/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helyes'!$B$21:$J$21</c:f>
              <c:numCache>
                <c:formatCode>#,##0</c:formatCode>
                <c:ptCount val="9"/>
                <c:pt idx="0">
                  <c:v>15</c:v>
                </c:pt>
                <c:pt idx="1">
                  <c:v>11</c:v>
                </c:pt>
                <c:pt idx="2">
                  <c:v>24</c:v>
                </c:pt>
                <c:pt idx="3">
                  <c:v>4</c:v>
                </c:pt>
                <c:pt idx="4">
                  <c:v>11</c:v>
                </c:pt>
                <c:pt idx="5">
                  <c:v>6</c:v>
                </c:pt>
                <c:pt idx="6">
                  <c:v>4</c:v>
                </c:pt>
                <c:pt idx="7">
                  <c:v>6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1E5-4857-A010-618E8D423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6365152"/>
        <c:axId val="346365936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rgbClr val="ED7D3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4765669773360684E-2"/>
                  <c:y val="-4.190476190476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1E5-4857-A010-618E8D423A71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550819307356606E-2"/>
                  <c:y val="-6.4761904761904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1E5-4857-A010-618E8D423A7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812535818688547E-2"/>
                  <c:y val="3.8095238095238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1E5-4857-A010-618E8D423A7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550819307356585E-2"/>
                  <c:y val="-4.9523809523809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1E5-4857-A010-618E8D423A71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6550819307356585E-2"/>
                  <c:y val="-3.809523809523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1E5-4857-A010-618E8D423A7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285940186401641E-2"/>
                  <c:y val="-0.1980952380952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1E5-4857-A010-618E8D423A7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074252330020614E-2"/>
                  <c:y val="-4.5714285714285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1E5-4857-A010-618E8D423A7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5597685352684448E-2"/>
                  <c:y val="-5.3333333333333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BCA-4EFD-BBC2-E8426D979B4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'táblázat_elkövetés helyes'!$R$21:$Z$21</c:f>
              <c:numCache>
                <c:formatCode>0.0</c:formatCode>
                <c:ptCount val="9"/>
                <c:pt idx="0">
                  <c:v>59.1</c:v>
                </c:pt>
                <c:pt idx="1">
                  <c:v>58.8</c:v>
                </c:pt>
                <c:pt idx="2">
                  <c:v>66.7</c:v>
                </c:pt>
                <c:pt idx="3">
                  <c:v>40</c:v>
                </c:pt>
                <c:pt idx="4">
                  <c:v>64.3</c:v>
                </c:pt>
                <c:pt idx="5">
                  <c:v>44.4</c:v>
                </c:pt>
                <c:pt idx="6">
                  <c:v>55.6</c:v>
                </c:pt>
                <c:pt idx="7">
                  <c:v>62.5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91E5-4857-A010-618E8D423A71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dLbl>
              <c:idx val="5"/>
              <c:layout>
                <c:manualLayout>
                  <c:x val="-4.6550819307356585E-2"/>
                  <c:y val="3.4285714285714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1E5-4857-A010-618E8D423A7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202738628469275E-2"/>
                  <c:y val="-3.4285714285714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91E5-4857-A010-618E8D423A71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1074252330020516E-2"/>
                  <c:y val="4.57142857142857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BCA-4EFD-BBC2-E8426D979B4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'táblázat_elkövetés helyes'!$AG$22:$AO$22</c:f>
              <c:numCache>
                <c:formatCode>General</c:formatCode>
                <c:ptCount val="9"/>
                <c:pt idx="5" formatCode="0.0">
                  <c:v>38.6</c:v>
                </c:pt>
                <c:pt idx="6" formatCode="0.0">
                  <c:v>26.7</c:v>
                </c:pt>
                <c:pt idx="7" formatCode="0.0">
                  <c:v>31.7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91E5-4857-A010-618E8D423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365544"/>
        <c:axId val="346361624"/>
      </c:lineChart>
      <c:catAx>
        <c:axId val="34636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65936"/>
        <c:crosses val="autoZero"/>
        <c:auto val="1"/>
        <c:lblAlgn val="ctr"/>
        <c:lblOffset val="100"/>
        <c:noMultiLvlLbl val="0"/>
      </c:catAx>
      <c:valAx>
        <c:axId val="346365936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65152"/>
        <c:crosses val="autoZero"/>
        <c:crossBetween val="between"/>
      </c:valAx>
      <c:valAx>
        <c:axId val="346361624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65544"/>
        <c:crosses val="max"/>
        <c:crossBetween val="between"/>
      </c:valAx>
      <c:catAx>
        <c:axId val="346365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636162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rgbClr val="17375E"/>
            </a:solidFill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helyes'!$B$26:$J$26</c:f>
              <c:numCache>
                <c:formatCode>#,##0</c:formatCode>
                <c:ptCount val="9"/>
                <c:pt idx="0">
                  <c:v>1472</c:v>
                </c:pt>
                <c:pt idx="1">
                  <c:v>1381</c:v>
                </c:pt>
                <c:pt idx="2">
                  <c:v>1320</c:v>
                </c:pt>
                <c:pt idx="3">
                  <c:v>922</c:v>
                </c:pt>
                <c:pt idx="4">
                  <c:v>610</c:v>
                </c:pt>
                <c:pt idx="5">
                  <c:v>591</c:v>
                </c:pt>
                <c:pt idx="6">
                  <c:v>523</c:v>
                </c:pt>
                <c:pt idx="7">
                  <c:v>503</c:v>
                </c:pt>
                <c:pt idx="8">
                  <c:v>514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56-4489-B841-BEF8769C0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6353784"/>
        <c:axId val="346354960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rgbClr val="ED7D3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9289102796024629E-2"/>
                  <c:y val="-3.80952380952380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A56-4489-B841-BEF8769C0A6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9289102796024616E-2"/>
                  <c:y val="-6.47619047619047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A56-4489-B841-BEF8769C0A6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2027386284692702E-2"/>
                  <c:y val="-6.09523809523809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A56-4489-B841-BEF8769C0A6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812535818688547E-2"/>
                  <c:y val="6.09523809523808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A56-4489-B841-BEF8769C0A6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9289102796024616E-2"/>
                  <c:y val="-4.190476190476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A56-4489-B841-BEF8769C0A6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6550819307356585E-2"/>
                  <c:y val="-3.8095238095238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A56-4489-B841-BEF8769C0A6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074252330020614E-2"/>
                  <c:y val="-4.190476190476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A56-4489-B841-BEF8769C0A6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1074252330020516E-2"/>
                  <c:y val="-5.3333333333333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0FD-4264-A8C9-B1C53B60FF6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'táblázat_elkövetés helyes'!$R$26:$Z$26</c:f>
              <c:numCache>
                <c:formatCode>0.0</c:formatCode>
                <c:ptCount val="9"/>
                <c:pt idx="0">
                  <c:v>51.5</c:v>
                </c:pt>
                <c:pt idx="1">
                  <c:v>45.3</c:v>
                </c:pt>
                <c:pt idx="2">
                  <c:v>43.6</c:v>
                </c:pt>
                <c:pt idx="3">
                  <c:v>50.8</c:v>
                </c:pt>
                <c:pt idx="4">
                  <c:v>56.4</c:v>
                </c:pt>
                <c:pt idx="5">
                  <c:v>62.9</c:v>
                </c:pt>
                <c:pt idx="6">
                  <c:v>69.400000000000006</c:v>
                </c:pt>
                <c:pt idx="7">
                  <c:v>83.2</c:v>
                </c:pt>
                <c:pt idx="8">
                  <c:v>63.2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A56-4489-B841-BEF8769C0A63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dLbl>
              <c:idx val="5"/>
              <c:layout>
                <c:manualLayout>
                  <c:x val="-4.6550819307356585E-2"/>
                  <c:y val="3.4285714285714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DA56-4489-B841-BEF8769C0A6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202738628469275E-2"/>
                  <c:y val="-3.0476190476190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A56-4489-B841-BEF8769C0A6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6550819307356682E-2"/>
                  <c:y val="3.8095238095238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0FD-4264-A8C9-B1C53B60FF6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'táblázat_elkövetés helyes'!$AG$26:$AO$26</c:f>
              <c:numCache>
                <c:formatCode>General</c:formatCode>
                <c:ptCount val="9"/>
                <c:pt idx="5" formatCode="0.0">
                  <c:v>55.1</c:v>
                </c:pt>
                <c:pt idx="6" formatCode="0.0">
                  <c:v>63.3</c:v>
                </c:pt>
                <c:pt idx="7" formatCode="0.0">
                  <c:v>79.7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DA56-4489-B841-BEF8769C0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6356528"/>
        <c:axId val="346355744"/>
      </c:lineChart>
      <c:catAx>
        <c:axId val="34635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54960"/>
        <c:crosses val="autoZero"/>
        <c:auto val="1"/>
        <c:lblAlgn val="ctr"/>
        <c:lblOffset val="100"/>
        <c:noMultiLvlLbl val="0"/>
      </c:catAx>
      <c:valAx>
        <c:axId val="346354960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53784"/>
        <c:crosses val="autoZero"/>
        <c:crossBetween val="between"/>
      </c:valAx>
      <c:valAx>
        <c:axId val="346355744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6356528"/>
        <c:crosses val="max"/>
        <c:crossBetween val="between"/>
      </c:valAx>
      <c:catAx>
        <c:axId val="34635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635574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C5CB6B2-7894-45C9-94B6-FA5F0B002CF1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CB58-4F4A-93D6-2C4A48D1D8B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C7986D5-8686-42AC-B73D-569E9842A227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B58-4F4A-93D6-2C4A48D1D8B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2FD1A84-0DAE-496F-BDC8-8323E3A38622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B58-4F4A-93D6-2C4A48D1D8B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BAC736F-12CE-417A-9FD1-8394A0EF4B26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B58-4F4A-93D6-2C4A48D1D8B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8B05468-9274-47F0-BA09-547C4521F021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B58-4F4A-93D6-2C4A48D1D8B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táblázat_eljszerves!$B$11:$J$11</c:f>
              <c:numCache>
                <c:formatCode>#,##0</c:formatCode>
                <c:ptCount val="9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13</c:v>
                </c:pt>
                <c:pt idx="4">
                  <c:v>9</c:v>
                </c:pt>
                <c:pt idx="5">
                  <c:v>6</c:v>
                </c:pt>
                <c:pt idx="6">
                  <c:v>5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B58-4F4A-93D6-2C4A48D1D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5323632"/>
        <c:axId val="335326376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5"/>
              <c:layout>
                <c:manualLayout>
                  <c:x val="-4.4217761714211955E-2"/>
                  <c:y val="-2.2493288338957629E-2"/>
                </c:manualLayout>
              </c:layout>
              <c:tx>
                <c:rich>
                  <a:bodyPr/>
                  <a:lstStyle/>
                  <a:p>
                    <a:fld id="{0D2A13A3-FC1E-4EB7-8A26-2182465F0A0C}" type="VALUE">
                      <a:rPr lang="en-US">
                        <a:solidFill>
                          <a:schemeClr val="bg1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B58-4F4A-93D6-2C4A48D1D8B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6A465B9-0A6E-4CB2-B1F7-A0A5BF0479C5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B58-4F4A-93D6-2C4A48D1D8B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táblázat_eljszerves!$R$11:$Z$11</c:f>
              <c:numCache>
                <c:formatCode>0.0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40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80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CB58-4F4A-93D6-2C4A48D1D8B2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rgbClr val="0066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rgbClr val="0066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FF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táblázat_eljszerves!$AG$11:$AO$11</c:f>
              <c:numCache>
                <c:formatCode>General</c:formatCode>
                <c:ptCount val="9"/>
                <c:pt idx="5" formatCode="0.0">
                  <c:v>100</c:v>
                </c:pt>
                <c:pt idx="6" formatCode="0.0">
                  <c:v>75</c:v>
                </c:pt>
                <c:pt idx="7" formatCode="0.0">
                  <c:v>100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CB58-4F4A-93D6-2C4A48D1D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324024"/>
        <c:axId val="335326768"/>
      </c:lineChart>
      <c:catAx>
        <c:axId val="33532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326376"/>
        <c:crosses val="autoZero"/>
        <c:auto val="1"/>
        <c:lblAlgn val="ctr"/>
        <c:lblOffset val="100"/>
        <c:noMultiLvlLbl val="0"/>
      </c:catAx>
      <c:valAx>
        <c:axId val="335326376"/>
        <c:scaling>
          <c:orientation val="minMax"/>
          <c:max val="700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323632"/>
        <c:crosses val="autoZero"/>
        <c:crossBetween val="between"/>
      </c:valAx>
      <c:valAx>
        <c:axId val="335326768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324024"/>
        <c:crosses val="max"/>
        <c:crossBetween val="between"/>
      </c:valAx>
      <c:catAx>
        <c:axId val="335324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532676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3373908638471385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rgbClr val="17375E"/>
            </a:solidFill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helyes'!$B$27:$J$27</c:f>
              <c:numCache>
                <c:formatCode>#,##0</c:formatCode>
                <c:ptCount val="9"/>
                <c:pt idx="0">
                  <c:v>18</c:v>
                </c:pt>
                <c:pt idx="1">
                  <c:v>20</c:v>
                </c:pt>
                <c:pt idx="2">
                  <c:v>21</c:v>
                </c:pt>
                <c:pt idx="3">
                  <c:v>11</c:v>
                </c:pt>
                <c:pt idx="4">
                  <c:v>9</c:v>
                </c:pt>
                <c:pt idx="5">
                  <c:v>20</c:v>
                </c:pt>
                <c:pt idx="6">
                  <c:v>12</c:v>
                </c:pt>
                <c:pt idx="7">
                  <c:v>8</c:v>
                </c:pt>
                <c:pt idx="8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65-4245-BA81-70120EF19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7650872"/>
        <c:axId val="347646168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rgbClr val="ED7D3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6550819307356585E-2"/>
                  <c:y val="-5.33333333333334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E65-4245-BA81-70120EF19BE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812535818688575E-2"/>
                  <c:y val="-4.5714285714285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E65-4245-BA81-70120EF19BE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6550819307356585E-2"/>
                  <c:y val="-6.476190476190482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E65-4245-BA81-70120EF19BE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859401864016459E-2"/>
                  <c:y val="4.9523809523809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E65-4245-BA81-70120EF19BE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765669773360684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E65-4245-BA81-70120EF19BE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812535818688651E-2"/>
                  <c:y val="4.190476190476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E65-4245-BA81-70120EF19BE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503953262028819E-2"/>
                  <c:y val="9.9047619047619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E65-4245-BA81-70120EF19BEE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6550819307356682E-2"/>
                  <c:y val="3.80952380952380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718-4230-9B13-384DB38C4F8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'táblázat_elkövetés helyes'!$R$27:$Z$27</c:f>
              <c:numCache>
                <c:formatCode>0.0</c:formatCode>
                <c:ptCount val="9"/>
                <c:pt idx="0">
                  <c:v>38.1</c:v>
                </c:pt>
                <c:pt idx="1">
                  <c:v>19</c:v>
                </c:pt>
                <c:pt idx="2">
                  <c:v>20.8</c:v>
                </c:pt>
                <c:pt idx="3">
                  <c:v>46.7</c:v>
                </c:pt>
                <c:pt idx="4">
                  <c:v>37.5</c:v>
                </c:pt>
                <c:pt idx="5">
                  <c:v>72.7</c:v>
                </c:pt>
                <c:pt idx="6">
                  <c:v>62.5</c:v>
                </c:pt>
                <c:pt idx="7">
                  <c:v>75</c:v>
                </c:pt>
                <c:pt idx="8">
                  <c:v>80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CE65-4245-BA81-70120EF19BEE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dLbl>
              <c:idx val="5"/>
              <c:layout>
                <c:manualLayout>
                  <c:x val="-5.7503953262028819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CE65-4245-BA81-70120EF19BE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4765669773360788E-2"/>
                  <c:y val="-3.0476190476190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E65-4245-BA81-70120EF19BEE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9289102796024817E-2"/>
                  <c:y val="3.8095238095238022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92D05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718-4230-9B13-384DB38C4F8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'táblázat_elkövetés helyes'!$AG$27:$AO$27</c:f>
              <c:numCache>
                <c:formatCode>General</c:formatCode>
                <c:ptCount val="9"/>
                <c:pt idx="5" formatCode="0.0">
                  <c:v>77.8</c:v>
                </c:pt>
                <c:pt idx="6" formatCode="0.0">
                  <c:v>63.6</c:v>
                </c:pt>
                <c:pt idx="7" formatCode="0.0">
                  <c:v>75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CE65-4245-BA81-70120EF19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644992"/>
        <c:axId val="347650088"/>
      </c:lineChart>
      <c:catAx>
        <c:axId val="347650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7646168"/>
        <c:crosses val="autoZero"/>
        <c:auto val="1"/>
        <c:lblAlgn val="ctr"/>
        <c:lblOffset val="100"/>
        <c:noMultiLvlLbl val="0"/>
      </c:catAx>
      <c:valAx>
        <c:axId val="347646168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7650872"/>
        <c:crosses val="autoZero"/>
        <c:crossBetween val="between"/>
      </c:valAx>
      <c:valAx>
        <c:axId val="347650088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7644992"/>
        <c:crosses val="max"/>
        <c:crossBetween val="between"/>
      </c:valAx>
      <c:catAx>
        <c:axId val="34764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765008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'táblázat_elkövetés helyes'!$B$2:$J$2</c:f>
              <c:strCache>
                <c:ptCount val="9"/>
                <c:pt idx="0">
                  <c:v>Bűncselekmények száma</c:v>
                </c:pt>
              </c:strCache>
            </c:strRef>
          </c:tx>
          <c:spPr>
            <a:solidFill>
              <a:srgbClr val="17375E"/>
            </a:solidFill>
            <a:scene3d>
              <a:camera prst="orthographicFront"/>
              <a:lightRig rig="threePt" dir="t"/>
            </a:scene3d>
            <a:sp3d>
              <a:bevelT/>
              <a:bevelB/>
            </a:sp3d>
          </c:spPr>
          <c:invertIfNegative val="0"/>
          <c:dLbls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'táblázat_elkövetés helyes'!$B$3:$J$3</c:f>
              <c:strCache>
                <c:ptCount val="9"/>
                <c:pt idx="0">
                  <c:v>2010.</c:v>
                </c:pt>
                <c:pt idx="1">
                  <c:v>2011.</c:v>
                </c:pt>
                <c:pt idx="2">
                  <c:v>2012.</c:v>
                </c:pt>
                <c:pt idx="3">
                  <c:v>2013.</c:v>
                </c:pt>
                <c:pt idx="4">
                  <c:v>2014.</c:v>
                </c:pt>
                <c:pt idx="5">
                  <c:v>2015.</c:v>
                </c:pt>
                <c:pt idx="6">
                  <c:v>2016.</c:v>
                </c:pt>
                <c:pt idx="7">
                  <c:v>2017.</c:v>
                </c:pt>
                <c:pt idx="8">
                  <c:v>2018.</c:v>
                </c:pt>
              </c:strCache>
            </c:strRef>
          </c:cat>
          <c:val>
            <c:numRef>
              <c:f>'táblázat_elkövetés helyes'!$B$28:$J$28</c:f>
              <c:numCache>
                <c:formatCode>#,##0</c:formatCode>
                <c:ptCount val="9"/>
                <c:pt idx="0">
                  <c:v>5</c:v>
                </c:pt>
                <c:pt idx="1">
                  <c:v>20</c:v>
                </c:pt>
                <c:pt idx="2">
                  <c:v>7</c:v>
                </c:pt>
                <c:pt idx="3">
                  <c:v>7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E4A-42F8-9AF1-09DE7871D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-56"/>
        <c:axId val="347643816"/>
        <c:axId val="347650480"/>
      </c:barChart>
      <c:lineChart>
        <c:grouping val="standard"/>
        <c:varyColors val="0"/>
        <c:ser>
          <c:idx val="0"/>
          <c:order val="1"/>
          <c:tx>
            <c:strRef>
              <c:f>'táblázat_elkövetés helyes'!$R$2:$Z$2</c:f>
              <c:strCache>
                <c:ptCount val="9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rgbClr val="ED7D3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4765669773360684E-2"/>
                  <c:y val="-3.8095238095238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E4A-42F8-9AF1-09DE7871D82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550819307356585E-2"/>
                  <c:y val="-8.000000000000007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E4A-42F8-9AF1-09DE7871D82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9289102796024664E-2"/>
                  <c:y val="3.80952380952380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E4A-42F8-9AF1-09DE7871D82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9289102796024664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E4A-42F8-9AF1-09DE7871D82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812535818688547E-2"/>
                  <c:y val="3.80952380952380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E4A-42F8-9AF1-09DE7871D82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765669773360684E-2"/>
                  <c:y val="-1.9047619047619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E4A-42F8-9AF1-09DE7871D82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074252330020614E-2"/>
                  <c:y val="-0.133333333333333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0E4A-42F8-9AF1-09DE7871D82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3812535818688651E-2"/>
                  <c:y val="-3.4285714285714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B07-43FB-8113-9266DD766C8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'táblázat_elkövetés helyes'!$R$28:$Z$28</c:f>
              <c:numCache>
                <c:formatCode>0.0</c:formatCode>
                <c:ptCount val="9"/>
                <c:pt idx="0">
                  <c:v>20</c:v>
                </c:pt>
                <c:pt idx="1">
                  <c:v>28.6</c:v>
                </c:pt>
                <c:pt idx="2">
                  <c:v>37.5</c:v>
                </c:pt>
                <c:pt idx="3">
                  <c:v>44.4</c:v>
                </c:pt>
                <c:pt idx="4">
                  <c:v>57.1</c:v>
                </c:pt>
                <c:pt idx="5">
                  <c:v>66.7</c:v>
                </c:pt>
                <c:pt idx="6">
                  <c:v>83.3</c:v>
                </c:pt>
                <c:pt idx="7">
                  <c:v>85.7</c:v>
                </c:pt>
                <c:pt idx="8">
                  <c:v>87.5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0E4A-42F8-9AF1-09DE7871D826}"/>
            </c:ext>
          </c:extLst>
        </c:ser>
        <c:ser>
          <c:idx val="2"/>
          <c:order val="2"/>
          <c:tx>
            <c:strRef>
              <c:f>'táblázat_elkövetés helyes'!$AL$2:$AR$2</c:f>
              <c:strCache>
                <c:ptCount val="7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dLbl>
              <c:idx val="5"/>
              <c:layout>
                <c:manualLayout>
                  <c:x val="-2.7382834886680342E-3"/>
                  <c:y val="3.8095238095238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E4A-42F8-9AF1-09DE7871D82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8.7625071637377192E-2"/>
                  <c:y val="-3.0476190476190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0E4A-42F8-9AF1-09DE7871D826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6550819307356682E-2"/>
                  <c:y val="-3.0476190476190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07-43FB-8113-9266DD766C8C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'táblázat_elkövetés helyes'!$AG$28:$AO$28</c:f>
              <c:numCache>
                <c:formatCode>General</c:formatCode>
                <c:ptCount val="9"/>
                <c:pt idx="5" formatCode="0.0">
                  <c:v>80</c:v>
                </c:pt>
                <c:pt idx="6" formatCode="0.0">
                  <c:v>83.3</c:v>
                </c:pt>
                <c:pt idx="7" formatCode="0.0">
                  <c:v>83.3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0E4A-42F8-9AF1-09DE7871D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646560"/>
        <c:axId val="347649304"/>
      </c:lineChart>
      <c:catAx>
        <c:axId val="347643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7650480"/>
        <c:crosses val="autoZero"/>
        <c:auto val="1"/>
        <c:lblAlgn val="ctr"/>
        <c:lblOffset val="100"/>
        <c:noMultiLvlLbl val="0"/>
      </c:catAx>
      <c:valAx>
        <c:axId val="347650480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7643816"/>
        <c:crosses val="autoZero"/>
        <c:crossBetween val="between"/>
      </c:valAx>
      <c:valAx>
        <c:axId val="347649304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7646560"/>
        <c:crosses val="max"/>
        <c:crossBetween val="between"/>
      </c:valAx>
      <c:catAx>
        <c:axId val="347646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764930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8816197975253093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landscape"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Times New Roman" pitchFamily="18" charset="0"/>
                <a:ea typeface="+mn-ea"/>
                <a:cs typeface="Times New Roman" pitchFamily="18" charset="0"/>
              </a:defRPr>
            </a:pPr>
            <a:r>
              <a:rPr lang="hu-HU"/>
              <a:t>Csalás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Times New Roman" pitchFamily="18" charset="0"/>
                <a:ea typeface="+mn-ea"/>
                <a:cs typeface="Times New Roman" pitchFamily="18" charset="0"/>
              </a:defRPr>
            </a:pPr>
            <a:endParaRPr lang="hu-HU"/>
          </a:p>
        </c:rich>
      </c:tx>
      <c:layout>
        <c:manualLayout>
          <c:xMode val="edge"/>
          <c:yMode val="edge"/>
          <c:x val="0.52105951806960005"/>
          <c:y val="1.65408906977307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9225138059217776"/>
          <c:y val="0.19405781395969568"/>
          <c:w val="0.62826317465186243"/>
          <c:h val="0.682764606966502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csalás!$A$5</c:f>
              <c:strCache>
                <c:ptCount val="1"/>
                <c:pt idx="0">
                  <c:v>Bűncselekmények száma a Zala MRFK 323/2015.bü. sorozat ügye nélkül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dLbl>
              <c:idx val="8"/>
              <c:tx>
                <c:rich>
                  <a:bodyPr/>
                  <a:lstStyle/>
                  <a:p>
                    <a:r>
                      <a:rPr lang="en-US" i="1"/>
                      <a:t>(22 443)</a:t>
                    </a:r>
                  </a:p>
                </c:rich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71E-482B-9BA0-EF21B29B2C2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csalás!$B$5:$J$5</c:f>
              <c:numCache>
                <c:formatCode>#,##0</c:formatCode>
                <c:ptCount val="9"/>
                <c:pt idx="0">
                  <c:v>26596</c:v>
                </c:pt>
                <c:pt idx="1">
                  <c:v>20987</c:v>
                </c:pt>
                <c:pt idx="2">
                  <c:v>30344</c:v>
                </c:pt>
                <c:pt idx="3">
                  <c:v>22885</c:v>
                </c:pt>
                <c:pt idx="4">
                  <c:v>28110</c:v>
                </c:pt>
                <c:pt idx="5">
                  <c:v>23312</c:v>
                </c:pt>
                <c:pt idx="6">
                  <c:v>17586</c:v>
                </c:pt>
                <c:pt idx="7">
                  <c:v>22086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50F-4A93-9B1B-9DC739E10578}"/>
            </c:ext>
          </c:extLst>
        </c:ser>
        <c:ser>
          <c:idx val="4"/>
          <c:order val="3"/>
          <c:tx>
            <c:strRef>
              <c:f>csalás!$A$4</c:f>
              <c:strCache>
                <c:ptCount val="1"/>
                <c:pt idx="0">
                  <c:v>Zala MRFK 323/2015. bü számú bűncselekmény száma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dLbl>
              <c:idx val="8"/>
              <c:layout>
                <c:manualLayout>
                  <c:x val="0"/>
                  <c:y val="0.106113029593837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71E-482B-9BA0-EF21B29B2C2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csalás!$B$4:$J$4</c:f>
              <c:numCache>
                <c:formatCode>General</c:formatCode>
                <c:ptCount val="9"/>
                <c:pt idx="6">
                  <c:v>20785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50F-4A93-9B1B-9DC739E10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347646952"/>
        <c:axId val="347642248"/>
      </c:barChart>
      <c:lineChart>
        <c:grouping val="standard"/>
        <c:varyColors val="0"/>
        <c:ser>
          <c:idx val="2"/>
          <c:order val="1"/>
          <c:tx>
            <c:strRef>
              <c:f>csalás!$A$6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63500">
              <a:solidFill>
                <a:srgbClr val="F79646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C50F-4A93-9B1B-9DC739E1057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50F-4A93-9B1B-9DC739E1057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C50F-4A93-9B1B-9DC739E1057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50F-4A93-9B1B-9DC739E1057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C50F-4A93-9B1B-9DC739E1057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50F-4A93-9B1B-9DC739E1057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2366897182255582E-2"/>
                  <c:y val="2.65282573984589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71E-482B-9BA0-EF21B29B2C2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csalás!$B$2:$J$2</c:f>
              <c:strCache>
                <c:ptCount val="9"/>
                <c:pt idx="0">
                  <c:v>2010.
I-XI. hó</c:v>
                </c:pt>
                <c:pt idx="1">
                  <c:v>2011.
I-XI. hó</c:v>
                </c:pt>
                <c:pt idx="2">
                  <c:v>2012.
I-XI. hó</c:v>
                </c:pt>
                <c:pt idx="3">
                  <c:v>2013.
I-XI. hó</c:v>
                </c:pt>
                <c:pt idx="4">
                  <c:v>2014.
I-XI. hó</c:v>
                </c:pt>
                <c:pt idx="5">
                  <c:v>2015.
I-XI. hó</c:v>
                </c:pt>
                <c:pt idx="6">
                  <c:v>2016.
I-XI. hó</c:v>
                </c:pt>
                <c:pt idx="7">
                  <c:v>2017.
I-XI. hó</c:v>
                </c:pt>
                <c:pt idx="8">
                  <c:v>2018. 
I-XI. hó</c:v>
                </c:pt>
              </c:strCache>
            </c:strRef>
          </c:cat>
          <c:val>
            <c:numRef>
              <c:f>csalás!$B$6:$J$6</c:f>
              <c:numCache>
                <c:formatCode>#\ ##0.0</c:formatCode>
                <c:ptCount val="9"/>
                <c:pt idx="0">
                  <c:v>83.1</c:v>
                </c:pt>
                <c:pt idx="1">
                  <c:v>78.8</c:v>
                </c:pt>
                <c:pt idx="2">
                  <c:v>85.3</c:v>
                </c:pt>
                <c:pt idx="3">
                  <c:v>80.3</c:v>
                </c:pt>
                <c:pt idx="4">
                  <c:v>83.6</c:v>
                </c:pt>
                <c:pt idx="5">
                  <c:v>79.599999999999994</c:v>
                </c:pt>
                <c:pt idx="6">
                  <c:v>86.6</c:v>
                </c:pt>
                <c:pt idx="7">
                  <c:v>74.900000000000006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C50F-4A93-9B1B-9DC739E10578}"/>
            </c:ext>
          </c:extLst>
        </c:ser>
        <c:ser>
          <c:idx val="1"/>
          <c:order val="2"/>
          <c:tx>
            <c:strRef>
              <c:f>csalás!$A$8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63500" cap="rnd">
              <a:solidFill>
                <a:srgbClr val="9BBB59">
                  <a:lumMod val="75000"/>
                </a:srgbClr>
              </a:solidFill>
            </a:ln>
          </c:spPr>
          <c:marker>
            <c:symbol val="triangle"/>
            <c:size val="8"/>
            <c:spPr>
              <a:solidFill>
                <a:srgbClr val="9BBB59">
                  <a:lumMod val="75000"/>
                </a:srgbClr>
              </a:solidFill>
              <a:ln cap="sq">
                <a:solidFill>
                  <a:sysClr val="windowText" lastClr="000000"/>
                </a:solidFill>
              </a:ln>
            </c:spPr>
          </c:marker>
          <c:dLbls>
            <c:dLbl>
              <c:idx val="5"/>
              <c:layout>
                <c:manualLayout>
                  <c:x val="-6.788194954821089E-2"/>
                  <c:y val="-2.65282573984594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C50F-4A93-9B1B-9DC739E1057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035907122776146E-2"/>
                  <c:y val="3.9792386097689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50F-4A93-9B1B-9DC739E1057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0518615931095051E-2"/>
                  <c:y val="-3.9792386097689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71E-482B-9BA0-EF21B29B2C2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csalás!$B$2:$J$2</c:f>
              <c:strCache>
                <c:ptCount val="9"/>
                <c:pt idx="0">
                  <c:v>2010.
I-XI. hó</c:v>
                </c:pt>
                <c:pt idx="1">
                  <c:v>2011.
I-XI. hó</c:v>
                </c:pt>
                <c:pt idx="2">
                  <c:v>2012.
I-XI. hó</c:v>
                </c:pt>
                <c:pt idx="3">
                  <c:v>2013.
I-XI. hó</c:v>
                </c:pt>
                <c:pt idx="4">
                  <c:v>2014.
I-XI. hó</c:v>
                </c:pt>
                <c:pt idx="5">
                  <c:v>2015.
I-XI. hó</c:v>
                </c:pt>
                <c:pt idx="6">
                  <c:v>2016.
I-XI. hó</c:v>
                </c:pt>
                <c:pt idx="7">
                  <c:v>2017.
I-XI. hó</c:v>
                </c:pt>
                <c:pt idx="8">
                  <c:v>2018. 
I-XI. hó</c:v>
                </c:pt>
              </c:strCache>
            </c:strRef>
          </c:cat>
          <c:val>
            <c:numRef>
              <c:f>csalás!$B$8:$J$8</c:f>
              <c:numCache>
                <c:formatCode>General</c:formatCode>
                <c:ptCount val="9"/>
                <c:pt idx="5" formatCode="0.0">
                  <c:v>82.1</c:v>
                </c:pt>
                <c:pt idx="6" formatCode="0.0">
                  <c:v>76.2</c:v>
                </c:pt>
                <c:pt idx="7" formatCode="0.0">
                  <c:v>77.7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C50F-4A93-9B1B-9DC739E10578}"/>
            </c:ext>
          </c:extLst>
        </c:ser>
        <c:ser>
          <c:idx val="5"/>
          <c:order val="4"/>
          <c:tx>
            <c:strRef>
              <c:f>csalás!$A$7</c:f>
              <c:strCache>
                <c:ptCount val="1"/>
                <c:pt idx="0">
                  <c:v>Nyomozáseredményesség a Zala MRFK 323/2015.bü. sorozat ügye nélkül</c:v>
                </c:pt>
              </c:strCache>
            </c:strRef>
          </c:tx>
          <c:spPr>
            <a:ln w="50800">
              <a:prstDash val="sysDash"/>
            </a:ln>
          </c:spPr>
          <c:marker>
            <c:symbol val="none"/>
          </c:marker>
          <c:dLbls>
            <c:dLbl>
              <c:idx val="5"/>
              <c:layout>
                <c:manualLayout>
                  <c:x val="-3.4440106756077601E-2"/>
                  <c:y val="-5.5046134101803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50F-4A93-9B1B-9DC739E1057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4440106756077601E-2"/>
                  <c:y val="2.45386380935749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71E-482B-9BA0-EF21B29B2C2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csalás!$B$7:$J$7</c:f>
              <c:numCache>
                <c:formatCode>0.0</c:formatCode>
                <c:ptCount val="9"/>
                <c:pt idx="0">
                  <c:v>83.1</c:v>
                </c:pt>
                <c:pt idx="1">
                  <c:v>78.8</c:v>
                </c:pt>
                <c:pt idx="2">
                  <c:v>85.3</c:v>
                </c:pt>
                <c:pt idx="3">
                  <c:v>80.3</c:v>
                </c:pt>
                <c:pt idx="4">
                  <c:v>83.6</c:v>
                </c:pt>
                <c:pt idx="5">
                  <c:v>79.599999999999994</c:v>
                </c:pt>
                <c:pt idx="6">
                  <c:v>70.900000000000006</c:v>
                </c:pt>
                <c:pt idx="7">
                  <c:v>74.900000000000006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C50F-4A93-9B1B-9DC739E10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641856"/>
        <c:axId val="347642640"/>
      </c:lineChart>
      <c:catAx>
        <c:axId val="347646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7642248"/>
        <c:crosses val="autoZero"/>
        <c:auto val="1"/>
        <c:lblAlgn val="ctr"/>
        <c:lblOffset val="100"/>
        <c:noMultiLvlLbl val="0"/>
      </c:catAx>
      <c:valAx>
        <c:axId val="347642248"/>
        <c:scaling>
          <c:orientation val="minMax"/>
          <c:min val="0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7646952"/>
        <c:crosses val="autoZero"/>
        <c:crossBetween val="between"/>
      </c:valAx>
      <c:valAx>
        <c:axId val="347642640"/>
        <c:scaling>
          <c:orientation val="minMax"/>
          <c:max val="100"/>
        </c:scaling>
        <c:delete val="0"/>
        <c:axPos val="r"/>
        <c:numFmt formatCode="#\ ##0.0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hu-HU"/>
          </a:p>
        </c:txPr>
        <c:crossAx val="347641856"/>
        <c:crosses val="max"/>
        <c:crossBetween val="between"/>
        <c:majorUnit val="20"/>
      </c:valAx>
      <c:catAx>
        <c:axId val="34764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7642640"/>
        <c:crosses val="autoZero"/>
        <c:auto val="1"/>
        <c:lblAlgn val="ctr"/>
        <c:lblOffset val="100"/>
        <c:noMultiLvlLbl val="0"/>
      </c:catAx>
      <c:spPr>
        <a:solidFill>
          <a:srgbClr val="9BBB59">
            <a:lumMod val="20000"/>
            <a:lumOff val="80000"/>
            <a:alpha val="0"/>
          </a:srgbClr>
        </a:solidFill>
      </c:spPr>
    </c:plotArea>
    <c:legend>
      <c:legendPos val="r"/>
      <c:layout>
        <c:manualLayout>
          <c:xMode val="edge"/>
          <c:yMode val="edge"/>
          <c:x val="4.8105318577472278E-5"/>
          <c:y val="0.21874428180278549"/>
          <c:w val="0.21712304098557422"/>
          <c:h val="0.54852080943353232"/>
        </c:manualLayout>
      </c:layout>
      <c:overlay val="0"/>
      <c:txPr>
        <a:bodyPr/>
        <a:lstStyle/>
        <a:p>
          <a:pPr>
            <a:defRPr sz="8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/>
      <a:srcRect/>
      <a:stretch>
        <a:fillRect/>
      </a:stretch>
    </a:blipFill>
    <a:scene3d>
      <a:camera prst="orthographicFront"/>
      <a:lightRig rig="threePt" dir="t"/>
    </a:scene3d>
  </c:spPr>
  <c:printSettings>
    <c:headerFooter>
      <c:oddHeader>&amp;J1. számú melléklet</c:oddHeader>
    </c:headerFooter>
    <c:pageMargins b="0.74803149606299812" l="0.7086614173228416" r="0.7086614173228416" t="0.74803149606299812" header="0.30000000000000032" footer="0.30000000000000032"/>
    <c:pageSetup paperSize="9" orientation="landscape"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5864662182621893E-2"/>
          <c:y val="0.21532027101263507"/>
          <c:w val="0.82464977244733195"/>
          <c:h val="0.6615020796819001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csalás!$A$3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rgbClr val="17375E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bcs!$B$3:$J$3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csalás!$B$3:$J$3</c:f>
              <c:numCache>
                <c:formatCode>#,##0</c:formatCode>
                <c:ptCount val="9"/>
                <c:pt idx="0">
                  <c:v>26596</c:v>
                </c:pt>
                <c:pt idx="1">
                  <c:v>20987</c:v>
                </c:pt>
                <c:pt idx="2">
                  <c:v>30344</c:v>
                </c:pt>
                <c:pt idx="3">
                  <c:v>22885</c:v>
                </c:pt>
                <c:pt idx="4">
                  <c:v>28110</c:v>
                </c:pt>
                <c:pt idx="5">
                  <c:v>23312</c:v>
                </c:pt>
                <c:pt idx="6">
                  <c:v>38371</c:v>
                </c:pt>
                <c:pt idx="7">
                  <c:v>19632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5-4251-A6AC-66911593F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7"/>
        <c:overlap val="100"/>
        <c:axId val="347647344"/>
        <c:axId val="347644208"/>
      </c:barChart>
      <c:lineChart>
        <c:grouping val="standard"/>
        <c:varyColors val="0"/>
        <c:ser>
          <c:idx val="2"/>
          <c:order val="1"/>
          <c:tx>
            <c:strRef>
              <c:f>csalás!$A$6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rgbClr val="F79646">
                  <a:lumMod val="75000"/>
                </a:srgbClr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csalás!$B$2:$J$2</c:f>
              <c:strCache>
                <c:ptCount val="9"/>
                <c:pt idx="0">
                  <c:v>2010.
I-XI. hó</c:v>
                </c:pt>
                <c:pt idx="1">
                  <c:v>2011.
I-XI. hó</c:v>
                </c:pt>
                <c:pt idx="2">
                  <c:v>2012.
I-XI. hó</c:v>
                </c:pt>
                <c:pt idx="3">
                  <c:v>2013.
I-XI. hó</c:v>
                </c:pt>
                <c:pt idx="4">
                  <c:v>2014.
I-XI. hó</c:v>
                </c:pt>
                <c:pt idx="5">
                  <c:v>2015.
I-XI. hó</c:v>
                </c:pt>
                <c:pt idx="6">
                  <c:v>2016.
I-XI. hó</c:v>
                </c:pt>
                <c:pt idx="7">
                  <c:v>2017.
I-XI. hó</c:v>
                </c:pt>
                <c:pt idx="8">
                  <c:v>2018. 
I-XI. hó</c:v>
                </c:pt>
              </c:strCache>
            </c:strRef>
          </c:cat>
          <c:val>
            <c:numRef>
              <c:f>csalás!$B$6:$J$6</c:f>
              <c:numCache>
                <c:formatCode>#\ ##0.0</c:formatCode>
                <c:ptCount val="9"/>
                <c:pt idx="0">
                  <c:v>83.1</c:v>
                </c:pt>
                <c:pt idx="1">
                  <c:v>78.8</c:v>
                </c:pt>
                <c:pt idx="2">
                  <c:v>85.3</c:v>
                </c:pt>
                <c:pt idx="3">
                  <c:v>80.3</c:v>
                </c:pt>
                <c:pt idx="4">
                  <c:v>83.6</c:v>
                </c:pt>
                <c:pt idx="5">
                  <c:v>79.599999999999994</c:v>
                </c:pt>
                <c:pt idx="6">
                  <c:v>86.6</c:v>
                </c:pt>
                <c:pt idx="7">
                  <c:v>74.900000000000006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BD05-4251-A6AC-66911593F70D}"/>
            </c:ext>
          </c:extLst>
        </c:ser>
        <c:ser>
          <c:idx val="1"/>
          <c:order val="2"/>
          <c:tx>
            <c:strRef>
              <c:f>csalás!$A$8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5"/>
              <c:layout>
                <c:manualLayout>
                  <c:x val="-2.9904331443316924E-2"/>
                  <c:y val="-5.1162790697674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BD05-4251-A6AC-66911593F70D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00FF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3.1689664663813323E-2"/>
                  <c:y val="-5.3820598006644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C3E-4E46-84D4-D46AF1CE7E1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csalás!$B$8:$J$8</c:f>
              <c:numCache>
                <c:formatCode>General</c:formatCode>
                <c:ptCount val="9"/>
                <c:pt idx="5" formatCode="0.0">
                  <c:v>82.1</c:v>
                </c:pt>
                <c:pt idx="6" formatCode="0.0">
                  <c:v>76.2</c:v>
                </c:pt>
                <c:pt idx="7" formatCode="0.0">
                  <c:v>77.7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4-BD05-4251-A6AC-66911593F7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651264"/>
        <c:axId val="347647736"/>
      </c:lineChart>
      <c:catAx>
        <c:axId val="34764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7644208"/>
        <c:crosses val="autoZero"/>
        <c:auto val="1"/>
        <c:lblAlgn val="ctr"/>
        <c:lblOffset val="100"/>
        <c:noMultiLvlLbl val="0"/>
      </c:catAx>
      <c:valAx>
        <c:axId val="347644208"/>
        <c:scaling>
          <c:orientation val="minMax"/>
          <c:min val="0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7647344"/>
        <c:crosses val="autoZero"/>
        <c:crossBetween val="between"/>
      </c:valAx>
      <c:valAx>
        <c:axId val="347647736"/>
        <c:scaling>
          <c:orientation val="minMax"/>
          <c:max val="100"/>
        </c:scaling>
        <c:delete val="0"/>
        <c:axPos val="r"/>
        <c:numFmt formatCode="#\ ##0.0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hu-HU"/>
          </a:p>
        </c:txPr>
        <c:crossAx val="347651264"/>
        <c:crosses val="max"/>
        <c:crossBetween val="between"/>
        <c:majorUnit val="20"/>
      </c:valAx>
      <c:catAx>
        <c:axId val="347651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7647736"/>
        <c:crosses val="autoZero"/>
        <c:auto val="1"/>
        <c:lblAlgn val="ctr"/>
        <c:lblOffset val="100"/>
        <c:noMultiLvlLbl val="0"/>
      </c:catAx>
      <c:spPr>
        <a:solidFill>
          <a:srgbClr val="9BBB59">
            <a:lumMod val="20000"/>
            <a:lumOff val="80000"/>
            <a:alpha val="0"/>
          </a:srgbClr>
        </a:solidFill>
      </c:spPr>
    </c:plotArea>
    <c:legend>
      <c:legendPos val="r"/>
      <c:layout>
        <c:manualLayout>
          <c:xMode val="edge"/>
          <c:yMode val="edge"/>
          <c:x val="0.33926138937161615"/>
          <c:y val="2.4724304810735873E-2"/>
          <c:w val="0.40101241045569858"/>
          <c:h val="0.11795599968608575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/>
      <a:srcRect/>
      <a:stretch>
        <a:fillRect/>
      </a:stretch>
    </a:blipFill>
    <a:scene3d>
      <a:camera prst="orthographicFront"/>
      <a:lightRig rig="threePt" dir="t"/>
    </a:scene3d>
  </c:spPr>
  <c:printSettings>
    <c:headerFooter>
      <c:oddHeader>&amp;J1. számú melléklet</c:oddHeader>
    </c:headerFooter>
    <c:pageMargins b="0.74803149606299812" l="0.7086614173228416" r="0.7086614173228416" t="0.74803149606299812" header="0.30000000000000032" footer="0.30000000000000032"/>
    <c:pageSetup paperSize="9" orientation="landscape"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Times New Roman" pitchFamily="18" charset="0"/>
                <a:ea typeface="+mn-ea"/>
                <a:cs typeface="Times New Roman" pitchFamily="18" charset="0"/>
              </a:defRPr>
            </a:pPr>
            <a:r>
              <a:rPr lang="hu-HU"/>
              <a:t>Készpénz-helyettesítő fizetési</a:t>
            </a:r>
            <a:r>
              <a:rPr lang="hu-HU" baseline="0"/>
              <a:t> eszközzel visszaélés</a:t>
            </a:r>
            <a:endParaRPr lang="hu-HU"/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Times New Roman" pitchFamily="18" charset="0"/>
                <a:ea typeface="+mn-ea"/>
                <a:cs typeface="Times New Roman" pitchFamily="18" charset="0"/>
              </a:defRPr>
            </a:pPr>
            <a:endParaRPr lang="hu-HU"/>
          </a:p>
        </c:rich>
      </c:tx>
      <c:layout>
        <c:manualLayout>
          <c:xMode val="edge"/>
          <c:yMode val="edge"/>
          <c:x val="0.21263918511476829"/>
          <c:y val="1.65408906977307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9225138059217776"/>
          <c:y val="0.19405781395969568"/>
          <c:w val="0.62826317465186243"/>
          <c:h val="0.682764606966502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khfevisszaél!$A$5</c:f>
              <c:strCache>
                <c:ptCount val="1"/>
                <c:pt idx="0">
                  <c:v>Bűncselekmények száma a KR NNI 458/2014.bü. számú sorozat bűncselekménye nélkül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dLbl>
              <c:idx val="4"/>
              <c:layout>
                <c:manualLayout>
                  <c:x val="0"/>
                  <c:y val="-3.078740045637058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E51-4596-80B5-73013B53D99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-3.3922121391634856E-2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E51-4596-80B5-73013B53D99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7797726179320079E-3"/>
                  <c:y val="-1.150031290810695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E51-4596-80B5-73013B53D995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1.9965685423366662E-3"/>
                  <c:y val="-1.643728427513521E-2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ysClr val="windowText" lastClr="000000"/>
                        </a:solidFill>
                        <a:latin typeface="Times New Roman" pitchFamily="18" charset="0"/>
                        <a:cs typeface="Times New Roman" pitchFamily="18" charset="0"/>
                      </a:defRPr>
                    </a:pPr>
                    <a:r>
                      <a:rPr lang="en-US" i="1">
                        <a:solidFill>
                          <a:sysClr val="windowText" lastClr="000000"/>
                        </a:solidFill>
                      </a:rPr>
                      <a:t>(399)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020-46A3-948E-484DC18B1F1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khfevisszaél!$B$2:$J$2</c:f>
              <c:strCache>
                <c:ptCount val="9"/>
                <c:pt idx="0">
                  <c:v>2010.
I-XI. hó</c:v>
                </c:pt>
                <c:pt idx="1">
                  <c:v>2011.
I-XI. hó</c:v>
                </c:pt>
                <c:pt idx="2">
                  <c:v>2012.
I-XI. hó</c:v>
                </c:pt>
                <c:pt idx="3">
                  <c:v>2013.
I-XI. hó</c:v>
                </c:pt>
                <c:pt idx="4">
                  <c:v>2014.
I-XI. hó</c:v>
                </c:pt>
                <c:pt idx="5">
                  <c:v>2015.
I-XI. hó</c:v>
                </c:pt>
                <c:pt idx="6">
                  <c:v>2016.
I-XI. hó</c:v>
                </c:pt>
                <c:pt idx="7">
                  <c:v>2017.
I-XI. hó</c:v>
                </c:pt>
                <c:pt idx="8">
                  <c:v>2018. 
I-XI. hó</c:v>
                </c:pt>
              </c:strCache>
            </c:strRef>
          </c:cat>
          <c:val>
            <c:numRef>
              <c:f>khfevisszaél!$B$5:$J$5</c:f>
              <c:numCache>
                <c:formatCode>#,##0</c:formatCode>
                <c:ptCount val="9"/>
                <c:pt idx="0">
                  <c:v>8308</c:v>
                </c:pt>
                <c:pt idx="1">
                  <c:v>11847</c:v>
                </c:pt>
                <c:pt idx="2">
                  <c:v>14841</c:v>
                </c:pt>
                <c:pt idx="3">
                  <c:v>5465</c:v>
                </c:pt>
                <c:pt idx="4">
                  <c:v>1129</c:v>
                </c:pt>
                <c:pt idx="5">
                  <c:v>793</c:v>
                </c:pt>
                <c:pt idx="6">
                  <c:v>372</c:v>
                </c:pt>
                <c:pt idx="7">
                  <c:v>392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E51-4596-80B5-73013B53D995}"/>
            </c:ext>
          </c:extLst>
        </c:ser>
        <c:ser>
          <c:idx val="4"/>
          <c:order val="3"/>
          <c:tx>
            <c:strRef>
              <c:f>khfevisszaél!$A$4</c:f>
              <c:strCache>
                <c:ptCount val="1"/>
                <c:pt idx="0">
                  <c:v>KR NNI 458/2014.bü. számú bűncselekmény száma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dLbl>
              <c:idx val="8"/>
              <c:layout>
                <c:manualLayout>
                  <c:x val="0"/>
                  <c:y val="-6.1014992016456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020-46A3-948E-484DC18B1F1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khfevisszaél!$B$2:$J$2</c:f>
              <c:strCache>
                <c:ptCount val="9"/>
                <c:pt idx="0">
                  <c:v>2010.
I-XI. hó</c:v>
                </c:pt>
                <c:pt idx="1">
                  <c:v>2011.
I-XI. hó</c:v>
                </c:pt>
                <c:pt idx="2">
                  <c:v>2012.
I-XI. hó</c:v>
                </c:pt>
                <c:pt idx="3">
                  <c:v>2013.
I-XI. hó</c:v>
                </c:pt>
                <c:pt idx="4">
                  <c:v>2014.
I-XI. hó</c:v>
                </c:pt>
                <c:pt idx="5">
                  <c:v>2015.
I-XI. hó</c:v>
                </c:pt>
                <c:pt idx="6">
                  <c:v>2016.
I-XI. hó</c:v>
                </c:pt>
                <c:pt idx="7">
                  <c:v>2017.
I-XI. hó</c:v>
                </c:pt>
                <c:pt idx="8">
                  <c:v>2018. 
I-XI. hó</c:v>
                </c:pt>
              </c:strCache>
            </c:strRef>
          </c:cat>
          <c:val>
            <c:numRef>
              <c:f>khfevisszaél!$B$4:$J$4</c:f>
              <c:numCache>
                <c:formatCode>General</c:formatCode>
                <c:ptCount val="9"/>
                <c:pt idx="6">
                  <c:v>22659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E51-4596-80B5-73013B53D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347648128"/>
        <c:axId val="347651656"/>
      </c:barChart>
      <c:lineChart>
        <c:grouping val="standard"/>
        <c:varyColors val="0"/>
        <c:ser>
          <c:idx val="2"/>
          <c:order val="1"/>
          <c:tx>
            <c:strRef>
              <c:f>khfevisszaél!$A$6</c:f>
              <c:strCache>
                <c:ptCount val="1"/>
                <c:pt idx="0">
                  <c:v>Nyomozáseredményesség</c:v>
                </c:pt>
              </c:strCache>
            </c:strRef>
          </c:tx>
          <c:spPr>
            <a:ln w="63500">
              <a:solidFill>
                <a:srgbClr val="F79646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9E51-4596-80B5-73013B53D99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E51-4596-80B5-73013B53D99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9E51-4596-80B5-73013B53D99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E51-4596-80B5-73013B53D99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9E51-4596-80B5-73013B53D99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E51-4596-80B5-73013B53D995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59264424181196E-2"/>
                  <c:y val="2.38754316586133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020-46A3-948E-484DC18B1F1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khfevisszaél!$B$2:$J$2</c:f>
              <c:strCache>
                <c:ptCount val="9"/>
                <c:pt idx="0">
                  <c:v>2010.
I-XI. hó</c:v>
                </c:pt>
                <c:pt idx="1">
                  <c:v>2011.
I-XI. hó</c:v>
                </c:pt>
                <c:pt idx="2">
                  <c:v>2012.
I-XI. hó</c:v>
                </c:pt>
                <c:pt idx="3">
                  <c:v>2013.
I-XI. hó</c:v>
                </c:pt>
                <c:pt idx="4">
                  <c:v>2014.
I-XI. hó</c:v>
                </c:pt>
                <c:pt idx="5">
                  <c:v>2015.
I-XI. hó</c:v>
                </c:pt>
                <c:pt idx="6">
                  <c:v>2016.
I-XI. hó</c:v>
                </c:pt>
                <c:pt idx="7">
                  <c:v>2017.
I-XI. hó</c:v>
                </c:pt>
                <c:pt idx="8">
                  <c:v>2018. 
I-XI. hó</c:v>
                </c:pt>
              </c:strCache>
            </c:strRef>
          </c:cat>
          <c:val>
            <c:numRef>
              <c:f>khfevisszaél!$B$6:$J$6</c:f>
              <c:numCache>
                <c:formatCode>#\ ##0.0</c:formatCode>
                <c:ptCount val="9"/>
                <c:pt idx="0">
                  <c:v>26.6</c:v>
                </c:pt>
                <c:pt idx="1">
                  <c:v>16</c:v>
                </c:pt>
                <c:pt idx="2">
                  <c:v>9.3000000000000007</c:v>
                </c:pt>
                <c:pt idx="3">
                  <c:v>20</c:v>
                </c:pt>
                <c:pt idx="4">
                  <c:v>40.4</c:v>
                </c:pt>
                <c:pt idx="5">
                  <c:v>73.3</c:v>
                </c:pt>
                <c:pt idx="6">
                  <c:v>98.8</c:v>
                </c:pt>
                <c:pt idx="7">
                  <c:v>30.9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9E51-4596-80B5-73013B53D995}"/>
            </c:ext>
          </c:extLst>
        </c:ser>
        <c:ser>
          <c:idx val="1"/>
          <c:order val="2"/>
          <c:tx>
            <c:strRef>
              <c:f>khfevisszaél!$A$8</c:f>
              <c:strCache>
                <c:ptCount val="1"/>
                <c:pt idx="0">
                  <c:v>Felderítési eredményesség</c:v>
                </c:pt>
              </c:strCache>
            </c:strRef>
          </c:tx>
          <c:spPr>
            <a:ln w="63500" cap="rnd">
              <a:solidFill>
                <a:srgbClr val="9BBB59">
                  <a:lumMod val="75000"/>
                </a:srgbClr>
              </a:solidFill>
            </a:ln>
          </c:spPr>
          <c:marker>
            <c:symbol val="triangle"/>
            <c:size val="8"/>
            <c:spPr>
              <a:solidFill>
                <a:srgbClr val="9BBB59">
                  <a:lumMod val="75000"/>
                </a:srgbClr>
              </a:solidFill>
              <a:ln cap="sq">
                <a:solidFill>
                  <a:sysClr val="windowText" lastClr="000000"/>
                </a:solidFill>
              </a:ln>
            </c:spPr>
          </c:marker>
          <c:dLbls>
            <c:dLbl>
              <c:idx val="5"/>
              <c:layout>
                <c:manualLayout>
                  <c:x val="-6.788194954821089E-2"/>
                  <c:y val="-2.65282573984594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9E51-4596-80B5-73013B53D99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8476361886912126E-2"/>
                  <c:y val="-3.183390887815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9E51-4596-80B5-73013B53D995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8.6820671652553822E-3"/>
                  <c:y val="-7.95847721953783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020-46A3-948E-484DC18B1F1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accent6">
                        <a:lumMod val="75000"/>
                      </a:schemeClr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khfevisszaél!$B$2:$J$2</c:f>
              <c:strCache>
                <c:ptCount val="9"/>
                <c:pt idx="0">
                  <c:v>2010.
I-XI. hó</c:v>
                </c:pt>
                <c:pt idx="1">
                  <c:v>2011.
I-XI. hó</c:v>
                </c:pt>
                <c:pt idx="2">
                  <c:v>2012.
I-XI. hó</c:v>
                </c:pt>
                <c:pt idx="3">
                  <c:v>2013.
I-XI. hó</c:v>
                </c:pt>
                <c:pt idx="4">
                  <c:v>2014.
I-XI. hó</c:v>
                </c:pt>
                <c:pt idx="5">
                  <c:v>2015.
I-XI. hó</c:v>
                </c:pt>
                <c:pt idx="6">
                  <c:v>2016.
I-XI. hó</c:v>
                </c:pt>
                <c:pt idx="7">
                  <c:v>2017.
I-XI. hó</c:v>
                </c:pt>
                <c:pt idx="8">
                  <c:v>2018. 
I-XI. hó</c:v>
                </c:pt>
              </c:strCache>
            </c:strRef>
          </c:cat>
          <c:val>
            <c:numRef>
              <c:f>khfevisszaél!$B$8:$J$8</c:f>
              <c:numCache>
                <c:formatCode>General</c:formatCode>
                <c:ptCount val="9"/>
                <c:pt idx="5" formatCode="0.0">
                  <c:v>76.3</c:v>
                </c:pt>
                <c:pt idx="6" formatCode="0.0">
                  <c:v>98.9</c:v>
                </c:pt>
                <c:pt idx="7" formatCode="0.0">
                  <c:v>20.6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9E51-4596-80B5-73013B53D995}"/>
            </c:ext>
          </c:extLst>
        </c:ser>
        <c:ser>
          <c:idx val="5"/>
          <c:order val="4"/>
          <c:tx>
            <c:strRef>
              <c:f>khfevisszaél!$A$7</c:f>
              <c:strCache>
                <c:ptCount val="1"/>
                <c:pt idx="0">
                  <c:v>Nyomozáseredményesség a KR NNI 458/2014.bü. számú sorozat bűncselekménye nélkül</c:v>
                </c:pt>
              </c:strCache>
            </c:strRef>
          </c:tx>
          <c:spPr>
            <a:ln w="50800">
              <a:prstDash val="sysDash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0701077659327138E-2"/>
                  <c:y val="-4.4434831142419563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1">
                      <a:solidFill>
                        <a:sysClr val="windowText" lastClr="000000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9E51-4596-80B5-73013B53D99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numFmt formatCode="#,##0.0" sourceLinked="0"/>
              <c:spPr/>
              <c:txPr>
                <a:bodyPr/>
                <a:lstStyle/>
                <a:p>
                  <a:pPr>
                    <a:defRPr sz="1000" b="1">
                      <a:solidFill>
                        <a:schemeClr val="bg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numFmt formatCode="#,##0.0" sourceLinked="0"/>
              <c:spPr/>
              <c:txPr>
                <a:bodyPr/>
                <a:lstStyle/>
                <a:p>
                  <a:pPr>
                    <a:defRPr sz="1000" b="1">
                      <a:solidFill>
                        <a:schemeClr val="bg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4260622895191217E-2"/>
                  <c:y val="-4.4434831142419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71B-4EED-9DFA-95575B31BAF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36634683966164E-2"/>
                  <c:y val="-7.0963088540879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9E51-4596-80B5-73013B53D99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 b="1">
                      <a:solidFill>
                        <a:schemeClr val="bg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1.5558576030554912E-2"/>
                  <c:y val="-3.9129179662727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020-46A3-948E-484DC18B1F1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khfevisszaél!$B$7:$J$7</c:f>
              <c:numCache>
                <c:formatCode>0.0</c:formatCode>
                <c:ptCount val="9"/>
                <c:pt idx="0">
                  <c:v>26.6</c:v>
                </c:pt>
                <c:pt idx="1">
                  <c:v>16</c:v>
                </c:pt>
                <c:pt idx="2">
                  <c:v>9.3000000000000007</c:v>
                </c:pt>
                <c:pt idx="3">
                  <c:v>20</c:v>
                </c:pt>
                <c:pt idx="4">
                  <c:v>40.4</c:v>
                </c:pt>
                <c:pt idx="5">
                  <c:v>73.3</c:v>
                </c:pt>
                <c:pt idx="6">
                  <c:v>30.9</c:v>
                </c:pt>
                <c:pt idx="7">
                  <c:v>30.9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6-9E51-4596-80B5-73013B53D995}"/>
            </c:ext>
          </c:extLst>
        </c:ser>
        <c:ser>
          <c:idx val="3"/>
          <c:order val="5"/>
          <c:tx>
            <c:strRef>
              <c:f>khfevisszaél!$A$9</c:f>
              <c:strCache>
                <c:ptCount val="1"/>
                <c:pt idx="0">
                  <c:v>Felderítési eredményesség a KR NNI 458/2014.bü. számú sorozat bűncselekménye nélkül</c:v>
                </c:pt>
              </c:strCache>
            </c:strRef>
          </c:tx>
          <c:spPr>
            <a:ln w="57150">
              <a:solidFill>
                <a:srgbClr val="9BBB59">
                  <a:lumMod val="75000"/>
                </a:srgbClr>
              </a:solidFill>
              <a:prstDash val="sysDot"/>
            </a:ln>
          </c:spPr>
          <c:marker>
            <c:symbol val="none"/>
          </c:marker>
          <c:dLbls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9E51-4596-80B5-73013B53D99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035907122776271E-2"/>
                  <c:y val="3.44867346179972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9E51-4596-80B5-73013B53D995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0164623361575792E-2"/>
                  <c:y val="2.9181083138305385E-2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chemeClr val="accent3">
                          <a:lumMod val="50000"/>
                        </a:schemeClr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020-46A3-948E-484DC18B1F1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khfevisszaél!$B$9:$J$9</c:f>
              <c:numCache>
                <c:formatCode>General</c:formatCode>
                <c:ptCount val="9"/>
                <c:pt idx="5" formatCode="0.0">
                  <c:v>76.3</c:v>
                </c:pt>
                <c:pt idx="6" formatCode="0.0">
                  <c:v>23.7</c:v>
                </c:pt>
                <c:pt idx="7" formatCode="0.0">
                  <c:v>20.6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9-9E51-4596-80B5-73013B53D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645384"/>
        <c:axId val="347644600"/>
      </c:lineChart>
      <c:catAx>
        <c:axId val="34764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7651656"/>
        <c:crosses val="autoZero"/>
        <c:auto val="1"/>
        <c:lblAlgn val="ctr"/>
        <c:lblOffset val="100"/>
        <c:noMultiLvlLbl val="0"/>
      </c:catAx>
      <c:valAx>
        <c:axId val="347651656"/>
        <c:scaling>
          <c:orientation val="minMax"/>
          <c:min val="0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7648128"/>
        <c:crosses val="autoZero"/>
        <c:crossBetween val="between"/>
        <c:majorUnit val="3000"/>
        <c:minorUnit val="500"/>
      </c:valAx>
      <c:valAx>
        <c:axId val="347644600"/>
        <c:scaling>
          <c:orientation val="minMax"/>
          <c:max val="100"/>
        </c:scaling>
        <c:delete val="0"/>
        <c:axPos val="r"/>
        <c:numFmt formatCode="#\ ##0.0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hu-HU"/>
          </a:p>
        </c:txPr>
        <c:crossAx val="347645384"/>
        <c:crosses val="max"/>
        <c:crossBetween val="between"/>
        <c:majorUnit val="20"/>
      </c:valAx>
      <c:catAx>
        <c:axId val="347645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7644600"/>
        <c:crosses val="autoZero"/>
        <c:auto val="1"/>
        <c:lblAlgn val="ctr"/>
        <c:lblOffset val="100"/>
        <c:noMultiLvlLbl val="0"/>
      </c:catAx>
      <c:spPr>
        <a:solidFill>
          <a:srgbClr val="9BBB59">
            <a:lumMod val="20000"/>
            <a:lumOff val="80000"/>
            <a:alpha val="0"/>
          </a:srgbClr>
        </a:solidFill>
      </c:spPr>
    </c:plotArea>
    <c:legend>
      <c:legendPos val="r"/>
      <c:layout>
        <c:manualLayout>
          <c:xMode val="edge"/>
          <c:yMode val="edge"/>
          <c:x val="4.8105318577472278E-5"/>
          <c:y val="0.20548015310355547"/>
          <c:w val="0.22585730044585456"/>
          <c:h val="0.76104975030016686"/>
        </c:manualLayout>
      </c:layout>
      <c:overlay val="0"/>
      <c:txPr>
        <a:bodyPr/>
        <a:lstStyle/>
        <a:p>
          <a:pPr>
            <a:defRPr sz="8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/>
      <a:srcRect/>
      <a:stretch>
        <a:fillRect/>
      </a:stretch>
    </a:blipFill>
    <a:scene3d>
      <a:camera prst="orthographicFront"/>
      <a:lightRig rig="threePt" dir="t"/>
    </a:scene3d>
  </c:spPr>
  <c:printSettings>
    <c:headerFooter>
      <c:oddHeader>&amp;J1. számú melléklet</c:oddHeader>
    </c:headerFooter>
    <c:pageMargins b="0.74803149606299835" l="0.70866141732284182" r="0.70866141732284182" t="0.74803149606299835" header="0.30000000000000032" footer="0.30000000000000032"/>
    <c:pageSetup paperSize="9" orientation="landscape"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435328623614941E-2"/>
          <c:y val="0.22381105422411007"/>
          <c:w val="0.82107910600633893"/>
          <c:h val="0.653011230656875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khfevisszaél!$A$3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rgbClr val="17375E"/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4"/>
              <c:layout>
                <c:manualLayout>
                  <c:x val="1.3092292373695806E-16"/>
                  <c:y val="-5.49429181221198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4D3-476E-B6A7-52291A2AD0F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-3.87598335602636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4D3-476E-B6A7-52291A2AD0F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"/>
                  <c:y val="-3.90539591627579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-5400000" vert="horz"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6EC-4185-B679-61CC9A302C7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khfevisszaél!$B$2:$J$2</c:f>
              <c:strCache>
                <c:ptCount val="9"/>
                <c:pt idx="0">
                  <c:v>2010.
I-XI. hó</c:v>
                </c:pt>
                <c:pt idx="1">
                  <c:v>2011.
I-XI. hó</c:v>
                </c:pt>
                <c:pt idx="2">
                  <c:v>2012.
I-XI. hó</c:v>
                </c:pt>
                <c:pt idx="3">
                  <c:v>2013.
I-XI. hó</c:v>
                </c:pt>
                <c:pt idx="4">
                  <c:v>2014.
I-XI. hó</c:v>
                </c:pt>
                <c:pt idx="5">
                  <c:v>2015.
I-XI. hó</c:v>
                </c:pt>
                <c:pt idx="6">
                  <c:v>2016.
I-XI. hó</c:v>
                </c:pt>
                <c:pt idx="7">
                  <c:v>2017.
I-XI. hó</c:v>
                </c:pt>
                <c:pt idx="8">
                  <c:v>2018. 
I-XI. hó</c:v>
                </c:pt>
              </c:strCache>
            </c:strRef>
          </c:cat>
          <c:val>
            <c:numRef>
              <c:f>khfevisszaél!$B$3:$J$3</c:f>
              <c:numCache>
                <c:formatCode>#,##0</c:formatCode>
                <c:ptCount val="9"/>
                <c:pt idx="0">
                  <c:v>8308</c:v>
                </c:pt>
                <c:pt idx="1">
                  <c:v>11847</c:v>
                </c:pt>
                <c:pt idx="2">
                  <c:v>14841</c:v>
                </c:pt>
                <c:pt idx="3">
                  <c:v>5465</c:v>
                </c:pt>
                <c:pt idx="4">
                  <c:v>1129</c:v>
                </c:pt>
                <c:pt idx="5">
                  <c:v>793</c:v>
                </c:pt>
                <c:pt idx="6">
                  <c:v>23031</c:v>
                </c:pt>
                <c:pt idx="7">
                  <c:v>392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4D3-476E-B6A7-52291A2AD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347648912"/>
        <c:axId val="347640680"/>
      </c:barChart>
      <c:lineChart>
        <c:grouping val="standard"/>
        <c:varyColors val="0"/>
        <c:ser>
          <c:idx val="2"/>
          <c:order val="1"/>
          <c:tx>
            <c:strRef>
              <c:f>khfevisszaél!$A$6</c:f>
              <c:strCache>
                <c:ptCount val="1"/>
                <c:pt idx="0">
                  <c:v>Nyomozáseredményesség</c:v>
                </c:pt>
              </c:strCache>
            </c:strRef>
          </c:tx>
          <c:spPr>
            <a:ln w="50800">
              <a:solidFill>
                <a:srgbClr val="F79646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8565331527944399E-2"/>
                  <c:y val="-4.80110528184410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4D3-476E-B6A7-52291A2AD0F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813997799682306E-2"/>
                  <c:y val="-5.0715900864550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34D3-476E-B6A7-52291A2AD0F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0169997461171815E-2"/>
                  <c:y val="-5.071590086455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4D3-476E-B6A7-52291A2AD0F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8384664240675291E-2"/>
                  <c:y val="-5.8830445002878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34D3-476E-B6A7-52291A2AD0F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3028664579185844E-2"/>
                  <c:y val="-1.8257724311238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2-34D3-476E-B6A7-52291A2AD0F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5175332374220463E-2"/>
                  <c:y val="1.1495604195964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6EC-4185-B679-61CC9A302C7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khfevisszaél!$B$2:$J$2</c:f>
              <c:strCache>
                <c:ptCount val="9"/>
                <c:pt idx="0">
                  <c:v>2010.
I-XI. hó</c:v>
                </c:pt>
                <c:pt idx="1">
                  <c:v>2011.
I-XI. hó</c:v>
                </c:pt>
                <c:pt idx="2">
                  <c:v>2012.
I-XI. hó</c:v>
                </c:pt>
                <c:pt idx="3">
                  <c:v>2013.
I-XI. hó</c:v>
                </c:pt>
                <c:pt idx="4">
                  <c:v>2014.
I-XI. hó</c:v>
                </c:pt>
                <c:pt idx="5">
                  <c:v>2015.
I-XI. hó</c:v>
                </c:pt>
                <c:pt idx="6">
                  <c:v>2016.
I-XI. hó</c:v>
                </c:pt>
                <c:pt idx="7">
                  <c:v>2017.
I-XI. hó</c:v>
                </c:pt>
                <c:pt idx="8">
                  <c:v>2018. 
I-XI. hó</c:v>
                </c:pt>
              </c:strCache>
            </c:strRef>
          </c:cat>
          <c:val>
            <c:numRef>
              <c:f>khfevisszaél!$B$6:$J$6</c:f>
              <c:numCache>
                <c:formatCode>#\ ##0.0</c:formatCode>
                <c:ptCount val="9"/>
                <c:pt idx="0">
                  <c:v>26.6</c:v>
                </c:pt>
                <c:pt idx="1">
                  <c:v>16</c:v>
                </c:pt>
                <c:pt idx="2">
                  <c:v>9.3000000000000007</c:v>
                </c:pt>
                <c:pt idx="3">
                  <c:v>20</c:v>
                </c:pt>
                <c:pt idx="4">
                  <c:v>40.4</c:v>
                </c:pt>
                <c:pt idx="5">
                  <c:v>73.3</c:v>
                </c:pt>
                <c:pt idx="6">
                  <c:v>98.8</c:v>
                </c:pt>
                <c:pt idx="7">
                  <c:v>30.9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34D3-476E-B6A7-52291A2AD0F2}"/>
            </c:ext>
          </c:extLst>
        </c:ser>
        <c:ser>
          <c:idx val="1"/>
          <c:order val="2"/>
          <c:tx>
            <c:strRef>
              <c:f>khfevisszaél!$A$8</c:f>
              <c:strCache>
                <c:ptCount val="1"/>
                <c:pt idx="0">
                  <c:v>Felderítési eredményesség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5"/>
              <c:layout>
                <c:manualLayout>
                  <c:x val="-3.2135997968937451E-2"/>
                  <c:y val="-6.7621201152733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0-34D3-476E-B6A7-52291A2AD0F2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135997968937451E-2"/>
                  <c:y val="-5.4096960922187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21-34D3-476E-B6A7-52291A2AD0F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071199932297928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6EC-4185-B679-61CC9A302C7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0066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khfevisszaél!$B$2:$J$2</c:f>
              <c:strCache>
                <c:ptCount val="9"/>
                <c:pt idx="0">
                  <c:v>2010.
I-XI. hó</c:v>
                </c:pt>
                <c:pt idx="1">
                  <c:v>2011.
I-XI. hó</c:v>
                </c:pt>
                <c:pt idx="2">
                  <c:v>2012.
I-XI. hó</c:v>
                </c:pt>
                <c:pt idx="3">
                  <c:v>2013.
I-XI. hó</c:v>
                </c:pt>
                <c:pt idx="4">
                  <c:v>2014.
I-XI. hó</c:v>
                </c:pt>
                <c:pt idx="5">
                  <c:v>2015.
I-XI. hó</c:v>
                </c:pt>
                <c:pt idx="6">
                  <c:v>2016.
I-XI. hó</c:v>
                </c:pt>
                <c:pt idx="7">
                  <c:v>2017.
I-XI. hó</c:v>
                </c:pt>
                <c:pt idx="8">
                  <c:v>2018. 
I-XI. hó</c:v>
                </c:pt>
              </c:strCache>
            </c:strRef>
          </c:cat>
          <c:val>
            <c:numRef>
              <c:f>khfevisszaél!$B$8:$J$8</c:f>
              <c:numCache>
                <c:formatCode>General</c:formatCode>
                <c:ptCount val="9"/>
                <c:pt idx="5" formatCode="0.0">
                  <c:v>76.3</c:v>
                </c:pt>
                <c:pt idx="6" formatCode="0.0">
                  <c:v>98.9</c:v>
                </c:pt>
                <c:pt idx="7" formatCode="0.0">
                  <c:v>20.6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F-34D3-476E-B6A7-52291A2AD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652048"/>
        <c:axId val="347649696"/>
      </c:lineChart>
      <c:catAx>
        <c:axId val="34764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7640680"/>
        <c:crosses val="autoZero"/>
        <c:auto val="1"/>
        <c:lblAlgn val="ctr"/>
        <c:lblOffset val="100"/>
        <c:noMultiLvlLbl val="0"/>
      </c:catAx>
      <c:valAx>
        <c:axId val="347640680"/>
        <c:scaling>
          <c:orientation val="minMax"/>
          <c:max val="24000"/>
          <c:min val="0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7648912"/>
        <c:crosses val="autoZero"/>
        <c:crossBetween val="between"/>
        <c:majorUnit val="3000"/>
        <c:minorUnit val="500"/>
      </c:valAx>
      <c:valAx>
        <c:axId val="347649696"/>
        <c:scaling>
          <c:orientation val="minMax"/>
          <c:max val="100"/>
        </c:scaling>
        <c:delete val="0"/>
        <c:axPos val="r"/>
        <c:numFmt formatCode="#\ ##0.0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hu-HU"/>
          </a:p>
        </c:txPr>
        <c:crossAx val="347652048"/>
        <c:crosses val="max"/>
        <c:crossBetween val="between"/>
        <c:majorUnit val="20"/>
      </c:valAx>
      <c:catAx>
        <c:axId val="347652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7649696"/>
        <c:crosses val="autoZero"/>
        <c:auto val="1"/>
        <c:lblAlgn val="ctr"/>
        <c:lblOffset val="100"/>
        <c:noMultiLvlLbl val="0"/>
      </c:catAx>
      <c:spPr>
        <a:solidFill>
          <a:srgbClr val="9BBB59">
            <a:lumMod val="20000"/>
            <a:lumOff val="80000"/>
            <a:alpha val="0"/>
          </a:srgbClr>
        </a:solidFill>
      </c:spPr>
    </c:plotArea>
    <c:legend>
      <c:legendPos val="r"/>
      <c:layout>
        <c:manualLayout>
          <c:xMode val="edge"/>
          <c:yMode val="edge"/>
          <c:x val="0.36961205412005699"/>
          <c:y val="1.3435853463685711E-2"/>
          <c:w val="0.32583596470832016"/>
          <c:h val="0.16598310683958098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/>
      <a:srcRect/>
      <a:stretch>
        <a:fillRect/>
      </a:stretch>
    </a:blipFill>
    <a:scene3d>
      <a:camera prst="orthographicFront"/>
      <a:lightRig rig="threePt" dir="t"/>
    </a:scene3d>
  </c:spPr>
  <c:printSettings>
    <c:headerFooter>
      <c:oddHeader>&amp;J1. számú melléklet</c:oddHeader>
    </c:headerFooter>
    <c:pageMargins b="0.74803149606299835" l="0.70866141732284182" r="0.70866141732284182" t="0.74803149606299835" header="0.30000000000000032" footer="0.30000000000000032"/>
    <c:pageSetup paperSize="9" orientation="landscape"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Times New Roman" pitchFamily="18" charset="0"/>
                <a:ea typeface="+mn-ea"/>
                <a:cs typeface="Times New Roman" pitchFamily="18" charset="0"/>
              </a:defRPr>
            </a:pPr>
            <a:r>
              <a:rPr lang="hu-HU" sz="1800" b="1" i="0" u="none" strike="noStrike" kern="1200" baseline="0">
                <a:solidFill>
                  <a:sysClr val="windowText" lastClr="000000"/>
                </a:solidFill>
                <a:latin typeface="Times New Roman" pitchFamily="18" charset="0"/>
                <a:ea typeface="+mn-ea"/>
                <a:cs typeface="Times New Roman" pitchFamily="18" charset="0"/>
              </a:rPr>
              <a:t>Határzárral kapcsolatos bűncselekmények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Times New Roman" pitchFamily="18" charset="0"/>
                <a:ea typeface="+mn-ea"/>
                <a:cs typeface="Times New Roman" pitchFamily="18" charset="0"/>
              </a:defRPr>
            </a:pPr>
            <a:endParaRPr lang="hu-HU" sz="1800" b="1" i="0" u="none" strike="noStrike" kern="1200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endParaRPr>
          </a:p>
        </c:rich>
      </c:tx>
      <c:layout>
        <c:manualLayout>
          <c:xMode val="edge"/>
          <c:yMode val="edge"/>
          <c:x val="0.28034532153011726"/>
          <c:y val="3.20000000000000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8677579527851182"/>
          <c:y val="0.22660010498687663"/>
          <c:w val="0.62826317465186243"/>
          <c:h val="0.65022215223097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'Határzár (2)'!$A$2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'Határzár (2)'!$B$1:$J$1</c:f>
              <c:strCache>
                <c:ptCount val="9"/>
                <c:pt idx="0">
                  <c:v>2010.
I-XI. hó</c:v>
                </c:pt>
                <c:pt idx="1">
                  <c:v>2011.
I-XI. hó</c:v>
                </c:pt>
                <c:pt idx="2">
                  <c:v>2012.
I-XI. hó</c:v>
                </c:pt>
                <c:pt idx="3">
                  <c:v>2013.
I-XI. hó</c:v>
                </c:pt>
                <c:pt idx="4">
                  <c:v>2014.
I-XI. hó</c:v>
                </c:pt>
                <c:pt idx="5">
                  <c:v>2015.
I-XI. hó</c:v>
                </c:pt>
                <c:pt idx="6">
                  <c:v>2016.
I-XI. hó</c:v>
                </c:pt>
                <c:pt idx="7">
                  <c:v>2017.
I-XI. hó</c:v>
                </c:pt>
                <c:pt idx="8">
                  <c:v>2018.
I-XI. hó</c:v>
                </c:pt>
              </c:strCache>
            </c:strRef>
          </c:cat>
          <c:val>
            <c:numRef>
              <c:f>'Határzár (2)'!$B$2:$J$2</c:f>
              <c:numCache>
                <c:formatCode>General</c:formatCode>
                <c:ptCount val="9"/>
                <c:pt idx="6" formatCode="#,##0">
                  <c:v>4337</c:v>
                </c:pt>
                <c:pt idx="7">
                  <c:v>771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21-440E-995C-DEA3BFFF8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8"/>
        <c:axId val="347641072"/>
        <c:axId val="347641464"/>
      </c:barChart>
      <c:lineChart>
        <c:grouping val="standard"/>
        <c:varyColors val="0"/>
        <c:ser>
          <c:idx val="2"/>
          <c:order val="1"/>
          <c:tx>
            <c:strRef>
              <c:f>'Határzár (2)'!$A$3</c:f>
              <c:strCache>
                <c:ptCount val="1"/>
                <c:pt idx="0">
                  <c:v>Nyomozáseredményesség</c:v>
                </c:pt>
              </c:strCache>
            </c:strRef>
          </c:tx>
          <c:spPr>
            <a:ln w="63500">
              <a:solidFill>
                <a:srgbClr val="F79646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5027251866422679E-2"/>
                  <c:y val="-3.5126719160104986E-2"/>
                </c:manualLayout>
              </c:layout>
              <c:tx>
                <c:rich>
                  <a:bodyPr/>
                  <a:lstStyle/>
                  <a:p>
                    <a:pPr>
                      <a:defRPr sz="900" b="1">
                        <a:solidFill>
                          <a:schemeClr val="bg1"/>
                        </a:solidFill>
                        <a:latin typeface="Times New Roman" pitchFamily="18" charset="0"/>
                        <a:cs typeface="Times New Roman" pitchFamily="18" charset="0"/>
                      </a:defRPr>
                    </a:pPr>
                    <a:fld id="{F7875C6C-4502-4E8D-B0D1-CDF9DB8DBF56}" type="VALU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900" b="1">
                          <a:solidFill>
                            <a:schemeClr val="bg1"/>
                          </a:solidFill>
                          <a:latin typeface="Times New Roman" pitchFamily="18" charset="0"/>
                          <a:cs typeface="Times New Roman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spPr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121-440E-995C-DEA3BFFF8A30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3.1007907239558492E-2"/>
                  <c:y val="-4.3126719160105027E-2"/>
                </c:manualLayout>
              </c:layout>
              <c:tx>
                <c:rich>
                  <a:bodyPr/>
                  <a:lstStyle/>
                  <a:p>
                    <a:pPr>
                      <a:defRPr sz="900" b="1">
                        <a:solidFill>
                          <a:sysClr val="windowText" lastClr="000000"/>
                        </a:solidFill>
                        <a:latin typeface="Times New Roman" pitchFamily="18" charset="0"/>
                        <a:cs typeface="Times New Roman" pitchFamily="18" charset="0"/>
                      </a:defRPr>
                    </a:pPr>
                    <a:fld id="{769BDB87-9C01-4B93-8B25-A3197D5952C6}" type="VALUE">
                      <a:rPr lang="en-US" baseline="0">
                        <a:solidFill>
                          <a:sysClr val="windowText" lastClr="000000"/>
                        </a:solidFill>
                      </a:rPr>
                      <a:pPr>
                        <a:defRPr sz="900" b="1">
                          <a:solidFill>
                            <a:sysClr val="windowText" lastClr="000000"/>
                          </a:solidFill>
                          <a:latin typeface="Times New Roman" pitchFamily="18" charset="0"/>
                          <a:cs typeface="Times New Roman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spPr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121-440E-995C-DEA3BFFF8A30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3.2964346995629092E-2"/>
                  <c:y val="-3.2460052493438321E-2"/>
                </c:manualLayout>
              </c:layout>
              <c:spPr/>
              <c:txPr>
                <a:bodyPr/>
                <a:lstStyle/>
                <a:p>
                  <a:pPr>
                    <a:defRPr sz="900" b="1">
                      <a:solidFill>
                        <a:sysClr val="windowText" lastClr="000000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121-440E-995C-DEA3BFFF8A3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964298137431541E-2"/>
                  <c:y val="-2.9793385826771778E-2"/>
                </c:manualLayout>
              </c:layout>
              <c:spPr/>
              <c:txPr>
                <a:bodyPr/>
                <a:lstStyle/>
                <a:p>
                  <a:pPr>
                    <a:defRPr sz="900" b="1">
                      <a:solidFill>
                        <a:sysClr val="windowText" lastClr="000000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3121-440E-995C-DEA3BFFF8A3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964313515833711E-2"/>
                  <c:y val="-3.2460052493438321E-2"/>
                </c:manualLayout>
              </c:layout>
              <c:spPr/>
              <c:txPr>
                <a:bodyPr/>
                <a:lstStyle/>
                <a:p>
                  <a:pPr>
                    <a:defRPr sz="900" b="1">
                      <a:solidFill>
                        <a:sysClr val="windowText" lastClr="000000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121-440E-995C-DEA3BFFF8A3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7096850796666314E-2"/>
                  <c:y val="7.539947506561685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3121-440E-995C-DEA3BFFF8A3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0873596293949351E-2"/>
                  <c:y val="-2.97933858267717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 b="1">
                      <a:solidFill>
                        <a:schemeClr val="bg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121-440E-995C-DEA3BFFF8A3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6459454276930267E-2"/>
                  <c:y val="-0.11246005249343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5AF-4578-95BA-993D6EBDAC7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ysClr val="windowText" lastClr="000000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#REF!</c:f>
            </c:multiLvlStrRef>
          </c:cat>
          <c:val>
            <c:numRef>
              <c:f>'Határzár (2)'!$B$3:$J$3</c:f>
              <c:numCache>
                <c:formatCode>General</c:formatCode>
                <c:ptCount val="9"/>
                <c:pt idx="6" formatCode="0.0">
                  <c:v>62.8</c:v>
                </c:pt>
                <c:pt idx="7" formatCode="0.0">
                  <c:v>2.2000000000000002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121-440E-995C-DEA3BFFF8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654400"/>
        <c:axId val="347652832"/>
      </c:lineChart>
      <c:scatterChart>
        <c:scatterStyle val="lineMarker"/>
        <c:varyColors val="0"/>
        <c:ser>
          <c:idx val="1"/>
          <c:order val="2"/>
          <c:tx>
            <c:v>Felderítési eredményesség</c:v>
          </c:tx>
          <c:spPr>
            <a:ln w="508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5"/>
              <c:layout>
                <c:manualLayout>
                  <c:x val="-6.6132920787992919E-2"/>
                  <c:y val="9.793385826771652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121-440E-995C-DEA3BFFF8A3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714765914594876E-2"/>
                  <c:y val="-1.15399475065615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3121-440E-995C-DEA3BFFF8A30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8037598940402736E-3"/>
                  <c:y val="1.2460052493438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5AF-4578-95BA-993D6EBDAC7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 baseline="0">
                    <a:solidFill>
                      <a:srgbClr val="008000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'Határzár (2)'!$B$4:$J$4</c:f>
              <c:numCache>
                <c:formatCode>General</c:formatCode>
                <c:ptCount val="9"/>
                <c:pt idx="6" formatCode="0.0">
                  <c:v>0.5</c:v>
                </c:pt>
                <c:pt idx="7" formatCode="0.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121-440E-995C-DEA3BFFF8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7654400"/>
        <c:axId val="347652832"/>
      </c:scatterChart>
      <c:catAx>
        <c:axId val="34764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7641464"/>
        <c:crosses val="autoZero"/>
        <c:auto val="1"/>
        <c:lblAlgn val="ctr"/>
        <c:lblOffset val="100"/>
        <c:noMultiLvlLbl val="0"/>
      </c:catAx>
      <c:valAx>
        <c:axId val="347641464"/>
        <c:scaling>
          <c:orientation val="minMax"/>
          <c:max val="450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7641072"/>
        <c:crosses val="autoZero"/>
        <c:crossBetween val="between"/>
      </c:valAx>
      <c:valAx>
        <c:axId val="347652832"/>
        <c:scaling>
          <c:orientation val="minMax"/>
          <c:max val="100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7654400"/>
        <c:crosses val="max"/>
        <c:crossBetween val="between"/>
      </c:valAx>
      <c:catAx>
        <c:axId val="347654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7652832"/>
        <c:crosses val="autoZero"/>
        <c:auto val="1"/>
        <c:lblAlgn val="ctr"/>
        <c:lblOffset val="100"/>
        <c:noMultiLvlLbl val="0"/>
      </c:catAx>
      <c:spPr>
        <a:solidFill>
          <a:srgbClr val="9BBB59">
            <a:lumMod val="20000"/>
            <a:lumOff val="80000"/>
            <a:alpha val="0"/>
          </a:srgbClr>
        </a:solidFill>
      </c:spPr>
    </c:plotArea>
    <c:legend>
      <c:legendPos val="r"/>
      <c:layout>
        <c:manualLayout>
          <c:xMode val="edge"/>
          <c:yMode val="edge"/>
          <c:x val="7.9647579777743695E-3"/>
          <c:y val="0.28241217847769057"/>
          <c:w val="0.22840613408273869"/>
          <c:h val="0.41304671916010516"/>
        </c:manualLayout>
      </c:layout>
      <c:overlay val="0"/>
      <c:txPr>
        <a:bodyPr/>
        <a:lstStyle/>
        <a:p>
          <a:pPr>
            <a:defRPr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/>
      <a:srcRect/>
      <a:stretch>
        <a:fillRect/>
      </a:stretch>
    </a:blipFill>
    <a:scene3d>
      <a:camera prst="orthographicFront"/>
      <a:lightRig rig="threePt" dir="t"/>
    </a:scene3d>
  </c:spPr>
  <c:printSettings>
    <c:headerFooter>
      <c:oddHeader>&amp;J1. számú melléklet</c:oddHeader>
    </c:headerFooter>
    <c:pageMargins b="0.74803149606299779" l="0.70866141732284105" r="0.70866141732284105" t="0.74803149606299779" header="0.30000000000000032" footer="0.30000000000000032"/>
    <c:pageSetup paperSize="9" orientation="landscape"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Times New Roman" pitchFamily="18" charset="0"/>
                <a:ea typeface="+mn-ea"/>
                <a:cs typeface="Times New Roman" pitchFamily="18" charset="0"/>
              </a:defRPr>
            </a:pPr>
            <a:r>
              <a:rPr lang="hu-HU"/>
              <a:t>Országos összesen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Times New Roman" pitchFamily="18" charset="0"/>
                <a:ea typeface="+mn-ea"/>
                <a:cs typeface="Times New Roman" pitchFamily="18" charset="0"/>
              </a:defRPr>
            </a:pPr>
            <a:endParaRPr lang="hu-HU"/>
          </a:p>
        </c:rich>
      </c:tx>
      <c:layout>
        <c:manualLayout>
          <c:xMode val="edge"/>
          <c:yMode val="edge"/>
          <c:x val="0.44319492400347527"/>
          <c:y val="4.57220639973195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9225141901080337"/>
          <c:y val="0.19140492815646579"/>
          <c:w val="0.62826317465186243"/>
          <c:h val="0.6827646069665024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határzár!$A$7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dLbl>
              <c:idx val="7"/>
              <c:layout>
                <c:manualLayout>
                  <c:x val="1.9965139833410467E-3"/>
                  <c:y val="0.1200673107532603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900" b="1" i="0">
                        <a:solidFill>
                          <a:schemeClr val="bg1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defRPr>
                    </a:pPr>
                    <a:fld id="{A03B1607-340A-4258-935A-D7E4D88C7B54}" type="VALUE">
                      <a:rPr lang="en-US" sz="900" i="0"/>
                      <a:pPr>
                        <a:defRPr sz="900" b="1" i="0">
                          <a:solidFill>
                            <a:schemeClr val="bg1"/>
                          </a:solidFill>
                          <a:latin typeface="Times New Roman" panose="02020603050405020304" pitchFamily="18" charset="0"/>
                          <a:cs typeface="Times New Roman" panose="02020603050405020304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9C-479C-BA10-8CD049333916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határzár!$B$2:$I$2</c:f>
              <c:strCache>
                <c:ptCount val="8"/>
                <c:pt idx="0">
                  <c:v>2010.
</c:v>
                </c:pt>
                <c:pt idx="1">
                  <c:v>2011.</c:v>
                </c:pt>
                <c:pt idx="2">
                  <c:v>2012.
</c:v>
                </c:pt>
                <c:pt idx="3">
                  <c:v>2013.</c:v>
                </c:pt>
                <c:pt idx="4">
                  <c:v>2014.
</c:v>
                </c:pt>
                <c:pt idx="5">
                  <c:v>2015.</c:v>
                </c:pt>
                <c:pt idx="6">
                  <c:v>2016.
</c:v>
                </c:pt>
                <c:pt idx="7">
                  <c:v>2017.</c:v>
                </c:pt>
              </c:strCache>
            </c:strRef>
          </c:cat>
          <c:val>
            <c:numRef>
              <c:f>határzár!$B$7:$I$7</c:f>
              <c:numCache>
                <c:formatCode>#,##0</c:formatCode>
                <c:ptCount val="8"/>
                <c:pt idx="0">
                  <c:v>428785</c:v>
                </c:pt>
                <c:pt idx="1">
                  <c:v>431935</c:v>
                </c:pt>
                <c:pt idx="2">
                  <c:v>451501</c:v>
                </c:pt>
                <c:pt idx="3">
                  <c:v>358810</c:v>
                </c:pt>
                <c:pt idx="4">
                  <c:v>309394</c:v>
                </c:pt>
                <c:pt idx="5">
                  <c:v>267628</c:v>
                </c:pt>
                <c:pt idx="6">
                  <c:v>273877</c:v>
                </c:pt>
                <c:pt idx="7">
                  <c:v>214829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13-4835-8D92-BE5AE132D2B4}"/>
            </c:ext>
          </c:extLst>
        </c:ser>
        <c:ser>
          <c:idx val="3"/>
          <c:order val="3"/>
          <c:tx>
            <c:strRef>
              <c:f>határzár!$A$4</c:f>
              <c:strCache>
                <c:ptCount val="1"/>
                <c:pt idx="0">
                  <c:v>Határzárral kapcsolatos bűncselekmények száma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dLbl>
              <c:idx val="7"/>
              <c:layout>
                <c:manualLayout>
                  <c:x val="-5.2598586423453776E-5"/>
                  <c:y val="-1.0611407401342135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900" b="1" i="1">
                        <a:solidFill>
                          <a:srgbClr val="C00000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defRPr>
                    </a:pPr>
                    <a:fld id="{1A105976-F275-41F1-AB69-D3D37275F1CB}" type="VALUE">
                      <a:rPr lang="en-US" sz="900" b="1" i="1">
                        <a:solidFill>
                          <a:srgbClr val="C00000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pPr>
                        <a:defRPr sz="900" b="1" i="1">
                          <a:solidFill>
                            <a:srgbClr val="C00000"/>
                          </a:solidFill>
                          <a:latin typeface="Times New Roman" panose="02020603050405020304" pitchFamily="18" charset="0"/>
                          <a:cs typeface="Times New Roman" panose="02020603050405020304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39C-479C-BA10-8CD049333916}"/>
                </c:ext>
                <c:ext xmlns:c15="http://schemas.microsoft.com/office/drawing/2012/chart" uri="{CE6537A1-D6FC-4f65-9D91-7224C49458BB}">
                  <c15:layout>
                    <c:manualLayout>
                      <c:w val="6.3963927136029289E-2"/>
                      <c:h val="3.5402063940202379E-2"/>
                    </c:manualLayout>
                  </c15:layout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határzár!$B$2:$I$2</c:f>
              <c:strCache>
                <c:ptCount val="8"/>
                <c:pt idx="0">
                  <c:v>2010.
</c:v>
                </c:pt>
                <c:pt idx="1">
                  <c:v>2011.</c:v>
                </c:pt>
                <c:pt idx="2">
                  <c:v>2012.
</c:v>
                </c:pt>
                <c:pt idx="3">
                  <c:v>2013.</c:v>
                </c:pt>
                <c:pt idx="4">
                  <c:v>2014.
</c:v>
                </c:pt>
                <c:pt idx="5">
                  <c:v>2015.</c:v>
                </c:pt>
                <c:pt idx="6">
                  <c:v>2016.
</c:v>
                </c:pt>
                <c:pt idx="7">
                  <c:v>2017.</c:v>
                </c:pt>
              </c:strCache>
            </c:strRef>
          </c:cat>
          <c:val>
            <c:numRef>
              <c:f>határzár!$B$4:$I$4</c:f>
              <c:numCache>
                <c:formatCode>#,##0</c:formatCode>
                <c:ptCount val="8"/>
                <c:pt idx="6">
                  <c:v>4386</c:v>
                </c:pt>
                <c:pt idx="7">
                  <c:v>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113-4835-8D92-BE5AE132D2B4}"/>
            </c:ext>
          </c:extLst>
        </c:ser>
        <c:ser>
          <c:idx val="4"/>
          <c:order val="4"/>
          <c:tx>
            <c:strRef>
              <c:f>határzár!$A$5</c:f>
              <c:strCache>
                <c:ptCount val="1"/>
                <c:pt idx="0">
                  <c:v>Zala MRFK 323/2015. bü számú és 79/2016. bü. számú bűncselekmény száma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dLbl>
              <c:idx val="7"/>
              <c:layout>
                <c:manualLayout>
                  <c:x val="3.020665663712542E-2"/>
                  <c:y val="-3.8156407263478749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900" b="1">
                        <a:solidFill>
                          <a:sysClr val="windowText" lastClr="000000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defRPr>
                    </a:pPr>
                    <a:fld id="{27AC76E0-C812-4843-87B3-48D96B11683C}" type="VALUE">
                      <a:rPr lang="en-US" sz="900" b="1" i="1">
                        <a:solidFill>
                          <a:sysClr val="windowText" lastClr="000000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pPr>
                        <a:defRPr sz="900" b="1">
                          <a:solidFill>
                            <a:sysClr val="windowText" lastClr="000000"/>
                          </a:solidFill>
                          <a:latin typeface="Times New Roman" panose="02020603050405020304" pitchFamily="18" charset="0"/>
                          <a:cs typeface="Times New Roman" panose="02020603050405020304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9C-479C-BA10-8CD049333916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határzár!$B$2:$I$2</c:f>
              <c:strCache>
                <c:ptCount val="8"/>
                <c:pt idx="0">
                  <c:v>2010.
</c:v>
                </c:pt>
                <c:pt idx="1">
                  <c:v>2011.</c:v>
                </c:pt>
                <c:pt idx="2">
                  <c:v>2012.
</c:v>
                </c:pt>
                <c:pt idx="3">
                  <c:v>2013.</c:v>
                </c:pt>
                <c:pt idx="4">
                  <c:v>2014.
</c:v>
                </c:pt>
                <c:pt idx="5">
                  <c:v>2015.</c:v>
                </c:pt>
                <c:pt idx="6">
                  <c:v>2016.
</c:v>
                </c:pt>
                <c:pt idx="7">
                  <c:v>2017.</c:v>
                </c:pt>
              </c:strCache>
            </c:strRef>
          </c:cat>
          <c:val>
            <c:numRef>
              <c:f>határzár!$B$5:$I$5</c:f>
              <c:numCache>
                <c:formatCode>#,##0</c:formatCode>
                <c:ptCount val="8"/>
                <c:pt idx="6">
                  <c:v>20785</c:v>
                </c:pt>
                <c:pt idx="7">
                  <c:v>813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113-4835-8D92-BE5AE132D2B4}"/>
            </c:ext>
          </c:extLst>
        </c:ser>
        <c:ser>
          <c:idx val="6"/>
          <c:order val="6"/>
          <c:tx>
            <c:strRef>
              <c:f>határzár!$A$6</c:f>
              <c:strCache>
                <c:ptCount val="1"/>
                <c:pt idx="0">
                  <c:v>KR NNI 458/2014. bü bűncselekmény száma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dLbl>
              <c:idx val="7"/>
              <c:layout>
                <c:manualLayout>
                  <c:x val="8.4103660358843702E-2"/>
                  <c:y val="-2.945263222978568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 i="1">
                      <a:solidFill>
                        <a:schemeClr val="accent3">
                          <a:lumMod val="75000"/>
                        </a:schemeClr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E39C-479C-BA10-8CD04933391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határzár!$B$2:$I$2</c:f>
              <c:strCache>
                <c:ptCount val="8"/>
                <c:pt idx="0">
                  <c:v>2010.
</c:v>
                </c:pt>
                <c:pt idx="1">
                  <c:v>2011.</c:v>
                </c:pt>
                <c:pt idx="2">
                  <c:v>2012.
</c:v>
                </c:pt>
                <c:pt idx="3">
                  <c:v>2013.</c:v>
                </c:pt>
                <c:pt idx="4">
                  <c:v>2014.
</c:v>
                </c:pt>
                <c:pt idx="5">
                  <c:v>2015.</c:v>
                </c:pt>
                <c:pt idx="6">
                  <c:v>2016.
</c:v>
                </c:pt>
                <c:pt idx="7">
                  <c:v>2017.</c:v>
                </c:pt>
              </c:strCache>
            </c:strRef>
          </c:cat>
          <c:val>
            <c:numRef>
              <c:f>határzár!$B$6:$I$6</c:f>
              <c:numCache>
                <c:formatCode>#,##0</c:formatCode>
                <c:ptCount val="8"/>
                <c:pt idx="6">
                  <c:v>22687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113-4835-8D92-BE5AE132D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347654792"/>
        <c:axId val="347654008"/>
      </c:barChart>
      <c:lineChart>
        <c:grouping val="standard"/>
        <c:varyColors val="0"/>
        <c:ser>
          <c:idx val="2"/>
          <c:order val="1"/>
          <c:tx>
            <c:strRef>
              <c:f>határzár!$A$8</c:f>
              <c:strCache>
                <c:ptCount val="1"/>
                <c:pt idx="0">
                  <c:v>Nyomozáseredményesség</c:v>
                </c:pt>
              </c:strCache>
            </c:strRef>
          </c:tx>
          <c:spPr>
            <a:ln w="63500">
              <a:solidFill>
                <a:srgbClr val="F79646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0341879468508557E-2"/>
                  <c:y val="-2.6649827837876006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900" b="1">
                      <a:solidFill>
                        <a:schemeClr val="bg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0113-4835-8D92-BE5AE132D2B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2124720694227345E-2"/>
                  <c:y val="-4.7872340425531922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900" b="1" baseline="0">
                      <a:solidFill>
                        <a:schemeClr val="bg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0113-4835-8D92-BE5AE132D2B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235031241625812E-2"/>
                  <c:y val="-5.5851063829787391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900" b="1">
                      <a:solidFill>
                        <a:schemeClr val="bg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0113-4835-8D92-BE5AE132D2B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817953267737955E-2"/>
                  <c:y val="-3.5117481990283125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900" b="1" baseline="0">
                      <a:solidFill>
                        <a:schemeClr val="bg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113-4835-8D92-BE5AE132D2B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0812729580860492E-2"/>
                  <c:y val="-4.5671594907019622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900" b="1" baseline="0">
                      <a:solidFill>
                        <a:schemeClr val="bg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0113-4835-8D92-BE5AE132D2B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1988621991708092E-2"/>
                  <c:y val="-3.7279303697997326E-2"/>
                </c:manualLayout>
              </c:layout>
              <c:tx>
                <c:rich>
                  <a:bodyPr/>
                  <a:lstStyle/>
                  <a:p>
                    <a:pPr>
                      <a:defRPr sz="900" b="1">
                        <a:solidFill>
                          <a:sysClr val="windowText" lastClr="000000"/>
                        </a:solidFill>
                        <a:latin typeface="Times New Roman" pitchFamily="18" charset="0"/>
                        <a:cs typeface="Times New Roman" pitchFamily="18" charset="0"/>
                      </a:defRPr>
                    </a:pPr>
                    <a:fld id="{574F56B5-D2C6-41DC-9930-B2A254E3A6C8}" type="VALUE">
                      <a:rPr lang="en-US">
                        <a:solidFill>
                          <a:sysClr val="windowText" lastClr="000000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pPr>
                        <a:defRPr sz="900" b="1">
                          <a:solidFill>
                            <a:sysClr val="windowText" lastClr="000000"/>
                          </a:solidFill>
                          <a:latin typeface="Times New Roman" pitchFamily="18" charset="0"/>
                          <a:cs typeface="Times New Roman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numFmt formatCode="#,##0.0" sourceLinked="0"/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0113-4835-8D92-BE5AE132D2B4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1893996966582447E-2"/>
                  <c:y val="-6.1014992016456708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DCA-4AC0-91D0-048FCDA6A6D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2663039693333312E-2"/>
                  <c:y val="-2.1299057432215138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900" b="1" i="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9C-479C-BA10-8CD049333916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határzár!$B$2:$I$2</c:f>
              <c:strCache>
                <c:ptCount val="8"/>
                <c:pt idx="0">
                  <c:v>2010.
</c:v>
                </c:pt>
                <c:pt idx="1">
                  <c:v>2011.</c:v>
                </c:pt>
                <c:pt idx="2">
                  <c:v>2012.
</c:v>
                </c:pt>
                <c:pt idx="3">
                  <c:v>2013.</c:v>
                </c:pt>
                <c:pt idx="4">
                  <c:v>2014.
</c:v>
                </c:pt>
                <c:pt idx="5">
                  <c:v>2015.</c:v>
                </c:pt>
                <c:pt idx="6">
                  <c:v>2016.
</c:v>
                </c:pt>
                <c:pt idx="7">
                  <c:v>2017.</c:v>
                </c:pt>
              </c:strCache>
            </c:strRef>
          </c:cat>
          <c:val>
            <c:numRef>
              <c:f>határzár!$B$8:$I$8</c:f>
              <c:numCache>
                <c:formatCode>#\ ##0.0</c:formatCode>
                <c:ptCount val="8"/>
                <c:pt idx="0">
                  <c:v>46.3</c:v>
                </c:pt>
                <c:pt idx="1">
                  <c:v>41.2</c:v>
                </c:pt>
                <c:pt idx="2">
                  <c:v>37.4</c:v>
                </c:pt>
                <c:pt idx="3">
                  <c:v>47.4</c:v>
                </c:pt>
                <c:pt idx="4">
                  <c:v>51.4</c:v>
                </c:pt>
                <c:pt idx="5">
                  <c:v>54.8</c:v>
                </c:pt>
                <c:pt idx="6">
                  <c:v>62.8</c:v>
                </c:pt>
                <c:pt idx="7">
                  <c:v>59.4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0113-4835-8D92-BE5AE132D2B4}"/>
            </c:ext>
          </c:extLst>
        </c:ser>
        <c:ser>
          <c:idx val="1"/>
          <c:order val="2"/>
          <c:tx>
            <c:v>Felderítési eredményesség</c:v>
          </c:tx>
          <c:spPr>
            <a:ln w="63500" cap="rnd">
              <a:solidFill>
                <a:srgbClr val="33CC33"/>
              </a:solidFill>
            </a:ln>
          </c:spPr>
          <c:marker>
            <c:symbol val="square"/>
            <c:size val="8"/>
            <c:spPr>
              <a:solidFill>
                <a:srgbClr val="33CC33"/>
              </a:solidFill>
              <a:ln cap="sq">
                <a:solidFill>
                  <a:srgbClr val="33CC33"/>
                </a:solidFill>
              </a:ln>
            </c:spPr>
          </c:marker>
          <c:dLbls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FF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9900691915569492E-2"/>
                  <c:y val="-2.56595091896390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FF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9F3-459D-9B22-595F216B6F2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8128803195203677E-2"/>
                  <c:y val="-2.83123349294849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66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9C-479C-BA10-8CD04933391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92D05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határzár!$B$2:$I$2</c:f>
              <c:strCache>
                <c:ptCount val="8"/>
                <c:pt idx="0">
                  <c:v>2010.
</c:v>
                </c:pt>
                <c:pt idx="1">
                  <c:v>2011.</c:v>
                </c:pt>
                <c:pt idx="2">
                  <c:v>2012.
</c:v>
                </c:pt>
                <c:pt idx="3">
                  <c:v>2013.</c:v>
                </c:pt>
                <c:pt idx="4">
                  <c:v>2014.
</c:v>
                </c:pt>
                <c:pt idx="5">
                  <c:v>2015.</c:v>
                </c:pt>
                <c:pt idx="6">
                  <c:v>2016.
</c:v>
                </c:pt>
                <c:pt idx="7">
                  <c:v>2017.</c:v>
                </c:pt>
              </c:strCache>
            </c:strRef>
          </c:cat>
          <c:val>
            <c:numRef>
              <c:f>határzár!$B$10:$I$10</c:f>
              <c:numCache>
                <c:formatCode>0.0</c:formatCode>
                <c:ptCount val="8"/>
                <c:pt idx="5">
                  <c:v>37.700000000000003</c:v>
                </c:pt>
                <c:pt idx="6">
                  <c:v>48.8</c:v>
                </c:pt>
                <c:pt idx="7">
                  <c:v>46.7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0113-4835-8D92-BE5AE132D2B4}"/>
            </c:ext>
          </c:extLst>
        </c:ser>
        <c:ser>
          <c:idx val="5"/>
          <c:order val="5"/>
          <c:tx>
            <c:strRef>
              <c:f>határzár!$A$9</c:f>
              <c:strCache>
                <c:ptCount val="1"/>
                <c:pt idx="0">
                  <c:v>Nyomozáseredményesség a Zala MRFK és KR NNI sok B lapos ügye nélkül</c:v>
                </c:pt>
              </c:strCache>
            </c:strRef>
          </c:tx>
          <c:spPr>
            <a:ln w="50800">
              <a:prstDash val="sysDash"/>
            </a:ln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0113-4835-8D92-BE5AE132D2B4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0113-4835-8D92-BE5AE132D2B4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0113-4835-8D92-BE5AE132D2B4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0113-4835-8D92-BE5AE132D2B4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0113-4835-8D92-BE5AE132D2B4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0113-4835-8D92-BE5AE132D2B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8350219525851081E-2"/>
                  <c:y val="-7.16262949758404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accent6">
                          <a:lumMod val="75000"/>
                        </a:schemeClr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9F3-459D-9B22-595F216B6F2E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058971526027301E-2"/>
                  <c:y val="-4.8545039967848584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defRPr>
                    </a:pPr>
                    <a:fld id="{29B0BDB4-8709-482D-9421-ED57C409EF8A}" type="VALUE">
                      <a:rPr lang="en-US" sz="9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pPr>
                        <a:defRPr sz="900" b="1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Times New Roman" panose="02020603050405020304" pitchFamily="18" charset="0"/>
                          <a:cs typeface="Times New Roman" panose="02020603050405020304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9C-479C-BA10-8CD049333916}"/>
                </c:ext>
                <c:ext xmlns:c15="http://schemas.microsoft.com/office/drawing/2012/chart" uri="{CE6537A1-D6FC-4f65-9D91-7224C49458BB}">
                  <c15:layout>
                    <c:manualLayout>
                      <c:w val="5.3917178572758975E-2"/>
                      <c:h val="4.3782486671117289E-2"/>
                    </c:manualLayout>
                  </c15:layout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accent6">
                        <a:lumMod val="7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határzár!$B$9:$I$9</c:f>
              <c:numCache>
                <c:formatCode>0.0</c:formatCode>
                <c:ptCount val="8"/>
                <c:pt idx="0">
                  <c:v>46.3</c:v>
                </c:pt>
                <c:pt idx="1">
                  <c:v>41.2</c:v>
                </c:pt>
                <c:pt idx="2">
                  <c:v>37.4</c:v>
                </c:pt>
                <c:pt idx="3">
                  <c:v>47.4</c:v>
                </c:pt>
                <c:pt idx="4">
                  <c:v>51.4</c:v>
                </c:pt>
                <c:pt idx="5">
                  <c:v>54.8</c:v>
                </c:pt>
                <c:pt idx="6">
                  <c:v>56.8</c:v>
                </c:pt>
                <c:pt idx="7">
                  <c:v>59.6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B-0113-4835-8D92-BE5AE132D2B4}"/>
            </c:ext>
          </c:extLst>
        </c:ser>
        <c:ser>
          <c:idx val="7"/>
          <c:order val="7"/>
          <c:tx>
            <c:strRef>
              <c:f>határzár!$A$11</c:f>
              <c:strCache>
                <c:ptCount val="1"/>
                <c:pt idx="0">
                  <c:v>Felderítési eredményesség a Zala MRFK és KR NNI sok B lapos ügye nélkül</c:v>
                </c:pt>
              </c:strCache>
            </c:strRef>
          </c:tx>
          <c:spPr>
            <a:ln w="53975">
              <a:solidFill>
                <a:srgbClr val="92D050"/>
              </a:solidFill>
              <a:prstDash val="sysDot"/>
            </a:ln>
          </c:spPr>
          <c:marker>
            <c:symbol val="none"/>
          </c:marker>
          <c:dLbls>
            <c:dLbl>
              <c:idx val="7"/>
              <c:layout>
                <c:manualLayout>
                  <c:x val="-2.9014747555386522E-2"/>
                  <c:y val="4.2902876498637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DCA-4AC0-91D0-048FCDA6A6D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92D05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határzár!$B$11:$I$11</c:f>
              <c:numCache>
                <c:formatCode>General</c:formatCode>
                <c:ptCount val="8"/>
                <c:pt idx="5" formatCode="0.0">
                  <c:v>37.700000000000003</c:v>
                </c:pt>
                <c:pt idx="6" formatCode="0.0">
                  <c:v>41.1</c:v>
                </c:pt>
                <c:pt idx="7" formatCode="0.0">
                  <c:v>46.4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D-0113-4835-8D92-BE5AE132D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7653224"/>
        <c:axId val="347653616"/>
      </c:lineChart>
      <c:catAx>
        <c:axId val="347654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7654008"/>
        <c:crosses val="autoZero"/>
        <c:auto val="1"/>
        <c:lblAlgn val="ctr"/>
        <c:lblOffset val="100"/>
        <c:noMultiLvlLbl val="0"/>
      </c:catAx>
      <c:valAx>
        <c:axId val="347654008"/>
        <c:scaling>
          <c:orientation val="minMax"/>
          <c:min val="0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7654792"/>
        <c:crosses val="autoZero"/>
        <c:crossBetween val="between"/>
      </c:valAx>
      <c:valAx>
        <c:axId val="347653616"/>
        <c:scaling>
          <c:orientation val="minMax"/>
          <c:max val="100"/>
        </c:scaling>
        <c:delete val="0"/>
        <c:axPos val="r"/>
        <c:numFmt formatCode="#\ ##0.0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hu-HU"/>
          </a:p>
        </c:txPr>
        <c:crossAx val="347653224"/>
        <c:crosses val="max"/>
        <c:crossBetween val="between"/>
        <c:majorUnit val="20"/>
      </c:valAx>
      <c:catAx>
        <c:axId val="347653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7653616"/>
        <c:crosses val="autoZero"/>
        <c:auto val="1"/>
        <c:lblAlgn val="ctr"/>
        <c:lblOffset val="100"/>
        <c:noMultiLvlLbl val="0"/>
      </c:catAx>
      <c:spPr>
        <a:solidFill>
          <a:srgbClr val="9BBB59">
            <a:lumMod val="20000"/>
            <a:lumOff val="80000"/>
            <a:alpha val="0"/>
          </a:srgbClr>
        </a:solidFill>
      </c:spPr>
    </c:plotArea>
    <c:legend>
      <c:legendPos val="r"/>
      <c:layout>
        <c:manualLayout>
          <c:xMode val="edge"/>
          <c:yMode val="edge"/>
          <c:x val="6.0377344138500899E-3"/>
          <c:y val="1.9782351314339384E-2"/>
          <c:w val="0.21113345720190854"/>
          <c:h val="0.96236162484949928"/>
        </c:manualLayout>
      </c:layout>
      <c:overlay val="0"/>
      <c:txPr>
        <a:bodyPr/>
        <a:lstStyle/>
        <a:p>
          <a:pPr>
            <a:defRPr sz="8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/>
      <a:srcRect/>
      <a:stretch>
        <a:fillRect/>
      </a:stretch>
    </a:blipFill>
    <a:scene3d>
      <a:camera prst="orthographicFront"/>
      <a:lightRig rig="threePt" dir="t"/>
    </a:scene3d>
  </c:spPr>
  <c:printSettings>
    <c:headerFooter>
      <c:oddHeader>&amp;J1. számú melléklet</c:oddHeader>
    </c:headerFooter>
    <c:pageMargins b="0.74803149606299713" l="0.70866141732284038" r="0.70866141732284038" t="0.74803149606299713" header="0.30000000000000032" footer="0.30000000000000032"/>
    <c:pageSetup paperSize="9" orientation="landscape"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Times New Roman" pitchFamily="18" charset="0"/>
                <a:ea typeface="+mn-ea"/>
                <a:cs typeface="Times New Roman" pitchFamily="18" charset="0"/>
              </a:defRPr>
            </a:pPr>
            <a:r>
              <a:rPr lang="hu-HU"/>
              <a:t>Országos összesen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Times New Roman" pitchFamily="18" charset="0"/>
                <a:ea typeface="+mn-ea"/>
                <a:cs typeface="Times New Roman" pitchFamily="18" charset="0"/>
              </a:defRPr>
            </a:pPr>
            <a:endParaRPr lang="hu-HU"/>
          </a:p>
        </c:rich>
      </c:tx>
      <c:layout>
        <c:manualLayout>
          <c:xMode val="edge"/>
          <c:yMode val="edge"/>
          <c:x val="0.44319492400347527"/>
          <c:y val="4.57220639973195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9225141901080337"/>
          <c:y val="0.19140492815646579"/>
          <c:w val="0.62826317465186243"/>
          <c:h val="0.6827646069665024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határzár!$A$7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dLbl>
              <c:idx val="7"/>
              <c:layout>
                <c:manualLayout>
                  <c:x val="1.9965139833410467E-3"/>
                  <c:y val="0.12006731075326037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900" b="1" i="0">
                        <a:solidFill>
                          <a:schemeClr val="bg1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defRPr>
                    </a:pPr>
                    <a:fld id="{A03B1607-340A-4258-935A-D7E4D88C7B54}" type="VALUE">
                      <a:rPr lang="en-US" sz="900" i="0"/>
                      <a:pPr>
                        <a:defRPr sz="900" b="1" i="0">
                          <a:solidFill>
                            <a:schemeClr val="bg1"/>
                          </a:solidFill>
                          <a:latin typeface="Times New Roman" panose="02020603050405020304" pitchFamily="18" charset="0"/>
                          <a:cs typeface="Times New Roman" panose="02020603050405020304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63F-4D58-BBDA-D308A648BBC6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határzár!$B$2:$I$2</c:f>
              <c:strCache>
                <c:ptCount val="8"/>
                <c:pt idx="0">
                  <c:v>2010.
</c:v>
                </c:pt>
                <c:pt idx="1">
                  <c:v>2011.</c:v>
                </c:pt>
                <c:pt idx="2">
                  <c:v>2012.
</c:v>
                </c:pt>
                <c:pt idx="3">
                  <c:v>2013.</c:v>
                </c:pt>
                <c:pt idx="4">
                  <c:v>2014.
</c:v>
                </c:pt>
                <c:pt idx="5">
                  <c:v>2015.</c:v>
                </c:pt>
                <c:pt idx="6">
                  <c:v>2016.
</c:v>
                </c:pt>
                <c:pt idx="7">
                  <c:v>2017.</c:v>
                </c:pt>
              </c:strCache>
            </c:strRef>
          </c:cat>
          <c:val>
            <c:numRef>
              <c:f>határzár!$B$7:$I$7</c:f>
              <c:numCache>
                <c:formatCode>#,##0</c:formatCode>
                <c:ptCount val="8"/>
                <c:pt idx="0">
                  <c:v>428785</c:v>
                </c:pt>
                <c:pt idx="1">
                  <c:v>431935</c:v>
                </c:pt>
                <c:pt idx="2">
                  <c:v>451501</c:v>
                </c:pt>
                <c:pt idx="3">
                  <c:v>358810</c:v>
                </c:pt>
                <c:pt idx="4">
                  <c:v>309394</c:v>
                </c:pt>
                <c:pt idx="5">
                  <c:v>267628</c:v>
                </c:pt>
                <c:pt idx="6">
                  <c:v>273877</c:v>
                </c:pt>
                <c:pt idx="7">
                  <c:v>214829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3F-4D58-BBDA-D308A648BBC6}"/>
            </c:ext>
          </c:extLst>
        </c:ser>
        <c:ser>
          <c:idx val="3"/>
          <c:order val="3"/>
          <c:tx>
            <c:strRef>
              <c:f>határzár!$A$4</c:f>
              <c:strCache>
                <c:ptCount val="1"/>
                <c:pt idx="0">
                  <c:v>Határzárral kapcsolatos bűncselekmények száma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dLbl>
              <c:idx val="7"/>
              <c:layout>
                <c:manualLayout>
                  <c:x val="-5.2598586423453776E-5"/>
                  <c:y val="-1.0611407401342135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900" b="1" i="1">
                        <a:solidFill>
                          <a:srgbClr val="C00000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defRPr>
                    </a:pPr>
                    <a:fld id="{1A105976-F275-41F1-AB69-D3D37275F1CB}" type="VALUE">
                      <a:rPr lang="en-US" sz="900" b="1" i="1">
                        <a:solidFill>
                          <a:srgbClr val="C00000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pPr>
                        <a:defRPr sz="900" b="1" i="1">
                          <a:solidFill>
                            <a:srgbClr val="C00000"/>
                          </a:solidFill>
                          <a:latin typeface="Times New Roman" panose="02020603050405020304" pitchFamily="18" charset="0"/>
                          <a:cs typeface="Times New Roman" panose="02020603050405020304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63F-4D58-BBDA-D308A648BBC6}"/>
                </c:ext>
                <c:ext xmlns:c15="http://schemas.microsoft.com/office/drawing/2012/chart" uri="{CE6537A1-D6FC-4f65-9D91-7224C49458BB}">
                  <c15:layout>
                    <c:manualLayout>
                      <c:w val="6.3963927136029289E-2"/>
                      <c:h val="3.5402063940202379E-2"/>
                    </c:manualLayout>
                  </c15:layout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határzár!$B$2:$I$2</c:f>
              <c:strCache>
                <c:ptCount val="8"/>
                <c:pt idx="0">
                  <c:v>2010.
</c:v>
                </c:pt>
                <c:pt idx="1">
                  <c:v>2011.</c:v>
                </c:pt>
                <c:pt idx="2">
                  <c:v>2012.
</c:v>
                </c:pt>
                <c:pt idx="3">
                  <c:v>2013.</c:v>
                </c:pt>
                <c:pt idx="4">
                  <c:v>2014.
</c:v>
                </c:pt>
                <c:pt idx="5">
                  <c:v>2015.</c:v>
                </c:pt>
                <c:pt idx="6">
                  <c:v>2016.
</c:v>
                </c:pt>
                <c:pt idx="7">
                  <c:v>2017.</c:v>
                </c:pt>
              </c:strCache>
            </c:strRef>
          </c:cat>
          <c:val>
            <c:numRef>
              <c:f>határzár!$B$4:$I$4</c:f>
              <c:numCache>
                <c:formatCode>#,##0</c:formatCode>
                <c:ptCount val="8"/>
                <c:pt idx="6">
                  <c:v>4386</c:v>
                </c:pt>
                <c:pt idx="7">
                  <c:v>884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63F-4D58-BBDA-D308A648BBC6}"/>
            </c:ext>
          </c:extLst>
        </c:ser>
        <c:ser>
          <c:idx val="4"/>
          <c:order val="4"/>
          <c:tx>
            <c:strRef>
              <c:f>határzár!$A$5</c:f>
              <c:strCache>
                <c:ptCount val="1"/>
                <c:pt idx="0">
                  <c:v>Zala MRFK 323/2015. bü számú és 79/2016. bü. számú bűncselekmény száma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dLbl>
              <c:idx val="7"/>
              <c:layout>
                <c:manualLayout>
                  <c:x val="3.020665663712542E-2"/>
                  <c:y val="-3.8156407263478749E-2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sz="900" b="1">
                        <a:solidFill>
                          <a:sysClr val="windowText" lastClr="000000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defRPr>
                    </a:pPr>
                    <a:fld id="{27AC76E0-C812-4843-87B3-48D96B11683C}" type="VALUE">
                      <a:rPr lang="en-US" sz="900" b="1" i="1">
                        <a:solidFill>
                          <a:sysClr val="windowText" lastClr="000000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pPr>
                        <a:defRPr sz="900" b="1">
                          <a:solidFill>
                            <a:sysClr val="windowText" lastClr="000000"/>
                          </a:solidFill>
                          <a:latin typeface="Times New Roman" panose="02020603050405020304" pitchFamily="18" charset="0"/>
                          <a:cs typeface="Times New Roman" panose="02020603050405020304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63F-4D58-BBDA-D308A648BBC6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határzár!$B$2:$I$2</c:f>
              <c:strCache>
                <c:ptCount val="8"/>
                <c:pt idx="0">
                  <c:v>2010.
</c:v>
                </c:pt>
                <c:pt idx="1">
                  <c:v>2011.</c:v>
                </c:pt>
                <c:pt idx="2">
                  <c:v>2012.
</c:v>
                </c:pt>
                <c:pt idx="3">
                  <c:v>2013.</c:v>
                </c:pt>
                <c:pt idx="4">
                  <c:v>2014.
</c:v>
                </c:pt>
                <c:pt idx="5">
                  <c:v>2015.</c:v>
                </c:pt>
                <c:pt idx="6">
                  <c:v>2016.
</c:v>
                </c:pt>
                <c:pt idx="7">
                  <c:v>2017.</c:v>
                </c:pt>
              </c:strCache>
            </c:strRef>
          </c:cat>
          <c:val>
            <c:numRef>
              <c:f>határzár!$B$5:$I$5</c:f>
              <c:numCache>
                <c:formatCode>#,##0</c:formatCode>
                <c:ptCount val="8"/>
                <c:pt idx="6">
                  <c:v>20785</c:v>
                </c:pt>
                <c:pt idx="7">
                  <c:v>813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63F-4D58-BBDA-D308A648BBC6}"/>
            </c:ext>
          </c:extLst>
        </c:ser>
        <c:ser>
          <c:idx val="6"/>
          <c:order val="6"/>
          <c:tx>
            <c:strRef>
              <c:f>határzár!$A$6</c:f>
              <c:strCache>
                <c:ptCount val="1"/>
                <c:pt idx="0">
                  <c:v>KR NNI 458/2014. bü bűncselekmény száma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dLbl>
              <c:idx val="7"/>
              <c:layout>
                <c:manualLayout>
                  <c:x val="8.4103660358843702E-2"/>
                  <c:y val="-2.945263222978568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 i="1">
                      <a:solidFill>
                        <a:schemeClr val="accent3">
                          <a:lumMod val="75000"/>
                        </a:schemeClr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63F-4D58-BBDA-D308A648BBC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határzár!$B$2:$I$2</c:f>
              <c:strCache>
                <c:ptCount val="8"/>
                <c:pt idx="0">
                  <c:v>2010.
</c:v>
                </c:pt>
                <c:pt idx="1">
                  <c:v>2011.</c:v>
                </c:pt>
                <c:pt idx="2">
                  <c:v>2012.
</c:v>
                </c:pt>
                <c:pt idx="3">
                  <c:v>2013.</c:v>
                </c:pt>
                <c:pt idx="4">
                  <c:v>2014.
</c:v>
                </c:pt>
                <c:pt idx="5">
                  <c:v>2015.</c:v>
                </c:pt>
                <c:pt idx="6">
                  <c:v>2016.
</c:v>
                </c:pt>
                <c:pt idx="7">
                  <c:v>2017.</c:v>
                </c:pt>
              </c:strCache>
            </c:strRef>
          </c:cat>
          <c:val>
            <c:numRef>
              <c:f>határzár!$B$6:$I$6</c:f>
              <c:numCache>
                <c:formatCode>#,##0</c:formatCode>
                <c:ptCount val="8"/>
                <c:pt idx="6">
                  <c:v>22687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63F-4D58-BBDA-D308A648B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347655576"/>
        <c:axId val="352671016"/>
      </c:barChart>
      <c:lineChart>
        <c:grouping val="standard"/>
        <c:varyColors val="0"/>
        <c:ser>
          <c:idx val="2"/>
          <c:order val="1"/>
          <c:tx>
            <c:strRef>
              <c:f>határzár!$A$8</c:f>
              <c:strCache>
                <c:ptCount val="1"/>
                <c:pt idx="0">
                  <c:v>Nyomozáseredményesség</c:v>
                </c:pt>
              </c:strCache>
            </c:strRef>
          </c:tx>
          <c:spPr>
            <a:ln w="63500">
              <a:solidFill>
                <a:srgbClr val="F79646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0341879468508557E-2"/>
                  <c:y val="-2.6649827837876006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900" b="1">
                      <a:solidFill>
                        <a:schemeClr val="bg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D63F-4D58-BBDA-D308A648BBC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2124720694227345E-2"/>
                  <c:y val="-4.7872340425531922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900" b="1" baseline="0">
                      <a:solidFill>
                        <a:schemeClr val="bg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63F-4D58-BBDA-D308A648BBC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235031241625812E-2"/>
                  <c:y val="-5.5851063829787391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900" b="1">
                      <a:solidFill>
                        <a:schemeClr val="bg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D63F-4D58-BBDA-D308A648BBC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9817953267737955E-2"/>
                  <c:y val="-3.5117481990283125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900" b="1" baseline="0">
                      <a:solidFill>
                        <a:schemeClr val="bg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63F-4D58-BBDA-D308A648BBC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0812729580860492E-2"/>
                  <c:y val="-4.5671594907019622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900" b="1" baseline="0">
                      <a:solidFill>
                        <a:schemeClr val="bg1"/>
                      </a:solidFill>
                      <a:latin typeface="Times New Roman" pitchFamily="18" charset="0"/>
                      <a:cs typeface="Times New Roman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D63F-4D58-BBDA-D308A648BBC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1988621991708092E-2"/>
                  <c:y val="-3.7279303697997326E-2"/>
                </c:manualLayout>
              </c:layout>
              <c:tx>
                <c:rich>
                  <a:bodyPr/>
                  <a:lstStyle/>
                  <a:p>
                    <a:pPr>
                      <a:defRPr sz="900" b="1">
                        <a:solidFill>
                          <a:sysClr val="windowText" lastClr="000000"/>
                        </a:solidFill>
                        <a:latin typeface="Times New Roman" pitchFamily="18" charset="0"/>
                        <a:cs typeface="Times New Roman" pitchFamily="18" charset="0"/>
                      </a:defRPr>
                    </a:pPr>
                    <a:fld id="{574F56B5-D2C6-41DC-9930-B2A254E3A6C8}" type="VALUE">
                      <a:rPr lang="en-US">
                        <a:solidFill>
                          <a:sysClr val="windowText" lastClr="000000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pPr>
                        <a:defRPr sz="900" b="1">
                          <a:solidFill>
                            <a:sysClr val="windowText" lastClr="000000"/>
                          </a:solidFill>
                          <a:latin typeface="Times New Roman" pitchFamily="18" charset="0"/>
                          <a:cs typeface="Times New Roman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numFmt formatCode="#,##0.0" sourceLinked="0"/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63F-4D58-BBDA-D308A648BBC6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1893996966582447E-2"/>
                  <c:y val="-6.1014992016456708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D63F-4D58-BBDA-D308A648BBC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2663039693333312E-2"/>
                  <c:y val="-2.1299057432215138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900" b="1" i="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63F-4D58-BBDA-D308A648BBC6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határzár!$B$2:$I$2</c:f>
              <c:strCache>
                <c:ptCount val="8"/>
                <c:pt idx="0">
                  <c:v>2010.
</c:v>
                </c:pt>
                <c:pt idx="1">
                  <c:v>2011.</c:v>
                </c:pt>
                <c:pt idx="2">
                  <c:v>2012.
</c:v>
                </c:pt>
                <c:pt idx="3">
                  <c:v>2013.</c:v>
                </c:pt>
                <c:pt idx="4">
                  <c:v>2014.
</c:v>
                </c:pt>
                <c:pt idx="5">
                  <c:v>2015.</c:v>
                </c:pt>
                <c:pt idx="6">
                  <c:v>2016.
</c:v>
                </c:pt>
                <c:pt idx="7">
                  <c:v>2017.</c:v>
                </c:pt>
              </c:strCache>
            </c:strRef>
          </c:cat>
          <c:val>
            <c:numRef>
              <c:f>határzár!$B$8:$I$8</c:f>
              <c:numCache>
                <c:formatCode>#\ ##0.0</c:formatCode>
                <c:ptCount val="8"/>
                <c:pt idx="0">
                  <c:v>46.3</c:v>
                </c:pt>
                <c:pt idx="1">
                  <c:v>41.2</c:v>
                </c:pt>
                <c:pt idx="2">
                  <c:v>37.4</c:v>
                </c:pt>
                <c:pt idx="3">
                  <c:v>47.4</c:v>
                </c:pt>
                <c:pt idx="4">
                  <c:v>51.4</c:v>
                </c:pt>
                <c:pt idx="5">
                  <c:v>54.8</c:v>
                </c:pt>
                <c:pt idx="6">
                  <c:v>62.8</c:v>
                </c:pt>
                <c:pt idx="7">
                  <c:v>59.4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D63F-4D58-BBDA-D308A648BBC6}"/>
            </c:ext>
          </c:extLst>
        </c:ser>
        <c:ser>
          <c:idx val="5"/>
          <c:order val="5"/>
          <c:tx>
            <c:strRef>
              <c:f>határzár!$A$9</c:f>
              <c:strCache>
                <c:ptCount val="1"/>
                <c:pt idx="0">
                  <c:v>Nyomozáseredményesség a Zala MRFK és KR NNI sok B lapos ügye nélkül</c:v>
                </c:pt>
              </c:strCache>
            </c:strRef>
          </c:tx>
          <c:spPr>
            <a:ln w="50800">
              <a:prstDash val="sysDash"/>
            </a:ln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D63F-4D58-BBDA-D308A648BBC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D63F-4D58-BBDA-D308A648BBC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D63F-4D58-BBDA-D308A648BBC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8-D63F-4D58-BBDA-D308A648BBC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9-D63F-4D58-BBDA-D308A648BBC6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A-D63F-4D58-BBDA-D308A648BBC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8350219525851081E-2"/>
                  <c:y val="-7.16262949758404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accent6">
                          <a:lumMod val="75000"/>
                        </a:schemeClr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B-D63F-4D58-BBDA-D308A648BBC6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058971526027301E-2"/>
                  <c:y val="-4.8545039967848584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 sz="900" b="1">
                        <a:solidFill>
                          <a:schemeClr val="accent6">
                            <a:lumMod val="75000"/>
                          </a:schemeClr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defRPr>
                    </a:pPr>
                    <a:fld id="{29B0BDB4-8709-482D-9421-ED57C409EF8A}" type="VALUE">
                      <a:rPr lang="en-US" sz="9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pPr>
                        <a:defRPr sz="900" b="1">
                          <a:solidFill>
                            <a:schemeClr val="accent6">
                              <a:lumMod val="75000"/>
                            </a:schemeClr>
                          </a:solidFill>
                          <a:latin typeface="Times New Roman" panose="02020603050405020304" pitchFamily="18" charset="0"/>
                          <a:cs typeface="Times New Roman" panose="02020603050405020304" pitchFamily="18" charset="0"/>
                        </a:defRPr>
                      </a:pPr>
                      <a:t>[ÉRTÉK]</a:t>
                    </a:fld>
                    <a:endParaRPr lang="hu-HU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C-D63F-4D58-BBDA-D308A648BBC6}"/>
                </c:ext>
                <c:ext xmlns:c15="http://schemas.microsoft.com/office/drawing/2012/chart" uri="{CE6537A1-D6FC-4f65-9D91-7224C49458BB}">
                  <c15:layout>
                    <c:manualLayout>
                      <c:w val="5.3917178572758975E-2"/>
                      <c:h val="4.3782486671117289E-2"/>
                    </c:manualLayout>
                  </c15:layout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accent6">
                        <a:lumMod val="75000"/>
                      </a:schemeClr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határzár!$B$9:$I$9</c:f>
              <c:numCache>
                <c:formatCode>0.0</c:formatCode>
                <c:ptCount val="8"/>
                <c:pt idx="0">
                  <c:v>46.3</c:v>
                </c:pt>
                <c:pt idx="1">
                  <c:v>41.2</c:v>
                </c:pt>
                <c:pt idx="2">
                  <c:v>37.4</c:v>
                </c:pt>
                <c:pt idx="3">
                  <c:v>47.4</c:v>
                </c:pt>
                <c:pt idx="4">
                  <c:v>51.4</c:v>
                </c:pt>
                <c:pt idx="5">
                  <c:v>54.8</c:v>
                </c:pt>
                <c:pt idx="6">
                  <c:v>56.8</c:v>
                </c:pt>
                <c:pt idx="7">
                  <c:v>59.6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D-D63F-4D58-BBDA-D308A648B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667096"/>
        <c:axId val="352671408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1"/>
                <c:order val="2"/>
                <c:tx>
                  <c:v>Felderítési eredményesség</c:v>
                </c:tx>
                <c:spPr>
                  <a:ln w="63500" cap="rnd">
                    <a:solidFill>
                      <a:srgbClr val="33CC33"/>
                    </a:solidFill>
                  </a:ln>
                </c:spPr>
                <c:marker>
                  <c:symbol val="square"/>
                  <c:size val="8"/>
                  <c:spPr>
                    <a:solidFill>
                      <a:srgbClr val="33CC33"/>
                    </a:solidFill>
                    <a:ln cap="sq">
                      <a:solidFill>
                        <a:srgbClr val="33CC33"/>
                      </a:solidFill>
                    </a:ln>
                  </c:spPr>
                </c:marker>
                <c:dLbls>
                  <c:dLbl>
                    <c:idx val="5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900" b="1">
                            <a:solidFill>
                              <a:srgbClr val="00FF00"/>
                            </a:solidFill>
                            <a:latin typeface="Times New Roman" panose="02020603050405020304" pitchFamily="18" charset="0"/>
                            <a:cs typeface="Times New Roman" panose="02020603050405020304" pitchFamily="18" charset="0"/>
                          </a:defRPr>
                        </a:pPr>
                        <a:endParaRPr lang="hu-HU"/>
                      </a:p>
                    </c:txPr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</c:dLbl>
                  <c:dLbl>
                    <c:idx val="6"/>
                    <c:layout>
                      <c:manualLayout>
                        <c:x val="-2.9900691915569492E-2"/>
                        <c:y val="-2.5659509189639024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900" b="1">
                            <a:solidFill>
                              <a:srgbClr val="00FF00"/>
                            </a:solidFill>
                            <a:latin typeface="Times New Roman" panose="02020603050405020304" pitchFamily="18" charset="0"/>
                            <a:cs typeface="Times New Roman" panose="02020603050405020304" pitchFamily="18" charset="0"/>
                          </a:defRPr>
                        </a:pPr>
                        <a:endParaRPr lang="hu-HU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12-D63F-4D58-BBDA-D308A648BBC6}"/>
                      </c:ext>
                      <c:ext uri="{CE6537A1-D6FC-4f65-9D91-7224C49458BB}"/>
                    </c:extLst>
                  </c:dLbl>
                  <c:dLbl>
                    <c:idx val="7"/>
                    <c:layout>
                      <c:manualLayout>
                        <c:x val="-2.8128803195203677E-2"/>
                        <c:y val="-2.8312334929484966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900" b="1">
                            <a:solidFill>
                              <a:srgbClr val="006600"/>
                            </a:solidFill>
                            <a:latin typeface="Times New Roman" panose="02020603050405020304" pitchFamily="18" charset="0"/>
                            <a:cs typeface="Times New Roman" panose="02020603050405020304" pitchFamily="18" charset="0"/>
                          </a:defRPr>
                        </a:pPr>
                        <a:endParaRPr lang="hu-HU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13-D63F-4D58-BBDA-D308A648BBC6}"/>
                      </c:ext>
                      <c:ext uri="{CE6537A1-D6FC-4f65-9D91-7224C49458BB}"/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900" b="1">
                          <a:solidFill>
                            <a:srgbClr val="92D050"/>
                          </a:solidFill>
                          <a:latin typeface="Times New Roman" panose="02020603050405020304" pitchFamily="18" charset="0"/>
                          <a:cs typeface="Times New Roman" panose="02020603050405020304" pitchFamily="18" charset="0"/>
                        </a:defRPr>
                      </a:pPr>
                      <a:endParaRPr lang="hu-HU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</c:ext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határzár!$B$2:$I$2</c15:sqref>
                        </c15:formulaRef>
                      </c:ext>
                    </c:extLst>
                    <c:strCache>
                      <c:ptCount val="8"/>
                      <c:pt idx="0">
                        <c:v>2010.
</c:v>
                      </c:pt>
                      <c:pt idx="1">
                        <c:v>2011.</c:v>
                      </c:pt>
                      <c:pt idx="2">
                        <c:v>2012.
</c:v>
                      </c:pt>
                      <c:pt idx="3">
                        <c:v>2013.</c:v>
                      </c:pt>
                      <c:pt idx="4">
                        <c:v>2014.
</c:v>
                      </c:pt>
                      <c:pt idx="5">
                        <c:v>2015.</c:v>
                      </c:pt>
                      <c:pt idx="6">
                        <c:v>2016.
</c:v>
                      </c:pt>
                      <c:pt idx="7">
                        <c:v>2017.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határzár!$B$10:$I$10</c15:sqref>
                        </c15:formulaRef>
                      </c:ext>
                    </c:extLst>
                    <c:numCache>
                      <c:formatCode>0.0</c:formatCode>
                      <c:ptCount val="8"/>
                      <c:pt idx="5">
                        <c:v>37.700000000000003</c:v>
                      </c:pt>
                      <c:pt idx="6">
                        <c:v>48.8</c:v>
                      </c:pt>
                      <c:pt idx="7">
                        <c:v>46.7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14-D63F-4D58-BBDA-D308A648BBC6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határzár!$A$11</c15:sqref>
                        </c15:formulaRef>
                      </c:ext>
                    </c:extLst>
                    <c:strCache>
                      <c:ptCount val="1"/>
                      <c:pt idx="0">
                        <c:v>Felderítési eredményesség a Zala MRFK és KR NNI sok B lapos ügye nélkül</c:v>
                      </c:pt>
                    </c:strCache>
                  </c:strRef>
                </c:tx>
                <c:spPr>
                  <a:ln w="53975">
                    <a:solidFill>
                      <a:srgbClr val="92D050"/>
                    </a:solidFill>
                    <a:prstDash val="sysDot"/>
                  </a:ln>
                </c:spPr>
                <c:marker>
                  <c:symbol val="none"/>
                </c:marker>
                <c:dLbls>
                  <c:dLbl>
                    <c:idx val="7"/>
                    <c:layout>
                      <c:manualLayout>
                        <c:x val="-2.9014747555386522E-2"/>
                        <c:y val="4.2902876498637658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r2="http://schemas.microsoft.com/office/drawing/2015/06/chart" xmlns:c15="http://schemas.microsoft.com/office/drawing/2012/chart">
                      <c:ext xmlns:c16="http://schemas.microsoft.com/office/drawing/2014/chart" uri="{C3380CC4-5D6E-409C-BE32-E72D297353CC}">
                        <c16:uniqueId val="{0000001E-D63F-4D58-BBDA-D308A648BBC6}"/>
                      </c:ext>
                      <c:ext xmlns:c15="http://schemas.microsoft.com/office/drawing/2012/chart" uri="{CE6537A1-D6FC-4f65-9D91-7224C49458BB}"/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900" b="1">
                          <a:solidFill>
                            <a:srgbClr val="92D050"/>
                          </a:solidFill>
                          <a:latin typeface="Times New Roman" panose="02020603050405020304" pitchFamily="18" charset="0"/>
                          <a:cs typeface="Times New Roman" panose="02020603050405020304" pitchFamily="18" charset="0"/>
                        </a:defRPr>
                      </a:pPr>
                      <a:endParaRPr lang="hu-HU"/>
                    </a:p>
                  </c:txPr>
                  <c:dLblPos val="b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határzár!$B$11:$I$11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5" formatCode="0.0">
                        <c:v>37.700000000000003</c:v>
                      </c:pt>
                      <c:pt idx="6" formatCode="0.0">
                        <c:v>41.1</c:v>
                      </c:pt>
                      <c:pt idx="7" formatCode="0.0">
                        <c:v>46.4</c:v>
                      </c:pt>
                    </c:numCache>
                  </c:numRef>
                </c:val>
                <c:smooth val="0"/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1F-D63F-4D58-BBDA-D308A648BBC6}"/>
                  </c:ext>
                </c:extLst>
              </c15:ser>
            </c15:filteredLineSeries>
          </c:ext>
        </c:extLst>
      </c:lineChart>
      <c:catAx>
        <c:axId val="347655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52671016"/>
        <c:crosses val="autoZero"/>
        <c:auto val="1"/>
        <c:lblAlgn val="ctr"/>
        <c:lblOffset val="100"/>
        <c:noMultiLvlLbl val="0"/>
      </c:catAx>
      <c:valAx>
        <c:axId val="352671016"/>
        <c:scaling>
          <c:orientation val="minMax"/>
          <c:min val="0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9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47655576"/>
        <c:crosses val="autoZero"/>
        <c:crossBetween val="between"/>
      </c:valAx>
      <c:valAx>
        <c:axId val="352671408"/>
        <c:scaling>
          <c:orientation val="minMax"/>
          <c:max val="100"/>
        </c:scaling>
        <c:delete val="0"/>
        <c:axPos val="r"/>
        <c:numFmt formatCode="#\ ##0.0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hu-HU"/>
          </a:p>
        </c:txPr>
        <c:crossAx val="352667096"/>
        <c:crosses val="max"/>
        <c:crossBetween val="between"/>
        <c:majorUnit val="20"/>
      </c:valAx>
      <c:catAx>
        <c:axId val="352667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52671408"/>
        <c:crosses val="autoZero"/>
        <c:auto val="1"/>
        <c:lblAlgn val="ctr"/>
        <c:lblOffset val="100"/>
        <c:noMultiLvlLbl val="0"/>
      </c:catAx>
      <c:spPr>
        <a:solidFill>
          <a:srgbClr val="9BBB59">
            <a:lumMod val="20000"/>
            <a:lumOff val="80000"/>
            <a:alpha val="0"/>
          </a:srgbClr>
        </a:solidFill>
      </c:spPr>
    </c:plotArea>
    <c:legend>
      <c:legendPos val="r"/>
      <c:layout>
        <c:manualLayout>
          <c:xMode val="edge"/>
          <c:yMode val="edge"/>
          <c:x val="6.0377344138500899E-3"/>
          <c:y val="1.9782351314339384E-2"/>
          <c:w val="0.21113345720190854"/>
          <c:h val="0.96236162484949928"/>
        </c:manualLayout>
      </c:layout>
      <c:overlay val="0"/>
      <c:txPr>
        <a:bodyPr/>
        <a:lstStyle/>
        <a:p>
          <a:pPr>
            <a:defRPr sz="8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/>
      <a:srcRect/>
      <a:stretch>
        <a:fillRect/>
      </a:stretch>
    </a:blipFill>
    <a:scene3d>
      <a:camera prst="orthographicFront"/>
      <a:lightRig rig="threePt" dir="t"/>
    </a:scene3d>
  </c:spPr>
  <c:printSettings>
    <c:headerFooter>
      <c:oddHeader>&amp;J1. számú melléklet</c:oddHeader>
    </c:headerFooter>
    <c:pageMargins b="0.74803149606299713" l="0.70866141732284038" r="0.70866141732284038" t="0.74803149606299713" header="0.30000000000000032" footer="0.30000000000000032"/>
    <c:pageSetup paperSize="9" orientation="landscape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2665389904780031E-2"/>
          <c:y val="0.24693305202878346"/>
          <c:w val="0.92143578353559863"/>
          <c:h val="0.703921937987416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táblázat_eljszerves!$B$2</c:f>
              <c:strCache>
                <c:ptCount val="1"/>
                <c:pt idx="0">
                  <c:v>Bűncselekmények száma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itchFamily="18" charset="0"/>
                    <a:cs typeface="Times New Roman" pitchFamily="18" charset="0"/>
                  </a:defRPr>
                </a:pPr>
                <a:endParaRPr lang="hu-H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táblázat_eljszerves!$B$3:$J$3</c:f>
              <c:strCache>
                <c:ptCount val="9"/>
                <c:pt idx="0">
                  <c:v>2010. év</c:v>
                </c:pt>
                <c:pt idx="1">
                  <c:v>2011. év</c:v>
                </c:pt>
                <c:pt idx="2">
                  <c:v>2012. év</c:v>
                </c:pt>
                <c:pt idx="3">
                  <c:v>2013. év</c:v>
                </c:pt>
                <c:pt idx="4">
                  <c:v>2014. év</c:v>
                </c:pt>
                <c:pt idx="5">
                  <c:v>2015. év</c:v>
                </c:pt>
                <c:pt idx="6">
                  <c:v>2016. év</c:v>
                </c:pt>
                <c:pt idx="7">
                  <c:v>2017. év</c:v>
                </c:pt>
                <c:pt idx="8">
                  <c:v>2018. év</c:v>
                </c:pt>
              </c:strCache>
            </c:strRef>
          </c:cat>
          <c:val>
            <c:numRef>
              <c:f>táblázat_eljszerves!$B$12:$J$12</c:f>
              <c:numCache>
                <c:formatCode>#,##0</c:formatCode>
                <c:ptCount val="9"/>
                <c:pt idx="0">
                  <c:v>528</c:v>
                </c:pt>
                <c:pt idx="1">
                  <c:v>508</c:v>
                </c:pt>
                <c:pt idx="2">
                  <c:v>481</c:v>
                </c:pt>
                <c:pt idx="3">
                  <c:v>446</c:v>
                </c:pt>
                <c:pt idx="4">
                  <c:v>449</c:v>
                </c:pt>
                <c:pt idx="5">
                  <c:v>395</c:v>
                </c:pt>
                <c:pt idx="6">
                  <c:v>336</c:v>
                </c:pt>
                <c:pt idx="7">
                  <c:v>311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3-4437-BB59-6439F49ED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335324416"/>
        <c:axId val="335322848"/>
      </c:barChart>
      <c:lineChart>
        <c:grouping val="standard"/>
        <c:varyColors val="0"/>
        <c:ser>
          <c:idx val="0"/>
          <c:order val="1"/>
          <c:tx>
            <c:strRef>
              <c:f>táblázat_eljszerves!$R$2</c:f>
              <c:strCache>
                <c:ptCount val="1"/>
                <c:pt idx="0">
                  <c:v>Nyomozáseredményességi mutató (%)</c:v>
                </c:pt>
              </c:strCache>
            </c:strRef>
          </c:tx>
          <c:spPr>
            <a:ln w="508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96C3337B-6A89-424A-8188-AE0C616B5C2D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2D3-4437-BB59-6439F49EDC0B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8C5BC35-C2A5-49BC-BA9A-45B84E28208C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2D3-4437-BB59-6439F49EDC0B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4.7235390179523537E-2"/>
                  <c:y val="-6.761904761904762E-2"/>
                </c:manualLayout>
              </c:layout>
              <c:tx>
                <c:rich>
                  <a:bodyPr/>
                  <a:lstStyle/>
                  <a:p>
                    <a:fld id="{A7FAE4D5-765C-45C1-B150-BCD7C499D8AC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[ÉRTÉK]</a:t>
                    </a:fld>
                    <a:endParaRPr lang="hu-HU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2D3-4437-BB59-6439F49EDC0B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-4.9671055462329507E-2"/>
                  <c:y val="-5.677900262467191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983-4F39-BED9-7BC93B87294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7131147540983603E-2"/>
                  <c:y val="-3.7142857142857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7EB-4C71-9418-D4A21DA23EE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chemeClr val="bg1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2010. év</c:v>
              </c:pt>
              <c:pt idx="1">
                <c:v>2011. év</c:v>
              </c:pt>
              <c:pt idx="2">
                <c:v>2012. év</c:v>
              </c:pt>
              <c:pt idx="3">
                <c:v>2013. év</c:v>
              </c:pt>
              <c:pt idx="4">
                <c:v>2014. év</c:v>
              </c:pt>
              <c:pt idx="5">
                <c:v>2015. év</c:v>
              </c:pt>
              <c:pt idx="6">
                <c:v>2016. év</c:v>
              </c:pt>
            </c:strLit>
          </c:cat>
          <c:val>
            <c:numRef>
              <c:f>táblázat_eljszerves!$R$12:$Z$12</c:f>
              <c:numCache>
                <c:formatCode>0.0</c:formatCode>
                <c:ptCount val="9"/>
                <c:pt idx="0">
                  <c:v>79.2</c:v>
                </c:pt>
                <c:pt idx="1">
                  <c:v>76.7</c:v>
                </c:pt>
                <c:pt idx="2">
                  <c:v>75.900000000000006</c:v>
                </c:pt>
                <c:pt idx="3">
                  <c:v>76.3</c:v>
                </c:pt>
                <c:pt idx="4">
                  <c:v>77.599999999999994</c:v>
                </c:pt>
                <c:pt idx="5">
                  <c:v>82.8</c:v>
                </c:pt>
                <c:pt idx="6">
                  <c:v>76</c:v>
                </c:pt>
                <c:pt idx="7">
                  <c:v>77.599999999999994</c:v>
                </c:pt>
                <c:pt idx="8">
                  <c:v>87.9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B2D3-4437-BB59-6439F49EDC0B}"/>
            </c:ext>
          </c:extLst>
        </c:ser>
        <c:ser>
          <c:idx val="2"/>
          <c:order val="2"/>
          <c:tx>
            <c:strRef>
              <c:f>táblázat_eljszerves!$AL$2</c:f>
              <c:strCache>
                <c:ptCount val="1"/>
                <c:pt idx="0">
                  <c:v>Felderítési eredményesség (%)</c:v>
                </c:pt>
              </c:strCache>
            </c:strRef>
          </c:tx>
          <c:spPr>
            <a:ln w="38100">
              <a:solidFill>
                <a:srgbClr val="92D050"/>
              </a:solidFill>
            </a:ln>
          </c:spPr>
          <c:marker>
            <c:symbol val="square"/>
            <c:size val="6"/>
            <c:spPr>
              <a:solidFill>
                <a:srgbClr val="92D050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4.8299319727891254E-2"/>
                  <c:y val="3.58601553151481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 baseline="0">
                      <a:solidFill>
                        <a:srgbClr val="006600"/>
                      </a:solidFill>
                      <a:latin typeface="Times New Roman" panose="02020603050405020304" pitchFamily="18" charset="0"/>
                      <a:cs typeface="Times New Roman" panose="02020603050405020304" pitchFamily="18" charset="0"/>
                    </a:defRPr>
                  </a:pPr>
                  <a:endParaRPr lang="hu-HU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146-479E-B24D-06D860AE0CA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baseline="0">
                    <a:solidFill>
                      <a:srgbClr val="00FF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endParaRPr lang="hu-H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táblázat_eljszerves!$AG$12:$AO$12</c:f>
              <c:numCache>
                <c:formatCode>General</c:formatCode>
                <c:ptCount val="9"/>
                <c:pt idx="5" formatCode="0.0">
                  <c:v>80</c:v>
                </c:pt>
                <c:pt idx="6" formatCode="0.0">
                  <c:v>73.900000000000006</c:v>
                </c:pt>
                <c:pt idx="7" formatCode="0.0">
                  <c:v>77.2</c:v>
                </c:pt>
                <c:pt idx="8" formatCode="0.0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B2D3-4437-BB59-6439F49ED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324808"/>
        <c:axId val="335322064"/>
      </c:lineChart>
      <c:catAx>
        <c:axId val="33532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="1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322848"/>
        <c:crosses val="autoZero"/>
        <c:auto val="1"/>
        <c:lblAlgn val="ctr"/>
        <c:lblOffset val="100"/>
        <c:noMultiLvlLbl val="0"/>
      </c:catAx>
      <c:valAx>
        <c:axId val="335322848"/>
        <c:scaling>
          <c:orientation val="minMax"/>
          <c:min val="0"/>
        </c:scaling>
        <c:delete val="0"/>
        <c:axPos val="l"/>
        <c:numFmt formatCode="#,##0" sourceLinked="0"/>
        <c:majorTickMark val="in"/>
        <c:minorTickMark val="none"/>
        <c:tickLblPos val="nextTo"/>
        <c:txPr>
          <a:bodyPr/>
          <a:lstStyle/>
          <a:p>
            <a:pPr>
              <a:defRPr sz="1000"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324416"/>
        <c:crosses val="autoZero"/>
        <c:crossBetween val="between"/>
      </c:valAx>
      <c:valAx>
        <c:axId val="335322064"/>
        <c:scaling>
          <c:orientation val="minMax"/>
          <c:max val="1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Times New Roman" pitchFamily="18" charset="0"/>
                <a:cs typeface="Times New Roman" pitchFamily="18" charset="0"/>
              </a:defRPr>
            </a:pPr>
            <a:endParaRPr lang="hu-HU"/>
          </a:p>
        </c:txPr>
        <c:crossAx val="335324808"/>
        <c:crosses val="max"/>
        <c:crossBetween val="between"/>
      </c:valAx>
      <c:catAx>
        <c:axId val="335324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532206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9269292594005"/>
          <c:y val="2.837435320584927E-2"/>
          <c:w val="0.68983692437648669"/>
          <c:h val="0.14516781784937957"/>
        </c:manualLayout>
      </c:layout>
      <c:overlay val="0"/>
      <c:txPr>
        <a:bodyPr/>
        <a:lstStyle/>
        <a:p>
          <a:pPr>
            <a:defRPr sz="1000">
              <a:latin typeface="Times New Roman" pitchFamily="18" charset="0"/>
              <a:cs typeface="Times New Roman" pitchFamily="18" charset="0"/>
            </a:defRPr>
          </a:pPr>
          <a:endParaRPr lang="hu-HU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>
      <a:solidFill>
        <a:schemeClr val="bg1">
          <a:lumMod val="65000"/>
        </a:schemeClr>
      </a:solidFill>
    </a:ln>
  </c:spPr>
  <c:printSettings>
    <c:headerFooter>
      <c:oddHeader>&amp;J1. számú melléklet</c:oddHeader>
      <c:oddFooter>&amp;BORFK RFI REO</c:oddFooter>
    </c:headerFooter>
    <c:pageMargins b="0.35433070866141736" l="0.31496062992125995" r="0.31496062992125995" t="0.35433070866141736" header="0.11811023622047247" footer="0.11811023622047247"/>
    <c:pageSetup paperSize="9" orientation="portrait"/>
  </c:printSettings>
  <c:userShapes r:id="rId3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18" Type="http://schemas.openxmlformats.org/officeDocument/2006/relationships/chart" Target="../charts/chart50.xml"/><Relationship Id="rId3" Type="http://schemas.openxmlformats.org/officeDocument/2006/relationships/chart" Target="../charts/chart35.xml"/><Relationship Id="rId21" Type="http://schemas.openxmlformats.org/officeDocument/2006/relationships/chart" Target="../charts/chart53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17" Type="http://schemas.openxmlformats.org/officeDocument/2006/relationships/chart" Target="../charts/chart49.xml"/><Relationship Id="rId2" Type="http://schemas.openxmlformats.org/officeDocument/2006/relationships/chart" Target="../charts/chart34.xml"/><Relationship Id="rId16" Type="http://schemas.openxmlformats.org/officeDocument/2006/relationships/chart" Target="../charts/chart48.xml"/><Relationship Id="rId20" Type="http://schemas.openxmlformats.org/officeDocument/2006/relationships/chart" Target="../charts/chart52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10" Type="http://schemas.openxmlformats.org/officeDocument/2006/relationships/chart" Target="../charts/chart42.xml"/><Relationship Id="rId19" Type="http://schemas.openxmlformats.org/officeDocument/2006/relationships/chart" Target="../charts/chart51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Relationship Id="rId22" Type="http://schemas.openxmlformats.org/officeDocument/2006/relationships/chart" Target="../charts/chart54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chart" Target="../charts/chart67.xml"/><Relationship Id="rId18" Type="http://schemas.openxmlformats.org/officeDocument/2006/relationships/chart" Target="../charts/chart72.xml"/><Relationship Id="rId26" Type="http://schemas.openxmlformats.org/officeDocument/2006/relationships/chart" Target="../charts/chart80.xml"/><Relationship Id="rId3" Type="http://schemas.openxmlformats.org/officeDocument/2006/relationships/chart" Target="../charts/chart57.xml"/><Relationship Id="rId21" Type="http://schemas.openxmlformats.org/officeDocument/2006/relationships/chart" Target="../charts/chart75.xml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17" Type="http://schemas.openxmlformats.org/officeDocument/2006/relationships/chart" Target="../charts/chart71.xml"/><Relationship Id="rId25" Type="http://schemas.openxmlformats.org/officeDocument/2006/relationships/chart" Target="../charts/chart79.xml"/><Relationship Id="rId2" Type="http://schemas.openxmlformats.org/officeDocument/2006/relationships/chart" Target="../charts/chart56.xml"/><Relationship Id="rId16" Type="http://schemas.openxmlformats.org/officeDocument/2006/relationships/chart" Target="../charts/chart70.xml"/><Relationship Id="rId20" Type="http://schemas.openxmlformats.org/officeDocument/2006/relationships/chart" Target="../charts/chart74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11" Type="http://schemas.openxmlformats.org/officeDocument/2006/relationships/chart" Target="../charts/chart65.xml"/><Relationship Id="rId24" Type="http://schemas.openxmlformats.org/officeDocument/2006/relationships/chart" Target="../charts/chart78.xml"/><Relationship Id="rId5" Type="http://schemas.openxmlformats.org/officeDocument/2006/relationships/chart" Target="../charts/chart59.xml"/><Relationship Id="rId15" Type="http://schemas.openxmlformats.org/officeDocument/2006/relationships/chart" Target="../charts/chart69.xml"/><Relationship Id="rId23" Type="http://schemas.openxmlformats.org/officeDocument/2006/relationships/chart" Target="../charts/chart77.xml"/><Relationship Id="rId10" Type="http://schemas.openxmlformats.org/officeDocument/2006/relationships/chart" Target="../charts/chart64.xml"/><Relationship Id="rId19" Type="http://schemas.openxmlformats.org/officeDocument/2006/relationships/chart" Target="../charts/chart73.xml"/><Relationship Id="rId4" Type="http://schemas.openxmlformats.org/officeDocument/2006/relationships/chart" Target="../charts/chart58.xml"/><Relationship Id="rId9" Type="http://schemas.openxmlformats.org/officeDocument/2006/relationships/chart" Target="../charts/chart63.xml"/><Relationship Id="rId14" Type="http://schemas.openxmlformats.org/officeDocument/2006/relationships/chart" Target="../charts/chart68.xml"/><Relationship Id="rId22" Type="http://schemas.openxmlformats.org/officeDocument/2006/relationships/chart" Target="../charts/chart76.xml"/><Relationship Id="rId27" Type="http://schemas.openxmlformats.org/officeDocument/2006/relationships/chart" Target="../charts/chart81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5.xml"/><Relationship Id="rId1" Type="http://schemas.openxmlformats.org/officeDocument/2006/relationships/chart" Target="../charts/chart84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123826</xdr:colOff>
      <xdr:row>47</xdr:row>
      <xdr:rowOff>85725</xdr:rowOff>
    </xdr:from>
    <xdr:to>
      <xdr:col>15</xdr:col>
      <xdr:colOff>504826</xdr:colOff>
      <xdr:row>64</xdr:row>
      <xdr:rowOff>180975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29766</xdr:colOff>
      <xdr:row>69</xdr:row>
      <xdr:rowOff>101204</xdr:rowOff>
    </xdr:from>
    <xdr:to>
      <xdr:col>7</xdr:col>
      <xdr:colOff>410766</xdr:colOff>
      <xdr:row>87</xdr:row>
      <xdr:rowOff>5954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70</xdr:row>
      <xdr:rowOff>0</xdr:rowOff>
    </xdr:from>
    <xdr:to>
      <xdr:col>15</xdr:col>
      <xdr:colOff>514350</xdr:colOff>
      <xdr:row>87</xdr:row>
      <xdr:rowOff>95250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21431</xdr:colOff>
      <xdr:row>92</xdr:row>
      <xdr:rowOff>189309</xdr:rowOff>
    </xdr:from>
    <xdr:to>
      <xdr:col>7</xdr:col>
      <xdr:colOff>402431</xdr:colOff>
      <xdr:row>110</xdr:row>
      <xdr:rowOff>94059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104776</xdr:colOff>
      <xdr:row>93</xdr:row>
      <xdr:rowOff>9525</xdr:rowOff>
    </xdr:from>
    <xdr:to>
      <xdr:col>15</xdr:col>
      <xdr:colOff>485776</xdr:colOff>
      <xdr:row>110</xdr:row>
      <xdr:rowOff>104775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115</xdr:row>
      <xdr:rowOff>0</xdr:rowOff>
    </xdr:from>
    <xdr:to>
      <xdr:col>7</xdr:col>
      <xdr:colOff>457200</xdr:colOff>
      <xdr:row>132</xdr:row>
      <xdr:rowOff>95250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133350</xdr:colOff>
      <xdr:row>115</xdr:row>
      <xdr:rowOff>0</xdr:rowOff>
    </xdr:from>
    <xdr:to>
      <xdr:col>15</xdr:col>
      <xdr:colOff>514350</xdr:colOff>
      <xdr:row>132</xdr:row>
      <xdr:rowOff>95250</xdr:rowOff>
    </xdr:to>
    <xdr:graphicFrame macro="">
      <xdr:nvGraphicFramePr>
        <xdr:cNvPr id="8" name="Diagra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57150</xdr:colOff>
      <xdr:row>138</xdr:row>
      <xdr:rowOff>19050</xdr:rowOff>
    </xdr:from>
    <xdr:to>
      <xdr:col>7</xdr:col>
      <xdr:colOff>438150</xdr:colOff>
      <xdr:row>155</xdr:row>
      <xdr:rowOff>114300</xdr:rowOff>
    </xdr:to>
    <xdr:graphicFrame macro="">
      <xdr:nvGraphicFramePr>
        <xdr:cNvPr id="9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104776</xdr:colOff>
      <xdr:row>138</xdr:row>
      <xdr:rowOff>9525</xdr:rowOff>
    </xdr:from>
    <xdr:to>
      <xdr:col>15</xdr:col>
      <xdr:colOff>485776</xdr:colOff>
      <xdr:row>155</xdr:row>
      <xdr:rowOff>104775</xdr:rowOff>
    </xdr:to>
    <xdr:graphicFrame macro="">
      <xdr:nvGraphicFramePr>
        <xdr:cNvPr id="10" name="Diagra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76200</xdr:colOff>
      <xdr:row>160</xdr:row>
      <xdr:rowOff>19050</xdr:rowOff>
    </xdr:from>
    <xdr:to>
      <xdr:col>7</xdr:col>
      <xdr:colOff>457200</xdr:colOff>
      <xdr:row>177</xdr:row>
      <xdr:rowOff>114300</xdr:rowOff>
    </xdr:to>
    <xdr:graphicFrame macro="">
      <xdr:nvGraphicFramePr>
        <xdr:cNvPr id="11" name="Diagram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133350</xdr:colOff>
      <xdr:row>160</xdr:row>
      <xdr:rowOff>0</xdr:rowOff>
    </xdr:from>
    <xdr:to>
      <xdr:col>15</xdr:col>
      <xdr:colOff>514350</xdr:colOff>
      <xdr:row>177</xdr:row>
      <xdr:rowOff>95250</xdr:rowOff>
    </xdr:to>
    <xdr:graphicFrame macro="">
      <xdr:nvGraphicFramePr>
        <xdr:cNvPr id="12" name="Diagra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80756</xdr:colOff>
      <xdr:row>183</xdr:row>
      <xdr:rowOff>4969</xdr:rowOff>
    </xdr:from>
    <xdr:to>
      <xdr:col>7</xdr:col>
      <xdr:colOff>461756</xdr:colOff>
      <xdr:row>200</xdr:row>
      <xdr:rowOff>100219</xdr:rowOff>
    </xdr:to>
    <xdr:graphicFrame macro="">
      <xdr:nvGraphicFramePr>
        <xdr:cNvPr id="13" name="Diagra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104776</xdr:colOff>
      <xdr:row>183</xdr:row>
      <xdr:rowOff>9525</xdr:rowOff>
    </xdr:from>
    <xdr:to>
      <xdr:col>15</xdr:col>
      <xdr:colOff>485776</xdr:colOff>
      <xdr:row>200</xdr:row>
      <xdr:rowOff>104775</xdr:rowOff>
    </xdr:to>
    <xdr:graphicFrame macro="">
      <xdr:nvGraphicFramePr>
        <xdr:cNvPr id="14" name="Diagra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47625</xdr:colOff>
      <xdr:row>205</xdr:row>
      <xdr:rowOff>28575</xdr:rowOff>
    </xdr:from>
    <xdr:to>
      <xdr:col>7</xdr:col>
      <xdr:colOff>428625</xdr:colOff>
      <xdr:row>222</xdr:row>
      <xdr:rowOff>123825</xdr:rowOff>
    </xdr:to>
    <xdr:graphicFrame macro="">
      <xdr:nvGraphicFramePr>
        <xdr:cNvPr id="15" name="Diagra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133350</xdr:colOff>
      <xdr:row>205</xdr:row>
      <xdr:rowOff>0</xdr:rowOff>
    </xdr:from>
    <xdr:to>
      <xdr:col>15</xdr:col>
      <xdr:colOff>514350</xdr:colOff>
      <xdr:row>222</xdr:row>
      <xdr:rowOff>95250</xdr:rowOff>
    </xdr:to>
    <xdr:graphicFrame macro="">
      <xdr:nvGraphicFramePr>
        <xdr:cNvPr id="16" name="Diagra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66675</xdr:colOff>
      <xdr:row>228</xdr:row>
      <xdr:rowOff>47625</xdr:rowOff>
    </xdr:from>
    <xdr:to>
      <xdr:col>7</xdr:col>
      <xdr:colOff>447675</xdr:colOff>
      <xdr:row>245</xdr:row>
      <xdr:rowOff>142875</xdr:rowOff>
    </xdr:to>
    <xdr:graphicFrame macro="">
      <xdr:nvGraphicFramePr>
        <xdr:cNvPr id="17" name="Diagra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104776</xdr:colOff>
      <xdr:row>228</xdr:row>
      <xdr:rowOff>9525</xdr:rowOff>
    </xdr:from>
    <xdr:to>
      <xdr:col>15</xdr:col>
      <xdr:colOff>485776</xdr:colOff>
      <xdr:row>245</xdr:row>
      <xdr:rowOff>104775</xdr:rowOff>
    </xdr:to>
    <xdr:graphicFrame macro="">
      <xdr:nvGraphicFramePr>
        <xdr:cNvPr id="18" name="Diagra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76200</xdr:colOff>
      <xdr:row>250</xdr:row>
      <xdr:rowOff>38100</xdr:rowOff>
    </xdr:from>
    <xdr:to>
      <xdr:col>15</xdr:col>
      <xdr:colOff>457200</xdr:colOff>
      <xdr:row>267</xdr:row>
      <xdr:rowOff>133350</xdr:rowOff>
    </xdr:to>
    <xdr:graphicFrame macro="">
      <xdr:nvGraphicFramePr>
        <xdr:cNvPr id="19" name="Diagra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133350</xdr:colOff>
      <xdr:row>250</xdr:row>
      <xdr:rowOff>0</xdr:rowOff>
    </xdr:from>
    <xdr:to>
      <xdr:col>7</xdr:col>
      <xdr:colOff>514350</xdr:colOff>
      <xdr:row>267</xdr:row>
      <xdr:rowOff>95250</xdr:rowOff>
    </xdr:to>
    <xdr:graphicFrame macro="">
      <xdr:nvGraphicFramePr>
        <xdr:cNvPr id="20" name="Diagram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66675</xdr:colOff>
      <xdr:row>273</xdr:row>
      <xdr:rowOff>28575</xdr:rowOff>
    </xdr:from>
    <xdr:to>
      <xdr:col>15</xdr:col>
      <xdr:colOff>447675</xdr:colOff>
      <xdr:row>290</xdr:row>
      <xdr:rowOff>123825</xdr:rowOff>
    </xdr:to>
    <xdr:graphicFrame macro="">
      <xdr:nvGraphicFramePr>
        <xdr:cNvPr id="21" name="Diagram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104776</xdr:colOff>
      <xdr:row>273</xdr:row>
      <xdr:rowOff>0</xdr:rowOff>
    </xdr:from>
    <xdr:to>
      <xdr:col>7</xdr:col>
      <xdr:colOff>485776</xdr:colOff>
      <xdr:row>290</xdr:row>
      <xdr:rowOff>95250</xdr:rowOff>
    </xdr:to>
    <xdr:graphicFrame macro="">
      <xdr:nvGraphicFramePr>
        <xdr:cNvPr id="22" name="Diagram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114300</xdr:colOff>
      <xdr:row>4</xdr:row>
      <xdr:rowOff>9525</xdr:rowOff>
    </xdr:from>
    <xdr:to>
      <xdr:col>15</xdr:col>
      <xdr:colOff>495300</xdr:colOff>
      <xdr:row>21</xdr:row>
      <xdr:rowOff>104775</xdr:rowOff>
    </xdr:to>
    <xdr:graphicFrame macro="">
      <xdr:nvGraphicFramePr>
        <xdr:cNvPr id="23" name="Diagram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133350</xdr:colOff>
      <xdr:row>26</xdr:row>
      <xdr:rowOff>19050</xdr:rowOff>
    </xdr:from>
    <xdr:to>
      <xdr:col>7</xdr:col>
      <xdr:colOff>514350</xdr:colOff>
      <xdr:row>43</xdr:row>
      <xdr:rowOff>114300</xdr:rowOff>
    </xdr:to>
    <xdr:graphicFrame macro="">
      <xdr:nvGraphicFramePr>
        <xdr:cNvPr id="24" name="Diagram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133350</xdr:colOff>
      <xdr:row>4</xdr:row>
      <xdr:rowOff>0</xdr:rowOff>
    </xdr:from>
    <xdr:to>
      <xdr:col>7</xdr:col>
      <xdr:colOff>514350</xdr:colOff>
      <xdr:row>21</xdr:row>
      <xdr:rowOff>95250</xdr:rowOff>
    </xdr:to>
    <xdr:graphicFrame macro="">
      <xdr:nvGraphicFramePr>
        <xdr:cNvPr id="25" name="Diagram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81998</xdr:colOff>
      <xdr:row>294</xdr:row>
      <xdr:rowOff>46382</xdr:rowOff>
    </xdr:from>
    <xdr:to>
      <xdr:col>7</xdr:col>
      <xdr:colOff>462998</xdr:colOff>
      <xdr:row>311</xdr:row>
      <xdr:rowOff>141632</xdr:rowOff>
    </xdr:to>
    <xdr:graphicFrame macro="">
      <xdr:nvGraphicFramePr>
        <xdr:cNvPr id="27" name="Diagram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154471</xdr:colOff>
      <xdr:row>294</xdr:row>
      <xdr:rowOff>33131</xdr:rowOff>
    </xdr:from>
    <xdr:to>
      <xdr:col>15</xdr:col>
      <xdr:colOff>535471</xdr:colOff>
      <xdr:row>311</xdr:row>
      <xdr:rowOff>128381</xdr:rowOff>
    </xdr:to>
    <xdr:graphicFrame macro="">
      <xdr:nvGraphicFramePr>
        <xdr:cNvPr id="28" name="Diagram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133350</xdr:colOff>
      <xdr:row>26</xdr:row>
      <xdr:rowOff>19050</xdr:rowOff>
    </xdr:from>
    <xdr:to>
      <xdr:col>15</xdr:col>
      <xdr:colOff>514350</xdr:colOff>
      <xdr:row>43</xdr:row>
      <xdr:rowOff>114300</xdr:rowOff>
    </xdr:to>
    <xdr:graphicFrame macro="">
      <xdr:nvGraphicFramePr>
        <xdr:cNvPr id="29" name="Diagram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106018</xdr:colOff>
      <xdr:row>316</xdr:row>
      <xdr:rowOff>12010</xdr:rowOff>
    </xdr:from>
    <xdr:to>
      <xdr:col>15</xdr:col>
      <xdr:colOff>495300</xdr:colOff>
      <xdr:row>333</xdr:row>
      <xdr:rowOff>126310</xdr:rowOff>
    </xdr:to>
    <xdr:graphicFrame macro="">
      <xdr:nvGraphicFramePr>
        <xdr:cNvPr id="43" name="Diagram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13</xdr:col>
      <xdr:colOff>304165</xdr:colOff>
      <xdr:row>322</xdr:row>
      <xdr:rowOff>161925</xdr:rowOff>
    </xdr:from>
    <xdr:to>
      <xdr:col>13</xdr:col>
      <xdr:colOff>361950</xdr:colOff>
      <xdr:row>331</xdr:row>
      <xdr:rowOff>118877</xdr:rowOff>
    </xdr:to>
    <xdr:sp macro="" textlink="">
      <xdr:nvSpPr>
        <xdr:cNvPr id="44" name="Jobb oldali kapcsos zárójel 43"/>
        <xdr:cNvSpPr/>
      </xdr:nvSpPr>
      <xdr:spPr>
        <a:xfrm>
          <a:off x="8228965" y="62083950"/>
          <a:ext cx="57785" cy="1671452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/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hu-HU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337739</xdr:colOff>
      <xdr:row>324</xdr:row>
      <xdr:rowOff>173149</xdr:rowOff>
    </xdr:from>
    <xdr:to>
      <xdr:col>13</xdr:col>
      <xdr:colOff>561370</xdr:colOff>
      <xdr:row>328</xdr:row>
      <xdr:rowOff>88414</xdr:rowOff>
    </xdr:to>
    <xdr:sp macro="" textlink="">
      <xdr:nvSpPr>
        <xdr:cNvPr id="45" name="Szövegdoboz 1"/>
        <xdr:cNvSpPr txBox="1"/>
      </xdr:nvSpPr>
      <xdr:spPr>
        <a:xfrm rot="16200000">
          <a:off x="8035722" y="62702991"/>
          <a:ext cx="677265" cy="22363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hu-HU" sz="1000" b="1">
              <a:latin typeface="Times New Roman" pitchFamily="18" charset="0"/>
              <a:cs typeface="Times New Roman" pitchFamily="18" charset="0"/>
            </a:rPr>
            <a:t>91 849</a:t>
          </a:r>
        </a:p>
      </xdr:txBody>
    </xdr:sp>
    <xdr:clientData/>
  </xdr:twoCellAnchor>
  <xdr:twoCellAnchor>
    <xdr:from>
      <xdr:col>0</xdr:col>
      <xdr:colOff>41413</xdr:colOff>
      <xdr:row>316</xdr:row>
      <xdr:rowOff>8283</xdr:rowOff>
    </xdr:from>
    <xdr:to>
      <xdr:col>7</xdr:col>
      <xdr:colOff>441462</xdr:colOff>
      <xdr:row>333</xdr:row>
      <xdr:rowOff>122583</xdr:rowOff>
    </xdr:to>
    <xdr:graphicFrame macro="">
      <xdr:nvGraphicFramePr>
        <xdr:cNvPr id="46" name="Diagram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111176</xdr:colOff>
      <xdr:row>337</xdr:row>
      <xdr:rowOff>0</xdr:rowOff>
    </xdr:from>
    <xdr:to>
      <xdr:col>7</xdr:col>
      <xdr:colOff>485775</xdr:colOff>
      <xdr:row>354</xdr:row>
      <xdr:rowOff>134528</xdr:rowOff>
    </xdr:to>
    <xdr:graphicFrame macro="">
      <xdr:nvGraphicFramePr>
        <xdr:cNvPr id="47" name="Diagram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191742</xdr:colOff>
      <xdr:row>343</xdr:row>
      <xdr:rowOff>48455</xdr:rowOff>
    </xdr:from>
    <xdr:to>
      <xdr:col>7</xdr:col>
      <xdr:colOff>262557</xdr:colOff>
      <xdr:row>352</xdr:row>
      <xdr:rowOff>170425</xdr:rowOff>
    </xdr:to>
    <xdr:sp macro="" textlink="">
      <xdr:nvSpPr>
        <xdr:cNvPr id="48" name="Jobb oldali kapcsos zárójel 47"/>
        <xdr:cNvSpPr/>
      </xdr:nvSpPr>
      <xdr:spPr>
        <a:xfrm>
          <a:off x="9335742" y="64473898"/>
          <a:ext cx="70815" cy="1791744"/>
        </a:xfrm>
        <a:prstGeom prst="rightBrac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wrap="square"/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hu-HU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324265</xdr:colOff>
      <xdr:row>347</xdr:row>
      <xdr:rowOff>55907</xdr:rowOff>
    </xdr:from>
    <xdr:to>
      <xdr:col>5</xdr:col>
      <xdr:colOff>523984</xdr:colOff>
      <xdr:row>350</xdr:row>
      <xdr:rowOff>59748</xdr:rowOff>
    </xdr:to>
    <xdr:sp macro="" textlink="">
      <xdr:nvSpPr>
        <xdr:cNvPr id="49" name="Szövegdoboz 1"/>
        <xdr:cNvSpPr txBox="1"/>
      </xdr:nvSpPr>
      <xdr:spPr>
        <a:xfrm rot="16200000">
          <a:off x="8061254" y="66956818"/>
          <a:ext cx="575341" cy="199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hu-HU" sz="1000" b="1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8</xdr:col>
      <xdr:colOff>24848</xdr:colOff>
      <xdr:row>337</xdr:row>
      <xdr:rowOff>49694</xdr:rowOff>
    </xdr:from>
    <xdr:to>
      <xdr:col>15</xdr:col>
      <xdr:colOff>513522</xdr:colOff>
      <xdr:row>354</xdr:row>
      <xdr:rowOff>132521</xdr:rowOff>
    </xdr:to>
    <xdr:graphicFrame macro="">
      <xdr:nvGraphicFramePr>
        <xdr:cNvPr id="56" name="Diagram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91108</xdr:colOff>
      <xdr:row>47</xdr:row>
      <xdr:rowOff>99390</xdr:rowOff>
    </xdr:from>
    <xdr:to>
      <xdr:col>7</xdr:col>
      <xdr:colOff>472109</xdr:colOff>
      <xdr:row>65</xdr:row>
      <xdr:rowOff>4140</xdr:rowOff>
    </xdr:to>
    <xdr:graphicFrame macro="">
      <xdr:nvGraphicFramePr>
        <xdr:cNvPr id="37" name="Diagram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0.00316</cdr:x>
      <cdr:y>0.16866</cdr:y>
    </cdr:from>
    <cdr:to>
      <cdr:x>0.07283</cdr:x>
      <cdr:y>0.25487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14653" y="562282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0.93408</cdr:x>
      <cdr:y>0.15172</cdr:y>
    </cdr:from>
    <cdr:to>
      <cdr:x>0.98736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332216" y="505797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0.00158</cdr:x>
      <cdr:y>0.16427</cdr:y>
    </cdr:from>
    <cdr:to>
      <cdr:x>0.07125</cdr:x>
      <cdr:y>0.25048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7326" y="547628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0.17086</cdr:y>
    </cdr:from>
    <cdr:to>
      <cdr:x>0.06967</cdr:x>
      <cdr:y>0.25707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569609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8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0.93092</cdr:x>
      <cdr:y>0.14952</cdr:y>
    </cdr:from>
    <cdr:to>
      <cdr:x>0.9842</cdr:x>
      <cdr:y>0.22883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317562" y="498470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0.16647</cdr:y>
    </cdr:from>
    <cdr:to>
      <cdr:x>0.06967</cdr:x>
      <cdr:y>0.25268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554955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0.00158</cdr:x>
      <cdr:y>0.16427</cdr:y>
    </cdr:from>
    <cdr:to>
      <cdr:x>0.07125</cdr:x>
      <cdr:y>0.25048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7327" y="547628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  <cdr:relSizeAnchor xmlns:cdr="http://schemas.openxmlformats.org/drawingml/2006/chartDrawing">
    <cdr:from>
      <cdr:x>0.93724</cdr:x>
      <cdr:y>0.15612</cdr:y>
    </cdr:from>
    <cdr:to>
      <cdr:x>0.99052</cdr:x>
      <cdr:y>0.23543</cdr:y>
    </cdr:to>
    <cdr:sp macro="" textlink="">
      <cdr:nvSpPr>
        <cdr:cNvPr id="6" name="Szövegdoboz 1"/>
        <cdr:cNvSpPr txBox="1"/>
      </cdr:nvSpPr>
      <cdr:spPr>
        <a:xfrm xmlns:a="http://schemas.openxmlformats.org/drawingml/2006/main">
          <a:off x="4346870" y="520451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0.00158</cdr:x>
      <cdr:y>0.16647</cdr:y>
    </cdr:from>
    <cdr:to>
      <cdr:x>0.07125</cdr:x>
      <cdr:y>0.25268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7327" y="554955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  <cdr:relSizeAnchor xmlns:cdr="http://schemas.openxmlformats.org/drawingml/2006/chartDrawing">
    <cdr:from>
      <cdr:x>0.93724</cdr:x>
      <cdr:y>0.15612</cdr:y>
    </cdr:from>
    <cdr:to>
      <cdr:x>0.99052</cdr:x>
      <cdr:y>0.23543</cdr:y>
    </cdr:to>
    <cdr:sp macro="" textlink="">
      <cdr:nvSpPr>
        <cdr:cNvPr id="6" name="Szövegdoboz 1"/>
        <cdr:cNvSpPr txBox="1"/>
      </cdr:nvSpPr>
      <cdr:spPr>
        <a:xfrm xmlns:a="http://schemas.openxmlformats.org/drawingml/2006/main">
          <a:off x="4346870" y="520451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0.92934</cdr:x>
      <cdr:y>0.15172</cdr:y>
    </cdr:from>
    <cdr:to>
      <cdr:x>0.98262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310236" y="505797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540301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 sz="1000">
            <a:latin typeface="Times New Roman" pitchFamily="18" charset="0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0.094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540301"/>
          <a:ext cx="435951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nap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 sz="1000">
            <a:latin typeface="Times New Roman" pitchFamily="18" charset="0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4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 sz="1000">
            <a:latin typeface="Times New Roman" pitchFamily="18" charset="0"/>
            <a:cs typeface="Times New Roman" pitchFamily="18" charset="0"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0.00316</cdr:x>
      <cdr:y>0.16866</cdr:y>
    </cdr:from>
    <cdr:to>
      <cdr:x>0.07283</cdr:x>
      <cdr:y>0.25487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14654" y="562282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0.9477</cdr:x>
      <cdr:y>0.12949</cdr:y>
    </cdr:from>
    <cdr:to>
      <cdr:x>0.99599</cdr:x>
      <cdr:y>0.17092</cdr:y>
    </cdr:to>
    <cdr:sp macro="" textlink="">
      <cdr:nvSpPr>
        <cdr:cNvPr id="4" name="Szövegdoboz 3"/>
        <cdr:cNvSpPr txBox="1"/>
      </cdr:nvSpPr>
      <cdr:spPr>
        <a:xfrm xmlns:a="http://schemas.openxmlformats.org/drawingml/2006/main">
          <a:off x="6429374" y="555626"/>
          <a:ext cx="327635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 sz="900"/>
        </a:p>
      </cdr:txBody>
    </cdr:sp>
  </cdr:relSizeAnchor>
  <cdr:relSizeAnchor xmlns:cdr="http://schemas.openxmlformats.org/drawingml/2006/chartDrawing">
    <cdr:from>
      <cdr:x>0.20224</cdr:x>
      <cdr:y>0.27199</cdr:y>
    </cdr:from>
    <cdr:to>
      <cdr:x>0.21861</cdr:x>
      <cdr:y>0.8784</cdr:y>
    </cdr:to>
    <cdr:sp macro="" textlink="">
      <cdr:nvSpPr>
        <cdr:cNvPr id="5" name="Jobb oldali kapcsos zárójel 4"/>
        <cdr:cNvSpPr/>
      </cdr:nvSpPr>
      <cdr:spPr>
        <a:xfrm xmlns:a="http://schemas.openxmlformats.org/drawingml/2006/main">
          <a:off x="941729" y="911916"/>
          <a:ext cx="76202" cy="2033182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0.30356</cdr:x>
      <cdr:y>0.32312</cdr:y>
    </cdr:from>
    <cdr:to>
      <cdr:x>0.31679</cdr:x>
      <cdr:y>0.88198</cdr:y>
    </cdr:to>
    <cdr:sp macro="" textlink="">
      <cdr:nvSpPr>
        <cdr:cNvPr id="6" name="Jobb oldali kapcsos zárójel 5"/>
        <cdr:cNvSpPr/>
      </cdr:nvSpPr>
      <cdr:spPr>
        <a:xfrm xmlns:a="http://schemas.openxmlformats.org/drawingml/2006/main">
          <a:off x="1413522" y="1083366"/>
          <a:ext cx="61610" cy="1873738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0.40099</cdr:x>
      <cdr:y>0.37994</cdr:y>
    </cdr:from>
    <cdr:to>
      <cdr:x>0.41498</cdr:x>
      <cdr:y>0.88223</cdr:y>
    </cdr:to>
    <cdr:sp macro="" textlink="">
      <cdr:nvSpPr>
        <cdr:cNvPr id="7" name="Jobb oldali kapcsos zárójel 6"/>
        <cdr:cNvSpPr/>
      </cdr:nvSpPr>
      <cdr:spPr>
        <a:xfrm xmlns:a="http://schemas.openxmlformats.org/drawingml/2006/main">
          <a:off x="1867202" y="1273866"/>
          <a:ext cx="65129" cy="1684076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0.49991</cdr:x>
      <cdr:y>0.36574</cdr:y>
    </cdr:from>
    <cdr:to>
      <cdr:x>0.51112</cdr:x>
      <cdr:y>0.88257</cdr:y>
    </cdr:to>
    <cdr:sp macro="" textlink="">
      <cdr:nvSpPr>
        <cdr:cNvPr id="8" name="Jobb oldali kapcsos zárójel 7"/>
        <cdr:cNvSpPr/>
      </cdr:nvSpPr>
      <cdr:spPr>
        <a:xfrm xmlns:a="http://schemas.openxmlformats.org/drawingml/2006/main">
          <a:off x="2327822" y="1226240"/>
          <a:ext cx="52185" cy="1732841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0.59758</cdr:x>
      <cdr:y>0.36858</cdr:y>
    </cdr:from>
    <cdr:to>
      <cdr:x>0.6093</cdr:x>
      <cdr:y>0.88419</cdr:y>
    </cdr:to>
    <cdr:sp macro="" textlink="">
      <cdr:nvSpPr>
        <cdr:cNvPr id="9" name="Jobb oldali kapcsos zárójel 8"/>
        <cdr:cNvSpPr/>
      </cdr:nvSpPr>
      <cdr:spPr>
        <a:xfrm xmlns:a="http://schemas.openxmlformats.org/drawingml/2006/main">
          <a:off x="2782621" y="1235765"/>
          <a:ext cx="54586" cy="1728747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0.3622</cdr:x>
      <cdr:y>0.21754</cdr:y>
    </cdr:from>
    <cdr:to>
      <cdr:x>0.49606</cdr:x>
      <cdr:y>0.26193</cdr:y>
    </cdr:to>
    <cdr:sp macro="" textlink="">
      <cdr:nvSpPr>
        <cdr:cNvPr id="10" name="Szövegdoboz 9"/>
        <cdr:cNvSpPr txBox="1"/>
      </cdr:nvSpPr>
      <cdr:spPr>
        <a:xfrm xmlns:a="http://schemas.openxmlformats.org/drawingml/2006/main">
          <a:off x="2190750" y="933450"/>
          <a:ext cx="80962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 sz="1100"/>
        </a:p>
      </cdr:txBody>
    </cdr:sp>
  </cdr:relSizeAnchor>
  <cdr:relSizeAnchor xmlns:cdr="http://schemas.openxmlformats.org/drawingml/2006/chartDrawing">
    <cdr:from>
      <cdr:x>0.21451</cdr:x>
      <cdr:y>0.48074</cdr:y>
    </cdr:from>
    <cdr:to>
      <cdr:x>0.24297</cdr:x>
      <cdr:y>0.66784</cdr:y>
    </cdr:to>
    <cdr:sp macro="" textlink="">
      <cdr:nvSpPr>
        <cdr:cNvPr id="11" name="Szövegdoboz 10"/>
        <cdr:cNvSpPr txBox="1"/>
      </cdr:nvSpPr>
      <cdr:spPr>
        <a:xfrm xmlns:a="http://schemas.openxmlformats.org/drawingml/2006/main" rot="16200000">
          <a:off x="759370" y="1810693"/>
          <a:ext cx="611502" cy="1325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112 507</a:t>
          </a:r>
        </a:p>
      </cdr:txBody>
    </cdr:sp>
  </cdr:relSizeAnchor>
  <cdr:relSizeAnchor xmlns:cdr="http://schemas.openxmlformats.org/drawingml/2006/chartDrawing">
    <cdr:from>
      <cdr:x>0.50409</cdr:x>
      <cdr:y>0.51742</cdr:y>
    </cdr:from>
    <cdr:to>
      <cdr:x>0.53504</cdr:x>
      <cdr:y>0.70996</cdr:y>
    </cdr:to>
    <cdr:sp macro="" textlink="">
      <cdr:nvSpPr>
        <cdr:cNvPr id="12" name="Szövegdoboz 1"/>
        <cdr:cNvSpPr txBox="1"/>
      </cdr:nvSpPr>
      <cdr:spPr>
        <a:xfrm xmlns:a="http://schemas.openxmlformats.org/drawingml/2006/main" rot="16200000">
          <a:off x="2104724" y="1933687"/>
          <a:ext cx="629268" cy="1441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96 107</a:t>
          </a:r>
        </a:p>
      </cdr:txBody>
    </cdr:sp>
  </cdr:relSizeAnchor>
  <cdr:relSizeAnchor xmlns:cdr="http://schemas.openxmlformats.org/drawingml/2006/chartDrawing">
    <cdr:from>
      <cdr:x>0.40827</cdr:x>
      <cdr:y>0.50275</cdr:y>
    </cdr:from>
    <cdr:to>
      <cdr:x>0.43976</cdr:x>
      <cdr:y>0.70475</cdr:y>
    </cdr:to>
    <cdr:sp macro="" textlink="">
      <cdr:nvSpPr>
        <cdr:cNvPr id="13" name="Szövegdoboz 1"/>
        <cdr:cNvSpPr txBox="1"/>
      </cdr:nvSpPr>
      <cdr:spPr>
        <a:xfrm xmlns:a="http://schemas.openxmlformats.org/drawingml/2006/main" rot="16200000">
          <a:off x="1635787" y="1950936"/>
          <a:ext cx="677266" cy="1466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93 975</a:t>
          </a:r>
        </a:p>
      </cdr:txBody>
    </cdr:sp>
  </cdr:relSizeAnchor>
  <cdr:relSizeAnchor xmlns:cdr="http://schemas.openxmlformats.org/drawingml/2006/chartDrawing">
    <cdr:from>
      <cdr:x>0.3096</cdr:x>
      <cdr:y>0.49093</cdr:y>
    </cdr:from>
    <cdr:to>
      <cdr:x>0.3411</cdr:x>
      <cdr:y>0.69293</cdr:y>
    </cdr:to>
    <cdr:sp macro="" textlink="">
      <cdr:nvSpPr>
        <cdr:cNvPr id="14" name="Szövegdoboz 1"/>
        <cdr:cNvSpPr txBox="1"/>
      </cdr:nvSpPr>
      <cdr:spPr>
        <a:xfrm xmlns:a="http://schemas.openxmlformats.org/drawingml/2006/main" rot="16200000">
          <a:off x="1176355" y="1911280"/>
          <a:ext cx="677266" cy="1466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103 931</a:t>
          </a:r>
        </a:p>
      </cdr:txBody>
    </cdr:sp>
  </cdr:relSizeAnchor>
  <cdr:relSizeAnchor xmlns:cdr="http://schemas.openxmlformats.org/drawingml/2006/chartDrawing">
    <cdr:from>
      <cdr:x>0.60139</cdr:x>
      <cdr:y>0.53146</cdr:y>
    </cdr:from>
    <cdr:to>
      <cdr:x>0.64397</cdr:x>
      <cdr:y>0.70306</cdr:y>
    </cdr:to>
    <cdr:sp macro="" textlink="">
      <cdr:nvSpPr>
        <cdr:cNvPr id="15" name="Szövegdoboz 1"/>
        <cdr:cNvSpPr txBox="1"/>
      </cdr:nvSpPr>
      <cdr:spPr>
        <a:xfrm xmlns:a="http://schemas.openxmlformats.org/drawingml/2006/main" rot="16200000">
          <a:off x="2619081" y="1918254"/>
          <a:ext cx="560843" cy="198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96 317</a:t>
          </a:r>
        </a:p>
      </cdr:txBody>
    </cdr:sp>
  </cdr:relSizeAnchor>
  <cdr:relSizeAnchor xmlns:cdr="http://schemas.openxmlformats.org/drawingml/2006/chartDrawing">
    <cdr:from>
      <cdr:x>0.79218</cdr:x>
      <cdr:y>0.39415</cdr:y>
    </cdr:from>
    <cdr:to>
      <cdr:x>0.81181</cdr:x>
      <cdr:y>0.88574</cdr:y>
    </cdr:to>
    <cdr:sp macro="" textlink="">
      <cdr:nvSpPr>
        <cdr:cNvPr id="16" name="Jobb oldali kapcsos zárójel 15"/>
        <cdr:cNvSpPr/>
      </cdr:nvSpPr>
      <cdr:spPr>
        <a:xfrm xmlns:a="http://schemas.openxmlformats.org/drawingml/2006/main">
          <a:off x="3688772" y="1321490"/>
          <a:ext cx="91410" cy="1648219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0.50968</cdr:y>
    </cdr:from>
    <cdr:to>
      <cdr:x>0.85064</cdr:x>
      <cdr:y>0.71168</cdr:y>
    </cdr:to>
    <cdr:sp macro="" textlink="">
      <cdr:nvSpPr>
        <cdr:cNvPr id="17" name="Szövegdoboz 1"/>
        <cdr:cNvSpPr txBox="1"/>
      </cdr:nvSpPr>
      <cdr:spPr>
        <a:xfrm xmlns:a="http://schemas.openxmlformats.org/drawingml/2006/main" rot="16200000">
          <a:off x="3511327" y="1936492"/>
          <a:ext cx="677266" cy="2220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90 746</a:t>
          </a:r>
        </a:p>
      </cdr:txBody>
    </cdr:sp>
  </cdr:relSizeAnchor>
  <cdr:relSizeAnchor xmlns:cdr="http://schemas.openxmlformats.org/drawingml/2006/chartDrawing">
    <cdr:from>
      <cdr:x>0.08013</cdr:x>
      <cdr:y>0.15938</cdr:y>
    </cdr:from>
    <cdr:to>
      <cdr:x>0.14952</cdr:x>
      <cdr:y>0.2451</cdr:y>
    </cdr:to>
    <cdr:sp macro="" textlink="">
      <cdr:nvSpPr>
        <cdr:cNvPr id="18" name="Szövegdoboz 1"/>
        <cdr:cNvSpPr txBox="1"/>
      </cdr:nvSpPr>
      <cdr:spPr>
        <a:xfrm xmlns:a="http://schemas.openxmlformats.org/drawingml/2006/main">
          <a:off x="373184" y="534377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  <cdr:relSizeAnchor xmlns:cdr="http://schemas.openxmlformats.org/drawingml/2006/chartDrawing">
    <cdr:from>
      <cdr:x>0.88918</cdr:x>
      <cdr:y>0.43108</cdr:y>
    </cdr:from>
    <cdr:to>
      <cdr:x>0.91</cdr:x>
      <cdr:y>0.88157</cdr:y>
    </cdr:to>
    <cdr:sp macro="" textlink="">
      <cdr:nvSpPr>
        <cdr:cNvPr id="19" name="Jobb oldali kapcsos zárójel 18"/>
        <cdr:cNvSpPr/>
      </cdr:nvSpPr>
      <cdr:spPr>
        <a:xfrm xmlns:a="http://schemas.openxmlformats.org/drawingml/2006/main">
          <a:off x="4140451" y="1445315"/>
          <a:ext cx="96931" cy="1510413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0.90393</cdr:x>
      <cdr:y>0.52464</cdr:y>
    </cdr:from>
    <cdr:to>
      <cdr:x>0.95161</cdr:x>
      <cdr:y>0.72664</cdr:y>
    </cdr:to>
    <cdr:sp macro="" textlink="">
      <cdr:nvSpPr>
        <cdr:cNvPr id="20" name="Szövegdoboz 1"/>
        <cdr:cNvSpPr txBox="1"/>
      </cdr:nvSpPr>
      <cdr:spPr>
        <a:xfrm xmlns:a="http://schemas.openxmlformats.org/drawingml/2006/main" rot="16200000">
          <a:off x="3981492" y="1986647"/>
          <a:ext cx="677266" cy="2220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84 334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0.93092</cdr:x>
      <cdr:y>0.15172</cdr:y>
    </cdr:from>
    <cdr:to>
      <cdr:x>0.9842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317563" y="505797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0.9477</cdr:x>
      <cdr:y>0.12949</cdr:y>
    </cdr:from>
    <cdr:to>
      <cdr:x>0.99599</cdr:x>
      <cdr:y>0.17092</cdr:y>
    </cdr:to>
    <cdr:sp macro="" textlink="">
      <cdr:nvSpPr>
        <cdr:cNvPr id="4" name="Szövegdoboz 3"/>
        <cdr:cNvSpPr txBox="1"/>
      </cdr:nvSpPr>
      <cdr:spPr>
        <a:xfrm xmlns:a="http://schemas.openxmlformats.org/drawingml/2006/main">
          <a:off x="6429374" y="555626"/>
          <a:ext cx="327635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 sz="900"/>
        </a:p>
      </cdr:txBody>
    </cdr:sp>
  </cdr:relSizeAnchor>
  <cdr:relSizeAnchor xmlns:cdr="http://schemas.openxmlformats.org/drawingml/2006/chartDrawing">
    <cdr:from>
      <cdr:x>0.20089</cdr:x>
      <cdr:y>0.36117</cdr:y>
    </cdr:from>
    <cdr:to>
      <cdr:x>0.22378</cdr:x>
      <cdr:y>0.8853</cdr:y>
    </cdr:to>
    <cdr:sp macro="" textlink="">
      <cdr:nvSpPr>
        <cdr:cNvPr id="5" name="Jobb oldali kapcsos zárójel 4"/>
        <cdr:cNvSpPr/>
      </cdr:nvSpPr>
      <cdr:spPr>
        <a:xfrm xmlns:a="http://schemas.openxmlformats.org/drawingml/2006/main">
          <a:off x="937604" y="1210917"/>
          <a:ext cx="106833" cy="1757317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0.29987</cdr:x>
      <cdr:y>0.32992</cdr:y>
    </cdr:from>
    <cdr:to>
      <cdr:x>0.32174</cdr:x>
      <cdr:y>0.88604</cdr:y>
    </cdr:to>
    <cdr:sp macro="" textlink="">
      <cdr:nvSpPr>
        <cdr:cNvPr id="6" name="Jobb oldali kapcsos zárójel 5"/>
        <cdr:cNvSpPr/>
      </cdr:nvSpPr>
      <cdr:spPr>
        <a:xfrm xmlns:a="http://schemas.openxmlformats.org/drawingml/2006/main">
          <a:off x="1399568" y="1106142"/>
          <a:ext cx="102069" cy="1864573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0.39831</cdr:x>
      <cdr:y>0.29867</cdr:y>
    </cdr:from>
    <cdr:to>
      <cdr:x>0.4197</cdr:x>
      <cdr:y>0.88629</cdr:y>
    </cdr:to>
    <cdr:sp macro="" textlink="">
      <cdr:nvSpPr>
        <cdr:cNvPr id="7" name="Jobb oldali kapcsos zárójel 6"/>
        <cdr:cNvSpPr/>
      </cdr:nvSpPr>
      <cdr:spPr>
        <a:xfrm xmlns:a="http://schemas.openxmlformats.org/drawingml/2006/main">
          <a:off x="1859012" y="1001368"/>
          <a:ext cx="99825" cy="1970186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0.49517</cdr:x>
      <cdr:y>0.35548</cdr:y>
    </cdr:from>
    <cdr:to>
      <cdr:x>0.51766</cdr:x>
      <cdr:y>0.88338</cdr:y>
    </cdr:to>
    <cdr:sp macro="" textlink="">
      <cdr:nvSpPr>
        <cdr:cNvPr id="8" name="Jobb oldali kapcsos zárójel 7"/>
        <cdr:cNvSpPr/>
      </cdr:nvSpPr>
      <cdr:spPr>
        <a:xfrm xmlns:a="http://schemas.openxmlformats.org/drawingml/2006/main">
          <a:off x="2311082" y="1191867"/>
          <a:ext cx="104955" cy="1769929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0.59735</cdr:x>
      <cdr:y>0.42082</cdr:y>
    </cdr:from>
    <cdr:to>
      <cdr:x>0.61358</cdr:x>
      <cdr:y>0.88567</cdr:y>
    </cdr:to>
    <cdr:sp macro="" textlink="">
      <cdr:nvSpPr>
        <cdr:cNvPr id="9" name="Jobb oldali kapcsos zárójel 8"/>
        <cdr:cNvSpPr/>
      </cdr:nvSpPr>
      <cdr:spPr>
        <a:xfrm xmlns:a="http://schemas.openxmlformats.org/drawingml/2006/main">
          <a:off x="2787980" y="1410942"/>
          <a:ext cx="75731" cy="1558532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0.22013</cdr:x>
      <cdr:y>0.52424</cdr:y>
    </cdr:from>
    <cdr:to>
      <cdr:x>0.24859</cdr:x>
      <cdr:y>0.71134</cdr:y>
    </cdr:to>
    <cdr:sp macro="" textlink="">
      <cdr:nvSpPr>
        <cdr:cNvPr id="11" name="Szövegdoboz 10"/>
        <cdr:cNvSpPr txBox="1"/>
      </cdr:nvSpPr>
      <cdr:spPr>
        <a:xfrm xmlns:a="http://schemas.openxmlformats.org/drawingml/2006/main" rot="16200000">
          <a:off x="780166" y="2004906"/>
          <a:ext cx="627309" cy="1328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245 677</a:t>
          </a:r>
        </a:p>
      </cdr:txBody>
    </cdr:sp>
  </cdr:relSizeAnchor>
  <cdr:relSizeAnchor xmlns:cdr="http://schemas.openxmlformats.org/drawingml/2006/chartDrawing">
    <cdr:from>
      <cdr:x>0.50763</cdr:x>
      <cdr:y>0.51772</cdr:y>
    </cdr:from>
    <cdr:to>
      <cdr:x>0.55227</cdr:x>
      <cdr:y>0.7103</cdr:y>
    </cdr:to>
    <cdr:sp macro="" textlink="">
      <cdr:nvSpPr>
        <cdr:cNvPr id="12" name="Szövegdoboz 1"/>
        <cdr:cNvSpPr txBox="1"/>
      </cdr:nvSpPr>
      <cdr:spPr>
        <a:xfrm xmlns:a="http://schemas.openxmlformats.org/drawingml/2006/main" rot="16200000">
          <a:off x="2150587" y="1954477"/>
          <a:ext cx="645682" cy="2083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245 668</a:t>
          </a:r>
        </a:p>
      </cdr:txBody>
    </cdr:sp>
  </cdr:relSizeAnchor>
  <cdr:relSizeAnchor xmlns:cdr="http://schemas.openxmlformats.org/drawingml/2006/chartDrawing">
    <cdr:from>
      <cdr:x>0.4064</cdr:x>
      <cdr:y>0.48853</cdr:y>
    </cdr:from>
    <cdr:to>
      <cdr:x>0.43789</cdr:x>
      <cdr:y>0.69053</cdr:y>
    </cdr:to>
    <cdr:sp macro="" textlink="">
      <cdr:nvSpPr>
        <cdr:cNvPr id="13" name="Szövegdoboz 1"/>
        <cdr:cNvSpPr txBox="1"/>
      </cdr:nvSpPr>
      <cdr:spPr>
        <a:xfrm xmlns:a="http://schemas.openxmlformats.org/drawingml/2006/main" rot="16200000">
          <a:off x="1631634" y="1903096"/>
          <a:ext cx="677266" cy="1469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272</a:t>
          </a:r>
          <a:r>
            <a:rPr lang="hu-HU" sz="1000" b="1" baseline="0">
              <a:latin typeface="Times New Roman" pitchFamily="18" charset="0"/>
              <a:cs typeface="Times New Roman" pitchFamily="18" charset="0"/>
            </a:rPr>
            <a:t> 431</a:t>
          </a:r>
          <a:endParaRPr lang="hu-HU" sz="1000" b="1">
            <a:latin typeface="Times New Roman" pitchFamily="18" charset="0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0.3083</cdr:x>
      <cdr:y>0.49972</cdr:y>
    </cdr:from>
    <cdr:to>
      <cdr:x>0.3398</cdr:x>
      <cdr:y>0.70172</cdr:y>
    </cdr:to>
    <cdr:sp macro="" textlink="">
      <cdr:nvSpPr>
        <cdr:cNvPr id="14" name="Szövegdoboz 1"/>
        <cdr:cNvSpPr txBox="1"/>
      </cdr:nvSpPr>
      <cdr:spPr>
        <a:xfrm xmlns:a="http://schemas.openxmlformats.org/drawingml/2006/main" rot="16200000">
          <a:off x="1173798" y="1940590"/>
          <a:ext cx="677266" cy="1470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259 277</a:t>
          </a:r>
        </a:p>
      </cdr:txBody>
    </cdr:sp>
  </cdr:relSizeAnchor>
  <cdr:relSizeAnchor xmlns:cdr="http://schemas.openxmlformats.org/drawingml/2006/chartDrawing">
    <cdr:from>
      <cdr:x>0.59846</cdr:x>
      <cdr:y>0.5251</cdr:y>
    </cdr:from>
    <cdr:to>
      <cdr:x>0.64837</cdr:x>
      <cdr:y>0.74535</cdr:y>
    </cdr:to>
    <cdr:sp macro="" textlink="">
      <cdr:nvSpPr>
        <cdr:cNvPr id="15" name="Szövegdoboz 1"/>
        <cdr:cNvSpPr txBox="1"/>
      </cdr:nvSpPr>
      <cdr:spPr>
        <a:xfrm xmlns:a="http://schemas.openxmlformats.org/drawingml/2006/main" rot="16200000">
          <a:off x="2540413" y="2013320"/>
          <a:ext cx="738455" cy="232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214 537</a:t>
          </a:r>
        </a:p>
      </cdr:txBody>
    </cdr:sp>
  </cdr:relSizeAnchor>
  <cdr:relSizeAnchor xmlns:cdr="http://schemas.openxmlformats.org/drawingml/2006/chartDrawing">
    <cdr:from>
      <cdr:x>0.79552</cdr:x>
      <cdr:y>0.54582</cdr:y>
    </cdr:from>
    <cdr:to>
      <cdr:x>0.80949</cdr:x>
      <cdr:y>0.88464</cdr:y>
    </cdr:to>
    <cdr:sp macro="" textlink="">
      <cdr:nvSpPr>
        <cdr:cNvPr id="16" name="Jobb oldali kapcsos zárójel 15"/>
        <cdr:cNvSpPr/>
      </cdr:nvSpPr>
      <cdr:spPr>
        <a:xfrm xmlns:a="http://schemas.openxmlformats.org/drawingml/2006/main">
          <a:off x="3712890" y="1830042"/>
          <a:ext cx="65222" cy="1135979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0.79544</cdr:x>
      <cdr:y>0.60062</cdr:y>
    </cdr:from>
    <cdr:to>
      <cdr:x>0.84312</cdr:x>
      <cdr:y>0.80262</cdr:y>
    </cdr:to>
    <cdr:sp macro="" textlink="">
      <cdr:nvSpPr>
        <cdr:cNvPr id="17" name="Szövegdoboz 1"/>
        <cdr:cNvSpPr txBox="1"/>
      </cdr:nvSpPr>
      <cdr:spPr>
        <a:xfrm xmlns:a="http://schemas.openxmlformats.org/drawingml/2006/main" rot="16200000">
          <a:off x="3485156" y="2241136"/>
          <a:ext cx="677266" cy="2225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156 753</a:t>
          </a:r>
        </a:p>
      </cdr:txBody>
    </cdr:sp>
  </cdr:relSizeAnchor>
  <cdr:relSizeAnchor xmlns:cdr="http://schemas.openxmlformats.org/drawingml/2006/chartDrawing">
    <cdr:from>
      <cdr:x>0.69606</cdr:x>
      <cdr:y>0.49185</cdr:y>
    </cdr:from>
    <cdr:to>
      <cdr:x>0.71358</cdr:x>
      <cdr:y>0.88509</cdr:y>
    </cdr:to>
    <cdr:sp macro="" textlink="">
      <cdr:nvSpPr>
        <cdr:cNvPr id="18" name="Jobb oldali kapcsos zárójel 17"/>
        <cdr:cNvSpPr/>
      </cdr:nvSpPr>
      <cdr:spPr>
        <a:xfrm xmlns:a="http://schemas.openxmlformats.org/drawingml/2006/main">
          <a:off x="3248685" y="1649067"/>
          <a:ext cx="81752" cy="1318463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0.69707</cdr:x>
      <cdr:y>0.58914</cdr:y>
    </cdr:from>
    <cdr:to>
      <cdr:x>0.74171</cdr:x>
      <cdr:y>0.78172</cdr:y>
    </cdr:to>
    <cdr:sp macro="" textlink="">
      <cdr:nvSpPr>
        <cdr:cNvPr id="19" name="Szövegdoboz 1"/>
        <cdr:cNvSpPr txBox="1"/>
      </cdr:nvSpPr>
      <cdr:spPr>
        <a:xfrm xmlns:a="http://schemas.openxmlformats.org/drawingml/2006/main" rot="16200000">
          <a:off x="3034739" y="2193949"/>
          <a:ext cx="645682" cy="2083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183 402</a:t>
          </a:r>
        </a:p>
      </cdr:txBody>
    </cdr:sp>
  </cdr:relSizeAnchor>
  <cdr:relSizeAnchor xmlns:cdr="http://schemas.openxmlformats.org/drawingml/2006/chartDrawing">
    <cdr:from>
      <cdr:x>0.08485</cdr:x>
      <cdr:y>0.1572</cdr:y>
    </cdr:from>
    <cdr:to>
      <cdr:x>0.15424</cdr:x>
      <cdr:y>0.24292</cdr:y>
    </cdr:to>
    <cdr:sp macro="" textlink="">
      <cdr:nvSpPr>
        <cdr:cNvPr id="20" name="Szövegdoboz 1"/>
        <cdr:cNvSpPr txBox="1"/>
      </cdr:nvSpPr>
      <cdr:spPr>
        <a:xfrm xmlns:a="http://schemas.openxmlformats.org/drawingml/2006/main">
          <a:off x="395166" y="527050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  <cdr:relSizeAnchor xmlns:cdr="http://schemas.openxmlformats.org/drawingml/2006/chartDrawing">
    <cdr:from>
      <cdr:x>0.89281</cdr:x>
      <cdr:y>0.55719</cdr:y>
    </cdr:from>
    <cdr:to>
      <cdr:x>0.90949</cdr:x>
      <cdr:y>0.88467</cdr:y>
    </cdr:to>
    <cdr:sp macro="" textlink="">
      <cdr:nvSpPr>
        <cdr:cNvPr id="21" name="Jobb oldali kapcsos zárójel 20"/>
        <cdr:cNvSpPr/>
      </cdr:nvSpPr>
      <cdr:spPr>
        <a:xfrm xmlns:a="http://schemas.openxmlformats.org/drawingml/2006/main">
          <a:off x="4166967" y="1868142"/>
          <a:ext cx="77870" cy="1097980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0.89795</cdr:x>
      <cdr:y>0.60863</cdr:y>
    </cdr:from>
    <cdr:to>
      <cdr:x>0.94563</cdr:x>
      <cdr:y>0.81063</cdr:y>
    </cdr:to>
    <cdr:sp macro="" textlink="">
      <cdr:nvSpPr>
        <cdr:cNvPr id="22" name="Szövegdoboz 1"/>
        <cdr:cNvSpPr txBox="1"/>
      </cdr:nvSpPr>
      <cdr:spPr>
        <a:xfrm xmlns:a="http://schemas.openxmlformats.org/drawingml/2006/main" rot="16200000">
          <a:off x="3963603" y="2267972"/>
          <a:ext cx="677265" cy="222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153 355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0.9477</cdr:x>
      <cdr:y>0.12949</cdr:y>
    </cdr:from>
    <cdr:to>
      <cdr:x>0.99599</cdr:x>
      <cdr:y>0.17092</cdr:y>
    </cdr:to>
    <cdr:sp macro="" textlink="">
      <cdr:nvSpPr>
        <cdr:cNvPr id="4" name="Szövegdoboz 3"/>
        <cdr:cNvSpPr txBox="1"/>
      </cdr:nvSpPr>
      <cdr:spPr>
        <a:xfrm xmlns:a="http://schemas.openxmlformats.org/drawingml/2006/main">
          <a:off x="6429374" y="555626"/>
          <a:ext cx="327635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 sz="900"/>
        </a:p>
      </cdr:txBody>
    </cdr:sp>
  </cdr:relSizeAnchor>
  <cdr:relSizeAnchor xmlns:cdr="http://schemas.openxmlformats.org/drawingml/2006/chartDrawing">
    <cdr:from>
      <cdr:x>0.19947</cdr:x>
      <cdr:y>0.56152</cdr:y>
    </cdr:from>
    <cdr:to>
      <cdr:x>0.21534</cdr:x>
      <cdr:y>0.90305</cdr:y>
    </cdr:to>
    <cdr:sp macro="" textlink="">
      <cdr:nvSpPr>
        <cdr:cNvPr id="5" name="Jobb oldali kapcsos zárójel 4"/>
        <cdr:cNvSpPr/>
      </cdr:nvSpPr>
      <cdr:spPr>
        <a:xfrm xmlns:a="http://schemas.openxmlformats.org/drawingml/2006/main">
          <a:off x="925877" y="1846597"/>
          <a:ext cx="73665" cy="1123136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hu-HU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0.30224</cdr:x>
      <cdr:y>0.53854</cdr:y>
    </cdr:from>
    <cdr:to>
      <cdr:x>0.31668</cdr:x>
      <cdr:y>0.8981</cdr:y>
    </cdr:to>
    <cdr:sp macro="" textlink="">
      <cdr:nvSpPr>
        <cdr:cNvPr id="6" name="Jobb oldali kapcsos zárójel 5"/>
        <cdr:cNvSpPr/>
      </cdr:nvSpPr>
      <cdr:spPr>
        <a:xfrm xmlns:a="http://schemas.openxmlformats.org/drawingml/2006/main">
          <a:off x="1402937" y="1771010"/>
          <a:ext cx="67028" cy="1182429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0.40435</cdr:x>
      <cdr:y>0.50868</cdr:y>
    </cdr:from>
    <cdr:to>
      <cdr:x>0.42356</cdr:x>
      <cdr:y>0.90273</cdr:y>
    </cdr:to>
    <cdr:sp macro="" textlink="">
      <cdr:nvSpPr>
        <cdr:cNvPr id="7" name="Jobb oldali kapcsos zárójel 6"/>
        <cdr:cNvSpPr/>
      </cdr:nvSpPr>
      <cdr:spPr>
        <a:xfrm xmlns:a="http://schemas.openxmlformats.org/drawingml/2006/main">
          <a:off x="1876924" y="1672814"/>
          <a:ext cx="89168" cy="1295851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0.51199</cdr:x>
      <cdr:y>0.38685</cdr:y>
    </cdr:from>
    <cdr:to>
      <cdr:x>0.52858</cdr:x>
      <cdr:y>0.90139</cdr:y>
    </cdr:to>
    <cdr:sp macro="" textlink="">
      <cdr:nvSpPr>
        <cdr:cNvPr id="8" name="Jobb oldali kapcsos zárójel 7"/>
        <cdr:cNvSpPr/>
      </cdr:nvSpPr>
      <cdr:spPr>
        <a:xfrm xmlns:a="http://schemas.openxmlformats.org/drawingml/2006/main">
          <a:off x="2376542" y="1272188"/>
          <a:ext cx="77007" cy="1692088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0.62109</cdr:x>
      <cdr:y>0.29004</cdr:y>
    </cdr:from>
    <cdr:to>
      <cdr:x>0.63911</cdr:x>
      <cdr:y>0.89738</cdr:y>
    </cdr:to>
    <cdr:sp macro="" textlink="">
      <cdr:nvSpPr>
        <cdr:cNvPr id="9" name="Jobb oldali kapcsos zárójel 8"/>
        <cdr:cNvSpPr/>
      </cdr:nvSpPr>
      <cdr:spPr>
        <a:xfrm xmlns:a="http://schemas.openxmlformats.org/drawingml/2006/main">
          <a:off x="2882974" y="953807"/>
          <a:ext cx="83645" cy="1997265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0.3622</cdr:x>
      <cdr:y>0.21754</cdr:y>
    </cdr:from>
    <cdr:to>
      <cdr:x>0.49606</cdr:x>
      <cdr:y>0.26193</cdr:y>
    </cdr:to>
    <cdr:sp macro="" textlink="">
      <cdr:nvSpPr>
        <cdr:cNvPr id="10" name="Szövegdoboz 9"/>
        <cdr:cNvSpPr txBox="1"/>
      </cdr:nvSpPr>
      <cdr:spPr>
        <a:xfrm xmlns:a="http://schemas.openxmlformats.org/drawingml/2006/main">
          <a:off x="2190750" y="933450"/>
          <a:ext cx="809625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 sz="1100"/>
        </a:p>
      </cdr:txBody>
    </cdr:sp>
  </cdr:relSizeAnchor>
  <cdr:relSizeAnchor xmlns:cdr="http://schemas.openxmlformats.org/drawingml/2006/chartDrawing">
    <cdr:from>
      <cdr:x>0.21166</cdr:x>
      <cdr:y>0.64666</cdr:y>
    </cdr:from>
    <cdr:to>
      <cdr:x>0.24834</cdr:x>
      <cdr:y>0.79522</cdr:y>
    </cdr:to>
    <cdr:sp macro="" textlink="">
      <cdr:nvSpPr>
        <cdr:cNvPr id="11" name="Szövegdoboz 10"/>
        <cdr:cNvSpPr txBox="1"/>
      </cdr:nvSpPr>
      <cdr:spPr>
        <a:xfrm xmlns:a="http://schemas.openxmlformats.org/drawingml/2006/main" rot="16200000">
          <a:off x="823354" y="2285707"/>
          <a:ext cx="488546" cy="1702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8 511</a:t>
          </a:r>
        </a:p>
      </cdr:txBody>
    </cdr:sp>
  </cdr:relSizeAnchor>
  <cdr:relSizeAnchor xmlns:cdr="http://schemas.openxmlformats.org/drawingml/2006/chartDrawing">
    <cdr:from>
      <cdr:x>0.51674</cdr:x>
      <cdr:y>0.53627</cdr:y>
    </cdr:from>
    <cdr:to>
      <cdr:x>0.55846</cdr:x>
      <cdr:y>0.73947</cdr:y>
    </cdr:to>
    <cdr:sp macro="" textlink="">
      <cdr:nvSpPr>
        <cdr:cNvPr id="12" name="Szövegdoboz 1"/>
        <cdr:cNvSpPr txBox="1"/>
      </cdr:nvSpPr>
      <cdr:spPr>
        <a:xfrm xmlns:a="http://schemas.openxmlformats.org/drawingml/2006/main" rot="16200000">
          <a:off x="2161313" y="2000816"/>
          <a:ext cx="668225" cy="1936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12 568</a:t>
          </a:r>
        </a:p>
      </cdr:txBody>
    </cdr:sp>
  </cdr:relSizeAnchor>
  <cdr:relSizeAnchor xmlns:cdr="http://schemas.openxmlformats.org/drawingml/2006/chartDrawing">
    <cdr:from>
      <cdr:x>0.4112</cdr:x>
      <cdr:y>0.60345</cdr:y>
    </cdr:from>
    <cdr:to>
      <cdr:x>0.45774</cdr:x>
      <cdr:y>0.76972</cdr:y>
    </cdr:to>
    <cdr:sp macro="" textlink="">
      <cdr:nvSpPr>
        <cdr:cNvPr id="13" name="Szövegdoboz 1"/>
        <cdr:cNvSpPr txBox="1"/>
      </cdr:nvSpPr>
      <cdr:spPr>
        <a:xfrm xmlns:a="http://schemas.openxmlformats.org/drawingml/2006/main" rot="16200000">
          <a:off x="1743319" y="2149846"/>
          <a:ext cx="546786" cy="2160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9 712</a:t>
          </a:r>
        </a:p>
      </cdr:txBody>
    </cdr:sp>
  </cdr:relSizeAnchor>
  <cdr:relSizeAnchor xmlns:cdr="http://schemas.openxmlformats.org/drawingml/2006/chartDrawing">
    <cdr:from>
      <cdr:x>0.30933</cdr:x>
      <cdr:y>0.62836</cdr:y>
    </cdr:from>
    <cdr:to>
      <cdr:x>0.35413</cdr:x>
      <cdr:y>0.77588</cdr:y>
    </cdr:to>
    <cdr:sp macro="" textlink="">
      <cdr:nvSpPr>
        <cdr:cNvPr id="14" name="Szövegdoboz 1"/>
        <cdr:cNvSpPr txBox="1"/>
      </cdr:nvSpPr>
      <cdr:spPr>
        <a:xfrm xmlns:a="http://schemas.openxmlformats.org/drawingml/2006/main" rot="16200000">
          <a:off x="1297261" y="2204973"/>
          <a:ext cx="485126" cy="2079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8 934</a:t>
          </a:r>
        </a:p>
      </cdr:txBody>
    </cdr:sp>
  </cdr:relSizeAnchor>
  <cdr:relSizeAnchor xmlns:cdr="http://schemas.openxmlformats.org/drawingml/2006/chartDrawing">
    <cdr:from>
      <cdr:x>0.62892</cdr:x>
      <cdr:y>0.52281</cdr:y>
    </cdr:from>
    <cdr:to>
      <cdr:x>0.6715</cdr:x>
      <cdr:y>0.69441</cdr:y>
    </cdr:to>
    <cdr:sp macro="" textlink="">
      <cdr:nvSpPr>
        <cdr:cNvPr id="15" name="Szövegdoboz 1"/>
        <cdr:cNvSpPr txBox="1"/>
      </cdr:nvSpPr>
      <cdr:spPr>
        <a:xfrm xmlns:a="http://schemas.openxmlformats.org/drawingml/2006/main" rot="16200000">
          <a:off x="2735987" y="1902610"/>
          <a:ext cx="564314" cy="1976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15 027</a:t>
          </a:r>
        </a:p>
      </cdr:txBody>
    </cdr:sp>
  </cdr:relSizeAnchor>
  <cdr:relSizeAnchor xmlns:cdr="http://schemas.openxmlformats.org/drawingml/2006/chartDrawing">
    <cdr:from>
      <cdr:x>0.72435</cdr:x>
      <cdr:y>0.4522</cdr:y>
    </cdr:from>
    <cdr:to>
      <cdr:x>0.74412</cdr:x>
      <cdr:y>0.90038</cdr:y>
    </cdr:to>
    <cdr:sp macro="" textlink="">
      <cdr:nvSpPr>
        <cdr:cNvPr id="16" name="Jobb oldali kapcsos zárójel 15"/>
        <cdr:cNvSpPr/>
      </cdr:nvSpPr>
      <cdr:spPr>
        <a:xfrm xmlns:a="http://schemas.openxmlformats.org/drawingml/2006/main">
          <a:off x="3362309" y="1487077"/>
          <a:ext cx="91768" cy="1473860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0.83435</cdr:x>
      <cdr:y>0.50804</cdr:y>
    </cdr:from>
    <cdr:to>
      <cdr:x>0.87693</cdr:x>
      <cdr:y>0.67964</cdr:y>
    </cdr:to>
    <cdr:sp macro="" textlink="">
      <cdr:nvSpPr>
        <cdr:cNvPr id="17" name="Szövegdoboz 1"/>
        <cdr:cNvSpPr txBox="1"/>
      </cdr:nvSpPr>
      <cdr:spPr>
        <a:xfrm xmlns:a="http://schemas.openxmlformats.org/drawingml/2006/main" rot="16200000">
          <a:off x="3689539" y="1854057"/>
          <a:ext cx="564314" cy="1976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15 095</a:t>
          </a:r>
        </a:p>
      </cdr:txBody>
    </cdr:sp>
  </cdr:relSizeAnchor>
  <cdr:relSizeAnchor xmlns:cdr="http://schemas.openxmlformats.org/drawingml/2006/chartDrawing">
    <cdr:from>
      <cdr:x>0.08485</cdr:x>
      <cdr:y>0.16157</cdr:y>
    </cdr:from>
    <cdr:to>
      <cdr:x>0.15424</cdr:x>
      <cdr:y>0.24729</cdr:y>
    </cdr:to>
    <cdr:sp macro="" textlink="">
      <cdr:nvSpPr>
        <cdr:cNvPr id="18" name="Szövegdoboz 1"/>
        <cdr:cNvSpPr txBox="1"/>
      </cdr:nvSpPr>
      <cdr:spPr>
        <a:xfrm xmlns:a="http://schemas.openxmlformats.org/drawingml/2006/main">
          <a:off x="395166" y="541704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  <cdr:relSizeAnchor xmlns:cdr="http://schemas.openxmlformats.org/drawingml/2006/chartDrawing">
    <cdr:from>
      <cdr:x>0.8264</cdr:x>
      <cdr:y>0.2841</cdr:y>
    </cdr:from>
    <cdr:to>
      <cdr:x>0.85681</cdr:x>
      <cdr:y>0.89991</cdr:y>
    </cdr:to>
    <cdr:sp macro="" textlink="">
      <cdr:nvSpPr>
        <cdr:cNvPr id="19" name="Jobb oldali kapcsos zárójel 18"/>
        <cdr:cNvSpPr/>
      </cdr:nvSpPr>
      <cdr:spPr>
        <a:xfrm xmlns:a="http://schemas.openxmlformats.org/drawingml/2006/main">
          <a:off x="3835970" y="934278"/>
          <a:ext cx="141150" cy="2025113"/>
        </a:xfrm>
        <a:prstGeom xmlns:a="http://schemas.openxmlformats.org/drawingml/2006/main" prst="rightBrac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0.95147</cdr:x>
      <cdr:y>0.5314</cdr:y>
    </cdr:from>
    <cdr:to>
      <cdr:x>0.99405</cdr:x>
      <cdr:y>0.703</cdr:y>
    </cdr:to>
    <cdr:sp macro="" textlink="">
      <cdr:nvSpPr>
        <cdr:cNvPr id="20" name="Szövegdoboz 1"/>
        <cdr:cNvSpPr txBox="1"/>
      </cdr:nvSpPr>
      <cdr:spPr>
        <a:xfrm xmlns:a="http://schemas.openxmlformats.org/drawingml/2006/main" rot="16200000">
          <a:off x="4233208" y="1930879"/>
          <a:ext cx="564314" cy="1976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13 573</a:t>
          </a:r>
        </a:p>
      </cdr:txBody>
    </cdr:sp>
  </cdr:relSizeAnchor>
  <cdr:relSizeAnchor xmlns:cdr="http://schemas.openxmlformats.org/drawingml/2006/chartDrawing">
    <cdr:from>
      <cdr:x>0.72674</cdr:x>
      <cdr:y>0.5653</cdr:y>
    </cdr:from>
    <cdr:to>
      <cdr:x>0.76932</cdr:x>
      <cdr:y>0.7369</cdr:y>
    </cdr:to>
    <cdr:sp macro="" textlink="">
      <cdr:nvSpPr>
        <cdr:cNvPr id="21" name="Szövegdoboz 1"/>
        <cdr:cNvSpPr txBox="1"/>
      </cdr:nvSpPr>
      <cdr:spPr>
        <a:xfrm xmlns:a="http://schemas.openxmlformats.org/drawingml/2006/main" rot="16200000">
          <a:off x="3190037" y="2042347"/>
          <a:ext cx="564314" cy="1976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1">
              <a:latin typeface="Times New Roman" pitchFamily="18" charset="0"/>
              <a:cs typeface="Times New Roman" pitchFamily="18" charset="0"/>
            </a:rPr>
            <a:t>11 247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0.92752</cdr:x>
      <cdr:y>0.15652</cdr:y>
    </cdr:from>
    <cdr:to>
      <cdr:x>0.98056</cdr:x>
      <cdr:y>0.23704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311280" y="516130"/>
          <a:ext cx="247657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 sz="1000">
            <a:latin typeface="Times New Roman" pitchFamily="18" charset="0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</cdr:x>
      <cdr:y>0.16258</cdr:y>
    </cdr:from>
    <cdr:to>
      <cdr:x>0.06967</cdr:x>
      <cdr:y>0.24976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535543"/>
          <a:ext cx="323840" cy="2874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 sz="1000">
            <a:latin typeface="Times New Roman" pitchFamily="18" charset="0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0.75615</cdr:x>
      <cdr:y>0.01034</cdr:y>
    </cdr:from>
    <cdr:to>
      <cdr:x>0.99795</cdr:x>
      <cdr:y>0.09655</cdr:y>
    </cdr:to>
    <cdr:sp macro="" textlink="">
      <cdr:nvSpPr>
        <cdr:cNvPr id="4" name="Szövegdoboz 3"/>
        <cdr:cNvSpPr txBox="1"/>
      </cdr:nvSpPr>
      <cdr:spPr>
        <a:xfrm xmlns:a="http://schemas.openxmlformats.org/drawingml/2006/main">
          <a:off x="3514724" y="28575"/>
          <a:ext cx="11239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123826</xdr:colOff>
      <xdr:row>49</xdr:row>
      <xdr:rowOff>85725</xdr:rowOff>
    </xdr:from>
    <xdr:to>
      <xdr:col>7</xdr:col>
      <xdr:colOff>504826</xdr:colOff>
      <xdr:row>66</xdr:row>
      <xdr:rowOff>180975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29766</xdr:colOff>
      <xdr:row>49</xdr:row>
      <xdr:rowOff>101204</xdr:rowOff>
    </xdr:from>
    <xdr:to>
      <xdr:col>15</xdr:col>
      <xdr:colOff>410766</xdr:colOff>
      <xdr:row>67</xdr:row>
      <xdr:rowOff>5954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21431</xdr:colOff>
      <xdr:row>71</xdr:row>
      <xdr:rowOff>189309</xdr:rowOff>
    </xdr:from>
    <xdr:to>
      <xdr:col>7</xdr:col>
      <xdr:colOff>402431</xdr:colOff>
      <xdr:row>92</xdr:row>
      <xdr:rowOff>94059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104776</xdr:colOff>
      <xdr:row>72</xdr:row>
      <xdr:rowOff>9525</xdr:rowOff>
    </xdr:from>
    <xdr:to>
      <xdr:col>15</xdr:col>
      <xdr:colOff>485776</xdr:colOff>
      <xdr:row>92</xdr:row>
      <xdr:rowOff>104775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76200</xdr:colOff>
      <xdr:row>97</xdr:row>
      <xdr:rowOff>0</xdr:rowOff>
    </xdr:from>
    <xdr:to>
      <xdr:col>7</xdr:col>
      <xdr:colOff>457200</xdr:colOff>
      <xdr:row>114</xdr:row>
      <xdr:rowOff>95250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133350</xdr:colOff>
      <xdr:row>97</xdr:row>
      <xdr:rowOff>0</xdr:rowOff>
    </xdr:from>
    <xdr:to>
      <xdr:col>15</xdr:col>
      <xdr:colOff>514350</xdr:colOff>
      <xdr:row>114</xdr:row>
      <xdr:rowOff>95250</xdr:rowOff>
    </xdr:to>
    <xdr:graphicFrame macro="">
      <xdr:nvGraphicFramePr>
        <xdr:cNvPr id="8" name="Diagra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57150</xdr:colOff>
      <xdr:row>119</xdr:row>
      <xdr:rowOff>19050</xdr:rowOff>
    </xdr:from>
    <xdr:to>
      <xdr:col>7</xdr:col>
      <xdr:colOff>438150</xdr:colOff>
      <xdr:row>139</xdr:row>
      <xdr:rowOff>114300</xdr:rowOff>
    </xdr:to>
    <xdr:graphicFrame macro="">
      <xdr:nvGraphicFramePr>
        <xdr:cNvPr id="9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104776</xdr:colOff>
      <xdr:row>119</xdr:row>
      <xdr:rowOff>9525</xdr:rowOff>
    </xdr:from>
    <xdr:to>
      <xdr:col>15</xdr:col>
      <xdr:colOff>485776</xdr:colOff>
      <xdr:row>139</xdr:row>
      <xdr:rowOff>104775</xdr:rowOff>
    </xdr:to>
    <xdr:graphicFrame macro="">
      <xdr:nvGraphicFramePr>
        <xdr:cNvPr id="10" name="Diagra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133350</xdr:colOff>
      <xdr:row>145</xdr:row>
      <xdr:rowOff>0</xdr:rowOff>
    </xdr:from>
    <xdr:to>
      <xdr:col>7</xdr:col>
      <xdr:colOff>514350</xdr:colOff>
      <xdr:row>162</xdr:row>
      <xdr:rowOff>95250</xdr:rowOff>
    </xdr:to>
    <xdr:graphicFrame macro="">
      <xdr:nvGraphicFramePr>
        <xdr:cNvPr id="12" name="Diagra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80756</xdr:colOff>
      <xdr:row>145</xdr:row>
      <xdr:rowOff>4969</xdr:rowOff>
    </xdr:from>
    <xdr:to>
      <xdr:col>15</xdr:col>
      <xdr:colOff>461756</xdr:colOff>
      <xdr:row>162</xdr:row>
      <xdr:rowOff>100219</xdr:rowOff>
    </xdr:to>
    <xdr:graphicFrame macro="">
      <xdr:nvGraphicFramePr>
        <xdr:cNvPr id="13" name="Diagra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152401</xdr:colOff>
      <xdr:row>166</xdr:row>
      <xdr:rowOff>47625</xdr:rowOff>
    </xdr:from>
    <xdr:to>
      <xdr:col>7</xdr:col>
      <xdr:colOff>533401</xdr:colOff>
      <xdr:row>185</xdr:row>
      <xdr:rowOff>142875</xdr:rowOff>
    </xdr:to>
    <xdr:graphicFrame macro="">
      <xdr:nvGraphicFramePr>
        <xdr:cNvPr id="14" name="Diagra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161925</xdr:colOff>
      <xdr:row>166</xdr:row>
      <xdr:rowOff>47625</xdr:rowOff>
    </xdr:from>
    <xdr:to>
      <xdr:col>15</xdr:col>
      <xdr:colOff>542925</xdr:colOff>
      <xdr:row>185</xdr:row>
      <xdr:rowOff>142875</xdr:rowOff>
    </xdr:to>
    <xdr:graphicFrame macro="">
      <xdr:nvGraphicFramePr>
        <xdr:cNvPr id="15" name="Diagra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133350</xdr:colOff>
      <xdr:row>191</xdr:row>
      <xdr:rowOff>0</xdr:rowOff>
    </xdr:from>
    <xdr:to>
      <xdr:col>7</xdr:col>
      <xdr:colOff>514350</xdr:colOff>
      <xdr:row>208</xdr:row>
      <xdr:rowOff>95250</xdr:rowOff>
    </xdr:to>
    <xdr:graphicFrame macro="">
      <xdr:nvGraphicFramePr>
        <xdr:cNvPr id="16" name="Diagra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66675</xdr:colOff>
      <xdr:row>191</xdr:row>
      <xdr:rowOff>47625</xdr:rowOff>
    </xdr:from>
    <xdr:to>
      <xdr:col>15</xdr:col>
      <xdr:colOff>447675</xdr:colOff>
      <xdr:row>208</xdr:row>
      <xdr:rowOff>142875</xdr:rowOff>
    </xdr:to>
    <xdr:graphicFrame macro="">
      <xdr:nvGraphicFramePr>
        <xdr:cNvPr id="17" name="Diagra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161925</xdr:colOff>
      <xdr:row>212</xdr:row>
      <xdr:rowOff>76200</xdr:rowOff>
    </xdr:from>
    <xdr:to>
      <xdr:col>7</xdr:col>
      <xdr:colOff>542925</xdr:colOff>
      <xdr:row>230</xdr:row>
      <xdr:rowOff>171450</xdr:rowOff>
    </xdr:to>
    <xdr:graphicFrame macro="">
      <xdr:nvGraphicFramePr>
        <xdr:cNvPr id="20" name="Diagram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85725</xdr:colOff>
      <xdr:row>212</xdr:row>
      <xdr:rowOff>95250</xdr:rowOff>
    </xdr:from>
    <xdr:to>
      <xdr:col>15</xdr:col>
      <xdr:colOff>466725</xdr:colOff>
      <xdr:row>231</xdr:row>
      <xdr:rowOff>0</xdr:rowOff>
    </xdr:to>
    <xdr:graphicFrame macro="">
      <xdr:nvGraphicFramePr>
        <xdr:cNvPr id="21" name="Diagram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104776</xdr:colOff>
      <xdr:row>238</xdr:row>
      <xdr:rowOff>0</xdr:rowOff>
    </xdr:from>
    <xdr:to>
      <xdr:col>7</xdr:col>
      <xdr:colOff>485776</xdr:colOff>
      <xdr:row>255</xdr:row>
      <xdr:rowOff>95250</xdr:rowOff>
    </xdr:to>
    <xdr:graphicFrame macro="">
      <xdr:nvGraphicFramePr>
        <xdr:cNvPr id="22" name="Diagram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114300</xdr:colOff>
      <xdr:row>26</xdr:row>
      <xdr:rowOff>9525</xdr:rowOff>
    </xdr:from>
    <xdr:to>
      <xdr:col>15</xdr:col>
      <xdr:colOff>495300</xdr:colOff>
      <xdr:row>45</xdr:row>
      <xdr:rowOff>104775</xdr:rowOff>
    </xdr:to>
    <xdr:graphicFrame macro="">
      <xdr:nvGraphicFramePr>
        <xdr:cNvPr id="23" name="Diagram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133350</xdr:colOff>
      <xdr:row>26</xdr:row>
      <xdr:rowOff>19050</xdr:rowOff>
    </xdr:from>
    <xdr:to>
      <xdr:col>7</xdr:col>
      <xdr:colOff>514350</xdr:colOff>
      <xdr:row>45</xdr:row>
      <xdr:rowOff>114300</xdr:rowOff>
    </xdr:to>
    <xdr:graphicFrame macro="">
      <xdr:nvGraphicFramePr>
        <xdr:cNvPr id="24" name="Diagram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133350</xdr:colOff>
      <xdr:row>4</xdr:row>
      <xdr:rowOff>0</xdr:rowOff>
    </xdr:from>
    <xdr:to>
      <xdr:col>7</xdr:col>
      <xdr:colOff>514350</xdr:colOff>
      <xdr:row>21</xdr:row>
      <xdr:rowOff>95250</xdr:rowOff>
    </xdr:to>
    <xdr:graphicFrame macro="">
      <xdr:nvGraphicFramePr>
        <xdr:cNvPr id="25" name="Diagram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394</xdr:row>
      <xdr:rowOff>41413</xdr:rowOff>
    </xdr:from>
    <xdr:to>
      <xdr:col>0</xdr:col>
      <xdr:colOff>0</xdr:colOff>
      <xdr:row>411</xdr:row>
      <xdr:rowOff>89453</xdr:rowOff>
    </xdr:to>
    <xdr:graphicFrame macro="">
      <xdr:nvGraphicFramePr>
        <xdr:cNvPr id="47" name="Diagram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114300</xdr:colOff>
      <xdr:row>4</xdr:row>
      <xdr:rowOff>9525</xdr:rowOff>
    </xdr:from>
    <xdr:to>
      <xdr:col>15</xdr:col>
      <xdr:colOff>495300</xdr:colOff>
      <xdr:row>21</xdr:row>
      <xdr:rowOff>104775</xdr:rowOff>
    </xdr:to>
    <xdr:graphicFrame macro="">
      <xdr:nvGraphicFramePr>
        <xdr:cNvPr id="28" name="Diagram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  <cdr:relSizeAnchor xmlns:cdr="http://schemas.openxmlformats.org/drawingml/2006/chartDrawing">
    <cdr:from>
      <cdr:x>0.93724</cdr:x>
      <cdr:y>0.15612</cdr:y>
    </cdr:from>
    <cdr:to>
      <cdr:x>0.99052</cdr:x>
      <cdr:y>0.23543</cdr:y>
    </cdr:to>
    <cdr:sp macro="" textlink="">
      <cdr:nvSpPr>
        <cdr:cNvPr id="6" name="Szövegdoboz 1"/>
        <cdr:cNvSpPr txBox="1"/>
      </cdr:nvSpPr>
      <cdr:spPr>
        <a:xfrm xmlns:a="http://schemas.openxmlformats.org/drawingml/2006/main">
          <a:off x="4346870" y="520451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0.93092</cdr:x>
      <cdr:y>0.15172</cdr:y>
    </cdr:from>
    <cdr:to>
      <cdr:x>0.9842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317563" y="505797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0.92776</cdr:x>
      <cdr:y>0.15172</cdr:y>
    </cdr:from>
    <cdr:to>
      <cdr:x>0.98104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302909" y="505797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0.16647</cdr:y>
    </cdr:from>
    <cdr:to>
      <cdr:x>0.06967</cdr:x>
      <cdr:y>0.25268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554955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0.92934</cdr:x>
      <cdr:y>0.14952</cdr:y>
    </cdr:from>
    <cdr:to>
      <cdr:x>0.98262</cdr:x>
      <cdr:y>0.22883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310236" y="498470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0.00316</cdr:x>
      <cdr:y>0.16866</cdr:y>
    </cdr:from>
    <cdr:to>
      <cdr:x>0.07283</cdr:x>
      <cdr:y>0.25487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14653" y="562282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0.93408</cdr:x>
      <cdr:y>0.15172</cdr:y>
    </cdr:from>
    <cdr:to>
      <cdr:x>0.98736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332216" y="505797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0.00158</cdr:x>
      <cdr:y>0.16427</cdr:y>
    </cdr:from>
    <cdr:to>
      <cdr:x>0.07125</cdr:x>
      <cdr:y>0.25048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7326" y="547628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0.17086</cdr:y>
    </cdr:from>
    <cdr:to>
      <cdr:x>0.06967</cdr:x>
      <cdr:y>0.25707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569609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8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0.93092</cdr:x>
      <cdr:y>0.14952</cdr:y>
    </cdr:from>
    <cdr:to>
      <cdr:x>0.9842</cdr:x>
      <cdr:y>0.22883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317562" y="498470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0.16647</cdr:y>
    </cdr:from>
    <cdr:to>
      <cdr:x>0.06967</cdr:x>
      <cdr:y>0.25268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554955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0.00158</cdr:x>
      <cdr:y>0.16647</cdr:y>
    </cdr:from>
    <cdr:to>
      <cdr:x>0.07125</cdr:x>
      <cdr:y>0.25268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7327" y="554955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0.92776</cdr:x>
      <cdr:y>0.15172</cdr:y>
    </cdr:from>
    <cdr:to>
      <cdr:x>0.98104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302909" y="505797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  <cdr:relSizeAnchor xmlns:cdr="http://schemas.openxmlformats.org/drawingml/2006/chartDrawing">
    <cdr:from>
      <cdr:x>0.93724</cdr:x>
      <cdr:y>0.15612</cdr:y>
    </cdr:from>
    <cdr:to>
      <cdr:x>0.99052</cdr:x>
      <cdr:y>0.23543</cdr:y>
    </cdr:to>
    <cdr:sp macro="" textlink="">
      <cdr:nvSpPr>
        <cdr:cNvPr id="6" name="Szövegdoboz 1"/>
        <cdr:cNvSpPr txBox="1"/>
      </cdr:nvSpPr>
      <cdr:spPr>
        <a:xfrm xmlns:a="http://schemas.openxmlformats.org/drawingml/2006/main">
          <a:off x="4346870" y="520451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0.92934</cdr:x>
      <cdr:y>0.15172</cdr:y>
    </cdr:from>
    <cdr:to>
      <cdr:x>0.98262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310236" y="505797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540301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0.9477</cdr:x>
      <cdr:y>0.12949</cdr:y>
    </cdr:from>
    <cdr:to>
      <cdr:x>0.99599</cdr:x>
      <cdr:y>0.17092</cdr:y>
    </cdr:to>
    <cdr:sp macro="" textlink="">
      <cdr:nvSpPr>
        <cdr:cNvPr id="4" name="Szövegdoboz 3"/>
        <cdr:cNvSpPr txBox="1"/>
      </cdr:nvSpPr>
      <cdr:spPr>
        <a:xfrm xmlns:a="http://schemas.openxmlformats.org/drawingml/2006/main">
          <a:off x="6429374" y="555626"/>
          <a:ext cx="327635" cy="17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hu-HU" sz="9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119430</xdr:colOff>
      <xdr:row>25</xdr:row>
      <xdr:rowOff>16852</xdr:rowOff>
    </xdr:from>
    <xdr:to>
      <xdr:col>15</xdr:col>
      <xdr:colOff>500430</xdr:colOff>
      <xdr:row>42</xdr:row>
      <xdr:rowOff>112102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111095</xdr:colOff>
      <xdr:row>47</xdr:row>
      <xdr:rowOff>8152</xdr:rowOff>
    </xdr:from>
    <xdr:to>
      <xdr:col>7</xdr:col>
      <xdr:colOff>492095</xdr:colOff>
      <xdr:row>64</xdr:row>
      <xdr:rowOff>103402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87373</xdr:colOff>
      <xdr:row>69</xdr:row>
      <xdr:rowOff>24453</xdr:rowOff>
    </xdr:from>
    <xdr:to>
      <xdr:col>7</xdr:col>
      <xdr:colOff>468373</xdr:colOff>
      <xdr:row>86</xdr:row>
      <xdr:rowOff>119703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76201</xdr:colOff>
      <xdr:row>69</xdr:row>
      <xdr:rowOff>28575</xdr:rowOff>
    </xdr:from>
    <xdr:to>
      <xdr:col>15</xdr:col>
      <xdr:colOff>457201</xdr:colOff>
      <xdr:row>86</xdr:row>
      <xdr:rowOff>123825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76200</xdr:colOff>
      <xdr:row>91</xdr:row>
      <xdr:rowOff>40298</xdr:rowOff>
    </xdr:from>
    <xdr:to>
      <xdr:col>7</xdr:col>
      <xdr:colOff>457200</xdr:colOff>
      <xdr:row>108</xdr:row>
      <xdr:rowOff>135548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104775</xdr:colOff>
      <xdr:row>91</xdr:row>
      <xdr:rowOff>19050</xdr:rowOff>
    </xdr:from>
    <xdr:to>
      <xdr:col>15</xdr:col>
      <xdr:colOff>485775</xdr:colOff>
      <xdr:row>108</xdr:row>
      <xdr:rowOff>114300</xdr:rowOff>
    </xdr:to>
    <xdr:graphicFrame macro="">
      <xdr:nvGraphicFramePr>
        <xdr:cNvPr id="8" name="Diagra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114300</xdr:colOff>
      <xdr:row>114</xdr:row>
      <xdr:rowOff>28575</xdr:rowOff>
    </xdr:from>
    <xdr:to>
      <xdr:col>7</xdr:col>
      <xdr:colOff>495300</xdr:colOff>
      <xdr:row>131</xdr:row>
      <xdr:rowOff>123825</xdr:rowOff>
    </xdr:to>
    <xdr:graphicFrame macro="">
      <xdr:nvGraphicFramePr>
        <xdr:cNvPr id="9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85726</xdr:colOff>
      <xdr:row>114</xdr:row>
      <xdr:rowOff>38100</xdr:rowOff>
    </xdr:from>
    <xdr:to>
      <xdr:col>15</xdr:col>
      <xdr:colOff>466726</xdr:colOff>
      <xdr:row>131</xdr:row>
      <xdr:rowOff>133350</xdr:rowOff>
    </xdr:to>
    <xdr:graphicFrame macro="">
      <xdr:nvGraphicFramePr>
        <xdr:cNvPr id="10" name="Diagra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155331</xdr:colOff>
      <xdr:row>137</xdr:row>
      <xdr:rowOff>14654</xdr:rowOff>
    </xdr:from>
    <xdr:to>
      <xdr:col>15</xdr:col>
      <xdr:colOff>536331</xdr:colOff>
      <xdr:row>154</xdr:row>
      <xdr:rowOff>109904</xdr:rowOff>
    </xdr:to>
    <xdr:graphicFrame macro="">
      <xdr:nvGraphicFramePr>
        <xdr:cNvPr id="12" name="Diagram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160</xdr:row>
      <xdr:rowOff>29307</xdr:rowOff>
    </xdr:from>
    <xdr:to>
      <xdr:col>7</xdr:col>
      <xdr:colOff>381000</xdr:colOff>
      <xdr:row>177</xdr:row>
      <xdr:rowOff>124557</xdr:rowOff>
    </xdr:to>
    <xdr:graphicFrame macro="">
      <xdr:nvGraphicFramePr>
        <xdr:cNvPr id="13" name="Diagra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126757</xdr:colOff>
      <xdr:row>160</xdr:row>
      <xdr:rowOff>16852</xdr:rowOff>
    </xdr:from>
    <xdr:to>
      <xdr:col>15</xdr:col>
      <xdr:colOff>507757</xdr:colOff>
      <xdr:row>177</xdr:row>
      <xdr:rowOff>112102</xdr:rowOff>
    </xdr:to>
    <xdr:graphicFrame macro="">
      <xdr:nvGraphicFramePr>
        <xdr:cNvPr id="14" name="Diagra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114300</xdr:colOff>
      <xdr:row>181</xdr:row>
      <xdr:rowOff>46160</xdr:rowOff>
    </xdr:from>
    <xdr:to>
      <xdr:col>7</xdr:col>
      <xdr:colOff>495300</xdr:colOff>
      <xdr:row>198</xdr:row>
      <xdr:rowOff>141410</xdr:rowOff>
    </xdr:to>
    <xdr:graphicFrame macro="">
      <xdr:nvGraphicFramePr>
        <xdr:cNvPr id="15" name="Diagra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162657</xdr:colOff>
      <xdr:row>181</xdr:row>
      <xdr:rowOff>36635</xdr:rowOff>
    </xdr:from>
    <xdr:to>
      <xdr:col>15</xdr:col>
      <xdr:colOff>543657</xdr:colOff>
      <xdr:row>198</xdr:row>
      <xdr:rowOff>131885</xdr:rowOff>
    </xdr:to>
    <xdr:graphicFrame macro="">
      <xdr:nvGraphicFramePr>
        <xdr:cNvPr id="16" name="Diagra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136281</xdr:colOff>
      <xdr:row>204</xdr:row>
      <xdr:rowOff>21980</xdr:rowOff>
    </xdr:from>
    <xdr:to>
      <xdr:col>7</xdr:col>
      <xdr:colOff>517281</xdr:colOff>
      <xdr:row>221</xdr:row>
      <xdr:rowOff>117230</xdr:rowOff>
    </xdr:to>
    <xdr:graphicFrame macro="">
      <xdr:nvGraphicFramePr>
        <xdr:cNvPr id="17" name="Diagra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162658</xdr:colOff>
      <xdr:row>226</xdr:row>
      <xdr:rowOff>36634</xdr:rowOff>
    </xdr:from>
    <xdr:to>
      <xdr:col>15</xdr:col>
      <xdr:colOff>543658</xdr:colOff>
      <xdr:row>243</xdr:row>
      <xdr:rowOff>131884</xdr:rowOff>
    </xdr:to>
    <xdr:graphicFrame macro="">
      <xdr:nvGraphicFramePr>
        <xdr:cNvPr id="20" name="Diagram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128954</xdr:colOff>
      <xdr:row>249</xdr:row>
      <xdr:rowOff>14654</xdr:rowOff>
    </xdr:from>
    <xdr:to>
      <xdr:col>7</xdr:col>
      <xdr:colOff>509954</xdr:colOff>
      <xdr:row>266</xdr:row>
      <xdr:rowOff>109904</xdr:rowOff>
    </xdr:to>
    <xdr:graphicFrame macro="">
      <xdr:nvGraphicFramePr>
        <xdr:cNvPr id="21" name="Diagram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148738</xdr:colOff>
      <xdr:row>249</xdr:row>
      <xdr:rowOff>29308</xdr:rowOff>
    </xdr:from>
    <xdr:to>
      <xdr:col>15</xdr:col>
      <xdr:colOff>529738</xdr:colOff>
      <xdr:row>266</xdr:row>
      <xdr:rowOff>124558</xdr:rowOff>
    </xdr:to>
    <xdr:graphicFrame macro="">
      <xdr:nvGraphicFramePr>
        <xdr:cNvPr id="22" name="Diagram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121627</xdr:colOff>
      <xdr:row>25</xdr:row>
      <xdr:rowOff>16852</xdr:rowOff>
    </xdr:from>
    <xdr:to>
      <xdr:col>7</xdr:col>
      <xdr:colOff>502627</xdr:colOff>
      <xdr:row>42</xdr:row>
      <xdr:rowOff>112102</xdr:rowOff>
    </xdr:to>
    <xdr:graphicFrame macro="">
      <xdr:nvGraphicFramePr>
        <xdr:cNvPr id="23" name="Diagram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126756</xdr:colOff>
      <xdr:row>3</xdr:row>
      <xdr:rowOff>30773</xdr:rowOff>
    </xdr:from>
    <xdr:to>
      <xdr:col>15</xdr:col>
      <xdr:colOff>507756</xdr:colOff>
      <xdr:row>20</xdr:row>
      <xdr:rowOff>126023</xdr:rowOff>
    </xdr:to>
    <xdr:graphicFrame macro="">
      <xdr:nvGraphicFramePr>
        <xdr:cNvPr id="24" name="Diagram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66674</xdr:colOff>
      <xdr:row>3</xdr:row>
      <xdr:rowOff>38100</xdr:rowOff>
    </xdr:from>
    <xdr:to>
      <xdr:col>7</xdr:col>
      <xdr:colOff>533399</xdr:colOff>
      <xdr:row>20</xdr:row>
      <xdr:rowOff>133350</xdr:rowOff>
    </xdr:to>
    <xdr:graphicFrame macro="">
      <xdr:nvGraphicFramePr>
        <xdr:cNvPr id="25" name="Diagram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111095</xdr:colOff>
      <xdr:row>47</xdr:row>
      <xdr:rowOff>8152</xdr:rowOff>
    </xdr:from>
    <xdr:to>
      <xdr:col>15</xdr:col>
      <xdr:colOff>492095</xdr:colOff>
      <xdr:row>64</xdr:row>
      <xdr:rowOff>103402</xdr:rowOff>
    </xdr:to>
    <xdr:graphicFrame macro="">
      <xdr:nvGraphicFramePr>
        <xdr:cNvPr id="28" name="Diagram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174381</xdr:colOff>
      <xdr:row>137</xdr:row>
      <xdr:rowOff>19051</xdr:rowOff>
    </xdr:from>
    <xdr:to>
      <xdr:col>7</xdr:col>
      <xdr:colOff>555381</xdr:colOff>
      <xdr:row>154</xdr:row>
      <xdr:rowOff>114301</xdr:rowOff>
    </xdr:to>
    <xdr:graphicFrame macro="">
      <xdr:nvGraphicFramePr>
        <xdr:cNvPr id="29" name="Diagram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136281</xdr:colOff>
      <xdr:row>204</xdr:row>
      <xdr:rowOff>21980</xdr:rowOff>
    </xdr:from>
    <xdr:to>
      <xdr:col>15</xdr:col>
      <xdr:colOff>517281</xdr:colOff>
      <xdr:row>221</xdr:row>
      <xdr:rowOff>117230</xdr:rowOff>
    </xdr:to>
    <xdr:graphicFrame macro="">
      <xdr:nvGraphicFramePr>
        <xdr:cNvPr id="31" name="Diagram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136281</xdr:colOff>
      <xdr:row>226</xdr:row>
      <xdr:rowOff>21980</xdr:rowOff>
    </xdr:from>
    <xdr:to>
      <xdr:col>7</xdr:col>
      <xdr:colOff>517281</xdr:colOff>
      <xdr:row>243</xdr:row>
      <xdr:rowOff>117230</xdr:rowOff>
    </xdr:to>
    <xdr:graphicFrame macro="">
      <xdr:nvGraphicFramePr>
        <xdr:cNvPr id="32" name="Diagram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128954</xdr:colOff>
      <xdr:row>270</xdr:row>
      <xdr:rowOff>14654</xdr:rowOff>
    </xdr:from>
    <xdr:to>
      <xdr:col>7</xdr:col>
      <xdr:colOff>509954</xdr:colOff>
      <xdr:row>287</xdr:row>
      <xdr:rowOff>109904</xdr:rowOff>
    </xdr:to>
    <xdr:graphicFrame macro="">
      <xdr:nvGraphicFramePr>
        <xdr:cNvPr id="33" name="Diagram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148738</xdr:colOff>
      <xdr:row>270</xdr:row>
      <xdr:rowOff>29308</xdr:rowOff>
    </xdr:from>
    <xdr:to>
      <xdr:col>15</xdr:col>
      <xdr:colOff>529738</xdr:colOff>
      <xdr:row>287</xdr:row>
      <xdr:rowOff>124558</xdr:rowOff>
    </xdr:to>
    <xdr:graphicFrame macro="">
      <xdr:nvGraphicFramePr>
        <xdr:cNvPr id="34" name="Diagram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148738</xdr:colOff>
      <xdr:row>292</xdr:row>
      <xdr:rowOff>29308</xdr:rowOff>
    </xdr:from>
    <xdr:to>
      <xdr:col>11</xdr:col>
      <xdr:colOff>529738</xdr:colOff>
      <xdr:row>309</xdr:row>
      <xdr:rowOff>124558</xdr:rowOff>
    </xdr:to>
    <xdr:graphicFrame macro="">
      <xdr:nvGraphicFramePr>
        <xdr:cNvPr id="35" name="Diagram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  <cdr:relSizeAnchor xmlns:cdr="http://schemas.openxmlformats.org/drawingml/2006/chartDrawing">
    <cdr:from>
      <cdr:x>0.93724</cdr:x>
      <cdr:y>0.15612</cdr:y>
    </cdr:from>
    <cdr:to>
      <cdr:x>0.99052</cdr:x>
      <cdr:y>0.23543</cdr:y>
    </cdr:to>
    <cdr:sp macro="" textlink="">
      <cdr:nvSpPr>
        <cdr:cNvPr id="6" name="Szövegdoboz 1"/>
        <cdr:cNvSpPr txBox="1"/>
      </cdr:nvSpPr>
      <cdr:spPr>
        <a:xfrm xmlns:a="http://schemas.openxmlformats.org/drawingml/2006/main">
          <a:off x="4346870" y="520451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0.93092</cdr:x>
      <cdr:y>0.15172</cdr:y>
    </cdr:from>
    <cdr:to>
      <cdr:x>0.9842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317563" y="505797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0.92776</cdr:x>
      <cdr:y>0.15172</cdr:y>
    </cdr:from>
    <cdr:to>
      <cdr:x>0.98104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302909" y="505797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0.16647</cdr:y>
    </cdr:from>
    <cdr:to>
      <cdr:x>0.06967</cdr:x>
      <cdr:y>0.25268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554955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0.92934</cdr:x>
      <cdr:y>0.14952</cdr:y>
    </cdr:from>
    <cdr:to>
      <cdr:x>0.98262</cdr:x>
      <cdr:y>0.22883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310236" y="498470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0.00316</cdr:x>
      <cdr:y>0.16866</cdr:y>
    </cdr:from>
    <cdr:to>
      <cdr:x>0.07283</cdr:x>
      <cdr:y>0.25487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14653" y="562282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0.93408</cdr:x>
      <cdr:y>0.15172</cdr:y>
    </cdr:from>
    <cdr:to>
      <cdr:x>0.98736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332216" y="505797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0.00158</cdr:x>
      <cdr:y>0.16427</cdr:y>
    </cdr:from>
    <cdr:to>
      <cdr:x>0.07125</cdr:x>
      <cdr:y>0.25048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7326" y="547628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4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0.17086</cdr:y>
    </cdr:from>
    <cdr:to>
      <cdr:x>0.06967</cdr:x>
      <cdr:y>0.25707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569609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8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0.16647</cdr:y>
    </cdr:from>
    <cdr:to>
      <cdr:x>0.06967</cdr:x>
      <cdr:y>0.25268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554955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0.93092</cdr:x>
      <cdr:y>0.14952</cdr:y>
    </cdr:from>
    <cdr:to>
      <cdr:x>0.9842</cdr:x>
      <cdr:y>0.22883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317562" y="498470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0.16647</cdr:y>
    </cdr:from>
    <cdr:to>
      <cdr:x>0.06967</cdr:x>
      <cdr:y>0.25268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554955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0.00158</cdr:x>
      <cdr:y>0.16647</cdr:y>
    </cdr:from>
    <cdr:to>
      <cdr:x>0.07125</cdr:x>
      <cdr:y>0.25268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7327" y="554955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0.92934</cdr:x>
      <cdr:y>0.15172</cdr:y>
    </cdr:from>
    <cdr:to>
      <cdr:x>0.98262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310236" y="505797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540301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0.93092</cdr:x>
      <cdr:y>0.15172</cdr:y>
    </cdr:from>
    <cdr:to>
      <cdr:x>0.9842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317563" y="505797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0.00316</cdr:x>
      <cdr:y>0.16866</cdr:y>
    </cdr:from>
    <cdr:to>
      <cdr:x>0.07283</cdr:x>
      <cdr:y>0.25487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14653" y="562282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0.16647</cdr:y>
    </cdr:from>
    <cdr:to>
      <cdr:x>0.06967</cdr:x>
      <cdr:y>0.25268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554955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0.16647</cdr:y>
    </cdr:from>
    <cdr:to>
      <cdr:x>0.06967</cdr:x>
      <cdr:y>0.25268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554955"/>
          <a:ext cx="323125" cy="2874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0.94672</cdr:x>
      <cdr:y>0.15172</cdr:y>
    </cdr:from>
    <cdr:to>
      <cdr:x>1</cdr:x>
      <cdr:y>0.23103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400548" y="419100"/>
          <a:ext cx="247651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1193800</xdr:colOff>
      <xdr:row>8</xdr:row>
      <xdr:rowOff>69850</xdr:rowOff>
    </xdr:from>
    <xdr:to>
      <xdr:col>9</xdr:col>
      <xdr:colOff>277743</xdr:colOff>
      <xdr:row>37</xdr:row>
      <xdr:rowOff>152400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1485900</xdr:colOff>
      <xdr:row>32</xdr:row>
      <xdr:rowOff>158750</xdr:rowOff>
    </xdr:from>
    <xdr:to>
      <xdr:col>1</xdr:col>
      <xdr:colOff>209550</xdr:colOff>
      <xdr:row>37</xdr:row>
      <xdr:rowOff>152400</xdr:rowOff>
    </xdr:to>
    <xdr:sp macro="" textlink="">
      <xdr:nvSpPr>
        <xdr:cNvPr id="3" name="Szövegdoboz 2"/>
        <xdr:cNvSpPr txBox="1"/>
      </xdr:nvSpPr>
      <xdr:spPr>
        <a:xfrm>
          <a:off x="1485900" y="5492750"/>
          <a:ext cx="1352550" cy="803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hu-HU" sz="800">
              <a:latin typeface="Times New Roman" pitchFamily="18" charset="0"/>
              <a:cs typeface="Times New Roman" pitchFamily="18" charset="0"/>
            </a:rPr>
            <a:t>Felderítési eredményesség szempontjából a Zala MRFK 323/2015.bü. számú ügye irreleváns</a:t>
          </a:r>
        </a:p>
      </xdr:txBody>
    </xdr:sp>
    <xdr:clientData/>
  </xdr:twoCellAnchor>
  <xdr:twoCellAnchor>
    <xdr:from>
      <xdr:col>0</xdr:col>
      <xdr:colOff>1171575</xdr:colOff>
      <xdr:row>38</xdr:row>
      <xdr:rowOff>123825</xdr:rowOff>
    </xdr:from>
    <xdr:to>
      <xdr:col>9</xdr:col>
      <xdr:colOff>255518</xdr:colOff>
      <xdr:row>68</xdr:row>
      <xdr:rowOff>44450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0.91771</cdr:x>
      <cdr:y>0.1178</cdr:y>
    </cdr:from>
    <cdr:to>
      <cdr:x>0.98145</cdr:x>
      <cdr:y>0.1653</cdr:y>
    </cdr:to>
    <cdr:sp macro="" textlink="">
      <cdr:nvSpPr>
        <cdr:cNvPr id="8" name="Szövegdoboz 2"/>
        <cdr:cNvSpPr txBox="1"/>
      </cdr:nvSpPr>
      <cdr:spPr>
        <a:xfrm xmlns:a="http://schemas.openxmlformats.org/drawingml/2006/main">
          <a:off x="7685670" y="551657"/>
          <a:ext cx="533813" cy="2224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  %</a:t>
          </a:r>
        </a:p>
      </cdr:txBody>
    </cdr:sp>
  </cdr:relSizeAnchor>
  <cdr:relSizeAnchor xmlns:cdr="http://schemas.openxmlformats.org/drawingml/2006/chartDrawing">
    <cdr:from>
      <cdr:x>0.2263</cdr:x>
      <cdr:y>0.10796</cdr:y>
    </cdr:from>
    <cdr:to>
      <cdr:x>0.27879</cdr:x>
      <cdr:y>0.16046</cdr:y>
    </cdr:to>
    <cdr:sp macro="" textlink="">
      <cdr:nvSpPr>
        <cdr:cNvPr id="9" name="Szövegdoboz 3"/>
        <cdr:cNvSpPr txBox="1"/>
      </cdr:nvSpPr>
      <cdr:spPr>
        <a:xfrm xmlns:a="http://schemas.openxmlformats.org/drawingml/2006/main">
          <a:off x="1895212" y="505579"/>
          <a:ext cx="439596" cy="2458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db</a:t>
          </a:r>
        </a:p>
      </cdr:txBody>
    </cdr:sp>
  </cdr:relSizeAnchor>
  <cdr:relSizeAnchor xmlns:cdr="http://schemas.openxmlformats.org/drawingml/2006/chartDrawing">
    <cdr:from>
      <cdr:x>0.50917</cdr:x>
      <cdr:y>0.12612</cdr:y>
    </cdr:from>
    <cdr:to>
      <cdr:x>0.67729</cdr:x>
      <cdr:y>0.18212</cdr:y>
    </cdr:to>
    <cdr:sp macro="" textlink="">
      <cdr:nvSpPr>
        <cdr:cNvPr id="12" name="Szövegdoboz 1"/>
        <cdr:cNvSpPr txBox="1"/>
      </cdr:nvSpPr>
      <cdr:spPr>
        <a:xfrm xmlns:a="http://schemas.openxmlformats.org/drawingml/2006/main">
          <a:off x="3436503" y="602232"/>
          <a:ext cx="1134685" cy="2674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400" b="1">
              <a:latin typeface="Times New Roman" pitchFamily="18" charset="0"/>
              <a:cs typeface="Times New Roman" pitchFamily="18" charset="0"/>
            </a:rPr>
            <a:t>Országos</a:t>
          </a:r>
        </a:p>
      </cdr:txBody>
    </cdr:sp>
  </cdr:relSizeAnchor>
  <cdr:relSizeAnchor xmlns:cdr="http://schemas.openxmlformats.org/drawingml/2006/chartDrawing">
    <cdr:from>
      <cdr:x>0.83586</cdr:x>
      <cdr:y>0.94889</cdr:y>
    </cdr:from>
    <cdr:to>
      <cdr:x>0.99226</cdr:x>
      <cdr:y>0.99111</cdr:y>
    </cdr:to>
    <cdr:sp macro="" textlink="">
      <cdr:nvSpPr>
        <cdr:cNvPr id="17" name="Szövegdoboz 1"/>
        <cdr:cNvSpPr txBox="1"/>
      </cdr:nvSpPr>
      <cdr:spPr>
        <a:xfrm xmlns:a="http://schemas.openxmlformats.org/drawingml/2006/main">
          <a:off x="5259917" y="4519083"/>
          <a:ext cx="984250" cy="201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800" b="0">
              <a:latin typeface="Times New Roman" pitchFamily="18" charset="0"/>
              <a:cs typeface="Times New Roman" pitchFamily="18" charset="0"/>
            </a:rPr>
            <a:t>Forrás:</a:t>
          </a:r>
          <a:r>
            <a:rPr lang="hu-HU" sz="800" b="0" baseline="0">
              <a:latin typeface="Times New Roman" pitchFamily="18" charset="0"/>
              <a:cs typeface="Times New Roman" pitchFamily="18" charset="0"/>
            </a:rPr>
            <a:t> ENYÜBS</a:t>
          </a:r>
          <a:endParaRPr lang="hu-HU" sz="800" b="0">
            <a:latin typeface="Times New Roman" pitchFamily="18" charset="0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0.84186</cdr:x>
      <cdr:y>0.54255</cdr:y>
    </cdr:from>
    <cdr:to>
      <cdr:x>0.89713</cdr:x>
      <cdr:y>0.58843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5657850" y="2590800"/>
          <a:ext cx="37147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 sz="1100"/>
        </a:p>
      </cdr:txBody>
    </cdr:sp>
  </cdr:relSizeAnchor>
  <cdr:relSizeAnchor xmlns:cdr="http://schemas.openxmlformats.org/drawingml/2006/chartDrawing">
    <cdr:from>
      <cdr:x>0.83355</cdr:x>
      <cdr:y>0.73616</cdr:y>
    </cdr:from>
    <cdr:to>
      <cdr:x>0.92539</cdr:x>
      <cdr:y>0.77993</cdr:y>
    </cdr:to>
    <cdr:sp macro="" textlink="">
      <cdr:nvSpPr>
        <cdr:cNvPr id="10" name="Szövegdoboz 9"/>
        <cdr:cNvSpPr txBox="1"/>
      </cdr:nvSpPr>
      <cdr:spPr>
        <a:xfrm xmlns:a="http://schemas.openxmlformats.org/drawingml/2006/main">
          <a:off x="5302250" y="3524250"/>
          <a:ext cx="58420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43 228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0.91771</cdr:x>
      <cdr:y>0.1178</cdr:y>
    </cdr:from>
    <cdr:to>
      <cdr:x>0.98145</cdr:x>
      <cdr:y>0.1653</cdr:y>
    </cdr:to>
    <cdr:sp macro="" textlink="">
      <cdr:nvSpPr>
        <cdr:cNvPr id="8" name="Szövegdoboz 2"/>
        <cdr:cNvSpPr txBox="1"/>
      </cdr:nvSpPr>
      <cdr:spPr>
        <a:xfrm xmlns:a="http://schemas.openxmlformats.org/drawingml/2006/main">
          <a:off x="7685670" y="551657"/>
          <a:ext cx="533813" cy="2224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  %</a:t>
          </a:r>
        </a:p>
      </cdr:txBody>
    </cdr:sp>
  </cdr:relSizeAnchor>
  <cdr:relSizeAnchor xmlns:cdr="http://schemas.openxmlformats.org/drawingml/2006/chartDrawing">
    <cdr:from>
      <cdr:x>0.00536</cdr:x>
      <cdr:y>0.15381</cdr:y>
    </cdr:from>
    <cdr:to>
      <cdr:x>0.05786</cdr:x>
      <cdr:y>0.20631</cdr:y>
    </cdr:to>
    <cdr:sp macro="" textlink="">
      <cdr:nvSpPr>
        <cdr:cNvPr id="9" name="Szövegdoboz 3"/>
        <cdr:cNvSpPr txBox="1"/>
      </cdr:nvSpPr>
      <cdr:spPr>
        <a:xfrm xmlns:a="http://schemas.openxmlformats.org/drawingml/2006/main">
          <a:off x="38164" y="734948"/>
          <a:ext cx="373389" cy="250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db</a:t>
          </a:r>
        </a:p>
      </cdr:txBody>
    </cdr:sp>
  </cdr:relSizeAnchor>
  <cdr:relSizeAnchor xmlns:cdr="http://schemas.openxmlformats.org/drawingml/2006/chartDrawing">
    <cdr:from>
      <cdr:x>0.84186</cdr:x>
      <cdr:y>0.54255</cdr:y>
    </cdr:from>
    <cdr:to>
      <cdr:x>0.89713</cdr:x>
      <cdr:y>0.58843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5657850" y="2590800"/>
          <a:ext cx="37147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 sz="11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1416050</xdr:colOff>
      <xdr:row>11</xdr:row>
      <xdr:rowOff>19050</xdr:rowOff>
    </xdr:from>
    <xdr:to>
      <xdr:col>9</xdr:col>
      <xdr:colOff>499993</xdr:colOff>
      <xdr:row>40</xdr:row>
      <xdr:rowOff>18498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1419225</xdr:colOff>
      <xdr:row>41</xdr:row>
      <xdr:rowOff>28575</xdr:rowOff>
    </xdr:from>
    <xdr:to>
      <xdr:col>9</xdr:col>
      <xdr:colOff>503168</xdr:colOff>
      <xdr:row>70</xdr:row>
      <xdr:rowOff>28023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0.91771</cdr:x>
      <cdr:y>0.1178</cdr:y>
    </cdr:from>
    <cdr:to>
      <cdr:x>0.98145</cdr:x>
      <cdr:y>0.1653</cdr:y>
    </cdr:to>
    <cdr:sp macro="" textlink="">
      <cdr:nvSpPr>
        <cdr:cNvPr id="8" name="Szövegdoboz 2"/>
        <cdr:cNvSpPr txBox="1"/>
      </cdr:nvSpPr>
      <cdr:spPr>
        <a:xfrm xmlns:a="http://schemas.openxmlformats.org/drawingml/2006/main">
          <a:off x="7685670" y="551657"/>
          <a:ext cx="533813" cy="2224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  %</a:t>
          </a:r>
        </a:p>
      </cdr:txBody>
    </cdr:sp>
  </cdr:relSizeAnchor>
  <cdr:relSizeAnchor xmlns:cdr="http://schemas.openxmlformats.org/drawingml/2006/chartDrawing">
    <cdr:from>
      <cdr:x>0.2263</cdr:x>
      <cdr:y>0.10796</cdr:y>
    </cdr:from>
    <cdr:to>
      <cdr:x>0.27879</cdr:x>
      <cdr:y>0.16046</cdr:y>
    </cdr:to>
    <cdr:sp macro="" textlink="">
      <cdr:nvSpPr>
        <cdr:cNvPr id="9" name="Szövegdoboz 3"/>
        <cdr:cNvSpPr txBox="1"/>
      </cdr:nvSpPr>
      <cdr:spPr>
        <a:xfrm xmlns:a="http://schemas.openxmlformats.org/drawingml/2006/main">
          <a:off x="1895212" y="505579"/>
          <a:ext cx="439596" cy="2458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db</a:t>
          </a:r>
        </a:p>
      </cdr:txBody>
    </cdr:sp>
  </cdr:relSizeAnchor>
  <cdr:relSizeAnchor xmlns:cdr="http://schemas.openxmlformats.org/drawingml/2006/chartDrawing">
    <cdr:from>
      <cdr:x>0.50917</cdr:x>
      <cdr:y>0.12612</cdr:y>
    </cdr:from>
    <cdr:to>
      <cdr:x>0.67729</cdr:x>
      <cdr:y>0.18212</cdr:y>
    </cdr:to>
    <cdr:sp macro="" textlink="">
      <cdr:nvSpPr>
        <cdr:cNvPr id="12" name="Szövegdoboz 1"/>
        <cdr:cNvSpPr txBox="1"/>
      </cdr:nvSpPr>
      <cdr:spPr>
        <a:xfrm xmlns:a="http://schemas.openxmlformats.org/drawingml/2006/main">
          <a:off x="3436503" y="602232"/>
          <a:ext cx="1134685" cy="2674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400" b="1">
              <a:latin typeface="Times New Roman" pitchFamily="18" charset="0"/>
              <a:cs typeface="Times New Roman" pitchFamily="18" charset="0"/>
            </a:rPr>
            <a:t>Országos</a:t>
          </a:r>
        </a:p>
      </cdr:txBody>
    </cdr:sp>
  </cdr:relSizeAnchor>
  <cdr:relSizeAnchor xmlns:cdr="http://schemas.openxmlformats.org/drawingml/2006/chartDrawing">
    <cdr:from>
      <cdr:x>0.83586</cdr:x>
      <cdr:y>0.94889</cdr:y>
    </cdr:from>
    <cdr:to>
      <cdr:x>0.99226</cdr:x>
      <cdr:y>0.99111</cdr:y>
    </cdr:to>
    <cdr:sp macro="" textlink="">
      <cdr:nvSpPr>
        <cdr:cNvPr id="17" name="Szövegdoboz 1"/>
        <cdr:cNvSpPr txBox="1"/>
      </cdr:nvSpPr>
      <cdr:spPr>
        <a:xfrm xmlns:a="http://schemas.openxmlformats.org/drawingml/2006/main">
          <a:off x="5259917" y="4519083"/>
          <a:ext cx="984250" cy="201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800" b="0">
              <a:latin typeface="Times New Roman" pitchFamily="18" charset="0"/>
              <a:cs typeface="Times New Roman" pitchFamily="18" charset="0"/>
            </a:rPr>
            <a:t>Forrás:</a:t>
          </a:r>
          <a:r>
            <a:rPr lang="hu-HU" sz="800" b="0" baseline="0">
              <a:latin typeface="Times New Roman" pitchFamily="18" charset="0"/>
              <a:cs typeface="Times New Roman" pitchFamily="18" charset="0"/>
            </a:rPr>
            <a:t> ENYÜBS</a:t>
          </a:r>
          <a:endParaRPr lang="hu-HU" sz="800" b="0">
            <a:latin typeface="Times New Roman" pitchFamily="18" charset="0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0.84186</cdr:x>
      <cdr:y>0.54255</cdr:y>
    </cdr:from>
    <cdr:to>
      <cdr:x>0.89713</cdr:x>
      <cdr:y>0.58843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5657850" y="2590800"/>
          <a:ext cx="37147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 sz="1100"/>
        </a:p>
      </cdr:txBody>
    </cdr:sp>
  </cdr:relSizeAnchor>
  <cdr:relSizeAnchor xmlns:cdr="http://schemas.openxmlformats.org/drawingml/2006/chartDrawing">
    <cdr:from>
      <cdr:x>0.76514</cdr:x>
      <cdr:y>0.77861</cdr:y>
    </cdr:from>
    <cdr:to>
      <cdr:x>0.85698</cdr:x>
      <cdr:y>0.82238</cdr:y>
    </cdr:to>
    <cdr:sp macro="" textlink="">
      <cdr:nvSpPr>
        <cdr:cNvPr id="10" name="Szövegdoboz 9"/>
        <cdr:cNvSpPr txBox="1"/>
      </cdr:nvSpPr>
      <cdr:spPr>
        <a:xfrm xmlns:a="http://schemas.openxmlformats.org/drawingml/2006/main">
          <a:off x="5459834" y="3727461"/>
          <a:ext cx="655347" cy="2095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 b="1">
              <a:solidFill>
                <a:schemeClr val="tx1"/>
              </a:solidFill>
              <a:latin typeface="Times New Roman" pitchFamily="18" charset="0"/>
              <a:cs typeface="Times New Roman" pitchFamily="18" charset="0"/>
            </a:rPr>
            <a:t>23 058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0.92934</cdr:x>
      <cdr:y>0.14952</cdr:y>
    </cdr:from>
    <cdr:to>
      <cdr:x>0.98262</cdr:x>
      <cdr:y>0.22883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4310236" y="498470"/>
          <a:ext cx="247110" cy="2643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%</a:t>
          </a:r>
        </a:p>
      </cdr:txBody>
    </cdr:sp>
  </cdr:relSizeAnchor>
  <cdr:relSizeAnchor xmlns:cdr="http://schemas.openxmlformats.org/drawingml/2006/chartDrawing">
    <cdr:from>
      <cdr:x>0</cdr:x>
      <cdr:y>0.16207</cdr:y>
    </cdr:from>
    <cdr:to>
      <cdr:x>0.06967</cdr:x>
      <cdr:y>0.24828</cdr:y>
    </cdr:to>
    <cdr:sp macro="" textlink="">
      <cdr:nvSpPr>
        <cdr:cNvPr id="3" name="Szövegdoboz 2"/>
        <cdr:cNvSpPr txBox="1"/>
      </cdr:nvSpPr>
      <cdr:spPr>
        <a:xfrm xmlns:a="http://schemas.openxmlformats.org/drawingml/2006/main">
          <a:off x="0" y="447676"/>
          <a:ext cx="323849" cy="238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000">
              <a:latin typeface="Times New Roman" pitchFamily="18" charset="0"/>
              <a:cs typeface="Times New Roman" pitchFamily="18" charset="0"/>
            </a:rPr>
            <a:t>db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0.92441</cdr:x>
      <cdr:y>0.15837</cdr:y>
    </cdr:from>
    <cdr:to>
      <cdr:x>0.98814</cdr:x>
      <cdr:y>0.20587</cdr:y>
    </cdr:to>
    <cdr:sp macro="" textlink="">
      <cdr:nvSpPr>
        <cdr:cNvPr id="8" name="Szövegdoboz 2"/>
        <cdr:cNvSpPr txBox="1"/>
      </cdr:nvSpPr>
      <cdr:spPr>
        <a:xfrm xmlns:a="http://schemas.openxmlformats.org/drawingml/2006/main">
          <a:off x="6575772" y="743603"/>
          <a:ext cx="453415" cy="2230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  %</a:t>
          </a:r>
        </a:p>
      </cdr:txBody>
    </cdr:sp>
  </cdr:relSizeAnchor>
  <cdr:relSizeAnchor xmlns:cdr="http://schemas.openxmlformats.org/drawingml/2006/chartDrawing">
    <cdr:from>
      <cdr:x>0.09776</cdr:x>
      <cdr:y>0.15868</cdr:y>
    </cdr:from>
    <cdr:to>
      <cdr:x>0.15025</cdr:x>
      <cdr:y>0.21118</cdr:y>
    </cdr:to>
    <cdr:sp macro="" textlink="">
      <cdr:nvSpPr>
        <cdr:cNvPr id="9" name="Szövegdoboz 3"/>
        <cdr:cNvSpPr txBox="1"/>
      </cdr:nvSpPr>
      <cdr:spPr>
        <a:xfrm xmlns:a="http://schemas.openxmlformats.org/drawingml/2006/main">
          <a:off x="695389" y="745027"/>
          <a:ext cx="373389" cy="2465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db</a:t>
          </a:r>
        </a:p>
      </cdr:txBody>
    </cdr:sp>
  </cdr:relSizeAnchor>
  <cdr:relSizeAnchor xmlns:cdr="http://schemas.openxmlformats.org/drawingml/2006/chartDrawing">
    <cdr:from>
      <cdr:x>0.84186</cdr:x>
      <cdr:y>0.54255</cdr:y>
    </cdr:from>
    <cdr:to>
      <cdr:x>0.89713</cdr:x>
      <cdr:y>0.58843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5657850" y="2590800"/>
          <a:ext cx="37147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 sz="1100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4</xdr:row>
      <xdr:rowOff>142875</xdr:rowOff>
    </xdr:from>
    <xdr:to>
      <xdr:col>14</xdr:col>
      <xdr:colOff>318052</xdr:colOff>
      <xdr:row>29</xdr:row>
      <xdr:rowOff>142875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0.5149</cdr:x>
      <cdr:y>0.10467</cdr:y>
    </cdr:from>
    <cdr:to>
      <cdr:x>0.68302</cdr:x>
      <cdr:y>0.16067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3240184" y="498475"/>
          <a:ext cx="1057954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400" b="1">
              <a:latin typeface="Times New Roman" pitchFamily="18" charset="0"/>
              <a:cs typeface="Times New Roman" pitchFamily="18" charset="0"/>
            </a:rPr>
            <a:t>Országos</a:t>
          </a:r>
        </a:p>
      </cdr:txBody>
    </cdr:sp>
  </cdr:relSizeAnchor>
  <cdr:relSizeAnchor xmlns:cdr="http://schemas.openxmlformats.org/drawingml/2006/chartDrawing">
    <cdr:from>
      <cdr:x>0.91676</cdr:x>
      <cdr:y>0.15</cdr:y>
    </cdr:from>
    <cdr:to>
      <cdr:x>0.9805</cdr:x>
      <cdr:y>0.1975</cdr:y>
    </cdr:to>
    <cdr:sp macro="" textlink="">
      <cdr:nvSpPr>
        <cdr:cNvPr id="6" name="Szövegdoboz 2"/>
        <cdr:cNvSpPr txBox="1"/>
      </cdr:nvSpPr>
      <cdr:spPr>
        <a:xfrm xmlns:a="http://schemas.openxmlformats.org/drawingml/2006/main">
          <a:off x="5822138" y="714375"/>
          <a:ext cx="404800" cy="226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  %</a:t>
          </a:r>
        </a:p>
      </cdr:txBody>
    </cdr:sp>
  </cdr:relSizeAnchor>
  <cdr:relSizeAnchor xmlns:cdr="http://schemas.openxmlformats.org/drawingml/2006/chartDrawing">
    <cdr:from>
      <cdr:x>0.22535</cdr:x>
      <cdr:y>0.1605</cdr:y>
    </cdr:from>
    <cdr:to>
      <cdr:x>0.27784</cdr:x>
      <cdr:y>0.213</cdr:y>
    </cdr:to>
    <cdr:sp macro="" textlink="">
      <cdr:nvSpPr>
        <cdr:cNvPr id="7" name="Szövegdoboz 3"/>
        <cdr:cNvSpPr txBox="1"/>
      </cdr:nvSpPr>
      <cdr:spPr>
        <a:xfrm xmlns:a="http://schemas.openxmlformats.org/drawingml/2006/main">
          <a:off x="1431125" y="764381"/>
          <a:ext cx="333353" cy="2500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db</a:t>
          </a:r>
        </a:p>
      </cdr:txBody>
    </cdr:sp>
  </cdr:relSizeAnchor>
  <cdr:relSizeAnchor xmlns:cdr="http://schemas.openxmlformats.org/drawingml/2006/chartDrawing">
    <cdr:from>
      <cdr:x>0.83586</cdr:x>
      <cdr:y>0.94889</cdr:y>
    </cdr:from>
    <cdr:to>
      <cdr:x>0.99226</cdr:x>
      <cdr:y>0.99111</cdr:y>
    </cdr:to>
    <cdr:sp macro="" textlink="">
      <cdr:nvSpPr>
        <cdr:cNvPr id="10" name="Szövegdoboz 1"/>
        <cdr:cNvSpPr txBox="1"/>
      </cdr:nvSpPr>
      <cdr:spPr>
        <a:xfrm xmlns:a="http://schemas.openxmlformats.org/drawingml/2006/main">
          <a:off x="5259917" y="4519083"/>
          <a:ext cx="984250" cy="201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800" b="0">
              <a:latin typeface="Times New Roman" pitchFamily="18" charset="0"/>
              <a:cs typeface="Times New Roman" pitchFamily="18" charset="0"/>
            </a:rPr>
            <a:t>Forrás:</a:t>
          </a:r>
          <a:r>
            <a:rPr lang="hu-HU" sz="800" b="0" baseline="0">
              <a:latin typeface="Times New Roman" pitchFamily="18" charset="0"/>
              <a:cs typeface="Times New Roman" pitchFamily="18" charset="0"/>
            </a:rPr>
            <a:t> ENYÜBS</a:t>
          </a:r>
          <a:endParaRPr lang="hu-HU" sz="800" b="0">
            <a:latin typeface="Times New Roman" pitchFamily="18" charset="0"/>
            <a:cs typeface="Times New Roman" pitchFamily="18" charset="0"/>
          </a:endParaRP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1714500</xdr:colOff>
      <xdr:row>13</xdr:row>
      <xdr:rowOff>82550</xdr:rowOff>
    </xdr:from>
    <xdr:to>
      <xdr:col>9</xdr:col>
      <xdr:colOff>23743</xdr:colOff>
      <xdr:row>42</xdr:row>
      <xdr:rowOff>81998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1727200</xdr:colOff>
      <xdr:row>43</xdr:row>
      <xdr:rowOff>50800</xdr:rowOff>
    </xdr:from>
    <xdr:to>
      <xdr:col>9</xdr:col>
      <xdr:colOff>36443</xdr:colOff>
      <xdr:row>72</xdr:row>
      <xdr:rowOff>50248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0.91771</cdr:x>
      <cdr:y>0.1178</cdr:y>
    </cdr:from>
    <cdr:to>
      <cdr:x>0.98145</cdr:x>
      <cdr:y>0.1653</cdr:y>
    </cdr:to>
    <cdr:sp macro="" textlink="">
      <cdr:nvSpPr>
        <cdr:cNvPr id="8" name="Szövegdoboz 2"/>
        <cdr:cNvSpPr txBox="1"/>
      </cdr:nvSpPr>
      <cdr:spPr>
        <a:xfrm xmlns:a="http://schemas.openxmlformats.org/drawingml/2006/main">
          <a:off x="7685670" y="551657"/>
          <a:ext cx="533813" cy="2224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  %</a:t>
          </a:r>
        </a:p>
      </cdr:txBody>
    </cdr:sp>
  </cdr:relSizeAnchor>
  <cdr:relSizeAnchor xmlns:cdr="http://schemas.openxmlformats.org/drawingml/2006/chartDrawing">
    <cdr:from>
      <cdr:x>0.2263</cdr:x>
      <cdr:y>0.10796</cdr:y>
    </cdr:from>
    <cdr:to>
      <cdr:x>0.27879</cdr:x>
      <cdr:y>0.16046</cdr:y>
    </cdr:to>
    <cdr:sp macro="" textlink="">
      <cdr:nvSpPr>
        <cdr:cNvPr id="9" name="Szövegdoboz 3"/>
        <cdr:cNvSpPr txBox="1"/>
      </cdr:nvSpPr>
      <cdr:spPr>
        <a:xfrm xmlns:a="http://schemas.openxmlformats.org/drawingml/2006/main">
          <a:off x="1895212" y="505579"/>
          <a:ext cx="439596" cy="2458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db</a:t>
          </a:r>
        </a:p>
      </cdr:txBody>
    </cdr:sp>
  </cdr:relSizeAnchor>
  <cdr:relSizeAnchor xmlns:cdr="http://schemas.openxmlformats.org/drawingml/2006/chartDrawing">
    <cdr:from>
      <cdr:x>0.50917</cdr:x>
      <cdr:y>0.12612</cdr:y>
    </cdr:from>
    <cdr:to>
      <cdr:x>0.67729</cdr:x>
      <cdr:y>0.18212</cdr:y>
    </cdr:to>
    <cdr:sp macro="" textlink="">
      <cdr:nvSpPr>
        <cdr:cNvPr id="12" name="Szövegdoboz 1"/>
        <cdr:cNvSpPr txBox="1"/>
      </cdr:nvSpPr>
      <cdr:spPr>
        <a:xfrm xmlns:a="http://schemas.openxmlformats.org/drawingml/2006/main">
          <a:off x="3436503" y="602232"/>
          <a:ext cx="1134685" cy="2674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400" b="1">
              <a:latin typeface="Times New Roman" pitchFamily="18" charset="0"/>
              <a:cs typeface="Times New Roman" pitchFamily="18" charset="0"/>
            </a:rPr>
            <a:t>Országos</a:t>
          </a:r>
        </a:p>
      </cdr:txBody>
    </cdr:sp>
  </cdr:relSizeAnchor>
  <cdr:relSizeAnchor xmlns:cdr="http://schemas.openxmlformats.org/drawingml/2006/chartDrawing">
    <cdr:from>
      <cdr:x>0.83586</cdr:x>
      <cdr:y>0.94889</cdr:y>
    </cdr:from>
    <cdr:to>
      <cdr:x>0.99226</cdr:x>
      <cdr:y>0.99111</cdr:y>
    </cdr:to>
    <cdr:sp macro="" textlink="">
      <cdr:nvSpPr>
        <cdr:cNvPr id="17" name="Szövegdoboz 1"/>
        <cdr:cNvSpPr txBox="1"/>
      </cdr:nvSpPr>
      <cdr:spPr>
        <a:xfrm xmlns:a="http://schemas.openxmlformats.org/drawingml/2006/main">
          <a:off x="5259917" y="4519083"/>
          <a:ext cx="984250" cy="201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800" b="0">
              <a:latin typeface="Times New Roman" pitchFamily="18" charset="0"/>
              <a:cs typeface="Times New Roman" pitchFamily="18" charset="0"/>
            </a:rPr>
            <a:t>Forrás:</a:t>
          </a:r>
          <a:r>
            <a:rPr lang="hu-HU" sz="800" b="0" baseline="0">
              <a:latin typeface="Times New Roman" pitchFamily="18" charset="0"/>
              <a:cs typeface="Times New Roman" pitchFamily="18" charset="0"/>
            </a:rPr>
            <a:t> ENYÜBS</a:t>
          </a:r>
          <a:endParaRPr lang="hu-HU" sz="800" b="0">
            <a:latin typeface="Times New Roman" pitchFamily="18" charset="0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0.84186</cdr:x>
      <cdr:y>0.54255</cdr:y>
    </cdr:from>
    <cdr:to>
      <cdr:x>0.89713</cdr:x>
      <cdr:y>0.58843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5657850" y="2590800"/>
          <a:ext cx="37147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0.91771</cdr:x>
      <cdr:y>0.1178</cdr:y>
    </cdr:from>
    <cdr:to>
      <cdr:x>0.98145</cdr:x>
      <cdr:y>0.1653</cdr:y>
    </cdr:to>
    <cdr:sp macro="" textlink="">
      <cdr:nvSpPr>
        <cdr:cNvPr id="8" name="Szövegdoboz 2"/>
        <cdr:cNvSpPr txBox="1"/>
      </cdr:nvSpPr>
      <cdr:spPr>
        <a:xfrm xmlns:a="http://schemas.openxmlformats.org/drawingml/2006/main">
          <a:off x="7685670" y="551657"/>
          <a:ext cx="533813" cy="2224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  %</a:t>
          </a:r>
        </a:p>
      </cdr:txBody>
    </cdr:sp>
  </cdr:relSizeAnchor>
  <cdr:relSizeAnchor xmlns:cdr="http://schemas.openxmlformats.org/drawingml/2006/chartDrawing">
    <cdr:from>
      <cdr:x>0.2263</cdr:x>
      <cdr:y>0.10796</cdr:y>
    </cdr:from>
    <cdr:to>
      <cdr:x>0.27879</cdr:x>
      <cdr:y>0.16046</cdr:y>
    </cdr:to>
    <cdr:sp macro="" textlink="">
      <cdr:nvSpPr>
        <cdr:cNvPr id="9" name="Szövegdoboz 3"/>
        <cdr:cNvSpPr txBox="1"/>
      </cdr:nvSpPr>
      <cdr:spPr>
        <a:xfrm xmlns:a="http://schemas.openxmlformats.org/drawingml/2006/main">
          <a:off x="1895212" y="505579"/>
          <a:ext cx="439596" cy="2458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db</a:t>
          </a:r>
        </a:p>
      </cdr:txBody>
    </cdr:sp>
  </cdr:relSizeAnchor>
  <cdr:relSizeAnchor xmlns:cdr="http://schemas.openxmlformats.org/drawingml/2006/chartDrawing">
    <cdr:from>
      <cdr:x>0.50917</cdr:x>
      <cdr:y>0.12612</cdr:y>
    </cdr:from>
    <cdr:to>
      <cdr:x>0.67729</cdr:x>
      <cdr:y>0.18212</cdr:y>
    </cdr:to>
    <cdr:sp macro="" textlink="">
      <cdr:nvSpPr>
        <cdr:cNvPr id="12" name="Szövegdoboz 1"/>
        <cdr:cNvSpPr txBox="1"/>
      </cdr:nvSpPr>
      <cdr:spPr>
        <a:xfrm xmlns:a="http://schemas.openxmlformats.org/drawingml/2006/main">
          <a:off x="3436503" y="602232"/>
          <a:ext cx="1134685" cy="2674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1400" b="1">
              <a:latin typeface="Times New Roman" pitchFamily="18" charset="0"/>
              <a:cs typeface="Times New Roman" pitchFamily="18" charset="0"/>
            </a:rPr>
            <a:t>Országos</a:t>
          </a:r>
        </a:p>
      </cdr:txBody>
    </cdr:sp>
  </cdr:relSizeAnchor>
  <cdr:relSizeAnchor xmlns:cdr="http://schemas.openxmlformats.org/drawingml/2006/chartDrawing">
    <cdr:from>
      <cdr:x>0.83586</cdr:x>
      <cdr:y>0.94889</cdr:y>
    </cdr:from>
    <cdr:to>
      <cdr:x>0.99226</cdr:x>
      <cdr:y>0.99111</cdr:y>
    </cdr:to>
    <cdr:sp macro="" textlink="">
      <cdr:nvSpPr>
        <cdr:cNvPr id="17" name="Szövegdoboz 1"/>
        <cdr:cNvSpPr txBox="1"/>
      </cdr:nvSpPr>
      <cdr:spPr>
        <a:xfrm xmlns:a="http://schemas.openxmlformats.org/drawingml/2006/main">
          <a:off x="5259917" y="4519083"/>
          <a:ext cx="984250" cy="201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hu-HU" sz="800" b="0">
              <a:latin typeface="Times New Roman" pitchFamily="18" charset="0"/>
              <a:cs typeface="Times New Roman" pitchFamily="18" charset="0"/>
            </a:rPr>
            <a:t>Forrás:</a:t>
          </a:r>
          <a:r>
            <a:rPr lang="hu-HU" sz="800" b="0" baseline="0">
              <a:latin typeface="Times New Roman" pitchFamily="18" charset="0"/>
              <a:cs typeface="Times New Roman" pitchFamily="18" charset="0"/>
            </a:rPr>
            <a:t> ENYÜBS</a:t>
          </a:r>
          <a:endParaRPr lang="hu-HU" sz="800" b="0">
            <a:latin typeface="Times New Roman" pitchFamily="18" charset="0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0.84186</cdr:x>
      <cdr:y>0.54255</cdr:y>
    </cdr:from>
    <cdr:to>
      <cdr:x>0.89713</cdr:x>
      <cdr:y>0.58843</cdr:y>
    </cdr:to>
    <cdr:sp macro="" textlink="">
      <cdr:nvSpPr>
        <cdr:cNvPr id="2" name="Szövegdoboz 1"/>
        <cdr:cNvSpPr txBox="1"/>
      </cdr:nvSpPr>
      <cdr:spPr>
        <a:xfrm xmlns:a="http://schemas.openxmlformats.org/drawingml/2006/main">
          <a:off x="5657850" y="2590800"/>
          <a:ext cx="37147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hu-HU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&#246;z&#246;s\2018\SZ&#193;MOL&#211;T&#193;BL&#193;K\Sz&#225;mol&#243;t&#225;bla_2017_ORSZ&#193;GOS%20&#193;TLAGG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ap"/>
      <sheetName val="táblázat_eljszerves sértettel"/>
      <sheetName val="országos átlag"/>
      <sheetName val="táblázat_eljszerves"/>
      <sheetName val="diagram"/>
      <sheetName val="kiembcs illter szerint"/>
      <sheetName val="180 napon túli"/>
      <sheetName val="illter_laknep_2005_2016"/>
      <sheetName val="RK_bcs"/>
      <sheetName val="ügyidő"/>
      <sheetName val="RK nyomered emb-káb"/>
      <sheetName val="RK nyomered lop-össz"/>
      <sheetName val="feldered_RK"/>
      <sheetName val="bírelé_vádem"/>
      <sheetName val="Bir_elé áll RK"/>
      <sheetName val="sértett"/>
      <sheetName val="bűnelkövetők"/>
      <sheetName val="táblázat_elkövetés helyes"/>
      <sheetName val="diagram_elkövhelyes"/>
      <sheetName val="csalás"/>
      <sheetName val="khfevisszaél"/>
      <sheetName val="Határzár (2)"/>
      <sheetName val="határzár"/>
      <sheetName val="település_bcs"/>
    </sheetNames>
    <sheetDataSet>
      <sheetData sheetId="0">
        <row r="1">
          <cell r="A1" t="str">
            <v>Baranya Megyei Rendőr-főkapitányság</v>
          </cell>
        </row>
      </sheetData>
      <sheetData sheetId="1"/>
      <sheetData sheetId="2"/>
      <sheetData sheetId="3">
        <row r="3">
          <cell r="B3" t="str">
            <v>2010. év</v>
          </cell>
          <cell r="C3" t="str">
            <v>2011. év</v>
          </cell>
          <cell r="D3" t="str">
            <v>2012. év</v>
          </cell>
          <cell r="E3" t="str">
            <v>2013. év</v>
          </cell>
          <cell r="F3" t="str">
            <v>2014. év</v>
          </cell>
          <cell r="G3" t="str">
            <v>2015. év</v>
          </cell>
          <cell r="H3" t="str">
            <v>2016. év</v>
          </cell>
          <cell r="I3" t="str">
            <v>2017. év</v>
          </cell>
        </row>
      </sheetData>
      <sheetData sheetId="4"/>
      <sheetData sheetId="5"/>
      <sheetData sheetId="6"/>
      <sheetData sheetId="7"/>
      <sheetData sheetId="8">
        <row r="2">
          <cell r="C2" t="str">
            <v>2010. év</v>
          </cell>
          <cell r="D2" t="str">
            <v>2011. év</v>
          </cell>
          <cell r="E2" t="str">
            <v>2012. év</v>
          </cell>
          <cell r="F2" t="str">
            <v>2013. év</v>
          </cell>
          <cell r="G2" t="str">
            <v>2014. év</v>
          </cell>
          <cell r="H2" t="str">
            <v>2015. év</v>
          </cell>
          <cell r="I2" t="str">
            <v>2016. év</v>
          </cell>
          <cell r="J2" t="str">
            <v>2017. év</v>
          </cell>
        </row>
      </sheetData>
      <sheetData sheetId="9"/>
      <sheetData sheetId="10">
        <row r="1">
          <cell r="C1">
            <v>0</v>
          </cell>
          <cell r="D1" t="str">
            <v>Emberölés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 t="str">
            <v>Szándékos befejezett emberölés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>
            <v>0</v>
          </cell>
          <cell r="AX1">
            <v>0</v>
          </cell>
          <cell r="AY1">
            <v>0</v>
          </cell>
          <cell r="AZ1" t="str">
            <v>Emberölés kísérlete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  <cell r="BH1">
            <v>0</v>
          </cell>
          <cell r="BI1">
            <v>0</v>
          </cell>
          <cell r="BJ1">
            <v>0</v>
          </cell>
          <cell r="BK1">
            <v>0</v>
          </cell>
          <cell r="BL1">
            <v>0</v>
          </cell>
          <cell r="BM1">
            <v>0</v>
          </cell>
          <cell r="BN1">
            <v>0</v>
          </cell>
          <cell r="BO1">
            <v>0</v>
          </cell>
          <cell r="BP1">
            <v>0</v>
          </cell>
          <cell r="BQ1">
            <v>0</v>
          </cell>
          <cell r="BR1">
            <v>0</v>
          </cell>
          <cell r="BS1">
            <v>0</v>
          </cell>
          <cell r="BT1">
            <v>0</v>
          </cell>
          <cell r="BU1">
            <v>0</v>
          </cell>
          <cell r="BV1">
            <v>0</v>
          </cell>
          <cell r="BW1">
            <v>0</v>
          </cell>
          <cell r="BX1" t="str">
            <v>Testi sértés</v>
          </cell>
          <cell r="BY1">
            <v>0</v>
          </cell>
          <cell r="BZ1">
            <v>0</v>
          </cell>
          <cell r="CA1">
            <v>0</v>
          </cell>
          <cell r="CB1">
            <v>0</v>
          </cell>
          <cell r="CC1">
            <v>0</v>
          </cell>
          <cell r="CD1">
            <v>0</v>
          </cell>
          <cell r="CE1">
            <v>0</v>
          </cell>
          <cell r="CF1">
            <v>0</v>
          </cell>
          <cell r="CG1">
            <v>0</v>
          </cell>
          <cell r="CH1">
            <v>0</v>
          </cell>
          <cell r="CI1">
            <v>0</v>
          </cell>
          <cell r="CJ1">
            <v>0</v>
          </cell>
          <cell r="CK1">
            <v>0</v>
          </cell>
          <cell r="CL1">
            <v>0</v>
          </cell>
          <cell r="CM1">
            <v>0</v>
          </cell>
          <cell r="CN1">
            <v>0</v>
          </cell>
          <cell r="CO1">
            <v>0</v>
          </cell>
          <cell r="CP1">
            <v>0</v>
          </cell>
          <cell r="CQ1">
            <v>0</v>
          </cell>
          <cell r="CR1">
            <v>0</v>
          </cell>
          <cell r="CS1">
            <v>0</v>
          </cell>
          <cell r="CT1">
            <v>0</v>
          </cell>
          <cell r="CU1">
            <v>0</v>
          </cell>
          <cell r="CV1" t="str">
            <v>Súlyos testi sértés</v>
          </cell>
          <cell r="CW1">
            <v>0</v>
          </cell>
          <cell r="CX1">
            <v>0</v>
          </cell>
          <cell r="CY1">
            <v>0</v>
          </cell>
          <cell r="CZ1">
            <v>0</v>
          </cell>
          <cell r="DA1">
            <v>0</v>
          </cell>
          <cell r="DB1">
            <v>0</v>
          </cell>
          <cell r="DC1">
            <v>0</v>
          </cell>
          <cell r="DD1">
            <v>0</v>
          </cell>
          <cell r="DE1">
            <v>0</v>
          </cell>
          <cell r="DF1">
            <v>0</v>
          </cell>
          <cell r="DG1">
            <v>0</v>
          </cell>
          <cell r="DH1">
            <v>0</v>
          </cell>
          <cell r="DI1">
            <v>0</v>
          </cell>
          <cell r="DJ1">
            <v>0</v>
          </cell>
          <cell r="DK1">
            <v>0</v>
          </cell>
          <cell r="DL1">
            <v>0</v>
          </cell>
          <cell r="DM1">
            <v>0</v>
          </cell>
          <cell r="DN1">
            <v>0</v>
          </cell>
          <cell r="DO1">
            <v>0</v>
          </cell>
          <cell r="DP1">
            <v>0</v>
          </cell>
          <cell r="DQ1">
            <v>0</v>
          </cell>
          <cell r="DR1">
            <v>0</v>
          </cell>
          <cell r="DS1">
            <v>0</v>
          </cell>
          <cell r="DT1" t="str">
            <v>Halált okozó testi sértés</v>
          </cell>
          <cell r="DU1">
            <v>0</v>
          </cell>
          <cell r="DV1">
            <v>0</v>
          </cell>
          <cell r="DW1">
            <v>0</v>
          </cell>
          <cell r="DX1">
            <v>0</v>
          </cell>
          <cell r="DY1">
            <v>0</v>
          </cell>
          <cell r="DZ1">
            <v>0</v>
          </cell>
          <cell r="EA1">
            <v>0</v>
          </cell>
          <cell r="EB1">
            <v>0</v>
          </cell>
          <cell r="EC1">
            <v>0</v>
          </cell>
          <cell r="ED1">
            <v>0</v>
          </cell>
          <cell r="EE1">
            <v>0</v>
          </cell>
          <cell r="EF1">
            <v>0</v>
          </cell>
          <cell r="EG1">
            <v>0</v>
          </cell>
          <cell r="EH1">
            <v>0</v>
          </cell>
          <cell r="EI1">
            <v>0</v>
          </cell>
          <cell r="EJ1">
            <v>0</v>
          </cell>
          <cell r="EK1">
            <v>0</v>
          </cell>
          <cell r="EL1">
            <v>0</v>
          </cell>
          <cell r="EM1">
            <v>0</v>
          </cell>
          <cell r="EN1">
            <v>0</v>
          </cell>
          <cell r="EO1">
            <v>0</v>
          </cell>
          <cell r="EP1">
            <v>0</v>
          </cell>
          <cell r="EQ1">
            <v>0</v>
          </cell>
          <cell r="ER1" t="str">
            <v>Kiskorú veszélyeztetése</v>
          </cell>
          <cell r="ES1">
            <v>0</v>
          </cell>
          <cell r="ET1">
            <v>0</v>
          </cell>
          <cell r="EU1">
            <v>0</v>
          </cell>
          <cell r="EV1">
            <v>0</v>
          </cell>
          <cell r="EW1">
            <v>0</v>
          </cell>
          <cell r="EX1">
            <v>0</v>
          </cell>
          <cell r="EY1">
            <v>0</v>
          </cell>
          <cell r="EZ1">
            <v>0</v>
          </cell>
          <cell r="FA1">
            <v>0</v>
          </cell>
          <cell r="FB1">
            <v>0</v>
          </cell>
          <cell r="FC1">
            <v>0</v>
          </cell>
          <cell r="FD1">
            <v>0</v>
          </cell>
          <cell r="FE1">
            <v>0</v>
          </cell>
          <cell r="FF1">
            <v>0</v>
          </cell>
          <cell r="FG1">
            <v>0</v>
          </cell>
          <cell r="FH1">
            <v>0</v>
          </cell>
          <cell r="FI1">
            <v>0</v>
          </cell>
          <cell r="FJ1">
            <v>0</v>
          </cell>
          <cell r="FK1">
            <v>0</v>
          </cell>
          <cell r="FL1">
            <v>0</v>
          </cell>
          <cell r="FM1">
            <v>0</v>
          </cell>
          <cell r="FN1">
            <v>0</v>
          </cell>
          <cell r="FO1">
            <v>0</v>
          </cell>
          <cell r="FP1" t="str">
            <v>Embercsempészés</v>
          </cell>
          <cell r="FQ1">
            <v>0</v>
          </cell>
          <cell r="FR1">
            <v>0</v>
          </cell>
          <cell r="FS1">
            <v>0</v>
          </cell>
          <cell r="FT1">
            <v>0</v>
          </cell>
          <cell r="FU1">
            <v>0</v>
          </cell>
          <cell r="FV1">
            <v>0</v>
          </cell>
          <cell r="FW1">
            <v>0</v>
          </cell>
          <cell r="FX1">
            <v>0</v>
          </cell>
          <cell r="FY1">
            <v>0</v>
          </cell>
          <cell r="FZ1">
            <v>0</v>
          </cell>
          <cell r="GA1">
            <v>0</v>
          </cell>
          <cell r="GB1">
            <v>0</v>
          </cell>
          <cell r="GC1">
            <v>0</v>
          </cell>
          <cell r="GD1">
            <v>0</v>
          </cell>
          <cell r="GE1">
            <v>0</v>
          </cell>
          <cell r="GF1">
            <v>0</v>
          </cell>
          <cell r="GG1">
            <v>0</v>
          </cell>
          <cell r="GH1">
            <v>0</v>
          </cell>
          <cell r="GI1">
            <v>0</v>
          </cell>
          <cell r="GJ1">
            <v>0</v>
          </cell>
          <cell r="GK1">
            <v>0</v>
          </cell>
          <cell r="GL1">
            <v>0</v>
          </cell>
          <cell r="GM1">
            <v>0</v>
          </cell>
          <cell r="GN1" t="str">
            <v>Garázdaság</v>
          </cell>
          <cell r="GO1">
            <v>0</v>
          </cell>
          <cell r="GP1">
            <v>0</v>
          </cell>
          <cell r="GQ1">
            <v>0</v>
          </cell>
          <cell r="GR1">
            <v>0</v>
          </cell>
          <cell r="GS1">
            <v>0</v>
          </cell>
          <cell r="GT1">
            <v>0</v>
          </cell>
          <cell r="GU1">
            <v>0</v>
          </cell>
          <cell r="GV1">
            <v>0</v>
          </cell>
          <cell r="GW1">
            <v>0</v>
          </cell>
          <cell r="GX1">
            <v>0</v>
          </cell>
          <cell r="GY1">
            <v>0</v>
          </cell>
          <cell r="GZ1">
            <v>0</v>
          </cell>
          <cell r="HA1">
            <v>0</v>
          </cell>
          <cell r="HB1">
            <v>0</v>
          </cell>
          <cell r="HC1">
            <v>0</v>
          </cell>
          <cell r="HD1">
            <v>0</v>
          </cell>
          <cell r="HE1">
            <v>0</v>
          </cell>
          <cell r="HF1">
            <v>0</v>
          </cell>
          <cell r="HG1">
            <v>0</v>
          </cell>
          <cell r="HH1">
            <v>0</v>
          </cell>
          <cell r="HI1">
            <v>0</v>
          </cell>
          <cell r="HJ1">
            <v>0</v>
          </cell>
          <cell r="HK1">
            <v>0</v>
          </cell>
          <cell r="HL1" t="str">
            <v>Önbíráskodás</v>
          </cell>
          <cell r="HM1">
            <v>0</v>
          </cell>
          <cell r="HN1">
            <v>0</v>
          </cell>
          <cell r="HO1">
            <v>0</v>
          </cell>
          <cell r="HP1">
            <v>0</v>
          </cell>
          <cell r="HQ1">
            <v>0</v>
          </cell>
          <cell r="HR1">
            <v>0</v>
          </cell>
          <cell r="HS1">
            <v>0</v>
          </cell>
          <cell r="HT1">
            <v>0</v>
          </cell>
          <cell r="HU1">
            <v>0</v>
          </cell>
          <cell r="HV1">
            <v>0</v>
          </cell>
          <cell r="HW1">
            <v>0</v>
          </cell>
          <cell r="HX1">
            <v>0</v>
          </cell>
          <cell r="HY1">
            <v>0</v>
          </cell>
          <cell r="HZ1">
            <v>0</v>
          </cell>
          <cell r="IA1">
            <v>0</v>
          </cell>
          <cell r="IB1">
            <v>0</v>
          </cell>
          <cell r="IC1">
            <v>0</v>
          </cell>
          <cell r="ID1">
            <v>0</v>
          </cell>
          <cell r="IE1">
            <v>0</v>
          </cell>
          <cell r="IF1">
            <v>0</v>
          </cell>
          <cell r="IG1">
            <v>0</v>
          </cell>
          <cell r="IH1">
            <v>0</v>
          </cell>
          <cell r="II1">
            <v>0</v>
          </cell>
          <cell r="IJ1" t="str">
            <v>Kábítószerrel kapcsolatos bűncselekmények
(az 1978. évi IV. törvény alapján a visszaélés kábítószerrel - terjesztői magatartások tekintetében, a 2012. évi C. törvény alapján kábítószer-kereskedelem)</v>
          </cell>
          <cell r="IK1">
            <v>0</v>
          </cell>
          <cell r="IL1">
            <v>0</v>
          </cell>
          <cell r="IM1">
            <v>0</v>
          </cell>
          <cell r="IN1">
            <v>0</v>
          </cell>
          <cell r="IO1">
            <v>0</v>
          </cell>
          <cell r="IP1">
            <v>0</v>
          </cell>
          <cell r="IQ1">
            <v>0</v>
          </cell>
          <cell r="IR1">
            <v>0</v>
          </cell>
          <cell r="IS1">
            <v>0</v>
          </cell>
          <cell r="IT1">
            <v>0</v>
          </cell>
          <cell r="IU1">
            <v>0</v>
          </cell>
          <cell r="IV1">
            <v>0</v>
          </cell>
          <cell r="IW1">
            <v>0</v>
          </cell>
          <cell r="IX1">
            <v>0</v>
          </cell>
          <cell r="IY1">
            <v>0</v>
          </cell>
          <cell r="IZ1">
            <v>0</v>
          </cell>
          <cell r="JA1">
            <v>0</v>
          </cell>
          <cell r="JB1">
            <v>0</v>
          </cell>
          <cell r="JC1">
            <v>0</v>
          </cell>
          <cell r="JD1">
            <v>0</v>
          </cell>
          <cell r="JE1">
            <v>0</v>
          </cell>
          <cell r="JF1">
            <v>0</v>
          </cell>
          <cell r="JG1">
            <v>0</v>
          </cell>
          <cell r="JH1" t="str">
            <v>időszaki átlag 2013-2017</v>
          </cell>
          <cell r="JI1">
            <v>0</v>
          </cell>
          <cell r="JJ1">
            <v>0</v>
          </cell>
          <cell r="JK1">
            <v>0</v>
          </cell>
          <cell r="JL1">
            <v>0</v>
          </cell>
          <cell r="JM1">
            <v>0</v>
          </cell>
          <cell r="JN1">
            <v>0</v>
          </cell>
          <cell r="JO1">
            <v>0</v>
          </cell>
          <cell r="JP1">
            <v>0</v>
          </cell>
          <cell r="JQ1">
            <v>0</v>
          </cell>
          <cell r="JR1">
            <v>0</v>
          </cell>
          <cell r="JS1">
            <v>0</v>
          </cell>
          <cell r="JT1">
            <v>0</v>
          </cell>
          <cell r="JU1">
            <v>0</v>
          </cell>
          <cell r="JV1">
            <v>0</v>
          </cell>
          <cell r="JW1">
            <v>0</v>
          </cell>
          <cell r="JX1">
            <v>0</v>
          </cell>
          <cell r="JY1">
            <v>0</v>
          </cell>
          <cell r="JZ1">
            <v>0</v>
          </cell>
          <cell r="KA1">
            <v>0</v>
          </cell>
          <cell r="KB1">
            <v>0</v>
          </cell>
          <cell r="KC1">
            <v>0</v>
          </cell>
          <cell r="KD1">
            <v>0</v>
          </cell>
          <cell r="KE1">
            <v>0</v>
          </cell>
          <cell r="KF1">
            <v>0</v>
          </cell>
          <cell r="KG1">
            <v>0</v>
          </cell>
          <cell r="KH1">
            <v>0</v>
          </cell>
          <cell r="KI1">
            <v>0</v>
          </cell>
          <cell r="KJ1">
            <v>0</v>
          </cell>
          <cell r="KK1">
            <v>0</v>
          </cell>
          <cell r="KL1">
            <v>0</v>
          </cell>
          <cell r="KM1">
            <v>0</v>
          </cell>
          <cell r="KN1">
            <v>0</v>
          </cell>
        </row>
        <row r="2">
          <cell r="C2">
            <v>0</v>
          </cell>
          <cell r="D2" t="str">
            <v>2010. év</v>
          </cell>
          <cell r="E2">
            <v>0</v>
          </cell>
          <cell r="F2">
            <v>0</v>
          </cell>
          <cell r="G2" t="str">
            <v>2011. év</v>
          </cell>
          <cell r="H2">
            <v>0</v>
          </cell>
          <cell r="I2">
            <v>0</v>
          </cell>
          <cell r="J2" t="str">
            <v>2012. év</v>
          </cell>
          <cell r="K2">
            <v>0</v>
          </cell>
          <cell r="L2">
            <v>0</v>
          </cell>
          <cell r="M2" t="str">
            <v>2013. év</v>
          </cell>
          <cell r="N2">
            <v>0</v>
          </cell>
          <cell r="O2">
            <v>0</v>
          </cell>
          <cell r="P2" t="str">
            <v>2014. év</v>
          </cell>
          <cell r="Q2">
            <v>0</v>
          </cell>
          <cell r="R2">
            <v>0</v>
          </cell>
          <cell r="S2" t="str">
            <v>2015. év</v>
          </cell>
          <cell r="T2">
            <v>0</v>
          </cell>
          <cell r="U2">
            <v>0</v>
          </cell>
          <cell r="V2" t="str">
            <v>2016. év</v>
          </cell>
          <cell r="W2">
            <v>0</v>
          </cell>
          <cell r="X2">
            <v>0</v>
          </cell>
          <cell r="Y2" t="str">
            <v>2017. év</v>
          </cell>
          <cell r="Z2">
            <v>0</v>
          </cell>
          <cell r="AA2">
            <v>0</v>
          </cell>
          <cell r="AB2" t="str">
            <v>2010. év</v>
          </cell>
          <cell r="AC2">
            <v>0</v>
          </cell>
          <cell r="AD2">
            <v>0</v>
          </cell>
          <cell r="AE2" t="str">
            <v>2011. év</v>
          </cell>
          <cell r="AF2">
            <v>0</v>
          </cell>
          <cell r="AG2">
            <v>0</v>
          </cell>
          <cell r="AH2" t="str">
            <v>2012. év</v>
          </cell>
          <cell r="AI2">
            <v>0</v>
          </cell>
          <cell r="AJ2">
            <v>0</v>
          </cell>
          <cell r="AK2" t="str">
            <v>2013. év</v>
          </cell>
          <cell r="AL2">
            <v>0</v>
          </cell>
          <cell r="AM2">
            <v>0</v>
          </cell>
          <cell r="AN2" t="str">
            <v>2014. év</v>
          </cell>
          <cell r="AO2">
            <v>0</v>
          </cell>
          <cell r="AP2">
            <v>0</v>
          </cell>
          <cell r="AQ2" t="str">
            <v>2015. év</v>
          </cell>
          <cell r="AR2">
            <v>0</v>
          </cell>
          <cell r="AS2">
            <v>0</v>
          </cell>
          <cell r="AT2" t="str">
            <v>2016. év</v>
          </cell>
          <cell r="AU2">
            <v>0</v>
          </cell>
          <cell r="AV2">
            <v>0</v>
          </cell>
          <cell r="AW2" t="str">
            <v>2017. év</v>
          </cell>
          <cell r="AX2">
            <v>0</v>
          </cell>
          <cell r="AY2">
            <v>0</v>
          </cell>
          <cell r="AZ2" t="str">
            <v>2010. év</v>
          </cell>
          <cell r="BA2">
            <v>0</v>
          </cell>
          <cell r="BB2">
            <v>0</v>
          </cell>
          <cell r="BC2" t="str">
            <v>2011. év</v>
          </cell>
          <cell r="BD2">
            <v>0</v>
          </cell>
          <cell r="BE2">
            <v>0</v>
          </cell>
          <cell r="BF2" t="str">
            <v>2012. év</v>
          </cell>
          <cell r="BG2">
            <v>0</v>
          </cell>
          <cell r="BH2">
            <v>0</v>
          </cell>
          <cell r="BI2" t="str">
            <v>2013. év</v>
          </cell>
          <cell r="BJ2">
            <v>0</v>
          </cell>
          <cell r="BK2">
            <v>0</v>
          </cell>
          <cell r="BL2" t="str">
            <v>2014. év</v>
          </cell>
          <cell r="BM2">
            <v>0</v>
          </cell>
          <cell r="BN2">
            <v>0</v>
          </cell>
          <cell r="BO2" t="str">
            <v>2015. év</v>
          </cell>
          <cell r="BP2">
            <v>0</v>
          </cell>
          <cell r="BQ2">
            <v>0</v>
          </cell>
          <cell r="BR2" t="str">
            <v>2016. év</v>
          </cell>
          <cell r="BS2">
            <v>0</v>
          </cell>
          <cell r="BT2">
            <v>0</v>
          </cell>
          <cell r="BU2" t="str">
            <v>2017. év</v>
          </cell>
          <cell r="BV2">
            <v>0</v>
          </cell>
          <cell r="BW2">
            <v>0</v>
          </cell>
          <cell r="BX2" t="str">
            <v>2010. év</v>
          </cell>
          <cell r="BY2">
            <v>0</v>
          </cell>
          <cell r="BZ2">
            <v>0</v>
          </cell>
          <cell r="CA2" t="str">
            <v>2011. év</v>
          </cell>
          <cell r="CB2">
            <v>0</v>
          </cell>
          <cell r="CC2">
            <v>0</v>
          </cell>
          <cell r="CD2" t="str">
            <v>2012. év</v>
          </cell>
          <cell r="CE2">
            <v>0</v>
          </cell>
          <cell r="CF2">
            <v>0</v>
          </cell>
          <cell r="CG2" t="str">
            <v>2013. év</v>
          </cell>
          <cell r="CH2">
            <v>0</v>
          </cell>
          <cell r="CI2">
            <v>0</v>
          </cell>
          <cell r="CJ2" t="str">
            <v>2014. év</v>
          </cell>
          <cell r="CK2">
            <v>0</v>
          </cell>
          <cell r="CL2">
            <v>0</v>
          </cell>
          <cell r="CM2" t="str">
            <v>2015. év</v>
          </cell>
          <cell r="CN2">
            <v>0</v>
          </cell>
          <cell r="CO2">
            <v>0</v>
          </cell>
          <cell r="CP2" t="str">
            <v>2016. év</v>
          </cell>
          <cell r="CQ2">
            <v>0</v>
          </cell>
          <cell r="CR2">
            <v>0</v>
          </cell>
          <cell r="CS2" t="str">
            <v>2017. év</v>
          </cell>
          <cell r="CT2">
            <v>0</v>
          </cell>
          <cell r="CU2">
            <v>0</v>
          </cell>
          <cell r="CV2" t="str">
            <v>2010. év</v>
          </cell>
          <cell r="CW2">
            <v>0</v>
          </cell>
          <cell r="CX2">
            <v>0</v>
          </cell>
          <cell r="CY2" t="str">
            <v>2011. év</v>
          </cell>
          <cell r="CZ2">
            <v>0</v>
          </cell>
          <cell r="DA2">
            <v>0</v>
          </cell>
          <cell r="DB2" t="str">
            <v>2012. év</v>
          </cell>
          <cell r="DC2">
            <v>0</v>
          </cell>
          <cell r="DD2">
            <v>0</v>
          </cell>
          <cell r="DE2" t="str">
            <v>2013. év</v>
          </cell>
          <cell r="DF2">
            <v>0</v>
          </cell>
          <cell r="DG2">
            <v>0</v>
          </cell>
          <cell r="DH2" t="str">
            <v>2014. év</v>
          </cell>
          <cell r="DI2">
            <v>0</v>
          </cell>
          <cell r="DJ2">
            <v>0</v>
          </cell>
          <cell r="DK2" t="str">
            <v>2015. év</v>
          </cell>
          <cell r="DL2">
            <v>0</v>
          </cell>
          <cell r="DM2">
            <v>0</v>
          </cell>
          <cell r="DN2" t="str">
            <v>2016. év</v>
          </cell>
          <cell r="DO2">
            <v>0</v>
          </cell>
          <cell r="DP2">
            <v>0</v>
          </cell>
          <cell r="DQ2" t="str">
            <v>2017. év</v>
          </cell>
          <cell r="DR2">
            <v>0</v>
          </cell>
          <cell r="DS2">
            <v>0</v>
          </cell>
          <cell r="DT2" t="str">
            <v>2010. év</v>
          </cell>
          <cell r="DU2">
            <v>0</v>
          </cell>
          <cell r="DV2">
            <v>0</v>
          </cell>
          <cell r="DW2" t="str">
            <v>2011. év</v>
          </cell>
          <cell r="DX2">
            <v>0</v>
          </cell>
          <cell r="DY2">
            <v>0</v>
          </cell>
          <cell r="DZ2" t="str">
            <v>2012. év</v>
          </cell>
          <cell r="EA2">
            <v>0</v>
          </cell>
          <cell r="EB2">
            <v>0</v>
          </cell>
          <cell r="EC2" t="str">
            <v>2013. év</v>
          </cell>
          <cell r="ED2">
            <v>0</v>
          </cell>
          <cell r="EE2">
            <v>0</v>
          </cell>
          <cell r="EF2" t="str">
            <v>2014. év</v>
          </cell>
          <cell r="EG2">
            <v>0</v>
          </cell>
          <cell r="EH2">
            <v>0</v>
          </cell>
          <cell r="EI2" t="str">
            <v>2015. év</v>
          </cell>
          <cell r="EJ2">
            <v>0</v>
          </cell>
          <cell r="EK2">
            <v>0</v>
          </cell>
          <cell r="EL2" t="str">
            <v>2016. év</v>
          </cell>
          <cell r="EM2">
            <v>0</v>
          </cell>
          <cell r="EN2">
            <v>0</v>
          </cell>
          <cell r="EO2" t="str">
            <v>2017. év</v>
          </cell>
          <cell r="EP2">
            <v>0</v>
          </cell>
          <cell r="EQ2">
            <v>0</v>
          </cell>
          <cell r="ER2" t="str">
            <v>2010. év</v>
          </cell>
          <cell r="ES2">
            <v>0</v>
          </cell>
          <cell r="ET2">
            <v>0</v>
          </cell>
          <cell r="EU2" t="str">
            <v>2011. év</v>
          </cell>
          <cell r="EV2">
            <v>0</v>
          </cell>
          <cell r="EW2">
            <v>0</v>
          </cell>
          <cell r="EX2" t="str">
            <v>2012. év</v>
          </cell>
          <cell r="EY2">
            <v>0</v>
          </cell>
          <cell r="EZ2">
            <v>0</v>
          </cell>
          <cell r="FA2" t="str">
            <v>2013. év</v>
          </cell>
          <cell r="FB2">
            <v>0</v>
          </cell>
          <cell r="FC2">
            <v>0</v>
          </cell>
          <cell r="FD2" t="str">
            <v>2014. év</v>
          </cell>
          <cell r="FE2">
            <v>0</v>
          </cell>
          <cell r="FF2">
            <v>0</v>
          </cell>
          <cell r="FG2" t="str">
            <v>2015. év</v>
          </cell>
          <cell r="FH2">
            <v>0</v>
          </cell>
          <cell r="FI2">
            <v>0</v>
          </cell>
          <cell r="FJ2" t="str">
            <v>2016. év</v>
          </cell>
          <cell r="FK2">
            <v>0</v>
          </cell>
          <cell r="FL2">
            <v>0</v>
          </cell>
          <cell r="FM2" t="str">
            <v>2017. év</v>
          </cell>
          <cell r="FN2">
            <v>0</v>
          </cell>
          <cell r="FO2">
            <v>0</v>
          </cell>
          <cell r="FP2" t="str">
            <v>2010. év</v>
          </cell>
          <cell r="FQ2">
            <v>0</v>
          </cell>
          <cell r="FR2">
            <v>0</v>
          </cell>
          <cell r="FS2" t="str">
            <v>2011. év</v>
          </cell>
          <cell r="FT2">
            <v>0</v>
          </cell>
          <cell r="FU2">
            <v>0</v>
          </cell>
          <cell r="FV2" t="str">
            <v>2012. év</v>
          </cell>
          <cell r="FW2">
            <v>0</v>
          </cell>
          <cell r="FX2">
            <v>0</v>
          </cell>
          <cell r="FY2" t="str">
            <v>2013. év</v>
          </cell>
          <cell r="FZ2">
            <v>0</v>
          </cell>
          <cell r="GA2">
            <v>0</v>
          </cell>
          <cell r="GB2" t="str">
            <v>2014. év</v>
          </cell>
          <cell r="GC2">
            <v>0</v>
          </cell>
          <cell r="GD2">
            <v>0</v>
          </cell>
          <cell r="GE2" t="str">
            <v>2015. év</v>
          </cell>
          <cell r="GF2">
            <v>0</v>
          </cell>
          <cell r="GG2">
            <v>0</v>
          </cell>
          <cell r="GH2" t="str">
            <v>2016. év</v>
          </cell>
          <cell r="GI2">
            <v>0</v>
          </cell>
          <cell r="GJ2">
            <v>0</v>
          </cell>
          <cell r="GK2" t="str">
            <v>2017. év</v>
          </cell>
          <cell r="GL2">
            <v>0</v>
          </cell>
          <cell r="GM2">
            <v>0</v>
          </cell>
          <cell r="GN2" t="str">
            <v>2010. év</v>
          </cell>
          <cell r="GO2">
            <v>0</v>
          </cell>
          <cell r="GP2">
            <v>0</v>
          </cell>
          <cell r="GQ2" t="str">
            <v>2011. év</v>
          </cell>
          <cell r="GR2">
            <v>0</v>
          </cell>
          <cell r="GS2">
            <v>0</v>
          </cell>
          <cell r="GT2" t="str">
            <v>2012. év</v>
          </cell>
          <cell r="GU2">
            <v>0</v>
          </cell>
          <cell r="GV2">
            <v>0</v>
          </cell>
          <cell r="GW2" t="str">
            <v>2013. év</v>
          </cell>
          <cell r="GX2">
            <v>0</v>
          </cell>
          <cell r="GY2">
            <v>0</v>
          </cell>
          <cell r="GZ2" t="str">
            <v>2014. év</v>
          </cell>
          <cell r="HA2">
            <v>0</v>
          </cell>
          <cell r="HB2">
            <v>0</v>
          </cell>
          <cell r="HC2" t="str">
            <v>2015. év</v>
          </cell>
          <cell r="HD2">
            <v>0</v>
          </cell>
          <cell r="HE2">
            <v>0</v>
          </cell>
          <cell r="HF2" t="str">
            <v>2016. év</v>
          </cell>
          <cell r="HG2">
            <v>0</v>
          </cell>
          <cell r="HH2">
            <v>0</v>
          </cell>
          <cell r="HI2" t="str">
            <v>2017. év</v>
          </cell>
          <cell r="HJ2">
            <v>0</v>
          </cell>
          <cell r="HK2">
            <v>0</v>
          </cell>
          <cell r="HL2" t="str">
            <v>2010. év</v>
          </cell>
          <cell r="HM2">
            <v>0</v>
          </cell>
          <cell r="HN2">
            <v>0</v>
          </cell>
          <cell r="HO2" t="str">
            <v>2011. év</v>
          </cell>
          <cell r="HP2">
            <v>0</v>
          </cell>
          <cell r="HQ2">
            <v>0</v>
          </cell>
          <cell r="HR2" t="str">
            <v>2012. év</v>
          </cell>
          <cell r="HS2">
            <v>0</v>
          </cell>
          <cell r="HT2">
            <v>0</v>
          </cell>
          <cell r="HU2" t="str">
            <v>2013. év</v>
          </cell>
          <cell r="HV2">
            <v>0</v>
          </cell>
          <cell r="HW2">
            <v>0</v>
          </cell>
          <cell r="HX2" t="str">
            <v>2014. év</v>
          </cell>
          <cell r="HY2">
            <v>0</v>
          </cell>
          <cell r="HZ2">
            <v>0</v>
          </cell>
          <cell r="IA2" t="str">
            <v>2015. év</v>
          </cell>
          <cell r="IB2">
            <v>0</v>
          </cell>
          <cell r="IC2">
            <v>0</v>
          </cell>
          <cell r="ID2" t="str">
            <v>2016. év</v>
          </cell>
          <cell r="IE2">
            <v>0</v>
          </cell>
          <cell r="IF2">
            <v>0</v>
          </cell>
          <cell r="IG2" t="str">
            <v>2017. év</v>
          </cell>
          <cell r="IH2">
            <v>0</v>
          </cell>
          <cell r="II2">
            <v>0</v>
          </cell>
          <cell r="IJ2" t="str">
            <v>2010. év</v>
          </cell>
          <cell r="IK2">
            <v>0</v>
          </cell>
          <cell r="IL2">
            <v>0</v>
          </cell>
          <cell r="IM2" t="str">
            <v>2011. év</v>
          </cell>
          <cell r="IN2">
            <v>0</v>
          </cell>
          <cell r="IO2">
            <v>0</v>
          </cell>
          <cell r="IP2" t="str">
            <v>2012. év</v>
          </cell>
          <cell r="IQ2">
            <v>0</v>
          </cell>
          <cell r="IR2">
            <v>0</v>
          </cell>
          <cell r="IS2" t="str">
            <v>2013. év</v>
          </cell>
          <cell r="IT2">
            <v>0</v>
          </cell>
          <cell r="IU2">
            <v>0</v>
          </cell>
          <cell r="IV2" t="str">
            <v>2014. év</v>
          </cell>
          <cell r="IW2">
            <v>0</v>
          </cell>
          <cell r="IX2">
            <v>0</v>
          </cell>
          <cell r="IY2" t="str">
            <v>2015. év</v>
          </cell>
          <cell r="IZ2">
            <v>0</v>
          </cell>
          <cell r="JA2">
            <v>0</v>
          </cell>
          <cell r="JB2" t="str">
            <v>2016. év</v>
          </cell>
          <cell r="JC2">
            <v>0</v>
          </cell>
          <cell r="JD2">
            <v>0</v>
          </cell>
          <cell r="JE2" t="str">
            <v>2017. év</v>
          </cell>
          <cell r="JF2">
            <v>0</v>
          </cell>
          <cell r="JG2">
            <v>0</v>
          </cell>
          <cell r="JH2" t="str">
            <v>Emberölés</v>
          </cell>
          <cell r="JI2">
            <v>0</v>
          </cell>
          <cell r="JJ2">
            <v>0</v>
          </cell>
          <cell r="JK2" t="str">
            <v>Szándékos befejezett emberölés</v>
          </cell>
          <cell r="JL2">
            <v>0</v>
          </cell>
          <cell r="JM2">
            <v>0</v>
          </cell>
          <cell r="JN2" t="str">
            <v>Emberölés kísérlete</v>
          </cell>
          <cell r="JO2">
            <v>0</v>
          </cell>
          <cell r="JP2">
            <v>0</v>
          </cell>
          <cell r="JQ2" t="str">
            <v>Testi sértés</v>
          </cell>
          <cell r="JR2">
            <v>0</v>
          </cell>
          <cell r="JS2">
            <v>0</v>
          </cell>
          <cell r="JT2" t="str">
            <v>Súlyos testi sértés</v>
          </cell>
          <cell r="JU2">
            <v>0</v>
          </cell>
          <cell r="JV2">
            <v>0</v>
          </cell>
          <cell r="JW2" t="str">
            <v>Halált okozó testi sértés</v>
          </cell>
          <cell r="JX2">
            <v>0</v>
          </cell>
          <cell r="JY2">
            <v>0</v>
          </cell>
          <cell r="JZ2" t="str">
            <v>Kiskorú veszélyeztetése</v>
          </cell>
          <cell r="KA2">
            <v>0</v>
          </cell>
          <cell r="KB2">
            <v>0</v>
          </cell>
          <cell r="KC2" t="str">
            <v>Embercsempészés</v>
          </cell>
          <cell r="KD2">
            <v>0</v>
          </cell>
          <cell r="KE2">
            <v>0</v>
          </cell>
          <cell r="KF2" t="str">
            <v>Garázdaság</v>
          </cell>
          <cell r="KG2">
            <v>0</v>
          </cell>
          <cell r="KH2">
            <v>0</v>
          </cell>
          <cell r="KI2" t="str">
            <v>Önbíráskodás</v>
          </cell>
          <cell r="KJ2">
            <v>0</v>
          </cell>
          <cell r="KK2">
            <v>0</v>
          </cell>
          <cell r="KL2" t="str">
            <v>Kábítószerrel kapcsolatos bűncselekmények
(az 1978. évi IV. törvény alapján a visszaélés kábítószerrel - terjesztői magatartások tekintetében, a 2012. évi C. törvény alapján kábítószer-kereskedelem)</v>
          </cell>
          <cell r="KM2">
            <v>0</v>
          </cell>
          <cell r="KN2">
            <v>0</v>
          </cell>
        </row>
        <row r="3">
          <cell r="C3">
            <v>0</v>
          </cell>
          <cell r="D3" t="str">
            <v>eredményes</v>
          </cell>
          <cell r="E3" t="str">
            <v>eredménytelen</v>
          </cell>
          <cell r="F3" t="str">
            <v>nyomozás eredményesség</v>
          </cell>
          <cell r="G3" t="str">
            <v>eredményes</v>
          </cell>
          <cell r="H3" t="str">
            <v>eredménytelen</v>
          </cell>
          <cell r="I3" t="str">
            <v>nyomozás eredményesség</v>
          </cell>
          <cell r="J3" t="str">
            <v>eredményes</v>
          </cell>
          <cell r="K3" t="str">
            <v>eredménytelen</v>
          </cell>
          <cell r="L3" t="str">
            <v>nyomozás eredményesség</v>
          </cell>
          <cell r="M3" t="str">
            <v>eredményes</v>
          </cell>
          <cell r="N3" t="str">
            <v>eredménytelen</v>
          </cell>
          <cell r="O3" t="str">
            <v>nyomozás eredményesség</v>
          </cell>
          <cell r="P3" t="str">
            <v>eredményes</v>
          </cell>
          <cell r="Q3" t="str">
            <v>eredménytelen</v>
          </cell>
          <cell r="R3" t="str">
            <v>nyomozás eredményesség</v>
          </cell>
          <cell r="S3" t="str">
            <v>eredményes</v>
          </cell>
          <cell r="T3" t="str">
            <v>eredménytelen</v>
          </cell>
          <cell r="U3" t="str">
            <v>nyomozás eredményesség</v>
          </cell>
          <cell r="V3" t="str">
            <v>eredményes</v>
          </cell>
          <cell r="W3" t="str">
            <v>eredménytelen</v>
          </cell>
          <cell r="X3" t="str">
            <v>nyomozás eredményesség</v>
          </cell>
          <cell r="Y3" t="str">
            <v>eredményes</v>
          </cell>
          <cell r="Z3" t="str">
            <v>eredménytelen</v>
          </cell>
          <cell r="AA3" t="str">
            <v>nyomozás eredményesség</v>
          </cell>
          <cell r="AB3" t="str">
            <v>eredményes</v>
          </cell>
          <cell r="AC3" t="str">
            <v>eredménytelen</v>
          </cell>
          <cell r="AD3" t="str">
            <v>nyomozás eredményesség</v>
          </cell>
          <cell r="AE3" t="str">
            <v>eredményes</v>
          </cell>
          <cell r="AF3" t="str">
            <v>eredménytelen</v>
          </cell>
          <cell r="AG3" t="str">
            <v>nyomozás eredményesség</v>
          </cell>
          <cell r="AH3" t="str">
            <v>eredményes</v>
          </cell>
          <cell r="AI3" t="str">
            <v>eredménytelen</v>
          </cell>
          <cell r="AJ3" t="str">
            <v>nyomozás eredményesség</v>
          </cell>
          <cell r="AK3" t="str">
            <v>eredményes</v>
          </cell>
          <cell r="AL3" t="str">
            <v>eredménytelen</v>
          </cell>
          <cell r="AM3" t="str">
            <v>nyomozás eredményesség</v>
          </cell>
          <cell r="AN3" t="str">
            <v>eredményes</v>
          </cell>
          <cell r="AO3" t="str">
            <v>eredménytelen</v>
          </cell>
          <cell r="AP3" t="str">
            <v>nyomozás eredményesség</v>
          </cell>
          <cell r="AQ3" t="str">
            <v>eredményes</v>
          </cell>
          <cell r="AR3" t="str">
            <v>eredménytelen</v>
          </cell>
          <cell r="AS3" t="str">
            <v>nyomozás eredményesség</v>
          </cell>
          <cell r="AT3" t="str">
            <v>eredményes</v>
          </cell>
          <cell r="AU3" t="str">
            <v>eredménytelen</v>
          </cell>
          <cell r="AV3" t="str">
            <v>nyomozás eredményesség</v>
          </cell>
          <cell r="AW3" t="str">
            <v>eredményes</v>
          </cell>
          <cell r="AX3" t="str">
            <v>eredménytelen</v>
          </cell>
          <cell r="AY3" t="str">
            <v>nyomozás eredményesség</v>
          </cell>
          <cell r="AZ3" t="str">
            <v>eredményes</v>
          </cell>
          <cell r="BA3" t="str">
            <v>eredménytelen</v>
          </cell>
          <cell r="BB3" t="str">
            <v>nyomozás eredményesség</v>
          </cell>
          <cell r="BC3" t="str">
            <v>eredményes</v>
          </cell>
          <cell r="BD3" t="str">
            <v>eredménytelen</v>
          </cell>
          <cell r="BE3" t="str">
            <v>nyomozás eredményesség</v>
          </cell>
          <cell r="BF3" t="str">
            <v>eredményes</v>
          </cell>
          <cell r="BG3" t="str">
            <v>eredménytelen</v>
          </cell>
          <cell r="BH3" t="str">
            <v>nyomozás eredményesség</v>
          </cell>
          <cell r="BI3" t="str">
            <v>eredményes</v>
          </cell>
          <cell r="BJ3" t="str">
            <v>eredménytelen</v>
          </cell>
          <cell r="BK3" t="str">
            <v>nyomozás eredményesség</v>
          </cell>
          <cell r="BL3" t="str">
            <v>eredményes</v>
          </cell>
          <cell r="BM3" t="str">
            <v>eredménytelen</v>
          </cell>
          <cell r="BN3" t="str">
            <v>nyomozás eredményesség</v>
          </cell>
          <cell r="BO3" t="str">
            <v>eredményes</v>
          </cell>
          <cell r="BP3" t="str">
            <v>eredménytelen</v>
          </cell>
          <cell r="BQ3" t="str">
            <v>nyomozás eredményesség</v>
          </cell>
          <cell r="BR3" t="str">
            <v>eredményes</v>
          </cell>
          <cell r="BS3" t="str">
            <v>eredménytelen</v>
          </cell>
          <cell r="BT3" t="str">
            <v>nyomozás eredményesség</v>
          </cell>
          <cell r="BU3" t="str">
            <v>eredményes</v>
          </cell>
          <cell r="BV3" t="str">
            <v>eredménytelen</v>
          </cell>
          <cell r="BW3" t="str">
            <v>nyomozás eredményesség</v>
          </cell>
          <cell r="BX3" t="str">
            <v>eredményes</v>
          </cell>
          <cell r="BY3" t="str">
            <v>eredménytelen</v>
          </cell>
          <cell r="BZ3" t="str">
            <v>nyomozás eredményesség</v>
          </cell>
          <cell r="CA3" t="str">
            <v>eredményes</v>
          </cell>
          <cell r="CB3" t="str">
            <v>eredménytelen</v>
          </cell>
          <cell r="CC3" t="str">
            <v>nyomozás eredményesség</v>
          </cell>
          <cell r="CD3" t="str">
            <v>eredményes</v>
          </cell>
          <cell r="CE3" t="str">
            <v>eredménytelen</v>
          </cell>
          <cell r="CF3" t="str">
            <v>nyomozás eredményesség</v>
          </cell>
          <cell r="CG3" t="str">
            <v>eredményes</v>
          </cell>
          <cell r="CH3" t="str">
            <v>eredménytelen</v>
          </cell>
          <cell r="CI3" t="str">
            <v>nyomozás eredményesség</v>
          </cell>
          <cell r="CJ3" t="str">
            <v>eredményes</v>
          </cell>
          <cell r="CK3" t="str">
            <v>eredménytelen</v>
          </cell>
          <cell r="CL3" t="str">
            <v>nyomozás eredményesség</v>
          </cell>
          <cell r="CM3" t="str">
            <v>eredményes</v>
          </cell>
          <cell r="CN3" t="str">
            <v>eredménytelen</v>
          </cell>
          <cell r="CO3" t="str">
            <v>nyomozás eredményesség</v>
          </cell>
          <cell r="CP3" t="str">
            <v>eredményes</v>
          </cell>
          <cell r="CQ3" t="str">
            <v>eredménytelen</v>
          </cell>
          <cell r="CR3" t="str">
            <v>nyomozás eredményesség</v>
          </cell>
          <cell r="CS3" t="str">
            <v>eredményes</v>
          </cell>
          <cell r="CT3" t="str">
            <v>eredménytelen</v>
          </cell>
          <cell r="CU3" t="str">
            <v>nyomozás eredményesség</v>
          </cell>
          <cell r="CV3" t="str">
            <v>eredményes</v>
          </cell>
          <cell r="CW3" t="str">
            <v>eredménytelen</v>
          </cell>
          <cell r="CX3" t="str">
            <v>nyomozás eredményesség</v>
          </cell>
          <cell r="CY3" t="str">
            <v>eredményes</v>
          </cell>
          <cell r="CZ3" t="str">
            <v>eredménytelen</v>
          </cell>
          <cell r="DA3" t="str">
            <v>nyomozás eredményesség</v>
          </cell>
          <cell r="DB3" t="str">
            <v>eredményes</v>
          </cell>
          <cell r="DC3" t="str">
            <v>eredménytelen</v>
          </cell>
          <cell r="DD3" t="str">
            <v>nyomozás eredményesség</v>
          </cell>
          <cell r="DE3" t="str">
            <v>eredményes</v>
          </cell>
          <cell r="DF3" t="str">
            <v>eredménytelen</v>
          </cell>
          <cell r="DG3" t="str">
            <v>nyomozás eredményesség</v>
          </cell>
          <cell r="DH3" t="str">
            <v>eredményes</v>
          </cell>
          <cell r="DI3" t="str">
            <v>eredménytelen</v>
          </cell>
          <cell r="DJ3" t="str">
            <v>nyomozás eredményesség</v>
          </cell>
          <cell r="DK3" t="str">
            <v>eredményes</v>
          </cell>
          <cell r="DL3" t="str">
            <v>eredménytelen</v>
          </cell>
          <cell r="DM3" t="str">
            <v>nyomozás eredményesség</v>
          </cell>
          <cell r="DN3" t="str">
            <v>eredményes</v>
          </cell>
          <cell r="DO3" t="str">
            <v>eredménytelen</v>
          </cell>
          <cell r="DP3" t="str">
            <v>nyomozás eredményesség</v>
          </cell>
          <cell r="DQ3" t="str">
            <v>eredményes</v>
          </cell>
          <cell r="DR3" t="str">
            <v>eredménytelen</v>
          </cell>
          <cell r="DS3" t="str">
            <v>nyomozás eredményesség</v>
          </cell>
          <cell r="DT3" t="str">
            <v>eredményes</v>
          </cell>
          <cell r="DU3" t="str">
            <v>eredménytelen</v>
          </cell>
          <cell r="DV3" t="str">
            <v>nyomozás eredményesség</v>
          </cell>
          <cell r="DW3" t="str">
            <v>eredményes</v>
          </cell>
          <cell r="DX3" t="str">
            <v>eredménytelen</v>
          </cell>
          <cell r="DY3" t="str">
            <v>nyomozás eredményesség</v>
          </cell>
          <cell r="DZ3" t="str">
            <v>eredményes</v>
          </cell>
          <cell r="EA3" t="str">
            <v>eredménytelen</v>
          </cell>
          <cell r="EB3" t="str">
            <v>nyomozás eredményesség</v>
          </cell>
          <cell r="EC3" t="str">
            <v>eredményes</v>
          </cell>
          <cell r="ED3" t="str">
            <v>eredménytelen</v>
          </cell>
          <cell r="EE3" t="str">
            <v>nyomozás eredményesség</v>
          </cell>
          <cell r="EF3" t="str">
            <v>eredményes</v>
          </cell>
          <cell r="EG3" t="str">
            <v>eredménytelen</v>
          </cell>
          <cell r="EH3" t="str">
            <v>nyomozás eredményesség</v>
          </cell>
          <cell r="EI3" t="str">
            <v>eredményes</v>
          </cell>
          <cell r="EJ3" t="str">
            <v>eredménytelen</v>
          </cell>
          <cell r="EK3" t="str">
            <v>nyomozás eredményesség</v>
          </cell>
          <cell r="EL3" t="str">
            <v>eredményes</v>
          </cell>
          <cell r="EM3" t="str">
            <v>eredménytelen</v>
          </cell>
          <cell r="EN3" t="str">
            <v>nyomozás eredményesség</v>
          </cell>
          <cell r="EO3" t="str">
            <v>eredményes</v>
          </cell>
          <cell r="EP3" t="str">
            <v>eredménytelen</v>
          </cell>
          <cell r="EQ3" t="str">
            <v>nyomozás eredményesség</v>
          </cell>
          <cell r="ER3" t="str">
            <v>eredményes</v>
          </cell>
          <cell r="ES3" t="str">
            <v>eredménytelen</v>
          </cell>
          <cell r="ET3" t="str">
            <v>nyomozás eredményesség</v>
          </cell>
          <cell r="EU3" t="str">
            <v>eredményes</v>
          </cell>
          <cell r="EV3" t="str">
            <v>eredménytelen</v>
          </cell>
          <cell r="EW3" t="str">
            <v>nyomozás eredményesség</v>
          </cell>
          <cell r="EX3" t="str">
            <v>eredményes</v>
          </cell>
          <cell r="EY3" t="str">
            <v>eredménytelen</v>
          </cell>
          <cell r="EZ3" t="str">
            <v>nyomozás eredményesség</v>
          </cell>
          <cell r="FA3" t="str">
            <v>eredményes</v>
          </cell>
          <cell r="FB3" t="str">
            <v>eredménytelen</v>
          </cell>
          <cell r="FC3" t="str">
            <v>nyomozás eredményesség</v>
          </cell>
          <cell r="FD3" t="str">
            <v>eredményes</v>
          </cell>
          <cell r="FE3" t="str">
            <v>eredménytelen</v>
          </cell>
          <cell r="FF3" t="str">
            <v>nyomozás eredményesség</v>
          </cell>
          <cell r="FG3" t="str">
            <v>eredményes</v>
          </cell>
          <cell r="FH3" t="str">
            <v>eredménytelen</v>
          </cell>
          <cell r="FI3" t="str">
            <v>nyomozás eredményesség</v>
          </cell>
          <cell r="FJ3" t="str">
            <v>eredményes</v>
          </cell>
          <cell r="FK3" t="str">
            <v>eredménytelen</v>
          </cell>
          <cell r="FL3" t="str">
            <v>nyomozás eredményesség</v>
          </cell>
          <cell r="FM3" t="str">
            <v>eredményes</v>
          </cell>
          <cell r="FN3" t="str">
            <v>eredménytelen</v>
          </cell>
          <cell r="FO3" t="str">
            <v>nyomozás eredményesség</v>
          </cell>
          <cell r="FP3" t="str">
            <v>eredményes</v>
          </cell>
          <cell r="FQ3" t="str">
            <v>eredménytelen</v>
          </cell>
          <cell r="FR3" t="str">
            <v>nyomozás eredményesség</v>
          </cell>
          <cell r="FS3" t="str">
            <v>eredményes</v>
          </cell>
          <cell r="FT3" t="str">
            <v>eredménytelen</v>
          </cell>
          <cell r="FU3" t="str">
            <v>nyomozás eredményesség</v>
          </cell>
          <cell r="FV3" t="str">
            <v>eredményes</v>
          </cell>
          <cell r="FW3" t="str">
            <v>eredménytelen</v>
          </cell>
          <cell r="FX3" t="str">
            <v>nyomozás eredményesség</v>
          </cell>
          <cell r="FY3" t="str">
            <v>eredményes</v>
          </cell>
          <cell r="FZ3" t="str">
            <v>eredménytelen</v>
          </cell>
          <cell r="GA3" t="str">
            <v>nyomozás eredményesség</v>
          </cell>
          <cell r="GB3" t="str">
            <v>eredményes</v>
          </cell>
          <cell r="GC3" t="str">
            <v>eredménytelen</v>
          </cell>
          <cell r="GD3" t="str">
            <v>nyomozás eredményesség</v>
          </cell>
          <cell r="GE3" t="str">
            <v>eredményes</v>
          </cell>
          <cell r="GF3" t="str">
            <v>eredménytelen</v>
          </cell>
          <cell r="GG3" t="str">
            <v>nyomozás eredményesség</v>
          </cell>
          <cell r="GH3" t="str">
            <v>eredményes</v>
          </cell>
          <cell r="GI3" t="str">
            <v>eredménytelen</v>
          </cell>
          <cell r="GJ3" t="str">
            <v>nyomozás eredményesség</v>
          </cell>
          <cell r="GK3" t="str">
            <v>eredményes</v>
          </cell>
          <cell r="GL3" t="str">
            <v>eredménytelen</v>
          </cell>
          <cell r="GM3" t="str">
            <v>nyomozás eredményesség</v>
          </cell>
          <cell r="GN3" t="str">
            <v>eredményes</v>
          </cell>
          <cell r="GO3" t="str">
            <v>eredménytelen</v>
          </cell>
          <cell r="GP3" t="str">
            <v>nyomozás eredményesség</v>
          </cell>
          <cell r="GQ3" t="str">
            <v>eredményes</v>
          </cell>
          <cell r="GR3" t="str">
            <v>eredménytelen</v>
          </cell>
          <cell r="GS3" t="str">
            <v>nyomozás eredményesség</v>
          </cell>
          <cell r="GT3" t="str">
            <v>eredményes</v>
          </cell>
          <cell r="GU3" t="str">
            <v>eredménytelen</v>
          </cell>
          <cell r="GV3" t="str">
            <v>nyomozás eredményesség</v>
          </cell>
          <cell r="GW3" t="str">
            <v>eredményes</v>
          </cell>
          <cell r="GX3" t="str">
            <v>eredménytelen</v>
          </cell>
          <cell r="GY3" t="str">
            <v>nyomozás eredményesség</v>
          </cell>
          <cell r="GZ3" t="str">
            <v>eredményes</v>
          </cell>
          <cell r="HA3" t="str">
            <v>eredménytelen</v>
          </cell>
          <cell r="HB3" t="str">
            <v>nyomozás eredményesség</v>
          </cell>
          <cell r="HC3" t="str">
            <v>eredményes</v>
          </cell>
          <cell r="HD3" t="str">
            <v>eredménytelen</v>
          </cell>
          <cell r="HE3" t="str">
            <v>nyomozás eredményesség</v>
          </cell>
          <cell r="HF3" t="str">
            <v>eredményes</v>
          </cell>
          <cell r="HG3" t="str">
            <v>eredménytelen</v>
          </cell>
          <cell r="HH3" t="str">
            <v>nyomozás eredményesség</v>
          </cell>
          <cell r="HI3" t="str">
            <v>eredményes</v>
          </cell>
          <cell r="HJ3" t="str">
            <v>eredménytelen</v>
          </cell>
          <cell r="HK3" t="str">
            <v>nyomozás eredményesség</v>
          </cell>
          <cell r="HL3" t="str">
            <v>eredményes</v>
          </cell>
          <cell r="HM3" t="str">
            <v>eredménytelen</v>
          </cell>
          <cell r="HN3" t="str">
            <v>nyomozás eredményesség</v>
          </cell>
          <cell r="HO3" t="str">
            <v>eredményes</v>
          </cell>
          <cell r="HP3" t="str">
            <v>eredménytelen</v>
          </cell>
          <cell r="HQ3" t="str">
            <v>nyomozás eredményesség</v>
          </cell>
          <cell r="HR3" t="str">
            <v>eredményes</v>
          </cell>
          <cell r="HS3" t="str">
            <v>eredménytelen</v>
          </cell>
          <cell r="HT3" t="str">
            <v>nyomozás eredményesség</v>
          </cell>
          <cell r="HU3" t="str">
            <v>eredményes</v>
          </cell>
          <cell r="HV3" t="str">
            <v>eredménytelen</v>
          </cell>
          <cell r="HW3" t="str">
            <v>nyomozás eredményesség</v>
          </cell>
          <cell r="HX3" t="str">
            <v>eredményes</v>
          </cell>
          <cell r="HY3" t="str">
            <v>eredménytelen</v>
          </cell>
          <cell r="HZ3" t="str">
            <v>nyomozás eredményesség</v>
          </cell>
          <cell r="IA3" t="str">
            <v>eredményes</v>
          </cell>
          <cell r="IB3" t="str">
            <v>eredménytelen</v>
          </cell>
          <cell r="IC3" t="str">
            <v>nyomozás eredményesség</v>
          </cell>
          <cell r="ID3" t="str">
            <v>eredményes</v>
          </cell>
          <cell r="IE3" t="str">
            <v>eredménytelen</v>
          </cell>
          <cell r="IF3" t="str">
            <v>nyomozás eredményesség</v>
          </cell>
          <cell r="IG3" t="str">
            <v>eredményes</v>
          </cell>
          <cell r="IH3" t="str">
            <v>eredménytelen</v>
          </cell>
          <cell r="II3" t="str">
            <v>nyomozás eredményesség</v>
          </cell>
          <cell r="IJ3" t="str">
            <v>eredményes</v>
          </cell>
          <cell r="IK3" t="str">
            <v>eredménytelen</v>
          </cell>
          <cell r="IL3" t="str">
            <v>nyomozás eredményesség</v>
          </cell>
          <cell r="IM3" t="str">
            <v>eredményes</v>
          </cell>
          <cell r="IN3" t="str">
            <v>eredménytelen</v>
          </cell>
          <cell r="IO3" t="str">
            <v>nyomozás eredményesség</v>
          </cell>
          <cell r="IP3" t="str">
            <v>eredményes</v>
          </cell>
          <cell r="IQ3" t="str">
            <v>eredménytelen</v>
          </cell>
          <cell r="IR3" t="str">
            <v>nyomozás eredményesség</v>
          </cell>
          <cell r="IS3" t="str">
            <v>eredményes</v>
          </cell>
          <cell r="IT3" t="str">
            <v>eredménytelen</v>
          </cell>
          <cell r="IU3" t="str">
            <v>nyomozás eredményesség</v>
          </cell>
          <cell r="IV3" t="str">
            <v>eredményes</v>
          </cell>
          <cell r="IW3" t="str">
            <v>eredménytelen</v>
          </cell>
          <cell r="IX3" t="str">
            <v>nyomozás eredményesség</v>
          </cell>
          <cell r="IY3" t="str">
            <v>eredményes</v>
          </cell>
          <cell r="IZ3" t="str">
            <v>eredménytelen</v>
          </cell>
          <cell r="JA3" t="str">
            <v>nyomozás eredményesség</v>
          </cell>
          <cell r="JB3" t="str">
            <v>eredményes</v>
          </cell>
          <cell r="JC3" t="str">
            <v>eredménytelen</v>
          </cell>
          <cell r="JD3" t="str">
            <v>nyomozás eredményesség</v>
          </cell>
          <cell r="JE3" t="str">
            <v>eredményes</v>
          </cell>
          <cell r="JF3" t="str">
            <v>eredménytelen</v>
          </cell>
          <cell r="JG3" t="str">
            <v>nyomozás eredményesség</v>
          </cell>
          <cell r="JH3" t="str">
            <v>Eredményes</v>
          </cell>
          <cell r="JI3" t="str">
            <v>Eredménytelen</v>
          </cell>
          <cell r="JJ3" t="str">
            <v>nyomozás eredményesség</v>
          </cell>
          <cell r="JK3" t="str">
            <v>Eredményes</v>
          </cell>
          <cell r="JL3" t="str">
            <v>Eredménytelen</v>
          </cell>
          <cell r="JM3" t="str">
            <v>nyomozás eredményesség</v>
          </cell>
          <cell r="JN3" t="str">
            <v>Eredményes</v>
          </cell>
          <cell r="JO3" t="str">
            <v>Eredménytelen</v>
          </cell>
          <cell r="JP3" t="str">
            <v>nyomozás eredményesség</v>
          </cell>
          <cell r="JQ3" t="str">
            <v>Eredményes</v>
          </cell>
          <cell r="JR3" t="str">
            <v>Eredménytelen</v>
          </cell>
          <cell r="JS3" t="str">
            <v>nyomozás eredményesség</v>
          </cell>
          <cell r="JT3" t="str">
            <v>Eredményes</v>
          </cell>
          <cell r="JU3" t="str">
            <v>Eredménytelen</v>
          </cell>
          <cell r="JV3" t="str">
            <v>nyomozás eredményesség</v>
          </cell>
          <cell r="JW3" t="str">
            <v>Eredményes</v>
          </cell>
          <cell r="JX3" t="str">
            <v>Eredménytelen</v>
          </cell>
          <cell r="JY3" t="str">
            <v>nyomozás eredményesség</v>
          </cell>
          <cell r="JZ3" t="str">
            <v>Eredményes</v>
          </cell>
          <cell r="KA3" t="str">
            <v>Eredménytelen</v>
          </cell>
          <cell r="KB3" t="str">
            <v>nyomozás eredményesség</v>
          </cell>
          <cell r="KC3" t="str">
            <v>Eredményes</v>
          </cell>
          <cell r="KD3" t="str">
            <v>Eredménytelen</v>
          </cell>
          <cell r="KE3" t="str">
            <v>nyomozás eredményesség</v>
          </cell>
          <cell r="KF3" t="str">
            <v>Eredményes</v>
          </cell>
          <cell r="KG3" t="str">
            <v>Eredménytelen</v>
          </cell>
          <cell r="KH3" t="str">
            <v>nyomozás eredményesség</v>
          </cell>
          <cell r="KI3" t="str">
            <v>Eredményes</v>
          </cell>
          <cell r="KJ3" t="str">
            <v>Eredménytelen</v>
          </cell>
          <cell r="KK3" t="str">
            <v>nyomozás eredményesség</v>
          </cell>
          <cell r="KL3" t="str">
            <v>Eredményes</v>
          </cell>
          <cell r="KM3" t="str">
            <v>Eredménytelen</v>
          </cell>
          <cell r="KN3" t="str">
            <v>nyomozás eredményesség</v>
          </cell>
        </row>
        <row r="4">
          <cell r="C4" t="str">
            <v>BRFK Központ</v>
          </cell>
          <cell r="D4">
            <v>75</v>
          </cell>
          <cell r="E4">
            <v>11</v>
          </cell>
          <cell r="F4">
            <v>87.2</v>
          </cell>
          <cell r="G4">
            <v>80</v>
          </cell>
          <cell r="H4">
            <v>13</v>
          </cell>
          <cell r="I4">
            <v>86</v>
          </cell>
          <cell r="J4">
            <v>42</v>
          </cell>
          <cell r="K4">
            <v>9</v>
          </cell>
          <cell r="L4">
            <v>82.4</v>
          </cell>
          <cell r="M4">
            <v>40</v>
          </cell>
          <cell r="N4">
            <v>18</v>
          </cell>
          <cell r="O4">
            <v>69</v>
          </cell>
          <cell r="P4">
            <v>37</v>
          </cell>
          <cell r="Q4">
            <v>8</v>
          </cell>
          <cell r="R4">
            <v>82.2</v>
          </cell>
          <cell r="S4">
            <v>26</v>
          </cell>
          <cell r="T4">
            <v>7</v>
          </cell>
          <cell r="U4">
            <v>78.8</v>
          </cell>
          <cell r="V4">
            <v>42</v>
          </cell>
          <cell r="W4">
            <v>3</v>
          </cell>
          <cell r="X4">
            <v>93.3</v>
          </cell>
          <cell r="Y4">
            <v>34</v>
          </cell>
          <cell r="Z4">
            <v>3</v>
          </cell>
          <cell r="AA4">
            <v>91.9</v>
          </cell>
          <cell r="AB4">
            <v>29</v>
          </cell>
          <cell r="AC4">
            <v>3</v>
          </cell>
          <cell r="AD4">
            <v>90.6</v>
          </cell>
          <cell r="AE4">
            <v>26</v>
          </cell>
          <cell r="AF4">
            <v>7</v>
          </cell>
          <cell r="AG4">
            <v>78.8</v>
          </cell>
          <cell r="AH4">
            <v>22</v>
          </cell>
          <cell r="AI4">
            <v>5</v>
          </cell>
          <cell r="AJ4">
            <v>81.5</v>
          </cell>
          <cell r="AK4">
            <v>21</v>
          </cell>
          <cell r="AL4">
            <v>7</v>
          </cell>
          <cell r="AM4">
            <v>75</v>
          </cell>
          <cell r="AN4">
            <v>20</v>
          </cell>
          <cell r="AO4">
            <v>7</v>
          </cell>
          <cell r="AP4">
            <v>74.099999999999994</v>
          </cell>
          <cell r="AQ4">
            <v>14</v>
          </cell>
          <cell r="AR4">
            <v>4</v>
          </cell>
          <cell r="AS4">
            <v>77.8</v>
          </cell>
          <cell r="AT4">
            <v>20</v>
          </cell>
          <cell r="AU4">
            <v>1</v>
          </cell>
          <cell r="AV4">
            <v>95.2</v>
          </cell>
          <cell r="AW4">
            <v>15</v>
          </cell>
          <cell r="AX4">
            <v>2</v>
          </cell>
          <cell r="AY4">
            <v>88.2</v>
          </cell>
          <cell r="AZ4">
            <v>36</v>
          </cell>
          <cell r="BA4">
            <v>3</v>
          </cell>
          <cell r="BB4">
            <v>92.3</v>
          </cell>
          <cell r="BC4">
            <v>29</v>
          </cell>
          <cell r="BD4">
            <v>4</v>
          </cell>
          <cell r="BE4">
            <v>87.9</v>
          </cell>
          <cell r="BF4">
            <v>16</v>
          </cell>
          <cell r="BG4">
            <v>3</v>
          </cell>
          <cell r="BH4">
            <v>84.2</v>
          </cell>
          <cell r="BI4">
            <v>19</v>
          </cell>
          <cell r="BJ4">
            <v>4</v>
          </cell>
          <cell r="BK4">
            <v>82.6</v>
          </cell>
          <cell r="BL4">
            <v>17</v>
          </cell>
          <cell r="BM4">
            <v>17</v>
          </cell>
          <cell r="BN4">
            <v>100</v>
          </cell>
          <cell r="BO4">
            <v>8</v>
          </cell>
          <cell r="BP4">
            <v>2</v>
          </cell>
          <cell r="BQ4">
            <v>80</v>
          </cell>
          <cell r="BR4">
            <v>16</v>
          </cell>
          <cell r="BS4">
            <v>1</v>
          </cell>
          <cell r="BT4">
            <v>94.1</v>
          </cell>
          <cell r="BU4">
            <v>16</v>
          </cell>
          <cell r="BV4">
            <v>16</v>
          </cell>
          <cell r="BW4">
            <v>100</v>
          </cell>
          <cell r="BX4">
            <v>150</v>
          </cell>
          <cell r="BY4">
            <v>17</v>
          </cell>
          <cell r="BZ4">
            <v>89.8</v>
          </cell>
          <cell r="CA4">
            <v>116</v>
          </cell>
          <cell r="CB4">
            <v>20</v>
          </cell>
          <cell r="CC4">
            <v>85.3</v>
          </cell>
          <cell r="CD4">
            <v>88</v>
          </cell>
          <cell r="CE4">
            <v>36</v>
          </cell>
          <cell r="CF4">
            <v>71</v>
          </cell>
          <cell r="CG4">
            <v>48</v>
          </cell>
          <cell r="CH4">
            <v>25</v>
          </cell>
          <cell r="CI4">
            <v>65.8</v>
          </cell>
          <cell r="CJ4">
            <v>69</v>
          </cell>
          <cell r="CK4">
            <v>11</v>
          </cell>
          <cell r="CL4">
            <v>86.3</v>
          </cell>
          <cell r="CM4">
            <v>72</v>
          </cell>
          <cell r="CN4">
            <v>12</v>
          </cell>
          <cell r="CO4">
            <v>85.7</v>
          </cell>
          <cell r="CP4">
            <v>75</v>
          </cell>
          <cell r="CQ4">
            <v>26</v>
          </cell>
          <cell r="CR4">
            <v>74.3</v>
          </cell>
          <cell r="CS4">
            <v>81</v>
          </cell>
          <cell r="CT4">
            <v>19</v>
          </cell>
          <cell r="CU4">
            <v>81</v>
          </cell>
          <cell r="CV4">
            <v>132</v>
          </cell>
          <cell r="CW4">
            <v>16</v>
          </cell>
          <cell r="CX4">
            <v>89.2</v>
          </cell>
          <cell r="CY4">
            <v>100</v>
          </cell>
          <cell r="CZ4">
            <v>20</v>
          </cell>
          <cell r="DA4">
            <v>83.3</v>
          </cell>
          <cell r="DB4">
            <v>72</v>
          </cell>
          <cell r="DC4">
            <v>33</v>
          </cell>
          <cell r="DD4">
            <v>68.599999999999994</v>
          </cell>
          <cell r="DE4">
            <v>43</v>
          </cell>
          <cell r="DF4">
            <v>25</v>
          </cell>
          <cell r="DG4">
            <v>63.2</v>
          </cell>
          <cell r="DH4">
            <v>62</v>
          </cell>
          <cell r="DI4">
            <v>10</v>
          </cell>
          <cell r="DJ4">
            <v>86.1</v>
          </cell>
          <cell r="DK4">
            <v>63</v>
          </cell>
          <cell r="DL4">
            <v>11</v>
          </cell>
          <cell r="DM4">
            <v>85.1</v>
          </cell>
          <cell r="DN4">
            <v>67</v>
          </cell>
          <cell r="DO4">
            <v>25</v>
          </cell>
          <cell r="DP4">
            <v>72.8</v>
          </cell>
          <cell r="DQ4">
            <v>68</v>
          </cell>
          <cell r="DR4">
            <v>18</v>
          </cell>
          <cell r="DS4">
            <v>79.099999999999994</v>
          </cell>
          <cell r="DT4">
            <v>7</v>
          </cell>
          <cell r="DU4">
            <v>1</v>
          </cell>
          <cell r="DV4">
            <v>87.5</v>
          </cell>
          <cell r="DW4">
            <v>7</v>
          </cell>
          <cell r="DX4">
            <v>3</v>
          </cell>
          <cell r="DY4">
            <v>70</v>
          </cell>
          <cell r="DZ4">
            <v>1</v>
          </cell>
          <cell r="EA4">
            <v>7</v>
          </cell>
          <cell r="EB4">
            <v>12.5</v>
          </cell>
          <cell r="EC4">
            <v>2</v>
          </cell>
          <cell r="ED4">
            <v>4</v>
          </cell>
          <cell r="EE4">
            <v>33.299999999999997</v>
          </cell>
          <cell r="EF4">
            <v>4</v>
          </cell>
          <cell r="EG4">
            <v>4</v>
          </cell>
          <cell r="EH4">
            <v>100</v>
          </cell>
          <cell r="EI4">
            <v>1</v>
          </cell>
          <cell r="EJ4">
            <v>1</v>
          </cell>
          <cell r="EK4">
            <v>100</v>
          </cell>
          <cell r="EL4">
            <v>6</v>
          </cell>
          <cell r="EM4">
            <v>1</v>
          </cell>
          <cell r="EN4">
            <v>85.7</v>
          </cell>
          <cell r="EO4">
            <v>1</v>
          </cell>
          <cell r="EP4">
            <v>2</v>
          </cell>
          <cell r="EQ4">
            <v>33.299999999999997</v>
          </cell>
          <cell r="ER4">
            <v>40</v>
          </cell>
          <cell r="ES4">
            <v>2</v>
          </cell>
          <cell r="ET4">
            <v>95.2</v>
          </cell>
          <cell r="EU4">
            <v>51</v>
          </cell>
          <cell r="EV4">
            <v>4</v>
          </cell>
          <cell r="EW4">
            <v>92.7</v>
          </cell>
          <cell r="EX4">
            <v>13</v>
          </cell>
          <cell r="EY4">
            <v>10</v>
          </cell>
          <cell r="EZ4">
            <v>56.5</v>
          </cell>
          <cell r="FA4">
            <v>18</v>
          </cell>
          <cell r="FB4">
            <v>4</v>
          </cell>
          <cell r="FC4">
            <v>81.8</v>
          </cell>
          <cell r="FD4">
            <v>60</v>
          </cell>
          <cell r="FE4">
            <v>3</v>
          </cell>
          <cell r="FF4">
            <v>95.2</v>
          </cell>
          <cell r="FG4">
            <v>8</v>
          </cell>
          <cell r="FH4">
            <v>2</v>
          </cell>
          <cell r="FI4">
            <v>80</v>
          </cell>
          <cell r="FJ4">
            <v>5</v>
          </cell>
          <cell r="FK4">
            <v>1</v>
          </cell>
          <cell r="FL4">
            <v>83.3</v>
          </cell>
          <cell r="FM4">
            <v>34</v>
          </cell>
          <cell r="FN4">
            <v>4</v>
          </cell>
          <cell r="FO4">
            <v>89.5</v>
          </cell>
          <cell r="FP4">
            <v>89.5</v>
          </cell>
          <cell r="FQ4">
            <v>89.5</v>
          </cell>
          <cell r="FR4" t="str">
            <v>-</v>
          </cell>
          <cell r="FS4">
            <v>1</v>
          </cell>
          <cell r="FT4">
            <v>1</v>
          </cell>
          <cell r="FU4">
            <v>100</v>
          </cell>
          <cell r="FV4">
            <v>100</v>
          </cell>
          <cell r="FW4">
            <v>100</v>
          </cell>
          <cell r="FX4" t="str">
            <v>-</v>
          </cell>
          <cell r="FY4">
            <v>100</v>
          </cell>
          <cell r="FZ4">
            <v>100</v>
          </cell>
          <cell r="GA4" t="str">
            <v>-</v>
          </cell>
          <cell r="GB4">
            <v>1</v>
          </cell>
          <cell r="GC4">
            <v>1</v>
          </cell>
          <cell r="GD4">
            <v>100</v>
          </cell>
          <cell r="GE4">
            <v>22</v>
          </cell>
          <cell r="GF4">
            <v>21</v>
          </cell>
          <cell r="GG4">
            <v>51.2</v>
          </cell>
          <cell r="GH4">
            <v>23</v>
          </cell>
          <cell r="GI4">
            <v>6</v>
          </cell>
          <cell r="GJ4">
            <v>79.3</v>
          </cell>
          <cell r="GK4">
            <v>18</v>
          </cell>
          <cell r="GL4">
            <v>5</v>
          </cell>
          <cell r="GM4">
            <v>78.3</v>
          </cell>
          <cell r="GN4">
            <v>48</v>
          </cell>
          <cell r="GO4">
            <v>11</v>
          </cell>
          <cell r="GP4">
            <v>81.400000000000006</v>
          </cell>
          <cell r="GQ4">
            <v>36</v>
          </cell>
          <cell r="GR4">
            <v>3</v>
          </cell>
          <cell r="GS4">
            <v>92.3</v>
          </cell>
          <cell r="GT4">
            <v>15</v>
          </cell>
          <cell r="GU4">
            <v>14</v>
          </cell>
          <cell r="GV4">
            <v>51.7</v>
          </cell>
          <cell r="GW4">
            <v>13</v>
          </cell>
          <cell r="GX4">
            <v>2</v>
          </cell>
          <cell r="GY4">
            <v>86.7</v>
          </cell>
          <cell r="GZ4">
            <v>21</v>
          </cell>
          <cell r="HA4">
            <v>1</v>
          </cell>
          <cell r="HB4">
            <v>95.5</v>
          </cell>
          <cell r="HC4">
            <v>26</v>
          </cell>
          <cell r="HD4">
            <v>1</v>
          </cell>
          <cell r="HE4">
            <v>96.3</v>
          </cell>
          <cell r="HF4">
            <v>22</v>
          </cell>
          <cell r="HG4">
            <v>10</v>
          </cell>
          <cell r="HH4">
            <v>68.8</v>
          </cell>
          <cell r="HI4">
            <v>16</v>
          </cell>
          <cell r="HJ4">
            <v>4</v>
          </cell>
          <cell r="HK4">
            <v>80</v>
          </cell>
          <cell r="HL4">
            <v>2</v>
          </cell>
          <cell r="HM4">
            <v>1</v>
          </cell>
          <cell r="HN4">
            <v>66.7</v>
          </cell>
          <cell r="HO4">
            <v>1</v>
          </cell>
          <cell r="HP4">
            <v>2</v>
          </cell>
          <cell r="HQ4">
            <v>33.299999999999997</v>
          </cell>
          <cell r="HR4">
            <v>2</v>
          </cell>
          <cell r="HS4">
            <v>1</v>
          </cell>
          <cell r="HT4">
            <v>66.7</v>
          </cell>
          <cell r="HU4">
            <v>66.699951171875</v>
          </cell>
          <cell r="HV4">
            <v>66.699951171875</v>
          </cell>
          <cell r="HW4" t="str">
            <v>-</v>
          </cell>
          <cell r="HX4">
            <v>1</v>
          </cell>
          <cell r="HY4">
            <v>1</v>
          </cell>
          <cell r="HZ4">
            <v>50</v>
          </cell>
          <cell r="IA4">
            <v>1</v>
          </cell>
          <cell r="IB4">
            <v>1</v>
          </cell>
          <cell r="IC4">
            <v>50</v>
          </cell>
          <cell r="ID4">
            <v>2</v>
          </cell>
          <cell r="IE4">
            <v>4</v>
          </cell>
          <cell r="IF4">
            <v>33.299999999999997</v>
          </cell>
          <cell r="IG4">
            <v>1</v>
          </cell>
          <cell r="IH4">
            <v>1</v>
          </cell>
          <cell r="II4">
            <v>50</v>
          </cell>
          <cell r="IJ4">
            <v>36</v>
          </cell>
          <cell r="IK4">
            <v>7</v>
          </cell>
          <cell r="IL4">
            <v>83.7</v>
          </cell>
          <cell r="IM4">
            <v>56</v>
          </cell>
          <cell r="IN4">
            <v>11</v>
          </cell>
          <cell r="IO4">
            <v>83.6</v>
          </cell>
          <cell r="IP4">
            <v>83</v>
          </cell>
          <cell r="IQ4">
            <v>4</v>
          </cell>
          <cell r="IR4">
            <v>95.4</v>
          </cell>
          <cell r="IS4">
            <v>32</v>
          </cell>
          <cell r="IT4">
            <v>7</v>
          </cell>
          <cell r="IU4">
            <v>82.1</v>
          </cell>
          <cell r="IV4">
            <v>19</v>
          </cell>
          <cell r="IW4">
            <v>6</v>
          </cell>
          <cell r="IX4">
            <v>76</v>
          </cell>
          <cell r="IY4">
            <v>37</v>
          </cell>
          <cell r="IZ4">
            <v>9</v>
          </cell>
          <cell r="JA4">
            <v>80.400000000000006</v>
          </cell>
          <cell r="JB4">
            <v>26</v>
          </cell>
          <cell r="JC4">
            <v>4</v>
          </cell>
          <cell r="JD4">
            <v>86.7</v>
          </cell>
          <cell r="JE4">
            <v>23</v>
          </cell>
          <cell r="JF4">
            <v>1</v>
          </cell>
          <cell r="JG4">
            <v>95.8</v>
          </cell>
          <cell r="JH4">
            <v>179</v>
          </cell>
          <cell r="JI4">
            <v>39</v>
          </cell>
          <cell r="JJ4">
            <v>82.110091743119256</v>
          </cell>
          <cell r="JK4">
            <v>90</v>
          </cell>
          <cell r="JL4">
            <v>21</v>
          </cell>
          <cell r="JM4">
            <v>81.081081081081081</v>
          </cell>
          <cell r="JN4">
            <v>76</v>
          </cell>
          <cell r="JO4">
            <v>7</v>
          </cell>
          <cell r="JP4">
            <v>91.566265060240966</v>
          </cell>
          <cell r="JQ4">
            <v>345</v>
          </cell>
          <cell r="JR4">
            <v>93</v>
          </cell>
          <cell r="JS4">
            <v>78.767123287671239</v>
          </cell>
          <cell r="JT4">
            <v>303</v>
          </cell>
          <cell r="JU4">
            <v>89</v>
          </cell>
          <cell r="JV4">
            <v>77.295918367346943</v>
          </cell>
          <cell r="JW4">
            <v>14</v>
          </cell>
          <cell r="JX4">
            <v>7</v>
          </cell>
          <cell r="JY4">
            <v>66.666666666666657</v>
          </cell>
          <cell r="JZ4">
            <v>125</v>
          </cell>
          <cell r="KA4">
            <v>14</v>
          </cell>
          <cell r="KB4">
            <v>89.928057553956833</v>
          </cell>
          <cell r="KC4">
            <v>64</v>
          </cell>
          <cell r="KD4">
            <v>32</v>
          </cell>
          <cell r="KE4">
            <v>66.666666666666657</v>
          </cell>
          <cell r="KF4">
            <v>98</v>
          </cell>
          <cell r="KG4">
            <v>18</v>
          </cell>
          <cell r="KH4">
            <v>84.482758620689651</v>
          </cell>
          <cell r="KI4">
            <v>5</v>
          </cell>
          <cell r="KJ4">
            <v>7</v>
          </cell>
          <cell r="KK4">
            <v>41.666666666666671</v>
          </cell>
          <cell r="KL4">
            <v>137</v>
          </cell>
          <cell r="KM4">
            <v>27</v>
          </cell>
          <cell r="KN4">
            <v>83.536585365853654</v>
          </cell>
        </row>
        <row r="5">
          <cell r="C5" t="str">
            <v>Bp I. kerületi Rendőrkapitányság</v>
          </cell>
          <cell r="D5">
            <v>83.53656005859375</v>
          </cell>
          <cell r="E5">
            <v>83.53656005859375</v>
          </cell>
          <cell r="F5" t="str">
            <v>-</v>
          </cell>
          <cell r="G5">
            <v>83.53656005859375</v>
          </cell>
          <cell r="H5">
            <v>83.53656005859375</v>
          </cell>
          <cell r="I5" t="str">
            <v>-</v>
          </cell>
          <cell r="J5">
            <v>83.53656005859375</v>
          </cell>
          <cell r="K5">
            <v>83.53656005859375</v>
          </cell>
          <cell r="L5" t="str">
            <v>-</v>
          </cell>
          <cell r="M5">
            <v>83.53656005859375</v>
          </cell>
          <cell r="N5">
            <v>83.53656005859375</v>
          </cell>
          <cell r="O5" t="str">
            <v>-</v>
          </cell>
          <cell r="P5">
            <v>83.53656005859375</v>
          </cell>
          <cell r="Q5">
            <v>83.53656005859375</v>
          </cell>
          <cell r="R5" t="str">
            <v>-</v>
          </cell>
          <cell r="S5">
            <v>83.53656005859375</v>
          </cell>
          <cell r="T5">
            <v>83.53656005859375</v>
          </cell>
          <cell r="U5" t="str">
            <v>-</v>
          </cell>
          <cell r="V5">
            <v>83.53656005859375</v>
          </cell>
          <cell r="W5">
            <v>83.53656005859375</v>
          </cell>
          <cell r="X5" t="str">
            <v>-</v>
          </cell>
          <cell r="Y5">
            <v>83.53656005859375</v>
          </cell>
          <cell r="Z5">
            <v>83.53656005859375</v>
          </cell>
          <cell r="AA5" t="str">
            <v>-</v>
          </cell>
          <cell r="AB5">
            <v>83.53656005859375</v>
          </cell>
          <cell r="AC5">
            <v>83.53656005859375</v>
          </cell>
          <cell r="AD5" t="str">
            <v>-</v>
          </cell>
          <cell r="AE5">
            <v>83.53656005859375</v>
          </cell>
          <cell r="AF5">
            <v>83.53656005859375</v>
          </cell>
          <cell r="AG5" t="str">
            <v>-</v>
          </cell>
          <cell r="AH5">
            <v>83.53656005859375</v>
          </cell>
          <cell r="AI5">
            <v>83.53656005859375</v>
          </cell>
          <cell r="AJ5" t="str">
            <v>-</v>
          </cell>
          <cell r="AK5">
            <v>83.53656005859375</v>
          </cell>
          <cell r="AL5">
            <v>83.53656005859375</v>
          </cell>
          <cell r="AM5" t="str">
            <v>-</v>
          </cell>
          <cell r="AN5">
            <v>83.53656005859375</v>
          </cell>
          <cell r="AO5">
            <v>83.53656005859375</v>
          </cell>
          <cell r="AP5" t="str">
            <v>-</v>
          </cell>
          <cell r="AQ5">
            <v>83.53656005859375</v>
          </cell>
          <cell r="AR5">
            <v>83.53656005859375</v>
          </cell>
          <cell r="AS5" t="str">
            <v>-</v>
          </cell>
          <cell r="AT5">
            <v>83.53656005859375</v>
          </cell>
          <cell r="AU5">
            <v>83.53656005859375</v>
          </cell>
          <cell r="AV5" t="str">
            <v>-</v>
          </cell>
          <cell r="AW5">
            <v>83.53656005859375</v>
          </cell>
          <cell r="AX5">
            <v>83.53656005859375</v>
          </cell>
          <cell r="AY5" t="str">
            <v>-</v>
          </cell>
          <cell r="AZ5">
            <v>83.53656005859375</v>
          </cell>
          <cell r="BA5">
            <v>83.53656005859375</v>
          </cell>
          <cell r="BB5" t="str">
            <v>-</v>
          </cell>
          <cell r="BC5">
            <v>83.53656005859375</v>
          </cell>
          <cell r="BD5">
            <v>83.53656005859375</v>
          </cell>
          <cell r="BE5" t="str">
            <v>-</v>
          </cell>
          <cell r="BF5">
            <v>83.53656005859375</v>
          </cell>
          <cell r="BG5">
            <v>83.53656005859375</v>
          </cell>
          <cell r="BH5" t="str">
            <v>-</v>
          </cell>
          <cell r="BI5">
            <v>83.53656005859375</v>
          </cell>
          <cell r="BJ5">
            <v>83.53656005859375</v>
          </cell>
          <cell r="BK5" t="str">
            <v>-</v>
          </cell>
          <cell r="BL5">
            <v>83.53656005859375</v>
          </cell>
          <cell r="BM5">
            <v>83.53656005859375</v>
          </cell>
          <cell r="BN5" t="str">
            <v>-</v>
          </cell>
          <cell r="BO5">
            <v>83.53656005859375</v>
          </cell>
          <cell r="BP5">
            <v>83.53656005859375</v>
          </cell>
          <cell r="BQ5" t="str">
            <v>-</v>
          </cell>
          <cell r="BR5">
            <v>83.53656005859375</v>
          </cell>
          <cell r="BS5">
            <v>83.53656005859375</v>
          </cell>
          <cell r="BT5" t="str">
            <v>-</v>
          </cell>
          <cell r="BU5">
            <v>83.53656005859375</v>
          </cell>
          <cell r="BV5">
            <v>83.53656005859375</v>
          </cell>
          <cell r="BW5" t="str">
            <v>-</v>
          </cell>
          <cell r="BX5">
            <v>13</v>
          </cell>
          <cell r="BY5">
            <v>13</v>
          </cell>
          <cell r="BZ5">
            <v>50</v>
          </cell>
          <cell r="CA5">
            <v>22</v>
          </cell>
          <cell r="CB5">
            <v>10</v>
          </cell>
          <cell r="CC5">
            <v>68.8</v>
          </cell>
          <cell r="CD5">
            <v>30</v>
          </cell>
          <cell r="CE5">
            <v>11</v>
          </cell>
          <cell r="CF5">
            <v>73.2</v>
          </cell>
          <cell r="CG5">
            <v>33</v>
          </cell>
          <cell r="CH5">
            <v>12</v>
          </cell>
          <cell r="CI5">
            <v>73.3</v>
          </cell>
          <cell r="CJ5">
            <v>20</v>
          </cell>
          <cell r="CK5">
            <v>6</v>
          </cell>
          <cell r="CL5">
            <v>76.900000000000006</v>
          </cell>
          <cell r="CM5">
            <v>17</v>
          </cell>
          <cell r="CN5">
            <v>9</v>
          </cell>
          <cell r="CO5">
            <v>65.400000000000006</v>
          </cell>
          <cell r="CP5">
            <v>18</v>
          </cell>
          <cell r="CQ5">
            <v>8</v>
          </cell>
          <cell r="CR5">
            <v>69.2</v>
          </cell>
          <cell r="CS5">
            <v>27</v>
          </cell>
          <cell r="CT5">
            <v>11</v>
          </cell>
          <cell r="CU5">
            <v>71.099999999999994</v>
          </cell>
          <cell r="CV5">
            <v>10</v>
          </cell>
          <cell r="CW5">
            <v>10</v>
          </cell>
          <cell r="CX5">
            <v>50</v>
          </cell>
          <cell r="CY5">
            <v>10</v>
          </cell>
          <cell r="CZ5">
            <v>9</v>
          </cell>
          <cell r="DA5">
            <v>52.6</v>
          </cell>
          <cell r="DB5">
            <v>12</v>
          </cell>
          <cell r="DC5">
            <v>10</v>
          </cell>
          <cell r="DD5">
            <v>54.5</v>
          </cell>
          <cell r="DE5">
            <v>18</v>
          </cell>
          <cell r="DF5">
            <v>7</v>
          </cell>
          <cell r="DG5">
            <v>72</v>
          </cell>
          <cell r="DH5">
            <v>13</v>
          </cell>
          <cell r="DI5">
            <v>5</v>
          </cell>
          <cell r="DJ5">
            <v>72.2</v>
          </cell>
          <cell r="DK5">
            <v>11</v>
          </cell>
          <cell r="DL5">
            <v>7</v>
          </cell>
          <cell r="DM5">
            <v>61.1</v>
          </cell>
          <cell r="DN5">
            <v>13</v>
          </cell>
          <cell r="DO5">
            <v>7</v>
          </cell>
          <cell r="DP5">
            <v>65</v>
          </cell>
          <cell r="DQ5">
            <v>15</v>
          </cell>
          <cell r="DR5">
            <v>11</v>
          </cell>
          <cell r="DS5">
            <v>57.7</v>
          </cell>
          <cell r="DT5">
            <v>57.699981689453125</v>
          </cell>
          <cell r="DU5">
            <v>57.699981689453125</v>
          </cell>
          <cell r="DV5" t="str">
            <v>-</v>
          </cell>
          <cell r="DW5">
            <v>57.699981689453125</v>
          </cell>
          <cell r="DX5">
            <v>57.699981689453125</v>
          </cell>
          <cell r="DY5" t="str">
            <v>-</v>
          </cell>
          <cell r="DZ5">
            <v>57.699981689453125</v>
          </cell>
          <cell r="EA5">
            <v>57.699981689453125</v>
          </cell>
          <cell r="EB5" t="str">
            <v>-</v>
          </cell>
          <cell r="EC5">
            <v>57.699981689453125</v>
          </cell>
          <cell r="ED5">
            <v>57.699981689453125</v>
          </cell>
          <cell r="EE5" t="str">
            <v>-</v>
          </cell>
          <cell r="EF5">
            <v>57.699981689453125</v>
          </cell>
          <cell r="EG5">
            <v>57.699981689453125</v>
          </cell>
          <cell r="EH5" t="str">
            <v>-</v>
          </cell>
          <cell r="EI5">
            <v>57.699981689453125</v>
          </cell>
          <cell r="EJ5">
            <v>57.699981689453125</v>
          </cell>
          <cell r="EK5" t="str">
            <v>-</v>
          </cell>
          <cell r="EL5">
            <v>57.699981689453125</v>
          </cell>
          <cell r="EM5">
            <v>57.699981689453125</v>
          </cell>
          <cell r="EN5" t="str">
            <v>-</v>
          </cell>
          <cell r="EO5">
            <v>57.699981689453125</v>
          </cell>
          <cell r="EP5">
            <v>57.699981689453125</v>
          </cell>
          <cell r="EQ5" t="str">
            <v>-</v>
          </cell>
          <cell r="ER5">
            <v>1</v>
          </cell>
          <cell r="ES5">
            <v>1</v>
          </cell>
          <cell r="ET5">
            <v>100</v>
          </cell>
          <cell r="EU5">
            <v>100</v>
          </cell>
          <cell r="EV5">
            <v>2</v>
          </cell>
          <cell r="EW5">
            <v>0</v>
          </cell>
          <cell r="EX5">
            <v>0</v>
          </cell>
          <cell r="EY5">
            <v>1</v>
          </cell>
          <cell r="EZ5">
            <v>0</v>
          </cell>
          <cell r="FA5">
            <v>1</v>
          </cell>
          <cell r="FB5">
            <v>1</v>
          </cell>
          <cell r="FC5">
            <v>50</v>
          </cell>
          <cell r="FD5">
            <v>50</v>
          </cell>
          <cell r="FE5">
            <v>50</v>
          </cell>
          <cell r="FF5" t="str">
            <v>-</v>
          </cell>
          <cell r="FG5">
            <v>50</v>
          </cell>
          <cell r="FH5">
            <v>50</v>
          </cell>
          <cell r="FI5" t="str">
            <v>-</v>
          </cell>
          <cell r="FJ5">
            <v>50</v>
          </cell>
          <cell r="FK5">
            <v>50</v>
          </cell>
          <cell r="FL5" t="str">
            <v>-</v>
          </cell>
          <cell r="FM5">
            <v>1</v>
          </cell>
          <cell r="FN5">
            <v>1</v>
          </cell>
          <cell r="FO5">
            <v>50</v>
          </cell>
          <cell r="FP5">
            <v>50</v>
          </cell>
          <cell r="FQ5">
            <v>50</v>
          </cell>
          <cell r="FR5" t="str">
            <v>-</v>
          </cell>
          <cell r="FS5">
            <v>50</v>
          </cell>
          <cell r="FT5">
            <v>50</v>
          </cell>
          <cell r="FU5" t="str">
            <v>-</v>
          </cell>
          <cell r="FV5">
            <v>50</v>
          </cell>
          <cell r="FW5">
            <v>50</v>
          </cell>
          <cell r="FX5" t="str">
            <v>-</v>
          </cell>
          <cell r="FY5">
            <v>50</v>
          </cell>
          <cell r="FZ5">
            <v>50</v>
          </cell>
          <cell r="GA5" t="str">
            <v>-</v>
          </cell>
          <cell r="GB5">
            <v>50</v>
          </cell>
          <cell r="GC5">
            <v>50</v>
          </cell>
          <cell r="GD5" t="str">
            <v>-</v>
          </cell>
          <cell r="GE5">
            <v>1</v>
          </cell>
          <cell r="GF5">
            <v>1</v>
          </cell>
          <cell r="GG5">
            <v>100</v>
          </cell>
          <cell r="GH5">
            <v>100</v>
          </cell>
          <cell r="GI5">
            <v>100</v>
          </cell>
          <cell r="GJ5" t="str">
            <v>-</v>
          </cell>
          <cell r="GK5">
            <v>100</v>
          </cell>
          <cell r="GL5">
            <v>100</v>
          </cell>
          <cell r="GM5" t="str">
            <v>-</v>
          </cell>
          <cell r="GN5">
            <v>17</v>
          </cell>
          <cell r="GO5">
            <v>13</v>
          </cell>
          <cell r="GP5">
            <v>56.7</v>
          </cell>
          <cell r="GQ5">
            <v>21</v>
          </cell>
          <cell r="GR5">
            <v>10</v>
          </cell>
          <cell r="GS5">
            <v>67.7</v>
          </cell>
          <cell r="GT5">
            <v>40</v>
          </cell>
          <cell r="GU5">
            <v>10</v>
          </cell>
          <cell r="GV5">
            <v>80</v>
          </cell>
          <cell r="GW5">
            <v>54</v>
          </cell>
          <cell r="GX5">
            <v>22</v>
          </cell>
          <cell r="GY5">
            <v>71.099999999999994</v>
          </cell>
          <cell r="GZ5">
            <v>22</v>
          </cell>
          <cell r="HA5">
            <v>6</v>
          </cell>
          <cell r="HB5">
            <v>78.599999999999994</v>
          </cell>
          <cell r="HC5">
            <v>51</v>
          </cell>
          <cell r="HD5">
            <v>19</v>
          </cell>
          <cell r="HE5">
            <v>72.900000000000006</v>
          </cell>
          <cell r="HF5">
            <v>36</v>
          </cell>
          <cell r="HG5">
            <v>18</v>
          </cell>
          <cell r="HH5">
            <v>66.7</v>
          </cell>
          <cell r="HI5">
            <v>49</v>
          </cell>
          <cell r="HJ5">
            <v>9</v>
          </cell>
          <cell r="HK5">
            <v>84.5</v>
          </cell>
          <cell r="HL5">
            <v>1</v>
          </cell>
          <cell r="HM5">
            <v>1</v>
          </cell>
          <cell r="HN5">
            <v>100</v>
          </cell>
          <cell r="HO5">
            <v>100</v>
          </cell>
          <cell r="HP5">
            <v>100</v>
          </cell>
          <cell r="HQ5" t="str">
            <v>-</v>
          </cell>
          <cell r="HR5">
            <v>100</v>
          </cell>
          <cell r="HS5">
            <v>2</v>
          </cell>
          <cell r="HT5">
            <v>0</v>
          </cell>
          <cell r="HU5">
            <v>1</v>
          </cell>
          <cell r="HV5">
            <v>1</v>
          </cell>
          <cell r="HW5">
            <v>50</v>
          </cell>
          <cell r="HX5">
            <v>50</v>
          </cell>
          <cell r="HY5">
            <v>50</v>
          </cell>
          <cell r="HZ5" t="str">
            <v>-</v>
          </cell>
          <cell r="IA5">
            <v>50</v>
          </cell>
          <cell r="IB5">
            <v>1</v>
          </cell>
          <cell r="IC5">
            <v>0</v>
          </cell>
          <cell r="ID5">
            <v>0</v>
          </cell>
          <cell r="IE5">
            <v>0</v>
          </cell>
          <cell r="IF5" t="str">
            <v>-</v>
          </cell>
          <cell r="IG5">
            <v>0</v>
          </cell>
          <cell r="IH5">
            <v>2</v>
          </cell>
          <cell r="II5">
            <v>0</v>
          </cell>
          <cell r="IJ5">
            <v>0</v>
          </cell>
          <cell r="IK5">
            <v>0</v>
          </cell>
          <cell r="IL5" t="str">
            <v>-</v>
          </cell>
          <cell r="IM5">
            <v>0</v>
          </cell>
          <cell r="IN5">
            <v>0</v>
          </cell>
          <cell r="IO5" t="str">
            <v>-</v>
          </cell>
          <cell r="IP5">
            <v>0</v>
          </cell>
          <cell r="IQ5">
            <v>0</v>
          </cell>
          <cell r="IR5" t="str">
            <v>-</v>
          </cell>
          <cell r="IS5">
            <v>0</v>
          </cell>
          <cell r="IT5">
            <v>0</v>
          </cell>
          <cell r="IU5" t="str">
            <v>-</v>
          </cell>
          <cell r="IV5">
            <v>2</v>
          </cell>
          <cell r="IW5">
            <v>2</v>
          </cell>
          <cell r="IX5">
            <v>100</v>
          </cell>
          <cell r="IY5">
            <v>2</v>
          </cell>
          <cell r="IZ5">
            <v>2</v>
          </cell>
          <cell r="JA5">
            <v>100</v>
          </cell>
          <cell r="JB5">
            <v>100</v>
          </cell>
          <cell r="JC5">
            <v>100</v>
          </cell>
          <cell r="JD5" t="str">
            <v>-</v>
          </cell>
          <cell r="JE5">
            <v>4</v>
          </cell>
          <cell r="JF5">
            <v>4</v>
          </cell>
          <cell r="JG5">
            <v>100</v>
          </cell>
          <cell r="JH5">
            <v>0</v>
          </cell>
          <cell r="JI5">
            <v>0</v>
          </cell>
          <cell r="JJ5" t="str">
            <v>-</v>
          </cell>
          <cell r="JK5">
            <v>0</v>
          </cell>
          <cell r="JL5">
            <v>0</v>
          </cell>
          <cell r="JM5" t="str">
            <v>-</v>
          </cell>
          <cell r="JN5">
            <v>0</v>
          </cell>
          <cell r="JO5">
            <v>0</v>
          </cell>
          <cell r="JP5" t="str">
            <v>-</v>
          </cell>
          <cell r="JQ5">
            <v>115</v>
          </cell>
          <cell r="JR5">
            <v>46</v>
          </cell>
          <cell r="JS5">
            <v>71.428571428571431</v>
          </cell>
          <cell r="JT5">
            <v>70</v>
          </cell>
          <cell r="JU5">
            <v>37</v>
          </cell>
          <cell r="JV5">
            <v>65.420560747663544</v>
          </cell>
          <cell r="JW5">
            <v>0</v>
          </cell>
          <cell r="JX5">
            <v>0</v>
          </cell>
          <cell r="JY5" t="str">
            <v>-</v>
          </cell>
          <cell r="JZ5">
            <v>2</v>
          </cell>
          <cell r="KA5">
            <v>2</v>
          </cell>
          <cell r="KB5">
            <v>50</v>
          </cell>
          <cell r="KC5">
            <v>1</v>
          </cell>
          <cell r="KD5">
            <v>0</v>
          </cell>
          <cell r="KE5">
            <v>100</v>
          </cell>
          <cell r="KF5">
            <v>212</v>
          </cell>
          <cell r="KG5">
            <v>74</v>
          </cell>
          <cell r="KH5">
            <v>74.12587412587412</v>
          </cell>
          <cell r="KI5">
            <v>1</v>
          </cell>
          <cell r="KJ5">
            <v>4</v>
          </cell>
          <cell r="KK5">
            <v>20</v>
          </cell>
          <cell r="KL5">
            <v>8</v>
          </cell>
          <cell r="KM5">
            <v>0</v>
          </cell>
          <cell r="KN5">
            <v>100</v>
          </cell>
        </row>
        <row r="6">
          <cell r="C6" t="str">
            <v>Bp II. kerületi Rendőrkapitányság</v>
          </cell>
          <cell r="D6">
            <v>100</v>
          </cell>
          <cell r="E6">
            <v>100</v>
          </cell>
          <cell r="F6" t="str">
            <v>-</v>
          </cell>
          <cell r="G6">
            <v>100</v>
          </cell>
          <cell r="H6">
            <v>100</v>
          </cell>
          <cell r="I6" t="str">
            <v>-</v>
          </cell>
          <cell r="J6">
            <v>100</v>
          </cell>
          <cell r="K6">
            <v>100</v>
          </cell>
          <cell r="L6" t="str">
            <v>-</v>
          </cell>
          <cell r="M6">
            <v>100</v>
          </cell>
          <cell r="N6">
            <v>100</v>
          </cell>
          <cell r="O6" t="str">
            <v>-</v>
          </cell>
          <cell r="P6">
            <v>100</v>
          </cell>
          <cell r="Q6">
            <v>100</v>
          </cell>
          <cell r="R6" t="str">
            <v>-</v>
          </cell>
          <cell r="S6">
            <v>100</v>
          </cell>
          <cell r="T6">
            <v>100</v>
          </cell>
          <cell r="U6" t="str">
            <v>-</v>
          </cell>
          <cell r="V6">
            <v>100</v>
          </cell>
          <cell r="W6">
            <v>100</v>
          </cell>
          <cell r="X6" t="str">
            <v>-</v>
          </cell>
          <cell r="Y6">
            <v>100</v>
          </cell>
          <cell r="Z6">
            <v>100</v>
          </cell>
          <cell r="AA6" t="str">
            <v>-</v>
          </cell>
          <cell r="AB6">
            <v>100</v>
          </cell>
          <cell r="AC6">
            <v>100</v>
          </cell>
          <cell r="AD6" t="str">
            <v>-</v>
          </cell>
          <cell r="AE6">
            <v>100</v>
          </cell>
          <cell r="AF6">
            <v>100</v>
          </cell>
          <cell r="AG6" t="str">
            <v>-</v>
          </cell>
          <cell r="AH6">
            <v>100</v>
          </cell>
          <cell r="AI6">
            <v>100</v>
          </cell>
          <cell r="AJ6" t="str">
            <v>-</v>
          </cell>
          <cell r="AK6">
            <v>100</v>
          </cell>
          <cell r="AL6">
            <v>100</v>
          </cell>
          <cell r="AM6" t="str">
            <v>-</v>
          </cell>
          <cell r="AN6">
            <v>100</v>
          </cell>
          <cell r="AO6">
            <v>100</v>
          </cell>
          <cell r="AP6" t="str">
            <v>-</v>
          </cell>
          <cell r="AQ6">
            <v>100</v>
          </cell>
          <cell r="AR6">
            <v>100</v>
          </cell>
          <cell r="AS6" t="str">
            <v>-</v>
          </cell>
          <cell r="AT6">
            <v>100</v>
          </cell>
          <cell r="AU6">
            <v>100</v>
          </cell>
          <cell r="AV6" t="str">
            <v>-</v>
          </cell>
          <cell r="AW6">
            <v>100</v>
          </cell>
          <cell r="AX6">
            <v>100</v>
          </cell>
          <cell r="AY6" t="str">
            <v>-</v>
          </cell>
          <cell r="AZ6">
            <v>100</v>
          </cell>
          <cell r="BA6">
            <v>100</v>
          </cell>
          <cell r="BB6" t="str">
            <v>-</v>
          </cell>
          <cell r="BC6">
            <v>100</v>
          </cell>
          <cell r="BD6">
            <v>100</v>
          </cell>
          <cell r="BE6" t="str">
            <v>-</v>
          </cell>
          <cell r="BF6">
            <v>100</v>
          </cell>
          <cell r="BG6">
            <v>100</v>
          </cell>
          <cell r="BH6" t="str">
            <v>-</v>
          </cell>
          <cell r="BI6">
            <v>100</v>
          </cell>
          <cell r="BJ6">
            <v>100</v>
          </cell>
          <cell r="BK6" t="str">
            <v>-</v>
          </cell>
          <cell r="BL6">
            <v>100</v>
          </cell>
          <cell r="BM6">
            <v>100</v>
          </cell>
          <cell r="BN6" t="str">
            <v>-</v>
          </cell>
          <cell r="BO6">
            <v>100</v>
          </cell>
          <cell r="BP6">
            <v>100</v>
          </cell>
          <cell r="BQ6" t="str">
            <v>-</v>
          </cell>
          <cell r="BR6">
            <v>100</v>
          </cell>
          <cell r="BS6">
            <v>100</v>
          </cell>
          <cell r="BT6" t="str">
            <v>-</v>
          </cell>
          <cell r="BU6">
            <v>100</v>
          </cell>
          <cell r="BV6">
            <v>100</v>
          </cell>
          <cell r="BW6" t="str">
            <v>-</v>
          </cell>
          <cell r="BX6">
            <v>49</v>
          </cell>
          <cell r="BY6">
            <v>20</v>
          </cell>
          <cell r="BZ6">
            <v>71</v>
          </cell>
          <cell r="CA6">
            <v>34</v>
          </cell>
          <cell r="CB6">
            <v>22</v>
          </cell>
          <cell r="CC6">
            <v>60.7</v>
          </cell>
          <cell r="CD6">
            <v>44</v>
          </cell>
          <cell r="CE6">
            <v>32</v>
          </cell>
          <cell r="CF6">
            <v>57.9</v>
          </cell>
          <cell r="CG6">
            <v>46</v>
          </cell>
          <cell r="CH6">
            <v>30</v>
          </cell>
          <cell r="CI6">
            <v>60.5</v>
          </cell>
          <cell r="CJ6">
            <v>72</v>
          </cell>
          <cell r="CK6">
            <v>22</v>
          </cell>
          <cell r="CL6">
            <v>76.599999999999994</v>
          </cell>
          <cell r="CM6">
            <v>45</v>
          </cell>
          <cell r="CN6">
            <v>18</v>
          </cell>
          <cell r="CO6">
            <v>71.400000000000006</v>
          </cell>
          <cell r="CP6">
            <v>42</v>
          </cell>
          <cell r="CQ6">
            <v>10</v>
          </cell>
          <cell r="CR6">
            <v>80.8</v>
          </cell>
          <cell r="CS6">
            <v>45</v>
          </cell>
          <cell r="CT6">
            <v>13</v>
          </cell>
          <cell r="CU6">
            <v>77.599999999999994</v>
          </cell>
          <cell r="CV6">
            <v>28</v>
          </cell>
          <cell r="CW6">
            <v>19</v>
          </cell>
          <cell r="CX6">
            <v>59.6</v>
          </cell>
          <cell r="CY6">
            <v>22</v>
          </cell>
          <cell r="CZ6">
            <v>17</v>
          </cell>
          <cell r="DA6">
            <v>56.4</v>
          </cell>
          <cell r="DB6">
            <v>23</v>
          </cell>
          <cell r="DC6">
            <v>24</v>
          </cell>
          <cell r="DD6">
            <v>48.9</v>
          </cell>
          <cell r="DE6">
            <v>17</v>
          </cell>
          <cell r="DF6">
            <v>21</v>
          </cell>
          <cell r="DG6">
            <v>44.7</v>
          </cell>
          <cell r="DH6">
            <v>45</v>
          </cell>
          <cell r="DI6">
            <v>19</v>
          </cell>
          <cell r="DJ6">
            <v>70.3</v>
          </cell>
          <cell r="DK6">
            <v>21</v>
          </cell>
          <cell r="DL6">
            <v>13</v>
          </cell>
          <cell r="DM6">
            <v>61.8</v>
          </cell>
          <cell r="DN6">
            <v>17</v>
          </cell>
          <cell r="DO6">
            <v>9</v>
          </cell>
          <cell r="DP6">
            <v>65.400000000000006</v>
          </cell>
          <cell r="DQ6">
            <v>21</v>
          </cell>
          <cell r="DR6">
            <v>10</v>
          </cell>
          <cell r="DS6">
            <v>67.7</v>
          </cell>
          <cell r="DT6">
            <v>67.699951171875</v>
          </cell>
          <cell r="DU6">
            <v>67.699951171875</v>
          </cell>
          <cell r="DV6" t="str">
            <v>-</v>
          </cell>
          <cell r="DW6">
            <v>67.699951171875</v>
          </cell>
          <cell r="DX6">
            <v>67.699951171875</v>
          </cell>
          <cell r="DY6" t="str">
            <v>-</v>
          </cell>
          <cell r="DZ6">
            <v>67.699951171875</v>
          </cell>
          <cell r="EA6">
            <v>67.699951171875</v>
          </cell>
          <cell r="EB6" t="str">
            <v>-</v>
          </cell>
          <cell r="EC6">
            <v>67.699951171875</v>
          </cell>
          <cell r="ED6">
            <v>67.699951171875</v>
          </cell>
          <cell r="EE6" t="str">
            <v>-</v>
          </cell>
          <cell r="EF6">
            <v>67.699951171875</v>
          </cell>
          <cell r="EG6">
            <v>67.699951171875</v>
          </cell>
          <cell r="EH6" t="str">
            <v>-</v>
          </cell>
          <cell r="EI6">
            <v>67.699951171875</v>
          </cell>
          <cell r="EJ6">
            <v>67.699951171875</v>
          </cell>
          <cell r="EK6" t="str">
            <v>-</v>
          </cell>
          <cell r="EL6">
            <v>67.699951171875</v>
          </cell>
          <cell r="EM6">
            <v>67.699951171875</v>
          </cell>
          <cell r="EN6" t="str">
            <v>-</v>
          </cell>
          <cell r="EO6">
            <v>67.699951171875</v>
          </cell>
          <cell r="EP6">
            <v>67.699951171875</v>
          </cell>
          <cell r="EQ6" t="str">
            <v>-</v>
          </cell>
          <cell r="ER6">
            <v>10</v>
          </cell>
          <cell r="ES6">
            <v>5</v>
          </cell>
          <cell r="ET6">
            <v>66.7</v>
          </cell>
          <cell r="EU6">
            <v>3</v>
          </cell>
          <cell r="EV6">
            <v>2</v>
          </cell>
          <cell r="EW6">
            <v>60</v>
          </cell>
          <cell r="EX6">
            <v>60</v>
          </cell>
          <cell r="EY6">
            <v>1</v>
          </cell>
          <cell r="EZ6">
            <v>0</v>
          </cell>
          <cell r="FA6">
            <v>1</v>
          </cell>
          <cell r="FB6">
            <v>4</v>
          </cell>
          <cell r="FC6">
            <v>20</v>
          </cell>
          <cell r="FD6">
            <v>20</v>
          </cell>
          <cell r="FE6">
            <v>3</v>
          </cell>
          <cell r="FF6">
            <v>0</v>
          </cell>
          <cell r="FG6">
            <v>5</v>
          </cell>
          <cell r="FH6">
            <v>2</v>
          </cell>
          <cell r="FI6">
            <v>71.400000000000006</v>
          </cell>
          <cell r="FJ6">
            <v>6</v>
          </cell>
          <cell r="FK6">
            <v>4</v>
          </cell>
          <cell r="FL6">
            <v>60</v>
          </cell>
          <cell r="FM6">
            <v>1</v>
          </cell>
          <cell r="FN6">
            <v>1</v>
          </cell>
          <cell r="FO6">
            <v>50</v>
          </cell>
          <cell r="FP6">
            <v>50</v>
          </cell>
          <cell r="FQ6">
            <v>50</v>
          </cell>
          <cell r="FR6" t="str">
            <v>-</v>
          </cell>
          <cell r="FS6">
            <v>50</v>
          </cell>
          <cell r="FT6">
            <v>50</v>
          </cell>
          <cell r="FU6" t="str">
            <v>-</v>
          </cell>
          <cell r="FV6">
            <v>50</v>
          </cell>
          <cell r="FW6">
            <v>50</v>
          </cell>
          <cell r="FX6" t="str">
            <v>-</v>
          </cell>
          <cell r="FY6">
            <v>50</v>
          </cell>
          <cell r="FZ6">
            <v>50</v>
          </cell>
          <cell r="GA6" t="str">
            <v>-</v>
          </cell>
          <cell r="GB6">
            <v>50</v>
          </cell>
          <cell r="GC6">
            <v>50</v>
          </cell>
          <cell r="GD6" t="str">
            <v>-</v>
          </cell>
          <cell r="GE6">
            <v>50</v>
          </cell>
          <cell r="GF6">
            <v>50</v>
          </cell>
          <cell r="GG6" t="str">
            <v>-</v>
          </cell>
          <cell r="GH6">
            <v>50</v>
          </cell>
          <cell r="GI6">
            <v>50</v>
          </cell>
          <cell r="GJ6" t="str">
            <v>-</v>
          </cell>
          <cell r="GK6">
            <v>50</v>
          </cell>
          <cell r="GL6">
            <v>50</v>
          </cell>
          <cell r="GM6" t="str">
            <v>-</v>
          </cell>
          <cell r="GN6">
            <v>52</v>
          </cell>
          <cell r="GO6">
            <v>18</v>
          </cell>
          <cell r="GP6">
            <v>74.3</v>
          </cell>
          <cell r="GQ6">
            <v>45</v>
          </cell>
          <cell r="GR6">
            <v>17</v>
          </cell>
          <cell r="GS6">
            <v>72.599999999999994</v>
          </cell>
          <cell r="GT6">
            <v>38</v>
          </cell>
          <cell r="GU6">
            <v>32</v>
          </cell>
          <cell r="GV6">
            <v>54.3</v>
          </cell>
          <cell r="GW6">
            <v>49</v>
          </cell>
          <cell r="GX6">
            <v>24</v>
          </cell>
          <cell r="GY6">
            <v>67.099999999999994</v>
          </cell>
          <cell r="GZ6">
            <v>83</v>
          </cell>
          <cell r="HA6">
            <v>31</v>
          </cell>
          <cell r="HB6">
            <v>72.8</v>
          </cell>
          <cell r="HC6">
            <v>95</v>
          </cell>
          <cell r="HD6">
            <v>47</v>
          </cell>
          <cell r="HE6">
            <v>66.900000000000006</v>
          </cell>
          <cell r="HF6">
            <v>78</v>
          </cell>
          <cell r="HG6">
            <v>20</v>
          </cell>
          <cell r="HH6">
            <v>79.599999999999994</v>
          </cell>
          <cell r="HI6">
            <v>87</v>
          </cell>
          <cell r="HJ6">
            <v>28</v>
          </cell>
          <cell r="HK6">
            <v>75.7</v>
          </cell>
          <cell r="HL6">
            <v>9</v>
          </cell>
          <cell r="HM6">
            <v>4</v>
          </cell>
          <cell r="HN6">
            <v>69.2</v>
          </cell>
          <cell r="HO6">
            <v>4</v>
          </cell>
          <cell r="HP6">
            <v>4</v>
          </cell>
          <cell r="HQ6">
            <v>50</v>
          </cell>
          <cell r="HR6">
            <v>3</v>
          </cell>
          <cell r="HS6">
            <v>3</v>
          </cell>
          <cell r="HT6">
            <v>50</v>
          </cell>
          <cell r="HU6">
            <v>1</v>
          </cell>
          <cell r="HV6">
            <v>3</v>
          </cell>
          <cell r="HW6">
            <v>25</v>
          </cell>
          <cell r="HX6">
            <v>6</v>
          </cell>
          <cell r="HY6">
            <v>2</v>
          </cell>
          <cell r="HZ6">
            <v>75</v>
          </cell>
          <cell r="IA6">
            <v>3</v>
          </cell>
          <cell r="IB6">
            <v>1</v>
          </cell>
          <cell r="IC6">
            <v>75</v>
          </cell>
          <cell r="ID6">
            <v>75</v>
          </cell>
          <cell r="IE6">
            <v>1</v>
          </cell>
          <cell r="IF6">
            <v>0</v>
          </cell>
          <cell r="IG6">
            <v>2</v>
          </cell>
          <cell r="IH6">
            <v>1</v>
          </cell>
          <cell r="II6">
            <v>66.7</v>
          </cell>
          <cell r="IJ6">
            <v>1</v>
          </cell>
          <cell r="IK6">
            <v>1</v>
          </cell>
          <cell r="IL6">
            <v>100</v>
          </cell>
          <cell r="IM6">
            <v>2</v>
          </cell>
          <cell r="IN6">
            <v>2</v>
          </cell>
          <cell r="IO6">
            <v>100</v>
          </cell>
          <cell r="IP6">
            <v>100</v>
          </cell>
          <cell r="IQ6">
            <v>100</v>
          </cell>
          <cell r="IR6" t="str">
            <v>-</v>
          </cell>
          <cell r="IS6">
            <v>100</v>
          </cell>
          <cell r="IT6">
            <v>1</v>
          </cell>
          <cell r="IU6">
            <v>0</v>
          </cell>
          <cell r="IV6">
            <v>1</v>
          </cell>
          <cell r="IW6">
            <v>2</v>
          </cell>
          <cell r="IX6">
            <v>33.299999999999997</v>
          </cell>
          <cell r="IY6">
            <v>2</v>
          </cell>
          <cell r="IZ6">
            <v>3</v>
          </cell>
          <cell r="JA6">
            <v>40</v>
          </cell>
          <cell r="JB6">
            <v>2</v>
          </cell>
          <cell r="JC6">
            <v>2</v>
          </cell>
          <cell r="JD6">
            <v>100</v>
          </cell>
          <cell r="JE6">
            <v>5</v>
          </cell>
          <cell r="JF6">
            <v>5</v>
          </cell>
          <cell r="JG6">
            <v>100</v>
          </cell>
          <cell r="JH6">
            <v>0</v>
          </cell>
          <cell r="JI6">
            <v>0</v>
          </cell>
          <cell r="JJ6" t="str">
            <v>-</v>
          </cell>
          <cell r="JK6">
            <v>0</v>
          </cell>
          <cell r="JL6">
            <v>0</v>
          </cell>
          <cell r="JM6" t="str">
            <v>-</v>
          </cell>
          <cell r="JN6">
            <v>0</v>
          </cell>
          <cell r="JO6">
            <v>0</v>
          </cell>
          <cell r="JP6" t="str">
            <v>-</v>
          </cell>
          <cell r="JQ6">
            <v>250</v>
          </cell>
          <cell r="JR6">
            <v>93</v>
          </cell>
          <cell r="JS6">
            <v>72.886297376093296</v>
          </cell>
          <cell r="JT6">
            <v>121</v>
          </cell>
          <cell r="JU6">
            <v>72</v>
          </cell>
          <cell r="JV6">
            <v>62.694300518134717</v>
          </cell>
          <cell r="JW6">
            <v>0</v>
          </cell>
          <cell r="JX6">
            <v>0</v>
          </cell>
          <cell r="JY6" t="str">
            <v>-</v>
          </cell>
          <cell r="JZ6">
            <v>13</v>
          </cell>
          <cell r="KA6">
            <v>14</v>
          </cell>
          <cell r="KB6">
            <v>48.148148148148145</v>
          </cell>
          <cell r="KC6">
            <v>0</v>
          </cell>
          <cell r="KD6">
            <v>0</v>
          </cell>
          <cell r="KE6" t="str">
            <v>-</v>
          </cell>
          <cell r="KF6">
            <v>392</v>
          </cell>
          <cell r="KG6">
            <v>150</v>
          </cell>
          <cell r="KH6">
            <v>72.32472324723247</v>
          </cell>
          <cell r="KI6">
            <v>12</v>
          </cell>
          <cell r="KJ6">
            <v>8</v>
          </cell>
          <cell r="KK6">
            <v>60</v>
          </cell>
          <cell r="KL6">
            <v>10</v>
          </cell>
          <cell r="KM6">
            <v>6</v>
          </cell>
          <cell r="KN6">
            <v>62.5</v>
          </cell>
        </row>
        <row r="7">
          <cell r="C7" t="str">
            <v>Bp III. kerületi Rendőrkapitányság</v>
          </cell>
          <cell r="D7">
            <v>62.5</v>
          </cell>
          <cell r="E7">
            <v>62.5</v>
          </cell>
          <cell r="F7" t="str">
            <v>-</v>
          </cell>
          <cell r="G7">
            <v>62.5</v>
          </cell>
          <cell r="H7">
            <v>62.5</v>
          </cell>
          <cell r="I7" t="str">
            <v>-</v>
          </cell>
          <cell r="J7">
            <v>62.5</v>
          </cell>
          <cell r="K7">
            <v>62.5</v>
          </cell>
          <cell r="L7" t="str">
            <v>-</v>
          </cell>
          <cell r="M7">
            <v>62.5</v>
          </cell>
          <cell r="N7">
            <v>62.5</v>
          </cell>
          <cell r="O7" t="str">
            <v>-</v>
          </cell>
          <cell r="P7">
            <v>62.5</v>
          </cell>
          <cell r="Q7">
            <v>62.5</v>
          </cell>
          <cell r="R7" t="str">
            <v>-</v>
          </cell>
          <cell r="S7">
            <v>62.5</v>
          </cell>
          <cell r="T7">
            <v>62.5</v>
          </cell>
          <cell r="U7" t="str">
            <v>-</v>
          </cell>
          <cell r="V7">
            <v>62.5</v>
          </cell>
          <cell r="W7">
            <v>62.5</v>
          </cell>
          <cell r="X7" t="str">
            <v>-</v>
          </cell>
          <cell r="Y7">
            <v>62.5</v>
          </cell>
          <cell r="Z7">
            <v>62.5</v>
          </cell>
          <cell r="AA7" t="str">
            <v>-</v>
          </cell>
          <cell r="AB7">
            <v>62.5</v>
          </cell>
          <cell r="AC7">
            <v>62.5</v>
          </cell>
          <cell r="AD7" t="str">
            <v>-</v>
          </cell>
          <cell r="AE7">
            <v>62.5</v>
          </cell>
          <cell r="AF7">
            <v>62.5</v>
          </cell>
          <cell r="AG7" t="str">
            <v>-</v>
          </cell>
          <cell r="AH7">
            <v>62.5</v>
          </cell>
          <cell r="AI7">
            <v>62.5</v>
          </cell>
          <cell r="AJ7" t="str">
            <v>-</v>
          </cell>
          <cell r="AK7">
            <v>62.5</v>
          </cell>
          <cell r="AL7">
            <v>62.5</v>
          </cell>
          <cell r="AM7" t="str">
            <v>-</v>
          </cell>
          <cell r="AN7">
            <v>62.5</v>
          </cell>
          <cell r="AO7">
            <v>62.5</v>
          </cell>
          <cell r="AP7" t="str">
            <v>-</v>
          </cell>
          <cell r="AQ7">
            <v>62.5</v>
          </cell>
          <cell r="AR7">
            <v>62.5</v>
          </cell>
          <cell r="AS7" t="str">
            <v>-</v>
          </cell>
          <cell r="AT7">
            <v>62.5</v>
          </cell>
          <cell r="AU7">
            <v>62.5</v>
          </cell>
          <cell r="AV7" t="str">
            <v>-</v>
          </cell>
          <cell r="AW7">
            <v>62.5</v>
          </cell>
          <cell r="AX7">
            <v>62.5</v>
          </cell>
          <cell r="AY7" t="str">
            <v>-</v>
          </cell>
          <cell r="AZ7">
            <v>62.5</v>
          </cell>
          <cell r="BA7">
            <v>62.5</v>
          </cell>
          <cell r="BB7" t="str">
            <v>-</v>
          </cell>
          <cell r="BC7">
            <v>62.5</v>
          </cell>
          <cell r="BD7">
            <v>62.5</v>
          </cell>
          <cell r="BE7" t="str">
            <v>-</v>
          </cell>
          <cell r="BF7">
            <v>62.5</v>
          </cell>
          <cell r="BG7">
            <v>62.5</v>
          </cell>
          <cell r="BH7" t="str">
            <v>-</v>
          </cell>
          <cell r="BI7">
            <v>62.5</v>
          </cell>
          <cell r="BJ7">
            <v>62.5</v>
          </cell>
          <cell r="BK7" t="str">
            <v>-</v>
          </cell>
          <cell r="BL7">
            <v>62.5</v>
          </cell>
          <cell r="BM7">
            <v>62.5</v>
          </cell>
          <cell r="BN7" t="str">
            <v>-</v>
          </cell>
          <cell r="BO7">
            <v>62.5</v>
          </cell>
          <cell r="BP7">
            <v>62.5</v>
          </cell>
          <cell r="BQ7" t="str">
            <v>-</v>
          </cell>
          <cell r="BR7">
            <v>62.5</v>
          </cell>
          <cell r="BS7">
            <v>62.5</v>
          </cell>
          <cell r="BT7" t="str">
            <v>-</v>
          </cell>
          <cell r="BU7">
            <v>62.5</v>
          </cell>
          <cell r="BV7">
            <v>62.5</v>
          </cell>
          <cell r="BW7" t="str">
            <v>-</v>
          </cell>
          <cell r="BX7">
            <v>79</v>
          </cell>
          <cell r="BY7">
            <v>37</v>
          </cell>
          <cell r="BZ7">
            <v>68.099999999999994</v>
          </cell>
          <cell r="CA7">
            <v>85</v>
          </cell>
          <cell r="CB7">
            <v>29</v>
          </cell>
          <cell r="CC7">
            <v>74.599999999999994</v>
          </cell>
          <cell r="CD7">
            <v>76</v>
          </cell>
          <cell r="CE7">
            <v>52</v>
          </cell>
          <cell r="CF7">
            <v>59.4</v>
          </cell>
          <cell r="CG7">
            <v>96</v>
          </cell>
          <cell r="CH7">
            <v>40</v>
          </cell>
          <cell r="CI7">
            <v>70.599999999999994</v>
          </cell>
          <cell r="CJ7">
            <v>131</v>
          </cell>
          <cell r="CK7">
            <v>55</v>
          </cell>
          <cell r="CL7">
            <v>70.400000000000006</v>
          </cell>
          <cell r="CM7">
            <v>91</v>
          </cell>
          <cell r="CN7">
            <v>45</v>
          </cell>
          <cell r="CO7">
            <v>66.900000000000006</v>
          </cell>
          <cell r="CP7">
            <v>86</v>
          </cell>
          <cell r="CQ7">
            <v>22</v>
          </cell>
          <cell r="CR7">
            <v>79.599999999999994</v>
          </cell>
          <cell r="CS7">
            <v>72</v>
          </cell>
          <cell r="CT7">
            <v>23</v>
          </cell>
          <cell r="CU7">
            <v>75.8</v>
          </cell>
          <cell r="CV7">
            <v>61</v>
          </cell>
          <cell r="CW7">
            <v>33</v>
          </cell>
          <cell r="CX7">
            <v>64.900000000000006</v>
          </cell>
          <cell r="CY7">
            <v>66</v>
          </cell>
          <cell r="CZ7">
            <v>27</v>
          </cell>
          <cell r="DA7">
            <v>71</v>
          </cell>
          <cell r="DB7">
            <v>51</v>
          </cell>
          <cell r="DC7">
            <v>46</v>
          </cell>
          <cell r="DD7">
            <v>52.6</v>
          </cell>
          <cell r="DE7">
            <v>64</v>
          </cell>
          <cell r="DF7">
            <v>32</v>
          </cell>
          <cell r="DG7">
            <v>66.7</v>
          </cell>
          <cell r="DH7">
            <v>88</v>
          </cell>
          <cell r="DI7">
            <v>50</v>
          </cell>
          <cell r="DJ7">
            <v>63.8</v>
          </cell>
          <cell r="DK7">
            <v>61</v>
          </cell>
          <cell r="DL7">
            <v>38</v>
          </cell>
          <cell r="DM7">
            <v>61.6</v>
          </cell>
          <cell r="DN7">
            <v>59</v>
          </cell>
          <cell r="DO7">
            <v>18</v>
          </cell>
          <cell r="DP7">
            <v>76.599999999999994</v>
          </cell>
          <cell r="DQ7">
            <v>37</v>
          </cell>
          <cell r="DR7">
            <v>18</v>
          </cell>
          <cell r="DS7">
            <v>67.3</v>
          </cell>
          <cell r="DT7">
            <v>67.29998779296875</v>
          </cell>
          <cell r="DU7">
            <v>67.29998779296875</v>
          </cell>
          <cell r="DV7" t="str">
            <v>-</v>
          </cell>
          <cell r="DW7">
            <v>67.29998779296875</v>
          </cell>
          <cell r="DX7">
            <v>67.29998779296875</v>
          </cell>
          <cell r="DY7" t="str">
            <v>-</v>
          </cell>
          <cell r="DZ7">
            <v>67.29998779296875</v>
          </cell>
          <cell r="EA7">
            <v>67.29998779296875</v>
          </cell>
          <cell r="EB7" t="str">
            <v>-</v>
          </cell>
          <cell r="EC7">
            <v>67.29998779296875</v>
          </cell>
          <cell r="ED7">
            <v>67.29998779296875</v>
          </cell>
          <cell r="EE7" t="str">
            <v>-</v>
          </cell>
          <cell r="EF7">
            <v>67.29998779296875</v>
          </cell>
          <cell r="EG7">
            <v>67.29998779296875</v>
          </cell>
          <cell r="EH7" t="str">
            <v>-</v>
          </cell>
          <cell r="EI7">
            <v>67.29998779296875</v>
          </cell>
          <cell r="EJ7">
            <v>67.29998779296875</v>
          </cell>
          <cell r="EK7" t="str">
            <v>-</v>
          </cell>
          <cell r="EL7">
            <v>67.29998779296875</v>
          </cell>
          <cell r="EM7">
            <v>67.29998779296875</v>
          </cell>
          <cell r="EN7" t="str">
            <v>-</v>
          </cell>
          <cell r="EO7">
            <v>67.29998779296875</v>
          </cell>
          <cell r="EP7">
            <v>67.29998779296875</v>
          </cell>
          <cell r="EQ7" t="str">
            <v>-</v>
          </cell>
          <cell r="ER7">
            <v>17</v>
          </cell>
          <cell r="ES7">
            <v>12</v>
          </cell>
          <cell r="ET7">
            <v>58.6</v>
          </cell>
          <cell r="EU7">
            <v>5</v>
          </cell>
          <cell r="EV7">
            <v>7</v>
          </cell>
          <cell r="EW7">
            <v>41.7</v>
          </cell>
          <cell r="EX7">
            <v>3</v>
          </cell>
          <cell r="EY7">
            <v>4</v>
          </cell>
          <cell r="EZ7">
            <v>42.9</v>
          </cell>
          <cell r="FA7">
            <v>2</v>
          </cell>
          <cell r="FB7">
            <v>6</v>
          </cell>
          <cell r="FC7">
            <v>25</v>
          </cell>
          <cell r="FD7">
            <v>4</v>
          </cell>
          <cell r="FE7">
            <v>13</v>
          </cell>
          <cell r="FF7">
            <v>23.5</v>
          </cell>
          <cell r="FG7">
            <v>13</v>
          </cell>
          <cell r="FH7">
            <v>7</v>
          </cell>
          <cell r="FI7">
            <v>65</v>
          </cell>
          <cell r="FJ7">
            <v>4</v>
          </cell>
          <cell r="FK7">
            <v>6</v>
          </cell>
          <cell r="FL7">
            <v>40</v>
          </cell>
          <cell r="FM7">
            <v>8</v>
          </cell>
          <cell r="FN7">
            <v>2</v>
          </cell>
          <cell r="FO7">
            <v>80</v>
          </cell>
          <cell r="FP7">
            <v>80</v>
          </cell>
          <cell r="FQ7">
            <v>80</v>
          </cell>
          <cell r="FR7" t="str">
            <v>-</v>
          </cell>
          <cell r="FS7">
            <v>80</v>
          </cell>
          <cell r="FT7">
            <v>80</v>
          </cell>
          <cell r="FU7" t="str">
            <v>-</v>
          </cell>
          <cell r="FV7">
            <v>80</v>
          </cell>
          <cell r="FW7">
            <v>80</v>
          </cell>
          <cell r="FX7" t="str">
            <v>-</v>
          </cell>
          <cell r="FY7">
            <v>80</v>
          </cell>
          <cell r="FZ7">
            <v>80</v>
          </cell>
          <cell r="GA7" t="str">
            <v>-</v>
          </cell>
          <cell r="GB7">
            <v>80</v>
          </cell>
          <cell r="GC7">
            <v>80</v>
          </cell>
          <cell r="GD7" t="str">
            <v>-</v>
          </cell>
          <cell r="GE7">
            <v>80</v>
          </cell>
          <cell r="GF7">
            <v>80</v>
          </cell>
          <cell r="GG7" t="str">
            <v>-</v>
          </cell>
          <cell r="GH7">
            <v>80</v>
          </cell>
          <cell r="GI7">
            <v>80</v>
          </cell>
          <cell r="GJ7" t="str">
            <v>-</v>
          </cell>
          <cell r="GK7">
            <v>80</v>
          </cell>
          <cell r="GL7">
            <v>80</v>
          </cell>
          <cell r="GM7" t="str">
            <v>-</v>
          </cell>
          <cell r="GN7">
            <v>61</v>
          </cell>
          <cell r="GO7">
            <v>22</v>
          </cell>
          <cell r="GP7">
            <v>73.5</v>
          </cell>
          <cell r="GQ7">
            <v>64</v>
          </cell>
          <cell r="GR7">
            <v>24</v>
          </cell>
          <cell r="GS7">
            <v>72.7</v>
          </cell>
          <cell r="GT7">
            <v>72</v>
          </cell>
          <cell r="GU7">
            <v>34</v>
          </cell>
          <cell r="GV7">
            <v>67.900000000000006</v>
          </cell>
          <cell r="GW7">
            <v>75</v>
          </cell>
          <cell r="GX7">
            <v>32</v>
          </cell>
          <cell r="GY7">
            <v>70.099999999999994</v>
          </cell>
          <cell r="GZ7">
            <v>147</v>
          </cell>
          <cell r="HA7">
            <v>35</v>
          </cell>
          <cell r="HB7">
            <v>80.8</v>
          </cell>
          <cell r="HC7">
            <v>116</v>
          </cell>
          <cell r="HD7">
            <v>41</v>
          </cell>
          <cell r="HE7">
            <v>73.900000000000006</v>
          </cell>
          <cell r="HF7">
            <v>87</v>
          </cell>
          <cell r="HG7">
            <v>21</v>
          </cell>
          <cell r="HH7">
            <v>80.599999999999994</v>
          </cell>
          <cell r="HI7">
            <v>88</v>
          </cell>
          <cell r="HJ7">
            <v>29</v>
          </cell>
          <cell r="HK7">
            <v>75.2</v>
          </cell>
          <cell r="HL7">
            <v>8</v>
          </cell>
          <cell r="HM7">
            <v>4</v>
          </cell>
          <cell r="HN7">
            <v>66.7</v>
          </cell>
          <cell r="HO7">
            <v>11</v>
          </cell>
          <cell r="HP7">
            <v>3</v>
          </cell>
          <cell r="HQ7">
            <v>78.599999999999994</v>
          </cell>
          <cell r="HR7">
            <v>4</v>
          </cell>
          <cell r="HS7">
            <v>11</v>
          </cell>
          <cell r="HT7">
            <v>26.7</v>
          </cell>
          <cell r="HU7">
            <v>9</v>
          </cell>
          <cell r="HV7">
            <v>9</v>
          </cell>
          <cell r="HW7">
            <v>50</v>
          </cell>
          <cell r="HX7">
            <v>8</v>
          </cell>
          <cell r="HY7">
            <v>7</v>
          </cell>
          <cell r="HZ7">
            <v>53.3</v>
          </cell>
          <cell r="IA7">
            <v>4</v>
          </cell>
          <cell r="IB7">
            <v>2</v>
          </cell>
          <cell r="IC7">
            <v>66.7</v>
          </cell>
          <cell r="ID7">
            <v>7</v>
          </cell>
          <cell r="IE7">
            <v>3</v>
          </cell>
          <cell r="IF7">
            <v>70</v>
          </cell>
          <cell r="IG7">
            <v>1</v>
          </cell>
          <cell r="IH7">
            <v>4</v>
          </cell>
          <cell r="II7">
            <v>20</v>
          </cell>
          <cell r="IJ7">
            <v>7</v>
          </cell>
          <cell r="IK7">
            <v>1</v>
          </cell>
          <cell r="IL7">
            <v>87.5</v>
          </cell>
          <cell r="IM7">
            <v>8</v>
          </cell>
          <cell r="IN7">
            <v>8</v>
          </cell>
          <cell r="IO7">
            <v>100</v>
          </cell>
          <cell r="IP7">
            <v>5</v>
          </cell>
          <cell r="IQ7">
            <v>5</v>
          </cell>
          <cell r="IR7">
            <v>100</v>
          </cell>
          <cell r="IS7">
            <v>6</v>
          </cell>
          <cell r="IT7">
            <v>6</v>
          </cell>
          <cell r="IU7">
            <v>100</v>
          </cell>
          <cell r="IV7">
            <v>11</v>
          </cell>
          <cell r="IW7">
            <v>2</v>
          </cell>
          <cell r="IX7">
            <v>84.6</v>
          </cell>
          <cell r="IY7">
            <v>4</v>
          </cell>
          <cell r="IZ7">
            <v>2</v>
          </cell>
          <cell r="JA7">
            <v>66.7</v>
          </cell>
          <cell r="JB7">
            <v>10</v>
          </cell>
          <cell r="JC7">
            <v>1</v>
          </cell>
          <cell r="JD7">
            <v>90.9</v>
          </cell>
          <cell r="JE7">
            <v>20</v>
          </cell>
          <cell r="JF7">
            <v>20</v>
          </cell>
          <cell r="JG7">
            <v>100</v>
          </cell>
          <cell r="JH7">
            <v>0</v>
          </cell>
          <cell r="JI7">
            <v>0</v>
          </cell>
          <cell r="JJ7" t="str">
            <v>-</v>
          </cell>
          <cell r="JK7">
            <v>0</v>
          </cell>
          <cell r="JL7">
            <v>0</v>
          </cell>
          <cell r="JM7" t="str">
            <v>-</v>
          </cell>
          <cell r="JN7">
            <v>0</v>
          </cell>
          <cell r="JO7">
            <v>0</v>
          </cell>
          <cell r="JP7" t="str">
            <v>-</v>
          </cell>
          <cell r="JQ7">
            <v>476</v>
          </cell>
          <cell r="JR7">
            <v>185</v>
          </cell>
          <cell r="JS7">
            <v>72.012102874432685</v>
          </cell>
          <cell r="JT7">
            <v>309</v>
          </cell>
          <cell r="JU7">
            <v>156</v>
          </cell>
          <cell r="JV7">
            <v>66.451612903225808</v>
          </cell>
          <cell r="JW7">
            <v>0</v>
          </cell>
          <cell r="JX7">
            <v>0</v>
          </cell>
          <cell r="JY7" t="str">
            <v>-</v>
          </cell>
          <cell r="JZ7">
            <v>31</v>
          </cell>
          <cell r="KA7">
            <v>34</v>
          </cell>
          <cell r="KB7">
            <v>47.692307692307693</v>
          </cell>
          <cell r="KC7">
            <v>0</v>
          </cell>
          <cell r="KD7">
            <v>0</v>
          </cell>
          <cell r="KE7" t="str">
            <v>-</v>
          </cell>
          <cell r="KF7">
            <v>513</v>
          </cell>
          <cell r="KG7">
            <v>158</v>
          </cell>
          <cell r="KH7">
            <v>76.453055141579725</v>
          </cell>
          <cell r="KI7">
            <v>29</v>
          </cell>
          <cell r="KJ7">
            <v>25</v>
          </cell>
          <cell r="KK7">
            <v>53.703703703703709</v>
          </cell>
          <cell r="KL7">
            <v>51</v>
          </cell>
          <cell r="KM7">
            <v>5</v>
          </cell>
          <cell r="KN7">
            <v>91.071428571428569</v>
          </cell>
        </row>
        <row r="8">
          <cell r="C8" t="str">
            <v>Bp IV. kerületi Rendőrkapitányság</v>
          </cell>
          <cell r="D8">
            <v>91.0714111328125</v>
          </cell>
          <cell r="E8">
            <v>91.0714111328125</v>
          </cell>
          <cell r="F8" t="str">
            <v>-</v>
          </cell>
          <cell r="G8">
            <v>91.0714111328125</v>
          </cell>
          <cell r="H8">
            <v>91.0714111328125</v>
          </cell>
          <cell r="I8" t="str">
            <v>-</v>
          </cell>
          <cell r="J8">
            <v>91.0714111328125</v>
          </cell>
          <cell r="K8">
            <v>91.0714111328125</v>
          </cell>
          <cell r="L8" t="str">
            <v>-</v>
          </cell>
          <cell r="M8">
            <v>91.0714111328125</v>
          </cell>
          <cell r="N8">
            <v>91.0714111328125</v>
          </cell>
          <cell r="O8" t="str">
            <v>-</v>
          </cell>
          <cell r="P8">
            <v>91.0714111328125</v>
          </cell>
          <cell r="Q8">
            <v>91.0714111328125</v>
          </cell>
          <cell r="R8" t="str">
            <v>-</v>
          </cell>
          <cell r="S8">
            <v>91.0714111328125</v>
          </cell>
          <cell r="T8">
            <v>91.0714111328125</v>
          </cell>
          <cell r="U8" t="str">
            <v>-</v>
          </cell>
          <cell r="V8">
            <v>91.0714111328125</v>
          </cell>
          <cell r="W8">
            <v>91.0714111328125</v>
          </cell>
          <cell r="X8" t="str">
            <v>-</v>
          </cell>
          <cell r="Y8">
            <v>91.0714111328125</v>
          </cell>
          <cell r="Z8">
            <v>91.0714111328125</v>
          </cell>
          <cell r="AA8" t="str">
            <v>-</v>
          </cell>
          <cell r="AB8">
            <v>91.0714111328125</v>
          </cell>
          <cell r="AC8">
            <v>91.0714111328125</v>
          </cell>
          <cell r="AD8" t="str">
            <v>-</v>
          </cell>
          <cell r="AE8">
            <v>91.0714111328125</v>
          </cell>
          <cell r="AF8">
            <v>91.0714111328125</v>
          </cell>
          <cell r="AG8" t="str">
            <v>-</v>
          </cell>
          <cell r="AH8">
            <v>91.0714111328125</v>
          </cell>
          <cell r="AI8">
            <v>91.0714111328125</v>
          </cell>
          <cell r="AJ8" t="str">
            <v>-</v>
          </cell>
          <cell r="AK8">
            <v>91.0714111328125</v>
          </cell>
          <cell r="AL8">
            <v>91.0714111328125</v>
          </cell>
          <cell r="AM8" t="str">
            <v>-</v>
          </cell>
          <cell r="AN8">
            <v>91.0714111328125</v>
          </cell>
          <cell r="AO8">
            <v>91.0714111328125</v>
          </cell>
          <cell r="AP8" t="str">
            <v>-</v>
          </cell>
          <cell r="AQ8">
            <v>91.0714111328125</v>
          </cell>
          <cell r="AR8">
            <v>91.0714111328125</v>
          </cell>
          <cell r="AS8" t="str">
            <v>-</v>
          </cell>
          <cell r="AT8">
            <v>91.0714111328125</v>
          </cell>
          <cell r="AU8">
            <v>91.0714111328125</v>
          </cell>
          <cell r="AV8" t="str">
            <v>-</v>
          </cell>
          <cell r="AW8">
            <v>91.0714111328125</v>
          </cell>
          <cell r="AX8">
            <v>91.0714111328125</v>
          </cell>
          <cell r="AY8" t="str">
            <v>-</v>
          </cell>
          <cell r="AZ8">
            <v>91.0714111328125</v>
          </cell>
          <cell r="BA8">
            <v>91.0714111328125</v>
          </cell>
          <cell r="BB8" t="str">
            <v>-</v>
          </cell>
          <cell r="BC8">
            <v>91.0714111328125</v>
          </cell>
          <cell r="BD8">
            <v>91.0714111328125</v>
          </cell>
          <cell r="BE8" t="str">
            <v>-</v>
          </cell>
          <cell r="BF8">
            <v>91.0714111328125</v>
          </cell>
          <cell r="BG8">
            <v>91.0714111328125</v>
          </cell>
          <cell r="BH8" t="str">
            <v>-</v>
          </cell>
          <cell r="BI8">
            <v>91.0714111328125</v>
          </cell>
          <cell r="BJ8">
            <v>91.0714111328125</v>
          </cell>
          <cell r="BK8" t="str">
            <v>-</v>
          </cell>
          <cell r="BL8">
            <v>91.0714111328125</v>
          </cell>
          <cell r="BM8">
            <v>91.0714111328125</v>
          </cell>
          <cell r="BN8" t="str">
            <v>-</v>
          </cell>
          <cell r="BO8">
            <v>91.0714111328125</v>
          </cell>
          <cell r="BP8">
            <v>91.0714111328125</v>
          </cell>
          <cell r="BQ8" t="str">
            <v>-</v>
          </cell>
          <cell r="BR8">
            <v>91.0714111328125</v>
          </cell>
          <cell r="BS8">
            <v>91.0714111328125</v>
          </cell>
          <cell r="BT8" t="str">
            <v>-</v>
          </cell>
          <cell r="BU8">
            <v>91.0714111328125</v>
          </cell>
          <cell r="BV8">
            <v>91.0714111328125</v>
          </cell>
          <cell r="BW8" t="str">
            <v>-</v>
          </cell>
          <cell r="BX8">
            <v>118</v>
          </cell>
          <cell r="BY8">
            <v>38</v>
          </cell>
          <cell r="BZ8">
            <v>75.599999999999994</v>
          </cell>
          <cell r="CA8">
            <v>123</v>
          </cell>
          <cell r="CB8">
            <v>45</v>
          </cell>
          <cell r="CC8">
            <v>73.2</v>
          </cell>
          <cell r="CD8">
            <v>98</v>
          </cell>
          <cell r="CE8">
            <v>79</v>
          </cell>
          <cell r="CF8">
            <v>55.4</v>
          </cell>
          <cell r="CG8">
            <v>162</v>
          </cell>
          <cell r="CH8">
            <v>58</v>
          </cell>
          <cell r="CI8">
            <v>73.599999999999994</v>
          </cell>
          <cell r="CJ8">
            <v>117</v>
          </cell>
          <cell r="CK8">
            <v>66</v>
          </cell>
          <cell r="CL8">
            <v>63.9</v>
          </cell>
          <cell r="CM8">
            <v>97</v>
          </cell>
          <cell r="CN8">
            <v>46</v>
          </cell>
          <cell r="CO8">
            <v>67.8</v>
          </cell>
          <cell r="CP8">
            <v>97</v>
          </cell>
          <cell r="CQ8">
            <v>62</v>
          </cell>
          <cell r="CR8">
            <v>61</v>
          </cell>
          <cell r="CS8">
            <v>67</v>
          </cell>
          <cell r="CT8">
            <v>38</v>
          </cell>
          <cell r="CU8">
            <v>63.8</v>
          </cell>
          <cell r="CV8">
            <v>57</v>
          </cell>
          <cell r="CW8">
            <v>37</v>
          </cell>
          <cell r="CX8">
            <v>60.6</v>
          </cell>
          <cell r="CY8">
            <v>65</v>
          </cell>
          <cell r="CZ8">
            <v>41</v>
          </cell>
          <cell r="DA8">
            <v>61.3</v>
          </cell>
          <cell r="DB8">
            <v>46</v>
          </cell>
          <cell r="DC8">
            <v>70</v>
          </cell>
          <cell r="DD8">
            <v>39.700000000000003</v>
          </cell>
          <cell r="DE8">
            <v>99</v>
          </cell>
          <cell r="DF8">
            <v>49</v>
          </cell>
          <cell r="DG8">
            <v>66.900000000000006</v>
          </cell>
          <cell r="DH8">
            <v>60</v>
          </cell>
          <cell r="DI8">
            <v>49</v>
          </cell>
          <cell r="DJ8">
            <v>55</v>
          </cell>
          <cell r="DK8">
            <v>52</v>
          </cell>
          <cell r="DL8">
            <v>39</v>
          </cell>
          <cell r="DM8">
            <v>57.1</v>
          </cell>
          <cell r="DN8">
            <v>45</v>
          </cell>
          <cell r="DO8">
            <v>47</v>
          </cell>
          <cell r="DP8">
            <v>48.9</v>
          </cell>
          <cell r="DQ8">
            <v>35</v>
          </cell>
          <cell r="DR8">
            <v>26</v>
          </cell>
          <cell r="DS8">
            <v>57.4</v>
          </cell>
          <cell r="DT8">
            <v>57.399993896484375</v>
          </cell>
          <cell r="DU8">
            <v>57.399993896484375</v>
          </cell>
          <cell r="DV8" t="str">
            <v>-</v>
          </cell>
          <cell r="DW8">
            <v>57.399993896484375</v>
          </cell>
          <cell r="DX8">
            <v>57.399993896484375</v>
          </cell>
          <cell r="DY8" t="str">
            <v>-</v>
          </cell>
          <cell r="DZ8">
            <v>57.399993896484375</v>
          </cell>
          <cell r="EA8">
            <v>57.399993896484375</v>
          </cell>
          <cell r="EB8" t="str">
            <v>-</v>
          </cell>
          <cell r="EC8">
            <v>57.399993896484375</v>
          </cell>
          <cell r="ED8">
            <v>57.399993896484375</v>
          </cell>
          <cell r="EE8" t="str">
            <v>-</v>
          </cell>
          <cell r="EF8">
            <v>57.399993896484375</v>
          </cell>
          <cell r="EG8">
            <v>57.399993896484375</v>
          </cell>
          <cell r="EH8" t="str">
            <v>-</v>
          </cell>
          <cell r="EI8">
            <v>57.399993896484375</v>
          </cell>
          <cell r="EJ8">
            <v>57.399993896484375</v>
          </cell>
          <cell r="EK8" t="str">
            <v>-</v>
          </cell>
          <cell r="EL8">
            <v>57.399993896484375</v>
          </cell>
          <cell r="EM8">
            <v>57.399993896484375</v>
          </cell>
          <cell r="EN8" t="str">
            <v>-</v>
          </cell>
          <cell r="EO8">
            <v>57.399993896484375</v>
          </cell>
          <cell r="EP8">
            <v>57.399993896484375</v>
          </cell>
          <cell r="EQ8" t="str">
            <v>-</v>
          </cell>
          <cell r="ER8">
            <v>11</v>
          </cell>
          <cell r="ES8">
            <v>5</v>
          </cell>
          <cell r="ET8">
            <v>68.8</v>
          </cell>
          <cell r="EU8">
            <v>6</v>
          </cell>
          <cell r="EV8">
            <v>3</v>
          </cell>
          <cell r="EW8">
            <v>66.7</v>
          </cell>
          <cell r="EX8">
            <v>6</v>
          </cell>
          <cell r="EY8">
            <v>2</v>
          </cell>
          <cell r="EZ8">
            <v>75</v>
          </cell>
          <cell r="FA8">
            <v>16</v>
          </cell>
          <cell r="FB8">
            <v>5</v>
          </cell>
          <cell r="FC8">
            <v>76.2</v>
          </cell>
          <cell r="FD8">
            <v>5</v>
          </cell>
          <cell r="FE8">
            <v>7</v>
          </cell>
          <cell r="FF8">
            <v>41.7</v>
          </cell>
          <cell r="FG8">
            <v>8</v>
          </cell>
          <cell r="FH8">
            <v>10</v>
          </cell>
          <cell r="FI8">
            <v>44.4</v>
          </cell>
          <cell r="FJ8">
            <v>5</v>
          </cell>
          <cell r="FK8">
            <v>13</v>
          </cell>
          <cell r="FL8">
            <v>27.8</v>
          </cell>
          <cell r="FM8">
            <v>6</v>
          </cell>
          <cell r="FN8">
            <v>9</v>
          </cell>
          <cell r="FO8">
            <v>40</v>
          </cell>
          <cell r="FP8">
            <v>40</v>
          </cell>
          <cell r="FQ8">
            <v>40</v>
          </cell>
          <cell r="FR8" t="str">
            <v>-</v>
          </cell>
          <cell r="FS8">
            <v>40</v>
          </cell>
          <cell r="FT8">
            <v>40</v>
          </cell>
          <cell r="FU8" t="str">
            <v>-</v>
          </cell>
          <cell r="FV8">
            <v>40</v>
          </cell>
          <cell r="FW8">
            <v>40</v>
          </cell>
          <cell r="FX8" t="str">
            <v>-</v>
          </cell>
          <cell r="FY8">
            <v>40</v>
          </cell>
          <cell r="FZ8">
            <v>40</v>
          </cell>
          <cell r="GA8" t="str">
            <v>-</v>
          </cell>
          <cell r="GB8">
            <v>40</v>
          </cell>
          <cell r="GC8">
            <v>40</v>
          </cell>
          <cell r="GD8" t="str">
            <v>-</v>
          </cell>
          <cell r="GE8">
            <v>40</v>
          </cell>
          <cell r="GF8">
            <v>40</v>
          </cell>
          <cell r="GG8" t="str">
            <v>-</v>
          </cell>
          <cell r="GH8">
            <v>40</v>
          </cell>
          <cell r="GI8">
            <v>40</v>
          </cell>
          <cell r="GJ8" t="str">
            <v>-</v>
          </cell>
          <cell r="GK8">
            <v>40</v>
          </cell>
          <cell r="GL8">
            <v>40</v>
          </cell>
          <cell r="GM8" t="str">
            <v>-</v>
          </cell>
          <cell r="GN8">
            <v>118</v>
          </cell>
          <cell r="GO8">
            <v>22</v>
          </cell>
          <cell r="GP8">
            <v>84.3</v>
          </cell>
          <cell r="GQ8">
            <v>120</v>
          </cell>
          <cell r="GR8">
            <v>50</v>
          </cell>
          <cell r="GS8">
            <v>70.599999999999994</v>
          </cell>
          <cell r="GT8">
            <v>153</v>
          </cell>
          <cell r="GU8">
            <v>115</v>
          </cell>
          <cell r="GV8">
            <v>57.1</v>
          </cell>
          <cell r="GW8">
            <v>144</v>
          </cell>
          <cell r="GX8">
            <v>97</v>
          </cell>
          <cell r="GY8">
            <v>59.8</v>
          </cell>
          <cell r="GZ8">
            <v>115</v>
          </cell>
          <cell r="HA8">
            <v>65</v>
          </cell>
          <cell r="HB8">
            <v>63.9</v>
          </cell>
          <cell r="HC8">
            <v>128</v>
          </cell>
          <cell r="HD8">
            <v>47</v>
          </cell>
          <cell r="HE8">
            <v>73.099999999999994</v>
          </cell>
          <cell r="HF8">
            <v>104</v>
          </cell>
          <cell r="HG8">
            <v>55</v>
          </cell>
          <cell r="HH8">
            <v>65.400000000000006</v>
          </cell>
          <cell r="HI8">
            <v>112</v>
          </cell>
          <cell r="HJ8">
            <v>42</v>
          </cell>
          <cell r="HK8">
            <v>72.7</v>
          </cell>
          <cell r="HL8">
            <v>4</v>
          </cell>
          <cell r="HM8">
            <v>6</v>
          </cell>
          <cell r="HN8">
            <v>40</v>
          </cell>
          <cell r="HO8">
            <v>10</v>
          </cell>
          <cell r="HP8">
            <v>6</v>
          </cell>
          <cell r="HQ8">
            <v>62.5</v>
          </cell>
          <cell r="HR8">
            <v>4</v>
          </cell>
          <cell r="HS8">
            <v>8</v>
          </cell>
          <cell r="HT8">
            <v>33.299999999999997</v>
          </cell>
          <cell r="HU8">
            <v>3</v>
          </cell>
          <cell r="HV8">
            <v>5</v>
          </cell>
          <cell r="HW8">
            <v>37.5</v>
          </cell>
          <cell r="HX8">
            <v>37.5</v>
          </cell>
          <cell r="HY8">
            <v>6</v>
          </cell>
          <cell r="HZ8">
            <v>0</v>
          </cell>
          <cell r="IA8">
            <v>2</v>
          </cell>
          <cell r="IB8">
            <v>3</v>
          </cell>
          <cell r="IC8">
            <v>40</v>
          </cell>
          <cell r="ID8">
            <v>4</v>
          </cell>
          <cell r="IE8">
            <v>5</v>
          </cell>
          <cell r="IF8">
            <v>44.4</v>
          </cell>
          <cell r="IG8">
            <v>3</v>
          </cell>
          <cell r="IH8">
            <v>4</v>
          </cell>
          <cell r="II8">
            <v>42.9</v>
          </cell>
          <cell r="IJ8">
            <v>1</v>
          </cell>
          <cell r="IK8">
            <v>1</v>
          </cell>
          <cell r="IL8">
            <v>100</v>
          </cell>
          <cell r="IM8">
            <v>1</v>
          </cell>
          <cell r="IN8">
            <v>3</v>
          </cell>
          <cell r="IO8">
            <v>25</v>
          </cell>
          <cell r="IP8">
            <v>25</v>
          </cell>
          <cell r="IQ8">
            <v>25</v>
          </cell>
          <cell r="IR8" t="str">
            <v>-</v>
          </cell>
          <cell r="IS8">
            <v>25</v>
          </cell>
          <cell r="IT8">
            <v>25</v>
          </cell>
          <cell r="IU8" t="str">
            <v>-</v>
          </cell>
          <cell r="IV8">
            <v>1</v>
          </cell>
          <cell r="IW8">
            <v>1</v>
          </cell>
          <cell r="IX8">
            <v>50</v>
          </cell>
          <cell r="IY8">
            <v>3</v>
          </cell>
          <cell r="IZ8">
            <v>2</v>
          </cell>
          <cell r="JA8">
            <v>60</v>
          </cell>
          <cell r="JB8">
            <v>6</v>
          </cell>
          <cell r="JC8">
            <v>2</v>
          </cell>
          <cell r="JD8">
            <v>75</v>
          </cell>
          <cell r="JE8">
            <v>7</v>
          </cell>
          <cell r="JF8">
            <v>1</v>
          </cell>
          <cell r="JG8">
            <v>87.5</v>
          </cell>
          <cell r="JH8">
            <v>0</v>
          </cell>
          <cell r="JI8">
            <v>0</v>
          </cell>
          <cell r="JJ8" t="str">
            <v>-</v>
          </cell>
          <cell r="JK8">
            <v>0</v>
          </cell>
          <cell r="JL8">
            <v>0</v>
          </cell>
          <cell r="JM8" t="str">
            <v>-</v>
          </cell>
          <cell r="JN8">
            <v>0</v>
          </cell>
          <cell r="JO8">
            <v>0</v>
          </cell>
          <cell r="JP8" t="str">
            <v>-</v>
          </cell>
          <cell r="JQ8">
            <v>540</v>
          </cell>
          <cell r="JR8">
            <v>270</v>
          </cell>
          <cell r="JS8">
            <v>66.666666666666657</v>
          </cell>
          <cell r="JT8">
            <v>291</v>
          </cell>
          <cell r="JU8">
            <v>210</v>
          </cell>
          <cell r="JV8">
            <v>58.083832335329348</v>
          </cell>
          <cell r="JW8">
            <v>0</v>
          </cell>
          <cell r="JX8">
            <v>0</v>
          </cell>
          <cell r="JY8" t="str">
            <v>-</v>
          </cell>
          <cell r="JZ8">
            <v>40</v>
          </cell>
          <cell r="KA8">
            <v>44</v>
          </cell>
          <cell r="KB8">
            <v>47.619047619047613</v>
          </cell>
          <cell r="KC8">
            <v>0</v>
          </cell>
          <cell r="KD8">
            <v>0</v>
          </cell>
          <cell r="KE8" t="str">
            <v>-</v>
          </cell>
          <cell r="KF8">
            <v>603</v>
          </cell>
          <cell r="KG8">
            <v>306</v>
          </cell>
          <cell r="KH8">
            <v>66.336633663366342</v>
          </cell>
          <cell r="KI8">
            <v>12</v>
          </cell>
          <cell r="KJ8">
            <v>23</v>
          </cell>
          <cell r="KK8">
            <v>34.285714285714285</v>
          </cell>
          <cell r="KL8">
            <v>17</v>
          </cell>
          <cell r="KM8">
            <v>6</v>
          </cell>
          <cell r="KN8">
            <v>73.91304347826086</v>
          </cell>
        </row>
        <row r="9">
          <cell r="C9" t="str">
            <v>Bp V. kerületi Rendőrkapitányság</v>
          </cell>
          <cell r="D9">
            <v>73.91302490234375</v>
          </cell>
          <cell r="E9">
            <v>73.91302490234375</v>
          </cell>
          <cell r="F9" t="str">
            <v>-</v>
          </cell>
          <cell r="G9">
            <v>73.91302490234375</v>
          </cell>
          <cell r="H9">
            <v>73.91302490234375</v>
          </cell>
          <cell r="I9" t="str">
            <v>-</v>
          </cell>
          <cell r="J9">
            <v>73.91302490234375</v>
          </cell>
          <cell r="K9">
            <v>73.91302490234375</v>
          </cell>
          <cell r="L9" t="str">
            <v>-</v>
          </cell>
          <cell r="M9">
            <v>73.91302490234375</v>
          </cell>
          <cell r="N9">
            <v>73.91302490234375</v>
          </cell>
          <cell r="O9" t="str">
            <v>-</v>
          </cell>
          <cell r="P9">
            <v>73.91302490234375</v>
          </cell>
          <cell r="Q9">
            <v>73.91302490234375</v>
          </cell>
          <cell r="R9" t="str">
            <v>-</v>
          </cell>
          <cell r="S9">
            <v>73.91302490234375</v>
          </cell>
          <cell r="T9">
            <v>73.91302490234375</v>
          </cell>
          <cell r="U9" t="str">
            <v>-</v>
          </cell>
          <cell r="V9">
            <v>73.91302490234375</v>
          </cell>
          <cell r="W9">
            <v>73.91302490234375</v>
          </cell>
          <cell r="X9" t="str">
            <v>-</v>
          </cell>
          <cell r="Y9">
            <v>73.91302490234375</v>
          </cell>
          <cell r="Z9">
            <v>73.91302490234375</v>
          </cell>
          <cell r="AA9" t="str">
            <v>-</v>
          </cell>
          <cell r="AB9">
            <v>73.91302490234375</v>
          </cell>
          <cell r="AC9">
            <v>73.91302490234375</v>
          </cell>
          <cell r="AD9" t="str">
            <v>-</v>
          </cell>
          <cell r="AE9">
            <v>73.91302490234375</v>
          </cell>
          <cell r="AF9">
            <v>73.91302490234375</v>
          </cell>
          <cell r="AG9" t="str">
            <v>-</v>
          </cell>
          <cell r="AH9">
            <v>73.91302490234375</v>
          </cell>
          <cell r="AI9">
            <v>73.91302490234375</v>
          </cell>
          <cell r="AJ9" t="str">
            <v>-</v>
          </cell>
          <cell r="AK9">
            <v>73.91302490234375</v>
          </cell>
          <cell r="AL9">
            <v>73.91302490234375</v>
          </cell>
          <cell r="AM9" t="str">
            <v>-</v>
          </cell>
          <cell r="AN9">
            <v>73.91302490234375</v>
          </cell>
          <cell r="AO9">
            <v>73.91302490234375</v>
          </cell>
          <cell r="AP9" t="str">
            <v>-</v>
          </cell>
          <cell r="AQ9">
            <v>73.91302490234375</v>
          </cell>
          <cell r="AR9">
            <v>73.91302490234375</v>
          </cell>
          <cell r="AS9" t="str">
            <v>-</v>
          </cell>
          <cell r="AT9">
            <v>73.91302490234375</v>
          </cell>
          <cell r="AU9">
            <v>73.91302490234375</v>
          </cell>
          <cell r="AV9" t="str">
            <v>-</v>
          </cell>
          <cell r="AW9">
            <v>73.91302490234375</v>
          </cell>
          <cell r="AX9">
            <v>73.91302490234375</v>
          </cell>
          <cell r="AY9" t="str">
            <v>-</v>
          </cell>
          <cell r="AZ9">
            <v>73.91302490234375</v>
          </cell>
          <cell r="BA9">
            <v>73.91302490234375</v>
          </cell>
          <cell r="BB9" t="str">
            <v>-</v>
          </cell>
          <cell r="BC9">
            <v>73.91302490234375</v>
          </cell>
          <cell r="BD9">
            <v>73.91302490234375</v>
          </cell>
          <cell r="BE9" t="str">
            <v>-</v>
          </cell>
          <cell r="BF9">
            <v>73.91302490234375</v>
          </cell>
          <cell r="BG9">
            <v>73.91302490234375</v>
          </cell>
          <cell r="BH9" t="str">
            <v>-</v>
          </cell>
          <cell r="BI9">
            <v>73.91302490234375</v>
          </cell>
          <cell r="BJ9">
            <v>73.91302490234375</v>
          </cell>
          <cell r="BK9" t="str">
            <v>-</v>
          </cell>
          <cell r="BL9">
            <v>73.91302490234375</v>
          </cell>
          <cell r="BM9">
            <v>73.91302490234375</v>
          </cell>
          <cell r="BN9" t="str">
            <v>-</v>
          </cell>
          <cell r="BO9">
            <v>73.91302490234375</v>
          </cell>
          <cell r="BP9">
            <v>73.91302490234375</v>
          </cell>
          <cell r="BQ9" t="str">
            <v>-</v>
          </cell>
          <cell r="BR9">
            <v>73.91302490234375</v>
          </cell>
          <cell r="BS9">
            <v>73.91302490234375</v>
          </cell>
          <cell r="BT9" t="str">
            <v>-</v>
          </cell>
          <cell r="BU9">
            <v>73.91302490234375</v>
          </cell>
          <cell r="BV9">
            <v>73.91302490234375</v>
          </cell>
          <cell r="BW9" t="str">
            <v>-</v>
          </cell>
          <cell r="BX9">
            <v>37</v>
          </cell>
          <cell r="BY9">
            <v>13</v>
          </cell>
          <cell r="BZ9">
            <v>74</v>
          </cell>
          <cell r="CA9">
            <v>38</v>
          </cell>
          <cell r="CB9">
            <v>28</v>
          </cell>
          <cell r="CC9">
            <v>57.6</v>
          </cell>
          <cell r="CD9">
            <v>27</v>
          </cell>
          <cell r="CE9">
            <v>42</v>
          </cell>
          <cell r="CF9">
            <v>39.1</v>
          </cell>
          <cell r="CG9">
            <v>37</v>
          </cell>
          <cell r="CH9">
            <v>42</v>
          </cell>
          <cell r="CI9">
            <v>46.8</v>
          </cell>
          <cell r="CJ9">
            <v>39</v>
          </cell>
          <cell r="CK9">
            <v>37</v>
          </cell>
          <cell r="CL9">
            <v>51.3</v>
          </cell>
          <cell r="CM9">
            <v>68</v>
          </cell>
          <cell r="CN9">
            <v>66</v>
          </cell>
          <cell r="CO9">
            <v>50.7</v>
          </cell>
          <cell r="CP9">
            <v>56</v>
          </cell>
          <cell r="CQ9">
            <v>67</v>
          </cell>
          <cell r="CR9">
            <v>45.5</v>
          </cell>
          <cell r="CS9">
            <v>77</v>
          </cell>
          <cell r="CT9">
            <v>52</v>
          </cell>
          <cell r="CU9">
            <v>59.7</v>
          </cell>
          <cell r="CV9">
            <v>20</v>
          </cell>
          <cell r="CW9">
            <v>12</v>
          </cell>
          <cell r="CX9">
            <v>62.5</v>
          </cell>
          <cell r="CY9">
            <v>28</v>
          </cell>
          <cell r="CZ9">
            <v>23</v>
          </cell>
          <cell r="DA9">
            <v>54.9</v>
          </cell>
          <cell r="DB9">
            <v>12</v>
          </cell>
          <cell r="DC9">
            <v>39</v>
          </cell>
          <cell r="DD9">
            <v>23.5</v>
          </cell>
          <cell r="DE9">
            <v>29</v>
          </cell>
          <cell r="DF9">
            <v>39</v>
          </cell>
          <cell r="DG9">
            <v>42.6</v>
          </cell>
          <cell r="DH9">
            <v>28</v>
          </cell>
          <cell r="DI9">
            <v>35</v>
          </cell>
          <cell r="DJ9">
            <v>44.4</v>
          </cell>
          <cell r="DK9">
            <v>48</v>
          </cell>
          <cell r="DL9">
            <v>62</v>
          </cell>
          <cell r="DM9">
            <v>43.6</v>
          </cell>
          <cell r="DN9">
            <v>35</v>
          </cell>
          <cell r="DO9">
            <v>63</v>
          </cell>
          <cell r="DP9">
            <v>35.700000000000003</v>
          </cell>
          <cell r="DQ9">
            <v>52</v>
          </cell>
          <cell r="DR9">
            <v>44</v>
          </cell>
          <cell r="DS9">
            <v>54.2</v>
          </cell>
          <cell r="DT9">
            <v>54.199981689453125</v>
          </cell>
          <cell r="DU9">
            <v>54.199981689453125</v>
          </cell>
          <cell r="DV9" t="str">
            <v>-</v>
          </cell>
          <cell r="DW9">
            <v>54.199981689453125</v>
          </cell>
          <cell r="DX9">
            <v>54.199981689453125</v>
          </cell>
          <cell r="DY9" t="str">
            <v>-</v>
          </cell>
          <cell r="DZ9">
            <v>54.199981689453125</v>
          </cell>
          <cell r="EA9">
            <v>54.199981689453125</v>
          </cell>
          <cell r="EB9" t="str">
            <v>-</v>
          </cell>
          <cell r="EC9">
            <v>54.199981689453125</v>
          </cell>
          <cell r="ED9">
            <v>54.199981689453125</v>
          </cell>
          <cell r="EE9" t="str">
            <v>-</v>
          </cell>
          <cell r="EF9">
            <v>54.199981689453125</v>
          </cell>
          <cell r="EG9">
            <v>54.199981689453125</v>
          </cell>
          <cell r="EH9" t="str">
            <v>-</v>
          </cell>
          <cell r="EI9">
            <v>54.199981689453125</v>
          </cell>
          <cell r="EJ9">
            <v>54.199981689453125</v>
          </cell>
          <cell r="EK9" t="str">
            <v>-</v>
          </cell>
          <cell r="EL9">
            <v>54.199981689453125</v>
          </cell>
          <cell r="EM9">
            <v>54.199981689453125</v>
          </cell>
          <cell r="EN9" t="str">
            <v>-</v>
          </cell>
          <cell r="EO9">
            <v>54.199981689453125</v>
          </cell>
          <cell r="EP9">
            <v>54.199981689453125</v>
          </cell>
          <cell r="EQ9" t="str">
            <v>-</v>
          </cell>
          <cell r="ER9">
            <v>2</v>
          </cell>
          <cell r="ES9">
            <v>2</v>
          </cell>
          <cell r="ET9">
            <v>50</v>
          </cell>
          <cell r="EU9">
            <v>5</v>
          </cell>
          <cell r="EV9">
            <v>2</v>
          </cell>
          <cell r="EW9">
            <v>71.400000000000006</v>
          </cell>
          <cell r="EX9">
            <v>5</v>
          </cell>
          <cell r="EY9">
            <v>2</v>
          </cell>
          <cell r="EZ9">
            <v>71.400000000000006</v>
          </cell>
          <cell r="FA9">
            <v>71.39996337890625</v>
          </cell>
          <cell r="FB9">
            <v>1</v>
          </cell>
          <cell r="FC9">
            <v>0</v>
          </cell>
          <cell r="FD9">
            <v>1</v>
          </cell>
          <cell r="FE9">
            <v>2</v>
          </cell>
          <cell r="FF9">
            <v>33.299999999999997</v>
          </cell>
          <cell r="FG9">
            <v>1</v>
          </cell>
          <cell r="FH9">
            <v>6</v>
          </cell>
          <cell r="FI9">
            <v>14.3</v>
          </cell>
          <cell r="FJ9">
            <v>4</v>
          </cell>
          <cell r="FK9">
            <v>3</v>
          </cell>
          <cell r="FL9">
            <v>57.1</v>
          </cell>
          <cell r="FM9">
            <v>1</v>
          </cell>
          <cell r="FN9">
            <v>3</v>
          </cell>
          <cell r="FO9">
            <v>25</v>
          </cell>
          <cell r="FP9">
            <v>25</v>
          </cell>
          <cell r="FQ9">
            <v>25</v>
          </cell>
          <cell r="FR9" t="str">
            <v>-</v>
          </cell>
          <cell r="FS9">
            <v>25</v>
          </cell>
          <cell r="FT9">
            <v>25</v>
          </cell>
          <cell r="FU9" t="str">
            <v>-</v>
          </cell>
          <cell r="FV9">
            <v>25</v>
          </cell>
          <cell r="FW9">
            <v>25</v>
          </cell>
          <cell r="FX9" t="str">
            <v>-</v>
          </cell>
          <cell r="FY9">
            <v>25</v>
          </cell>
          <cell r="FZ9">
            <v>25</v>
          </cell>
          <cell r="GA9" t="str">
            <v>-</v>
          </cell>
          <cell r="GB9">
            <v>25</v>
          </cell>
          <cell r="GC9">
            <v>25</v>
          </cell>
          <cell r="GD9" t="str">
            <v>-</v>
          </cell>
          <cell r="GE9">
            <v>25</v>
          </cell>
          <cell r="GF9">
            <v>25</v>
          </cell>
          <cell r="GG9" t="str">
            <v>-</v>
          </cell>
          <cell r="GH9">
            <v>2</v>
          </cell>
          <cell r="GI9">
            <v>2</v>
          </cell>
          <cell r="GJ9">
            <v>100</v>
          </cell>
          <cell r="GK9">
            <v>100</v>
          </cell>
          <cell r="GL9">
            <v>100</v>
          </cell>
          <cell r="GM9" t="str">
            <v>-</v>
          </cell>
          <cell r="GN9">
            <v>41</v>
          </cell>
          <cell r="GO9">
            <v>16</v>
          </cell>
          <cell r="GP9">
            <v>71.900000000000006</v>
          </cell>
          <cell r="GQ9">
            <v>37</v>
          </cell>
          <cell r="GR9">
            <v>23</v>
          </cell>
          <cell r="GS9">
            <v>61.7</v>
          </cell>
          <cell r="GT9">
            <v>50</v>
          </cell>
          <cell r="GU9">
            <v>33</v>
          </cell>
          <cell r="GV9">
            <v>60.2</v>
          </cell>
          <cell r="GW9">
            <v>59</v>
          </cell>
          <cell r="GX9">
            <v>40</v>
          </cell>
          <cell r="GY9">
            <v>59.6</v>
          </cell>
          <cell r="GZ9">
            <v>73</v>
          </cell>
          <cell r="HA9">
            <v>61</v>
          </cell>
          <cell r="HB9">
            <v>54.5</v>
          </cell>
          <cell r="HC9">
            <v>131</v>
          </cell>
          <cell r="HD9">
            <v>89</v>
          </cell>
          <cell r="HE9">
            <v>59.5</v>
          </cell>
          <cell r="HF9">
            <v>135</v>
          </cell>
          <cell r="HG9">
            <v>87</v>
          </cell>
          <cell r="HH9">
            <v>60.8</v>
          </cell>
          <cell r="HI9">
            <v>145</v>
          </cell>
          <cell r="HJ9">
            <v>83</v>
          </cell>
          <cell r="HK9">
            <v>63.6</v>
          </cell>
          <cell r="HL9">
            <v>4</v>
          </cell>
          <cell r="HM9">
            <v>5</v>
          </cell>
          <cell r="HN9">
            <v>44.4</v>
          </cell>
          <cell r="HO9">
            <v>1</v>
          </cell>
          <cell r="HP9">
            <v>4</v>
          </cell>
          <cell r="HQ9">
            <v>20</v>
          </cell>
          <cell r="HR9">
            <v>1</v>
          </cell>
          <cell r="HS9">
            <v>6</v>
          </cell>
          <cell r="HT9">
            <v>14.3</v>
          </cell>
          <cell r="HU9">
            <v>5</v>
          </cell>
          <cell r="HV9">
            <v>3</v>
          </cell>
          <cell r="HW9">
            <v>62.5</v>
          </cell>
          <cell r="HX9">
            <v>6</v>
          </cell>
          <cell r="HY9">
            <v>3</v>
          </cell>
          <cell r="HZ9">
            <v>66.7</v>
          </cell>
          <cell r="IA9">
            <v>3</v>
          </cell>
          <cell r="IB9">
            <v>3</v>
          </cell>
          <cell r="IC9">
            <v>50</v>
          </cell>
          <cell r="ID9">
            <v>4</v>
          </cell>
          <cell r="IE9">
            <v>1</v>
          </cell>
          <cell r="IF9">
            <v>80</v>
          </cell>
          <cell r="IG9">
            <v>3</v>
          </cell>
          <cell r="IH9">
            <v>6</v>
          </cell>
          <cell r="II9">
            <v>33.299999999999997</v>
          </cell>
          <cell r="IJ9">
            <v>33.29998779296875</v>
          </cell>
          <cell r="IK9">
            <v>33.29998779296875</v>
          </cell>
          <cell r="IL9" t="str">
            <v>-</v>
          </cell>
          <cell r="IM9">
            <v>1</v>
          </cell>
          <cell r="IN9">
            <v>1</v>
          </cell>
          <cell r="IO9">
            <v>100</v>
          </cell>
          <cell r="IP9">
            <v>1</v>
          </cell>
          <cell r="IQ9">
            <v>1</v>
          </cell>
          <cell r="IR9">
            <v>100</v>
          </cell>
          <cell r="IS9">
            <v>1</v>
          </cell>
          <cell r="IT9">
            <v>2</v>
          </cell>
          <cell r="IU9">
            <v>33.299999999999997</v>
          </cell>
          <cell r="IV9">
            <v>33.29998779296875</v>
          </cell>
          <cell r="IW9">
            <v>2</v>
          </cell>
          <cell r="IX9">
            <v>0</v>
          </cell>
          <cell r="IY9">
            <v>0</v>
          </cell>
          <cell r="IZ9">
            <v>2</v>
          </cell>
          <cell r="JA9">
            <v>0</v>
          </cell>
          <cell r="JB9">
            <v>0</v>
          </cell>
          <cell r="JC9">
            <v>1</v>
          </cell>
          <cell r="JD9">
            <v>0</v>
          </cell>
          <cell r="JE9">
            <v>4</v>
          </cell>
          <cell r="JF9">
            <v>2</v>
          </cell>
          <cell r="JG9">
            <v>66.7</v>
          </cell>
          <cell r="JH9">
            <v>0</v>
          </cell>
          <cell r="JI9">
            <v>0</v>
          </cell>
          <cell r="JJ9" t="str">
            <v>-</v>
          </cell>
          <cell r="JK9">
            <v>0</v>
          </cell>
          <cell r="JL9">
            <v>0</v>
          </cell>
          <cell r="JM9" t="str">
            <v>-</v>
          </cell>
          <cell r="JN9">
            <v>0</v>
          </cell>
          <cell r="JO9">
            <v>0</v>
          </cell>
          <cell r="JP9" t="str">
            <v>-</v>
          </cell>
          <cell r="JQ9">
            <v>277</v>
          </cell>
          <cell r="JR9">
            <v>264</v>
          </cell>
          <cell r="JS9">
            <v>51.201478743068392</v>
          </cell>
          <cell r="JT9">
            <v>192</v>
          </cell>
          <cell r="JU9">
            <v>243</v>
          </cell>
          <cell r="JV9">
            <v>44.137931034482762</v>
          </cell>
          <cell r="JW9">
            <v>0</v>
          </cell>
          <cell r="JX9">
            <v>0</v>
          </cell>
          <cell r="JY9" t="str">
            <v>-</v>
          </cell>
          <cell r="JZ9">
            <v>7</v>
          </cell>
          <cell r="KA9">
            <v>15</v>
          </cell>
          <cell r="KB9">
            <v>31.818181818181817</v>
          </cell>
          <cell r="KC9">
            <v>2</v>
          </cell>
          <cell r="KD9">
            <v>0</v>
          </cell>
          <cell r="KE9">
            <v>100</v>
          </cell>
          <cell r="KF9">
            <v>543</v>
          </cell>
          <cell r="KG9">
            <v>360</v>
          </cell>
          <cell r="KH9">
            <v>60.13289036544851</v>
          </cell>
          <cell r="KI9">
            <v>21</v>
          </cell>
          <cell r="KJ9">
            <v>16</v>
          </cell>
          <cell r="KK9">
            <v>56.756756756756758</v>
          </cell>
          <cell r="KL9">
            <v>5</v>
          </cell>
          <cell r="KM9">
            <v>9</v>
          </cell>
          <cell r="KN9">
            <v>35.714285714285715</v>
          </cell>
        </row>
        <row r="10">
          <cell r="C10" t="str">
            <v>Bp VI. kerületi Rendőrkapitányság</v>
          </cell>
          <cell r="D10">
            <v>35.714263916015625</v>
          </cell>
          <cell r="E10">
            <v>35.714263916015625</v>
          </cell>
          <cell r="F10" t="str">
            <v>-</v>
          </cell>
          <cell r="G10">
            <v>35.714263916015625</v>
          </cell>
          <cell r="H10">
            <v>35.714263916015625</v>
          </cell>
          <cell r="I10" t="str">
            <v>-</v>
          </cell>
          <cell r="J10">
            <v>35.714263916015625</v>
          </cell>
          <cell r="K10">
            <v>35.714263916015625</v>
          </cell>
          <cell r="L10" t="str">
            <v>-</v>
          </cell>
          <cell r="M10">
            <v>35.714263916015625</v>
          </cell>
          <cell r="N10">
            <v>35.714263916015625</v>
          </cell>
          <cell r="O10" t="str">
            <v>-</v>
          </cell>
          <cell r="P10">
            <v>35.714263916015625</v>
          </cell>
          <cell r="Q10">
            <v>35.714263916015625</v>
          </cell>
          <cell r="R10" t="str">
            <v>-</v>
          </cell>
          <cell r="S10">
            <v>35.714263916015625</v>
          </cell>
          <cell r="T10">
            <v>35.714263916015625</v>
          </cell>
          <cell r="U10" t="str">
            <v>-</v>
          </cell>
          <cell r="V10">
            <v>35.714263916015625</v>
          </cell>
          <cell r="W10">
            <v>35.714263916015625</v>
          </cell>
          <cell r="X10" t="str">
            <v>-</v>
          </cell>
          <cell r="Y10">
            <v>35.714263916015625</v>
          </cell>
          <cell r="Z10">
            <v>35.714263916015625</v>
          </cell>
          <cell r="AA10" t="str">
            <v>-</v>
          </cell>
          <cell r="AB10">
            <v>35.714263916015625</v>
          </cell>
          <cell r="AC10">
            <v>35.714263916015625</v>
          </cell>
          <cell r="AD10" t="str">
            <v>-</v>
          </cell>
          <cell r="AE10">
            <v>35.714263916015625</v>
          </cell>
          <cell r="AF10">
            <v>35.714263916015625</v>
          </cell>
          <cell r="AG10" t="str">
            <v>-</v>
          </cell>
          <cell r="AH10">
            <v>35.714263916015625</v>
          </cell>
          <cell r="AI10">
            <v>35.714263916015625</v>
          </cell>
          <cell r="AJ10" t="str">
            <v>-</v>
          </cell>
          <cell r="AK10">
            <v>35.714263916015625</v>
          </cell>
          <cell r="AL10">
            <v>35.714263916015625</v>
          </cell>
          <cell r="AM10" t="str">
            <v>-</v>
          </cell>
          <cell r="AN10">
            <v>35.714263916015625</v>
          </cell>
          <cell r="AO10">
            <v>35.714263916015625</v>
          </cell>
          <cell r="AP10" t="str">
            <v>-</v>
          </cell>
          <cell r="AQ10">
            <v>35.714263916015625</v>
          </cell>
          <cell r="AR10">
            <v>35.714263916015625</v>
          </cell>
          <cell r="AS10" t="str">
            <v>-</v>
          </cell>
          <cell r="AT10">
            <v>35.714263916015625</v>
          </cell>
          <cell r="AU10">
            <v>35.714263916015625</v>
          </cell>
          <cell r="AV10" t="str">
            <v>-</v>
          </cell>
          <cell r="AW10">
            <v>35.714263916015625</v>
          </cell>
          <cell r="AX10">
            <v>35.714263916015625</v>
          </cell>
          <cell r="AY10" t="str">
            <v>-</v>
          </cell>
          <cell r="AZ10">
            <v>35.714263916015625</v>
          </cell>
          <cell r="BA10">
            <v>35.714263916015625</v>
          </cell>
          <cell r="BB10" t="str">
            <v>-</v>
          </cell>
          <cell r="BC10">
            <v>35.714263916015625</v>
          </cell>
          <cell r="BD10">
            <v>35.714263916015625</v>
          </cell>
          <cell r="BE10" t="str">
            <v>-</v>
          </cell>
          <cell r="BF10">
            <v>35.714263916015625</v>
          </cell>
          <cell r="BG10">
            <v>35.714263916015625</v>
          </cell>
          <cell r="BH10" t="str">
            <v>-</v>
          </cell>
          <cell r="BI10">
            <v>35.714263916015625</v>
          </cell>
          <cell r="BJ10">
            <v>35.714263916015625</v>
          </cell>
          <cell r="BK10" t="str">
            <v>-</v>
          </cell>
          <cell r="BL10">
            <v>35.714263916015625</v>
          </cell>
          <cell r="BM10">
            <v>35.714263916015625</v>
          </cell>
          <cell r="BN10" t="str">
            <v>-</v>
          </cell>
          <cell r="BO10">
            <v>35.714263916015625</v>
          </cell>
          <cell r="BP10">
            <v>35.714263916015625</v>
          </cell>
          <cell r="BQ10" t="str">
            <v>-</v>
          </cell>
          <cell r="BR10">
            <v>35.714263916015625</v>
          </cell>
          <cell r="BS10">
            <v>35.714263916015625</v>
          </cell>
          <cell r="BT10" t="str">
            <v>-</v>
          </cell>
          <cell r="BU10">
            <v>35.714263916015625</v>
          </cell>
          <cell r="BV10">
            <v>35.714263916015625</v>
          </cell>
          <cell r="BW10" t="str">
            <v>-</v>
          </cell>
          <cell r="BX10">
            <v>52</v>
          </cell>
          <cell r="BY10">
            <v>27</v>
          </cell>
          <cell r="BZ10">
            <v>65.8</v>
          </cell>
          <cell r="CA10">
            <v>37</v>
          </cell>
          <cell r="CB10">
            <v>21</v>
          </cell>
          <cell r="CC10">
            <v>63.8</v>
          </cell>
          <cell r="CD10">
            <v>45</v>
          </cell>
          <cell r="CE10">
            <v>45</v>
          </cell>
          <cell r="CF10">
            <v>50</v>
          </cell>
          <cell r="CG10">
            <v>48</v>
          </cell>
          <cell r="CH10">
            <v>40</v>
          </cell>
          <cell r="CI10">
            <v>54.5</v>
          </cell>
          <cell r="CJ10">
            <v>67</v>
          </cell>
          <cell r="CK10">
            <v>38</v>
          </cell>
          <cell r="CL10">
            <v>63.8</v>
          </cell>
          <cell r="CM10">
            <v>59</v>
          </cell>
          <cell r="CN10">
            <v>31</v>
          </cell>
          <cell r="CO10">
            <v>65.599999999999994</v>
          </cell>
          <cell r="CP10">
            <v>72</v>
          </cell>
          <cell r="CQ10">
            <v>47</v>
          </cell>
          <cell r="CR10">
            <v>60.5</v>
          </cell>
          <cell r="CS10">
            <v>62</v>
          </cell>
          <cell r="CT10">
            <v>21</v>
          </cell>
          <cell r="CU10">
            <v>74.7</v>
          </cell>
          <cell r="CV10">
            <v>26</v>
          </cell>
          <cell r="CW10">
            <v>26</v>
          </cell>
          <cell r="CX10">
            <v>50</v>
          </cell>
          <cell r="CY10">
            <v>21</v>
          </cell>
          <cell r="CZ10">
            <v>19</v>
          </cell>
          <cell r="DA10">
            <v>52.5</v>
          </cell>
          <cell r="DB10">
            <v>27</v>
          </cell>
          <cell r="DC10">
            <v>40</v>
          </cell>
          <cell r="DD10">
            <v>40.299999999999997</v>
          </cell>
          <cell r="DE10">
            <v>28</v>
          </cell>
          <cell r="DF10">
            <v>33</v>
          </cell>
          <cell r="DG10">
            <v>45.9</v>
          </cell>
          <cell r="DH10">
            <v>44</v>
          </cell>
          <cell r="DI10">
            <v>33</v>
          </cell>
          <cell r="DJ10">
            <v>57.1</v>
          </cell>
          <cell r="DK10">
            <v>29</v>
          </cell>
          <cell r="DL10">
            <v>28</v>
          </cell>
          <cell r="DM10">
            <v>50.9</v>
          </cell>
          <cell r="DN10">
            <v>37</v>
          </cell>
          <cell r="DO10">
            <v>41</v>
          </cell>
          <cell r="DP10">
            <v>47.4</v>
          </cell>
          <cell r="DQ10">
            <v>31</v>
          </cell>
          <cell r="DR10">
            <v>19</v>
          </cell>
          <cell r="DS10">
            <v>62</v>
          </cell>
          <cell r="DT10">
            <v>62</v>
          </cell>
          <cell r="DU10">
            <v>62</v>
          </cell>
          <cell r="DV10" t="str">
            <v>-</v>
          </cell>
          <cell r="DW10">
            <v>62</v>
          </cell>
          <cell r="DX10">
            <v>62</v>
          </cell>
          <cell r="DY10" t="str">
            <v>-</v>
          </cell>
          <cell r="DZ10">
            <v>62</v>
          </cell>
          <cell r="EA10">
            <v>62</v>
          </cell>
          <cell r="EB10" t="str">
            <v>-</v>
          </cell>
          <cell r="EC10">
            <v>62</v>
          </cell>
          <cell r="ED10">
            <v>62</v>
          </cell>
          <cell r="EE10" t="str">
            <v>-</v>
          </cell>
          <cell r="EF10">
            <v>62</v>
          </cell>
          <cell r="EG10">
            <v>62</v>
          </cell>
          <cell r="EH10" t="str">
            <v>-</v>
          </cell>
          <cell r="EI10">
            <v>62</v>
          </cell>
          <cell r="EJ10">
            <v>62</v>
          </cell>
          <cell r="EK10" t="str">
            <v>-</v>
          </cell>
          <cell r="EL10">
            <v>62</v>
          </cell>
          <cell r="EM10">
            <v>62</v>
          </cell>
          <cell r="EN10" t="str">
            <v>-</v>
          </cell>
          <cell r="EO10">
            <v>62</v>
          </cell>
          <cell r="EP10">
            <v>62</v>
          </cell>
          <cell r="EQ10" t="str">
            <v>-</v>
          </cell>
          <cell r="ER10">
            <v>2</v>
          </cell>
          <cell r="ES10">
            <v>5</v>
          </cell>
          <cell r="ET10">
            <v>28.6</v>
          </cell>
          <cell r="EU10">
            <v>4</v>
          </cell>
          <cell r="EV10">
            <v>4</v>
          </cell>
          <cell r="EW10">
            <v>100</v>
          </cell>
          <cell r="EX10">
            <v>6</v>
          </cell>
          <cell r="EY10">
            <v>6</v>
          </cell>
          <cell r="EZ10">
            <v>100</v>
          </cell>
          <cell r="FA10">
            <v>6</v>
          </cell>
          <cell r="FB10">
            <v>6</v>
          </cell>
          <cell r="FC10">
            <v>50</v>
          </cell>
          <cell r="FD10">
            <v>5</v>
          </cell>
          <cell r="FE10">
            <v>5</v>
          </cell>
          <cell r="FF10">
            <v>50</v>
          </cell>
          <cell r="FG10">
            <v>6</v>
          </cell>
          <cell r="FH10">
            <v>2</v>
          </cell>
          <cell r="FI10">
            <v>75</v>
          </cell>
          <cell r="FJ10">
            <v>7</v>
          </cell>
          <cell r="FK10">
            <v>2</v>
          </cell>
          <cell r="FL10">
            <v>77.8</v>
          </cell>
          <cell r="FM10">
            <v>6</v>
          </cell>
          <cell r="FN10">
            <v>6</v>
          </cell>
          <cell r="FO10">
            <v>100</v>
          </cell>
          <cell r="FP10">
            <v>100</v>
          </cell>
          <cell r="FQ10">
            <v>100</v>
          </cell>
          <cell r="FR10" t="str">
            <v>-</v>
          </cell>
          <cell r="FS10">
            <v>100</v>
          </cell>
          <cell r="FT10">
            <v>100</v>
          </cell>
          <cell r="FU10" t="str">
            <v>-</v>
          </cell>
          <cell r="FV10">
            <v>100</v>
          </cell>
          <cell r="FW10">
            <v>100</v>
          </cell>
          <cell r="FX10" t="str">
            <v>-</v>
          </cell>
          <cell r="FY10">
            <v>100</v>
          </cell>
          <cell r="FZ10">
            <v>100</v>
          </cell>
          <cell r="GA10" t="str">
            <v>-</v>
          </cell>
          <cell r="GB10">
            <v>100</v>
          </cell>
          <cell r="GC10">
            <v>100</v>
          </cell>
          <cell r="GD10" t="str">
            <v>-</v>
          </cell>
          <cell r="GE10">
            <v>100</v>
          </cell>
          <cell r="GF10">
            <v>100</v>
          </cell>
          <cell r="GG10" t="str">
            <v>-</v>
          </cell>
          <cell r="GH10">
            <v>100</v>
          </cell>
          <cell r="GI10">
            <v>100</v>
          </cell>
          <cell r="GJ10" t="str">
            <v>-</v>
          </cell>
          <cell r="GK10">
            <v>100</v>
          </cell>
          <cell r="GL10">
            <v>100</v>
          </cell>
          <cell r="GM10" t="str">
            <v>-</v>
          </cell>
          <cell r="GN10">
            <v>85</v>
          </cell>
          <cell r="GO10">
            <v>30</v>
          </cell>
          <cell r="GP10">
            <v>73.900000000000006</v>
          </cell>
          <cell r="GQ10">
            <v>98</v>
          </cell>
          <cell r="GR10">
            <v>29</v>
          </cell>
          <cell r="GS10">
            <v>77.2</v>
          </cell>
          <cell r="GT10">
            <v>86</v>
          </cell>
          <cell r="GU10">
            <v>27</v>
          </cell>
          <cell r="GV10">
            <v>76.099999999999994</v>
          </cell>
          <cell r="GW10">
            <v>62</v>
          </cell>
          <cell r="GX10">
            <v>40</v>
          </cell>
          <cell r="GY10">
            <v>60.8</v>
          </cell>
          <cell r="GZ10">
            <v>94</v>
          </cell>
          <cell r="HA10">
            <v>45</v>
          </cell>
          <cell r="HB10">
            <v>67.599999999999994</v>
          </cell>
          <cell r="HC10">
            <v>113</v>
          </cell>
          <cell r="HD10">
            <v>54</v>
          </cell>
          <cell r="HE10">
            <v>67.7</v>
          </cell>
          <cell r="HF10">
            <v>127</v>
          </cell>
          <cell r="HG10">
            <v>47</v>
          </cell>
          <cell r="HH10">
            <v>73</v>
          </cell>
          <cell r="HI10">
            <v>155</v>
          </cell>
          <cell r="HJ10">
            <v>45</v>
          </cell>
          <cell r="HK10">
            <v>77.5</v>
          </cell>
          <cell r="HL10">
            <v>5</v>
          </cell>
          <cell r="HM10">
            <v>3</v>
          </cell>
          <cell r="HN10">
            <v>62.5</v>
          </cell>
          <cell r="HO10">
            <v>2</v>
          </cell>
          <cell r="HP10">
            <v>1</v>
          </cell>
          <cell r="HQ10">
            <v>66.7</v>
          </cell>
          <cell r="HR10">
            <v>66.699951171875</v>
          </cell>
          <cell r="HS10">
            <v>2</v>
          </cell>
          <cell r="HT10">
            <v>0</v>
          </cell>
          <cell r="HU10">
            <v>7</v>
          </cell>
          <cell r="HV10">
            <v>3</v>
          </cell>
          <cell r="HW10">
            <v>70</v>
          </cell>
          <cell r="HX10">
            <v>4</v>
          </cell>
          <cell r="HY10">
            <v>4</v>
          </cell>
          <cell r="HZ10">
            <v>50</v>
          </cell>
          <cell r="IA10">
            <v>2</v>
          </cell>
          <cell r="IB10">
            <v>1</v>
          </cell>
          <cell r="IC10">
            <v>66.7</v>
          </cell>
          <cell r="ID10">
            <v>3</v>
          </cell>
          <cell r="IE10">
            <v>4</v>
          </cell>
          <cell r="IF10">
            <v>42.9</v>
          </cell>
          <cell r="IG10">
            <v>42.899993896484375</v>
          </cell>
          <cell r="IH10">
            <v>42.899993896484375</v>
          </cell>
          <cell r="II10" t="str">
            <v>-</v>
          </cell>
          <cell r="IJ10">
            <v>42.899993896484375</v>
          </cell>
          <cell r="IK10">
            <v>1</v>
          </cell>
          <cell r="IL10">
            <v>0</v>
          </cell>
          <cell r="IM10">
            <v>0</v>
          </cell>
          <cell r="IN10">
            <v>0</v>
          </cell>
          <cell r="IO10" t="str">
            <v>-</v>
          </cell>
          <cell r="IP10">
            <v>0</v>
          </cell>
          <cell r="IQ10">
            <v>1</v>
          </cell>
          <cell r="IR10">
            <v>0</v>
          </cell>
          <cell r="IS10">
            <v>4</v>
          </cell>
          <cell r="IT10">
            <v>4</v>
          </cell>
          <cell r="IU10">
            <v>100</v>
          </cell>
          <cell r="IV10">
            <v>100</v>
          </cell>
          <cell r="IW10">
            <v>1</v>
          </cell>
          <cell r="IX10">
            <v>0</v>
          </cell>
          <cell r="IY10">
            <v>4</v>
          </cell>
          <cell r="IZ10">
            <v>4</v>
          </cell>
          <cell r="JA10">
            <v>100</v>
          </cell>
          <cell r="JB10">
            <v>3</v>
          </cell>
          <cell r="JC10">
            <v>1</v>
          </cell>
          <cell r="JD10">
            <v>75</v>
          </cell>
          <cell r="JE10">
            <v>6</v>
          </cell>
          <cell r="JF10">
            <v>2</v>
          </cell>
          <cell r="JG10">
            <v>75</v>
          </cell>
          <cell r="JH10">
            <v>0</v>
          </cell>
          <cell r="JI10">
            <v>0</v>
          </cell>
          <cell r="JJ10" t="str">
            <v>-</v>
          </cell>
          <cell r="JK10">
            <v>0</v>
          </cell>
          <cell r="JL10">
            <v>0</v>
          </cell>
          <cell r="JM10" t="str">
            <v>-</v>
          </cell>
          <cell r="JN10">
            <v>0</v>
          </cell>
          <cell r="JO10">
            <v>0</v>
          </cell>
          <cell r="JP10" t="str">
            <v>-</v>
          </cell>
          <cell r="JQ10">
            <v>308</v>
          </cell>
          <cell r="JR10">
            <v>177</v>
          </cell>
          <cell r="JS10">
            <v>63.505154639175252</v>
          </cell>
          <cell r="JT10">
            <v>169</v>
          </cell>
          <cell r="JU10">
            <v>154</v>
          </cell>
          <cell r="JV10">
            <v>52.321981424148611</v>
          </cell>
          <cell r="JW10">
            <v>0</v>
          </cell>
          <cell r="JX10">
            <v>0</v>
          </cell>
          <cell r="JY10" t="str">
            <v>-</v>
          </cell>
          <cell r="JZ10">
            <v>30</v>
          </cell>
          <cell r="KA10">
            <v>15</v>
          </cell>
          <cell r="KB10">
            <v>66.666666666666657</v>
          </cell>
          <cell r="KC10">
            <v>0</v>
          </cell>
          <cell r="KD10">
            <v>0</v>
          </cell>
          <cell r="KE10" t="str">
            <v>-</v>
          </cell>
          <cell r="KF10">
            <v>551</v>
          </cell>
          <cell r="KG10">
            <v>231</v>
          </cell>
          <cell r="KH10">
            <v>70.460358056265989</v>
          </cell>
          <cell r="KI10">
            <v>16</v>
          </cell>
          <cell r="KJ10">
            <v>12</v>
          </cell>
          <cell r="KK10">
            <v>57.142857142857139</v>
          </cell>
          <cell r="KL10">
            <v>17</v>
          </cell>
          <cell r="KM10">
            <v>4</v>
          </cell>
          <cell r="KN10">
            <v>80.952380952380949</v>
          </cell>
        </row>
        <row r="11">
          <cell r="C11" t="str">
            <v>Bp VII. kerületi Rendőrkapitányság</v>
          </cell>
          <cell r="D11">
            <v>80.95233154296875</v>
          </cell>
          <cell r="E11">
            <v>80.95233154296875</v>
          </cell>
          <cell r="F11" t="str">
            <v>-</v>
          </cell>
          <cell r="G11">
            <v>80.95233154296875</v>
          </cell>
          <cell r="H11">
            <v>80.95233154296875</v>
          </cell>
          <cell r="I11" t="str">
            <v>-</v>
          </cell>
          <cell r="J11">
            <v>80.95233154296875</v>
          </cell>
          <cell r="K11">
            <v>80.95233154296875</v>
          </cell>
          <cell r="L11" t="str">
            <v>-</v>
          </cell>
          <cell r="M11">
            <v>80.95233154296875</v>
          </cell>
          <cell r="N11">
            <v>80.95233154296875</v>
          </cell>
          <cell r="O11" t="str">
            <v>-</v>
          </cell>
          <cell r="P11">
            <v>2</v>
          </cell>
          <cell r="Q11">
            <v>2</v>
          </cell>
          <cell r="R11">
            <v>100</v>
          </cell>
          <cell r="S11">
            <v>100</v>
          </cell>
          <cell r="T11">
            <v>100</v>
          </cell>
          <cell r="U11" t="str">
            <v>-</v>
          </cell>
          <cell r="V11">
            <v>100</v>
          </cell>
          <cell r="W11">
            <v>100</v>
          </cell>
          <cell r="X11" t="str">
            <v>-</v>
          </cell>
          <cell r="Y11">
            <v>100</v>
          </cell>
          <cell r="Z11">
            <v>100</v>
          </cell>
          <cell r="AA11" t="str">
            <v>-</v>
          </cell>
          <cell r="AB11">
            <v>100</v>
          </cell>
          <cell r="AC11">
            <v>100</v>
          </cell>
          <cell r="AD11" t="str">
            <v>-</v>
          </cell>
          <cell r="AE11">
            <v>100</v>
          </cell>
          <cell r="AF11">
            <v>100</v>
          </cell>
          <cell r="AG11" t="str">
            <v>-</v>
          </cell>
          <cell r="AH11">
            <v>100</v>
          </cell>
          <cell r="AI11">
            <v>100</v>
          </cell>
          <cell r="AJ11" t="str">
            <v>-</v>
          </cell>
          <cell r="AK11">
            <v>100</v>
          </cell>
          <cell r="AL11">
            <v>100</v>
          </cell>
          <cell r="AM11" t="str">
            <v>-</v>
          </cell>
          <cell r="AN11">
            <v>100</v>
          </cell>
          <cell r="AO11">
            <v>100</v>
          </cell>
          <cell r="AP11" t="str">
            <v>-</v>
          </cell>
          <cell r="AQ11">
            <v>100</v>
          </cell>
          <cell r="AR11">
            <v>100</v>
          </cell>
          <cell r="AS11" t="str">
            <v>-</v>
          </cell>
          <cell r="AT11">
            <v>100</v>
          </cell>
          <cell r="AU11">
            <v>100</v>
          </cell>
          <cell r="AV11" t="str">
            <v>-</v>
          </cell>
          <cell r="AW11">
            <v>100</v>
          </cell>
          <cell r="AX11">
            <v>100</v>
          </cell>
          <cell r="AY11" t="str">
            <v>-</v>
          </cell>
          <cell r="AZ11">
            <v>100</v>
          </cell>
          <cell r="BA11">
            <v>100</v>
          </cell>
          <cell r="BB11" t="str">
            <v>-</v>
          </cell>
          <cell r="BC11">
            <v>100</v>
          </cell>
          <cell r="BD11">
            <v>100</v>
          </cell>
          <cell r="BE11" t="str">
            <v>-</v>
          </cell>
          <cell r="BF11">
            <v>100</v>
          </cell>
          <cell r="BG11">
            <v>100</v>
          </cell>
          <cell r="BH11" t="str">
            <v>-</v>
          </cell>
          <cell r="BI11">
            <v>100</v>
          </cell>
          <cell r="BJ11">
            <v>100</v>
          </cell>
          <cell r="BK11" t="str">
            <v>-</v>
          </cell>
          <cell r="BL11">
            <v>100</v>
          </cell>
          <cell r="BM11">
            <v>100</v>
          </cell>
          <cell r="BN11" t="str">
            <v>-</v>
          </cell>
          <cell r="BO11">
            <v>100</v>
          </cell>
          <cell r="BP11">
            <v>100</v>
          </cell>
          <cell r="BQ11" t="str">
            <v>-</v>
          </cell>
          <cell r="BR11">
            <v>100</v>
          </cell>
          <cell r="BS11">
            <v>100</v>
          </cell>
          <cell r="BT11" t="str">
            <v>-</v>
          </cell>
          <cell r="BU11">
            <v>100</v>
          </cell>
          <cell r="BV11">
            <v>100</v>
          </cell>
          <cell r="BW11" t="str">
            <v>-</v>
          </cell>
          <cell r="BX11">
            <v>52</v>
          </cell>
          <cell r="BY11">
            <v>32</v>
          </cell>
          <cell r="BZ11">
            <v>61.9</v>
          </cell>
          <cell r="CA11">
            <v>61</v>
          </cell>
          <cell r="CB11">
            <v>38</v>
          </cell>
          <cell r="CC11">
            <v>61.6</v>
          </cell>
          <cell r="CD11">
            <v>48</v>
          </cell>
          <cell r="CE11">
            <v>57</v>
          </cell>
          <cell r="CF11">
            <v>45.7</v>
          </cell>
          <cell r="CG11">
            <v>50</v>
          </cell>
          <cell r="CH11">
            <v>49</v>
          </cell>
          <cell r="CI11">
            <v>50.5</v>
          </cell>
          <cell r="CJ11">
            <v>60</v>
          </cell>
          <cell r="CK11">
            <v>54</v>
          </cell>
          <cell r="CL11">
            <v>52.6</v>
          </cell>
          <cell r="CM11">
            <v>84</v>
          </cell>
          <cell r="CN11">
            <v>57</v>
          </cell>
          <cell r="CO11">
            <v>59.6</v>
          </cell>
          <cell r="CP11">
            <v>63</v>
          </cell>
          <cell r="CQ11">
            <v>60</v>
          </cell>
          <cell r="CR11">
            <v>51.2</v>
          </cell>
          <cell r="CS11">
            <v>64</v>
          </cell>
          <cell r="CT11">
            <v>80</v>
          </cell>
          <cell r="CU11">
            <v>44.4</v>
          </cell>
          <cell r="CV11">
            <v>31</v>
          </cell>
          <cell r="CW11">
            <v>27</v>
          </cell>
          <cell r="CX11">
            <v>53.4</v>
          </cell>
          <cell r="CY11">
            <v>32</v>
          </cell>
          <cell r="CZ11">
            <v>34</v>
          </cell>
          <cell r="DA11">
            <v>48.5</v>
          </cell>
          <cell r="DB11">
            <v>32</v>
          </cell>
          <cell r="DC11">
            <v>51</v>
          </cell>
          <cell r="DD11">
            <v>38.6</v>
          </cell>
          <cell r="DE11">
            <v>38</v>
          </cell>
          <cell r="DF11">
            <v>45</v>
          </cell>
          <cell r="DG11">
            <v>45.8</v>
          </cell>
          <cell r="DH11">
            <v>40</v>
          </cell>
          <cell r="DI11">
            <v>49</v>
          </cell>
          <cell r="DJ11">
            <v>44.9</v>
          </cell>
          <cell r="DK11">
            <v>49</v>
          </cell>
          <cell r="DL11">
            <v>46</v>
          </cell>
          <cell r="DM11">
            <v>51.6</v>
          </cell>
          <cell r="DN11">
            <v>45</v>
          </cell>
          <cell r="DO11">
            <v>58</v>
          </cell>
          <cell r="DP11">
            <v>43.7</v>
          </cell>
          <cell r="DQ11">
            <v>43</v>
          </cell>
          <cell r="DR11">
            <v>75</v>
          </cell>
          <cell r="DS11">
            <v>36.4</v>
          </cell>
          <cell r="DT11">
            <v>36.399993896484375</v>
          </cell>
          <cell r="DU11">
            <v>36.399993896484375</v>
          </cell>
          <cell r="DV11" t="str">
            <v>-</v>
          </cell>
          <cell r="DW11">
            <v>36.399993896484375</v>
          </cell>
          <cell r="DX11">
            <v>36.399993896484375</v>
          </cell>
          <cell r="DY11" t="str">
            <v>-</v>
          </cell>
          <cell r="DZ11">
            <v>36.399993896484375</v>
          </cell>
          <cell r="EA11">
            <v>36.399993896484375</v>
          </cell>
          <cell r="EB11" t="str">
            <v>-</v>
          </cell>
          <cell r="EC11">
            <v>36.399993896484375</v>
          </cell>
          <cell r="ED11">
            <v>36.399993896484375</v>
          </cell>
          <cell r="EE11" t="str">
            <v>-</v>
          </cell>
          <cell r="EF11">
            <v>36.399993896484375</v>
          </cell>
          <cell r="EG11">
            <v>36.399993896484375</v>
          </cell>
          <cell r="EH11" t="str">
            <v>-</v>
          </cell>
          <cell r="EI11">
            <v>36.399993896484375</v>
          </cell>
          <cell r="EJ11">
            <v>36.399993896484375</v>
          </cell>
          <cell r="EK11" t="str">
            <v>-</v>
          </cell>
          <cell r="EL11">
            <v>36.399993896484375</v>
          </cell>
          <cell r="EM11">
            <v>36.399993896484375</v>
          </cell>
          <cell r="EN11" t="str">
            <v>-</v>
          </cell>
          <cell r="EO11">
            <v>36.399993896484375</v>
          </cell>
          <cell r="EP11">
            <v>36.399993896484375</v>
          </cell>
          <cell r="EQ11" t="str">
            <v>-</v>
          </cell>
          <cell r="ER11">
            <v>4</v>
          </cell>
          <cell r="ES11">
            <v>3</v>
          </cell>
          <cell r="ET11">
            <v>57.1</v>
          </cell>
          <cell r="EU11">
            <v>3</v>
          </cell>
          <cell r="EV11">
            <v>3</v>
          </cell>
          <cell r="EW11">
            <v>50</v>
          </cell>
          <cell r="EX11">
            <v>6</v>
          </cell>
          <cell r="EY11">
            <v>7</v>
          </cell>
          <cell r="EZ11">
            <v>46.2</v>
          </cell>
          <cell r="FA11">
            <v>4</v>
          </cell>
          <cell r="FB11">
            <v>6</v>
          </cell>
          <cell r="FC11">
            <v>40</v>
          </cell>
          <cell r="FD11">
            <v>40</v>
          </cell>
          <cell r="FE11">
            <v>6</v>
          </cell>
          <cell r="FF11">
            <v>0</v>
          </cell>
          <cell r="FG11">
            <v>4</v>
          </cell>
          <cell r="FH11">
            <v>4</v>
          </cell>
          <cell r="FI11">
            <v>50</v>
          </cell>
          <cell r="FJ11">
            <v>3</v>
          </cell>
          <cell r="FK11">
            <v>3</v>
          </cell>
          <cell r="FL11">
            <v>50</v>
          </cell>
          <cell r="FM11">
            <v>8</v>
          </cell>
          <cell r="FN11">
            <v>1</v>
          </cell>
          <cell r="FO11">
            <v>88.9</v>
          </cell>
          <cell r="FP11">
            <v>1</v>
          </cell>
          <cell r="FQ11">
            <v>1</v>
          </cell>
          <cell r="FR11">
            <v>100</v>
          </cell>
          <cell r="FS11">
            <v>100</v>
          </cell>
          <cell r="FT11">
            <v>100</v>
          </cell>
          <cell r="FU11" t="str">
            <v>-</v>
          </cell>
          <cell r="FV11">
            <v>100</v>
          </cell>
          <cell r="FW11">
            <v>100</v>
          </cell>
          <cell r="FX11" t="str">
            <v>-</v>
          </cell>
          <cell r="FY11">
            <v>100</v>
          </cell>
          <cell r="FZ11">
            <v>100</v>
          </cell>
          <cell r="GA11" t="str">
            <v>-</v>
          </cell>
          <cell r="GB11">
            <v>100</v>
          </cell>
          <cell r="GC11">
            <v>100</v>
          </cell>
          <cell r="GD11" t="str">
            <v>-</v>
          </cell>
          <cell r="GE11">
            <v>100</v>
          </cell>
          <cell r="GF11">
            <v>100</v>
          </cell>
          <cell r="GG11" t="str">
            <v>-</v>
          </cell>
          <cell r="GH11">
            <v>100</v>
          </cell>
          <cell r="GI11">
            <v>100</v>
          </cell>
          <cell r="GJ11" t="str">
            <v>-</v>
          </cell>
          <cell r="GK11">
            <v>100</v>
          </cell>
          <cell r="GL11">
            <v>100</v>
          </cell>
          <cell r="GM11" t="str">
            <v>-</v>
          </cell>
          <cell r="GN11">
            <v>107</v>
          </cell>
          <cell r="GO11">
            <v>27</v>
          </cell>
          <cell r="GP11">
            <v>79.900000000000006</v>
          </cell>
          <cell r="GQ11">
            <v>94</v>
          </cell>
          <cell r="GR11">
            <v>37</v>
          </cell>
          <cell r="GS11">
            <v>71.8</v>
          </cell>
          <cell r="GT11">
            <v>81</v>
          </cell>
          <cell r="GU11">
            <v>57</v>
          </cell>
          <cell r="GV11">
            <v>58.7</v>
          </cell>
          <cell r="GW11">
            <v>98</v>
          </cell>
          <cell r="GX11">
            <v>66</v>
          </cell>
          <cell r="GY11">
            <v>59.8</v>
          </cell>
          <cell r="GZ11">
            <v>119</v>
          </cell>
          <cell r="HA11">
            <v>72</v>
          </cell>
          <cell r="HB11">
            <v>62.3</v>
          </cell>
          <cell r="HC11">
            <v>159</v>
          </cell>
          <cell r="HD11">
            <v>74</v>
          </cell>
          <cell r="HE11">
            <v>68.2</v>
          </cell>
          <cell r="HF11">
            <v>128</v>
          </cell>
          <cell r="HG11">
            <v>70</v>
          </cell>
          <cell r="HH11">
            <v>64.599999999999994</v>
          </cell>
          <cell r="HI11">
            <v>112</v>
          </cell>
          <cell r="HJ11">
            <v>54</v>
          </cell>
          <cell r="HK11">
            <v>67.5</v>
          </cell>
          <cell r="HL11">
            <v>8</v>
          </cell>
          <cell r="HM11">
            <v>12</v>
          </cell>
          <cell r="HN11">
            <v>40</v>
          </cell>
          <cell r="HO11">
            <v>6</v>
          </cell>
          <cell r="HP11">
            <v>8</v>
          </cell>
          <cell r="HQ11">
            <v>42.9</v>
          </cell>
          <cell r="HR11">
            <v>3</v>
          </cell>
          <cell r="HS11">
            <v>3</v>
          </cell>
          <cell r="HT11">
            <v>50</v>
          </cell>
          <cell r="HU11">
            <v>7</v>
          </cell>
          <cell r="HV11">
            <v>10</v>
          </cell>
          <cell r="HW11">
            <v>41.2</v>
          </cell>
          <cell r="HX11">
            <v>9</v>
          </cell>
          <cell r="HY11">
            <v>2</v>
          </cell>
          <cell r="HZ11">
            <v>81.8</v>
          </cell>
          <cell r="IA11">
            <v>5</v>
          </cell>
          <cell r="IB11">
            <v>2</v>
          </cell>
          <cell r="IC11">
            <v>71.400000000000006</v>
          </cell>
          <cell r="ID11">
            <v>3</v>
          </cell>
          <cell r="IE11">
            <v>3</v>
          </cell>
          <cell r="IF11">
            <v>50</v>
          </cell>
          <cell r="IG11">
            <v>5</v>
          </cell>
          <cell r="IH11">
            <v>6</v>
          </cell>
          <cell r="II11">
            <v>45.5</v>
          </cell>
          <cell r="IJ11">
            <v>14</v>
          </cell>
          <cell r="IK11">
            <v>3</v>
          </cell>
          <cell r="IL11">
            <v>82.4</v>
          </cell>
          <cell r="IM11">
            <v>3</v>
          </cell>
          <cell r="IN11">
            <v>3</v>
          </cell>
          <cell r="IO11">
            <v>100</v>
          </cell>
          <cell r="IP11">
            <v>3</v>
          </cell>
          <cell r="IQ11">
            <v>1</v>
          </cell>
          <cell r="IR11">
            <v>75</v>
          </cell>
          <cell r="IS11">
            <v>2</v>
          </cell>
          <cell r="IT11">
            <v>2</v>
          </cell>
          <cell r="IU11">
            <v>100</v>
          </cell>
          <cell r="IV11">
            <v>4</v>
          </cell>
          <cell r="IW11">
            <v>1</v>
          </cell>
          <cell r="IX11">
            <v>80</v>
          </cell>
          <cell r="IY11">
            <v>2</v>
          </cell>
          <cell r="IZ11">
            <v>1</v>
          </cell>
          <cell r="JA11">
            <v>66.7</v>
          </cell>
          <cell r="JB11">
            <v>2</v>
          </cell>
          <cell r="JC11">
            <v>1</v>
          </cell>
          <cell r="JD11">
            <v>66.7</v>
          </cell>
          <cell r="JE11">
            <v>7</v>
          </cell>
          <cell r="JF11">
            <v>7</v>
          </cell>
          <cell r="JG11">
            <v>100</v>
          </cell>
          <cell r="JH11">
            <v>2</v>
          </cell>
          <cell r="JI11">
            <v>0</v>
          </cell>
          <cell r="JJ11">
            <v>100</v>
          </cell>
          <cell r="JK11">
            <v>0</v>
          </cell>
          <cell r="JL11">
            <v>0</v>
          </cell>
          <cell r="JM11" t="str">
            <v>-</v>
          </cell>
          <cell r="JN11">
            <v>0</v>
          </cell>
          <cell r="JO11">
            <v>0</v>
          </cell>
          <cell r="JP11" t="str">
            <v>-</v>
          </cell>
          <cell r="JQ11">
            <v>321</v>
          </cell>
          <cell r="JR11">
            <v>300</v>
          </cell>
          <cell r="JS11">
            <v>51.690821256038646</v>
          </cell>
          <cell r="JT11">
            <v>215</v>
          </cell>
          <cell r="JU11">
            <v>273</v>
          </cell>
          <cell r="JV11">
            <v>44.057377049180332</v>
          </cell>
          <cell r="JW11">
            <v>0</v>
          </cell>
          <cell r="JX11">
            <v>0</v>
          </cell>
          <cell r="JY11" t="str">
            <v>-</v>
          </cell>
          <cell r="JZ11">
            <v>19</v>
          </cell>
          <cell r="KA11">
            <v>20</v>
          </cell>
          <cell r="KB11">
            <v>48.717948717948715</v>
          </cell>
          <cell r="KC11">
            <v>0</v>
          </cell>
          <cell r="KD11">
            <v>0</v>
          </cell>
          <cell r="KE11" t="str">
            <v>-</v>
          </cell>
          <cell r="KF11">
            <v>616</v>
          </cell>
          <cell r="KG11">
            <v>336</v>
          </cell>
          <cell r="KH11">
            <v>64.705882352941174</v>
          </cell>
          <cell r="KI11">
            <v>29</v>
          </cell>
          <cell r="KJ11">
            <v>23</v>
          </cell>
          <cell r="KK11">
            <v>55.769230769230774</v>
          </cell>
          <cell r="KL11">
            <v>17</v>
          </cell>
          <cell r="KM11">
            <v>3</v>
          </cell>
          <cell r="KN11">
            <v>85</v>
          </cell>
        </row>
        <row r="12">
          <cell r="C12" t="str">
            <v>Bp VIII. kerületi Rendőrkapitányság</v>
          </cell>
          <cell r="D12">
            <v>85</v>
          </cell>
          <cell r="E12">
            <v>85</v>
          </cell>
          <cell r="F12" t="str">
            <v>-</v>
          </cell>
          <cell r="G12">
            <v>85</v>
          </cell>
          <cell r="H12">
            <v>85</v>
          </cell>
          <cell r="I12" t="str">
            <v>-</v>
          </cell>
          <cell r="J12">
            <v>85</v>
          </cell>
          <cell r="K12">
            <v>85</v>
          </cell>
          <cell r="L12" t="str">
            <v>-</v>
          </cell>
          <cell r="M12">
            <v>85</v>
          </cell>
          <cell r="N12">
            <v>85</v>
          </cell>
          <cell r="O12" t="str">
            <v>-</v>
          </cell>
          <cell r="P12">
            <v>85</v>
          </cell>
          <cell r="Q12">
            <v>85</v>
          </cell>
          <cell r="R12" t="str">
            <v>-</v>
          </cell>
          <cell r="S12">
            <v>85</v>
          </cell>
          <cell r="T12">
            <v>85</v>
          </cell>
          <cell r="U12" t="str">
            <v>-</v>
          </cell>
          <cell r="V12">
            <v>85</v>
          </cell>
          <cell r="W12">
            <v>85</v>
          </cell>
          <cell r="X12" t="str">
            <v>-</v>
          </cell>
          <cell r="Y12">
            <v>85</v>
          </cell>
          <cell r="Z12">
            <v>85</v>
          </cell>
          <cell r="AA12" t="str">
            <v>-</v>
          </cell>
          <cell r="AB12">
            <v>85</v>
          </cell>
          <cell r="AC12">
            <v>85</v>
          </cell>
          <cell r="AD12" t="str">
            <v>-</v>
          </cell>
          <cell r="AE12">
            <v>85</v>
          </cell>
          <cell r="AF12">
            <v>85</v>
          </cell>
          <cell r="AG12" t="str">
            <v>-</v>
          </cell>
          <cell r="AH12">
            <v>85</v>
          </cell>
          <cell r="AI12">
            <v>85</v>
          </cell>
          <cell r="AJ12" t="str">
            <v>-</v>
          </cell>
          <cell r="AK12">
            <v>85</v>
          </cell>
          <cell r="AL12">
            <v>85</v>
          </cell>
          <cell r="AM12" t="str">
            <v>-</v>
          </cell>
          <cell r="AN12">
            <v>85</v>
          </cell>
          <cell r="AO12">
            <v>85</v>
          </cell>
          <cell r="AP12" t="str">
            <v>-</v>
          </cell>
          <cell r="AQ12">
            <v>85</v>
          </cell>
          <cell r="AR12">
            <v>85</v>
          </cell>
          <cell r="AS12" t="str">
            <v>-</v>
          </cell>
          <cell r="AT12">
            <v>85</v>
          </cell>
          <cell r="AU12">
            <v>85</v>
          </cell>
          <cell r="AV12" t="str">
            <v>-</v>
          </cell>
          <cell r="AW12">
            <v>85</v>
          </cell>
          <cell r="AX12">
            <v>85</v>
          </cell>
          <cell r="AY12" t="str">
            <v>-</v>
          </cell>
          <cell r="AZ12">
            <v>85</v>
          </cell>
          <cell r="BA12">
            <v>85</v>
          </cell>
          <cell r="BB12" t="str">
            <v>-</v>
          </cell>
          <cell r="BC12">
            <v>85</v>
          </cell>
          <cell r="BD12">
            <v>85</v>
          </cell>
          <cell r="BE12" t="str">
            <v>-</v>
          </cell>
          <cell r="BF12">
            <v>85</v>
          </cell>
          <cell r="BG12">
            <v>85</v>
          </cell>
          <cell r="BH12" t="str">
            <v>-</v>
          </cell>
          <cell r="BI12">
            <v>85</v>
          </cell>
          <cell r="BJ12">
            <v>85</v>
          </cell>
          <cell r="BK12" t="str">
            <v>-</v>
          </cell>
          <cell r="BL12">
            <v>85</v>
          </cell>
          <cell r="BM12">
            <v>85</v>
          </cell>
          <cell r="BN12" t="str">
            <v>-</v>
          </cell>
          <cell r="BO12">
            <v>85</v>
          </cell>
          <cell r="BP12">
            <v>85</v>
          </cell>
          <cell r="BQ12" t="str">
            <v>-</v>
          </cell>
          <cell r="BR12">
            <v>85</v>
          </cell>
          <cell r="BS12">
            <v>85</v>
          </cell>
          <cell r="BT12" t="str">
            <v>-</v>
          </cell>
          <cell r="BU12">
            <v>85</v>
          </cell>
          <cell r="BV12">
            <v>85</v>
          </cell>
          <cell r="BW12" t="str">
            <v>-</v>
          </cell>
          <cell r="BX12">
            <v>138</v>
          </cell>
          <cell r="BY12">
            <v>67</v>
          </cell>
          <cell r="BZ12">
            <v>67.3</v>
          </cell>
          <cell r="CA12">
            <v>109</v>
          </cell>
          <cell r="CB12">
            <v>80</v>
          </cell>
          <cell r="CC12">
            <v>57.7</v>
          </cell>
          <cell r="CD12">
            <v>107</v>
          </cell>
          <cell r="CE12">
            <v>72</v>
          </cell>
          <cell r="CF12">
            <v>59.8</v>
          </cell>
          <cell r="CG12">
            <v>123</v>
          </cell>
          <cell r="CH12">
            <v>72</v>
          </cell>
          <cell r="CI12">
            <v>63.1</v>
          </cell>
          <cell r="CJ12">
            <v>105</v>
          </cell>
          <cell r="CK12">
            <v>75</v>
          </cell>
          <cell r="CL12">
            <v>58.3</v>
          </cell>
          <cell r="CM12">
            <v>75</v>
          </cell>
          <cell r="CN12">
            <v>76</v>
          </cell>
          <cell r="CO12">
            <v>49.7</v>
          </cell>
          <cell r="CP12">
            <v>125</v>
          </cell>
          <cell r="CQ12">
            <v>67</v>
          </cell>
          <cell r="CR12">
            <v>65.099999999999994</v>
          </cell>
          <cell r="CS12">
            <v>128</v>
          </cell>
          <cell r="CT12">
            <v>55</v>
          </cell>
          <cell r="CU12">
            <v>69.900000000000006</v>
          </cell>
          <cell r="CV12">
            <v>81</v>
          </cell>
          <cell r="CW12">
            <v>58</v>
          </cell>
          <cell r="CX12">
            <v>58.3</v>
          </cell>
          <cell r="CY12">
            <v>69</v>
          </cell>
          <cell r="CZ12">
            <v>73</v>
          </cell>
          <cell r="DA12">
            <v>48.6</v>
          </cell>
          <cell r="DB12">
            <v>65</v>
          </cell>
          <cell r="DC12">
            <v>63</v>
          </cell>
          <cell r="DD12">
            <v>50.8</v>
          </cell>
          <cell r="DE12">
            <v>68</v>
          </cell>
          <cell r="DF12">
            <v>68</v>
          </cell>
          <cell r="DG12">
            <v>50</v>
          </cell>
          <cell r="DH12">
            <v>43</v>
          </cell>
          <cell r="DI12">
            <v>57</v>
          </cell>
          <cell r="DJ12">
            <v>43</v>
          </cell>
          <cell r="DK12">
            <v>24</v>
          </cell>
          <cell r="DL12">
            <v>61</v>
          </cell>
          <cell r="DM12">
            <v>28.2</v>
          </cell>
          <cell r="DN12">
            <v>63</v>
          </cell>
          <cell r="DO12">
            <v>50</v>
          </cell>
          <cell r="DP12">
            <v>55.8</v>
          </cell>
          <cell r="DQ12">
            <v>58</v>
          </cell>
          <cell r="DR12">
            <v>41</v>
          </cell>
          <cell r="DS12">
            <v>58.6</v>
          </cell>
          <cell r="DT12">
            <v>58.5999755859375</v>
          </cell>
          <cell r="DU12">
            <v>58.5999755859375</v>
          </cell>
          <cell r="DV12" t="str">
            <v>-</v>
          </cell>
          <cell r="DW12">
            <v>58.5999755859375</v>
          </cell>
          <cell r="DX12">
            <v>58.5999755859375</v>
          </cell>
          <cell r="DY12" t="str">
            <v>-</v>
          </cell>
          <cell r="DZ12">
            <v>58.5999755859375</v>
          </cell>
          <cell r="EA12">
            <v>58.5999755859375</v>
          </cell>
          <cell r="EB12" t="str">
            <v>-</v>
          </cell>
          <cell r="EC12">
            <v>58.5999755859375</v>
          </cell>
          <cell r="ED12">
            <v>58.5999755859375</v>
          </cell>
          <cell r="EE12" t="str">
            <v>-</v>
          </cell>
          <cell r="EF12">
            <v>58.5999755859375</v>
          </cell>
          <cell r="EG12">
            <v>58.5999755859375</v>
          </cell>
          <cell r="EH12" t="str">
            <v>-</v>
          </cell>
          <cell r="EI12">
            <v>58.5999755859375</v>
          </cell>
          <cell r="EJ12">
            <v>58.5999755859375</v>
          </cell>
          <cell r="EK12" t="str">
            <v>-</v>
          </cell>
          <cell r="EL12">
            <v>58.5999755859375</v>
          </cell>
          <cell r="EM12">
            <v>58.5999755859375</v>
          </cell>
          <cell r="EN12" t="str">
            <v>-</v>
          </cell>
          <cell r="EO12">
            <v>58.5999755859375</v>
          </cell>
          <cell r="EP12">
            <v>58.5999755859375</v>
          </cell>
          <cell r="EQ12" t="str">
            <v>-</v>
          </cell>
          <cell r="ER12">
            <v>13</v>
          </cell>
          <cell r="ES12">
            <v>3</v>
          </cell>
          <cell r="ET12">
            <v>81.3</v>
          </cell>
          <cell r="EU12">
            <v>32</v>
          </cell>
          <cell r="EV12">
            <v>4</v>
          </cell>
          <cell r="EW12">
            <v>88.9</v>
          </cell>
          <cell r="EX12">
            <v>11</v>
          </cell>
          <cell r="EY12">
            <v>2</v>
          </cell>
          <cell r="EZ12">
            <v>84.6</v>
          </cell>
          <cell r="FA12">
            <v>12</v>
          </cell>
          <cell r="FB12">
            <v>8</v>
          </cell>
          <cell r="FC12">
            <v>60</v>
          </cell>
          <cell r="FD12">
            <v>12</v>
          </cell>
          <cell r="FE12">
            <v>10</v>
          </cell>
          <cell r="FF12">
            <v>54.5</v>
          </cell>
          <cell r="FG12">
            <v>13</v>
          </cell>
          <cell r="FH12">
            <v>6</v>
          </cell>
          <cell r="FI12">
            <v>68.400000000000006</v>
          </cell>
          <cell r="FJ12">
            <v>27</v>
          </cell>
          <cell r="FK12">
            <v>13</v>
          </cell>
          <cell r="FL12">
            <v>67.5</v>
          </cell>
          <cell r="FM12">
            <v>32</v>
          </cell>
          <cell r="FN12">
            <v>6</v>
          </cell>
          <cell r="FO12">
            <v>84.2</v>
          </cell>
          <cell r="FP12">
            <v>84.199951171875</v>
          </cell>
          <cell r="FQ12">
            <v>84.199951171875</v>
          </cell>
          <cell r="FR12" t="str">
            <v>-</v>
          </cell>
          <cell r="FS12">
            <v>84.199951171875</v>
          </cell>
          <cell r="FT12">
            <v>84.199951171875</v>
          </cell>
          <cell r="FU12" t="str">
            <v>-</v>
          </cell>
          <cell r="FV12">
            <v>84.199951171875</v>
          </cell>
          <cell r="FW12">
            <v>84.199951171875</v>
          </cell>
          <cell r="FX12" t="str">
            <v>-</v>
          </cell>
          <cell r="FY12">
            <v>84.199951171875</v>
          </cell>
          <cell r="FZ12">
            <v>84.199951171875</v>
          </cell>
          <cell r="GA12" t="str">
            <v>-</v>
          </cell>
          <cell r="GB12">
            <v>84.199951171875</v>
          </cell>
          <cell r="GC12">
            <v>84.199951171875</v>
          </cell>
          <cell r="GD12" t="str">
            <v>-</v>
          </cell>
          <cell r="GE12">
            <v>84.199951171875</v>
          </cell>
          <cell r="GF12">
            <v>84.199951171875</v>
          </cell>
          <cell r="GG12" t="str">
            <v>-</v>
          </cell>
          <cell r="GH12">
            <v>84.199951171875</v>
          </cell>
          <cell r="GI12">
            <v>84.199951171875</v>
          </cell>
          <cell r="GJ12" t="str">
            <v>-</v>
          </cell>
          <cell r="GK12">
            <v>84.199951171875</v>
          </cell>
          <cell r="GL12">
            <v>84.199951171875</v>
          </cell>
          <cell r="GM12" t="str">
            <v>-</v>
          </cell>
          <cell r="GN12">
            <v>194</v>
          </cell>
          <cell r="GO12">
            <v>76</v>
          </cell>
          <cell r="GP12">
            <v>71.900000000000006</v>
          </cell>
          <cell r="GQ12">
            <v>166</v>
          </cell>
          <cell r="GR12">
            <v>56</v>
          </cell>
          <cell r="GS12">
            <v>74.8</v>
          </cell>
          <cell r="GT12">
            <v>144</v>
          </cell>
          <cell r="GU12">
            <v>66</v>
          </cell>
          <cell r="GV12">
            <v>68.599999999999994</v>
          </cell>
          <cell r="GW12">
            <v>224</v>
          </cell>
          <cell r="GX12">
            <v>80</v>
          </cell>
          <cell r="GY12">
            <v>73.7</v>
          </cell>
          <cell r="GZ12">
            <v>160</v>
          </cell>
          <cell r="HA12">
            <v>147</v>
          </cell>
          <cell r="HB12">
            <v>52.1</v>
          </cell>
          <cell r="HC12">
            <v>173</v>
          </cell>
          <cell r="HD12">
            <v>81</v>
          </cell>
          <cell r="HE12">
            <v>68.099999999999994</v>
          </cell>
          <cell r="HF12">
            <v>270</v>
          </cell>
          <cell r="HG12">
            <v>71</v>
          </cell>
          <cell r="HH12">
            <v>79.2</v>
          </cell>
          <cell r="HI12">
            <v>240</v>
          </cell>
          <cell r="HJ12">
            <v>52</v>
          </cell>
          <cell r="HK12">
            <v>82.2</v>
          </cell>
          <cell r="HL12">
            <v>9</v>
          </cell>
          <cell r="HM12">
            <v>15</v>
          </cell>
          <cell r="HN12">
            <v>37.5</v>
          </cell>
          <cell r="HO12">
            <v>9</v>
          </cell>
          <cell r="HP12">
            <v>16</v>
          </cell>
          <cell r="HQ12">
            <v>36</v>
          </cell>
          <cell r="HR12">
            <v>15</v>
          </cell>
          <cell r="HS12">
            <v>7</v>
          </cell>
          <cell r="HT12">
            <v>68.2</v>
          </cell>
          <cell r="HU12">
            <v>10</v>
          </cell>
          <cell r="HV12">
            <v>10</v>
          </cell>
          <cell r="HW12">
            <v>50</v>
          </cell>
          <cell r="HX12">
            <v>9</v>
          </cell>
          <cell r="HY12">
            <v>22</v>
          </cell>
          <cell r="HZ12">
            <v>29</v>
          </cell>
          <cell r="IA12">
            <v>5</v>
          </cell>
          <cell r="IB12">
            <v>11</v>
          </cell>
          <cell r="IC12">
            <v>31.3</v>
          </cell>
          <cell r="ID12">
            <v>15</v>
          </cell>
          <cell r="IE12">
            <v>11</v>
          </cell>
          <cell r="IF12">
            <v>57.7</v>
          </cell>
          <cell r="IG12">
            <v>8</v>
          </cell>
          <cell r="IH12">
            <v>5</v>
          </cell>
          <cell r="II12">
            <v>61.5</v>
          </cell>
          <cell r="IJ12">
            <v>8</v>
          </cell>
          <cell r="IK12">
            <v>1</v>
          </cell>
          <cell r="IL12">
            <v>88.9</v>
          </cell>
          <cell r="IM12">
            <v>8</v>
          </cell>
          <cell r="IN12">
            <v>2</v>
          </cell>
          <cell r="IO12">
            <v>80</v>
          </cell>
          <cell r="IP12">
            <v>13</v>
          </cell>
          <cell r="IQ12">
            <v>5</v>
          </cell>
          <cell r="IR12">
            <v>72.2</v>
          </cell>
          <cell r="IS12">
            <v>12</v>
          </cell>
          <cell r="IT12">
            <v>6</v>
          </cell>
          <cell r="IU12">
            <v>66.7</v>
          </cell>
          <cell r="IV12">
            <v>9</v>
          </cell>
          <cell r="IW12">
            <v>9</v>
          </cell>
          <cell r="IX12">
            <v>50</v>
          </cell>
          <cell r="IY12">
            <v>6</v>
          </cell>
          <cell r="IZ12">
            <v>5</v>
          </cell>
          <cell r="JA12">
            <v>54.5</v>
          </cell>
          <cell r="JB12">
            <v>8</v>
          </cell>
          <cell r="JC12">
            <v>3</v>
          </cell>
          <cell r="JD12">
            <v>72.7</v>
          </cell>
          <cell r="JE12">
            <v>20</v>
          </cell>
          <cell r="JF12">
            <v>2</v>
          </cell>
          <cell r="JG12">
            <v>90.9</v>
          </cell>
          <cell r="JH12">
            <v>0</v>
          </cell>
          <cell r="JI12">
            <v>0</v>
          </cell>
          <cell r="JJ12" t="str">
            <v>-</v>
          </cell>
          <cell r="JK12">
            <v>0</v>
          </cell>
          <cell r="JL12">
            <v>0</v>
          </cell>
          <cell r="JM12" t="str">
            <v>-</v>
          </cell>
          <cell r="JN12">
            <v>0</v>
          </cell>
          <cell r="JO12">
            <v>0</v>
          </cell>
          <cell r="JP12" t="str">
            <v>-</v>
          </cell>
          <cell r="JQ12">
            <v>556</v>
          </cell>
          <cell r="JR12">
            <v>345</v>
          </cell>
          <cell r="JS12">
            <v>61.709211986681467</v>
          </cell>
          <cell r="JT12">
            <v>256</v>
          </cell>
          <cell r="JU12">
            <v>277</v>
          </cell>
          <cell r="JV12">
            <v>48.030018761726076</v>
          </cell>
          <cell r="JW12">
            <v>0</v>
          </cell>
          <cell r="JX12">
            <v>0</v>
          </cell>
          <cell r="JY12" t="str">
            <v>-</v>
          </cell>
          <cell r="JZ12">
            <v>96</v>
          </cell>
          <cell r="KA12">
            <v>43</v>
          </cell>
          <cell r="KB12">
            <v>69.064748201438846</v>
          </cell>
          <cell r="KC12">
            <v>0</v>
          </cell>
          <cell r="KD12">
            <v>0</v>
          </cell>
          <cell r="KE12" t="str">
            <v>-</v>
          </cell>
          <cell r="KF12">
            <v>1067</v>
          </cell>
          <cell r="KG12">
            <v>431</v>
          </cell>
          <cell r="KH12">
            <v>71.228304405874496</v>
          </cell>
          <cell r="KI12">
            <v>47</v>
          </cell>
          <cell r="KJ12">
            <v>59</v>
          </cell>
          <cell r="KK12">
            <v>44.339622641509436</v>
          </cell>
          <cell r="KL12">
            <v>55</v>
          </cell>
          <cell r="KM12">
            <v>25</v>
          </cell>
          <cell r="KN12">
            <v>68.75</v>
          </cell>
        </row>
        <row r="13">
          <cell r="C13" t="str">
            <v>Bp IX. kerületi Rendőrkapitányság</v>
          </cell>
          <cell r="D13">
            <v>68.75</v>
          </cell>
          <cell r="E13">
            <v>68.75</v>
          </cell>
          <cell r="F13" t="str">
            <v>-</v>
          </cell>
          <cell r="G13">
            <v>68.75</v>
          </cell>
          <cell r="H13">
            <v>68.75</v>
          </cell>
          <cell r="I13" t="str">
            <v>-</v>
          </cell>
          <cell r="J13">
            <v>68.75</v>
          </cell>
          <cell r="K13">
            <v>68.75</v>
          </cell>
          <cell r="L13" t="str">
            <v>-</v>
          </cell>
          <cell r="M13">
            <v>68.75</v>
          </cell>
          <cell r="N13">
            <v>68.75</v>
          </cell>
          <cell r="O13" t="str">
            <v>-</v>
          </cell>
          <cell r="P13">
            <v>68.75</v>
          </cell>
          <cell r="Q13">
            <v>68.75</v>
          </cell>
          <cell r="R13" t="str">
            <v>-</v>
          </cell>
          <cell r="S13">
            <v>68.75</v>
          </cell>
          <cell r="T13">
            <v>68.75</v>
          </cell>
          <cell r="U13" t="str">
            <v>-</v>
          </cell>
          <cell r="V13">
            <v>68.75</v>
          </cell>
          <cell r="W13">
            <v>68.75</v>
          </cell>
          <cell r="X13" t="str">
            <v>-</v>
          </cell>
          <cell r="Y13">
            <v>68.75</v>
          </cell>
          <cell r="Z13">
            <v>68.75</v>
          </cell>
          <cell r="AA13" t="str">
            <v>-</v>
          </cell>
          <cell r="AB13">
            <v>68.75</v>
          </cell>
          <cell r="AC13">
            <v>68.75</v>
          </cell>
          <cell r="AD13" t="str">
            <v>-</v>
          </cell>
          <cell r="AE13">
            <v>68.75</v>
          </cell>
          <cell r="AF13">
            <v>68.75</v>
          </cell>
          <cell r="AG13" t="str">
            <v>-</v>
          </cell>
          <cell r="AH13">
            <v>68.75</v>
          </cell>
          <cell r="AI13">
            <v>68.75</v>
          </cell>
          <cell r="AJ13" t="str">
            <v>-</v>
          </cell>
          <cell r="AK13">
            <v>68.75</v>
          </cell>
          <cell r="AL13">
            <v>68.75</v>
          </cell>
          <cell r="AM13" t="str">
            <v>-</v>
          </cell>
          <cell r="AN13">
            <v>68.75</v>
          </cell>
          <cell r="AO13">
            <v>68.75</v>
          </cell>
          <cell r="AP13" t="str">
            <v>-</v>
          </cell>
          <cell r="AQ13">
            <v>68.75</v>
          </cell>
          <cell r="AR13">
            <v>68.75</v>
          </cell>
          <cell r="AS13" t="str">
            <v>-</v>
          </cell>
          <cell r="AT13">
            <v>68.75</v>
          </cell>
          <cell r="AU13">
            <v>68.75</v>
          </cell>
          <cell r="AV13" t="str">
            <v>-</v>
          </cell>
          <cell r="AW13">
            <v>68.75</v>
          </cell>
          <cell r="AX13">
            <v>68.75</v>
          </cell>
          <cell r="AY13" t="str">
            <v>-</v>
          </cell>
          <cell r="AZ13">
            <v>68.75</v>
          </cell>
          <cell r="BA13">
            <v>68.75</v>
          </cell>
          <cell r="BB13" t="str">
            <v>-</v>
          </cell>
          <cell r="BC13">
            <v>68.75</v>
          </cell>
          <cell r="BD13">
            <v>68.75</v>
          </cell>
          <cell r="BE13" t="str">
            <v>-</v>
          </cell>
          <cell r="BF13">
            <v>68.75</v>
          </cell>
          <cell r="BG13">
            <v>68.75</v>
          </cell>
          <cell r="BH13" t="str">
            <v>-</v>
          </cell>
          <cell r="BI13">
            <v>68.75</v>
          </cell>
          <cell r="BJ13">
            <v>68.75</v>
          </cell>
          <cell r="BK13" t="str">
            <v>-</v>
          </cell>
          <cell r="BL13">
            <v>68.75</v>
          </cell>
          <cell r="BM13">
            <v>68.75</v>
          </cell>
          <cell r="BN13" t="str">
            <v>-</v>
          </cell>
          <cell r="BO13">
            <v>68.75</v>
          </cell>
          <cell r="BP13">
            <v>68.75</v>
          </cell>
          <cell r="BQ13" t="str">
            <v>-</v>
          </cell>
          <cell r="BR13">
            <v>68.75</v>
          </cell>
          <cell r="BS13">
            <v>68.75</v>
          </cell>
          <cell r="BT13" t="str">
            <v>-</v>
          </cell>
          <cell r="BU13">
            <v>68.75</v>
          </cell>
          <cell r="BV13">
            <v>68.75</v>
          </cell>
          <cell r="BW13" t="str">
            <v>-</v>
          </cell>
          <cell r="BX13">
            <v>53</v>
          </cell>
          <cell r="BY13">
            <v>34</v>
          </cell>
          <cell r="BZ13">
            <v>60.9</v>
          </cell>
          <cell r="CA13">
            <v>63</v>
          </cell>
          <cell r="CB13">
            <v>36</v>
          </cell>
          <cell r="CC13">
            <v>63.6</v>
          </cell>
          <cell r="CD13">
            <v>50</v>
          </cell>
          <cell r="CE13">
            <v>70</v>
          </cell>
          <cell r="CF13">
            <v>41.7</v>
          </cell>
          <cell r="CG13">
            <v>88</v>
          </cell>
          <cell r="CH13">
            <v>66</v>
          </cell>
          <cell r="CI13">
            <v>57.1</v>
          </cell>
          <cell r="CJ13">
            <v>85</v>
          </cell>
          <cell r="CK13">
            <v>54</v>
          </cell>
          <cell r="CL13">
            <v>61.2</v>
          </cell>
          <cell r="CM13">
            <v>75</v>
          </cell>
          <cell r="CN13">
            <v>63</v>
          </cell>
          <cell r="CO13">
            <v>54.3</v>
          </cell>
          <cell r="CP13">
            <v>84</v>
          </cell>
          <cell r="CQ13">
            <v>71</v>
          </cell>
          <cell r="CR13">
            <v>54.2</v>
          </cell>
          <cell r="CS13">
            <v>74</v>
          </cell>
          <cell r="CT13">
            <v>61</v>
          </cell>
          <cell r="CU13">
            <v>54.8</v>
          </cell>
          <cell r="CV13">
            <v>48</v>
          </cell>
          <cell r="CW13">
            <v>28</v>
          </cell>
          <cell r="CX13">
            <v>63.2</v>
          </cell>
          <cell r="CY13">
            <v>48</v>
          </cell>
          <cell r="CZ13">
            <v>34</v>
          </cell>
          <cell r="DA13">
            <v>58.5</v>
          </cell>
          <cell r="DB13">
            <v>37</v>
          </cell>
          <cell r="DC13">
            <v>63</v>
          </cell>
          <cell r="DD13">
            <v>37</v>
          </cell>
          <cell r="DE13">
            <v>73</v>
          </cell>
          <cell r="DF13">
            <v>58</v>
          </cell>
          <cell r="DG13">
            <v>55.7</v>
          </cell>
          <cell r="DH13">
            <v>51</v>
          </cell>
          <cell r="DI13">
            <v>48</v>
          </cell>
          <cell r="DJ13">
            <v>51.5</v>
          </cell>
          <cell r="DK13">
            <v>40</v>
          </cell>
          <cell r="DL13">
            <v>57</v>
          </cell>
          <cell r="DM13">
            <v>41.2</v>
          </cell>
          <cell r="DN13">
            <v>47</v>
          </cell>
          <cell r="DO13">
            <v>66</v>
          </cell>
          <cell r="DP13">
            <v>41.6</v>
          </cell>
          <cell r="DQ13">
            <v>37</v>
          </cell>
          <cell r="DR13">
            <v>55</v>
          </cell>
          <cell r="DS13">
            <v>40.200000000000003</v>
          </cell>
          <cell r="DT13">
            <v>40.199981689453125</v>
          </cell>
          <cell r="DU13">
            <v>40.199981689453125</v>
          </cell>
          <cell r="DV13" t="str">
            <v>-</v>
          </cell>
          <cell r="DW13">
            <v>40.199981689453125</v>
          </cell>
          <cell r="DX13">
            <v>40.199981689453125</v>
          </cell>
          <cell r="DY13" t="str">
            <v>-</v>
          </cell>
          <cell r="DZ13">
            <v>40.199981689453125</v>
          </cell>
          <cell r="EA13">
            <v>40.199981689453125</v>
          </cell>
          <cell r="EB13" t="str">
            <v>-</v>
          </cell>
          <cell r="EC13">
            <v>40.199981689453125</v>
          </cell>
          <cell r="ED13">
            <v>40.199981689453125</v>
          </cell>
          <cell r="EE13" t="str">
            <v>-</v>
          </cell>
          <cell r="EF13">
            <v>40.199981689453125</v>
          </cell>
          <cell r="EG13">
            <v>40.199981689453125</v>
          </cell>
          <cell r="EH13" t="str">
            <v>-</v>
          </cell>
          <cell r="EI13">
            <v>40.199981689453125</v>
          </cell>
          <cell r="EJ13">
            <v>40.199981689453125</v>
          </cell>
          <cell r="EK13" t="str">
            <v>-</v>
          </cell>
          <cell r="EL13">
            <v>40.199981689453125</v>
          </cell>
          <cell r="EM13">
            <v>40.199981689453125</v>
          </cell>
          <cell r="EN13" t="str">
            <v>-</v>
          </cell>
          <cell r="EO13">
            <v>40.199981689453125</v>
          </cell>
          <cell r="EP13">
            <v>40.199981689453125</v>
          </cell>
          <cell r="EQ13" t="str">
            <v>-</v>
          </cell>
          <cell r="ER13">
            <v>9</v>
          </cell>
          <cell r="ES13">
            <v>1</v>
          </cell>
          <cell r="ET13">
            <v>90</v>
          </cell>
          <cell r="EU13">
            <v>3</v>
          </cell>
          <cell r="EV13">
            <v>5</v>
          </cell>
          <cell r="EW13">
            <v>37.5</v>
          </cell>
          <cell r="EX13">
            <v>5</v>
          </cell>
          <cell r="EY13">
            <v>3</v>
          </cell>
          <cell r="EZ13">
            <v>62.5</v>
          </cell>
          <cell r="FA13">
            <v>62.5</v>
          </cell>
          <cell r="FB13">
            <v>4</v>
          </cell>
          <cell r="FC13">
            <v>0</v>
          </cell>
          <cell r="FD13">
            <v>5</v>
          </cell>
          <cell r="FE13">
            <v>1</v>
          </cell>
          <cell r="FF13">
            <v>83.3</v>
          </cell>
          <cell r="FG13">
            <v>2</v>
          </cell>
          <cell r="FH13">
            <v>5</v>
          </cell>
          <cell r="FI13">
            <v>28.6</v>
          </cell>
          <cell r="FJ13">
            <v>2</v>
          </cell>
          <cell r="FK13">
            <v>4</v>
          </cell>
          <cell r="FL13">
            <v>33.299999999999997</v>
          </cell>
          <cell r="FM13">
            <v>33.29998779296875</v>
          </cell>
          <cell r="FN13">
            <v>9</v>
          </cell>
          <cell r="FO13">
            <v>0</v>
          </cell>
          <cell r="FP13">
            <v>1</v>
          </cell>
          <cell r="FQ13">
            <v>1</v>
          </cell>
          <cell r="FR13">
            <v>100</v>
          </cell>
          <cell r="FS13">
            <v>100</v>
          </cell>
          <cell r="FT13">
            <v>100</v>
          </cell>
          <cell r="FU13" t="str">
            <v>-</v>
          </cell>
          <cell r="FV13">
            <v>100</v>
          </cell>
          <cell r="FW13">
            <v>100</v>
          </cell>
          <cell r="FX13" t="str">
            <v>-</v>
          </cell>
          <cell r="FY13">
            <v>100</v>
          </cell>
          <cell r="FZ13">
            <v>100</v>
          </cell>
          <cell r="GA13" t="str">
            <v>-</v>
          </cell>
          <cell r="GB13">
            <v>100</v>
          </cell>
          <cell r="GC13">
            <v>100</v>
          </cell>
          <cell r="GD13" t="str">
            <v>-</v>
          </cell>
          <cell r="GE13">
            <v>1</v>
          </cell>
          <cell r="GF13">
            <v>1</v>
          </cell>
          <cell r="GG13">
            <v>100</v>
          </cell>
          <cell r="GH13">
            <v>100</v>
          </cell>
          <cell r="GI13">
            <v>100</v>
          </cell>
          <cell r="GJ13" t="str">
            <v>-</v>
          </cell>
          <cell r="GK13">
            <v>2</v>
          </cell>
          <cell r="GL13">
            <v>2</v>
          </cell>
          <cell r="GM13">
            <v>100</v>
          </cell>
          <cell r="GN13">
            <v>70</v>
          </cell>
          <cell r="GO13">
            <v>24</v>
          </cell>
          <cell r="GP13">
            <v>74.5</v>
          </cell>
          <cell r="GQ13">
            <v>71</v>
          </cell>
          <cell r="GR13">
            <v>18</v>
          </cell>
          <cell r="GS13">
            <v>79.8</v>
          </cell>
          <cell r="GT13">
            <v>66</v>
          </cell>
          <cell r="GU13">
            <v>38</v>
          </cell>
          <cell r="GV13">
            <v>63.5</v>
          </cell>
          <cell r="GW13">
            <v>90</v>
          </cell>
          <cell r="GX13">
            <v>53</v>
          </cell>
          <cell r="GY13">
            <v>62.9</v>
          </cell>
          <cell r="GZ13">
            <v>102</v>
          </cell>
          <cell r="HA13">
            <v>41</v>
          </cell>
          <cell r="HB13">
            <v>71.3</v>
          </cell>
          <cell r="HC13">
            <v>110</v>
          </cell>
          <cell r="HD13">
            <v>57</v>
          </cell>
          <cell r="HE13">
            <v>65.900000000000006</v>
          </cell>
          <cell r="HF13">
            <v>93</v>
          </cell>
          <cell r="HG13">
            <v>58</v>
          </cell>
          <cell r="HH13">
            <v>61.6</v>
          </cell>
          <cell r="HI13">
            <v>94</v>
          </cell>
          <cell r="HJ13">
            <v>70</v>
          </cell>
          <cell r="HK13">
            <v>57.3</v>
          </cell>
          <cell r="HL13">
            <v>7</v>
          </cell>
          <cell r="HM13">
            <v>4</v>
          </cell>
          <cell r="HN13">
            <v>63.6</v>
          </cell>
          <cell r="HO13">
            <v>8</v>
          </cell>
          <cell r="HP13">
            <v>5</v>
          </cell>
          <cell r="HQ13">
            <v>61.5</v>
          </cell>
          <cell r="HR13">
            <v>1</v>
          </cell>
          <cell r="HS13">
            <v>6</v>
          </cell>
          <cell r="HT13">
            <v>14.3</v>
          </cell>
          <cell r="HU13">
            <v>1</v>
          </cell>
          <cell r="HV13">
            <v>10</v>
          </cell>
          <cell r="HW13">
            <v>9.1</v>
          </cell>
          <cell r="HX13">
            <v>1</v>
          </cell>
          <cell r="HY13">
            <v>4</v>
          </cell>
          <cell r="HZ13">
            <v>20</v>
          </cell>
          <cell r="IA13">
            <v>2</v>
          </cell>
          <cell r="IB13">
            <v>4</v>
          </cell>
          <cell r="IC13">
            <v>33.299999999999997</v>
          </cell>
          <cell r="ID13">
            <v>7</v>
          </cell>
          <cell r="IE13">
            <v>4</v>
          </cell>
          <cell r="IF13">
            <v>63.6</v>
          </cell>
          <cell r="IG13">
            <v>4</v>
          </cell>
          <cell r="IH13">
            <v>4</v>
          </cell>
          <cell r="II13">
            <v>50</v>
          </cell>
          <cell r="IJ13">
            <v>1</v>
          </cell>
          <cell r="IK13">
            <v>1</v>
          </cell>
          <cell r="IL13">
            <v>50</v>
          </cell>
          <cell r="IM13">
            <v>50</v>
          </cell>
          <cell r="IN13">
            <v>2</v>
          </cell>
          <cell r="IO13">
            <v>0</v>
          </cell>
          <cell r="IP13">
            <v>2</v>
          </cell>
          <cell r="IQ13">
            <v>1</v>
          </cell>
          <cell r="IR13">
            <v>66.7</v>
          </cell>
          <cell r="IS13">
            <v>1</v>
          </cell>
          <cell r="IT13">
            <v>1</v>
          </cell>
          <cell r="IU13">
            <v>100</v>
          </cell>
          <cell r="IV13">
            <v>100</v>
          </cell>
          <cell r="IW13">
            <v>100</v>
          </cell>
          <cell r="IX13" t="str">
            <v>-</v>
          </cell>
          <cell r="IY13">
            <v>100</v>
          </cell>
          <cell r="IZ13">
            <v>1</v>
          </cell>
          <cell r="JA13">
            <v>0</v>
          </cell>
          <cell r="JB13">
            <v>3</v>
          </cell>
          <cell r="JC13">
            <v>1</v>
          </cell>
          <cell r="JD13">
            <v>75</v>
          </cell>
          <cell r="JE13">
            <v>5</v>
          </cell>
          <cell r="JF13">
            <v>3</v>
          </cell>
          <cell r="JG13">
            <v>62.5</v>
          </cell>
          <cell r="JH13">
            <v>0</v>
          </cell>
          <cell r="JI13">
            <v>0</v>
          </cell>
          <cell r="JJ13" t="str">
            <v>-</v>
          </cell>
          <cell r="JK13">
            <v>0</v>
          </cell>
          <cell r="JL13">
            <v>0</v>
          </cell>
          <cell r="JM13" t="str">
            <v>-</v>
          </cell>
          <cell r="JN13">
            <v>0</v>
          </cell>
          <cell r="JO13">
            <v>0</v>
          </cell>
          <cell r="JP13" t="str">
            <v>-</v>
          </cell>
          <cell r="JQ13">
            <v>406</v>
          </cell>
          <cell r="JR13">
            <v>315</v>
          </cell>
          <cell r="JS13">
            <v>56.310679611650485</v>
          </cell>
          <cell r="JT13">
            <v>248</v>
          </cell>
          <cell r="JU13">
            <v>284</v>
          </cell>
          <cell r="JV13">
            <v>46.616541353383454</v>
          </cell>
          <cell r="JW13">
            <v>0</v>
          </cell>
          <cell r="JX13">
            <v>0</v>
          </cell>
          <cell r="JY13" t="str">
            <v>-</v>
          </cell>
          <cell r="JZ13">
            <v>9</v>
          </cell>
          <cell r="KA13">
            <v>23</v>
          </cell>
          <cell r="KB13">
            <v>28.125</v>
          </cell>
          <cell r="KC13">
            <v>3</v>
          </cell>
          <cell r="KD13">
            <v>0</v>
          </cell>
          <cell r="KE13">
            <v>100</v>
          </cell>
          <cell r="KF13">
            <v>489</v>
          </cell>
          <cell r="KG13">
            <v>279</v>
          </cell>
          <cell r="KH13">
            <v>63.671875</v>
          </cell>
          <cell r="KI13">
            <v>15</v>
          </cell>
          <cell r="KJ13">
            <v>26</v>
          </cell>
          <cell r="KK13">
            <v>36.585365853658537</v>
          </cell>
          <cell r="KL13">
            <v>9</v>
          </cell>
          <cell r="KM13">
            <v>5</v>
          </cell>
          <cell r="KN13">
            <v>64.285714285714292</v>
          </cell>
        </row>
        <row r="14">
          <cell r="C14" t="str">
            <v>Bp X. kerületi Rendőrkapitányság</v>
          </cell>
          <cell r="D14">
            <v>64.28570556640625</v>
          </cell>
          <cell r="E14">
            <v>64.28570556640625</v>
          </cell>
          <cell r="F14" t="str">
            <v>-</v>
          </cell>
          <cell r="G14">
            <v>64.28570556640625</v>
          </cell>
          <cell r="H14">
            <v>64.28570556640625</v>
          </cell>
          <cell r="I14" t="str">
            <v>-</v>
          </cell>
          <cell r="J14">
            <v>64.28570556640625</v>
          </cell>
          <cell r="K14">
            <v>64.28570556640625</v>
          </cell>
          <cell r="L14" t="str">
            <v>-</v>
          </cell>
          <cell r="M14">
            <v>64.28570556640625</v>
          </cell>
          <cell r="N14">
            <v>64.28570556640625</v>
          </cell>
          <cell r="O14" t="str">
            <v>-</v>
          </cell>
          <cell r="P14">
            <v>64.28570556640625</v>
          </cell>
          <cell r="Q14">
            <v>64.28570556640625</v>
          </cell>
          <cell r="R14" t="str">
            <v>-</v>
          </cell>
          <cell r="S14">
            <v>64.28570556640625</v>
          </cell>
          <cell r="T14">
            <v>64.28570556640625</v>
          </cell>
          <cell r="U14" t="str">
            <v>-</v>
          </cell>
          <cell r="V14">
            <v>64.28570556640625</v>
          </cell>
          <cell r="W14">
            <v>64.28570556640625</v>
          </cell>
          <cell r="X14" t="str">
            <v>-</v>
          </cell>
          <cell r="Y14">
            <v>64.28570556640625</v>
          </cell>
          <cell r="Z14">
            <v>64.28570556640625</v>
          </cell>
          <cell r="AA14" t="str">
            <v>-</v>
          </cell>
          <cell r="AB14">
            <v>64.28570556640625</v>
          </cell>
          <cell r="AC14">
            <v>64.28570556640625</v>
          </cell>
          <cell r="AD14" t="str">
            <v>-</v>
          </cell>
          <cell r="AE14">
            <v>64.28570556640625</v>
          </cell>
          <cell r="AF14">
            <v>64.28570556640625</v>
          </cell>
          <cell r="AG14" t="str">
            <v>-</v>
          </cell>
          <cell r="AH14">
            <v>64.28570556640625</v>
          </cell>
          <cell r="AI14">
            <v>64.28570556640625</v>
          </cell>
          <cell r="AJ14" t="str">
            <v>-</v>
          </cell>
          <cell r="AK14">
            <v>64.28570556640625</v>
          </cell>
          <cell r="AL14">
            <v>64.28570556640625</v>
          </cell>
          <cell r="AM14" t="str">
            <v>-</v>
          </cell>
          <cell r="AN14">
            <v>64.28570556640625</v>
          </cell>
          <cell r="AO14">
            <v>64.28570556640625</v>
          </cell>
          <cell r="AP14" t="str">
            <v>-</v>
          </cell>
          <cell r="AQ14">
            <v>64.28570556640625</v>
          </cell>
          <cell r="AR14">
            <v>64.28570556640625</v>
          </cell>
          <cell r="AS14" t="str">
            <v>-</v>
          </cell>
          <cell r="AT14">
            <v>64.28570556640625</v>
          </cell>
          <cell r="AU14">
            <v>64.28570556640625</v>
          </cell>
          <cell r="AV14" t="str">
            <v>-</v>
          </cell>
          <cell r="AW14">
            <v>64.28570556640625</v>
          </cell>
          <cell r="AX14">
            <v>64.28570556640625</v>
          </cell>
          <cell r="AY14" t="str">
            <v>-</v>
          </cell>
          <cell r="AZ14">
            <v>64.28570556640625</v>
          </cell>
          <cell r="BA14">
            <v>64.28570556640625</v>
          </cell>
          <cell r="BB14" t="str">
            <v>-</v>
          </cell>
          <cell r="BC14">
            <v>64.28570556640625</v>
          </cell>
          <cell r="BD14">
            <v>64.28570556640625</v>
          </cell>
          <cell r="BE14" t="str">
            <v>-</v>
          </cell>
          <cell r="BF14">
            <v>64.28570556640625</v>
          </cell>
          <cell r="BG14">
            <v>64.28570556640625</v>
          </cell>
          <cell r="BH14" t="str">
            <v>-</v>
          </cell>
          <cell r="BI14">
            <v>64.28570556640625</v>
          </cell>
          <cell r="BJ14">
            <v>64.28570556640625</v>
          </cell>
          <cell r="BK14" t="str">
            <v>-</v>
          </cell>
          <cell r="BL14">
            <v>64.28570556640625</v>
          </cell>
          <cell r="BM14">
            <v>64.28570556640625</v>
          </cell>
          <cell r="BN14" t="str">
            <v>-</v>
          </cell>
          <cell r="BO14">
            <v>64.28570556640625</v>
          </cell>
          <cell r="BP14">
            <v>64.28570556640625</v>
          </cell>
          <cell r="BQ14" t="str">
            <v>-</v>
          </cell>
          <cell r="BR14">
            <v>64.28570556640625</v>
          </cell>
          <cell r="BS14">
            <v>64.28570556640625</v>
          </cell>
          <cell r="BT14" t="str">
            <v>-</v>
          </cell>
          <cell r="BU14">
            <v>64.28570556640625</v>
          </cell>
          <cell r="BV14">
            <v>64.28570556640625</v>
          </cell>
          <cell r="BW14" t="str">
            <v>-</v>
          </cell>
          <cell r="BX14">
            <v>100</v>
          </cell>
          <cell r="BY14">
            <v>41</v>
          </cell>
          <cell r="BZ14">
            <v>70.900000000000006</v>
          </cell>
          <cell r="CA14">
            <v>102</v>
          </cell>
          <cell r="CB14">
            <v>47</v>
          </cell>
          <cell r="CC14">
            <v>68.5</v>
          </cell>
          <cell r="CD14">
            <v>73</v>
          </cell>
          <cell r="CE14">
            <v>46</v>
          </cell>
          <cell r="CF14">
            <v>61.3</v>
          </cell>
          <cell r="CG14">
            <v>89</v>
          </cell>
          <cell r="CH14">
            <v>30</v>
          </cell>
          <cell r="CI14">
            <v>74.8</v>
          </cell>
          <cell r="CJ14">
            <v>88</v>
          </cell>
          <cell r="CK14">
            <v>34</v>
          </cell>
          <cell r="CL14">
            <v>72.099999999999994</v>
          </cell>
          <cell r="CM14">
            <v>98</v>
          </cell>
          <cell r="CN14">
            <v>46</v>
          </cell>
          <cell r="CO14">
            <v>68.099999999999994</v>
          </cell>
          <cell r="CP14">
            <v>89</v>
          </cell>
          <cell r="CQ14">
            <v>48</v>
          </cell>
          <cell r="CR14">
            <v>65</v>
          </cell>
          <cell r="CS14">
            <v>109</v>
          </cell>
          <cell r="CT14">
            <v>46</v>
          </cell>
          <cell r="CU14">
            <v>70.3</v>
          </cell>
          <cell r="CV14">
            <v>74</v>
          </cell>
          <cell r="CW14">
            <v>36</v>
          </cell>
          <cell r="CX14">
            <v>67.3</v>
          </cell>
          <cell r="CY14">
            <v>65</v>
          </cell>
          <cell r="CZ14">
            <v>43</v>
          </cell>
          <cell r="DA14">
            <v>60.2</v>
          </cell>
          <cell r="DB14">
            <v>47</v>
          </cell>
          <cell r="DC14">
            <v>40</v>
          </cell>
          <cell r="DD14">
            <v>54</v>
          </cell>
          <cell r="DE14">
            <v>64</v>
          </cell>
          <cell r="DF14">
            <v>26</v>
          </cell>
          <cell r="DG14">
            <v>71.099999999999994</v>
          </cell>
          <cell r="DH14">
            <v>50</v>
          </cell>
          <cell r="DI14">
            <v>28</v>
          </cell>
          <cell r="DJ14">
            <v>64.099999999999994</v>
          </cell>
          <cell r="DK14">
            <v>66</v>
          </cell>
          <cell r="DL14">
            <v>41</v>
          </cell>
          <cell r="DM14">
            <v>61.7</v>
          </cell>
          <cell r="DN14">
            <v>48</v>
          </cell>
          <cell r="DO14">
            <v>40</v>
          </cell>
          <cell r="DP14">
            <v>54.5</v>
          </cell>
          <cell r="DQ14">
            <v>77</v>
          </cell>
          <cell r="DR14">
            <v>36</v>
          </cell>
          <cell r="DS14">
            <v>68.099999999999994</v>
          </cell>
          <cell r="DT14">
            <v>68.0999755859375</v>
          </cell>
          <cell r="DU14">
            <v>68.0999755859375</v>
          </cell>
          <cell r="DV14" t="str">
            <v>-</v>
          </cell>
          <cell r="DW14">
            <v>68.0999755859375</v>
          </cell>
          <cell r="DX14">
            <v>68.0999755859375</v>
          </cell>
          <cell r="DY14" t="str">
            <v>-</v>
          </cell>
          <cell r="DZ14">
            <v>68.0999755859375</v>
          </cell>
          <cell r="EA14">
            <v>68.0999755859375</v>
          </cell>
          <cell r="EB14" t="str">
            <v>-</v>
          </cell>
          <cell r="EC14">
            <v>68.0999755859375</v>
          </cell>
          <cell r="ED14">
            <v>68.0999755859375</v>
          </cell>
          <cell r="EE14" t="str">
            <v>-</v>
          </cell>
          <cell r="EF14">
            <v>68.0999755859375</v>
          </cell>
          <cell r="EG14">
            <v>68.0999755859375</v>
          </cell>
          <cell r="EH14" t="str">
            <v>-</v>
          </cell>
          <cell r="EI14">
            <v>68.0999755859375</v>
          </cell>
          <cell r="EJ14">
            <v>68.0999755859375</v>
          </cell>
          <cell r="EK14" t="str">
            <v>-</v>
          </cell>
          <cell r="EL14">
            <v>68.0999755859375</v>
          </cell>
          <cell r="EM14">
            <v>68.0999755859375</v>
          </cell>
          <cell r="EN14" t="str">
            <v>-</v>
          </cell>
          <cell r="EO14">
            <v>68.0999755859375</v>
          </cell>
          <cell r="EP14">
            <v>68.0999755859375</v>
          </cell>
          <cell r="EQ14" t="str">
            <v>-</v>
          </cell>
          <cell r="ER14">
            <v>10</v>
          </cell>
          <cell r="ES14">
            <v>2</v>
          </cell>
          <cell r="ET14">
            <v>83.3</v>
          </cell>
          <cell r="EU14">
            <v>9</v>
          </cell>
          <cell r="EV14">
            <v>11</v>
          </cell>
          <cell r="EW14">
            <v>45</v>
          </cell>
          <cell r="EX14">
            <v>8</v>
          </cell>
          <cell r="EY14">
            <v>5</v>
          </cell>
          <cell r="EZ14">
            <v>61.5</v>
          </cell>
          <cell r="FA14">
            <v>7</v>
          </cell>
          <cell r="FB14">
            <v>1</v>
          </cell>
          <cell r="FC14">
            <v>87.5</v>
          </cell>
          <cell r="FD14">
            <v>10</v>
          </cell>
          <cell r="FE14">
            <v>5</v>
          </cell>
          <cell r="FF14">
            <v>66.7</v>
          </cell>
          <cell r="FG14">
            <v>2</v>
          </cell>
          <cell r="FH14">
            <v>5</v>
          </cell>
          <cell r="FI14">
            <v>28.6</v>
          </cell>
          <cell r="FJ14">
            <v>3</v>
          </cell>
          <cell r="FK14">
            <v>7</v>
          </cell>
          <cell r="FL14">
            <v>30</v>
          </cell>
          <cell r="FM14">
            <v>5</v>
          </cell>
          <cell r="FN14">
            <v>6</v>
          </cell>
          <cell r="FO14">
            <v>45.5</v>
          </cell>
          <cell r="FP14">
            <v>45.5</v>
          </cell>
          <cell r="FQ14">
            <v>45.5</v>
          </cell>
          <cell r="FR14" t="str">
            <v>-</v>
          </cell>
          <cell r="FS14">
            <v>45.5</v>
          </cell>
          <cell r="FT14">
            <v>45.5</v>
          </cell>
          <cell r="FU14" t="str">
            <v>-</v>
          </cell>
          <cell r="FV14">
            <v>45.5</v>
          </cell>
          <cell r="FW14">
            <v>45.5</v>
          </cell>
          <cell r="FX14" t="str">
            <v>-</v>
          </cell>
          <cell r="FY14">
            <v>45.5</v>
          </cell>
          <cell r="FZ14">
            <v>45.5</v>
          </cell>
          <cell r="GA14" t="str">
            <v>-</v>
          </cell>
          <cell r="GB14">
            <v>45.5</v>
          </cell>
          <cell r="GC14">
            <v>45.5</v>
          </cell>
          <cell r="GD14" t="str">
            <v>-</v>
          </cell>
          <cell r="GE14">
            <v>45.5</v>
          </cell>
          <cell r="GF14">
            <v>45.5</v>
          </cell>
          <cell r="GG14" t="str">
            <v>-</v>
          </cell>
          <cell r="GH14">
            <v>1</v>
          </cell>
          <cell r="GI14">
            <v>1</v>
          </cell>
          <cell r="GJ14">
            <v>100</v>
          </cell>
          <cell r="GK14">
            <v>100</v>
          </cell>
          <cell r="GL14">
            <v>100</v>
          </cell>
          <cell r="GM14" t="str">
            <v>-</v>
          </cell>
          <cell r="GN14">
            <v>92</v>
          </cell>
          <cell r="GO14">
            <v>46</v>
          </cell>
          <cell r="GP14">
            <v>66.7</v>
          </cell>
          <cell r="GQ14">
            <v>93</v>
          </cell>
          <cell r="GR14">
            <v>43</v>
          </cell>
          <cell r="GS14">
            <v>68.400000000000006</v>
          </cell>
          <cell r="GT14">
            <v>76</v>
          </cell>
          <cell r="GU14">
            <v>36</v>
          </cell>
          <cell r="GV14">
            <v>67.900000000000006</v>
          </cell>
          <cell r="GW14">
            <v>70</v>
          </cell>
          <cell r="GX14">
            <v>21</v>
          </cell>
          <cell r="GY14">
            <v>76.900000000000006</v>
          </cell>
          <cell r="GZ14">
            <v>121</v>
          </cell>
          <cell r="HA14">
            <v>36</v>
          </cell>
          <cell r="HB14">
            <v>77.099999999999994</v>
          </cell>
          <cell r="HC14">
            <v>100</v>
          </cell>
          <cell r="HD14">
            <v>36</v>
          </cell>
          <cell r="HE14">
            <v>73.5</v>
          </cell>
          <cell r="HF14">
            <v>134</v>
          </cell>
          <cell r="HG14">
            <v>41</v>
          </cell>
          <cell r="HH14">
            <v>76.599999999999994</v>
          </cell>
          <cell r="HI14">
            <v>147</v>
          </cell>
          <cell r="HJ14">
            <v>38</v>
          </cell>
          <cell r="HK14">
            <v>79.5</v>
          </cell>
          <cell r="HL14">
            <v>6</v>
          </cell>
          <cell r="HM14">
            <v>7</v>
          </cell>
          <cell r="HN14">
            <v>46.2</v>
          </cell>
          <cell r="HO14">
            <v>9</v>
          </cell>
          <cell r="HP14">
            <v>3</v>
          </cell>
          <cell r="HQ14">
            <v>75</v>
          </cell>
          <cell r="HR14">
            <v>4</v>
          </cell>
          <cell r="HS14">
            <v>4</v>
          </cell>
          <cell r="HT14">
            <v>50</v>
          </cell>
          <cell r="HU14">
            <v>6</v>
          </cell>
          <cell r="HV14">
            <v>3</v>
          </cell>
          <cell r="HW14">
            <v>66.7</v>
          </cell>
          <cell r="HX14">
            <v>6</v>
          </cell>
          <cell r="HY14">
            <v>2</v>
          </cell>
          <cell r="HZ14">
            <v>75</v>
          </cell>
          <cell r="IA14">
            <v>4</v>
          </cell>
          <cell r="IB14">
            <v>3</v>
          </cell>
          <cell r="IC14">
            <v>57.1</v>
          </cell>
          <cell r="ID14">
            <v>6</v>
          </cell>
          <cell r="IE14">
            <v>1</v>
          </cell>
          <cell r="IF14">
            <v>85.7</v>
          </cell>
          <cell r="IG14">
            <v>5</v>
          </cell>
          <cell r="IH14">
            <v>1</v>
          </cell>
          <cell r="II14">
            <v>83.3</v>
          </cell>
          <cell r="IJ14">
            <v>6</v>
          </cell>
          <cell r="IK14">
            <v>10</v>
          </cell>
          <cell r="IL14">
            <v>37.5</v>
          </cell>
          <cell r="IM14">
            <v>1</v>
          </cell>
          <cell r="IN14">
            <v>5</v>
          </cell>
          <cell r="IO14">
            <v>16.7</v>
          </cell>
          <cell r="IP14">
            <v>4</v>
          </cell>
          <cell r="IQ14">
            <v>7</v>
          </cell>
          <cell r="IR14">
            <v>36.4</v>
          </cell>
          <cell r="IS14">
            <v>1</v>
          </cell>
          <cell r="IT14">
            <v>10</v>
          </cell>
          <cell r="IU14">
            <v>9.1</v>
          </cell>
          <cell r="IV14">
            <v>2</v>
          </cell>
          <cell r="IW14">
            <v>2</v>
          </cell>
          <cell r="IX14">
            <v>50</v>
          </cell>
          <cell r="IY14">
            <v>7</v>
          </cell>
          <cell r="IZ14">
            <v>4</v>
          </cell>
          <cell r="JA14">
            <v>63.6</v>
          </cell>
          <cell r="JB14">
            <v>7</v>
          </cell>
          <cell r="JC14">
            <v>3</v>
          </cell>
          <cell r="JD14">
            <v>70</v>
          </cell>
          <cell r="JE14">
            <v>11</v>
          </cell>
          <cell r="JF14">
            <v>4</v>
          </cell>
          <cell r="JG14">
            <v>73.3</v>
          </cell>
          <cell r="JH14">
            <v>0</v>
          </cell>
          <cell r="JI14">
            <v>0</v>
          </cell>
          <cell r="JJ14" t="str">
            <v>-</v>
          </cell>
          <cell r="JK14">
            <v>0</v>
          </cell>
          <cell r="JL14">
            <v>0</v>
          </cell>
          <cell r="JM14" t="str">
            <v>-</v>
          </cell>
          <cell r="JN14">
            <v>0</v>
          </cell>
          <cell r="JO14">
            <v>0</v>
          </cell>
          <cell r="JP14" t="str">
            <v>-</v>
          </cell>
          <cell r="JQ14">
            <v>473</v>
          </cell>
          <cell r="JR14">
            <v>204</v>
          </cell>
          <cell r="JS14">
            <v>69.867060561299851</v>
          </cell>
          <cell r="JT14">
            <v>305</v>
          </cell>
          <cell r="JU14">
            <v>171</v>
          </cell>
          <cell r="JV14">
            <v>64.075630252100851</v>
          </cell>
          <cell r="JW14">
            <v>0</v>
          </cell>
          <cell r="JX14">
            <v>0</v>
          </cell>
          <cell r="JY14" t="str">
            <v>-</v>
          </cell>
          <cell r="JZ14">
            <v>27</v>
          </cell>
          <cell r="KA14">
            <v>24</v>
          </cell>
          <cell r="KB14">
            <v>52.941176470588239</v>
          </cell>
          <cell r="KC14">
            <v>1</v>
          </cell>
          <cell r="KD14">
            <v>0</v>
          </cell>
          <cell r="KE14">
            <v>100</v>
          </cell>
          <cell r="KF14">
            <v>572</v>
          </cell>
          <cell r="KG14">
            <v>172</v>
          </cell>
          <cell r="KH14">
            <v>76.881720430107521</v>
          </cell>
          <cell r="KI14">
            <v>27</v>
          </cell>
          <cell r="KJ14">
            <v>10</v>
          </cell>
          <cell r="KK14">
            <v>72.972972972972968</v>
          </cell>
          <cell r="KL14">
            <v>28</v>
          </cell>
          <cell r="KM14">
            <v>23</v>
          </cell>
          <cell r="KN14">
            <v>54.901960784313729</v>
          </cell>
        </row>
        <row r="15">
          <cell r="C15" t="str">
            <v>Bp XI. kerületi Rendőrkapitányság</v>
          </cell>
          <cell r="D15">
            <v>54.901947021484375</v>
          </cell>
          <cell r="E15">
            <v>54.901947021484375</v>
          </cell>
          <cell r="F15" t="str">
            <v>-</v>
          </cell>
          <cell r="G15">
            <v>54.901947021484375</v>
          </cell>
          <cell r="H15">
            <v>54.901947021484375</v>
          </cell>
          <cell r="I15" t="str">
            <v>-</v>
          </cell>
          <cell r="J15">
            <v>54.901947021484375</v>
          </cell>
          <cell r="K15">
            <v>54.901947021484375</v>
          </cell>
          <cell r="L15" t="str">
            <v>-</v>
          </cell>
          <cell r="M15">
            <v>54.901947021484375</v>
          </cell>
          <cell r="N15">
            <v>54.901947021484375</v>
          </cell>
          <cell r="O15" t="str">
            <v>-</v>
          </cell>
          <cell r="P15">
            <v>54.901947021484375</v>
          </cell>
          <cell r="Q15">
            <v>54.901947021484375</v>
          </cell>
          <cell r="R15" t="str">
            <v>-</v>
          </cell>
          <cell r="S15">
            <v>54.901947021484375</v>
          </cell>
          <cell r="T15">
            <v>54.901947021484375</v>
          </cell>
          <cell r="U15" t="str">
            <v>-</v>
          </cell>
          <cell r="V15">
            <v>54.901947021484375</v>
          </cell>
          <cell r="W15">
            <v>54.901947021484375</v>
          </cell>
          <cell r="X15" t="str">
            <v>-</v>
          </cell>
          <cell r="Y15">
            <v>54.901947021484375</v>
          </cell>
          <cell r="Z15">
            <v>54.901947021484375</v>
          </cell>
          <cell r="AA15" t="str">
            <v>-</v>
          </cell>
          <cell r="AB15">
            <v>54.901947021484375</v>
          </cell>
          <cell r="AC15">
            <v>54.901947021484375</v>
          </cell>
          <cell r="AD15" t="str">
            <v>-</v>
          </cell>
          <cell r="AE15">
            <v>54.901947021484375</v>
          </cell>
          <cell r="AF15">
            <v>54.901947021484375</v>
          </cell>
          <cell r="AG15" t="str">
            <v>-</v>
          </cell>
          <cell r="AH15">
            <v>54.901947021484375</v>
          </cell>
          <cell r="AI15">
            <v>54.901947021484375</v>
          </cell>
          <cell r="AJ15" t="str">
            <v>-</v>
          </cell>
          <cell r="AK15">
            <v>54.901947021484375</v>
          </cell>
          <cell r="AL15">
            <v>54.901947021484375</v>
          </cell>
          <cell r="AM15" t="str">
            <v>-</v>
          </cell>
          <cell r="AN15">
            <v>54.901947021484375</v>
          </cell>
          <cell r="AO15">
            <v>54.901947021484375</v>
          </cell>
          <cell r="AP15" t="str">
            <v>-</v>
          </cell>
          <cell r="AQ15">
            <v>54.901947021484375</v>
          </cell>
          <cell r="AR15">
            <v>54.901947021484375</v>
          </cell>
          <cell r="AS15" t="str">
            <v>-</v>
          </cell>
          <cell r="AT15">
            <v>54.901947021484375</v>
          </cell>
          <cell r="AU15">
            <v>54.901947021484375</v>
          </cell>
          <cell r="AV15" t="str">
            <v>-</v>
          </cell>
          <cell r="AW15">
            <v>54.901947021484375</v>
          </cell>
          <cell r="AX15">
            <v>54.901947021484375</v>
          </cell>
          <cell r="AY15" t="str">
            <v>-</v>
          </cell>
          <cell r="AZ15">
            <v>54.901947021484375</v>
          </cell>
          <cell r="BA15">
            <v>54.901947021484375</v>
          </cell>
          <cell r="BB15" t="str">
            <v>-</v>
          </cell>
          <cell r="BC15">
            <v>54.901947021484375</v>
          </cell>
          <cell r="BD15">
            <v>54.901947021484375</v>
          </cell>
          <cell r="BE15" t="str">
            <v>-</v>
          </cell>
          <cell r="BF15">
            <v>54.901947021484375</v>
          </cell>
          <cell r="BG15">
            <v>54.901947021484375</v>
          </cell>
          <cell r="BH15" t="str">
            <v>-</v>
          </cell>
          <cell r="BI15">
            <v>54.901947021484375</v>
          </cell>
          <cell r="BJ15">
            <v>54.901947021484375</v>
          </cell>
          <cell r="BK15" t="str">
            <v>-</v>
          </cell>
          <cell r="BL15">
            <v>54.901947021484375</v>
          </cell>
          <cell r="BM15">
            <v>54.901947021484375</v>
          </cell>
          <cell r="BN15" t="str">
            <v>-</v>
          </cell>
          <cell r="BO15">
            <v>54.901947021484375</v>
          </cell>
          <cell r="BP15">
            <v>54.901947021484375</v>
          </cell>
          <cell r="BQ15" t="str">
            <v>-</v>
          </cell>
          <cell r="BR15">
            <v>54.901947021484375</v>
          </cell>
          <cell r="BS15">
            <v>54.901947021484375</v>
          </cell>
          <cell r="BT15" t="str">
            <v>-</v>
          </cell>
          <cell r="BU15">
            <v>54.901947021484375</v>
          </cell>
          <cell r="BV15">
            <v>54.901947021484375</v>
          </cell>
          <cell r="BW15" t="str">
            <v>-</v>
          </cell>
          <cell r="BX15">
            <v>93</v>
          </cell>
          <cell r="BY15">
            <v>51</v>
          </cell>
          <cell r="BZ15">
            <v>64.599999999999994</v>
          </cell>
          <cell r="CA15">
            <v>81</v>
          </cell>
          <cell r="CB15">
            <v>59</v>
          </cell>
          <cell r="CC15">
            <v>57.9</v>
          </cell>
          <cell r="CD15">
            <v>71</v>
          </cell>
          <cell r="CE15">
            <v>50</v>
          </cell>
          <cell r="CF15">
            <v>58.7</v>
          </cell>
          <cell r="CG15">
            <v>65</v>
          </cell>
          <cell r="CH15">
            <v>35</v>
          </cell>
          <cell r="CI15">
            <v>65</v>
          </cell>
          <cell r="CJ15">
            <v>85</v>
          </cell>
          <cell r="CK15">
            <v>40</v>
          </cell>
          <cell r="CL15">
            <v>68</v>
          </cell>
          <cell r="CM15">
            <v>101</v>
          </cell>
          <cell r="CN15">
            <v>63</v>
          </cell>
          <cell r="CO15">
            <v>61.6</v>
          </cell>
          <cell r="CP15">
            <v>72</v>
          </cell>
          <cell r="CQ15">
            <v>46</v>
          </cell>
          <cell r="CR15">
            <v>61</v>
          </cell>
          <cell r="CS15">
            <v>70</v>
          </cell>
          <cell r="CT15">
            <v>34</v>
          </cell>
          <cell r="CU15">
            <v>67.3</v>
          </cell>
          <cell r="CV15">
            <v>71</v>
          </cell>
          <cell r="CW15">
            <v>44</v>
          </cell>
          <cell r="CX15">
            <v>61.7</v>
          </cell>
          <cell r="CY15">
            <v>55</v>
          </cell>
          <cell r="CZ15">
            <v>47</v>
          </cell>
          <cell r="DA15">
            <v>53.9</v>
          </cell>
          <cell r="DB15">
            <v>40</v>
          </cell>
          <cell r="DC15">
            <v>45</v>
          </cell>
          <cell r="DD15">
            <v>47.1</v>
          </cell>
          <cell r="DE15">
            <v>42</v>
          </cell>
          <cell r="DF15">
            <v>28</v>
          </cell>
          <cell r="DG15">
            <v>60</v>
          </cell>
          <cell r="DH15">
            <v>58</v>
          </cell>
          <cell r="DI15">
            <v>35</v>
          </cell>
          <cell r="DJ15">
            <v>62.4</v>
          </cell>
          <cell r="DK15">
            <v>66</v>
          </cell>
          <cell r="DL15">
            <v>52</v>
          </cell>
          <cell r="DM15">
            <v>55.9</v>
          </cell>
          <cell r="DN15">
            <v>43</v>
          </cell>
          <cell r="DO15">
            <v>37</v>
          </cell>
          <cell r="DP15">
            <v>53.8</v>
          </cell>
          <cell r="DQ15">
            <v>45</v>
          </cell>
          <cell r="DR15">
            <v>27</v>
          </cell>
          <cell r="DS15">
            <v>62.5</v>
          </cell>
          <cell r="DT15">
            <v>62.5</v>
          </cell>
          <cell r="DU15">
            <v>62.5</v>
          </cell>
          <cell r="DV15" t="str">
            <v>-</v>
          </cell>
          <cell r="DW15">
            <v>62.5</v>
          </cell>
          <cell r="DX15">
            <v>62.5</v>
          </cell>
          <cell r="DY15" t="str">
            <v>-</v>
          </cell>
          <cell r="DZ15">
            <v>62.5</v>
          </cell>
          <cell r="EA15">
            <v>62.5</v>
          </cell>
          <cell r="EB15" t="str">
            <v>-</v>
          </cell>
          <cell r="EC15">
            <v>62.5</v>
          </cell>
          <cell r="ED15">
            <v>62.5</v>
          </cell>
          <cell r="EE15" t="str">
            <v>-</v>
          </cell>
          <cell r="EF15">
            <v>62.5</v>
          </cell>
          <cell r="EG15">
            <v>62.5</v>
          </cell>
          <cell r="EH15" t="str">
            <v>-</v>
          </cell>
          <cell r="EI15">
            <v>62.5</v>
          </cell>
          <cell r="EJ15">
            <v>62.5</v>
          </cell>
          <cell r="EK15" t="str">
            <v>-</v>
          </cell>
          <cell r="EL15">
            <v>62.5</v>
          </cell>
          <cell r="EM15">
            <v>62.5</v>
          </cell>
          <cell r="EN15" t="str">
            <v>-</v>
          </cell>
          <cell r="EO15">
            <v>62.5</v>
          </cell>
          <cell r="EP15">
            <v>62.5</v>
          </cell>
          <cell r="EQ15" t="str">
            <v>-</v>
          </cell>
          <cell r="ER15">
            <v>7</v>
          </cell>
          <cell r="ES15">
            <v>12</v>
          </cell>
          <cell r="ET15">
            <v>36.799999999999997</v>
          </cell>
          <cell r="EU15">
            <v>8</v>
          </cell>
          <cell r="EV15">
            <v>9</v>
          </cell>
          <cell r="EW15">
            <v>47.1</v>
          </cell>
          <cell r="EX15">
            <v>13</v>
          </cell>
          <cell r="EY15">
            <v>2</v>
          </cell>
          <cell r="EZ15">
            <v>86.7</v>
          </cell>
          <cell r="FA15">
            <v>5</v>
          </cell>
          <cell r="FB15">
            <v>7</v>
          </cell>
          <cell r="FC15">
            <v>41.7</v>
          </cell>
          <cell r="FD15">
            <v>11</v>
          </cell>
          <cell r="FE15">
            <v>6</v>
          </cell>
          <cell r="FF15">
            <v>64.7</v>
          </cell>
          <cell r="FG15">
            <v>15</v>
          </cell>
          <cell r="FH15">
            <v>12</v>
          </cell>
          <cell r="FI15">
            <v>55.6</v>
          </cell>
          <cell r="FJ15">
            <v>5</v>
          </cell>
          <cell r="FK15">
            <v>7</v>
          </cell>
          <cell r="FL15">
            <v>41.7</v>
          </cell>
          <cell r="FM15">
            <v>2</v>
          </cell>
          <cell r="FN15">
            <v>4</v>
          </cell>
          <cell r="FO15">
            <v>33.299999999999997</v>
          </cell>
          <cell r="FP15">
            <v>33.29998779296875</v>
          </cell>
          <cell r="FQ15">
            <v>33.29998779296875</v>
          </cell>
          <cell r="FR15" t="str">
            <v>-</v>
          </cell>
          <cell r="FS15">
            <v>33.29998779296875</v>
          </cell>
          <cell r="FT15">
            <v>33.29998779296875</v>
          </cell>
          <cell r="FU15" t="str">
            <v>-</v>
          </cell>
          <cell r="FV15">
            <v>33.29998779296875</v>
          </cell>
          <cell r="FW15">
            <v>33.29998779296875</v>
          </cell>
          <cell r="FX15" t="str">
            <v>-</v>
          </cell>
          <cell r="FY15">
            <v>33.29998779296875</v>
          </cell>
          <cell r="FZ15">
            <v>33.29998779296875</v>
          </cell>
          <cell r="GA15" t="str">
            <v>-</v>
          </cell>
          <cell r="GB15">
            <v>33.29998779296875</v>
          </cell>
          <cell r="GC15">
            <v>33.29998779296875</v>
          </cell>
          <cell r="GD15" t="str">
            <v>-</v>
          </cell>
          <cell r="GE15">
            <v>33.29998779296875</v>
          </cell>
          <cell r="GF15">
            <v>33.29998779296875</v>
          </cell>
          <cell r="GG15" t="str">
            <v>-</v>
          </cell>
          <cell r="GH15">
            <v>33.29998779296875</v>
          </cell>
          <cell r="GI15">
            <v>33.29998779296875</v>
          </cell>
          <cell r="GJ15" t="str">
            <v>-</v>
          </cell>
          <cell r="GK15">
            <v>33.29998779296875</v>
          </cell>
          <cell r="GL15">
            <v>1</v>
          </cell>
          <cell r="GM15">
            <v>0</v>
          </cell>
          <cell r="GN15">
            <v>83</v>
          </cell>
          <cell r="GO15">
            <v>49</v>
          </cell>
          <cell r="GP15">
            <v>62.9</v>
          </cell>
          <cell r="GQ15">
            <v>67</v>
          </cell>
          <cell r="GR15">
            <v>30</v>
          </cell>
          <cell r="GS15">
            <v>69.099999999999994</v>
          </cell>
          <cell r="GT15">
            <v>67</v>
          </cell>
          <cell r="GU15">
            <v>32</v>
          </cell>
          <cell r="GV15">
            <v>67.7</v>
          </cell>
          <cell r="GW15">
            <v>63</v>
          </cell>
          <cell r="GX15">
            <v>49</v>
          </cell>
          <cell r="GY15">
            <v>56.3</v>
          </cell>
          <cell r="GZ15">
            <v>100</v>
          </cell>
          <cell r="HA15">
            <v>80</v>
          </cell>
          <cell r="HB15">
            <v>55.6</v>
          </cell>
          <cell r="HC15">
            <v>134</v>
          </cell>
          <cell r="HD15">
            <v>61</v>
          </cell>
          <cell r="HE15">
            <v>68.7</v>
          </cell>
          <cell r="HF15">
            <v>116</v>
          </cell>
          <cell r="HG15">
            <v>78</v>
          </cell>
          <cell r="HH15">
            <v>59.8</v>
          </cell>
          <cell r="HI15">
            <v>107</v>
          </cell>
          <cell r="HJ15">
            <v>100</v>
          </cell>
          <cell r="HK15">
            <v>51.7</v>
          </cell>
          <cell r="HL15">
            <v>9</v>
          </cell>
          <cell r="HM15">
            <v>8</v>
          </cell>
          <cell r="HN15">
            <v>52.9</v>
          </cell>
          <cell r="HO15">
            <v>3</v>
          </cell>
          <cell r="HP15">
            <v>6</v>
          </cell>
          <cell r="HQ15">
            <v>33.299999999999997</v>
          </cell>
          <cell r="HR15">
            <v>5</v>
          </cell>
          <cell r="HS15">
            <v>2</v>
          </cell>
          <cell r="HT15">
            <v>71.400000000000006</v>
          </cell>
          <cell r="HU15">
            <v>4</v>
          </cell>
          <cell r="HV15">
            <v>7</v>
          </cell>
          <cell r="HW15">
            <v>36.4</v>
          </cell>
          <cell r="HX15">
            <v>4</v>
          </cell>
          <cell r="HY15">
            <v>5</v>
          </cell>
          <cell r="HZ15">
            <v>44.4</v>
          </cell>
          <cell r="IA15">
            <v>8</v>
          </cell>
          <cell r="IB15">
            <v>6</v>
          </cell>
          <cell r="IC15">
            <v>57.1</v>
          </cell>
          <cell r="ID15">
            <v>7</v>
          </cell>
          <cell r="IE15">
            <v>4</v>
          </cell>
          <cell r="IF15">
            <v>63.6</v>
          </cell>
          <cell r="IG15">
            <v>8</v>
          </cell>
          <cell r="IH15">
            <v>9</v>
          </cell>
          <cell r="II15">
            <v>47.1</v>
          </cell>
          <cell r="IJ15">
            <v>1</v>
          </cell>
          <cell r="IK15">
            <v>1</v>
          </cell>
          <cell r="IL15">
            <v>50</v>
          </cell>
          <cell r="IM15">
            <v>3</v>
          </cell>
          <cell r="IN15">
            <v>1</v>
          </cell>
          <cell r="IO15">
            <v>75</v>
          </cell>
          <cell r="IP15">
            <v>75</v>
          </cell>
          <cell r="IQ15">
            <v>1</v>
          </cell>
          <cell r="IR15">
            <v>0</v>
          </cell>
          <cell r="IS15">
            <v>0</v>
          </cell>
          <cell r="IT15">
            <v>2</v>
          </cell>
          <cell r="IU15">
            <v>0</v>
          </cell>
          <cell r="IV15">
            <v>1</v>
          </cell>
          <cell r="IW15">
            <v>1</v>
          </cell>
          <cell r="IX15">
            <v>100</v>
          </cell>
          <cell r="IY15">
            <v>1</v>
          </cell>
          <cell r="IZ15">
            <v>1</v>
          </cell>
          <cell r="JA15">
            <v>50</v>
          </cell>
          <cell r="JB15">
            <v>2</v>
          </cell>
          <cell r="JC15">
            <v>2</v>
          </cell>
          <cell r="JD15">
            <v>100</v>
          </cell>
          <cell r="JE15">
            <v>1</v>
          </cell>
          <cell r="JF15">
            <v>2</v>
          </cell>
          <cell r="JG15">
            <v>33.299999999999997</v>
          </cell>
          <cell r="JH15">
            <v>0</v>
          </cell>
          <cell r="JI15">
            <v>0</v>
          </cell>
          <cell r="JJ15" t="str">
            <v>-</v>
          </cell>
          <cell r="JK15">
            <v>0</v>
          </cell>
          <cell r="JL15">
            <v>0</v>
          </cell>
          <cell r="JM15" t="str">
            <v>-</v>
          </cell>
          <cell r="JN15">
            <v>0</v>
          </cell>
          <cell r="JO15">
            <v>0</v>
          </cell>
          <cell r="JP15" t="str">
            <v>-</v>
          </cell>
          <cell r="JQ15">
            <v>393</v>
          </cell>
          <cell r="JR15">
            <v>218</v>
          </cell>
          <cell r="JS15">
            <v>64.320785597381345</v>
          </cell>
          <cell r="JT15">
            <v>254</v>
          </cell>
          <cell r="JU15">
            <v>179</v>
          </cell>
          <cell r="JV15">
            <v>58.660508083140869</v>
          </cell>
          <cell r="JW15">
            <v>0</v>
          </cell>
          <cell r="JX15">
            <v>0</v>
          </cell>
          <cell r="JY15" t="str">
            <v>-</v>
          </cell>
          <cell r="JZ15">
            <v>38</v>
          </cell>
          <cell r="KA15">
            <v>36</v>
          </cell>
          <cell r="KB15">
            <v>51.351351351351347</v>
          </cell>
          <cell r="KC15">
            <v>0</v>
          </cell>
          <cell r="KD15">
            <v>1</v>
          </cell>
          <cell r="KE15">
            <v>0</v>
          </cell>
          <cell r="KF15">
            <v>520</v>
          </cell>
          <cell r="KG15">
            <v>368</v>
          </cell>
          <cell r="KH15">
            <v>58.558558558558559</v>
          </cell>
          <cell r="KI15">
            <v>31</v>
          </cell>
          <cell r="KJ15">
            <v>31</v>
          </cell>
          <cell r="KK15">
            <v>50</v>
          </cell>
          <cell r="KL15">
            <v>5</v>
          </cell>
          <cell r="KM15">
            <v>5</v>
          </cell>
          <cell r="KN15">
            <v>50</v>
          </cell>
        </row>
        <row r="16">
          <cell r="C16" t="str">
            <v>Bp XII. kerületi Rendőrkapitányság</v>
          </cell>
          <cell r="D16">
            <v>50</v>
          </cell>
          <cell r="E16">
            <v>50</v>
          </cell>
          <cell r="F16" t="str">
            <v>-</v>
          </cell>
          <cell r="G16">
            <v>50</v>
          </cell>
          <cell r="H16">
            <v>50</v>
          </cell>
          <cell r="I16" t="str">
            <v>-</v>
          </cell>
          <cell r="J16">
            <v>50</v>
          </cell>
          <cell r="K16">
            <v>50</v>
          </cell>
          <cell r="L16" t="str">
            <v>-</v>
          </cell>
          <cell r="M16">
            <v>50</v>
          </cell>
          <cell r="N16">
            <v>50</v>
          </cell>
          <cell r="O16" t="str">
            <v>-</v>
          </cell>
          <cell r="P16">
            <v>50</v>
          </cell>
          <cell r="Q16">
            <v>50</v>
          </cell>
          <cell r="R16" t="str">
            <v>-</v>
          </cell>
          <cell r="S16">
            <v>50</v>
          </cell>
          <cell r="T16">
            <v>50</v>
          </cell>
          <cell r="U16" t="str">
            <v>-</v>
          </cell>
          <cell r="V16">
            <v>50</v>
          </cell>
          <cell r="W16">
            <v>50</v>
          </cell>
          <cell r="X16" t="str">
            <v>-</v>
          </cell>
          <cell r="Y16">
            <v>50</v>
          </cell>
          <cell r="Z16">
            <v>50</v>
          </cell>
          <cell r="AA16" t="str">
            <v>-</v>
          </cell>
          <cell r="AB16">
            <v>50</v>
          </cell>
          <cell r="AC16">
            <v>50</v>
          </cell>
          <cell r="AD16" t="str">
            <v>-</v>
          </cell>
          <cell r="AE16">
            <v>50</v>
          </cell>
          <cell r="AF16">
            <v>50</v>
          </cell>
          <cell r="AG16" t="str">
            <v>-</v>
          </cell>
          <cell r="AH16">
            <v>50</v>
          </cell>
          <cell r="AI16">
            <v>50</v>
          </cell>
          <cell r="AJ16" t="str">
            <v>-</v>
          </cell>
          <cell r="AK16">
            <v>50</v>
          </cell>
          <cell r="AL16">
            <v>50</v>
          </cell>
          <cell r="AM16" t="str">
            <v>-</v>
          </cell>
          <cell r="AN16">
            <v>50</v>
          </cell>
          <cell r="AO16">
            <v>50</v>
          </cell>
          <cell r="AP16" t="str">
            <v>-</v>
          </cell>
          <cell r="AQ16">
            <v>50</v>
          </cell>
          <cell r="AR16">
            <v>50</v>
          </cell>
          <cell r="AS16" t="str">
            <v>-</v>
          </cell>
          <cell r="AT16">
            <v>50</v>
          </cell>
          <cell r="AU16">
            <v>50</v>
          </cell>
          <cell r="AV16" t="str">
            <v>-</v>
          </cell>
          <cell r="AW16">
            <v>50</v>
          </cell>
          <cell r="AX16">
            <v>50</v>
          </cell>
          <cell r="AY16" t="str">
            <v>-</v>
          </cell>
          <cell r="AZ16">
            <v>50</v>
          </cell>
          <cell r="BA16">
            <v>50</v>
          </cell>
          <cell r="BB16" t="str">
            <v>-</v>
          </cell>
          <cell r="BC16">
            <v>50</v>
          </cell>
          <cell r="BD16">
            <v>50</v>
          </cell>
          <cell r="BE16" t="str">
            <v>-</v>
          </cell>
          <cell r="BF16">
            <v>50</v>
          </cell>
          <cell r="BG16">
            <v>50</v>
          </cell>
          <cell r="BH16" t="str">
            <v>-</v>
          </cell>
          <cell r="BI16">
            <v>50</v>
          </cell>
          <cell r="BJ16">
            <v>50</v>
          </cell>
          <cell r="BK16" t="str">
            <v>-</v>
          </cell>
          <cell r="BL16">
            <v>50</v>
          </cell>
          <cell r="BM16">
            <v>50</v>
          </cell>
          <cell r="BN16" t="str">
            <v>-</v>
          </cell>
          <cell r="BO16">
            <v>50</v>
          </cell>
          <cell r="BP16">
            <v>50</v>
          </cell>
          <cell r="BQ16" t="str">
            <v>-</v>
          </cell>
          <cell r="BR16">
            <v>50</v>
          </cell>
          <cell r="BS16">
            <v>50</v>
          </cell>
          <cell r="BT16" t="str">
            <v>-</v>
          </cell>
          <cell r="BU16">
            <v>50</v>
          </cell>
          <cell r="BV16">
            <v>50</v>
          </cell>
          <cell r="BW16" t="str">
            <v>-</v>
          </cell>
          <cell r="BX16">
            <v>30</v>
          </cell>
          <cell r="BY16">
            <v>3</v>
          </cell>
          <cell r="BZ16">
            <v>90.9</v>
          </cell>
          <cell r="CA16">
            <v>22</v>
          </cell>
          <cell r="CB16">
            <v>2</v>
          </cell>
          <cell r="CC16">
            <v>91.7</v>
          </cell>
          <cell r="CD16">
            <v>22</v>
          </cell>
          <cell r="CE16">
            <v>14</v>
          </cell>
          <cell r="CF16">
            <v>61.1</v>
          </cell>
          <cell r="CG16">
            <v>29</v>
          </cell>
          <cell r="CH16">
            <v>9</v>
          </cell>
          <cell r="CI16">
            <v>76.3</v>
          </cell>
          <cell r="CJ16">
            <v>11</v>
          </cell>
          <cell r="CK16">
            <v>9</v>
          </cell>
          <cell r="CL16">
            <v>55</v>
          </cell>
          <cell r="CM16">
            <v>12</v>
          </cell>
          <cell r="CN16">
            <v>15</v>
          </cell>
          <cell r="CO16">
            <v>44.4</v>
          </cell>
          <cell r="CP16">
            <v>29</v>
          </cell>
          <cell r="CQ16">
            <v>11</v>
          </cell>
          <cell r="CR16">
            <v>72.5</v>
          </cell>
          <cell r="CS16">
            <v>24</v>
          </cell>
          <cell r="CT16">
            <v>13</v>
          </cell>
          <cell r="CU16">
            <v>64.900000000000006</v>
          </cell>
          <cell r="CV16">
            <v>18</v>
          </cell>
          <cell r="CW16">
            <v>3</v>
          </cell>
          <cell r="CX16">
            <v>85.7</v>
          </cell>
          <cell r="CY16">
            <v>12</v>
          </cell>
          <cell r="CZ16">
            <v>2</v>
          </cell>
          <cell r="DA16">
            <v>85.7</v>
          </cell>
          <cell r="DB16">
            <v>11</v>
          </cell>
          <cell r="DC16">
            <v>12</v>
          </cell>
          <cell r="DD16">
            <v>47.8</v>
          </cell>
          <cell r="DE16">
            <v>19</v>
          </cell>
          <cell r="DF16">
            <v>8</v>
          </cell>
          <cell r="DG16">
            <v>70.400000000000006</v>
          </cell>
          <cell r="DH16">
            <v>8</v>
          </cell>
          <cell r="DI16">
            <v>4</v>
          </cell>
          <cell r="DJ16">
            <v>66.7</v>
          </cell>
          <cell r="DK16">
            <v>5</v>
          </cell>
          <cell r="DL16">
            <v>11</v>
          </cell>
          <cell r="DM16">
            <v>31.3</v>
          </cell>
          <cell r="DN16">
            <v>18</v>
          </cell>
          <cell r="DO16">
            <v>10</v>
          </cell>
          <cell r="DP16">
            <v>64.3</v>
          </cell>
          <cell r="DQ16">
            <v>13</v>
          </cell>
          <cell r="DR16">
            <v>8</v>
          </cell>
          <cell r="DS16">
            <v>61.9</v>
          </cell>
          <cell r="DT16">
            <v>61.899993896484375</v>
          </cell>
          <cell r="DU16">
            <v>61.899993896484375</v>
          </cell>
          <cell r="DV16" t="str">
            <v>-</v>
          </cell>
          <cell r="DW16">
            <v>61.899993896484375</v>
          </cell>
          <cell r="DX16">
            <v>61.899993896484375</v>
          </cell>
          <cell r="DY16" t="str">
            <v>-</v>
          </cell>
          <cell r="DZ16">
            <v>61.899993896484375</v>
          </cell>
          <cell r="EA16">
            <v>61.899993896484375</v>
          </cell>
          <cell r="EB16" t="str">
            <v>-</v>
          </cell>
          <cell r="EC16">
            <v>61.899993896484375</v>
          </cell>
          <cell r="ED16">
            <v>61.899993896484375</v>
          </cell>
          <cell r="EE16" t="str">
            <v>-</v>
          </cell>
          <cell r="EF16">
            <v>61.899993896484375</v>
          </cell>
          <cell r="EG16">
            <v>61.899993896484375</v>
          </cell>
          <cell r="EH16" t="str">
            <v>-</v>
          </cell>
          <cell r="EI16">
            <v>61.899993896484375</v>
          </cell>
          <cell r="EJ16">
            <v>61.899993896484375</v>
          </cell>
          <cell r="EK16" t="str">
            <v>-</v>
          </cell>
          <cell r="EL16">
            <v>61.899993896484375</v>
          </cell>
          <cell r="EM16">
            <v>61.899993896484375</v>
          </cell>
          <cell r="EN16" t="str">
            <v>-</v>
          </cell>
          <cell r="EO16">
            <v>61.899993896484375</v>
          </cell>
          <cell r="EP16">
            <v>61.899993896484375</v>
          </cell>
          <cell r="EQ16" t="str">
            <v>-</v>
          </cell>
          <cell r="ER16">
            <v>61.899993896484375</v>
          </cell>
          <cell r="ES16">
            <v>1</v>
          </cell>
          <cell r="ET16">
            <v>0</v>
          </cell>
          <cell r="EU16">
            <v>1</v>
          </cell>
          <cell r="EV16">
            <v>2</v>
          </cell>
          <cell r="EW16">
            <v>33.299999999999997</v>
          </cell>
          <cell r="EX16">
            <v>4</v>
          </cell>
          <cell r="EY16">
            <v>3</v>
          </cell>
          <cell r="EZ16">
            <v>57.1</v>
          </cell>
          <cell r="FA16">
            <v>1</v>
          </cell>
          <cell r="FB16">
            <v>1</v>
          </cell>
          <cell r="FC16">
            <v>50</v>
          </cell>
          <cell r="FD16">
            <v>50</v>
          </cell>
          <cell r="FE16">
            <v>2</v>
          </cell>
          <cell r="FF16">
            <v>0</v>
          </cell>
          <cell r="FG16">
            <v>0</v>
          </cell>
          <cell r="FH16">
            <v>1</v>
          </cell>
          <cell r="FI16">
            <v>0</v>
          </cell>
          <cell r="FJ16">
            <v>3</v>
          </cell>
          <cell r="FK16">
            <v>3</v>
          </cell>
          <cell r="FL16">
            <v>50</v>
          </cell>
          <cell r="FM16">
            <v>3</v>
          </cell>
          <cell r="FN16">
            <v>2</v>
          </cell>
          <cell r="FO16">
            <v>60</v>
          </cell>
          <cell r="FP16">
            <v>60</v>
          </cell>
          <cell r="FQ16">
            <v>60</v>
          </cell>
          <cell r="FR16" t="str">
            <v>-</v>
          </cell>
          <cell r="FS16">
            <v>60</v>
          </cell>
          <cell r="FT16">
            <v>60</v>
          </cell>
          <cell r="FU16" t="str">
            <v>-</v>
          </cell>
          <cell r="FV16">
            <v>60</v>
          </cell>
          <cell r="FW16">
            <v>60</v>
          </cell>
          <cell r="FX16" t="str">
            <v>-</v>
          </cell>
          <cell r="FY16">
            <v>60</v>
          </cell>
          <cell r="FZ16">
            <v>60</v>
          </cell>
          <cell r="GA16" t="str">
            <v>-</v>
          </cell>
          <cell r="GB16">
            <v>60</v>
          </cell>
          <cell r="GC16">
            <v>60</v>
          </cell>
          <cell r="GD16" t="str">
            <v>-</v>
          </cell>
          <cell r="GE16">
            <v>60</v>
          </cell>
          <cell r="GF16">
            <v>60</v>
          </cell>
          <cell r="GG16" t="str">
            <v>-</v>
          </cell>
          <cell r="GH16">
            <v>60</v>
          </cell>
          <cell r="GI16">
            <v>1</v>
          </cell>
          <cell r="GJ16">
            <v>0</v>
          </cell>
          <cell r="GK16">
            <v>0</v>
          </cell>
          <cell r="GL16">
            <v>1</v>
          </cell>
          <cell r="GM16">
            <v>0</v>
          </cell>
          <cell r="GN16">
            <v>48</v>
          </cell>
          <cell r="GO16">
            <v>4</v>
          </cell>
          <cell r="GP16">
            <v>92.3</v>
          </cell>
          <cell r="GQ16">
            <v>22</v>
          </cell>
          <cell r="GR16">
            <v>11</v>
          </cell>
          <cell r="GS16">
            <v>66.7</v>
          </cell>
          <cell r="GT16">
            <v>18</v>
          </cell>
          <cell r="GU16">
            <v>19</v>
          </cell>
          <cell r="GV16">
            <v>48.6</v>
          </cell>
          <cell r="GW16">
            <v>35</v>
          </cell>
          <cell r="GX16">
            <v>6</v>
          </cell>
          <cell r="GY16">
            <v>85.4</v>
          </cell>
          <cell r="GZ16">
            <v>22</v>
          </cell>
          <cell r="HA16">
            <v>13</v>
          </cell>
          <cell r="HB16">
            <v>62.9</v>
          </cell>
          <cell r="HC16">
            <v>23</v>
          </cell>
          <cell r="HD16">
            <v>26</v>
          </cell>
          <cell r="HE16">
            <v>46.9</v>
          </cell>
          <cell r="HF16">
            <v>40</v>
          </cell>
          <cell r="HG16">
            <v>21</v>
          </cell>
          <cell r="HH16">
            <v>65.599999999999994</v>
          </cell>
          <cell r="HI16">
            <v>45</v>
          </cell>
          <cell r="HJ16">
            <v>7</v>
          </cell>
          <cell r="HK16">
            <v>86.5</v>
          </cell>
          <cell r="HL16">
            <v>2</v>
          </cell>
          <cell r="HM16">
            <v>1</v>
          </cell>
          <cell r="HN16">
            <v>66.7</v>
          </cell>
          <cell r="HO16">
            <v>3</v>
          </cell>
          <cell r="HP16">
            <v>3</v>
          </cell>
          <cell r="HQ16">
            <v>100</v>
          </cell>
          <cell r="HR16">
            <v>1</v>
          </cell>
          <cell r="HS16">
            <v>1</v>
          </cell>
          <cell r="HT16">
            <v>50</v>
          </cell>
          <cell r="HU16">
            <v>4</v>
          </cell>
          <cell r="HV16">
            <v>1</v>
          </cell>
          <cell r="HW16">
            <v>80</v>
          </cell>
          <cell r="HX16">
            <v>80</v>
          </cell>
          <cell r="HY16">
            <v>1</v>
          </cell>
          <cell r="HZ16">
            <v>0</v>
          </cell>
          <cell r="IA16">
            <v>1</v>
          </cell>
          <cell r="IB16">
            <v>1</v>
          </cell>
          <cell r="IC16">
            <v>100</v>
          </cell>
          <cell r="ID16">
            <v>4</v>
          </cell>
          <cell r="IE16">
            <v>1</v>
          </cell>
          <cell r="IF16">
            <v>80</v>
          </cell>
          <cell r="IG16">
            <v>2</v>
          </cell>
          <cell r="IH16">
            <v>1</v>
          </cell>
          <cell r="II16">
            <v>66.7</v>
          </cell>
          <cell r="IJ16">
            <v>1</v>
          </cell>
          <cell r="IK16">
            <v>1</v>
          </cell>
          <cell r="IL16">
            <v>100</v>
          </cell>
          <cell r="IM16">
            <v>100</v>
          </cell>
          <cell r="IN16">
            <v>100</v>
          </cell>
          <cell r="IO16" t="str">
            <v>-</v>
          </cell>
          <cell r="IP16">
            <v>100</v>
          </cell>
          <cell r="IQ16">
            <v>100</v>
          </cell>
          <cell r="IR16" t="str">
            <v>-</v>
          </cell>
          <cell r="IS16">
            <v>100</v>
          </cell>
          <cell r="IT16">
            <v>100</v>
          </cell>
          <cell r="IU16" t="str">
            <v>-</v>
          </cell>
          <cell r="IV16">
            <v>100</v>
          </cell>
          <cell r="IW16">
            <v>100</v>
          </cell>
          <cell r="IX16" t="str">
            <v>-</v>
          </cell>
          <cell r="IY16">
            <v>100</v>
          </cell>
          <cell r="IZ16">
            <v>100</v>
          </cell>
          <cell r="JA16" t="str">
            <v>-</v>
          </cell>
          <cell r="JB16">
            <v>3</v>
          </cell>
          <cell r="JC16">
            <v>2</v>
          </cell>
          <cell r="JD16">
            <v>60</v>
          </cell>
          <cell r="JE16">
            <v>2</v>
          </cell>
          <cell r="JF16">
            <v>2</v>
          </cell>
          <cell r="JG16">
            <v>100</v>
          </cell>
          <cell r="JH16">
            <v>0</v>
          </cell>
          <cell r="JI16">
            <v>0</v>
          </cell>
          <cell r="JJ16" t="str">
            <v>-</v>
          </cell>
          <cell r="JK16">
            <v>0</v>
          </cell>
          <cell r="JL16">
            <v>0</v>
          </cell>
          <cell r="JM16" t="str">
            <v>-</v>
          </cell>
          <cell r="JN16">
            <v>0</v>
          </cell>
          <cell r="JO16">
            <v>0</v>
          </cell>
          <cell r="JP16" t="str">
            <v>-</v>
          </cell>
          <cell r="JQ16">
            <v>105</v>
          </cell>
          <cell r="JR16">
            <v>57</v>
          </cell>
          <cell r="JS16">
            <v>64.81481481481481</v>
          </cell>
          <cell r="JT16">
            <v>63</v>
          </cell>
          <cell r="JU16">
            <v>41</v>
          </cell>
          <cell r="JV16">
            <v>60.576923076923073</v>
          </cell>
          <cell r="JW16">
            <v>0</v>
          </cell>
          <cell r="JX16">
            <v>0</v>
          </cell>
          <cell r="JY16" t="str">
            <v>-</v>
          </cell>
          <cell r="JZ16">
            <v>7</v>
          </cell>
          <cell r="KA16">
            <v>9</v>
          </cell>
          <cell r="KB16">
            <v>43.75</v>
          </cell>
          <cell r="KC16">
            <v>0</v>
          </cell>
          <cell r="KD16">
            <v>2</v>
          </cell>
          <cell r="KE16">
            <v>0</v>
          </cell>
          <cell r="KF16">
            <v>165</v>
          </cell>
          <cell r="KG16">
            <v>73</v>
          </cell>
          <cell r="KH16">
            <v>69.327731092436977</v>
          </cell>
          <cell r="KI16">
            <v>11</v>
          </cell>
          <cell r="KJ16">
            <v>4</v>
          </cell>
          <cell r="KK16">
            <v>73.333333333333329</v>
          </cell>
          <cell r="KL16">
            <v>5</v>
          </cell>
          <cell r="KM16">
            <v>2</v>
          </cell>
          <cell r="KN16">
            <v>71.428571428571431</v>
          </cell>
        </row>
        <row r="17">
          <cell r="C17" t="str">
            <v>Bp XIII. kerületi Rendőrkapitányság</v>
          </cell>
          <cell r="D17">
            <v>71.42852783203125</v>
          </cell>
          <cell r="E17">
            <v>71.42852783203125</v>
          </cell>
          <cell r="F17" t="str">
            <v>-</v>
          </cell>
          <cell r="G17">
            <v>71.42852783203125</v>
          </cell>
          <cell r="H17">
            <v>71.42852783203125</v>
          </cell>
          <cell r="I17" t="str">
            <v>-</v>
          </cell>
          <cell r="J17">
            <v>71.42852783203125</v>
          </cell>
          <cell r="K17">
            <v>71.42852783203125</v>
          </cell>
          <cell r="L17" t="str">
            <v>-</v>
          </cell>
          <cell r="M17">
            <v>71.42852783203125</v>
          </cell>
          <cell r="N17">
            <v>71.42852783203125</v>
          </cell>
          <cell r="O17" t="str">
            <v>-</v>
          </cell>
          <cell r="P17">
            <v>71.42852783203125</v>
          </cell>
          <cell r="Q17">
            <v>71.42852783203125</v>
          </cell>
          <cell r="R17" t="str">
            <v>-</v>
          </cell>
          <cell r="S17">
            <v>71.42852783203125</v>
          </cell>
          <cell r="T17">
            <v>71.42852783203125</v>
          </cell>
          <cell r="U17" t="str">
            <v>-</v>
          </cell>
          <cell r="V17">
            <v>71.42852783203125</v>
          </cell>
          <cell r="W17">
            <v>71.42852783203125</v>
          </cell>
          <cell r="X17" t="str">
            <v>-</v>
          </cell>
          <cell r="Y17">
            <v>71.42852783203125</v>
          </cell>
          <cell r="Z17">
            <v>71.42852783203125</v>
          </cell>
          <cell r="AA17" t="str">
            <v>-</v>
          </cell>
          <cell r="AB17">
            <v>71.42852783203125</v>
          </cell>
          <cell r="AC17">
            <v>71.42852783203125</v>
          </cell>
          <cell r="AD17" t="str">
            <v>-</v>
          </cell>
          <cell r="AE17">
            <v>71.42852783203125</v>
          </cell>
          <cell r="AF17">
            <v>71.42852783203125</v>
          </cell>
          <cell r="AG17" t="str">
            <v>-</v>
          </cell>
          <cell r="AH17">
            <v>71.42852783203125</v>
          </cell>
          <cell r="AI17">
            <v>71.42852783203125</v>
          </cell>
          <cell r="AJ17" t="str">
            <v>-</v>
          </cell>
          <cell r="AK17">
            <v>71.42852783203125</v>
          </cell>
          <cell r="AL17">
            <v>71.42852783203125</v>
          </cell>
          <cell r="AM17" t="str">
            <v>-</v>
          </cell>
          <cell r="AN17">
            <v>71.42852783203125</v>
          </cell>
          <cell r="AO17">
            <v>71.42852783203125</v>
          </cell>
          <cell r="AP17" t="str">
            <v>-</v>
          </cell>
          <cell r="AQ17">
            <v>71.42852783203125</v>
          </cell>
          <cell r="AR17">
            <v>71.42852783203125</v>
          </cell>
          <cell r="AS17" t="str">
            <v>-</v>
          </cell>
          <cell r="AT17">
            <v>71.42852783203125</v>
          </cell>
          <cell r="AU17">
            <v>71.42852783203125</v>
          </cell>
          <cell r="AV17" t="str">
            <v>-</v>
          </cell>
          <cell r="AW17">
            <v>71.42852783203125</v>
          </cell>
          <cell r="AX17">
            <v>71.42852783203125</v>
          </cell>
          <cell r="AY17" t="str">
            <v>-</v>
          </cell>
          <cell r="AZ17">
            <v>71.42852783203125</v>
          </cell>
          <cell r="BA17">
            <v>71.42852783203125</v>
          </cell>
          <cell r="BB17" t="str">
            <v>-</v>
          </cell>
          <cell r="BC17">
            <v>71.42852783203125</v>
          </cell>
          <cell r="BD17">
            <v>71.42852783203125</v>
          </cell>
          <cell r="BE17" t="str">
            <v>-</v>
          </cell>
          <cell r="BF17">
            <v>71.42852783203125</v>
          </cell>
          <cell r="BG17">
            <v>71.42852783203125</v>
          </cell>
          <cell r="BH17" t="str">
            <v>-</v>
          </cell>
          <cell r="BI17">
            <v>71.42852783203125</v>
          </cell>
          <cell r="BJ17">
            <v>71.42852783203125</v>
          </cell>
          <cell r="BK17" t="str">
            <v>-</v>
          </cell>
          <cell r="BL17">
            <v>71.42852783203125</v>
          </cell>
          <cell r="BM17">
            <v>71.42852783203125</v>
          </cell>
          <cell r="BN17" t="str">
            <v>-</v>
          </cell>
          <cell r="BO17">
            <v>71.42852783203125</v>
          </cell>
          <cell r="BP17">
            <v>71.42852783203125</v>
          </cell>
          <cell r="BQ17" t="str">
            <v>-</v>
          </cell>
          <cell r="BR17">
            <v>71.42852783203125</v>
          </cell>
          <cell r="BS17">
            <v>71.42852783203125</v>
          </cell>
          <cell r="BT17" t="str">
            <v>-</v>
          </cell>
          <cell r="BU17">
            <v>71.42852783203125</v>
          </cell>
          <cell r="BV17">
            <v>71.42852783203125</v>
          </cell>
          <cell r="BW17" t="str">
            <v>-</v>
          </cell>
          <cell r="BX17">
            <v>92</v>
          </cell>
          <cell r="BY17">
            <v>54</v>
          </cell>
          <cell r="BZ17">
            <v>63</v>
          </cell>
          <cell r="CA17">
            <v>79</v>
          </cell>
          <cell r="CB17">
            <v>49</v>
          </cell>
          <cell r="CC17">
            <v>61.7</v>
          </cell>
          <cell r="CD17">
            <v>91</v>
          </cell>
          <cell r="CE17">
            <v>55</v>
          </cell>
          <cell r="CF17">
            <v>62.3</v>
          </cell>
          <cell r="CG17">
            <v>62</v>
          </cell>
          <cell r="CH17">
            <v>58</v>
          </cell>
          <cell r="CI17">
            <v>51.7</v>
          </cell>
          <cell r="CJ17">
            <v>109</v>
          </cell>
          <cell r="CK17">
            <v>68</v>
          </cell>
          <cell r="CL17">
            <v>61.6</v>
          </cell>
          <cell r="CM17">
            <v>160</v>
          </cell>
          <cell r="CN17">
            <v>62</v>
          </cell>
          <cell r="CO17">
            <v>72.099999999999994</v>
          </cell>
          <cell r="CP17">
            <v>174</v>
          </cell>
          <cell r="CQ17">
            <v>48</v>
          </cell>
          <cell r="CR17">
            <v>78.400000000000006</v>
          </cell>
          <cell r="CS17">
            <v>160</v>
          </cell>
          <cell r="CT17">
            <v>29</v>
          </cell>
          <cell r="CU17">
            <v>84.7</v>
          </cell>
          <cell r="CV17">
            <v>62</v>
          </cell>
          <cell r="CW17">
            <v>50</v>
          </cell>
          <cell r="CX17">
            <v>55.4</v>
          </cell>
          <cell r="CY17">
            <v>48</v>
          </cell>
          <cell r="CZ17">
            <v>42</v>
          </cell>
          <cell r="DA17">
            <v>53.3</v>
          </cell>
          <cell r="DB17">
            <v>62</v>
          </cell>
          <cell r="DC17">
            <v>50</v>
          </cell>
          <cell r="DD17">
            <v>55.4</v>
          </cell>
          <cell r="DE17">
            <v>46</v>
          </cell>
          <cell r="DF17">
            <v>54</v>
          </cell>
          <cell r="DG17">
            <v>46</v>
          </cell>
          <cell r="DH17">
            <v>67</v>
          </cell>
          <cell r="DI17">
            <v>61</v>
          </cell>
          <cell r="DJ17">
            <v>52.3</v>
          </cell>
          <cell r="DK17">
            <v>95</v>
          </cell>
          <cell r="DL17">
            <v>58</v>
          </cell>
          <cell r="DM17">
            <v>62.1</v>
          </cell>
          <cell r="DN17">
            <v>82</v>
          </cell>
          <cell r="DO17">
            <v>46</v>
          </cell>
          <cell r="DP17">
            <v>64.099999999999994</v>
          </cell>
          <cell r="DQ17">
            <v>83</v>
          </cell>
          <cell r="DR17">
            <v>23</v>
          </cell>
          <cell r="DS17">
            <v>78.3</v>
          </cell>
          <cell r="DT17">
            <v>78.29998779296875</v>
          </cell>
          <cell r="DU17">
            <v>78.29998779296875</v>
          </cell>
          <cell r="DV17" t="str">
            <v>-</v>
          </cell>
          <cell r="DW17">
            <v>78.29998779296875</v>
          </cell>
          <cell r="DX17">
            <v>78.29998779296875</v>
          </cell>
          <cell r="DY17" t="str">
            <v>-</v>
          </cell>
          <cell r="DZ17">
            <v>78.29998779296875</v>
          </cell>
          <cell r="EA17">
            <v>78.29998779296875</v>
          </cell>
          <cell r="EB17" t="str">
            <v>-</v>
          </cell>
          <cell r="EC17">
            <v>78.29998779296875</v>
          </cell>
          <cell r="ED17">
            <v>78.29998779296875</v>
          </cell>
          <cell r="EE17" t="str">
            <v>-</v>
          </cell>
          <cell r="EF17">
            <v>78.29998779296875</v>
          </cell>
          <cell r="EG17">
            <v>78.29998779296875</v>
          </cell>
          <cell r="EH17" t="str">
            <v>-</v>
          </cell>
          <cell r="EI17">
            <v>78.29998779296875</v>
          </cell>
          <cell r="EJ17">
            <v>78.29998779296875</v>
          </cell>
          <cell r="EK17" t="str">
            <v>-</v>
          </cell>
          <cell r="EL17">
            <v>78.29998779296875</v>
          </cell>
          <cell r="EM17">
            <v>78.29998779296875</v>
          </cell>
          <cell r="EN17" t="str">
            <v>-</v>
          </cell>
          <cell r="EO17">
            <v>78.29998779296875</v>
          </cell>
          <cell r="EP17">
            <v>78.29998779296875</v>
          </cell>
          <cell r="EQ17" t="str">
            <v>-</v>
          </cell>
          <cell r="ER17">
            <v>25</v>
          </cell>
          <cell r="ES17">
            <v>4</v>
          </cell>
          <cell r="ET17">
            <v>86.2</v>
          </cell>
          <cell r="EU17">
            <v>20</v>
          </cell>
          <cell r="EV17">
            <v>6</v>
          </cell>
          <cell r="EW17">
            <v>76.900000000000006</v>
          </cell>
          <cell r="EX17">
            <v>15</v>
          </cell>
          <cell r="EY17">
            <v>7</v>
          </cell>
          <cell r="EZ17">
            <v>68.2</v>
          </cell>
          <cell r="FA17">
            <v>10</v>
          </cell>
          <cell r="FB17">
            <v>2</v>
          </cell>
          <cell r="FC17">
            <v>83.3</v>
          </cell>
          <cell r="FD17">
            <v>2</v>
          </cell>
          <cell r="FE17">
            <v>10</v>
          </cell>
          <cell r="FF17">
            <v>16.7</v>
          </cell>
          <cell r="FG17">
            <v>9</v>
          </cell>
          <cell r="FH17">
            <v>3</v>
          </cell>
          <cell r="FI17">
            <v>75</v>
          </cell>
          <cell r="FJ17">
            <v>16</v>
          </cell>
          <cell r="FK17">
            <v>2</v>
          </cell>
          <cell r="FL17">
            <v>88.9</v>
          </cell>
          <cell r="FM17">
            <v>24</v>
          </cell>
          <cell r="FN17">
            <v>8</v>
          </cell>
          <cell r="FO17">
            <v>75</v>
          </cell>
          <cell r="FP17">
            <v>75</v>
          </cell>
          <cell r="FQ17">
            <v>75</v>
          </cell>
          <cell r="FR17" t="str">
            <v>-</v>
          </cell>
          <cell r="FS17">
            <v>75</v>
          </cell>
          <cell r="FT17">
            <v>75</v>
          </cell>
          <cell r="FU17" t="str">
            <v>-</v>
          </cell>
          <cell r="FV17">
            <v>75</v>
          </cell>
          <cell r="FW17">
            <v>75</v>
          </cell>
          <cell r="FX17" t="str">
            <v>-</v>
          </cell>
          <cell r="FY17">
            <v>75</v>
          </cell>
          <cell r="FZ17">
            <v>75</v>
          </cell>
          <cell r="GA17" t="str">
            <v>-</v>
          </cell>
          <cell r="GB17">
            <v>75</v>
          </cell>
          <cell r="GC17">
            <v>75</v>
          </cell>
          <cell r="GD17" t="str">
            <v>-</v>
          </cell>
          <cell r="GE17">
            <v>75</v>
          </cell>
          <cell r="GF17">
            <v>75</v>
          </cell>
          <cell r="GG17" t="str">
            <v>-</v>
          </cell>
          <cell r="GH17">
            <v>2</v>
          </cell>
          <cell r="GI17">
            <v>3</v>
          </cell>
          <cell r="GJ17">
            <v>40</v>
          </cell>
          <cell r="GK17">
            <v>2</v>
          </cell>
          <cell r="GL17">
            <v>2</v>
          </cell>
          <cell r="GM17">
            <v>100</v>
          </cell>
          <cell r="GN17">
            <v>74</v>
          </cell>
          <cell r="GO17">
            <v>40</v>
          </cell>
          <cell r="GP17">
            <v>64.900000000000006</v>
          </cell>
          <cell r="GQ17">
            <v>72</v>
          </cell>
          <cell r="GR17">
            <v>36</v>
          </cell>
          <cell r="GS17">
            <v>66.7</v>
          </cell>
          <cell r="GT17">
            <v>80</v>
          </cell>
          <cell r="GU17">
            <v>53</v>
          </cell>
          <cell r="GV17">
            <v>60.2</v>
          </cell>
          <cell r="GW17">
            <v>66</v>
          </cell>
          <cell r="GX17">
            <v>61</v>
          </cell>
          <cell r="GY17">
            <v>52</v>
          </cell>
          <cell r="GZ17">
            <v>82</v>
          </cell>
          <cell r="HA17">
            <v>47</v>
          </cell>
          <cell r="HB17">
            <v>63.6</v>
          </cell>
          <cell r="HC17">
            <v>110</v>
          </cell>
          <cell r="HD17">
            <v>43</v>
          </cell>
          <cell r="HE17">
            <v>71.900000000000006</v>
          </cell>
          <cell r="HF17">
            <v>124</v>
          </cell>
          <cell r="HG17">
            <v>39</v>
          </cell>
          <cell r="HH17">
            <v>76.099999999999994</v>
          </cell>
          <cell r="HI17">
            <v>154</v>
          </cell>
          <cell r="HJ17">
            <v>63</v>
          </cell>
          <cell r="HK17">
            <v>71</v>
          </cell>
          <cell r="HL17">
            <v>7</v>
          </cell>
          <cell r="HM17">
            <v>5</v>
          </cell>
          <cell r="HN17">
            <v>58.3</v>
          </cell>
          <cell r="HO17">
            <v>10</v>
          </cell>
          <cell r="HP17">
            <v>12</v>
          </cell>
          <cell r="HQ17">
            <v>45.5</v>
          </cell>
          <cell r="HR17">
            <v>8</v>
          </cell>
          <cell r="HS17">
            <v>7</v>
          </cell>
          <cell r="HT17">
            <v>53.3</v>
          </cell>
          <cell r="HU17">
            <v>4</v>
          </cell>
          <cell r="HV17">
            <v>9</v>
          </cell>
          <cell r="HW17">
            <v>30.8</v>
          </cell>
          <cell r="HX17">
            <v>3</v>
          </cell>
          <cell r="HY17">
            <v>4</v>
          </cell>
          <cell r="HZ17">
            <v>42.9</v>
          </cell>
          <cell r="IA17">
            <v>4</v>
          </cell>
          <cell r="IB17">
            <v>5</v>
          </cell>
          <cell r="IC17">
            <v>44.4</v>
          </cell>
          <cell r="ID17">
            <v>7</v>
          </cell>
          <cell r="IE17">
            <v>7</v>
          </cell>
          <cell r="IF17">
            <v>100</v>
          </cell>
          <cell r="IG17">
            <v>5</v>
          </cell>
          <cell r="IH17">
            <v>2</v>
          </cell>
          <cell r="II17">
            <v>71.400000000000006</v>
          </cell>
          <cell r="IJ17">
            <v>3</v>
          </cell>
          <cell r="IK17">
            <v>1</v>
          </cell>
          <cell r="IL17">
            <v>75</v>
          </cell>
          <cell r="IM17">
            <v>4</v>
          </cell>
          <cell r="IN17">
            <v>1</v>
          </cell>
          <cell r="IO17">
            <v>80</v>
          </cell>
          <cell r="IP17">
            <v>1</v>
          </cell>
          <cell r="IQ17">
            <v>2</v>
          </cell>
          <cell r="IR17">
            <v>33.299999999999997</v>
          </cell>
          <cell r="IS17">
            <v>12</v>
          </cell>
          <cell r="IT17">
            <v>3</v>
          </cell>
          <cell r="IU17">
            <v>80</v>
          </cell>
          <cell r="IV17">
            <v>80</v>
          </cell>
          <cell r="IW17">
            <v>3</v>
          </cell>
          <cell r="IX17">
            <v>0</v>
          </cell>
          <cell r="IY17">
            <v>4</v>
          </cell>
          <cell r="IZ17">
            <v>4</v>
          </cell>
          <cell r="JA17">
            <v>50</v>
          </cell>
          <cell r="JB17">
            <v>9</v>
          </cell>
          <cell r="JC17">
            <v>1</v>
          </cell>
          <cell r="JD17">
            <v>90</v>
          </cell>
          <cell r="JE17">
            <v>6</v>
          </cell>
          <cell r="JF17">
            <v>6</v>
          </cell>
          <cell r="JG17">
            <v>100</v>
          </cell>
          <cell r="JH17">
            <v>0</v>
          </cell>
          <cell r="JI17">
            <v>0</v>
          </cell>
          <cell r="JJ17" t="str">
            <v>-</v>
          </cell>
          <cell r="JK17">
            <v>0</v>
          </cell>
          <cell r="JL17">
            <v>0</v>
          </cell>
          <cell r="JM17" t="str">
            <v>-</v>
          </cell>
          <cell r="JN17">
            <v>0</v>
          </cell>
          <cell r="JO17">
            <v>0</v>
          </cell>
          <cell r="JP17" t="str">
            <v>-</v>
          </cell>
          <cell r="JQ17">
            <v>665</v>
          </cell>
          <cell r="JR17">
            <v>265</v>
          </cell>
          <cell r="JS17">
            <v>71.505376344086031</v>
          </cell>
          <cell r="JT17">
            <v>373</v>
          </cell>
          <cell r="JU17">
            <v>242</v>
          </cell>
          <cell r="JV17">
            <v>60.650406504065032</v>
          </cell>
          <cell r="JW17">
            <v>0</v>
          </cell>
          <cell r="JX17">
            <v>0</v>
          </cell>
          <cell r="JY17" t="str">
            <v>-</v>
          </cell>
          <cell r="JZ17">
            <v>61</v>
          </cell>
          <cell r="KA17">
            <v>25</v>
          </cell>
          <cell r="KB17">
            <v>70.930232558139537</v>
          </cell>
          <cell r="KC17">
            <v>4</v>
          </cell>
          <cell r="KD17">
            <v>3</v>
          </cell>
          <cell r="KE17">
            <v>57.142857142857139</v>
          </cell>
          <cell r="KF17">
            <v>536</v>
          </cell>
          <cell r="KG17">
            <v>253</v>
          </cell>
          <cell r="KH17">
            <v>67.934093789607104</v>
          </cell>
          <cell r="KI17">
            <v>23</v>
          </cell>
          <cell r="KJ17">
            <v>20</v>
          </cell>
          <cell r="KK17">
            <v>53.488372093023251</v>
          </cell>
          <cell r="KL17">
            <v>31</v>
          </cell>
          <cell r="KM17">
            <v>11</v>
          </cell>
          <cell r="KN17">
            <v>73.80952380952381</v>
          </cell>
        </row>
        <row r="18">
          <cell r="C18" t="str">
            <v>Bp XIV. kerületi Rendőrkapitányság</v>
          </cell>
          <cell r="D18">
            <v>73.80950927734375</v>
          </cell>
          <cell r="E18">
            <v>73.80950927734375</v>
          </cell>
          <cell r="F18" t="str">
            <v>-</v>
          </cell>
          <cell r="G18">
            <v>73.80950927734375</v>
          </cell>
          <cell r="H18">
            <v>73.80950927734375</v>
          </cell>
          <cell r="I18" t="str">
            <v>-</v>
          </cell>
          <cell r="J18">
            <v>73.80950927734375</v>
          </cell>
          <cell r="K18">
            <v>73.80950927734375</v>
          </cell>
          <cell r="L18" t="str">
            <v>-</v>
          </cell>
          <cell r="M18">
            <v>73.80950927734375</v>
          </cell>
          <cell r="N18">
            <v>73.80950927734375</v>
          </cell>
          <cell r="O18" t="str">
            <v>-</v>
          </cell>
          <cell r="P18">
            <v>73.80950927734375</v>
          </cell>
          <cell r="Q18">
            <v>73.80950927734375</v>
          </cell>
          <cell r="R18" t="str">
            <v>-</v>
          </cell>
          <cell r="S18">
            <v>73.80950927734375</v>
          </cell>
          <cell r="T18">
            <v>73.80950927734375</v>
          </cell>
          <cell r="U18" t="str">
            <v>-</v>
          </cell>
          <cell r="V18">
            <v>73.80950927734375</v>
          </cell>
          <cell r="W18">
            <v>73.80950927734375</v>
          </cell>
          <cell r="X18" t="str">
            <v>-</v>
          </cell>
          <cell r="Y18">
            <v>73.80950927734375</v>
          </cell>
          <cell r="Z18">
            <v>73.80950927734375</v>
          </cell>
          <cell r="AA18" t="str">
            <v>-</v>
          </cell>
          <cell r="AB18">
            <v>73.80950927734375</v>
          </cell>
          <cell r="AC18">
            <v>73.80950927734375</v>
          </cell>
          <cell r="AD18" t="str">
            <v>-</v>
          </cell>
          <cell r="AE18">
            <v>73.80950927734375</v>
          </cell>
          <cell r="AF18">
            <v>73.80950927734375</v>
          </cell>
          <cell r="AG18" t="str">
            <v>-</v>
          </cell>
          <cell r="AH18">
            <v>73.80950927734375</v>
          </cell>
          <cell r="AI18">
            <v>73.80950927734375</v>
          </cell>
          <cell r="AJ18" t="str">
            <v>-</v>
          </cell>
          <cell r="AK18">
            <v>73.80950927734375</v>
          </cell>
          <cell r="AL18">
            <v>73.80950927734375</v>
          </cell>
          <cell r="AM18" t="str">
            <v>-</v>
          </cell>
          <cell r="AN18">
            <v>73.80950927734375</v>
          </cell>
          <cell r="AO18">
            <v>73.80950927734375</v>
          </cell>
          <cell r="AP18" t="str">
            <v>-</v>
          </cell>
          <cell r="AQ18">
            <v>73.80950927734375</v>
          </cell>
          <cell r="AR18">
            <v>73.80950927734375</v>
          </cell>
          <cell r="AS18" t="str">
            <v>-</v>
          </cell>
          <cell r="AT18">
            <v>73.80950927734375</v>
          </cell>
          <cell r="AU18">
            <v>73.80950927734375</v>
          </cell>
          <cell r="AV18" t="str">
            <v>-</v>
          </cell>
          <cell r="AW18">
            <v>73.80950927734375</v>
          </cell>
          <cell r="AX18">
            <v>73.80950927734375</v>
          </cell>
          <cell r="AY18" t="str">
            <v>-</v>
          </cell>
          <cell r="AZ18">
            <v>73.80950927734375</v>
          </cell>
          <cell r="BA18">
            <v>73.80950927734375</v>
          </cell>
          <cell r="BB18" t="str">
            <v>-</v>
          </cell>
          <cell r="BC18">
            <v>73.80950927734375</v>
          </cell>
          <cell r="BD18">
            <v>73.80950927734375</v>
          </cell>
          <cell r="BE18" t="str">
            <v>-</v>
          </cell>
          <cell r="BF18">
            <v>73.80950927734375</v>
          </cell>
          <cell r="BG18">
            <v>73.80950927734375</v>
          </cell>
          <cell r="BH18" t="str">
            <v>-</v>
          </cell>
          <cell r="BI18">
            <v>73.80950927734375</v>
          </cell>
          <cell r="BJ18">
            <v>73.80950927734375</v>
          </cell>
          <cell r="BK18" t="str">
            <v>-</v>
          </cell>
          <cell r="BL18">
            <v>73.80950927734375</v>
          </cell>
          <cell r="BM18">
            <v>73.80950927734375</v>
          </cell>
          <cell r="BN18" t="str">
            <v>-</v>
          </cell>
          <cell r="BO18">
            <v>73.80950927734375</v>
          </cell>
          <cell r="BP18">
            <v>73.80950927734375</v>
          </cell>
          <cell r="BQ18" t="str">
            <v>-</v>
          </cell>
          <cell r="BR18">
            <v>73.80950927734375</v>
          </cell>
          <cell r="BS18">
            <v>73.80950927734375</v>
          </cell>
          <cell r="BT18" t="str">
            <v>-</v>
          </cell>
          <cell r="BU18">
            <v>73.80950927734375</v>
          </cell>
          <cell r="BV18">
            <v>73.80950927734375</v>
          </cell>
          <cell r="BW18" t="str">
            <v>-</v>
          </cell>
          <cell r="BX18">
            <v>71</v>
          </cell>
          <cell r="BY18">
            <v>33</v>
          </cell>
          <cell r="BZ18">
            <v>68.3</v>
          </cell>
          <cell r="CA18">
            <v>51</v>
          </cell>
          <cell r="CB18">
            <v>37</v>
          </cell>
          <cell r="CC18">
            <v>58</v>
          </cell>
          <cell r="CD18">
            <v>69</v>
          </cell>
          <cell r="CE18">
            <v>41</v>
          </cell>
          <cell r="CF18">
            <v>62.7</v>
          </cell>
          <cell r="CG18">
            <v>91</v>
          </cell>
          <cell r="CH18">
            <v>32</v>
          </cell>
          <cell r="CI18">
            <v>74</v>
          </cell>
          <cell r="CJ18">
            <v>94</v>
          </cell>
          <cell r="CK18">
            <v>71</v>
          </cell>
          <cell r="CL18">
            <v>57</v>
          </cell>
          <cell r="CM18">
            <v>90</v>
          </cell>
          <cell r="CN18">
            <v>44</v>
          </cell>
          <cell r="CO18">
            <v>67.2</v>
          </cell>
          <cell r="CP18">
            <v>87</v>
          </cell>
          <cell r="CQ18">
            <v>46</v>
          </cell>
          <cell r="CR18">
            <v>65.400000000000006</v>
          </cell>
          <cell r="CS18">
            <v>67</v>
          </cell>
          <cell r="CT18">
            <v>54</v>
          </cell>
          <cell r="CU18">
            <v>55.4</v>
          </cell>
          <cell r="CV18">
            <v>46</v>
          </cell>
          <cell r="CW18">
            <v>26</v>
          </cell>
          <cell r="CX18">
            <v>63.9</v>
          </cell>
          <cell r="CY18">
            <v>33</v>
          </cell>
          <cell r="CZ18">
            <v>32</v>
          </cell>
          <cell r="DA18">
            <v>50.8</v>
          </cell>
          <cell r="DB18">
            <v>38</v>
          </cell>
          <cell r="DC18">
            <v>35</v>
          </cell>
          <cell r="DD18">
            <v>52.1</v>
          </cell>
          <cell r="DE18">
            <v>52</v>
          </cell>
          <cell r="DF18">
            <v>29</v>
          </cell>
          <cell r="DG18">
            <v>64.2</v>
          </cell>
          <cell r="DH18">
            <v>51</v>
          </cell>
          <cell r="DI18">
            <v>61</v>
          </cell>
          <cell r="DJ18">
            <v>45.5</v>
          </cell>
          <cell r="DK18">
            <v>52</v>
          </cell>
          <cell r="DL18">
            <v>34</v>
          </cell>
          <cell r="DM18">
            <v>60.5</v>
          </cell>
          <cell r="DN18">
            <v>44</v>
          </cell>
          <cell r="DO18">
            <v>41</v>
          </cell>
          <cell r="DP18">
            <v>51.8</v>
          </cell>
          <cell r="DQ18">
            <v>23</v>
          </cell>
          <cell r="DR18">
            <v>45</v>
          </cell>
          <cell r="DS18">
            <v>33.799999999999997</v>
          </cell>
          <cell r="DT18">
            <v>33.79998779296875</v>
          </cell>
          <cell r="DU18">
            <v>33.79998779296875</v>
          </cell>
          <cell r="DV18" t="str">
            <v>-</v>
          </cell>
          <cell r="DW18">
            <v>33.79998779296875</v>
          </cell>
          <cell r="DX18">
            <v>33.79998779296875</v>
          </cell>
          <cell r="DY18" t="str">
            <v>-</v>
          </cell>
          <cell r="DZ18">
            <v>33.79998779296875</v>
          </cell>
          <cell r="EA18">
            <v>33.79998779296875</v>
          </cell>
          <cell r="EB18" t="str">
            <v>-</v>
          </cell>
          <cell r="EC18">
            <v>33.79998779296875</v>
          </cell>
          <cell r="ED18">
            <v>33.79998779296875</v>
          </cell>
          <cell r="EE18" t="str">
            <v>-</v>
          </cell>
          <cell r="EF18">
            <v>33.79998779296875</v>
          </cell>
          <cell r="EG18">
            <v>33.79998779296875</v>
          </cell>
          <cell r="EH18" t="str">
            <v>-</v>
          </cell>
          <cell r="EI18">
            <v>33.79998779296875</v>
          </cell>
          <cell r="EJ18">
            <v>33.79998779296875</v>
          </cell>
          <cell r="EK18" t="str">
            <v>-</v>
          </cell>
          <cell r="EL18">
            <v>33.79998779296875</v>
          </cell>
          <cell r="EM18">
            <v>33.79998779296875</v>
          </cell>
          <cell r="EN18" t="str">
            <v>-</v>
          </cell>
          <cell r="EO18">
            <v>33.79998779296875</v>
          </cell>
          <cell r="EP18">
            <v>33.79998779296875</v>
          </cell>
          <cell r="EQ18" t="str">
            <v>-</v>
          </cell>
          <cell r="ER18">
            <v>11</v>
          </cell>
          <cell r="ES18">
            <v>6</v>
          </cell>
          <cell r="ET18">
            <v>64.7</v>
          </cell>
          <cell r="EU18">
            <v>19</v>
          </cell>
          <cell r="EV18">
            <v>9</v>
          </cell>
          <cell r="EW18">
            <v>67.900000000000006</v>
          </cell>
          <cell r="EX18">
            <v>9</v>
          </cell>
          <cell r="EY18">
            <v>9</v>
          </cell>
          <cell r="EZ18">
            <v>100</v>
          </cell>
          <cell r="FA18">
            <v>6</v>
          </cell>
          <cell r="FB18">
            <v>6</v>
          </cell>
          <cell r="FC18">
            <v>50</v>
          </cell>
          <cell r="FD18">
            <v>9</v>
          </cell>
          <cell r="FE18">
            <v>13</v>
          </cell>
          <cell r="FF18">
            <v>40.9</v>
          </cell>
          <cell r="FG18">
            <v>12</v>
          </cell>
          <cell r="FH18">
            <v>19</v>
          </cell>
          <cell r="FI18">
            <v>38.700000000000003</v>
          </cell>
          <cell r="FJ18">
            <v>3</v>
          </cell>
          <cell r="FK18">
            <v>15</v>
          </cell>
          <cell r="FL18">
            <v>16.7</v>
          </cell>
          <cell r="FM18">
            <v>10</v>
          </cell>
          <cell r="FN18">
            <v>8</v>
          </cell>
          <cell r="FO18">
            <v>55.6</v>
          </cell>
          <cell r="FP18">
            <v>55.5999755859375</v>
          </cell>
          <cell r="FQ18">
            <v>55.5999755859375</v>
          </cell>
          <cell r="FR18" t="str">
            <v>-</v>
          </cell>
          <cell r="FS18">
            <v>55.5999755859375</v>
          </cell>
          <cell r="FT18">
            <v>55.5999755859375</v>
          </cell>
          <cell r="FU18" t="str">
            <v>-</v>
          </cell>
          <cell r="FV18">
            <v>55.5999755859375</v>
          </cell>
          <cell r="FW18">
            <v>55.5999755859375</v>
          </cell>
          <cell r="FX18" t="str">
            <v>-</v>
          </cell>
          <cell r="FY18">
            <v>55.5999755859375</v>
          </cell>
          <cell r="FZ18">
            <v>55.5999755859375</v>
          </cell>
          <cell r="GA18" t="str">
            <v>-</v>
          </cell>
          <cell r="GB18">
            <v>55.5999755859375</v>
          </cell>
          <cell r="GC18">
            <v>55.5999755859375</v>
          </cell>
          <cell r="GD18" t="str">
            <v>-</v>
          </cell>
          <cell r="GE18">
            <v>55.5999755859375</v>
          </cell>
          <cell r="GF18">
            <v>55.5999755859375</v>
          </cell>
          <cell r="GG18" t="str">
            <v>-</v>
          </cell>
          <cell r="GH18">
            <v>55.5999755859375</v>
          </cell>
          <cell r="GI18">
            <v>1</v>
          </cell>
          <cell r="GJ18">
            <v>0</v>
          </cell>
          <cell r="GK18">
            <v>0</v>
          </cell>
          <cell r="GL18">
            <v>0</v>
          </cell>
          <cell r="GM18" t="str">
            <v>-</v>
          </cell>
          <cell r="GN18">
            <v>96</v>
          </cell>
          <cell r="GO18">
            <v>37</v>
          </cell>
          <cell r="GP18">
            <v>72.2</v>
          </cell>
          <cell r="GQ18">
            <v>54</v>
          </cell>
          <cell r="GR18">
            <v>32</v>
          </cell>
          <cell r="GS18">
            <v>62.8</v>
          </cell>
          <cell r="GT18">
            <v>95</v>
          </cell>
          <cell r="GU18">
            <v>39</v>
          </cell>
          <cell r="GV18">
            <v>70.900000000000006</v>
          </cell>
          <cell r="GW18">
            <v>117</v>
          </cell>
          <cell r="GX18">
            <v>64</v>
          </cell>
          <cell r="GY18">
            <v>64.599999999999994</v>
          </cell>
          <cell r="GZ18">
            <v>123</v>
          </cell>
          <cell r="HA18">
            <v>77</v>
          </cell>
          <cell r="HB18">
            <v>61.5</v>
          </cell>
          <cell r="HC18">
            <v>154</v>
          </cell>
          <cell r="HD18">
            <v>77</v>
          </cell>
          <cell r="HE18">
            <v>66.7</v>
          </cell>
          <cell r="HF18">
            <v>115</v>
          </cell>
          <cell r="HG18">
            <v>63</v>
          </cell>
          <cell r="HH18">
            <v>64.599999999999994</v>
          </cell>
          <cell r="HI18">
            <v>119</v>
          </cell>
          <cell r="HJ18">
            <v>80</v>
          </cell>
          <cell r="HK18">
            <v>59.8</v>
          </cell>
          <cell r="HL18">
            <v>9</v>
          </cell>
          <cell r="HM18">
            <v>5</v>
          </cell>
          <cell r="HN18">
            <v>64.3</v>
          </cell>
          <cell r="HO18">
            <v>6</v>
          </cell>
          <cell r="HP18">
            <v>5</v>
          </cell>
          <cell r="HQ18">
            <v>54.5</v>
          </cell>
          <cell r="HR18">
            <v>7</v>
          </cell>
          <cell r="HS18">
            <v>3</v>
          </cell>
          <cell r="HT18">
            <v>70</v>
          </cell>
          <cell r="HU18">
            <v>6</v>
          </cell>
          <cell r="HV18">
            <v>5</v>
          </cell>
          <cell r="HW18">
            <v>54.5</v>
          </cell>
          <cell r="HX18">
            <v>6</v>
          </cell>
          <cell r="HY18">
            <v>5</v>
          </cell>
          <cell r="HZ18">
            <v>54.5</v>
          </cell>
          <cell r="IA18">
            <v>7</v>
          </cell>
          <cell r="IB18">
            <v>2</v>
          </cell>
          <cell r="IC18">
            <v>77.8</v>
          </cell>
          <cell r="ID18">
            <v>7</v>
          </cell>
          <cell r="IE18">
            <v>8</v>
          </cell>
          <cell r="IF18">
            <v>46.7</v>
          </cell>
          <cell r="IG18">
            <v>1</v>
          </cell>
          <cell r="IH18">
            <v>6</v>
          </cell>
          <cell r="II18">
            <v>14.3</v>
          </cell>
          <cell r="IJ18">
            <v>6</v>
          </cell>
          <cell r="IK18">
            <v>6</v>
          </cell>
          <cell r="IL18">
            <v>100</v>
          </cell>
          <cell r="IM18">
            <v>100</v>
          </cell>
          <cell r="IN18">
            <v>100</v>
          </cell>
          <cell r="IO18" t="str">
            <v>-</v>
          </cell>
          <cell r="IP18">
            <v>2</v>
          </cell>
          <cell r="IQ18">
            <v>2</v>
          </cell>
          <cell r="IR18">
            <v>100</v>
          </cell>
          <cell r="IS18">
            <v>3</v>
          </cell>
          <cell r="IT18">
            <v>3</v>
          </cell>
          <cell r="IU18">
            <v>100</v>
          </cell>
          <cell r="IV18">
            <v>100</v>
          </cell>
          <cell r="IW18">
            <v>3</v>
          </cell>
          <cell r="IX18">
            <v>0</v>
          </cell>
          <cell r="IY18">
            <v>0</v>
          </cell>
          <cell r="IZ18">
            <v>3</v>
          </cell>
          <cell r="JA18">
            <v>0</v>
          </cell>
          <cell r="JB18">
            <v>4</v>
          </cell>
          <cell r="JC18">
            <v>3</v>
          </cell>
          <cell r="JD18">
            <v>57.1</v>
          </cell>
          <cell r="JE18">
            <v>7</v>
          </cell>
          <cell r="JF18">
            <v>4</v>
          </cell>
          <cell r="JG18">
            <v>63.6</v>
          </cell>
          <cell r="JH18">
            <v>0</v>
          </cell>
          <cell r="JI18">
            <v>0</v>
          </cell>
          <cell r="JJ18" t="str">
            <v>-</v>
          </cell>
          <cell r="JK18">
            <v>0</v>
          </cell>
          <cell r="JL18">
            <v>0</v>
          </cell>
          <cell r="JM18" t="str">
            <v>-</v>
          </cell>
          <cell r="JN18">
            <v>0</v>
          </cell>
          <cell r="JO18">
            <v>0</v>
          </cell>
          <cell r="JP18" t="str">
            <v>-</v>
          </cell>
          <cell r="JQ18">
            <v>429</v>
          </cell>
          <cell r="JR18">
            <v>247</v>
          </cell>
          <cell r="JS18">
            <v>63.46153846153846</v>
          </cell>
          <cell r="JT18">
            <v>222</v>
          </cell>
          <cell r="JU18">
            <v>210</v>
          </cell>
          <cell r="JV18">
            <v>51.388888888888886</v>
          </cell>
          <cell r="JW18">
            <v>0</v>
          </cell>
          <cell r="JX18">
            <v>0</v>
          </cell>
          <cell r="JY18" t="str">
            <v>-</v>
          </cell>
          <cell r="JZ18">
            <v>40</v>
          </cell>
          <cell r="KA18">
            <v>61</v>
          </cell>
          <cell r="KB18">
            <v>39.603960396039604</v>
          </cell>
          <cell r="KC18">
            <v>0</v>
          </cell>
          <cell r="KD18">
            <v>1</v>
          </cell>
          <cell r="KE18">
            <v>0</v>
          </cell>
          <cell r="KF18">
            <v>628</v>
          </cell>
          <cell r="KG18">
            <v>361</v>
          </cell>
          <cell r="KH18">
            <v>63.498483316481291</v>
          </cell>
          <cell r="KI18">
            <v>27</v>
          </cell>
          <cell r="KJ18">
            <v>26</v>
          </cell>
          <cell r="KK18">
            <v>50.943396226415096</v>
          </cell>
          <cell r="KL18">
            <v>14</v>
          </cell>
          <cell r="KM18">
            <v>13</v>
          </cell>
          <cell r="KN18">
            <v>51.851851851851848</v>
          </cell>
        </row>
        <row r="19">
          <cell r="C19" t="str">
            <v>Bp XV. kerületi Rendőrkapitányság</v>
          </cell>
          <cell r="D19">
            <v>51.851837158203125</v>
          </cell>
          <cell r="E19">
            <v>51.851837158203125</v>
          </cell>
          <cell r="F19" t="str">
            <v>-</v>
          </cell>
          <cell r="G19">
            <v>51.851837158203125</v>
          </cell>
          <cell r="H19">
            <v>51.851837158203125</v>
          </cell>
          <cell r="I19" t="str">
            <v>-</v>
          </cell>
          <cell r="J19">
            <v>51.851837158203125</v>
          </cell>
          <cell r="K19">
            <v>51.851837158203125</v>
          </cell>
          <cell r="L19" t="str">
            <v>-</v>
          </cell>
          <cell r="M19">
            <v>51.851837158203125</v>
          </cell>
          <cell r="N19">
            <v>51.851837158203125</v>
          </cell>
          <cell r="O19" t="str">
            <v>-</v>
          </cell>
          <cell r="P19">
            <v>51.851837158203125</v>
          </cell>
          <cell r="Q19">
            <v>51.851837158203125</v>
          </cell>
          <cell r="R19" t="str">
            <v>-</v>
          </cell>
          <cell r="S19">
            <v>51.851837158203125</v>
          </cell>
          <cell r="T19">
            <v>51.851837158203125</v>
          </cell>
          <cell r="U19" t="str">
            <v>-</v>
          </cell>
          <cell r="V19">
            <v>51.851837158203125</v>
          </cell>
          <cell r="W19">
            <v>51.851837158203125</v>
          </cell>
          <cell r="X19" t="str">
            <v>-</v>
          </cell>
          <cell r="Y19">
            <v>51.851837158203125</v>
          </cell>
          <cell r="Z19">
            <v>51.851837158203125</v>
          </cell>
          <cell r="AA19" t="str">
            <v>-</v>
          </cell>
          <cell r="AB19">
            <v>51.851837158203125</v>
          </cell>
          <cell r="AC19">
            <v>51.851837158203125</v>
          </cell>
          <cell r="AD19" t="str">
            <v>-</v>
          </cell>
          <cell r="AE19">
            <v>51.851837158203125</v>
          </cell>
          <cell r="AF19">
            <v>51.851837158203125</v>
          </cell>
          <cell r="AG19" t="str">
            <v>-</v>
          </cell>
          <cell r="AH19">
            <v>51.851837158203125</v>
          </cell>
          <cell r="AI19">
            <v>51.851837158203125</v>
          </cell>
          <cell r="AJ19" t="str">
            <v>-</v>
          </cell>
          <cell r="AK19">
            <v>51.851837158203125</v>
          </cell>
          <cell r="AL19">
            <v>51.851837158203125</v>
          </cell>
          <cell r="AM19" t="str">
            <v>-</v>
          </cell>
          <cell r="AN19">
            <v>51.851837158203125</v>
          </cell>
          <cell r="AO19">
            <v>51.851837158203125</v>
          </cell>
          <cell r="AP19" t="str">
            <v>-</v>
          </cell>
          <cell r="AQ19">
            <v>51.851837158203125</v>
          </cell>
          <cell r="AR19">
            <v>51.851837158203125</v>
          </cell>
          <cell r="AS19" t="str">
            <v>-</v>
          </cell>
          <cell r="AT19">
            <v>51.851837158203125</v>
          </cell>
          <cell r="AU19">
            <v>51.851837158203125</v>
          </cell>
          <cell r="AV19" t="str">
            <v>-</v>
          </cell>
          <cell r="AW19">
            <v>51.851837158203125</v>
          </cell>
          <cell r="AX19">
            <v>51.851837158203125</v>
          </cell>
          <cell r="AY19" t="str">
            <v>-</v>
          </cell>
          <cell r="AZ19">
            <v>51.851837158203125</v>
          </cell>
          <cell r="BA19">
            <v>51.851837158203125</v>
          </cell>
          <cell r="BB19" t="str">
            <v>-</v>
          </cell>
          <cell r="BC19">
            <v>51.851837158203125</v>
          </cell>
          <cell r="BD19">
            <v>51.851837158203125</v>
          </cell>
          <cell r="BE19" t="str">
            <v>-</v>
          </cell>
          <cell r="BF19">
            <v>51.851837158203125</v>
          </cell>
          <cell r="BG19">
            <v>51.851837158203125</v>
          </cell>
          <cell r="BH19" t="str">
            <v>-</v>
          </cell>
          <cell r="BI19">
            <v>51.851837158203125</v>
          </cell>
          <cell r="BJ19">
            <v>51.851837158203125</v>
          </cell>
          <cell r="BK19" t="str">
            <v>-</v>
          </cell>
          <cell r="BL19">
            <v>51.851837158203125</v>
          </cell>
          <cell r="BM19">
            <v>51.851837158203125</v>
          </cell>
          <cell r="BN19" t="str">
            <v>-</v>
          </cell>
          <cell r="BO19">
            <v>51.851837158203125</v>
          </cell>
          <cell r="BP19">
            <v>51.851837158203125</v>
          </cell>
          <cell r="BQ19" t="str">
            <v>-</v>
          </cell>
          <cell r="BR19">
            <v>51.851837158203125</v>
          </cell>
          <cell r="BS19">
            <v>51.851837158203125</v>
          </cell>
          <cell r="BT19" t="str">
            <v>-</v>
          </cell>
          <cell r="BU19">
            <v>51.851837158203125</v>
          </cell>
          <cell r="BV19">
            <v>51.851837158203125</v>
          </cell>
          <cell r="BW19" t="str">
            <v>-</v>
          </cell>
          <cell r="BX19">
            <v>61</v>
          </cell>
          <cell r="BY19">
            <v>15</v>
          </cell>
          <cell r="BZ19">
            <v>80.3</v>
          </cell>
          <cell r="CA19">
            <v>49</v>
          </cell>
          <cell r="CB19">
            <v>19</v>
          </cell>
          <cell r="CC19">
            <v>72.099999999999994</v>
          </cell>
          <cell r="CD19">
            <v>90</v>
          </cell>
          <cell r="CE19">
            <v>46</v>
          </cell>
          <cell r="CF19">
            <v>66.2</v>
          </cell>
          <cell r="CG19">
            <v>60</v>
          </cell>
          <cell r="CH19">
            <v>30</v>
          </cell>
          <cell r="CI19">
            <v>66.7</v>
          </cell>
          <cell r="CJ19">
            <v>58</v>
          </cell>
          <cell r="CK19">
            <v>43</v>
          </cell>
          <cell r="CL19">
            <v>57.4</v>
          </cell>
          <cell r="CM19">
            <v>57</v>
          </cell>
          <cell r="CN19">
            <v>42</v>
          </cell>
          <cell r="CO19">
            <v>57.6</v>
          </cell>
          <cell r="CP19">
            <v>70</v>
          </cell>
          <cell r="CQ19">
            <v>30</v>
          </cell>
          <cell r="CR19">
            <v>70</v>
          </cell>
          <cell r="CS19">
            <v>41</v>
          </cell>
          <cell r="CT19">
            <v>26</v>
          </cell>
          <cell r="CU19">
            <v>61.2</v>
          </cell>
          <cell r="CV19">
            <v>48</v>
          </cell>
          <cell r="CW19">
            <v>11</v>
          </cell>
          <cell r="CX19">
            <v>81.400000000000006</v>
          </cell>
          <cell r="CY19">
            <v>29</v>
          </cell>
          <cell r="CZ19">
            <v>15</v>
          </cell>
          <cell r="DA19">
            <v>65.900000000000006</v>
          </cell>
          <cell r="DB19">
            <v>52</v>
          </cell>
          <cell r="DC19">
            <v>35</v>
          </cell>
          <cell r="DD19">
            <v>59.8</v>
          </cell>
          <cell r="DE19">
            <v>35</v>
          </cell>
          <cell r="DF19">
            <v>26</v>
          </cell>
          <cell r="DG19">
            <v>57.4</v>
          </cell>
          <cell r="DH19">
            <v>28</v>
          </cell>
          <cell r="DI19">
            <v>28</v>
          </cell>
          <cell r="DJ19">
            <v>50</v>
          </cell>
          <cell r="DK19">
            <v>28</v>
          </cell>
          <cell r="DL19">
            <v>22</v>
          </cell>
          <cell r="DM19">
            <v>56</v>
          </cell>
          <cell r="DN19">
            <v>29</v>
          </cell>
          <cell r="DO19">
            <v>16</v>
          </cell>
          <cell r="DP19">
            <v>64.400000000000006</v>
          </cell>
          <cell r="DQ19">
            <v>20</v>
          </cell>
          <cell r="DR19">
            <v>19</v>
          </cell>
          <cell r="DS19">
            <v>51.3</v>
          </cell>
          <cell r="DT19">
            <v>51.29998779296875</v>
          </cell>
          <cell r="DU19">
            <v>51.29998779296875</v>
          </cell>
          <cell r="DV19" t="str">
            <v>-</v>
          </cell>
          <cell r="DW19">
            <v>51.29998779296875</v>
          </cell>
          <cell r="DX19">
            <v>51.29998779296875</v>
          </cell>
          <cell r="DY19" t="str">
            <v>-</v>
          </cell>
          <cell r="DZ19">
            <v>51.29998779296875</v>
          </cell>
          <cell r="EA19">
            <v>51.29998779296875</v>
          </cell>
          <cell r="EB19" t="str">
            <v>-</v>
          </cell>
          <cell r="EC19">
            <v>51.29998779296875</v>
          </cell>
          <cell r="ED19">
            <v>51.29998779296875</v>
          </cell>
          <cell r="EE19" t="str">
            <v>-</v>
          </cell>
          <cell r="EF19">
            <v>51.29998779296875</v>
          </cell>
          <cell r="EG19">
            <v>51.29998779296875</v>
          </cell>
          <cell r="EH19" t="str">
            <v>-</v>
          </cell>
          <cell r="EI19">
            <v>51.29998779296875</v>
          </cell>
          <cell r="EJ19">
            <v>51.29998779296875</v>
          </cell>
          <cell r="EK19" t="str">
            <v>-</v>
          </cell>
          <cell r="EL19">
            <v>51.29998779296875</v>
          </cell>
          <cell r="EM19">
            <v>51.29998779296875</v>
          </cell>
          <cell r="EN19" t="str">
            <v>-</v>
          </cell>
          <cell r="EO19">
            <v>51.29998779296875</v>
          </cell>
          <cell r="EP19">
            <v>51.29998779296875</v>
          </cell>
          <cell r="EQ19" t="str">
            <v>-</v>
          </cell>
          <cell r="ER19">
            <v>10</v>
          </cell>
          <cell r="ES19">
            <v>9</v>
          </cell>
          <cell r="ET19">
            <v>52.6</v>
          </cell>
          <cell r="EU19">
            <v>4</v>
          </cell>
          <cell r="EV19">
            <v>9</v>
          </cell>
          <cell r="EW19">
            <v>30.8</v>
          </cell>
          <cell r="EX19">
            <v>6</v>
          </cell>
          <cell r="EY19">
            <v>13</v>
          </cell>
          <cell r="EZ19">
            <v>31.6</v>
          </cell>
          <cell r="FA19">
            <v>12</v>
          </cell>
          <cell r="FB19">
            <v>20</v>
          </cell>
          <cell r="FC19">
            <v>37.5</v>
          </cell>
          <cell r="FD19">
            <v>4</v>
          </cell>
          <cell r="FE19">
            <v>16</v>
          </cell>
          <cell r="FF19">
            <v>20</v>
          </cell>
          <cell r="FG19">
            <v>3</v>
          </cell>
          <cell r="FH19">
            <v>6</v>
          </cell>
          <cell r="FI19">
            <v>33.299999999999997</v>
          </cell>
          <cell r="FJ19">
            <v>33.29998779296875</v>
          </cell>
          <cell r="FK19">
            <v>5</v>
          </cell>
          <cell r="FL19">
            <v>0</v>
          </cell>
          <cell r="FM19">
            <v>1</v>
          </cell>
          <cell r="FN19">
            <v>12</v>
          </cell>
          <cell r="FO19">
            <v>7.7</v>
          </cell>
          <cell r="FP19">
            <v>7.6999969482421875</v>
          </cell>
          <cell r="FQ19">
            <v>7.6999969482421875</v>
          </cell>
          <cell r="FR19" t="str">
            <v>-</v>
          </cell>
          <cell r="FS19">
            <v>7.6999969482421875</v>
          </cell>
          <cell r="FT19">
            <v>7.6999969482421875</v>
          </cell>
          <cell r="FU19" t="str">
            <v>-</v>
          </cell>
          <cell r="FV19">
            <v>7.6999969482421875</v>
          </cell>
          <cell r="FW19">
            <v>7.6999969482421875</v>
          </cell>
          <cell r="FX19" t="str">
            <v>-</v>
          </cell>
          <cell r="FY19">
            <v>7.6999969482421875</v>
          </cell>
          <cell r="FZ19">
            <v>7.6999969482421875</v>
          </cell>
          <cell r="GA19" t="str">
            <v>-</v>
          </cell>
          <cell r="GB19">
            <v>7.6999969482421875</v>
          </cell>
          <cell r="GC19">
            <v>7.6999969482421875</v>
          </cell>
          <cell r="GD19" t="str">
            <v>-</v>
          </cell>
          <cell r="GE19">
            <v>7.6999969482421875</v>
          </cell>
          <cell r="GF19">
            <v>7.6999969482421875</v>
          </cell>
          <cell r="GG19" t="str">
            <v>-</v>
          </cell>
          <cell r="GH19">
            <v>2</v>
          </cell>
          <cell r="GI19">
            <v>2</v>
          </cell>
          <cell r="GJ19">
            <v>100</v>
          </cell>
          <cell r="GK19">
            <v>100</v>
          </cell>
          <cell r="GL19">
            <v>100</v>
          </cell>
          <cell r="GM19" t="str">
            <v>-</v>
          </cell>
          <cell r="GN19">
            <v>38</v>
          </cell>
          <cell r="GO19">
            <v>22</v>
          </cell>
          <cell r="GP19">
            <v>63.3</v>
          </cell>
          <cell r="GQ19">
            <v>58</v>
          </cell>
          <cell r="GR19">
            <v>30</v>
          </cell>
          <cell r="GS19">
            <v>65.900000000000006</v>
          </cell>
          <cell r="GT19">
            <v>85</v>
          </cell>
          <cell r="GU19">
            <v>48</v>
          </cell>
          <cell r="GV19">
            <v>63.9</v>
          </cell>
          <cell r="GW19">
            <v>104</v>
          </cell>
          <cell r="GX19">
            <v>50</v>
          </cell>
          <cell r="GY19">
            <v>67.5</v>
          </cell>
          <cell r="GZ19">
            <v>87</v>
          </cell>
          <cell r="HA19">
            <v>73</v>
          </cell>
          <cell r="HB19">
            <v>54.4</v>
          </cell>
          <cell r="HC19">
            <v>93</v>
          </cell>
          <cell r="HD19">
            <v>57</v>
          </cell>
          <cell r="HE19">
            <v>62</v>
          </cell>
          <cell r="HF19">
            <v>120</v>
          </cell>
          <cell r="HG19">
            <v>52</v>
          </cell>
          <cell r="HH19">
            <v>69.8</v>
          </cell>
          <cell r="HI19">
            <v>75</v>
          </cell>
          <cell r="HJ19">
            <v>31</v>
          </cell>
          <cell r="HK19">
            <v>70.8</v>
          </cell>
          <cell r="HL19">
            <v>1</v>
          </cell>
          <cell r="HM19">
            <v>8</v>
          </cell>
          <cell r="HN19">
            <v>11.1</v>
          </cell>
          <cell r="HO19">
            <v>4</v>
          </cell>
          <cell r="HP19">
            <v>6</v>
          </cell>
          <cell r="HQ19">
            <v>40</v>
          </cell>
          <cell r="HR19">
            <v>40</v>
          </cell>
          <cell r="HS19">
            <v>7</v>
          </cell>
          <cell r="HT19">
            <v>0</v>
          </cell>
          <cell r="HU19">
            <v>2</v>
          </cell>
          <cell r="HV19">
            <v>5</v>
          </cell>
          <cell r="HW19">
            <v>28.6</v>
          </cell>
          <cell r="HX19">
            <v>2</v>
          </cell>
          <cell r="HY19">
            <v>7</v>
          </cell>
          <cell r="HZ19">
            <v>22.2</v>
          </cell>
          <cell r="IA19">
            <v>3</v>
          </cell>
          <cell r="IB19">
            <v>5</v>
          </cell>
          <cell r="IC19">
            <v>37.5</v>
          </cell>
          <cell r="ID19">
            <v>3</v>
          </cell>
          <cell r="IE19">
            <v>5</v>
          </cell>
          <cell r="IF19">
            <v>37.5</v>
          </cell>
          <cell r="IG19">
            <v>1</v>
          </cell>
          <cell r="IH19">
            <v>1</v>
          </cell>
          <cell r="II19">
            <v>100</v>
          </cell>
          <cell r="IJ19">
            <v>100</v>
          </cell>
          <cell r="IK19">
            <v>1</v>
          </cell>
          <cell r="IL19">
            <v>0</v>
          </cell>
          <cell r="IM19">
            <v>1</v>
          </cell>
          <cell r="IN19">
            <v>1</v>
          </cell>
          <cell r="IO19">
            <v>100</v>
          </cell>
          <cell r="IP19">
            <v>2</v>
          </cell>
          <cell r="IQ19">
            <v>2</v>
          </cell>
          <cell r="IR19">
            <v>100</v>
          </cell>
          <cell r="IS19">
            <v>100</v>
          </cell>
          <cell r="IT19">
            <v>1</v>
          </cell>
          <cell r="IU19">
            <v>0</v>
          </cell>
          <cell r="IV19">
            <v>1</v>
          </cell>
          <cell r="IW19">
            <v>2</v>
          </cell>
          <cell r="IX19">
            <v>33.299999999999997</v>
          </cell>
          <cell r="IY19">
            <v>1</v>
          </cell>
          <cell r="IZ19">
            <v>2</v>
          </cell>
          <cell r="JA19">
            <v>33.299999999999997</v>
          </cell>
          <cell r="JB19">
            <v>1</v>
          </cell>
          <cell r="JC19">
            <v>1</v>
          </cell>
          <cell r="JD19">
            <v>100</v>
          </cell>
          <cell r="JE19">
            <v>3</v>
          </cell>
          <cell r="JF19">
            <v>3</v>
          </cell>
          <cell r="JG19">
            <v>100</v>
          </cell>
          <cell r="JH19">
            <v>0</v>
          </cell>
          <cell r="JI19">
            <v>0</v>
          </cell>
          <cell r="JJ19" t="str">
            <v>-</v>
          </cell>
          <cell r="JK19">
            <v>0</v>
          </cell>
          <cell r="JL19">
            <v>0</v>
          </cell>
          <cell r="JM19" t="str">
            <v>-</v>
          </cell>
          <cell r="JN19">
            <v>0</v>
          </cell>
          <cell r="JO19">
            <v>0</v>
          </cell>
          <cell r="JP19" t="str">
            <v>-</v>
          </cell>
          <cell r="JQ19">
            <v>286</v>
          </cell>
          <cell r="JR19">
            <v>171</v>
          </cell>
          <cell r="JS19">
            <v>62.582056892778994</v>
          </cell>
          <cell r="JT19">
            <v>140</v>
          </cell>
          <cell r="JU19">
            <v>111</v>
          </cell>
          <cell r="JV19">
            <v>55.776892430278878</v>
          </cell>
          <cell r="JW19">
            <v>0</v>
          </cell>
          <cell r="JX19">
            <v>0</v>
          </cell>
          <cell r="JY19" t="str">
            <v>-</v>
          </cell>
          <cell r="JZ19">
            <v>20</v>
          </cell>
          <cell r="KA19">
            <v>59</v>
          </cell>
          <cell r="KB19">
            <v>25.316455696202532</v>
          </cell>
          <cell r="KC19">
            <v>2</v>
          </cell>
          <cell r="KD19">
            <v>0</v>
          </cell>
          <cell r="KE19">
            <v>100</v>
          </cell>
          <cell r="KF19">
            <v>479</v>
          </cell>
          <cell r="KG19">
            <v>263</v>
          </cell>
          <cell r="KH19">
            <v>64.555256064690028</v>
          </cell>
          <cell r="KI19">
            <v>11</v>
          </cell>
          <cell r="KJ19">
            <v>22</v>
          </cell>
          <cell r="KK19">
            <v>33.333333333333329</v>
          </cell>
          <cell r="KL19">
            <v>6</v>
          </cell>
          <cell r="KM19">
            <v>5</v>
          </cell>
          <cell r="KN19">
            <v>54.54545454545454</v>
          </cell>
        </row>
        <row r="20">
          <cell r="C20" t="str">
            <v>Bp XVI. kerületi Rendőrkapitányság</v>
          </cell>
          <cell r="D20">
            <v>54.545440673828125</v>
          </cell>
          <cell r="E20">
            <v>54.545440673828125</v>
          </cell>
          <cell r="F20" t="str">
            <v>-</v>
          </cell>
          <cell r="G20">
            <v>54.545440673828125</v>
          </cell>
          <cell r="H20">
            <v>54.545440673828125</v>
          </cell>
          <cell r="I20" t="str">
            <v>-</v>
          </cell>
          <cell r="J20">
            <v>54.545440673828125</v>
          </cell>
          <cell r="K20">
            <v>54.545440673828125</v>
          </cell>
          <cell r="L20" t="str">
            <v>-</v>
          </cell>
          <cell r="M20">
            <v>54.545440673828125</v>
          </cell>
          <cell r="N20">
            <v>54.545440673828125</v>
          </cell>
          <cell r="O20" t="str">
            <v>-</v>
          </cell>
          <cell r="P20">
            <v>54.545440673828125</v>
          </cell>
          <cell r="Q20">
            <v>54.545440673828125</v>
          </cell>
          <cell r="R20" t="str">
            <v>-</v>
          </cell>
          <cell r="S20">
            <v>54.545440673828125</v>
          </cell>
          <cell r="T20">
            <v>54.545440673828125</v>
          </cell>
          <cell r="U20" t="str">
            <v>-</v>
          </cell>
          <cell r="V20">
            <v>54.545440673828125</v>
          </cell>
          <cell r="W20">
            <v>54.545440673828125</v>
          </cell>
          <cell r="X20" t="str">
            <v>-</v>
          </cell>
          <cell r="Y20">
            <v>54.545440673828125</v>
          </cell>
          <cell r="Z20">
            <v>54.545440673828125</v>
          </cell>
          <cell r="AA20" t="str">
            <v>-</v>
          </cell>
          <cell r="AB20">
            <v>54.545440673828125</v>
          </cell>
          <cell r="AC20">
            <v>54.545440673828125</v>
          </cell>
          <cell r="AD20" t="str">
            <v>-</v>
          </cell>
          <cell r="AE20">
            <v>54.545440673828125</v>
          </cell>
          <cell r="AF20">
            <v>54.545440673828125</v>
          </cell>
          <cell r="AG20" t="str">
            <v>-</v>
          </cell>
          <cell r="AH20">
            <v>54.545440673828125</v>
          </cell>
          <cell r="AI20">
            <v>54.545440673828125</v>
          </cell>
          <cell r="AJ20" t="str">
            <v>-</v>
          </cell>
          <cell r="AK20">
            <v>54.545440673828125</v>
          </cell>
          <cell r="AL20">
            <v>54.545440673828125</v>
          </cell>
          <cell r="AM20" t="str">
            <v>-</v>
          </cell>
          <cell r="AN20">
            <v>54.545440673828125</v>
          </cell>
          <cell r="AO20">
            <v>54.545440673828125</v>
          </cell>
          <cell r="AP20" t="str">
            <v>-</v>
          </cell>
          <cell r="AQ20">
            <v>54.545440673828125</v>
          </cell>
          <cell r="AR20">
            <v>54.545440673828125</v>
          </cell>
          <cell r="AS20" t="str">
            <v>-</v>
          </cell>
          <cell r="AT20">
            <v>54.545440673828125</v>
          </cell>
          <cell r="AU20">
            <v>54.545440673828125</v>
          </cell>
          <cell r="AV20" t="str">
            <v>-</v>
          </cell>
          <cell r="AW20">
            <v>54.545440673828125</v>
          </cell>
          <cell r="AX20">
            <v>54.545440673828125</v>
          </cell>
          <cell r="AY20" t="str">
            <v>-</v>
          </cell>
          <cell r="AZ20">
            <v>54.545440673828125</v>
          </cell>
          <cell r="BA20">
            <v>54.545440673828125</v>
          </cell>
          <cell r="BB20" t="str">
            <v>-</v>
          </cell>
          <cell r="BC20">
            <v>54.545440673828125</v>
          </cell>
          <cell r="BD20">
            <v>54.545440673828125</v>
          </cell>
          <cell r="BE20" t="str">
            <v>-</v>
          </cell>
          <cell r="BF20">
            <v>54.545440673828125</v>
          </cell>
          <cell r="BG20">
            <v>54.545440673828125</v>
          </cell>
          <cell r="BH20" t="str">
            <v>-</v>
          </cell>
          <cell r="BI20">
            <v>54.545440673828125</v>
          </cell>
          <cell r="BJ20">
            <v>54.545440673828125</v>
          </cell>
          <cell r="BK20" t="str">
            <v>-</v>
          </cell>
          <cell r="BL20">
            <v>54.545440673828125</v>
          </cell>
          <cell r="BM20">
            <v>54.545440673828125</v>
          </cell>
          <cell r="BN20" t="str">
            <v>-</v>
          </cell>
          <cell r="BO20">
            <v>54.545440673828125</v>
          </cell>
          <cell r="BP20">
            <v>54.545440673828125</v>
          </cell>
          <cell r="BQ20" t="str">
            <v>-</v>
          </cell>
          <cell r="BR20">
            <v>54.545440673828125</v>
          </cell>
          <cell r="BS20">
            <v>54.545440673828125</v>
          </cell>
          <cell r="BT20" t="str">
            <v>-</v>
          </cell>
          <cell r="BU20">
            <v>54.545440673828125</v>
          </cell>
          <cell r="BV20">
            <v>54.545440673828125</v>
          </cell>
          <cell r="BW20" t="str">
            <v>-</v>
          </cell>
          <cell r="BX20">
            <v>35</v>
          </cell>
          <cell r="BY20">
            <v>10</v>
          </cell>
          <cell r="BZ20">
            <v>77.8</v>
          </cell>
          <cell r="CA20">
            <v>13</v>
          </cell>
          <cell r="CB20">
            <v>12</v>
          </cell>
          <cell r="CC20">
            <v>52</v>
          </cell>
          <cell r="CD20">
            <v>38</v>
          </cell>
          <cell r="CE20">
            <v>15</v>
          </cell>
          <cell r="CF20">
            <v>71.7</v>
          </cell>
          <cell r="CG20">
            <v>29</v>
          </cell>
          <cell r="CH20">
            <v>7</v>
          </cell>
          <cell r="CI20">
            <v>80.599999999999994</v>
          </cell>
          <cell r="CJ20">
            <v>42</v>
          </cell>
          <cell r="CK20">
            <v>17</v>
          </cell>
          <cell r="CL20">
            <v>71.2</v>
          </cell>
          <cell r="CM20">
            <v>38</v>
          </cell>
          <cell r="CN20">
            <v>26</v>
          </cell>
          <cell r="CO20">
            <v>59.4</v>
          </cell>
          <cell r="CP20">
            <v>27</v>
          </cell>
          <cell r="CQ20">
            <v>8</v>
          </cell>
          <cell r="CR20">
            <v>77.099999999999994</v>
          </cell>
          <cell r="CS20">
            <v>19</v>
          </cell>
          <cell r="CT20">
            <v>6</v>
          </cell>
          <cell r="CU20">
            <v>76</v>
          </cell>
          <cell r="CV20">
            <v>19</v>
          </cell>
          <cell r="CW20">
            <v>9</v>
          </cell>
          <cell r="CX20">
            <v>67.900000000000006</v>
          </cell>
          <cell r="CY20">
            <v>7</v>
          </cell>
          <cell r="CZ20">
            <v>5</v>
          </cell>
          <cell r="DA20">
            <v>58.3</v>
          </cell>
          <cell r="DB20">
            <v>25</v>
          </cell>
          <cell r="DC20">
            <v>11</v>
          </cell>
          <cell r="DD20">
            <v>69.400000000000006</v>
          </cell>
          <cell r="DE20">
            <v>16</v>
          </cell>
          <cell r="DF20">
            <v>3</v>
          </cell>
          <cell r="DG20">
            <v>84.2</v>
          </cell>
          <cell r="DH20">
            <v>28</v>
          </cell>
          <cell r="DI20">
            <v>10</v>
          </cell>
          <cell r="DJ20">
            <v>73.7</v>
          </cell>
          <cell r="DK20">
            <v>27</v>
          </cell>
          <cell r="DL20">
            <v>12</v>
          </cell>
          <cell r="DM20">
            <v>69.2</v>
          </cell>
          <cell r="DN20">
            <v>12</v>
          </cell>
          <cell r="DO20">
            <v>6</v>
          </cell>
          <cell r="DP20">
            <v>66.7</v>
          </cell>
          <cell r="DQ20">
            <v>9</v>
          </cell>
          <cell r="DR20">
            <v>3</v>
          </cell>
          <cell r="DS20">
            <v>75</v>
          </cell>
          <cell r="DT20">
            <v>75</v>
          </cell>
          <cell r="DU20">
            <v>75</v>
          </cell>
          <cell r="DV20" t="str">
            <v>-</v>
          </cell>
          <cell r="DW20">
            <v>75</v>
          </cell>
          <cell r="DX20">
            <v>75</v>
          </cell>
          <cell r="DY20" t="str">
            <v>-</v>
          </cell>
          <cell r="DZ20">
            <v>75</v>
          </cell>
          <cell r="EA20">
            <v>75</v>
          </cell>
          <cell r="EB20" t="str">
            <v>-</v>
          </cell>
          <cell r="EC20">
            <v>75</v>
          </cell>
          <cell r="ED20">
            <v>75</v>
          </cell>
          <cell r="EE20" t="str">
            <v>-</v>
          </cell>
          <cell r="EF20">
            <v>75</v>
          </cell>
          <cell r="EG20">
            <v>75</v>
          </cell>
          <cell r="EH20" t="str">
            <v>-</v>
          </cell>
          <cell r="EI20">
            <v>75</v>
          </cell>
          <cell r="EJ20">
            <v>75</v>
          </cell>
          <cell r="EK20" t="str">
            <v>-</v>
          </cell>
          <cell r="EL20">
            <v>75</v>
          </cell>
          <cell r="EM20">
            <v>75</v>
          </cell>
          <cell r="EN20" t="str">
            <v>-</v>
          </cell>
          <cell r="EO20">
            <v>75</v>
          </cell>
          <cell r="EP20">
            <v>75</v>
          </cell>
          <cell r="EQ20" t="str">
            <v>-</v>
          </cell>
          <cell r="ER20">
            <v>1</v>
          </cell>
          <cell r="ES20">
            <v>3</v>
          </cell>
          <cell r="ET20">
            <v>25</v>
          </cell>
          <cell r="EU20">
            <v>4</v>
          </cell>
          <cell r="EV20">
            <v>3</v>
          </cell>
          <cell r="EW20">
            <v>57.1</v>
          </cell>
          <cell r="EX20">
            <v>1</v>
          </cell>
          <cell r="EY20">
            <v>2</v>
          </cell>
          <cell r="EZ20">
            <v>33.299999999999997</v>
          </cell>
          <cell r="FA20">
            <v>33.29998779296875</v>
          </cell>
          <cell r="FB20">
            <v>5</v>
          </cell>
          <cell r="FC20">
            <v>0</v>
          </cell>
          <cell r="FD20">
            <v>1</v>
          </cell>
          <cell r="FE20">
            <v>9</v>
          </cell>
          <cell r="FF20">
            <v>10</v>
          </cell>
          <cell r="FG20">
            <v>8</v>
          </cell>
          <cell r="FH20">
            <v>10</v>
          </cell>
          <cell r="FI20">
            <v>44.4</v>
          </cell>
          <cell r="FJ20">
            <v>1</v>
          </cell>
          <cell r="FK20">
            <v>2</v>
          </cell>
          <cell r="FL20">
            <v>33.299999999999997</v>
          </cell>
          <cell r="FM20">
            <v>4</v>
          </cell>
          <cell r="FN20">
            <v>6</v>
          </cell>
          <cell r="FO20">
            <v>40</v>
          </cell>
          <cell r="FP20">
            <v>40</v>
          </cell>
          <cell r="FQ20">
            <v>40</v>
          </cell>
          <cell r="FR20" t="str">
            <v>-</v>
          </cell>
          <cell r="FS20">
            <v>40</v>
          </cell>
          <cell r="FT20">
            <v>40</v>
          </cell>
          <cell r="FU20" t="str">
            <v>-</v>
          </cell>
          <cell r="FV20">
            <v>40</v>
          </cell>
          <cell r="FW20">
            <v>1</v>
          </cell>
          <cell r="FX20">
            <v>0</v>
          </cell>
          <cell r="FY20">
            <v>0</v>
          </cell>
          <cell r="FZ20">
            <v>0</v>
          </cell>
          <cell r="GA20" t="str">
            <v>-</v>
          </cell>
          <cell r="GB20">
            <v>0</v>
          </cell>
          <cell r="GC20">
            <v>0</v>
          </cell>
          <cell r="GD20" t="str">
            <v>-</v>
          </cell>
          <cell r="GE20">
            <v>2</v>
          </cell>
          <cell r="GF20">
            <v>2</v>
          </cell>
          <cell r="GG20">
            <v>100</v>
          </cell>
          <cell r="GH20">
            <v>100</v>
          </cell>
          <cell r="GI20">
            <v>100</v>
          </cell>
          <cell r="GJ20" t="str">
            <v>-</v>
          </cell>
          <cell r="GK20">
            <v>100</v>
          </cell>
          <cell r="GL20">
            <v>100</v>
          </cell>
          <cell r="GM20" t="str">
            <v>-</v>
          </cell>
          <cell r="GN20">
            <v>32</v>
          </cell>
          <cell r="GO20">
            <v>10</v>
          </cell>
          <cell r="GP20">
            <v>76.2</v>
          </cell>
          <cell r="GQ20">
            <v>23</v>
          </cell>
          <cell r="GR20">
            <v>40</v>
          </cell>
          <cell r="GS20">
            <v>36.5</v>
          </cell>
          <cell r="GT20">
            <v>46</v>
          </cell>
          <cell r="GU20">
            <v>40</v>
          </cell>
          <cell r="GV20">
            <v>53.5</v>
          </cell>
          <cell r="GW20">
            <v>62</v>
          </cell>
          <cell r="GX20">
            <v>24</v>
          </cell>
          <cell r="GY20">
            <v>72.099999999999994</v>
          </cell>
          <cell r="GZ20">
            <v>85</v>
          </cell>
          <cell r="HA20">
            <v>33</v>
          </cell>
          <cell r="HB20">
            <v>72</v>
          </cell>
          <cell r="HC20">
            <v>53</v>
          </cell>
          <cell r="HD20">
            <v>42</v>
          </cell>
          <cell r="HE20">
            <v>55.8</v>
          </cell>
          <cell r="HF20">
            <v>51</v>
          </cell>
          <cell r="HG20">
            <v>20</v>
          </cell>
          <cell r="HH20">
            <v>71.8</v>
          </cell>
          <cell r="HI20">
            <v>36</v>
          </cell>
          <cell r="HJ20">
            <v>11</v>
          </cell>
          <cell r="HK20">
            <v>76.599999999999994</v>
          </cell>
          <cell r="HL20">
            <v>1</v>
          </cell>
          <cell r="HM20">
            <v>3</v>
          </cell>
          <cell r="HN20">
            <v>25</v>
          </cell>
          <cell r="HO20">
            <v>1</v>
          </cell>
          <cell r="HP20">
            <v>3</v>
          </cell>
          <cell r="HQ20">
            <v>25</v>
          </cell>
          <cell r="HR20">
            <v>4</v>
          </cell>
          <cell r="HS20">
            <v>4</v>
          </cell>
          <cell r="HT20">
            <v>50</v>
          </cell>
          <cell r="HU20">
            <v>1</v>
          </cell>
          <cell r="HV20">
            <v>7</v>
          </cell>
          <cell r="HW20">
            <v>12.5</v>
          </cell>
          <cell r="HX20">
            <v>1</v>
          </cell>
          <cell r="HY20">
            <v>7</v>
          </cell>
          <cell r="HZ20">
            <v>12.5</v>
          </cell>
          <cell r="IA20">
            <v>4</v>
          </cell>
          <cell r="IB20">
            <v>2</v>
          </cell>
          <cell r="IC20">
            <v>66.7</v>
          </cell>
          <cell r="ID20">
            <v>1</v>
          </cell>
          <cell r="IE20">
            <v>4</v>
          </cell>
          <cell r="IF20">
            <v>20</v>
          </cell>
          <cell r="IG20">
            <v>4</v>
          </cell>
          <cell r="IH20">
            <v>4</v>
          </cell>
          <cell r="II20">
            <v>100</v>
          </cell>
          <cell r="IJ20">
            <v>100</v>
          </cell>
          <cell r="IK20">
            <v>1</v>
          </cell>
          <cell r="IL20">
            <v>0</v>
          </cell>
          <cell r="IM20">
            <v>1</v>
          </cell>
          <cell r="IN20">
            <v>1</v>
          </cell>
          <cell r="IO20">
            <v>100</v>
          </cell>
          <cell r="IP20">
            <v>100</v>
          </cell>
          <cell r="IQ20">
            <v>100</v>
          </cell>
          <cell r="IR20" t="str">
            <v>-</v>
          </cell>
          <cell r="IS20">
            <v>100</v>
          </cell>
          <cell r="IT20">
            <v>100</v>
          </cell>
          <cell r="IU20" t="str">
            <v>-</v>
          </cell>
          <cell r="IV20">
            <v>1</v>
          </cell>
          <cell r="IW20">
            <v>1</v>
          </cell>
          <cell r="IX20">
            <v>50</v>
          </cell>
          <cell r="IY20">
            <v>50</v>
          </cell>
          <cell r="IZ20">
            <v>2</v>
          </cell>
          <cell r="JA20">
            <v>0</v>
          </cell>
          <cell r="JB20">
            <v>2</v>
          </cell>
          <cell r="JC20">
            <v>2</v>
          </cell>
          <cell r="JD20">
            <v>100</v>
          </cell>
          <cell r="JE20">
            <v>100</v>
          </cell>
          <cell r="JF20">
            <v>100</v>
          </cell>
          <cell r="JG20" t="str">
            <v>-</v>
          </cell>
          <cell r="JH20">
            <v>0</v>
          </cell>
          <cell r="JI20">
            <v>0</v>
          </cell>
          <cell r="JJ20" t="str">
            <v>-</v>
          </cell>
          <cell r="JK20">
            <v>0</v>
          </cell>
          <cell r="JL20">
            <v>0</v>
          </cell>
          <cell r="JM20" t="str">
            <v>-</v>
          </cell>
          <cell r="JN20">
            <v>0</v>
          </cell>
          <cell r="JO20">
            <v>0</v>
          </cell>
          <cell r="JP20" t="str">
            <v>-</v>
          </cell>
          <cell r="JQ20">
            <v>155</v>
          </cell>
          <cell r="JR20">
            <v>64</v>
          </cell>
          <cell r="JS20">
            <v>70.776255707762559</v>
          </cell>
          <cell r="JT20">
            <v>92</v>
          </cell>
          <cell r="JU20">
            <v>34</v>
          </cell>
          <cell r="JV20">
            <v>73.015873015873012</v>
          </cell>
          <cell r="JW20">
            <v>0</v>
          </cell>
          <cell r="JX20">
            <v>0</v>
          </cell>
          <cell r="JY20" t="str">
            <v>-</v>
          </cell>
          <cell r="JZ20">
            <v>14</v>
          </cell>
          <cell r="KA20">
            <v>32</v>
          </cell>
          <cell r="KB20">
            <v>30.434782608695656</v>
          </cell>
          <cell r="KC20">
            <v>2</v>
          </cell>
          <cell r="KD20">
            <v>0</v>
          </cell>
          <cell r="KE20">
            <v>100</v>
          </cell>
          <cell r="KF20">
            <v>287</v>
          </cell>
          <cell r="KG20">
            <v>130</v>
          </cell>
          <cell r="KH20">
            <v>68.824940047961633</v>
          </cell>
          <cell r="KI20">
            <v>11</v>
          </cell>
          <cell r="KJ20">
            <v>20</v>
          </cell>
          <cell r="KK20">
            <v>35.483870967741936</v>
          </cell>
          <cell r="KL20">
            <v>3</v>
          </cell>
          <cell r="KM20">
            <v>3</v>
          </cell>
          <cell r="KN20">
            <v>50</v>
          </cell>
        </row>
        <row r="21">
          <cell r="C21" t="str">
            <v>Bp XVII. kerületi Rendőrkapitányság</v>
          </cell>
          <cell r="D21">
            <v>50</v>
          </cell>
          <cell r="E21">
            <v>50</v>
          </cell>
          <cell r="F21" t="str">
            <v>-</v>
          </cell>
          <cell r="G21">
            <v>50</v>
          </cell>
          <cell r="H21">
            <v>50</v>
          </cell>
          <cell r="I21" t="str">
            <v>-</v>
          </cell>
          <cell r="J21">
            <v>50</v>
          </cell>
          <cell r="K21">
            <v>50</v>
          </cell>
          <cell r="L21" t="str">
            <v>-</v>
          </cell>
          <cell r="M21">
            <v>50</v>
          </cell>
          <cell r="N21">
            <v>50</v>
          </cell>
          <cell r="O21" t="str">
            <v>-</v>
          </cell>
          <cell r="P21">
            <v>50</v>
          </cell>
          <cell r="Q21">
            <v>50</v>
          </cell>
          <cell r="R21" t="str">
            <v>-</v>
          </cell>
          <cell r="S21">
            <v>50</v>
          </cell>
          <cell r="T21">
            <v>50</v>
          </cell>
          <cell r="U21" t="str">
            <v>-</v>
          </cell>
          <cell r="V21">
            <v>1</v>
          </cell>
          <cell r="W21">
            <v>1</v>
          </cell>
          <cell r="X21">
            <v>100</v>
          </cell>
          <cell r="Y21">
            <v>100</v>
          </cell>
          <cell r="Z21">
            <v>100</v>
          </cell>
          <cell r="AA21" t="str">
            <v>-</v>
          </cell>
          <cell r="AB21">
            <v>100</v>
          </cell>
          <cell r="AC21">
            <v>100</v>
          </cell>
          <cell r="AD21" t="str">
            <v>-</v>
          </cell>
          <cell r="AE21">
            <v>100</v>
          </cell>
          <cell r="AF21">
            <v>100</v>
          </cell>
          <cell r="AG21" t="str">
            <v>-</v>
          </cell>
          <cell r="AH21">
            <v>100</v>
          </cell>
          <cell r="AI21">
            <v>100</v>
          </cell>
          <cell r="AJ21" t="str">
            <v>-</v>
          </cell>
          <cell r="AK21">
            <v>100</v>
          </cell>
          <cell r="AL21">
            <v>100</v>
          </cell>
          <cell r="AM21" t="str">
            <v>-</v>
          </cell>
          <cell r="AN21">
            <v>100</v>
          </cell>
          <cell r="AO21">
            <v>100</v>
          </cell>
          <cell r="AP21" t="str">
            <v>-</v>
          </cell>
          <cell r="AQ21">
            <v>100</v>
          </cell>
          <cell r="AR21">
            <v>100</v>
          </cell>
          <cell r="AS21" t="str">
            <v>-</v>
          </cell>
          <cell r="AT21">
            <v>100</v>
          </cell>
          <cell r="AU21">
            <v>100</v>
          </cell>
          <cell r="AV21" t="str">
            <v>-</v>
          </cell>
          <cell r="AW21">
            <v>100</v>
          </cell>
          <cell r="AX21">
            <v>100</v>
          </cell>
          <cell r="AY21" t="str">
            <v>-</v>
          </cell>
          <cell r="AZ21">
            <v>100</v>
          </cell>
          <cell r="BA21">
            <v>100</v>
          </cell>
          <cell r="BB21" t="str">
            <v>-</v>
          </cell>
          <cell r="BC21">
            <v>100</v>
          </cell>
          <cell r="BD21">
            <v>100</v>
          </cell>
          <cell r="BE21" t="str">
            <v>-</v>
          </cell>
          <cell r="BF21">
            <v>100</v>
          </cell>
          <cell r="BG21">
            <v>100</v>
          </cell>
          <cell r="BH21" t="str">
            <v>-</v>
          </cell>
          <cell r="BI21">
            <v>100</v>
          </cell>
          <cell r="BJ21">
            <v>100</v>
          </cell>
          <cell r="BK21" t="str">
            <v>-</v>
          </cell>
          <cell r="BL21">
            <v>100</v>
          </cell>
          <cell r="BM21">
            <v>100</v>
          </cell>
          <cell r="BN21" t="str">
            <v>-</v>
          </cell>
          <cell r="BO21">
            <v>100</v>
          </cell>
          <cell r="BP21">
            <v>100</v>
          </cell>
          <cell r="BQ21" t="str">
            <v>-</v>
          </cell>
          <cell r="BR21">
            <v>1</v>
          </cell>
          <cell r="BS21">
            <v>1</v>
          </cell>
          <cell r="BT21">
            <v>100</v>
          </cell>
          <cell r="BU21">
            <v>100</v>
          </cell>
          <cell r="BV21">
            <v>100</v>
          </cell>
          <cell r="BW21" t="str">
            <v>-</v>
          </cell>
          <cell r="BX21">
            <v>75</v>
          </cell>
          <cell r="BY21">
            <v>25</v>
          </cell>
          <cell r="BZ21">
            <v>75</v>
          </cell>
          <cell r="CA21">
            <v>80</v>
          </cell>
          <cell r="CB21">
            <v>19</v>
          </cell>
          <cell r="CC21">
            <v>80.8</v>
          </cell>
          <cell r="CD21">
            <v>33</v>
          </cell>
          <cell r="CE21">
            <v>21</v>
          </cell>
          <cell r="CF21">
            <v>61.1</v>
          </cell>
          <cell r="CG21">
            <v>31</v>
          </cell>
          <cell r="CH21">
            <v>20</v>
          </cell>
          <cell r="CI21">
            <v>60.8</v>
          </cell>
          <cell r="CJ21">
            <v>55</v>
          </cell>
          <cell r="CK21">
            <v>24</v>
          </cell>
          <cell r="CL21">
            <v>69.599999999999994</v>
          </cell>
          <cell r="CM21">
            <v>56</v>
          </cell>
          <cell r="CN21">
            <v>23</v>
          </cell>
          <cell r="CO21">
            <v>70.900000000000006</v>
          </cell>
          <cell r="CP21">
            <v>47</v>
          </cell>
          <cell r="CQ21">
            <v>14</v>
          </cell>
          <cell r="CR21">
            <v>77</v>
          </cell>
          <cell r="CS21">
            <v>53</v>
          </cell>
          <cell r="CT21">
            <v>24</v>
          </cell>
          <cell r="CU21">
            <v>68.8</v>
          </cell>
          <cell r="CV21">
            <v>50</v>
          </cell>
          <cell r="CW21">
            <v>21</v>
          </cell>
          <cell r="CX21">
            <v>70.400000000000006</v>
          </cell>
          <cell r="CY21">
            <v>47</v>
          </cell>
          <cell r="CZ21">
            <v>17</v>
          </cell>
          <cell r="DA21">
            <v>73.400000000000006</v>
          </cell>
          <cell r="DB21">
            <v>20</v>
          </cell>
          <cell r="DC21">
            <v>18</v>
          </cell>
          <cell r="DD21">
            <v>52.6</v>
          </cell>
          <cell r="DE21">
            <v>23</v>
          </cell>
          <cell r="DF21">
            <v>18</v>
          </cell>
          <cell r="DG21">
            <v>56.1</v>
          </cell>
          <cell r="DH21">
            <v>34</v>
          </cell>
          <cell r="DI21">
            <v>24</v>
          </cell>
          <cell r="DJ21">
            <v>58.6</v>
          </cell>
          <cell r="DK21">
            <v>26</v>
          </cell>
          <cell r="DL21">
            <v>17</v>
          </cell>
          <cell r="DM21">
            <v>60.5</v>
          </cell>
          <cell r="DN21">
            <v>22</v>
          </cell>
          <cell r="DO21">
            <v>13</v>
          </cell>
          <cell r="DP21">
            <v>62.9</v>
          </cell>
          <cell r="DQ21">
            <v>34</v>
          </cell>
          <cell r="DR21">
            <v>18</v>
          </cell>
          <cell r="DS21">
            <v>65.400000000000006</v>
          </cell>
          <cell r="DT21">
            <v>65.39996337890625</v>
          </cell>
          <cell r="DU21">
            <v>65.39996337890625</v>
          </cell>
          <cell r="DV21" t="str">
            <v>-</v>
          </cell>
          <cell r="DW21">
            <v>65.39996337890625</v>
          </cell>
          <cell r="DX21">
            <v>65.39996337890625</v>
          </cell>
          <cell r="DY21" t="str">
            <v>-</v>
          </cell>
          <cell r="DZ21">
            <v>65.39996337890625</v>
          </cell>
          <cell r="EA21">
            <v>65.39996337890625</v>
          </cell>
          <cell r="EB21" t="str">
            <v>-</v>
          </cell>
          <cell r="EC21">
            <v>65.39996337890625</v>
          </cell>
          <cell r="ED21">
            <v>65.39996337890625</v>
          </cell>
          <cell r="EE21" t="str">
            <v>-</v>
          </cell>
          <cell r="EF21">
            <v>65.39996337890625</v>
          </cell>
          <cell r="EG21">
            <v>65.39996337890625</v>
          </cell>
          <cell r="EH21" t="str">
            <v>-</v>
          </cell>
          <cell r="EI21">
            <v>65.39996337890625</v>
          </cell>
          <cell r="EJ21">
            <v>65.39996337890625</v>
          </cell>
          <cell r="EK21" t="str">
            <v>-</v>
          </cell>
          <cell r="EL21">
            <v>65.39996337890625</v>
          </cell>
          <cell r="EM21">
            <v>65.39996337890625</v>
          </cell>
          <cell r="EN21" t="str">
            <v>-</v>
          </cell>
          <cell r="EO21">
            <v>65.39996337890625</v>
          </cell>
          <cell r="EP21">
            <v>65.39996337890625</v>
          </cell>
          <cell r="EQ21" t="str">
            <v>-</v>
          </cell>
          <cell r="ER21">
            <v>2</v>
          </cell>
          <cell r="ES21">
            <v>4</v>
          </cell>
          <cell r="ET21">
            <v>33.299999999999997</v>
          </cell>
          <cell r="EU21">
            <v>16</v>
          </cell>
          <cell r="EV21">
            <v>2</v>
          </cell>
          <cell r="EW21">
            <v>88.9</v>
          </cell>
          <cell r="EX21">
            <v>3</v>
          </cell>
          <cell r="EY21">
            <v>2</v>
          </cell>
          <cell r="EZ21">
            <v>60</v>
          </cell>
          <cell r="FA21">
            <v>1</v>
          </cell>
          <cell r="FB21">
            <v>1</v>
          </cell>
          <cell r="FC21">
            <v>50</v>
          </cell>
          <cell r="FD21">
            <v>6</v>
          </cell>
          <cell r="FE21">
            <v>4</v>
          </cell>
          <cell r="FF21">
            <v>60</v>
          </cell>
          <cell r="FG21">
            <v>12</v>
          </cell>
          <cell r="FH21">
            <v>12</v>
          </cell>
          <cell r="FI21">
            <v>100</v>
          </cell>
          <cell r="FJ21">
            <v>6</v>
          </cell>
          <cell r="FK21">
            <v>1</v>
          </cell>
          <cell r="FL21">
            <v>85.7</v>
          </cell>
          <cell r="FM21">
            <v>10</v>
          </cell>
          <cell r="FN21">
            <v>3</v>
          </cell>
          <cell r="FO21">
            <v>76.900000000000006</v>
          </cell>
          <cell r="FP21">
            <v>76.89996337890625</v>
          </cell>
          <cell r="FQ21">
            <v>76.89996337890625</v>
          </cell>
          <cell r="FR21" t="str">
            <v>-</v>
          </cell>
          <cell r="FS21">
            <v>76.89996337890625</v>
          </cell>
          <cell r="FT21">
            <v>76.89996337890625</v>
          </cell>
          <cell r="FU21" t="str">
            <v>-</v>
          </cell>
          <cell r="FV21">
            <v>76.89996337890625</v>
          </cell>
          <cell r="FW21">
            <v>76.89996337890625</v>
          </cell>
          <cell r="FX21" t="str">
            <v>-</v>
          </cell>
          <cell r="FY21">
            <v>76.89996337890625</v>
          </cell>
          <cell r="FZ21">
            <v>76.89996337890625</v>
          </cell>
          <cell r="GA21" t="str">
            <v>-</v>
          </cell>
          <cell r="GB21">
            <v>76.89996337890625</v>
          </cell>
          <cell r="GC21">
            <v>76.89996337890625</v>
          </cell>
          <cell r="GD21" t="str">
            <v>-</v>
          </cell>
          <cell r="GE21">
            <v>76.89996337890625</v>
          </cell>
          <cell r="GF21">
            <v>76.89996337890625</v>
          </cell>
          <cell r="GG21" t="str">
            <v>-</v>
          </cell>
          <cell r="GH21">
            <v>76.89996337890625</v>
          </cell>
          <cell r="GI21">
            <v>76.89996337890625</v>
          </cell>
          <cell r="GJ21" t="str">
            <v>-</v>
          </cell>
          <cell r="GK21">
            <v>76.89996337890625</v>
          </cell>
          <cell r="GL21">
            <v>76.89996337890625</v>
          </cell>
          <cell r="GM21" t="str">
            <v>-</v>
          </cell>
          <cell r="GN21">
            <v>37</v>
          </cell>
          <cell r="GO21">
            <v>19</v>
          </cell>
          <cell r="GP21">
            <v>66.099999999999994</v>
          </cell>
          <cell r="GQ21">
            <v>55</v>
          </cell>
          <cell r="GR21">
            <v>20</v>
          </cell>
          <cell r="GS21">
            <v>73.3</v>
          </cell>
          <cell r="GT21">
            <v>33</v>
          </cell>
          <cell r="GU21">
            <v>27</v>
          </cell>
          <cell r="GV21">
            <v>55</v>
          </cell>
          <cell r="GW21">
            <v>44</v>
          </cell>
          <cell r="GX21">
            <v>35</v>
          </cell>
          <cell r="GY21">
            <v>55.7</v>
          </cell>
          <cell r="GZ21">
            <v>63</v>
          </cell>
          <cell r="HA21">
            <v>17</v>
          </cell>
          <cell r="HB21">
            <v>78.8</v>
          </cell>
          <cell r="HC21">
            <v>66</v>
          </cell>
          <cell r="HD21">
            <v>24</v>
          </cell>
          <cell r="HE21">
            <v>73.3</v>
          </cell>
          <cell r="HF21">
            <v>68</v>
          </cell>
          <cell r="HG21">
            <v>16</v>
          </cell>
          <cell r="HH21">
            <v>81</v>
          </cell>
          <cell r="HI21">
            <v>66</v>
          </cell>
          <cell r="HJ21">
            <v>20</v>
          </cell>
          <cell r="HK21">
            <v>76.7</v>
          </cell>
          <cell r="HL21">
            <v>8</v>
          </cell>
          <cell r="HM21">
            <v>5</v>
          </cell>
          <cell r="HN21">
            <v>61.5</v>
          </cell>
          <cell r="HO21">
            <v>4</v>
          </cell>
          <cell r="HP21">
            <v>7</v>
          </cell>
          <cell r="HQ21">
            <v>36.4</v>
          </cell>
          <cell r="HR21">
            <v>36.399993896484375</v>
          </cell>
          <cell r="HS21">
            <v>1</v>
          </cell>
          <cell r="HT21">
            <v>0</v>
          </cell>
          <cell r="HU21">
            <v>1</v>
          </cell>
          <cell r="HV21">
            <v>2</v>
          </cell>
          <cell r="HW21">
            <v>33.299999999999997</v>
          </cell>
          <cell r="HX21">
            <v>4</v>
          </cell>
          <cell r="HY21">
            <v>3</v>
          </cell>
          <cell r="HZ21">
            <v>57.1</v>
          </cell>
          <cell r="IA21">
            <v>6</v>
          </cell>
          <cell r="IB21">
            <v>6</v>
          </cell>
          <cell r="IC21">
            <v>100</v>
          </cell>
          <cell r="ID21">
            <v>4</v>
          </cell>
          <cell r="IE21">
            <v>1</v>
          </cell>
          <cell r="IF21">
            <v>80</v>
          </cell>
          <cell r="IG21">
            <v>3</v>
          </cell>
          <cell r="IH21">
            <v>1</v>
          </cell>
          <cell r="II21">
            <v>75</v>
          </cell>
          <cell r="IJ21">
            <v>4</v>
          </cell>
          <cell r="IK21">
            <v>4</v>
          </cell>
          <cell r="IL21">
            <v>100</v>
          </cell>
          <cell r="IM21">
            <v>100</v>
          </cell>
          <cell r="IN21">
            <v>2</v>
          </cell>
          <cell r="IO21">
            <v>0</v>
          </cell>
          <cell r="IP21">
            <v>1</v>
          </cell>
          <cell r="IQ21">
            <v>1</v>
          </cell>
          <cell r="IR21">
            <v>50</v>
          </cell>
          <cell r="IS21">
            <v>1</v>
          </cell>
          <cell r="IT21">
            <v>1</v>
          </cell>
          <cell r="IU21">
            <v>100</v>
          </cell>
          <cell r="IV21">
            <v>3</v>
          </cell>
          <cell r="IW21">
            <v>3</v>
          </cell>
          <cell r="IX21">
            <v>100</v>
          </cell>
          <cell r="IY21">
            <v>4</v>
          </cell>
          <cell r="IZ21">
            <v>4</v>
          </cell>
          <cell r="JA21">
            <v>100</v>
          </cell>
          <cell r="JB21">
            <v>3</v>
          </cell>
          <cell r="JC21">
            <v>1</v>
          </cell>
          <cell r="JD21">
            <v>75</v>
          </cell>
          <cell r="JE21">
            <v>3</v>
          </cell>
          <cell r="JF21">
            <v>3</v>
          </cell>
          <cell r="JG21">
            <v>100</v>
          </cell>
          <cell r="JH21">
            <v>1</v>
          </cell>
          <cell r="JI21">
            <v>0</v>
          </cell>
          <cell r="JJ21">
            <v>100</v>
          </cell>
          <cell r="JK21">
            <v>0</v>
          </cell>
          <cell r="JL21">
            <v>0</v>
          </cell>
          <cell r="JM21" t="str">
            <v>-</v>
          </cell>
          <cell r="JN21">
            <v>1</v>
          </cell>
          <cell r="JO21">
            <v>0</v>
          </cell>
          <cell r="JP21">
            <v>100</v>
          </cell>
          <cell r="JQ21">
            <v>242</v>
          </cell>
          <cell r="JR21">
            <v>105</v>
          </cell>
          <cell r="JS21">
            <v>69.740634005763695</v>
          </cell>
          <cell r="JT21">
            <v>139</v>
          </cell>
          <cell r="JU21">
            <v>90</v>
          </cell>
          <cell r="JV21">
            <v>60.698689956331876</v>
          </cell>
          <cell r="JW21">
            <v>0</v>
          </cell>
          <cell r="JX21">
            <v>0</v>
          </cell>
          <cell r="JY21" t="str">
            <v>-</v>
          </cell>
          <cell r="JZ21">
            <v>35</v>
          </cell>
          <cell r="KA21">
            <v>9</v>
          </cell>
          <cell r="KB21">
            <v>79.545454545454547</v>
          </cell>
          <cell r="KC21">
            <v>0</v>
          </cell>
          <cell r="KD21">
            <v>0</v>
          </cell>
          <cell r="KE21" t="str">
            <v>-</v>
          </cell>
          <cell r="KF21">
            <v>307</v>
          </cell>
          <cell r="KG21">
            <v>112</v>
          </cell>
          <cell r="KH21">
            <v>73.269689737470173</v>
          </cell>
          <cell r="KI21">
            <v>18</v>
          </cell>
          <cell r="KJ21">
            <v>7</v>
          </cell>
          <cell r="KK21">
            <v>72</v>
          </cell>
          <cell r="KL21">
            <v>14</v>
          </cell>
          <cell r="KM21">
            <v>1</v>
          </cell>
          <cell r="KN21">
            <v>93.333333333333329</v>
          </cell>
        </row>
        <row r="22">
          <cell r="C22" t="str">
            <v>Bp XVIII. kerületi Rendőrkapitányság</v>
          </cell>
          <cell r="D22">
            <v>93.33331298828125</v>
          </cell>
          <cell r="E22">
            <v>93.33331298828125</v>
          </cell>
          <cell r="F22" t="str">
            <v>-</v>
          </cell>
          <cell r="G22">
            <v>1</v>
          </cell>
          <cell r="H22">
            <v>1</v>
          </cell>
          <cell r="I22">
            <v>100</v>
          </cell>
          <cell r="J22">
            <v>100</v>
          </cell>
          <cell r="K22">
            <v>100</v>
          </cell>
          <cell r="L22" t="str">
            <v>-</v>
          </cell>
          <cell r="M22">
            <v>100</v>
          </cell>
          <cell r="N22">
            <v>100</v>
          </cell>
          <cell r="O22" t="str">
            <v>-</v>
          </cell>
          <cell r="P22">
            <v>100</v>
          </cell>
          <cell r="Q22">
            <v>100</v>
          </cell>
          <cell r="R22" t="str">
            <v>-</v>
          </cell>
          <cell r="S22">
            <v>100</v>
          </cell>
          <cell r="T22">
            <v>100</v>
          </cell>
          <cell r="U22" t="str">
            <v>-</v>
          </cell>
          <cell r="V22">
            <v>100</v>
          </cell>
          <cell r="W22">
            <v>100</v>
          </cell>
          <cell r="X22" t="str">
            <v>-</v>
          </cell>
          <cell r="Y22">
            <v>100</v>
          </cell>
          <cell r="Z22">
            <v>100</v>
          </cell>
          <cell r="AA22" t="str">
            <v>-</v>
          </cell>
          <cell r="AB22">
            <v>100</v>
          </cell>
          <cell r="AC22">
            <v>100</v>
          </cell>
          <cell r="AD22" t="str">
            <v>-</v>
          </cell>
          <cell r="AE22">
            <v>1</v>
          </cell>
          <cell r="AF22">
            <v>1</v>
          </cell>
          <cell r="AG22">
            <v>100</v>
          </cell>
          <cell r="AH22">
            <v>100</v>
          </cell>
          <cell r="AI22">
            <v>100</v>
          </cell>
          <cell r="AJ22" t="str">
            <v>-</v>
          </cell>
          <cell r="AK22">
            <v>100</v>
          </cell>
          <cell r="AL22">
            <v>100</v>
          </cell>
          <cell r="AM22" t="str">
            <v>-</v>
          </cell>
          <cell r="AN22">
            <v>100</v>
          </cell>
          <cell r="AO22">
            <v>100</v>
          </cell>
          <cell r="AP22" t="str">
            <v>-</v>
          </cell>
          <cell r="AQ22">
            <v>100</v>
          </cell>
          <cell r="AR22">
            <v>100</v>
          </cell>
          <cell r="AS22" t="str">
            <v>-</v>
          </cell>
          <cell r="AT22">
            <v>100</v>
          </cell>
          <cell r="AU22">
            <v>100</v>
          </cell>
          <cell r="AV22" t="str">
            <v>-</v>
          </cell>
          <cell r="AW22">
            <v>100</v>
          </cell>
          <cell r="AX22">
            <v>100</v>
          </cell>
          <cell r="AY22" t="str">
            <v>-</v>
          </cell>
          <cell r="AZ22">
            <v>100</v>
          </cell>
          <cell r="BA22">
            <v>100</v>
          </cell>
          <cell r="BB22" t="str">
            <v>-</v>
          </cell>
          <cell r="BC22">
            <v>100</v>
          </cell>
          <cell r="BD22">
            <v>100</v>
          </cell>
          <cell r="BE22" t="str">
            <v>-</v>
          </cell>
          <cell r="BF22">
            <v>100</v>
          </cell>
          <cell r="BG22">
            <v>100</v>
          </cell>
          <cell r="BH22" t="str">
            <v>-</v>
          </cell>
          <cell r="BI22">
            <v>100</v>
          </cell>
          <cell r="BJ22">
            <v>100</v>
          </cell>
          <cell r="BK22" t="str">
            <v>-</v>
          </cell>
          <cell r="BL22">
            <v>100</v>
          </cell>
          <cell r="BM22">
            <v>100</v>
          </cell>
          <cell r="BN22" t="str">
            <v>-</v>
          </cell>
          <cell r="BO22">
            <v>100</v>
          </cell>
          <cell r="BP22">
            <v>100</v>
          </cell>
          <cell r="BQ22" t="str">
            <v>-</v>
          </cell>
          <cell r="BR22">
            <v>100</v>
          </cell>
          <cell r="BS22">
            <v>100</v>
          </cell>
          <cell r="BT22" t="str">
            <v>-</v>
          </cell>
          <cell r="BU22">
            <v>100</v>
          </cell>
          <cell r="BV22">
            <v>100</v>
          </cell>
          <cell r="BW22" t="str">
            <v>-</v>
          </cell>
          <cell r="BX22">
            <v>87</v>
          </cell>
          <cell r="BY22">
            <v>28</v>
          </cell>
          <cell r="BZ22">
            <v>75.7</v>
          </cell>
          <cell r="CA22">
            <v>88</v>
          </cell>
          <cell r="CB22">
            <v>14</v>
          </cell>
          <cell r="CC22">
            <v>86.3</v>
          </cell>
          <cell r="CD22">
            <v>68</v>
          </cell>
          <cell r="CE22">
            <v>27</v>
          </cell>
          <cell r="CF22">
            <v>71.599999999999994</v>
          </cell>
          <cell r="CG22">
            <v>69</v>
          </cell>
          <cell r="CH22">
            <v>50</v>
          </cell>
          <cell r="CI22">
            <v>58</v>
          </cell>
          <cell r="CJ22">
            <v>71</v>
          </cell>
          <cell r="CK22">
            <v>67</v>
          </cell>
          <cell r="CL22">
            <v>51.4</v>
          </cell>
          <cell r="CM22">
            <v>77</v>
          </cell>
          <cell r="CN22">
            <v>54</v>
          </cell>
          <cell r="CO22">
            <v>58.8</v>
          </cell>
          <cell r="CP22">
            <v>56</v>
          </cell>
          <cell r="CQ22">
            <v>33</v>
          </cell>
          <cell r="CR22">
            <v>62.9</v>
          </cell>
          <cell r="CS22">
            <v>65</v>
          </cell>
          <cell r="CT22">
            <v>35</v>
          </cell>
          <cell r="CU22">
            <v>65</v>
          </cell>
          <cell r="CV22">
            <v>41</v>
          </cell>
          <cell r="CW22">
            <v>21</v>
          </cell>
          <cell r="CX22">
            <v>66.099999999999994</v>
          </cell>
          <cell r="CY22">
            <v>62</v>
          </cell>
          <cell r="CZ22">
            <v>12</v>
          </cell>
          <cell r="DA22">
            <v>83.8</v>
          </cell>
          <cell r="DB22">
            <v>39</v>
          </cell>
          <cell r="DC22">
            <v>24</v>
          </cell>
          <cell r="DD22">
            <v>61.9</v>
          </cell>
          <cell r="DE22">
            <v>43</v>
          </cell>
          <cell r="DF22">
            <v>38</v>
          </cell>
          <cell r="DG22">
            <v>53.1</v>
          </cell>
          <cell r="DH22">
            <v>38</v>
          </cell>
          <cell r="DI22">
            <v>54</v>
          </cell>
          <cell r="DJ22">
            <v>41.3</v>
          </cell>
          <cell r="DK22">
            <v>46</v>
          </cell>
          <cell r="DL22">
            <v>42</v>
          </cell>
          <cell r="DM22">
            <v>52.3</v>
          </cell>
          <cell r="DN22">
            <v>31</v>
          </cell>
          <cell r="DO22">
            <v>30</v>
          </cell>
          <cell r="DP22">
            <v>50.8</v>
          </cell>
          <cell r="DQ22">
            <v>33</v>
          </cell>
          <cell r="DR22">
            <v>27</v>
          </cell>
          <cell r="DS22">
            <v>55</v>
          </cell>
          <cell r="DT22">
            <v>55</v>
          </cell>
          <cell r="DU22">
            <v>55</v>
          </cell>
          <cell r="DV22" t="str">
            <v>-</v>
          </cell>
          <cell r="DW22">
            <v>55</v>
          </cell>
          <cell r="DX22">
            <v>55</v>
          </cell>
          <cell r="DY22" t="str">
            <v>-</v>
          </cell>
          <cell r="DZ22">
            <v>55</v>
          </cell>
          <cell r="EA22">
            <v>55</v>
          </cell>
          <cell r="EB22" t="str">
            <v>-</v>
          </cell>
          <cell r="EC22">
            <v>55</v>
          </cell>
          <cell r="ED22">
            <v>55</v>
          </cell>
          <cell r="EE22" t="str">
            <v>-</v>
          </cell>
          <cell r="EF22">
            <v>55</v>
          </cell>
          <cell r="EG22">
            <v>55</v>
          </cell>
          <cell r="EH22" t="str">
            <v>-</v>
          </cell>
          <cell r="EI22">
            <v>55</v>
          </cell>
          <cell r="EJ22">
            <v>55</v>
          </cell>
          <cell r="EK22" t="str">
            <v>-</v>
          </cell>
          <cell r="EL22">
            <v>55</v>
          </cell>
          <cell r="EM22">
            <v>55</v>
          </cell>
          <cell r="EN22" t="str">
            <v>-</v>
          </cell>
          <cell r="EO22">
            <v>55</v>
          </cell>
          <cell r="EP22">
            <v>55</v>
          </cell>
          <cell r="EQ22" t="str">
            <v>-</v>
          </cell>
          <cell r="ER22">
            <v>4</v>
          </cell>
          <cell r="ES22">
            <v>4</v>
          </cell>
          <cell r="ET22">
            <v>50</v>
          </cell>
          <cell r="EU22">
            <v>8</v>
          </cell>
          <cell r="EV22">
            <v>3</v>
          </cell>
          <cell r="EW22">
            <v>72.7</v>
          </cell>
          <cell r="EX22">
            <v>8</v>
          </cell>
          <cell r="EY22">
            <v>5</v>
          </cell>
          <cell r="EZ22">
            <v>61.5</v>
          </cell>
          <cell r="FA22">
            <v>4</v>
          </cell>
          <cell r="FB22">
            <v>8</v>
          </cell>
          <cell r="FC22">
            <v>33.299999999999997</v>
          </cell>
          <cell r="FD22">
            <v>4</v>
          </cell>
          <cell r="FE22">
            <v>19</v>
          </cell>
          <cell r="FF22">
            <v>17.399999999999999</v>
          </cell>
          <cell r="FG22">
            <v>6</v>
          </cell>
          <cell r="FH22">
            <v>7</v>
          </cell>
          <cell r="FI22">
            <v>46.2</v>
          </cell>
          <cell r="FJ22">
            <v>5</v>
          </cell>
          <cell r="FK22">
            <v>4</v>
          </cell>
          <cell r="FL22">
            <v>55.6</v>
          </cell>
          <cell r="FM22">
            <v>7</v>
          </cell>
          <cell r="FN22">
            <v>7</v>
          </cell>
          <cell r="FO22">
            <v>50</v>
          </cell>
          <cell r="FP22">
            <v>50</v>
          </cell>
          <cell r="FQ22">
            <v>50</v>
          </cell>
          <cell r="FR22" t="str">
            <v>-</v>
          </cell>
          <cell r="FS22">
            <v>50</v>
          </cell>
          <cell r="FT22">
            <v>50</v>
          </cell>
          <cell r="FU22" t="str">
            <v>-</v>
          </cell>
          <cell r="FV22">
            <v>50</v>
          </cell>
          <cell r="FW22">
            <v>50</v>
          </cell>
          <cell r="FX22" t="str">
            <v>-</v>
          </cell>
          <cell r="FY22">
            <v>50</v>
          </cell>
          <cell r="FZ22">
            <v>50</v>
          </cell>
          <cell r="GA22" t="str">
            <v>-</v>
          </cell>
          <cell r="GB22">
            <v>50</v>
          </cell>
          <cell r="GC22">
            <v>50</v>
          </cell>
          <cell r="GD22" t="str">
            <v>-</v>
          </cell>
          <cell r="GE22">
            <v>50</v>
          </cell>
          <cell r="GF22">
            <v>50</v>
          </cell>
          <cell r="GG22" t="str">
            <v>-</v>
          </cell>
          <cell r="GH22">
            <v>50</v>
          </cell>
          <cell r="GI22">
            <v>50</v>
          </cell>
          <cell r="GJ22" t="str">
            <v>-</v>
          </cell>
          <cell r="GK22">
            <v>50</v>
          </cell>
          <cell r="GL22">
            <v>50</v>
          </cell>
          <cell r="GM22" t="str">
            <v>-</v>
          </cell>
          <cell r="GN22">
            <v>74</v>
          </cell>
          <cell r="GO22">
            <v>14</v>
          </cell>
          <cell r="GP22">
            <v>84.1</v>
          </cell>
          <cell r="GQ22">
            <v>60</v>
          </cell>
          <cell r="GR22">
            <v>17</v>
          </cell>
          <cell r="GS22">
            <v>77.900000000000006</v>
          </cell>
          <cell r="GT22">
            <v>50</v>
          </cell>
          <cell r="GU22">
            <v>49</v>
          </cell>
          <cell r="GV22">
            <v>50.5</v>
          </cell>
          <cell r="GW22">
            <v>67</v>
          </cell>
          <cell r="GX22">
            <v>57</v>
          </cell>
          <cell r="GY22">
            <v>54</v>
          </cell>
          <cell r="GZ22">
            <v>61</v>
          </cell>
          <cell r="HA22">
            <v>40</v>
          </cell>
          <cell r="HB22">
            <v>60.4</v>
          </cell>
          <cell r="HC22">
            <v>86</v>
          </cell>
          <cell r="HD22">
            <v>44</v>
          </cell>
          <cell r="HE22">
            <v>66.2</v>
          </cell>
          <cell r="HF22">
            <v>70</v>
          </cell>
          <cell r="HG22">
            <v>40</v>
          </cell>
          <cell r="HH22">
            <v>63.6</v>
          </cell>
          <cell r="HI22">
            <v>96</v>
          </cell>
          <cell r="HJ22">
            <v>33</v>
          </cell>
          <cell r="HK22">
            <v>74.400000000000006</v>
          </cell>
          <cell r="HL22">
            <v>6</v>
          </cell>
          <cell r="HM22">
            <v>5</v>
          </cell>
          <cell r="HN22">
            <v>54.5</v>
          </cell>
          <cell r="HO22">
            <v>6</v>
          </cell>
          <cell r="HP22">
            <v>4</v>
          </cell>
          <cell r="HQ22">
            <v>60</v>
          </cell>
          <cell r="HR22">
            <v>1</v>
          </cell>
          <cell r="HS22">
            <v>8</v>
          </cell>
          <cell r="HT22">
            <v>11.1</v>
          </cell>
          <cell r="HU22">
            <v>3</v>
          </cell>
          <cell r="HV22">
            <v>1</v>
          </cell>
          <cell r="HW22">
            <v>75</v>
          </cell>
          <cell r="HX22">
            <v>1</v>
          </cell>
          <cell r="HY22">
            <v>6</v>
          </cell>
          <cell r="HZ22">
            <v>14.3</v>
          </cell>
          <cell r="IA22">
            <v>5</v>
          </cell>
          <cell r="IB22">
            <v>6</v>
          </cell>
          <cell r="IC22">
            <v>45.5</v>
          </cell>
          <cell r="ID22">
            <v>45.5</v>
          </cell>
          <cell r="IE22">
            <v>3</v>
          </cell>
          <cell r="IF22">
            <v>0</v>
          </cell>
          <cell r="IG22">
            <v>3</v>
          </cell>
          <cell r="IH22">
            <v>3</v>
          </cell>
          <cell r="II22">
            <v>50</v>
          </cell>
          <cell r="IJ22">
            <v>1</v>
          </cell>
          <cell r="IK22">
            <v>1</v>
          </cell>
          <cell r="IL22">
            <v>50</v>
          </cell>
          <cell r="IM22">
            <v>2</v>
          </cell>
          <cell r="IN22">
            <v>1</v>
          </cell>
          <cell r="IO22">
            <v>66.7</v>
          </cell>
          <cell r="IP22">
            <v>1</v>
          </cell>
          <cell r="IQ22">
            <v>2</v>
          </cell>
          <cell r="IR22">
            <v>33.299999999999997</v>
          </cell>
          <cell r="IS22">
            <v>1</v>
          </cell>
          <cell r="IT22">
            <v>1</v>
          </cell>
          <cell r="IU22">
            <v>100</v>
          </cell>
          <cell r="IV22">
            <v>1</v>
          </cell>
          <cell r="IW22">
            <v>5</v>
          </cell>
          <cell r="IX22">
            <v>16.7</v>
          </cell>
          <cell r="IY22">
            <v>1</v>
          </cell>
          <cell r="IZ22">
            <v>2</v>
          </cell>
          <cell r="JA22">
            <v>33.299999999999997</v>
          </cell>
          <cell r="JB22">
            <v>2</v>
          </cell>
          <cell r="JC22">
            <v>1</v>
          </cell>
          <cell r="JD22">
            <v>66.7</v>
          </cell>
          <cell r="JE22">
            <v>1</v>
          </cell>
          <cell r="JF22">
            <v>5</v>
          </cell>
          <cell r="JG22">
            <v>16.7</v>
          </cell>
          <cell r="JH22">
            <v>0</v>
          </cell>
          <cell r="JI22">
            <v>0</v>
          </cell>
          <cell r="JJ22" t="str">
            <v>-</v>
          </cell>
          <cell r="JK22">
            <v>0</v>
          </cell>
          <cell r="JL22">
            <v>0</v>
          </cell>
          <cell r="JM22" t="str">
            <v>-</v>
          </cell>
          <cell r="JN22">
            <v>0</v>
          </cell>
          <cell r="JO22">
            <v>0</v>
          </cell>
          <cell r="JP22" t="str">
            <v>-</v>
          </cell>
          <cell r="JQ22">
            <v>338</v>
          </cell>
          <cell r="JR22">
            <v>239</v>
          </cell>
          <cell r="JS22">
            <v>58.578856152513005</v>
          </cell>
          <cell r="JT22">
            <v>191</v>
          </cell>
          <cell r="JU22">
            <v>191</v>
          </cell>
          <cell r="JV22">
            <v>50</v>
          </cell>
          <cell r="JW22">
            <v>0</v>
          </cell>
          <cell r="JX22">
            <v>0</v>
          </cell>
          <cell r="JY22" t="str">
            <v>-</v>
          </cell>
          <cell r="JZ22">
            <v>26</v>
          </cell>
          <cell r="KA22">
            <v>45</v>
          </cell>
          <cell r="KB22">
            <v>36.619718309859159</v>
          </cell>
          <cell r="KC22">
            <v>0</v>
          </cell>
          <cell r="KD22">
            <v>0</v>
          </cell>
          <cell r="KE22" t="str">
            <v>-</v>
          </cell>
          <cell r="KF22">
            <v>380</v>
          </cell>
          <cell r="KG22">
            <v>214</v>
          </cell>
          <cell r="KH22">
            <v>63.973063973063972</v>
          </cell>
          <cell r="KI22">
            <v>12</v>
          </cell>
          <cell r="KJ22">
            <v>19</v>
          </cell>
          <cell r="KK22">
            <v>38.70967741935484</v>
          </cell>
          <cell r="KL22">
            <v>6</v>
          </cell>
          <cell r="KM22">
            <v>13</v>
          </cell>
          <cell r="KN22">
            <v>31.578947368421051</v>
          </cell>
        </row>
        <row r="23">
          <cell r="C23" t="str">
            <v>Bp XIX. kerületi Rendőrkapitányság</v>
          </cell>
          <cell r="D23">
            <v>31.578933715820312</v>
          </cell>
          <cell r="E23">
            <v>31.578933715820312</v>
          </cell>
          <cell r="F23" t="str">
            <v>-</v>
          </cell>
          <cell r="G23">
            <v>31.578933715820312</v>
          </cell>
          <cell r="H23">
            <v>31.578933715820312</v>
          </cell>
          <cell r="I23" t="str">
            <v>-</v>
          </cell>
          <cell r="J23">
            <v>31.578933715820312</v>
          </cell>
          <cell r="K23">
            <v>31.578933715820312</v>
          </cell>
          <cell r="L23" t="str">
            <v>-</v>
          </cell>
          <cell r="M23">
            <v>1</v>
          </cell>
          <cell r="N23">
            <v>1</v>
          </cell>
          <cell r="O23">
            <v>100</v>
          </cell>
          <cell r="P23">
            <v>100</v>
          </cell>
          <cell r="Q23">
            <v>100</v>
          </cell>
          <cell r="R23" t="str">
            <v>-</v>
          </cell>
          <cell r="S23">
            <v>100</v>
          </cell>
          <cell r="T23">
            <v>100</v>
          </cell>
          <cell r="U23" t="str">
            <v>-</v>
          </cell>
          <cell r="V23">
            <v>100</v>
          </cell>
          <cell r="W23">
            <v>100</v>
          </cell>
          <cell r="X23" t="str">
            <v>-</v>
          </cell>
          <cell r="Y23">
            <v>100</v>
          </cell>
          <cell r="Z23">
            <v>100</v>
          </cell>
          <cell r="AA23" t="str">
            <v>-</v>
          </cell>
          <cell r="AB23">
            <v>100</v>
          </cell>
          <cell r="AC23">
            <v>100</v>
          </cell>
          <cell r="AD23" t="str">
            <v>-</v>
          </cell>
          <cell r="AE23">
            <v>100</v>
          </cell>
          <cell r="AF23">
            <v>100</v>
          </cell>
          <cell r="AG23" t="str">
            <v>-</v>
          </cell>
          <cell r="AH23">
            <v>100</v>
          </cell>
          <cell r="AI23">
            <v>100</v>
          </cell>
          <cell r="AJ23" t="str">
            <v>-</v>
          </cell>
          <cell r="AK23">
            <v>100</v>
          </cell>
          <cell r="AL23">
            <v>100</v>
          </cell>
          <cell r="AM23" t="str">
            <v>-</v>
          </cell>
          <cell r="AN23">
            <v>100</v>
          </cell>
          <cell r="AO23">
            <v>100</v>
          </cell>
          <cell r="AP23" t="str">
            <v>-</v>
          </cell>
          <cell r="AQ23">
            <v>100</v>
          </cell>
          <cell r="AR23">
            <v>100</v>
          </cell>
          <cell r="AS23" t="str">
            <v>-</v>
          </cell>
          <cell r="AT23">
            <v>100</v>
          </cell>
          <cell r="AU23">
            <v>100</v>
          </cell>
          <cell r="AV23" t="str">
            <v>-</v>
          </cell>
          <cell r="AW23">
            <v>100</v>
          </cell>
          <cell r="AX23">
            <v>100</v>
          </cell>
          <cell r="AY23" t="str">
            <v>-</v>
          </cell>
          <cell r="AZ23">
            <v>100</v>
          </cell>
          <cell r="BA23">
            <v>100</v>
          </cell>
          <cell r="BB23" t="str">
            <v>-</v>
          </cell>
          <cell r="BC23">
            <v>100</v>
          </cell>
          <cell r="BD23">
            <v>100</v>
          </cell>
          <cell r="BE23" t="str">
            <v>-</v>
          </cell>
          <cell r="BF23">
            <v>100</v>
          </cell>
          <cell r="BG23">
            <v>100</v>
          </cell>
          <cell r="BH23" t="str">
            <v>-</v>
          </cell>
          <cell r="BI23">
            <v>1</v>
          </cell>
          <cell r="BJ23">
            <v>1</v>
          </cell>
          <cell r="BK23">
            <v>100</v>
          </cell>
          <cell r="BL23">
            <v>100</v>
          </cell>
          <cell r="BM23">
            <v>100</v>
          </cell>
          <cell r="BN23" t="str">
            <v>-</v>
          </cell>
          <cell r="BO23">
            <v>100</v>
          </cell>
          <cell r="BP23">
            <v>100</v>
          </cell>
          <cell r="BQ23" t="str">
            <v>-</v>
          </cell>
          <cell r="BR23">
            <v>100</v>
          </cell>
          <cell r="BS23">
            <v>100</v>
          </cell>
          <cell r="BT23" t="str">
            <v>-</v>
          </cell>
          <cell r="BU23">
            <v>100</v>
          </cell>
          <cell r="BV23">
            <v>100</v>
          </cell>
          <cell r="BW23" t="str">
            <v>-</v>
          </cell>
          <cell r="BX23">
            <v>68</v>
          </cell>
          <cell r="BY23">
            <v>40</v>
          </cell>
          <cell r="BZ23">
            <v>63</v>
          </cell>
          <cell r="CA23">
            <v>89</v>
          </cell>
          <cell r="CB23">
            <v>20</v>
          </cell>
          <cell r="CC23">
            <v>81.7</v>
          </cell>
          <cell r="CD23">
            <v>79</v>
          </cell>
          <cell r="CE23">
            <v>39</v>
          </cell>
          <cell r="CF23">
            <v>66.900000000000006</v>
          </cell>
          <cell r="CG23">
            <v>74</v>
          </cell>
          <cell r="CH23">
            <v>19</v>
          </cell>
          <cell r="CI23">
            <v>79.599999999999994</v>
          </cell>
          <cell r="CJ23">
            <v>39</v>
          </cell>
          <cell r="CK23">
            <v>21</v>
          </cell>
          <cell r="CL23">
            <v>65</v>
          </cell>
          <cell r="CM23">
            <v>62</v>
          </cell>
          <cell r="CN23">
            <v>27</v>
          </cell>
          <cell r="CO23">
            <v>69.7</v>
          </cell>
          <cell r="CP23">
            <v>68</v>
          </cell>
          <cell r="CQ23">
            <v>26</v>
          </cell>
          <cell r="CR23">
            <v>72.3</v>
          </cell>
          <cell r="CS23">
            <v>30</v>
          </cell>
          <cell r="CT23">
            <v>12</v>
          </cell>
          <cell r="CU23">
            <v>71.400000000000006</v>
          </cell>
          <cell r="CV23">
            <v>52</v>
          </cell>
          <cell r="CW23">
            <v>33</v>
          </cell>
          <cell r="CX23">
            <v>61.2</v>
          </cell>
          <cell r="CY23">
            <v>62</v>
          </cell>
          <cell r="CZ23">
            <v>20</v>
          </cell>
          <cell r="DA23">
            <v>75.599999999999994</v>
          </cell>
          <cell r="DB23">
            <v>53</v>
          </cell>
          <cell r="DC23">
            <v>36</v>
          </cell>
          <cell r="DD23">
            <v>59.6</v>
          </cell>
          <cell r="DE23">
            <v>47</v>
          </cell>
          <cell r="DF23">
            <v>13</v>
          </cell>
          <cell r="DG23">
            <v>78.3</v>
          </cell>
          <cell r="DH23">
            <v>20</v>
          </cell>
          <cell r="DI23">
            <v>18</v>
          </cell>
          <cell r="DJ23">
            <v>52.6</v>
          </cell>
          <cell r="DK23">
            <v>19</v>
          </cell>
          <cell r="DL23">
            <v>21</v>
          </cell>
          <cell r="DM23">
            <v>47.5</v>
          </cell>
          <cell r="DN23">
            <v>29</v>
          </cell>
          <cell r="DO23">
            <v>20</v>
          </cell>
          <cell r="DP23">
            <v>59.2</v>
          </cell>
          <cell r="DQ23">
            <v>10</v>
          </cell>
          <cell r="DR23">
            <v>4</v>
          </cell>
          <cell r="DS23">
            <v>71.400000000000006</v>
          </cell>
          <cell r="DT23">
            <v>71.39996337890625</v>
          </cell>
          <cell r="DU23">
            <v>71.39996337890625</v>
          </cell>
          <cell r="DV23" t="str">
            <v>-</v>
          </cell>
          <cell r="DW23">
            <v>71.39996337890625</v>
          </cell>
          <cell r="DX23">
            <v>71.39996337890625</v>
          </cell>
          <cell r="DY23" t="str">
            <v>-</v>
          </cell>
          <cell r="DZ23">
            <v>71.39996337890625</v>
          </cell>
          <cell r="EA23">
            <v>71.39996337890625</v>
          </cell>
          <cell r="EB23" t="str">
            <v>-</v>
          </cell>
          <cell r="EC23">
            <v>71.39996337890625</v>
          </cell>
          <cell r="ED23">
            <v>71.39996337890625</v>
          </cell>
          <cell r="EE23" t="str">
            <v>-</v>
          </cell>
          <cell r="EF23">
            <v>71.39996337890625</v>
          </cell>
          <cell r="EG23">
            <v>71.39996337890625</v>
          </cell>
          <cell r="EH23" t="str">
            <v>-</v>
          </cell>
          <cell r="EI23">
            <v>71.39996337890625</v>
          </cell>
          <cell r="EJ23">
            <v>71.39996337890625</v>
          </cell>
          <cell r="EK23" t="str">
            <v>-</v>
          </cell>
          <cell r="EL23">
            <v>71.39996337890625</v>
          </cell>
          <cell r="EM23">
            <v>71.39996337890625</v>
          </cell>
          <cell r="EN23" t="str">
            <v>-</v>
          </cell>
          <cell r="EO23">
            <v>71.39996337890625</v>
          </cell>
          <cell r="EP23">
            <v>71.39996337890625</v>
          </cell>
          <cell r="EQ23" t="str">
            <v>-</v>
          </cell>
          <cell r="ER23">
            <v>6</v>
          </cell>
          <cell r="ES23">
            <v>9</v>
          </cell>
          <cell r="ET23">
            <v>40</v>
          </cell>
          <cell r="EU23">
            <v>11</v>
          </cell>
          <cell r="EV23">
            <v>2</v>
          </cell>
          <cell r="EW23">
            <v>84.6</v>
          </cell>
          <cell r="EX23">
            <v>16</v>
          </cell>
          <cell r="EY23">
            <v>1</v>
          </cell>
          <cell r="EZ23">
            <v>94.1</v>
          </cell>
          <cell r="FA23">
            <v>8</v>
          </cell>
          <cell r="FB23">
            <v>3</v>
          </cell>
          <cell r="FC23">
            <v>72.7</v>
          </cell>
          <cell r="FD23">
            <v>1</v>
          </cell>
          <cell r="FE23">
            <v>6</v>
          </cell>
          <cell r="FF23">
            <v>14.3</v>
          </cell>
          <cell r="FG23">
            <v>6</v>
          </cell>
          <cell r="FH23">
            <v>8</v>
          </cell>
          <cell r="FI23">
            <v>42.9</v>
          </cell>
          <cell r="FJ23">
            <v>6</v>
          </cell>
          <cell r="FK23">
            <v>5</v>
          </cell>
          <cell r="FL23">
            <v>54.5</v>
          </cell>
          <cell r="FM23">
            <v>5</v>
          </cell>
          <cell r="FN23">
            <v>22</v>
          </cell>
          <cell r="FO23">
            <v>18.5</v>
          </cell>
          <cell r="FP23">
            <v>18.5</v>
          </cell>
          <cell r="FQ23">
            <v>18.5</v>
          </cell>
          <cell r="FR23" t="str">
            <v>-</v>
          </cell>
          <cell r="FS23">
            <v>18.5</v>
          </cell>
          <cell r="FT23">
            <v>18.5</v>
          </cell>
          <cell r="FU23" t="str">
            <v>-</v>
          </cell>
          <cell r="FV23">
            <v>18.5</v>
          </cell>
          <cell r="FW23">
            <v>18.5</v>
          </cell>
          <cell r="FX23" t="str">
            <v>-</v>
          </cell>
          <cell r="FY23">
            <v>18.5</v>
          </cell>
          <cell r="FZ23">
            <v>18.5</v>
          </cell>
          <cell r="GA23" t="str">
            <v>-</v>
          </cell>
          <cell r="GB23">
            <v>18.5</v>
          </cell>
          <cell r="GC23">
            <v>18.5</v>
          </cell>
          <cell r="GD23" t="str">
            <v>-</v>
          </cell>
          <cell r="GE23">
            <v>2</v>
          </cell>
          <cell r="GF23">
            <v>2</v>
          </cell>
          <cell r="GG23">
            <v>100</v>
          </cell>
          <cell r="GH23">
            <v>100</v>
          </cell>
          <cell r="GI23">
            <v>100</v>
          </cell>
          <cell r="GJ23" t="str">
            <v>-</v>
          </cell>
          <cell r="GK23">
            <v>100</v>
          </cell>
          <cell r="GL23">
            <v>100</v>
          </cell>
          <cell r="GM23" t="str">
            <v>-</v>
          </cell>
          <cell r="GN23">
            <v>46</v>
          </cell>
          <cell r="GO23">
            <v>10</v>
          </cell>
          <cell r="GP23">
            <v>82.1</v>
          </cell>
          <cell r="GQ23">
            <v>65</v>
          </cell>
          <cell r="GR23">
            <v>20</v>
          </cell>
          <cell r="GS23">
            <v>76.5</v>
          </cell>
          <cell r="GT23">
            <v>65</v>
          </cell>
          <cell r="GU23">
            <v>29</v>
          </cell>
          <cell r="GV23">
            <v>69.099999999999994</v>
          </cell>
          <cell r="GW23">
            <v>78</v>
          </cell>
          <cell r="GX23">
            <v>25</v>
          </cell>
          <cell r="GY23">
            <v>75.7</v>
          </cell>
          <cell r="GZ23">
            <v>50</v>
          </cell>
          <cell r="HA23">
            <v>43</v>
          </cell>
          <cell r="HB23">
            <v>53.8</v>
          </cell>
          <cell r="HC23">
            <v>100</v>
          </cell>
          <cell r="HD23">
            <v>22</v>
          </cell>
          <cell r="HE23">
            <v>82</v>
          </cell>
          <cell r="HF23">
            <v>90</v>
          </cell>
          <cell r="HG23">
            <v>28</v>
          </cell>
          <cell r="HH23">
            <v>76.3</v>
          </cell>
          <cell r="HI23">
            <v>68</v>
          </cell>
          <cell r="HJ23">
            <v>27</v>
          </cell>
          <cell r="HK23">
            <v>71.599999999999994</v>
          </cell>
          <cell r="HL23">
            <v>4</v>
          </cell>
          <cell r="HM23">
            <v>5</v>
          </cell>
          <cell r="HN23">
            <v>44.4</v>
          </cell>
          <cell r="HO23">
            <v>7</v>
          </cell>
          <cell r="HP23">
            <v>5</v>
          </cell>
          <cell r="HQ23">
            <v>58.3</v>
          </cell>
          <cell r="HR23">
            <v>4</v>
          </cell>
          <cell r="HS23">
            <v>9</v>
          </cell>
          <cell r="HT23">
            <v>30.8</v>
          </cell>
          <cell r="HU23">
            <v>5</v>
          </cell>
          <cell r="HV23">
            <v>1</v>
          </cell>
          <cell r="HW23">
            <v>83.3</v>
          </cell>
          <cell r="HX23">
            <v>6</v>
          </cell>
          <cell r="HY23">
            <v>1</v>
          </cell>
          <cell r="HZ23">
            <v>85.7</v>
          </cell>
          <cell r="IA23">
            <v>2</v>
          </cell>
          <cell r="IB23">
            <v>2</v>
          </cell>
          <cell r="IC23">
            <v>50</v>
          </cell>
          <cell r="ID23">
            <v>4</v>
          </cell>
          <cell r="IE23">
            <v>1</v>
          </cell>
          <cell r="IF23">
            <v>80</v>
          </cell>
          <cell r="IG23">
            <v>1</v>
          </cell>
          <cell r="IH23">
            <v>3</v>
          </cell>
          <cell r="II23">
            <v>25</v>
          </cell>
          <cell r="IJ23">
            <v>1</v>
          </cell>
          <cell r="IK23">
            <v>2</v>
          </cell>
          <cell r="IL23">
            <v>33.299999999999997</v>
          </cell>
          <cell r="IM23">
            <v>1</v>
          </cell>
          <cell r="IN23">
            <v>1</v>
          </cell>
          <cell r="IO23">
            <v>100</v>
          </cell>
          <cell r="IP23">
            <v>100</v>
          </cell>
          <cell r="IQ23">
            <v>100</v>
          </cell>
          <cell r="IR23" t="str">
            <v>-</v>
          </cell>
          <cell r="IS23">
            <v>2</v>
          </cell>
          <cell r="IT23">
            <v>2</v>
          </cell>
          <cell r="IU23">
            <v>100</v>
          </cell>
          <cell r="IV23">
            <v>1</v>
          </cell>
          <cell r="IW23">
            <v>1</v>
          </cell>
          <cell r="IX23">
            <v>100</v>
          </cell>
          <cell r="IY23">
            <v>3</v>
          </cell>
          <cell r="IZ23">
            <v>1</v>
          </cell>
          <cell r="JA23">
            <v>75</v>
          </cell>
          <cell r="JB23">
            <v>75</v>
          </cell>
          <cell r="JC23">
            <v>1</v>
          </cell>
          <cell r="JD23">
            <v>0</v>
          </cell>
          <cell r="JE23">
            <v>2</v>
          </cell>
          <cell r="JF23">
            <v>1</v>
          </cell>
          <cell r="JG23">
            <v>66.7</v>
          </cell>
          <cell r="JH23">
            <v>1</v>
          </cell>
          <cell r="JI23">
            <v>0</v>
          </cell>
          <cell r="JJ23">
            <v>100</v>
          </cell>
          <cell r="JK23">
            <v>0</v>
          </cell>
          <cell r="JL23">
            <v>0</v>
          </cell>
          <cell r="JM23" t="str">
            <v>-</v>
          </cell>
          <cell r="JN23">
            <v>1</v>
          </cell>
          <cell r="JO23">
            <v>0</v>
          </cell>
          <cell r="JP23">
            <v>100</v>
          </cell>
          <cell r="JQ23">
            <v>273</v>
          </cell>
          <cell r="JR23">
            <v>105</v>
          </cell>
          <cell r="JS23">
            <v>72.222222222222214</v>
          </cell>
          <cell r="JT23">
            <v>125</v>
          </cell>
          <cell r="JU23">
            <v>76</v>
          </cell>
          <cell r="JV23">
            <v>62.189054726368155</v>
          </cell>
          <cell r="JW23">
            <v>0</v>
          </cell>
          <cell r="JX23">
            <v>0</v>
          </cell>
          <cell r="JY23" t="str">
            <v>-</v>
          </cell>
          <cell r="JZ23">
            <v>26</v>
          </cell>
          <cell r="KA23">
            <v>44</v>
          </cell>
          <cell r="KB23">
            <v>37.142857142857146</v>
          </cell>
          <cell r="KC23">
            <v>2</v>
          </cell>
          <cell r="KD23">
            <v>0</v>
          </cell>
          <cell r="KE23">
            <v>100</v>
          </cell>
          <cell r="KF23">
            <v>386</v>
          </cell>
          <cell r="KG23">
            <v>145</v>
          </cell>
          <cell r="KH23">
            <v>72.69303201506591</v>
          </cell>
          <cell r="KI23">
            <v>18</v>
          </cell>
          <cell r="KJ23">
            <v>8</v>
          </cell>
          <cell r="KK23">
            <v>69.230769230769226</v>
          </cell>
          <cell r="KL23">
            <v>8</v>
          </cell>
          <cell r="KM23">
            <v>3</v>
          </cell>
          <cell r="KN23">
            <v>72.727272727272734</v>
          </cell>
        </row>
        <row r="24">
          <cell r="C24" t="str">
            <v>Bp XX-XXIII. kerületi Rendőrkapitányság</v>
          </cell>
          <cell r="D24">
            <v>72.72723388671875</v>
          </cell>
          <cell r="E24">
            <v>72.72723388671875</v>
          </cell>
          <cell r="F24" t="str">
            <v>-</v>
          </cell>
          <cell r="G24">
            <v>72.72723388671875</v>
          </cell>
          <cell r="H24">
            <v>72.72723388671875</v>
          </cell>
          <cell r="I24" t="str">
            <v>-</v>
          </cell>
          <cell r="J24">
            <v>72.72723388671875</v>
          </cell>
          <cell r="K24">
            <v>72.72723388671875</v>
          </cell>
          <cell r="L24" t="str">
            <v>-</v>
          </cell>
          <cell r="M24">
            <v>72.72723388671875</v>
          </cell>
          <cell r="N24">
            <v>72.72723388671875</v>
          </cell>
          <cell r="O24" t="str">
            <v>-</v>
          </cell>
          <cell r="P24">
            <v>72.72723388671875</v>
          </cell>
          <cell r="Q24">
            <v>72.72723388671875</v>
          </cell>
          <cell r="R24" t="str">
            <v>-</v>
          </cell>
          <cell r="S24">
            <v>72.72723388671875</v>
          </cell>
          <cell r="T24">
            <v>72.72723388671875</v>
          </cell>
          <cell r="U24" t="str">
            <v>-</v>
          </cell>
          <cell r="V24">
            <v>72.72723388671875</v>
          </cell>
          <cell r="W24">
            <v>72.72723388671875</v>
          </cell>
          <cell r="X24" t="str">
            <v>-</v>
          </cell>
          <cell r="Y24">
            <v>72.72723388671875</v>
          </cell>
          <cell r="Z24">
            <v>72.72723388671875</v>
          </cell>
          <cell r="AA24" t="str">
            <v>-</v>
          </cell>
          <cell r="AB24">
            <v>72.72723388671875</v>
          </cell>
          <cell r="AC24">
            <v>72.72723388671875</v>
          </cell>
          <cell r="AD24" t="str">
            <v>-</v>
          </cell>
          <cell r="AE24">
            <v>72.72723388671875</v>
          </cell>
          <cell r="AF24">
            <v>72.72723388671875</v>
          </cell>
          <cell r="AG24" t="str">
            <v>-</v>
          </cell>
          <cell r="AH24">
            <v>72.72723388671875</v>
          </cell>
          <cell r="AI24">
            <v>72.72723388671875</v>
          </cell>
          <cell r="AJ24" t="str">
            <v>-</v>
          </cell>
          <cell r="AK24">
            <v>72.72723388671875</v>
          </cell>
          <cell r="AL24">
            <v>72.72723388671875</v>
          </cell>
          <cell r="AM24" t="str">
            <v>-</v>
          </cell>
          <cell r="AN24">
            <v>72.72723388671875</v>
          </cell>
          <cell r="AO24">
            <v>72.72723388671875</v>
          </cell>
          <cell r="AP24" t="str">
            <v>-</v>
          </cell>
          <cell r="AQ24">
            <v>72.72723388671875</v>
          </cell>
          <cell r="AR24">
            <v>72.72723388671875</v>
          </cell>
          <cell r="AS24" t="str">
            <v>-</v>
          </cell>
          <cell r="AT24">
            <v>72.72723388671875</v>
          </cell>
          <cell r="AU24">
            <v>72.72723388671875</v>
          </cell>
          <cell r="AV24" t="str">
            <v>-</v>
          </cell>
          <cell r="AW24">
            <v>72.72723388671875</v>
          </cell>
          <cell r="AX24">
            <v>72.72723388671875</v>
          </cell>
          <cell r="AY24" t="str">
            <v>-</v>
          </cell>
          <cell r="AZ24">
            <v>72.72723388671875</v>
          </cell>
          <cell r="BA24">
            <v>72.72723388671875</v>
          </cell>
          <cell r="BB24" t="str">
            <v>-</v>
          </cell>
          <cell r="BC24">
            <v>72.72723388671875</v>
          </cell>
          <cell r="BD24">
            <v>72.72723388671875</v>
          </cell>
          <cell r="BE24" t="str">
            <v>-</v>
          </cell>
          <cell r="BF24">
            <v>72.72723388671875</v>
          </cell>
          <cell r="BG24">
            <v>72.72723388671875</v>
          </cell>
          <cell r="BH24" t="str">
            <v>-</v>
          </cell>
          <cell r="BI24">
            <v>72.72723388671875</v>
          </cell>
          <cell r="BJ24">
            <v>72.72723388671875</v>
          </cell>
          <cell r="BK24" t="str">
            <v>-</v>
          </cell>
          <cell r="BL24">
            <v>72.72723388671875</v>
          </cell>
          <cell r="BM24">
            <v>72.72723388671875</v>
          </cell>
          <cell r="BN24" t="str">
            <v>-</v>
          </cell>
          <cell r="BO24">
            <v>72.72723388671875</v>
          </cell>
          <cell r="BP24">
            <v>72.72723388671875</v>
          </cell>
          <cell r="BQ24" t="str">
            <v>-</v>
          </cell>
          <cell r="BR24">
            <v>72.72723388671875</v>
          </cell>
          <cell r="BS24">
            <v>72.72723388671875</v>
          </cell>
          <cell r="BT24" t="str">
            <v>-</v>
          </cell>
          <cell r="BU24">
            <v>72.72723388671875</v>
          </cell>
          <cell r="BV24">
            <v>72.72723388671875</v>
          </cell>
          <cell r="BW24" t="str">
            <v>-</v>
          </cell>
          <cell r="BX24">
            <v>51</v>
          </cell>
          <cell r="BY24">
            <v>22</v>
          </cell>
          <cell r="BZ24">
            <v>69.900000000000006</v>
          </cell>
          <cell r="CA24">
            <v>50</v>
          </cell>
          <cell r="CB24">
            <v>19</v>
          </cell>
          <cell r="CC24">
            <v>72.5</v>
          </cell>
          <cell r="CD24">
            <v>37</v>
          </cell>
          <cell r="CE24">
            <v>24</v>
          </cell>
          <cell r="CF24">
            <v>60.7</v>
          </cell>
          <cell r="CG24">
            <v>42</v>
          </cell>
          <cell r="CH24">
            <v>27</v>
          </cell>
          <cell r="CI24">
            <v>60.9</v>
          </cell>
          <cell r="CJ24">
            <v>32</v>
          </cell>
          <cell r="CK24">
            <v>23</v>
          </cell>
          <cell r="CL24">
            <v>58.2</v>
          </cell>
          <cell r="CM24">
            <v>39</v>
          </cell>
          <cell r="CN24">
            <v>32</v>
          </cell>
          <cell r="CO24">
            <v>54.9</v>
          </cell>
          <cell r="CP24">
            <v>36</v>
          </cell>
          <cell r="CQ24">
            <v>24</v>
          </cell>
          <cell r="CR24">
            <v>60</v>
          </cell>
          <cell r="CS24">
            <v>55</v>
          </cell>
          <cell r="CT24">
            <v>24</v>
          </cell>
          <cell r="CU24">
            <v>69.599999999999994</v>
          </cell>
          <cell r="CV24">
            <v>32</v>
          </cell>
          <cell r="CW24">
            <v>20</v>
          </cell>
          <cell r="CX24">
            <v>61.5</v>
          </cell>
          <cell r="CY24">
            <v>27</v>
          </cell>
          <cell r="CZ24">
            <v>15</v>
          </cell>
          <cell r="DA24">
            <v>64.3</v>
          </cell>
          <cell r="DB24">
            <v>19</v>
          </cell>
          <cell r="DC24">
            <v>23</v>
          </cell>
          <cell r="DD24">
            <v>45.2</v>
          </cell>
          <cell r="DE24">
            <v>18</v>
          </cell>
          <cell r="DF24">
            <v>21</v>
          </cell>
          <cell r="DG24">
            <v>46.2</v>
          </cell>
          <cell r="DH24">
            <v>18</v>
          </cell>
          <cell r="DI24">
            <v>17</v>
          </cell>
          <cell r="DJ24">
            <v>51.4</v>
          </cell>
          <cell r="DK24">
            <v>26</v>
          </cell>
          <cell r="DL24">
            <v>28</v>
          </cell>
          <cell r="DM24">
            <v>48.1</v>
          </cell>
          <cell r="DN24">
            <v>17</v>
          </cell>
          <cell r="DO24">
            <v>21</v>
          </cell>
          <cell r="DP24">
            <v>44.7</v>
          </cell>
          <cell r="DQ24">
            <v>26</v>
          </cell>
          <cell r="DR24">
            <v>21</v>
          </cell>
          <cell r="DS24">
            <v>55.3</v>
          </cell>
          <cell r="DT24">
            <v>55.29998779296875</v>
          </cell>
          <cell r="DU24">
            <v>55.29998779296875</v>
          </cell>
          <cell r="DV24" t="str">
            <v>-</v>
          </cell>
          <cell r="DW24">
            <v>55.29998779296875</v>
          </cell>
          <cell r="DX24">
            <v>55.29998779296875</v>
          </cell>
          <cell r="DY24" t="str">
            <v>-</v>
          </cell>
          <cell r="DZ24">
            <v>55.29998779296875</v>
          </cell>
          <cell r="EA24">
            <v>55.29998779296875</v>
          </cell>
          <cell r="EB24" t="str">
            <v>-</v>
          </cell>
          <cell r="EC24">
            <v>55.29998779296875</v>
          </cell>
          <cell r="ED24">
            <v>55.29998779296875</v>
          </cell>
          <cell r="EE24" t="str">
            <v>-</v>
          </cell>
          <cell r="EF24">
            <v>55.29998779296875</v>
          </cell>
          <cell r="EG24">
            <v>55.29998779296875</v>
          </cell>
          <cell r="EH24" t="str">
            <v>-</v>
          </cell>
          <cell r="EI24">
            <v>55.29998779296875</v>
          </cell>
          <cell r="EJ24">
            <v>55.29998779296875</v>
          </cell>
          <cell r="EK24" t="str">
            <v>-</v>
          </cell>
          <cell r="EL24">
            <v>55.29998779296875</v>
          </cell>
          <cell r="EM24">
            <v>55.29998779296875</v>
          </cell>
          <cell r="EN24" t="str">
            <v>-</v>
          </cell>
          <cell r="EO24">
            <v>55.29998779296875</v>
          </cell>
          <cell r="EP24">
            <v>55.29998779296875</v>
          </cell>
          <cell r="EQ24" t="str">
            <v>-</v>
          </cell>
          <cell r="ER24">
            <v>4</v>
          </cell>
          <cell r="ES24">
            <v>9</v>
          </cell>
          <cell r="ET24">
            <v>30.8</v>
          </cell>
          <cell r="EU24">
            <v>13</v>
          </cell>
          <cell r="EV24">
            <v>4</v>
          </cell>
          <cell r="EW24">
            <v>76.5</v>
          </cell>
          <cell r="EX24">
            <v>6</v>
          </cell>
          <cell r="EY24">
            <v>7</v>
          </cell>
          <cell r="EZ24">
            <v>46.2</v>
          </cell>
          <cell r="FA24">
            <v>6</v>
          </cell>
          <cell r="FB24">
            <v>7</v>
          </cell>
          <cell r="FC24">
            <v>46.2</v>
          </cell>
          <cell r="FD24">
            <v>13</v>
          </cell>
          <cell r="FE24">
            <v>6</v>
          </cell>
          <cell r="FF24">
            <v>68.400000000000006</v>
          </cell>
          <cell r="FG24">
            <v>16</v>
          </cell>
          <cell r="FH24">
            <v>7</v>
          </cell>
          <cell r="FI24">
            <v>69.599999999999994</v>
          </cell>
          <cell r="FJ24">
            <v>20</v>
          </cell>
          <cell r="FK24">
            <v>13</v>
          </cell>
          <cell r="FL24">
            <v>60.6</v>
          </cell>
          <cell r="FM24">
            <v>9</v>
          </cell>
          <cell r="FN24">
            <v>8</v>
          </cell>
          <cell r="FO24">
            <v>52.9</v>
          </cell>
          <cell r="FP24">
            <v>52.899993896484375</v>
          </cell>
          <cell r="FQ24">
            <v>52.899993896484375</v>
          </cell>
          <cell r="FR24" t="str">
            <v>-</v>
          </cell>
          <cell r="FS24">
            <v>52.899993896484375</v>
          </cell>
          <cell r="FT24">
            <v>52.899993896484375</v>
          </cell>
          <cell r="FU24" t="str">
            <v>-</v>
          </cell>
          <cell r="FV24">
            <v>52.899993896484375</v>
          </cell>
          <cell r="FW24">
            <v>52.899993896484375</v>
          </cell>
          <cell r="FX24" t="str">
            <v>-</v>
          </cell>
          <cell r="FY24">
            <v>52.899993896484375</v>
          </cell>
          <cell r="FZ24">
            <v>52.899993896484375</v>
          </cell>
          <cell r="GA24" t="str">
            <v>-</v>
          </cell>
          <cell r="GB24">
            <v>52.899993896484375</v>
          </cell>
          <cell r="GC24">
            <v>52.899993896484375</v>
          </cell>
          <cell r="GD24" t="str">
            <v>-</v>
          </cell>
          <cell r="GE24">
            <v>2</v>
          </cell>
          <cell r="GF24">
            <v>2</v>
          </cell>
          <cell r="GG24">
            <v>100</v>
          </cell>
          <cell r="GH24">
            <v>2</v>
          </cell>
          <cell r="GI24">
            <v>2</v>
          </cell>
          <cell r="GJ24">
            <v>100</v>
          </cell>
          <cell r="GK24">
            <v>100</v>
          </cell>
          <cell r="GL24">
            <v>100</v>
          </cell>
          <cell r="GM24" t="str">
            <v>-</v>
          </cell>
          <cell r="GN24">
            <v>48</v>
          </cell>
          <cell r="GO24">
            <v>16</v>
          </cell>
          <cell r="GP24">
            <v>75</v>
          </cell>
          <cell r="GQ24">
            <v>43</v>
          </cell>
          <cell r="GR24">
            <v>32</v>
          </cell>
          <cell r="GS24">
            <v>57.3</v>
          </cell>
          <cell r="GT24">
            <v>37</v>
          </cell>
          <cell r="GU24">
            <v>52</v>
          </cell>
          <cell r="GV24">
            <v>41.6</v>
          </cell>
          <cell r="GW24">
            <v>56</v>
          </cell>
          <cell r="GX24">
            <v>54</v>
          </cell>
          <cell r="GY24">
            <v>50.9</v>
          </cell>
          <cell r="GZ24">
            <v>60</v>
          </cell>
          <cell r="HA24">
            <v>52</v>
          </cell>
          <cell r="HB24">
            <v>53.6</v>
          </cell>
          <cell r="HC24">
            <v>46</v>
          </cell>
          <cell r="HD24">
            <v>43</v>
          </cell>
          <cell r="HE24">
            <v>51.7</v>
          </cell>
          <cell r="HF24">
            <v>40</v>
          </cell>
          <cell r="HG24">
            <v>27</v>
          </cell>
          <cell r="HH24">
            <v>59.7</v>
          </cell>
          <cell r="HI24">
            <v>57</v>
          </cell>
          <cell r="HJ24">
            <v>22</v>
          </cell>
          <cell r="HK24">
            <v>72.2</v>
          </cell>
          <cell r="HL24">
            <v>72.199951171875</v>
          </cell>
          <cell r="HM24">
            <v>6</v>
          </cell>
          <cell r="HN24">
            <v>0</v>
          </cell>
          <cell r="HO24">
            <v>2</v>
          </cell>
          <cell r="HP24">
            <v>1</v>
          </cell>
          <cell r="HQ24">
            <v>66.7</v>
          </cell>
          <cell r="HR24">
            <v>4</v>
          </cell>
          <cell r="HS24">
            <v>3</v>
          </cell>
          <cell r="HT24">
            <v>57.1</v>
          </cell>
          <cell r="HU24">
            <v>5</v>
          </cell>
          <cell r="HV24">
            <v>8</v>
          </cell>
          <cell r="HW24">
            <v>38.5</v>
          </cell>
          <cell r="HX24">
            <v>4</v>
          </cell>
          <cell r="HY24">
            <v>5</v>
          </cell>
          <cell r="HZ24">
            <v>44.4</v>
          </cell>
          <cell r="IA24">
            <v>2</v>
          </cell>
          <cell r="IB24">
            <v>1</v>
          </cell>
          <cell r="IC24">
            <v>66.7</v>
          </cell>
          <cell r="ID24">
            <v>4</v>
          </cell>
          <cell r="IE24">
            <v>2</v>
          </cell>
          <cell r="IF24">
            <v>66.7</v>
          </cell>
          <cell r="IG24">
            <v>2</v>
          </cell>
          <cell r="IH24">
            <v>2</v>
          </cell>
          <cell r="II24">
            <v>100</v>
          </cell>
          <cell r="IJ24">
            <v>1</v>
          </cell>
          <cell r="IK24">
            <v>3</v>
          </cell>
          <cell r="IL24">
            <v>25</v>
          </cell>
          <cell r="IM24">
            <v>1</v>
          </cell>
          <cell r="IN24">
            <v>1</v>
          </cell>
          <cell r="IO24">
            <v>100</v>
          </cell>
          <cell r="IP24">
            <v>2</v>
          </cell>
          <cell r="IQ24">
            <v>1</v>
          </cell>
          <cell r="IR24">
            <v>66.7</v>
          </cell>
          <cell r="IS24">
            <v>1</v>
          </cell>
          <cell r="IT24">
            <v>1</v>
          </cell>
          <cell r="IU24">
            <v>100</v>
          </cell>
          <cell r="IV24">
            <v>2</v>
          </cell>
          <cell r="IW24">
            <v>1</v>
          </cell>
          <cell r="IX24">
            <v>66.7</v>
          </cell>
          <cell r="IY24">
            <v>1</v>
          </cell>
          <cell r="IZ24">
            <v>1</v>
          </cell>
          <cell r="JA24">
            <v>50</v>
          </cell>
          <cell r="JB24">
            <v>1</v>
          </cell>
          <cell r="JC24">
            <v>2</v>
          </cell>
          <cell r="JD24">
            <v>33.299999999999997</v>
          </cell>
          <cell r="JE24">
            <v>2</v>
          </cell>
          <cell r="JF24">
            <v>2</v>
          </cell>
          <cell r="JG24">
            <v>100</v>
          </cell>
          <cell r="JH24">
            <v>0</v>
          </cell>
          <cell r="JI24">
            <v>0</v>
          </cell>
          <cell r="JJ24" t="str">
            <v>-</v>
          </cell>
          <cell r="JK24">
            <v>0</v>
          </cell>
          <cell r="JL24">
            <v>0</v>
          </cell>
          <cell r="JM24" t="str">
            <v>-</v>
          </cell>
          <cell r="JN24">
            <v>0</v>
          </cell>
          <cell r="JO24">
            <v>0</v>
          </cell>
          <cell r="JP24" t="str">
            <v>-</v>
          </cell>
          <cell r="JQ24">
            <v>204</v>
          </cell>
          <cell r="JR24">
            <v>130</v>
          </cell>
          <cell r="JS24">
            <v>61.077844311377248</v>
          </cell>
          <cell r="JT24">
            <v>105</v>
          </cell>
          <cell r="JU24">
            <v>108</v>
          </cell>
          <cell r="JV24">
            <v>49.295774647887328</v>
          </cell>
          <cell r="JW24">
            <v>0</v>
          </cell>
          <cell r="JX24">
            <v>0</v>
          </cell>
          <cell r="JY24" t="str">
            <v>-</v>
          </cell>
          <cell r="JZ24">
            <v>64</v>
          </cell>
          <cell r="KA24">
            <v>41</v>
          </cell>
          <cell r="KB24">
            <v>60.952380952380956</v>
          </cell>
          <cell r="KC24">
            <v>4</v>
          </cell>
          <cell r="KD24">
            <v>0</v>
          </cell>
          <cell r="KE24">
            <v>100</v>
          </cell>
          <cell r="KF24">
            <v>259</v>
          </cell>
          <cell r="KG24">
            <v>198</v>
          </cell>
          <cell r="KH24">
            <v>56.673960612691467</v>
          </cell>
          <cell r="KI24">
            <v>17</v>
          </cell>
          <cell r="KJ24">
            <v>16</v>
          </cell>
          <cell r="KK24">
            <v>51.515151515151516</v>
          </cell>
          <cell r="KL24">
            <v>7</v>
          </cell>
          <cell r="KM24">
            <v>4</v>
          </cell>
          <cell r="KN24">
            <v>63.636363636363633</v>
          </cell>
        </row>
        <row r="25">
          <cell r="C25" t="str">
            <v>Bp XXI. kerületi Rendőrkapitányság</v>
          </cell>
          <cell r="D25">
            <v>63.6363525390625</v>
          </cell>
          <cell r="E25">
            <v>63.6363525390625</v>
          </cell>
          <cell r="F25" t="str">
            <v>-</v>
          </cell>
          <cell r="G25">
            <v>63.6363525390625</v>
          </cell>
          <cell r="H25">
            <v>63.6363525390625</v>
          </cell>
          <cell r="I25" t="str">
            <v>-</v>
          </cell>
          <cell r="J25">
            <v>63.6363525390625</v>
          </cell>
          <cell r="K25">
            <v>63.6363525390625</v>
          </cell>
          <cell r="L25" t="str">
            <v>-</v>
          </cell>
          <cell r="M25">
            <v>63.6363525390625</v>
          </cell>
          <cell r="N25">
            <v>63.6363525390625</v>
          </cell>
          <cell r="O25" t="str">
            <v>-</v>
          </cell>
          <cell r="P25">
            <v>63.6363525390625</v>
          </cell>
          <cell r="Q25">
            <v>63.6363525390625</v>
          </cell>
          <cell r="R25" t="str">
            <v>-</v>
          </cell>
          <cell r="S25">
            <v>2</v>
          </cell>
          <cell r="T25">
            <v>2</v>
          </cell>
          <cell r="U25">
            <v>100</v>
          </cell>
          <cell r="V25">
            <v>100</v>
          </cell>
          <cell r="W25">
            <v>100</v>
          </cell>
          <cell r="X25" t="str">
            <v>-</v>
          </cell>
          <cell r="Y25">
            <v>100</v>
          </cell>
          <cell r="Z25">
            <v>100</v>
          </cell>
          <cell r="AA25" t="str">
            <v>-</v>
          </cell>
          <cell r="AB25">
            <v>100</v>
          </cell>
          <cell r="AC25">
            <v>100</v>
          </cell>
          <cell r="AD25" t="str">
            <v>-</v>
          </cell>
          <cell r="AE25">
            <v>100</v>
          </cell>
          <cell r="AF25">
            <v>100</v>
          </cell>
          <cell r="AG25" t="str">
            <v>-</v>
          </cell>
          <cell r="AH25">
            <v>100</v>
          </cell>
          <cell r="AI25">
            <v>100</v>
          </cell>
          <cell r="AJ25" t="str">
            <v>-</v>
          </cell>
          <cell r="AK25">
            <v>100</v>
          </cell>
          <cell r="AL25">
            <v>100</v>
          </cell>
          <cell r="AM25" t="str">
            <v>-</v>
          </cell>
          <cell r="AN25">
            <v>100</v>
          </cell>
          <cell r="AO25">
            <v>100</v>
          </cell>
          <cell r="AP25" t="str">
            <v>-</v>
          </cell>
          <cell r="AQ25">
            <v>100</v>
          </cell>
          <cell r="AR25">
            <v>100</v>
          </cell>
          <cell r="AS25" t="str">
            <v>-</v>
          </cell>
          <cell r="AT25">
            <v>100</v>
          </cell>
          <cell r="AU25">
            <v>100</v>
          </cell>
          <cell r="AV25" t="str">
            <v>-</v>
          </cell>
          <cell r="AW25">
            <v>100</v>
          </cell>
          <cell r="AX25">
            <v>100</v>
          </cell>
          <cell r="AY25" t="str">
            <v>-</v>
          </cell>
          <cell r="AZ25">
            <v>100</v>
          </cell>
          <cell r="BA25">
            <v>100</v>
          </cell>
          <cell r="BB25" t="str">
            <v>-</v>
          </cell>
          <cell r="BC25">
            <v>100</v>
          </cell>
          <cell r="BD25">
            <v>100</v>
          </cell>
          <cell r="BE25" t="str">
            <v>-</v>
          </cell>
          <cell r="BF25">
            <v>100</v>
          </cell>
          <cell r="BG25">
            <v>100</v>
          </cell>
          <cell r="BH25" t="str">
            <v>-</v>
          </cell>
          <cell r="BI25">
            <v>100</v>
          </cell>
          <cell r="BJ25">
            <v>100</v>
          </cell>
          <cell r="BK25" t="str">
            <v>-</v>
          </cell>
          <cell r="BL25">
            <v>100</v>
          </cell>
          <cell r="BM25">
            <v>100</v>
          </cell>
          <cell r="BN25" t="str">
            <v>-</v>
          </cell>
          <cell r="BO25">
            <v>2</v>
          </cell>
          <cell r="BP25">
            <v>2</v>
          </cell>
          <cell r="BQ25">
            <v>100</v>
          </cell>
          <cell r="BR25">
            <v>100</v>
          </cell>
          <cell r="BS25">
            <v>100</v>
          </cell>
          <cell r="BT25" t="str">
            <v>-</v>
          </cell>
          <cell r="BU25">
            <v>100</v>
          </cell>
          <cell r="BV25">
            <v>100</v>
          </cell>
          <cell r="BW25" t="str">
            <v>-</v>
          </cell>
          <cell r="BX25">
            <v>67</v>
          </cell>
          <cell r="BY25">
            <v>21</v>
          </cell>
          <cell r="BZ25">
            <v>76.099999999999994</v>
          </cell>
          <cell r="CA25">
            <v>47</v>
          </cell>
          <cell r="CB25">
            <v>8</v>
          </cell>
          <cell r="CC25">
            <v>85.5</v>
          </cell>
          <cell r="CD25">
            <v>38</v>
          </cell>
          <cell r="CE25">
            <v>31</v>
          </cell>
          <cell r="CF25">
            <v>55.1</v>
          </cell>
          <cell r="CG25">
            <v>53</v>
          </cell>
          <cell r="CH25">
            <v>18</v>
          </cell>
          <cell r="CI25">
            <v>74.599999999999994</v>
          </cell>
          <cell r="CJ25">
            <v>54</v>
          </cell>
          <cell r="CK25">
            <v>26</v>
          </cell>
          <cell r="CL25">
            <v>67.5</v>
          </cell>
          <cell r="CM25">
            <v>46</v>
          </cell>
          <cell r="CN25">
            <v>18</v>
          </cell>
          <cell r="CO25">
            <v>71.900000000000006</v>
          </cell>
          <cell r="CP25">
            <v>59</v>
          </cell>
          <cell r="CQ25">
            <v>29</v>
          </cell>
          <cell r="CR25">
            <v>67</v>
          </cell>
          <cell r="CS25">
            <v>57</v>
          </cell>
          <cell r="CT25">
            <v>32</v>
          </cell>
          <cell r="CU25">
            <v>64</v>
          </cell>
          <cell r="CV25">
            <v>45</v>
          </cell>
          <cell r="CW25">
            <v>17</v>
          </cell>
          <cell r="CX25">
            <v>72.599999999999994</v>
          </cell>
          <cell r="CY25">
            <v>32</v>
          </cell>
          <cell r="CZ25">
            <v>8</v>
          </cell>
          <cell r="DA25">
            <v>80</v>
          </cell>
          <cell r="DB25">
            <v>24</v>
          </cell>
          <cell r="DC25">
            <v>28</v>
          </cell>
          <cell r="DD25">
            <v>46.2</v>
          </cell>
          <cell r="DE25">
            <v>36</v>
          </cell>
          <cell r="DF25">
            <v>18</v>
          </cell>
          <cell r="DG25">
            <v>66.7</v>
          </cell>
          <cell r="DH25">
            <v>27</v>
          </cell>
          <cell r="DI25">
            <v>23</v>
          </cell>
          <cell r="DJ25">
            <v>54</v>
          </cell>
          <cell r="DK25">
            <v>18</v>
          </cell>
          <cell r="DL25">
            <v>17</v>
          </cell>
          <cell r="DM25">
            <v>51.4</v>
          </cell>
          <cell r="DN25">
            <v>23</v>
          </cell>
          <cell r="DO25">
            <v>20</v>
          </cell>
          <cell r="DP25">
            <v>53.5</v>
          </cell>
          <cell r="DQ25">
            <v>21</v>
          </cell>
          <cell r="DR25">
            <v>26</v>
          </cell>
          <cell r="DS25">
            <v>44.7</v>
          </cell>
          <cell r="DT25">
            <v>44.699981689453125</v>
          </cell>
          <cell r="DU25">
            <v>44.699981689453125</v>
          </cell>
          <cell r="DV25" t="str">
            <v>-</v>
          </cell>
          <cell r="DW25">
            <v>44.699981689453125</v>
          </cell>
          <cell r="DX25">
            <v>44.699981689453125</v>
          </cell>
          <cell r="DY25" t="str">
            <v>-</v>
          </cell>
          <cell r="DZ25">
            <v>44.699981689453125</v>
          </cell>
          <cell r="EA25">
            <v>44.699981689453125</v>
          </cell>
          <cell r="EB25" t="str">
            <v>-</v>
          </cell>
          <cell r="EC25">
            <v>44.699981689453125</v>
          </cell>
          <cell r="ED25">
            <v>44.699981689453125</v>
          </cell>
          <cell r="EE25" t="str">
            <v>-</v>
          </cell>
          <cell r="EF25">
            <v>44.699981689453125</v>
          </cell>
          <cell r="EG25">
            <v>44.699981689453125</v>
          </cell>
          <cell r="EH25" t="str">
            <v>-</v>
          </cell>
          <cell r="EI25">
            <v>44.699981689453125</v>
          </cell>
          <cell r="EJ25">
            <v>44.699981689453125</v>
          </cell>
          <cell r="EK25" t="str">
            <v>-</v>
          </cell>
          <cell r="EL25">
            <v>44.699981689453125</v>
          </cell>
          <cell r="EM25">
            <v>44.699981689453125</v>
          </cell>
          <cell r="EN25" t="str">
            <v>-</v>
          </cell>
          <cell r="EO25">
            <v>44.699981689453125</v>
          </cell>
          <cell r="EP25">
            <v>44.699981689453125</v>
          </cell>
          <cell r="EQ25" t="str">
            <v>-</v>
          </cell>
          <cell r="ER25">
            <v>8</v>
          </cell>
          <cell r="ES25">
            <v>5</v>
          </cell>
          <cell r="ET25">
            <v>61.5</v>
          </cell>
          <cell r="EU25">
            <v>12</v>
          </cell>
          <cell r="EV25">
            <v>3</v>
          </cell>
          <cell r="EW25">
            <v>80</v>
          </cell>
          <cell r="EX25">
            <v>2</v>
          </cell>
          <cell r="EY25">
            <v>7</v>
          </cell>
          <cell r="EZ25">
            <v>22.2</v>
          </cell>
          <cell r="FA25">
            <v>4</v>
          </cell>
          <cell r="FB25">
            <v>1</v>
          </cell>
          <cell r="FC25">
            <v>80</v>
          </cell>
          <cell r="FD25">
            <v>16</v>
          </cell>
          <cell r="FE25">
            <v>7</v>
          </cell>
          <cell r="FF25">
            <v>69.599999999999994</v>
          </cell>
          <cell r="FG25">
            <v>11</v>
          </cell>
          <cell r="FH25">
            <v>6</v>
          </cell>
          <cell r="FI25">
            <v>64.7</v>
          </cell>
          <cell r="FJ25">
            <v>3</v>
          </cell>
          <cell r="FK25">
            <v>3</v>
          </cell>
          <cell r="FL25">
            <v>50</v>
          </cell>
          <cell r="FM25">
            <v>13</v>
          </cell>
          <cell r="FN25">
            <v>11</v>
          </cell>
          <cell r="FO25">
            <v>54.2</v>
          </cell>
          <cell r="FP25">
            <v>54.199981689453125</v>
          </cell>
          <cell r="FQ25">
            <v>54.199981689453125</v>
          </cell>
          <cell r="FR25" t="str">
            <v>-</v>
          </cell>
          <cell r="FS25">
            <v>54.199981689453125</v>
          </cell>
          <cell r="FT25">
            <v>54.199981689453125</v>
          </cell>
          <cell r="FU25" t="str">
            <v>-</v>
          </cell>
          <cell r="FV25">
            <v>54.199981689453125</v>
          </cell>
          <cell r="FW25">
            <v>54.199981689453125</v>
          </cell>
          <cell r="FX25" t="str">
            <v>-</v>
          </cell>
          <cell r="FY25">
            <v>54.199981689453125</v>
          </cell>
          <cell r="FZ25">
            <v>54.199981689453125</v>
          </cell>
          <cell r="GA25" t="str">
            <v>-</v>
          </cell>
          <cell r="GB25">
            <v>54.199981689453125</v>
          </cell>
          <cell r="GC25">
            <v>54.199981689453125</v>
          </cell>
          <cell r="GD25" t="str">
            <v>-</v>
          </cell>
          <cell r="GE25">
            <v>54.199981689453125</v>
          </cell>
          <cell r="GF25">
            <v>54.199981689453125</v>
          </cell>
          <cell r="GG25" t="str">
            <v>-</v>
          </cell>
          <cell r="GH25">
            <v>2</v>
          </cell>
          <cell r="GI25">
            <v>2</v>
          </cell>
          <cell r="GJ25">
            <v>100</v>
          </cell>
          <cell r="GK25">
            <v>100</v>
          </cell>
          <cell r="GL25">
            <v>100</v>
          </cell>
          <cell r="GM25" t="str">
            <v>-</v>
          </cell>
          <cell r="GN25">
            <v>60</v>
          </cell>
          <cell r="GO25">
            <v>7</v>
          </cell>
          <cell r="GP25">
            <v>89.6</v>
          </cell>
          <cell r="GQ25">
            <v>45</v>
          </cell>
          <cell r="GR25">
            <v>8</v>
          </cell>
          <cell r="GS25">
            <v>84.9</v>
          </cell>
          <cell r="GT25">
            <v>53</v>
          </cell>
          <cell r="GU25">
            <v>17</v>
          </cell>
          <cell r="GV25">
            <v>75.7</v>
          </cell>
          <cell r="GW25">
            <v>50</v>
          </cell>
          <cell r="GX25">
            <v>25</v>
          </cell>
          <cell r="GY25">
            <v>66.7</v>
          </cell>
          <cell r="GZ25">
            <v>39</v>
          </cell>
          <cell r="HA25">
            <v>18</v>
          </cell>
          <cell r="HB25">
            <v>68.400000000000006</v>
          </cell>
          <cell r="HC25">
            <v>43</v>
          </cell>
          <cell r="HD25">
            <v>15</v>
          </cell>
          <cell r="HE25">
            <v>74.099999999999994</v>
          </cell>
          <cell r="HF25">
            <v>64</v>
          </cell>
          <cell r="HG25">
            <v>19</v>
          </cell>
          <cell r="HH25">
            <v>77.099999999999994</v>
          </cell>
          <cell r="HI25">
            <v>54</v>
          </cell>
          <cell r="HJ25">
            <v>13</v>
          </cell>
          <cell r="HK25">
            <v>80.599999999999994</v>
          </cell>
          <cell r="HL25">
            <v>5</v>
          </cell>
          <cell r="HM25">
            <v>7</v>
          </cell>
          <cell r="HN25">
            <v>41.7</v>
          </cell>
          <cell r="HO25">
            <v>6</v>
          </cell>
          <cell r="HP25">
            <v>4</v>
          </cell>
          <cell r="HQ25">
            <v>60</v>
          </cell>
          <cell r="HR25">
            <v>3</v>
          </cell>
          <cell r="HS25">
            <v>6</v>
          </cell>
          <cell r="HT25">
            <v>33.299999999999997</v>
          </cell>
          <cell r="HU25">
            <v>33.29998779296875</v>
          </cell>
          <cell r="HV25">
            <v>5</v>
          </cell>
          <cell r="HW25">
            <v>0</v>
          </cell>
          <cell r="HX25">
            <v>3</v>
          </cell>
          <cell r="HY25">
            <v>3</v>
          </cell>
          <cell r="HZ25">
            <v>50</v>
          </cell>
          <cell r="IA25">
            <v>3</v>
          </cell>
          <cell r="IB25">
            <v>6</v>
          </cell>
          <cell r="IC25">
            <v>33.299999999999997</v>
          </cell>
          <cell r="ID25">
            <v>3</v>
          </cell>
          <cell r="IE25">
            <v>3</v>
          </cell>
          <cell r="IF25">
            <v>50</v>
          </cell>
          <cell r="IG25">
            <v>50</v>
          </cell>
          <cell r="IH25">
            <v>4</v>
          </cell>
          <cell r="II25">
            <v>0</v>
          </cell>
          <cell r="IJ25">
            <v>1</v>
          </cell>
          <cell r="IK25">
            <v>1</v>
          </cell>
          <cell r="IL25">
            <v>100</v>
          </cell>
          <cell r="IM25">
            <v>2</v>
          </cell>
          <cell r="IN25">
            <v>1</v>
          </cell>
          <cell r="IO25">
            <v>66.7</v>
          </cell>
          <cell r="IP25">
            <v>2</v>
          </cell>
          <cell r="IQ25">
            <v>1</v>
          </cell>
          <cell r="IR25">
            <v>66.7</v>
          </cell>
          <cell r="IS25">
            <v>66.699951171875</v>
          </cell>
          <cell r="IT25">
            <v>1</v>
          </cell>
          <cell r="IU25">
            <v>0</v>
          </cell>
          <cell r="IV25">
            <v>3</v>
          </cell>
          <cell r="IW25">
            <v>3</v>
          </cell>
          <cell r="IX25">
            <v>50</v>
          </cell>
          <cell r="IY25">
            <v>1</v>
          </cell>
          <cell r="IZ25">
            <v>1</v>
          </cell>
          <cell r="JA25">
            <v>100</v>
          </cell>
          <cell r="JB25">
            <v>7</v>
          </cell>
          <cell r="JC25">
            <v>1</v>
          </cell>
          <cell r="JD25">
            <v>87.5</v>
          </cell>
          <cell r="JE25">
            <v>6</v>
          </cell>
          <cell r="JF25">
            <v>7</v>
          </cell>
          <cell r="JG25">
            <v>46.2</v>
          </cell>
          <cell r="JH25">
            <v>2</v>
          </cell>
          <cell r="JI25">
            <v>0</v>
          </cell>
          <cell r="JJ25">
            <v>100</v>
          </cell>
          <cell r="JK25">
            <v>0</v>
          </cell>
          <cell r="JL25">
            <v>0</v>
          </cell>
          <cell r="JM25" t="str">
            <v>-</v>
          </cell>
          <cell r="JN25">
            <v>2</v>
          </cell>
          <cell r="JO25">
            <v>0</v>
          </cell>
          <cell r="JP25">
            <v>100</v>
          </cell>
          <cell r="JQ25">
            <v>269</v>
          </cell>
          <cell r="JR25">
            <v>123</v>
          </cell>
          <cell r="JS25">
            <v>68.622448979591837</v>
          </cell>
          <cell r="JT25">
            <v>125</v>
          </cell>
          <cell r="JU25">
            <v>104</v>
          </cell>
          <cell r="JV25">
            <v>54.585152838427952</v>
          </cell>
          <cell r="JW25">
            <v>0</v>
          </cell>
          <cell r="JX25">
            <v>0</v>
          </cell>
          <cell r="JY25" t="str">
            <v>-</v>
          </cell>
          <cell r="JZ25">
            <v>47</v>
          </cell>
          <cell r="KA25">
            <v>28</v>
          </cell>
          <cell r="KB25">
            <v>62.666666666666671</v>
          </cell>
          <cell r="KC25">
            <v>2</v>
          </cell>
          <cell r="KD25">
            <v>0</v>
          </cell>
          <cell r="KE25">
            <v>100</v>
          </cell>
          <cell r="KF25">
            <v>250</v>
          </cell>
          <cell r="KG25">
            <v>90</v>
          </cell>
          <cell r="KH25">
            <v>73.529411764705884</v>
          </cell>
          <cell r="KI25">
            <v>9</v>
          </cell>
          <cell r="KJ25">
            <v>21</v>
          </cell>
          <cell r="KK25">
            <v>30</v>
          </cell>
          <cell r="KL25">
            <v>17</v>
          </cell>
          <cell r="KM25">
            <v>12</v>
          </cell>
          <cell r="KN25">
            <v>58.620689655172406</v>
          </cell>
        </row>
        <row r="26">
          <cell r="C26" t="str">
            <v>Bp XXII. kerületi Rendőrkapitányság</v>
          </cell>
          <cell r="D26">
            <v>58.62066650390625</v>
          </cell>
          <cell r="E26">
            <v>58.62066650390625</v>
          </cell>
          <cell r="F26" t="str">
            <v>-</v>
          </cell>
          <cell r="G26">
            <v>58.62066650390625</v>
          </cell>
          <cell r="H26">
            <v>58.62066650390625</v>
          </cell>
          <cell r="I26" t="str">
            <v>-</v>
          </cell>
          <cell r="J26">
            <v>58.62066650390625</v>
          </cell>
          <cell r="K26">
            <v>58.62066650390625</v>
          </cell>
          <cell r="L26" t="str">
            <v>-</v>
          </cell>
          <cell r="M26">
            <v>58.62066650390625</v>
          </cell>
          <cell r="N26">
            <v>58.62066650390625</v>
          </cell>
          <cell r="O26" t="str">
            <v>-</v>
          </cell>
          <cell r="P26">
            <v>58.62066650390625</v>
          </cell>
          <cell r="Q26">
            <v>58.62066650390625</v>
          </cell>
          <cell r="R26" t="str">
            <v>-</v>
          </cell>
          <cell r="S26">
            <v>58.62066650390625</v>
          </cell>
          <cell r="T26">
            <v>58.62066650390625</v>
          </cell>
          <cell r="U26" t="str">
            <v>-</v>
          </cell>
          <cell r="V26">
            <v>58.62066650390625</v>
          </cell>
          <cell r="W26">
            <v>58.62066650390625</v>
          </cell>
          <cell r="X26" t="str">
            <v>-</v>
          </cell>
          <cell r="Y26">
            <v>58.62066650390625</v>
          </cell>
          <cell r="Z26">
            <v>58.62066650390625</v>
          </cell>
          <cell r="AA26" t="str">
            <v>-</v>
          </cell>
          <cell r="AB26">
            <v>58.62066650390625</v>
          </cell>
          <cell r="AC26">
            <v>58.62066650390625</v>
          </cell>
          <cell r="AD26" t="str">
            <v>-</v>
          </cell>
          <cell r="AE26">
            <v>58.62066650390625</v>
          </cell>
          <cell r="AF26">
            <v>58.62066650390625</v>
          </cell>
          <cell r="AG26" t="str">
            <v>-</v>
          </cell>
          <cell r="AH26">
            <v>58.62066650390625</v>
          </cell>
          <cell r="AI26">
            <v>58.62066650390625</v>
          </cell>
          <cell r="AJ26" t="str">
            <v>-</v>
          </cell>
          <cell r="AK26">
            <v>58.62066650390625</v>
          </cell>
          <cell r="AL26">
            <v>58.62066650390625</v>
          </cell>
          <cell r="AM26" t="str">
            <v>-</v>
          </cell>
          <cell r="AN26">
            <v>58.62066650390625</v>
          </cell>
          <cell r="AO26">
            <v>58.62066650390625</v>
          </cell>
          <cell r="AP26" t="str">
            <v>-</v>
          </cell>
          <cell r="AQ26">
            <v>58.62066650390625</v>
          </cell>
          <cell r="AR26">
            <v>58.62066650390625</v>
          </cell>
          <cell r="AS26" t="str">
            <v>-</v>
          </cell>
          <cell r="AT26">
            <v>58.62066650390625</v>
          </cell>
          <cell r="AU26">
            <v>58.62066650390625</v>
          </cell>
          <cell r="AV26" t="str">
            <v>-</v>
          </cell>
          <cell r="AW26">
            <v>58.62066650390625</v>
          </cell>
          <cell r="AX26">
            <v>58.62066650390625</v>
          </cell>
          <cell r="AY26" t="str">
            <v>-</v>
          </cell>
          <cell r="AZ26">
            <v>58.62066650390625</v>
          </cell>
          <cell r="BA26">
            <v>58.62066650390625</v>
          </cell>
          <cell r="BB26" t="str">
            <v>-</v>
          </cell>
          <cell r="BC26">
            <v>58.62066650390625</v>
          </cell>
          <cell r="BD26">
            <v>58.62066650390625</v>
          </cell>
          <cell r="BE26" t="str">
            <v>-</v>
          </cell>
          <cell r="BF26">
            <v>58.62066650390625</v>
          </cell>
          <cell r="BG26">
            <v>58.62066650390625</v>
          </cell>
          <cell r="BH26" t="str">
            <v>-</v>
          </cell>
          <cell r="BI26">
            <v>58.62066650390625</v>
          </cell>
          <cell r="BJ26">
            <v>58.62066650390625</v>
          </cell>
          <cell r="BK26" t="str">
            <v>-</v>
          </cell>
          <cell r="BL26">
            <v>58.62066650390625</v>
          </cell>
          <cell r="BM26">
            <v>58.62066650390625</v>
          </cell>
          <cell r="BN26" t="str">
            <v>-</v>
          </cell>
          <cell r="BO26">
            <v>58.62066650390625</v>
          </cell>
          <cell r="BP26">
            <v>58.62066650390625</v>
          </cell>
          <cell r="BQ26" t="str">
            <v>-</v>
          </cell>
          <cell r="BR26">
            <v>58.62066650390625</v>
          </cell>
          <cell r="BS26">
            <v>58.62066650390625</v>
          </cell>
          <cell r="BT26" t="str">
            <v>-</v>
          </cell>
          <cell r="BU26">
            <v>58.62066650390625</v>
          </cell>
          <cell r="BV26">
            <v>58.62066650390625</v>
          </cell>
          <cell r="BW26" t="str">
            <v>-</v>
          </cell>
          <cell r="BX26">
            <v>48</v>
          </cell>
          <cell r="BY26">
            <v>12</v>
          </cell>
          <cell r="BZ26">
            <v>80</v>
          </cell>
          <cell r="CA26">
            <v>26</v>
          </cell>
          <cell r="CB26">
            <v>15</v>
          </cell>
          <cell r="CC26">
            <v>63.4</v>
          </cell>
          <cell r="CD26">
            <v>44</v>
          </cell>
          <cell r="CE26">
            <v>4</v>
          </cell>
          <cell r="CF26">
            <v>91.7</v>
          </cell>
          <cell r="CG26">
            <v>22</v>
          </cell>
          <cell r="CH26">
            <v>12</v>
          </cell>
          <cell r="CI26">
            <v>64.7</v>
          </cell>
          <cell r="CJ26">
            <v>41</v>
          </cell>
          <cell r="CK26">
            <v>16</v>
          </cell>
          <cell r="CL26">
            <v>71.900000000000006</v>
          </cell>
          <cell r="CM26">
            <v>61</v>
          </cell>
          <cell r="CN26">
            <v>22</v>
          </cell>
          <cell r="CO26">
            <v>73.5</v>
          </cell>
          <cell r="CP26">
            <v>35</v>
          </cell>
          <cell r="CQ26">
            <v>19</v>
          </cell>
          <cell r="CR26">
            <v>64.8</v>
          </cell>
          <cell r="CS26">
            <v>41</v>
          </cell>
          <cell r="CT26">
            <v>11</v>
          </cell>
          <cell r="CU26">
            <v>78.8</v>
          </cell>
          <cell r="CV26">
            <v>40</v>
          </cell>
          <cell r="CW26">
            <v>11</v>
          </cell>
          <cell r="CX26">
            <v>78.400000000000006</v>
          </cell>
          <cell r="CY26">
            <v>21</v>
          </cell>
          <cell r="CZ26">
            <v>15</v>
          </cell>
          <cell r="DA26">
            <v>58.3</v>
          </cell>
          <cell r="DB26">
            <v>27</v>
          </cell>
          <cell r="DC26">
            <v>4</v>
          </cell>
          <cell r="DD26">
            <v>87.1</v>
          </cell>
          <cell r="DE26">
            <v>19</v>
          </cell>
          <cell r="DF26">
            <v>10</v>
          </cell>
          <cell r="DG26">
            <v>65.5</v>
          </cell>
          <cell r="DH26">
            <v>18</v>
          </cell>
          <cell r="DI26">
            <v>13</v>
          </cell>
          <cell r="DJ26">
            <v>58.1</v>
          </cell>
          <cell r="DK26">
            <v>39</v>
          </cell>
          <cell r="DL26">
            <v>17</v>
          </cell>
          <cell r="DM26">
            <v>69.599999999999994</v>
          </cell>
          <cell r="DN26">
            <v>21</v>
          </cell>
          <cell r="DO26">
            <v>15</v>
          </cell>
          <cell r="DP26">
            <v>58.3</v>
          </cell>
          <cell r="DQ26">
            <v>24</v>
          </cell>
          <cell r="DR26">
            <v>8</v>
          </cell>
          <cell r="DS26">
            <v>75</v>
          </cell>
          <cell r="DT26">
            <v>75</v>
          </cell>
          <cell r="DU26">
            <v>75</v>
          </cell>
          <cell r="DV26" t="str">
            <v>-</v>
          </cell>
          <cell r="DW26">
            <v>75</v>
          </cell>
          <cell r="DX26">
            <v>75</v>
          </cell>
          <cell r="DY26" t="str">
            <v>-</v>
          </cell>
          <cell r="DZ26">
            <v>75</v>
          </cell>
          <cell r="EA26">
            <v>75</v>
          </cell>
          <cell r="EB26" t="str">
            <v>-</v>
          </cell>
          <cell r="EC26">
            <v>75</v>
          </cell>
          <cell r="ED26">
            <v>75</v>
          </cell>
          <cell r="EE26" t="str">
            <v>-</v>
          </cell>
          <cell r="EF26">
            <v>75</v>
          </cell>
          <cell r="EG26">
            <v>75</v>
          </cell>
          <cell r="EH26" t="str">
            <v>-</v>
          </cell>
          <cell r="EI26">
            <v>75</v>
          </cell>
          <cell r="EJ26">
            <v>75</v>
          </cell>
          <cell r="EK26" t="str">
            <v>-</v>
          </cell>
          <cell r="EL26">
            <v>75</v>
          </cell>
          <cell r="EM26">
            <v>75</v>
          </cell>
          <cell r="EN26" t="str">
            <v>-</v>
          </cell>
          <cell r="EO26">
            <v>75</v>
          </cell>
          <cell r="EP26">
            <v>75</v>
          </cell>
          <cell r="EQ26" t="str">
            <v>-</v>
          </cell>
          <cell r="ER26">
            <v>8</v>
          </cell>
          <cell r="ES26">
            <v>4</v>
          </cell>
          <cell r="ET26">
            <v>66.7</v>
          </cell>
          <cell r="EU26">
            <v>4</v>
          </cell>
          <cell r="EV26">
            <v>3</v>
          </cell>
          <cell r="EW26">
            <v>57.1</v>
          </cell>
          <cell r="EX26">
            <v>4</v>
          </cell>
          <cell r="EY26">
            <v>3</v>
          </cell>
          <cell r="EZ26">
            <v>57.1</v>
          </cell>
          <cell r="FA26">
            <v>4</v>
          </cell>
          <cell r="FB26">
            <v>2</v>
          </cell>
          <cell r="FC26">
            <v>66.7</v>
          </cell>
          <cell r="FD26">
            <v>7</v>
          </cell>
          <cell r="FE26">
            <v>11</v>
          </cell>
          <cell r="FF26">
            <v>38.9</v>
          </cell>
          <cell r="FG26">
            <v>6</v>
          </cell>
          <cell r="FH26">
            <v>8</v>
          </cell>
          <cell r="FI26">
            <v>42.9</v>
          </cell>
          <cell r="FJ26">
            <v>9</v>
          </cell>
          <cell r="FK26">
            <v>9</v>
          </cell>
          <cell r="FL26">
            <v>50</v>
          </cell>
          <cell r="FM26">
            <v>3</v>
          </cell>
          <cell r="FN26">
            <v>3</v>
          </cell>
          <cell r="FO26">
            <v>50</v>
          </cell>
          <cell r="FP26">
            <v>50</v>
          </cell>
          <cell r="FQ26">
            <v>50</v>
          </cell>
          <cell r="FR26" t="str">
            <v>-</v>
          </cell>
          <cell r="FS26">
            <v>50</v>
          </cell>
          <cell r="FT26">
            <v>50</v>
          </cell>
          <cell r="FU26" t="str">
            <v>-</v>
          </cell>
          <cell r="FV26">
            <v>50</v>
          </cell>
          <cell r="FW26">
            <v>50</v>
          </cell>
          <cell r="FX26" t="str">
            <v>-</v>
          </cell>
          <cell r="FY26">
            <v>50</v>
          </cell>
          <cell r="FZ26">
            <v>50</v>
          </cell>
          <cell r="GA26" t="str">
            <v>-</v>
          </cell>
          <cell r="GB26">
            <v>50</v>
          </cell>
          <cell r="GC26">
            <v>50</v>
          </cell>
          <cell r="GD26" t="str">
            <v>-</v>
          </cell>
          <cell r="GE26">
            <v>1</v>
          </cell>
          <cell r="GF26">
            <v>1</v>
          </cell>
          <cell r="GG26">
            <v>100</v>
          </cell>
          <cell r="GH26">
            <v>100</v>
          </cell>
          <cell r="GI26">
            <v>100</v>
          </cell>
          <cell r="GJ26" t="str">
            <v>-</v>
          </cell>
          <cell r="GK26">
            <v>100</v>
          </cell>
          <cell r="GL26">
            <v>1</v>
          </cell>
          <cell r="GM26">
            <v>0</v>
          </cell>
          <cell r="GN26">
            <v>57</v>
          </cell>
          <cell r="GO26">
            <v>13</v>
          </cell>
          <cell r="GP26">
            <v>81.400000000000006</v>
          </cell>
          <cell r="GQ26">
            <v>27</v>
          </cell>
          <cell r="GR26">
            <v>24</v>
          </cell>
          <cell r="GS26">
            <v>52.9</v>
          </cell>
          <cell r="GT26">
            <v>45</v>
          </cell>
          <cell r="GU26">
            <v>12</v>
          </cell>
          <cell r="GV26">
            <v>78.900000000000006</v>
          </cell>
          <cell r="GW26">
            <v>37</v>
          </cell>
          <cell r="GX26">
            <v>26</v>
          </cell>
          <cell r="GY26">
            <v>58.7</v>
          </cell>
          <cell r="GZ26">
            <v>64</v>
          </cell>
          <cell r="HA26">
            <v>23</v>
          </cell>
          <cell r="HB26">
            <v>73.599999999999994</v>
          </cell>
          <cell r="HC26">
            <v>94</v>
          </cell>
          <cell r="HD26">
            <v>18</v>
          </cell>
          <cell r="HE26">
            <v>83.9</v>
          </cell>
          <cell r="HF26">
            <v>80</v>
          </cell>
          <cell r="HG26">
            <v>26</v>
          </cell>
          <cell r="HH26">
            <v>75.5</v>
          </cell>
          <cell r="HI26">
            <v>55</v>
          </cell>
          <cell r="HJ26">
            <v>26</v>
          </cell>
          <cell r="HK26">
            <v>67.900000000000006</v>
          </cell>
          <cell r="HL26">
            <v>1</v>
          </cell>
          <cell r="HM26">
            <v>3</v>
          </cell>
          <cell r="HN26">
            <v>25</v>
          </cell>
          <cell r="HO26">
            <v>25</v>
          </cell>
          <cell r="HP26">
            <v>4</v>
          </cell>
          <cell r="HQ26">
            <v>0</v>
          </cell>
          <cell r="HR26">
            <v>5</v>
          </cell>
          <cell r="HS26">
            <v>5</v>
          </cell>
          <cell r="HT26">
            <v>50</v>
          </cell>
          <cell r="HU26">
            <v>2</v>
          </cell>
          <cell r="HV26">
            <v>6</v>
          </cell>
          <cell r="HW26">
            <v>25</v>
          </cell>
          <cell r="HX26">
            <v>3</v>
          </cell>
          <cell r="HY26">
            <v>3</v>
          </cell>
          <cell r="HZ26">
            <v>50</v>
          </cell>
          <cell r="IA26">
            <v>3</v>
          </cell>
          <cell r="IB26">
            <v>1</v>
          </cell>
          <cell r="IC26">
            <v>75</v>
          </cell>
          <cell r="ID26">
            <v>5</v>
          </cell>
          <cell r="IE26">
            <v>8</v>
          </cell>
          <cell r="IF26">
            <v>38.5</v>
          </cell>
          <cell r="IG26">
            <v>1</v>
          </cell>
          <cell r="IH26">
            <v>5</v>
          </cell>
          <cell r="II26">
            <v>16.7</v>
          </cell>
          <cell r="IJ26">
            <v>1</v>
          </cell>
          <cell r="IK26">
            <v>1</v>
          </cell>
          <cell r="IL26">
            <v>100</v>
          </cell>
          <cell r="IM26">
            <v>100</v>
          </cell>
          <cell r="IN26">
            <v>100</v>
          </cell>
          <cell r="IO26" t="str">
            <v>-</v>
          </cell>
          <cell r="IP26">
            <v>100</v>
          </cell>
          <cell r="IQ26">
            <v>100</v>
          </cell>
          <cell r="IR26" t="str">
            <v>-</v>
          </cell>
          <cell r="IS26">
            <v>1</v>
          </cell>
          <cell r="IT26">
            <v>1</v>
          </cell>
          <cell r="IU26">
            <v>100</v>
          </cell>
          <cell r="IV26">
            <v>1</v>
          </cell>
          <cell r="IW26">
            <v>1</v>
          </cell>
          <cell r="IX26">
            <v>100</v>
          </cell>
          <cell r="IY26">
            <v>100</v>
          </cell>
          <cell r="IZ26">
            <v>100</v>
          </cell>
          <cell r="JA26" t="str">
            <v>-</v>
          </cell>
          <cell r="JB26">
            <v>2</v>
          </cell>
          <cell r="JC26">
            <v>2</v>
          </cell>
          <cell r="JD26">
            <v>100</v>
          </cell>
          <cell r="JE26">
            <v>1</v>
          </cell>
          <cell r="JF26">
            <v>1</v>
          </cell>
          <cell r="JG26">
            <v>100</v>
          </cell>
          <cell r="JH26">
            <v>0</v>
          </cell>
          <cell r="JI26">
            <v>0</v>
          </cell>
          <cell r="JJ26" t="str">
            <v>-</v>
          </cell>
          <cell r="JK26">
            <v>0</v>
          </cell>
          <cell r="JL26">
            <v>0</v>
          </cell>
          <cell r="JM26" t="str">
            <v>-</v>
          </cell>
          <cell r="JN26">
            <v>0</v>
          </cell>
          <cell r="JO26">
            <v>0</v>
          </cell>
          <cell r="JP26" t="str">
            <v>-</v>
          </cell>
          <cell r="JQ26">
            <v>200</v>
          </cell>
          <cell r="JR26">
            <v>80</v>
          </cell>
          <cell r="JS26">
            <v>71.428571428571431</v>
          </cell>
          <cell r="JT26">
            <v>121</v>
          </cell>
          <cell r="JU26">
            <v>63</v>
          </cell>
          <cell r="JV26">
            <v>65.760869565217391</v>
          </cell>
          <cell r="JW26">
            <v>0</v>
          </cell>
          <cell r="JX26">
            <v>0</v>
          </cell>
          <cell r="JY26" t="str">
            <v>-</v>
          </cell>
          <cell r="JZ26">
            <v>29</v>
          </cell>
          <cell r="KA26">
            <v>33</v>
          </cell>
          <cell r="KB26">
            <v>46.774193548387096</v>
          </cell>
          <cell r="KC26">
            <v>1</v>
          </cell>
          <cell r="KD26">
            <v>1</v>
          </cell>
          <cell r="KE26">
            <v>50</v>
          </cell>
          <cell r="KF26">
            <v>330</v>
          </cell>
          <cell r="KG26">
            <v>119</v>
          </cell>
          <cell r="KH26">
            <v>73.496659242761694</v>
          </cell>
          <cell r="KI26">
            <v>14</v>
          </cell>
          <cell r="KJ26">
            <v>23</v>
          </cell>
          <cell r="KK26">
            <v>37.837837837837839</v>
          </cell>
          <cell r="KL26">
            <v>5</v>
          </cell>
          <cell r="KM26">
            <v>0</v>
          </cell>
          <cell r="KN26">
            <v>100</v>
          </cell>
        </row>
        <row r="27">
          <cell r="C27" t="str">
            <v>Dunai Vízirendészetii Rendőrkapitányság</v>
          </cell>
          <cell r="D27">
            <v>100</v>
          </cell>
          <cell r="E27">
            <v>100</v>
          </cell>
          <cell r="F27" t="str">
            <v>-</v>
          </cell>
          <cell r="G27">
            <v>100</v>
          </cell>
          <cell r="H27">
            <v>100</v>
          </cell>
          <cell r="I27" t="str">
            <v>-</v>
          </cell>
          <cell r="J27">
            <v>100</v>
          </cell>
          <cell r="K27">
            <v>100</v>
          </cell>
          <cell r="L27" t="str">
            <v>-</v>
          </cell>
          <cell r="M27">
            <v>100</v>
          </cell>
          <cell r="N27">
            <v>100</v>
          </cell>
          <cell r="O27" t="str">
            <v>-</v>
          </cell>
          <cell r="P27">
            <v>100</v>
          </cell>
          <cell r="Q27">
            <v>100</v>
          </cell>
          <cell r="R27" t="str">
            <v>-</v>
          </cell>
          <cell r="S27">
            <v>100</v>
          </cell>
          <cell r="T27">
            <v>100</v>
          </cell>
          <cell r="U27" t="str">
            <v>-</v>
          </cell>
          <cell r="V27">
            <v>100</v>
          </cell>
          <cell r="W27">
            <v>100</v>
          </cell>
          <cell r="X27" t="str">
            <v>-</v>
          </cell>
          <cell r="Y27">
            <v>100</v>
          </cell>
          <cell r="Z27">
            <v>100</v>
          </cell>
          <cell r="AA27" t="str">
            <v>-</v>
          </cell>
          <cell r="AB27">
            <v>100</v>
          </cell>
          <cell r="AC27">
            <v>100</v>
          </cell>
          <cell r="AD27" t="str">
            <v>-</v>
          </cell>
          <cell r="AE27">
            <v>100</v>
          </cell>
          <cell r="AF27">
            <v>100</v>
          </cell>
          <cell r="AG27" t="str">
            <v>-</v>
          </cell>
          <cell r="AH27">
            <v>100</v>
          </cell>
          <cell r="AI27">
            <v>100</v>
          </cell>
          <cell r="AJ27" t="str">
            <v>-</v>
          </cell>
          <cell r="AK27">
            <v>100</v>
          </cell>
          <cell r="AL27">
            <v>100</v>
          </cell>
          <cell r="AM27" t="str">
            <v>-</v>
          </cell>
          <cell r="AN27">
            <v>100</v>
          </cell>
          <cell r="AO27">
            <v>100</v>
          </cell>
          <cell r="AP27" t="str">
            <v>-</v>
          </cell>
          <cell r="AQ27">
            <v>100</v>
          </cell>
          <cell r="AR27">
            <v>100</v>
          </cell>
          <cell r="AS27" t="str">
            <v>-</v>
          </cell>
          <cell r="AT27">
            <v>100</v>
          </cell>
          <cell r="AU27">
            <v>100</v>
          </cell>
          <cell r="AV27" t="str">
            <v>-</v>
          </cell>
          <cell r="AW27">
            <v>100</v>
          </cell>
          <cell r="AX27">
            <v>100</v>
          </cell>
          <cell r="AY27" t="str">
            <v>-</v>
          </cell>
          <cell r="AZ27">
            <v>100</v>
          </cell>
          <cell r="BA27">
            <v>100</v>
          </cell>
          <cell r="BB27" t="str">
            <v>-</v>
          </cell>
          <cell r="BC27">
            <v>100</v>
          </cell>
          <cell r="BD27">
            <v>100</v>
          </cell>
          <cell r="BE27" t="str">
            <v>-</v>
          </cell>
          <cell r="BF27">
            <v>100</v>
          </cell>
          <cell r="BG27">
            <v>100</v>
          </cell>
          <cell r="BH27" t="str">
            <v>-</v>
          </cell>
          <cell r="BI27">
            <v>100</v>
          </cell>
          <cell r="BJ27">
            <v>100</v>
          </cell>
          <cell r="BK27" t="str">
            <v>-</v>
          </cell>
          <cell r="BL27">
            <v>100</v>
          </cell>
          <cell r="BM27">
            <v>100</v>
          </cell>
          <cell r="BN27" t="str">
            <v>-</v>
          </cell>
          <cell r="BO27">
            <v>100</v>
          </cell>
          <cell r="BP27">
            <v>100</v>
          </cell>
          <cell r="BQ27" t="str">
            <v>-</v>
          </cell>
          <cell r="BR27">
            <v>100</v>
          </cell>
          <cell r="BS27">
            <v>100</v>
          </cell>
          <cell r="BT27" t="str">
            <v>-</v>
          </cell>
          <cell r="BU27">
            <v>100</v>
          </cell>
          <cell r="BV27">
            <v>100</v>
          </cell>
          <cell r="BW27" t="str">
            <v>-</v>
          </cell>
          <cell r="BX27">
            <v>100</v>
          </cell>
          <cell r="BY27">
            <v>100</v>
          </cell>
          <cell r="BZ27" t="str">
            <v>-</v>
          </cell>
          <cell r="CA27">
            <v>100</v>
          </cell>
          <cell r="CB27">
            <v>100</v>
          </cell>
          <cell r="CC27" t="str">
            <v>-</v>
          </cell>
          <cell r="CD27">
            <v>100</v>
          </cell>
          <cell r="CE27">
            <v>100</v>
          </cell>
          <cell r="CF27" t="str">
            <v>-</v>
          </cell>
          <cell r="CG27">
            <v>100</v>
          </cell>
          <cell r="CH27">
            <v>100</v>
          </cell>
          <cell r="CI27" t="str">
            <v>-</v>
          </cell>
          <cell r="CJ27">
            <v>100</v>
          </cell>
          <cell r="CK27">
            <v>100</v>
          </cell>
          <cell r="CL27" t="str">
            <v>-</v>
          </cell>
          <cell r="CM27">
            <v>100</v>
          </cell>
          <cell r="CN27">
            <v>100</v>
          </cell>
          <cell r="CO27" t="str">
            <v>-</v>
          </cell>
          <cell r="CP27">
            <v>2</v>
          </cell>
          <cell r="CQ27">
            <v>2</v>
          </cell>
          <cell r="CR27">
            <v>100</v>
          </cell>
          <cell r="CS27">
            <v>100</v>
          </cell>
          <cell r="CT27">
            <v>100</v>
          </cell>
          <cell r="CU27" t="str">
            <v>-</v>
          </cell>
          <cell r="CV27">
            <v>100</v>
          </cell>
          <cell r="CW27">
            <v>100</v>
          </cell>
          <cell r="CX27" t="str">
            <v>-</v>
          </cell>
          <cell r="CY27">
            <v>100</v>
          </cell>
          <cell r="CZ27">
            <v>100</v>
          </cell>
          <cell r="DA27" t="str">
            <v>-</v>
          </cell>
          <cell r="DB27">
            <v>100</v>
          </cell>
          <cell r="DC27">
            <v>100</v>
          </cell>
          <cell r="DD27" t="str">
            <v>-</v>
          </cell>
          <cell r="DE27">
            <v>100</v>
          </cell>
          <cell r="DF27">
            <v>100</v>
          </cell>
          <cell r="DG27" t="str">
            <v>-</v>
          </cell>
          <cell r="DH27">
            <v>100</v>
          </cell>
          <cell r="DI27">
            <v>100</v>
          </cell>
          <cell r="DJ27" t="str">
            <v>-</v>
          </cell>
          <cell r="DK27">
            <v>100</v>
          </cell>
          <cell r="DL27">
            <v>100</v>
          </cell>
          <cell r="DM27" t="str">
            <v>-</v>
          </cell>
          <cell r="DN27">
            <v>2</v>
          </cell>
          <cell r="DO27">
            <v>2</v>
          </cell>
          <cell r="DP27">
            <v>100</v>
          </cell>
          <cell r="DQ27">
            <v>100</v>
          </cell>
          <cell r="DR27">
            <v>100</v>
          </cell>
          <cell r="DS27" t="str">
            <v>-</v>
          </cell>
          <cell r="DT27">
            <v>100</v>
          </cell>
          <cell r="DU27">
            <v>100</v>
          </cell>
          <cell r="DV27" t="str">
            <v>-</v>
          </cell>
          <cell r="DW27">
            <v>100</v>
          </cell>
          <cell r="DX27">
            <v>100</v>
          </cell>
          <cell r="DY27" t="str">
            <v>-</v>
          </cell>
          <cell r="DZ27">
            <v>100</v>
          </cell>
          <cell r="EA27">
            <v>100</v>
          </cell>
          <cell r="EB27" t="str">
            <v>-</v>
          </cell>
          <cell r="EC27">
            <v>100</v>
          </cell>
          <cell r="ED27">
            <v>100</v>
          </cell>
          <cell r="EE27" t="str">
            <v>-</v>
          </cell>
          <cell r="EF27">
            <v>100</v>
          </cell>
          <cell r="EG27">
            <v>100</v>
          </cell>
          <cell r="EH27" t="str">
            <v>-</v>
          </cell>
          <cell r="EI27">
            <v>100</v>
          </cell>
          <cell r="EJ27">
            <v>100</v>
          </cell>
          <cell r="EK27" t="str">
            <v>-</v>
          </cell>
          <cell r="EL27">
            <v>100</v>
          </cell>
          <cell r="EM27">
            <v>100</v>
          </cell>
          <cell r="EN27" t="str">
            <v>-</v>
          </cell>
          <cell r="EO27">
            <v>100</v>
          </cell>
          <cell r="EP27">
            <v>100</v>
          </cell>
          <cell r="EQ27" t="str">
            <v>-</v>
          </cell>
          <cell r="ER27">
            <v>100</v>
          </cell>
          <cell r="ES27">
            <v>100</v>
          </cell>
          <cell r="ET27" t="str">
            <v>-</v>
          </cell>
          <cell r="EU27">
            <v>100</v>
          </cell>
          <cell r="EV27">
            <v>100</v>
          </cell>
          <cell r="EW27" t="str">
            <v>-</v>
          </cell>
          <cell r="EX27">
            <v>100</v>
          </cell>
          <cell r="EY27">
            <v>100</v>
          </cell>
          <cell r="EZ27" t="str">
            <v>-</v>
          </cell>
          <cell r="FA27">
            <v>100</v>
          </cell>
          <cell r="FB27">
            <v>100</v>
          </cell>
          <cell r="FC27" t="str">
            <v>-</v>
          </cell>
          <cell r="FD27">
            <v>100</v>
          </cell>
          <cell r="FE27">
            <v>100</v>
          </cell>
          <cell r="FF27" t="str">
            <v>-</v>
          </cell>
          <cell r="FG27">
            <v>100</v>
          </cell>
          <cell r="FH27">
            <v>100</v>
          </cell>
          <cell r="FI27" t="str">
            <v>-</v>
          </cell>
          <cell r="FJ27">
            <v>100</v>
          </cell>
          <cell r="FK27">
            <v>100</v>
          </cell>
          <cell r="FL27" t="str">
            <v>-</v>
          </cell>
          <cell r="FM27">
            <v>100</v>
          </cell>
          <cell r="FN27">
            <v>100</v>
          </cell>
          <cell r="FO27" t="str">
            <v>-</v>
          </cell>
          <cell r="FP27">
            <v>100</v>
          </cell>
          <cell r="FQ27">
            <v>100</v>
          </cell>
          <cell r="FR27" t="str">
            <v>-</v>
          </cell>
          <cell r="FS27">
            <v>100</v>
          </cell>
          <cell r="FT27">
            <v>100</v>
          </cell>
          <cell r="FU27" t="str">
            <v>-</v>
          </cell>
          <cell r="FV27">
            <v>100</v>
          </cell>
          <cell r="FW27">
            <v>100</v>
          </cell>
          <cell r="FX27" t="str">
            <v>-</v>
          </cell>
          <cell r="FY27">
            <v>100</v>
          </cell>
          <cell r="FZ27">
            <v>100</v>
          </cell>
          <cell r="GA27" t="str">
            <v>-</v>
          </cell>
          <cell r="GB27">
            <v>100</v>
          </cell>
          <cell r="GC27">
            <v>100</v>
          </cell>
          <cell r="GD27" t="str">
            <v>-</v>
          </cell>
          <cell r="GE27">
            <v>100</v>
          </cell>
          <cell r="GF27">
            <v>100</v>
          </cell>
          <cell r="GG27" t="str">
            <v>-</v>
          </cell>
          <cell r="GH27">
            <v>100</v>
          </cell>
          <cell r="GI27">
            <v>100</v>
          </cell>
          <cell r="GJ27" t="str">
            <v>-</v>
          </cell>
          <cell r="GK27">
            <v>100</v>
          </cell>
          <cell r="GL27">
            <v>100</v>
          </cell>
          <cell r="GM27" t="str">
            <v>-</v>
          </cell>
          <cell r="GN27">
            <v>100</v>
          </cell>
          <cell r="GO27">
            <v>100</v>
          </cell>
          <cell r="GP27" t="str">
            <v>-</v>
          </cell>
          <cell r="GQ27">
            <v>100</v>
          </cell>
          <cell r="GR27">
            <v>100</v>
          </cell>
          <cell r="GS27" t="str">
            <v>-</v>
          </cell>
          <cell r="GT27">
            <v>100</v>
          </cell>
          <cell r="GU27">
            <v>100</v>
          </cell>
          <cell r="GV27" t="str">
            <v>-</v>
          </cell>
          <cell r="GW27">
            <v>100</v>
          </cell>
          <cell r="GX27">
            <v>100</v>
          </cell>
          <cell r="GY27" t="str">
            <v>-</v>
          </cell>
          <cell r="GZ27">
            <v>100</v>
          </cell>
          <cell r="HA27">
            <v>100</v>
          </cell>
          <cell r="HB27" t="str">
            <v>-</v>
          </cell>
          <cell r="HC27">
            <v>100</v>
          </cell>
          <cell r="HD27">
            <v>100</v>
          </cell>
          <cell r="HE27" t="str">
            <v>-</v>
          </cell>
          <cell r="HF27">
            <v>100</v>
          </cell>
          <cell r="HG27">
            <v>100</v>
          </cell>
          <cell r="HH27" t="str">
            <v>-</v>
          </cell>
          <cell r="HI27">
            <v>100</v>
          </cell>
          <cell r="HJ27">
            <v>100</v>
          </cell>
          <cell r="HK27" t="str">
            <v>-</v>
          </cell>
          <cell r="HL27">
            <v>100</v>
          </cell>
          <cell r="HM27">
            <v>100</v>
          </cell>
          <cell r="HN27" t="str">
            <v>-</v>
          </cell>
          <cell r="HO27">
            <v>100</v>
          </cell>
          <cell r="HP27">
            <v>100</v>
          </cell>
          <cell r="HQ27" t="str">
            <v>-</v>
          </cell>
          <cell r="HR27">
            <v>100</v>
          </cell>
          <cell r="HS27">
            <v>100</v>
          </cell>
          <cell r="HT27" t="str">
            <v>-</v>
          </cell>
          <cell r="HU27">
            <v>100</v>
          </cell>
          <cell r="HV27">
            <v>100</v>
          </cell>
          <cell r="HW27" t="str">
            <v>-</v>
          </cell>
          <cell r="HX27">
            <v>100</v>
          </cell>
          <cell r="HY27">
            <v>100</v>
          </cell>
          <cell r="HZ27" t="str">
            <v>-</v>
          </cell>
          <cell r="IA27">
            <v>100</v>
          </cell>
          <cell r="IB27">
            <v>100</v>
          </cell>
          <cell r="IC27" t="str">
            <v>-</v>
          </cell>
          <cell r="ID27">
            <v>100</v>
          </cell>
          <cell r="IE27">
            <v>100</v>
          </cell>
          <cell r="IF27" t="str">
            <v>-</v>
          </cell>
          <cell r="IG27">
            <v>100</v>
          </cell>
          <cell r="IH27">
            <v>100</v>
          </cell>
          <cell r="II27" t="str">
            <v>-</v>
          </cell>
          <cell r="IJ27">
            <v>100</v>
          </cell>
          <cell r="IK27">
            <v>100</v>
          </cell>
          <cell r="IL27" t="str">
            <v>-</v>
          </cell>
          <cell r="IM27">
            <v>100</v>
          </cell>
          <cell r="IN27">
            <v>100</v>
          </cell>
          <cell r="IO27" t="str">
            <v>-</v>
          </cell>
          <cell r="IP27">
            <v>100</v>
          </cell>
          <cell r="IQ27">
            <v>100</v>
          </cell>
          <cell r="IR27" t="str">
            <v>-</v>
          </cell>
          <cell r="IS27">
            <v>100</v>
          </cell>
          <cell r="IT27">
            <v>100</v>
          </cell>
          <cell r="IU27" t="str">
            <v>-</v>
          </cell>
          <cell r="IV27">
            <v>100</v>
          </cell>
          <cell r="IW27">
            <v>100</v>
          </cell>
          <cell r="IX27" t="str">
            <v>-</v>
          </cell>
          <cell r="IY27">
            <v>100</v>
          </cell>
          <cell r="IZ27">
            <v>100</v>
          </cell>
          <cell r="JA27" t="str">
            <v>-</v>
          </cell>
          <cell r="JB27">
            <v>1</v>
          </cell>
          <cell r="JC27">
            <v>1</v>
          </cell>
          <cell r="JD27">
            <v>100</v>
          </cell>
          <cell r="JE27">
            <v>100</v>
          </cell>
          <cell r="JF27">
            <v>100</v>
          </cell>
          <cell r="JG27" t="str">
            <v>-</v>
          </cell>
          <cell r="JH27">
            <v>0</v>
          </cell>
          <cell r="JI27">
            <v>0</v>
          </cell>
          <cell r="JJ27" t="str">
            <v>-</v>
          </cell>
          <cell r="JK27">
            <v>0</v>
          </cell>
          <cell r="JL27">
            <v>0</v>
          </cell>
          <cell r="JM27" t="str">
            <v>-</v>
          </cell>
          <cell r="JN27">
            <v>0</v>
          </cell>
          <cell r="JO27">
            <v>0</v>
          </cell>
          <cell r="JP27" t="str">
            <v>-</v>
          </cell>
          <cell r="JQ27">
            <v>2</v>
          </cell>
          <cell r="JR27">
            <v>0</v>
          </cell>
          <cell r="JS27">
            <v>100</v>
          </cell>
          <cell r="JT27">
            <v>2</v>
          </cell>
          <cell r="JU27">
            <v>0</v>
          </cell>
          <cell r="JV27">
            <v>100</v>
          </cell>
          <cell r="JW27">
            <v>0</v>
          </cell>
          <cell r="JX27">
            <v>0</v>
          </cell>
          <cell r="JY27" t="str">
            <v>-</v>
          </cell>
          <cell r="JZ27">
            <v>0</v>
          </cell>
          <cell r="KA27">
            <v>0</v>
          </cell>
          <cell r="KB27" t="str">
            <v>-</v>
          </cell>
          <cell r="KC27">
            <v>0</v>
          </cell>
          <cell r="KD27">
            <v>0</v>
          </cell>
          <cell r="KE27" t="str">
            <v>-</v>
          </cell>
          <cell r="KF27">
            <v>0</v>
          </cell>
          <cell r="KG27">
            <v>0</v>
          </cell>
          <cell r="KH27" t="str">
            <v>-</v>
          </cell>
          <cell r="KI27">
            <v>0</v>
          </cell>
          <cell r="KJ27">
            <v>0</v>
          </cell>
          <cell r="KK27" t="str">
            <v>-</v>
          </cell>
          <cell r="KL27">
            <v>1</v>
          </cell>
          <cell r="KM27">
            <v>0</v>
          </cell>
          <cell r="KN27">
            <v>100</v>
          </cell>
        </row>
        <row r="28">
          <cell r="C28" t="str">
            <v>Budapesti Rendőr-főkapitányság</v>
          </cell>
          <cell r="D28">
            <v>75</v>
          </cell>
          <cell r="E28">
            <v>11</v>
          </cell>
          <cell r="F28">
            <v>87.2</v>
          </cell>
          <cell r="G28">
            <v>81</v>
          </cell>
          <cell r="H28">
            <v>13</v>
          </cell>
          <cell r="I28">
            <v>86.2</v>
          </cell>
          <cell r="J28">
            <v>42</v>
          </cell>
          <cell r="K28">
            <v>9</v>
          </cell>
          <cell r="L28">
            <v>82.4</v>
          </cell>
          <cell r="M28">
            <v>41</v>
          </cell>
          <cell r="N28">
            <v>18</v>
          </cell>
          <cell r="O28">
            <v>69.5</v>
          </cell>
          <cell r="P28">
            <v>39</v>
          </cell>
          <cell r="Q28">
            <v>8</v>
          </cell>
          <cell r="R28">
            <v>83</v>
          </cell>
          <cell r="S28">
            <v>28</v>
          </cell>
          <cell r="T28">
            <v>7</v>
          </cell>
          <cell r="U28">
            <v>80</v>
          </cell>
          <cell r="V28">
            <v>43</v>
          </cell>
          <cell r="W28">
            <v>3</v>
          </cell>
          <cell r="X28">
            <v>93.5</v>
          </cell>
          <cell r="Y28">
            <v>34</v>
          </cell>
          <cell r="Z28">
            <v>3</v>
          </cell>
          <cell r="AA28">
            <v>91.9</v>
          </cell>
          <cell r="AB28">
            <v>29</v>
          </cell>
          <cell r="AC28">
            <v>3</v>
          </cell>
          <cell r="AD28">
            <v>90.6</v>
          </cell>
          <cell r="AE28">
            <v>27</v>
          </cell>
          <cell r="AF28">
            <v>7</v>
          </cell>
          <cell r="AG28">
            <v>79.400000000000006</v>
          </cell>
          <cell r="AH28">
            <v>22</v>
          </cell>
          <cell r="AI28">
            <v>5</v>
          </cell>
          <cell r="AJ28">
            <v>81.5</v>
          </cell>
          <cell r="AK28">
            <v>21</v>
          </cell>
          <cell r="AL28">
            <v>7</v>
          </cell>
          <cell r="AM28">
            <v>75</v>
          </cell>
          <cell r="AN28">
            <v>20</v>
          </cell>
          <cell r="AO28">
            <v>7</v>
          </cell>
          <cell r="AP28">
            <v>74.099999999999994</v>
          </cell>
          <cell r="AQ28">
            <v>14</v>
          </cell>
          <cell r="AR28">
            <v>4</v>
          </cell>
          <cell r="AS28">
            <v>77.8</v>
          </cell>
          <cell r="AT28">
            <v>20</v>
          </cell>
          <cell r="AU28">
            <v>1</v>
          </cell>
          <cell r="AV28">
            <v>95.2</v>
          </cell>
          <cell r="AW28">
            <v>15</v>
          </cell>
          <cell r="AX28">
            <v>2</v>
          </cell>
          <cell r="AY28">
            <v>88.2</v>
          </cell>
          <cell r="AZ28">
            <v>36</v>
          </cell>
          <cell r="BA28">
            <v>3</v>
          </cell>
          <cell r="BB28">
            <v>92.3</v>
          </cell>
          <cell r="BC28">
            <v>29</v>
          </cell>
          <cell r="BD28">
            <v>4</v>
          </cell>
          <cell r="BE28">
            <v>87.9</v>
          </cell>
          <cell r="BF28">
            <v>16</v>
          </cell>
          <cell r="BG28">
            <v>3</v>
          </cell>
          <cell r="BH28">
            <v>84.2</v>
          </cell>
          <cell r="BI28">
            <v>20</v>
          </cell>
          <cell r="BJ28">
            <v>4</v>
          </cell>
          <cell r="BK28">
            <v>83.3</v>
          </cell>
          <cell r="BL28">
            <v>17</v>
          </cell>
          <cell r="BM28">
            <v>17</v>
          </cell>
          <cell r="BN28">
            <v>100</v>
          </cell>
          <cell r="BO28">
            <v>10</v>
          </cell>
          <cell r="BP28">
            <v>2</v>
          </cell>
          <cell r="BQ28">
            <v>83.3</v>
          </cell>
          <cell r="BR28">
            <v>17</v>
          </cell>
          <cell r="BS28">
            <v>1</v>
          </cell>
          <cell r="BT28">
            <v>94.4</v>
          </cell>
          <cell r="BU28">
            <v>16</v>
          </cell>
          <cell r="BV28">
            <v>16</v>
          </cell>
          <cell r="BW28">
            <v>100</v>
          </cell>
          <cell r="BX28">
            <v>1619</v>
          </cell>
          <cell r="BY28">
            <v>653</v>
          </cell>
          <cell r="BZ28">
            <v>71.3</v>
          </cell>
          <cell r="CA28">
            <v>1465</v>
          </cell>
          <cell r="CB28">
            <v>649</v>
          </cell>
          <cell r="CC28">
            <v>69.3</v>
          </cell>
          <cell r="CD28">
            <v>1366</v>
          </cell>
          <cell r="CE28">
            <v>909</v>
          </cell>
          <cell r="CF28">
            <v>60</v>
          </cell>
          <cell r="CG28">
            <v>1447</v>
          </cell>
          <cell r="CH28">
            <v>781</v>
          </cell>
          <cell r="CI28">
            <v>64.900000000000006</v>
          </cell>
          <cell r="CJ28">
            <v>1544</v>
          </cell>
          <cell r="CK28">
            <v>877</v>
          </cell>
          <cell r="CL28">
            <v>63.8</v>
          </cell>
          <cell r="CM28">
            <v>1580</v>
          </cell>
          <cell r="CN28">
            <v>897</v>
          </cell>
          <cell r="CO28">
            <v>63.8</v>
          </cell>
          <cell r="CP28">
            <v>1569</v>
          </cell>
          <cell r="CQ28">
            <v>822</v>
          </cell>
          <cell r="CR28">
            <v>65.599999999999994</v>
          </cell>
          <cell r="CS28">
            <v>1488</v>
          </cell>
          <cell r="CT28">
            <v>719</v>
          </cell>
          <cell r="CU28">
            <v>67.400000000000006</v>
          </cell>
          <cell r="CV28">
            <v>1092</v>
          </cell>
          <cell r="CW28">
            <v>568</v>
          </cell>
          <cell r="CX28">
            <v>65.8</v>
          </cell>
          <cell r="CY28">
            <v>961</v>
          </cell>
          <cell r="CZ28">
            <v>570</v>
          </cell>
          <cell r="DA28">
            <v>62.8</v>
          </cell>
          <cell r="DB28">
            <v>834</v>
          </cell>
          <cell r="DC28">
            <v>800</v>
          </cell>
          <cell r="DD28">
            <v>51</v>
          </cell>
          <cell r="DE28">
            <v>937</v>
          </cell>
          <cell r="DF28">
            <v>669</v>
          </cell>
          <cell r="DG28">
            <v>58.3</v>
          </cell>
          <cell r="DH28">
            <v>919</v>
          </cell>
          <cell r="DI28">
            <v>731</v>
          </cell>
          <cell r="DJ28">
            <v>55.7</v>
          </cell>
          <cell r="DK28">
            <v>911</v>
          </cell>
          <cell r="DL28">
            <v>734</v>
          </cell>
          <cell r="DM28">
            <v>55.4</v>
          </cell>
          <cell r="DN28">
            <v>849</v>
          </cell>
          <cell r="DO28">
            <v>699</v>
          </cell>
          <cell r="DP28">
            <v>54.8</v>
          </cell>
          <cell r="DQ28">
            <v>815</v>
          </cell>
          <cell r="DR28">
            <v>582</v>
          </cell>
          <cell r="DS28">
            <v>58.3</v>
          </cell>
          <cell r="DT28">
            <v>7</v>
          </cell>
          <cell r="DU28">
            <v>1</v>
          </cell>
          <cell r="DV28">
            <v>87.5</v>
          </cell>
          <cell r="DW28">
            <v>7</v>
          </cell>
          <cell r="DX28">
            <v>3</v>
          </cell>
          <cell r="DY28">
            <v>70</v>
          </cell>
          <cell r="DZ28">
            <v>1</v>
          </cell>
          <cell r="EA28">
            <v>7</v>
          </cell>
          <cell r="EB28">
            <v>12.5</v>
          </cell>
          <cell r="EC28">
            <v>2</v>
          </cell>
          <cell r="ED28">
            <v>4</v>
          </cell>
          <cell r="EE28">
            <v>33.299999999999997</v>
          </cell>
          <cell r="EF28">
            <v>4</v>
          </cell>
          <cell r="EG28">
            <v>4</v>
          </cell>
          <cell r="EH28">
            <v>100</v>
          </cell>
          <cell r="EI28">
            <v>1</v>
          </cell>
          <cell r="EJ28">
            <v>1</v>
          </cell>
          <cell r="EK28">
            <v>100</v>
          </cell>
          <cell r="EL28">
            <v>6</v>
          </cell>
          <cell r="EM28">
            <v>1</v>
          </cell>
          <cell r="EN28">
            <v>85.7</v>
          </cell>
          <cell r="EO28">
            <v>1</v>
          </cell>
          <cell r="EP28">
            <v>2</v>
          </cell>
          <cell r="EQ28">
            <v>33.299999999999997</v>
          </cell>
          <cell r="ER28">
            <v>205</v>
          </cell>
          <cell r="ES28">
            <v>110</v>
          </cell>
          <cell r="ET28">
            <v>65.099999999999994</v>
          </cell>
          <cell r="EU28">
            <v>241</v>
          </cell>
          <cell r="EV28">
            <v>98</v>
          </cell>
          <cell r="EW28">
            <v>71.099999999999994</v>
          </cell>
          <cell r="EX28">
            <v>150</v>
          </cell>
          <cell r="EY28">
            <v>89</v>
          </cell>
          <cell r="EZ28">
            <v>62.8</v>
          </cell>
          <cell r="FA28">
            <v>128</v>
          </cell>
          <cell r="FB28">
            <v>109</v>
          </cell>
          <cell r="FC28">
            <v>54</v>
          </cell>
          <cell r="FD28">
            <v>176</v>
          </cell>
          <cell r="FE28">
            <v>164</v>
          </cell>
          <cell r="FF28">
            <v>51.8</v>
          </cell>
          <cell r="FG28">
            <v>166</v>
          </cell>
          <cell r="FH28">
            <v>136</v>
          </cell>
          <cell r="FI28">
            <v>55</v>
          </cell>
          <cell r="FJ28">
            <v>143</v>
          </cell>
          <cell r="FK28">
            <v>125</v>
          </cell>
          <cell r="FL28">
            <v>53.4</v>
          </cell>
          <cell r="FM28">
            <v>193</v>
          </cell>
          <cell r="FN28">
            <v>136</v>
          </cell>
          <cell r="FO28">
            <v>58.7</v>
          </cell>
          <cell r="FP28">
            <v>2</v>
          </cell>
          <cell r="FQ28">
            <v>2</v>
          </cell>
          <cell r="FR28">
            <v>100</v>
          </cell>
          <cell r="FS28">
            <v>1</v>
          </cell>
          <cell r="FT28">
            <v>1</v>
          </cell>
          <cell r="FU28">
            <v>100</v>
          </cell>
          <cell r="FV28">
            <v>100</v>
          </cell>
          <cell r="FW28">
            <v>1</v>
          </cell>
          <cell r="FX28">
            <v>0</v>
          </cell>
          <cell r="FY28">
            <v>0</v>
          </cell>
          <cell r="FZ28">
            <v>0</v>
          </cell>
          <cell r="GA28" t="str">
            <v>-</v>
          </cell>
          <cell r="GB28">
            <v>1</v>
          </cell>
          <cell r="GC28">
            <v>1</v>
          </cell>
          <cell r="GD28">
            <v>100</v>
          </cell>
          <cell r="GE28">
            <v>31</v>
          </cell>
          <cell r="GF28">
            <v>21</v>
          </cell>
          <cell r="GG28">
            <v>59.6</v>
          </cell>
          <cell r="GH28">
            <v>34</v>
          </cell>
          <cell r="GI28">
            <v>11</v>
          </cell>
          <cell r="GJ28">
            <v>75.599999999999994</v>
          </cell>
          <cell r="GK28">
            <v>22</v>
          </cell>
          <cell r="GL28">
            <v>8</v>
          </cell>
          <cell r="GM28">
            <v>73.3</v>
          </cell>
          <cell r="GN28">
            <v>1578</v>
          </cell>
          <cell r="GO28">
            <v>546</v>
          </cell>
          <cell r="GP28">
            <v>74.3</v>
          </cell>
          <cell r="GQ28">
            <v>1436</v>
          </cell>
          <cell r="GR28">
            <v>610</v>
          </cell>
          <cell r="GS28">
            <v>70.2</v>
          </cell>
          <cell r="GT28">
            <v>1495</v>
          </cell>
          <cell r="GU28">
            <v>879</v>
          </cell>
          <cell r="GV28">
            <v>63</v>
          </cell>
          <cell r="GW28">
            <v>1717</v>
          </cell>
          <cell r="GX28">
            <v>953</v>
          </cell>
          <cell r="GY28">
            <v>64.3</v>
          </cell>
          <cell r="GZ28">
            <v>1893</v>
          </cell>
          <cell r="HA28">
            <v>1056</v>
          </cell>
          <cell r="HB28">
            <v>64.2</v>
          </cell>
          <cell r="HC28">
            <v>2204</v>
          </cell>
          <cell r="HD28">
            <v>1018</v>
          </cell>
          <cell r="HE28">
            <v>68.400000000000006</v>
          </cell>
          <cell r="HF28">
            <v>2192</v>
          </cell>
          <cell r="HG28">
            <v>927</v>
          </cell>
          <cell r="HH28">
            <v>70.3</v>
          </cell>
          <cell r="HI28">
            <v>2177</v>
          </cell>
          <cell r="HJ28">
            <v>887</v>
          </cell>
          <cell r="HK28">
            <v>71.099999999999994</v>
          </cell>
          <cell r="HL28">
            <v>116</v>
          </cell>
          <cell r="HM28">
            <v>122</v>
          </cell>
          <cell r="HN28">
            <v>48.7</v>
          </cell>
          <cell r="HO28">
            <v>113</v>
          </cell>
          <cell r="HP28">
            <v>109</v>
          </cell>
          <cell r="HQ28">
            <v>50.9</v>
          </cell>
          <cell r="HR28">
            <v>79</v>
          </cell>
          <cell r="HS28">
            <v>109</v>
          </cell>
          <cell r="HT28">
            <v>42</v>
          </cell>
          <cell r="HU28">
            <v>87</v>
          </cell>
          <cell r="HV28">
            <v>114</v>
          </cell>
          <cell r="HW28">
            <v>43.3</v>
          </cell>
          <cell r="HX28">
            <v>87</v>
          </cell>
          <cell r="HY28">
            <v>103</v>
          </cell>
          <cell r="HZ28">
            <v>45.8</v>
          </cell>
          <cell r="IA28">
            <v>79</v>
          </cell>
          <cell r="IB28">
            <v>68</v>
          </cell>
          <cell r="IC28">
            <v>53.7</v>
          </cell>
          <cell r="ID28">
            <v>100</v>
          </cell>
          <cell r="IE28">
            <v>77</v>
          </cell>
          <cell r="IF28">
            <v>56.5</v>
          </cell>
          <cell r="IG28">
            <v>63</v>
          </cell>
          <cell r="IH28">
            <v>68</v>
          </cell>
          <cell r="II28">
            <v>48.1</v>
          </cell>
          <cell r="IJ28">
            <v>94</v>
          </cell>
          <cell r="IK28">
            <v>34</v>
          </cell>
          <cell r="IL28">
            <v>73.400000000000006</v>
          </cell>
          <cell r="IM28">
            <v>95</v>
          </cell>
          <cell r="IN28">
            <v>29</v>
          </cell>
          <cell r="IO28">
            <v>76.599999999999994</v>
          </cell>
          <cell r="IP28">
            <v>122</v>
          </cell>
          <cell r="IQ28">
            <v>27</v>
          </cell>
          <cell r="IR28">
            <v>81.900000000000006</v>
          </cell>
          <cell r="IS28">
            <v>80</v>
          </cell>
          <cell r="IT28">
            <v>33</v>
          </cell>
          <cell r="IU28">
            <v>70.8</v>
          </cell>
          <cell r="IV28">
            <v>63</v>
          </cell>
          <cell r="IW28">
            <v>44</v>
          </cell>
          <cell r="IX28">
            <v>58.9</v>
          </cell>
          <cell r="IY28">
            <v>83</v>
          </cell>
          <cell r="IZ28">
            <v>45</v>
          </cell>
          <cell r="JA28">
            <v>64.8</v>
          </cell>
          <cell r="JB28">
            <v>104</v>
          </cell>
          <cell r="JC28">
            <v>29</v>
          </cell>
          <cell r="JD28">
            <v>78.2</v>
          </cell>
          <cell r="JE28">
            <v>146</v>
          </cell>
          <cell r="JF28">
            <v>34</v>
          </cell>
          <cell r="JG28">
            <v>81.099999999999994</v>
          </cell>
          <cell r="JH28">
            <v>185</v>
          </cell>
          <cell r="JI28">
            <v>39</v>
          </cell>
          <cell r="JJ28">
            <v>82.589285714285708</v>
          </cell>
          <cell r="JK28">
            <v>90</v>
          </cell>
          <cell r="JL28">
            <v>21</v>
          </cell>
          <cell r="JM28">
            <v>81.081081081081081</v>
          </cell>
          <cell r="JN28">
            <v>80</v>
          </cell>
          <cell r="JO28">
            <v>7</v>
          </cell>
          <cell r="JP28">
            <v>91.954022988505741</v>
          </cell>
          <cell r="JQ28">
            <v>7628</v>
          </cell>
          <cell r="JR28">
            <v>4096</v>
          </cell>
          <cell r="JS28">
            <v>65.063118389628116</v>
          </cell>
          <cell r="JT28">
            <v>4431</v>
          </cell>
          <cell r="JU28">
            <v>3415</v>
          </cell>
          <cell r="JV28">
            <v>56.474636757583482</v>
          </cell>
          <cell r="JW28">
            <v>14</v>
          </cell>
          <cell r="JX28">
            <v>7</v>
          </cell>
          <cell r="JY28">
            <v>66.666666666666657</v>
          </cell>
          <cell r="JZ28">
            <v>806</v>
          </cell>
          <cell r="KA28">
            <v>670</v>
          </cell>
          <cell r="KB28">
            <v>54.607046070460704</v>
          </cell>
          <cell r="KC28">
            <v>88</v>
          </cell>
          <cell r="KD28">
            <v>40</v>
          </cell>
          <cell r="KE28">
            <v>68.75</v>
          </cell>
          <cell r="KF28">
            <v>10183</v>
          </cell>
          <cell r="KG28">
            <v>4841</v>
          </cell>
          <cell r="KH28">
            <v>67.778221512247072</v>
          </cell>
          <cell r="KI28">
            <v>416</v>
          </cell>
          <cell r="KJ28">
            <v>430</v>
          </cell>
          <cell r="KK28">
            <v>49.1725768321513</v>
          </cell>
          <cell r="KL28">
            <v>476</v>
          </cell>
          <cell r="KM28">
            <v>185</v>
          </cell>
          <cell r="KN28">
            <v>72.012102874432685</v>
          </cell>
        </row>
        <row r="29">
          <cell r="C29" t="str">
            <v>Baranya MRFK Központ</v>
          </cell>
          <cell r="D29">
            <v>13</v>
          </cell>
          <cell r="E29">
            <v>2</v>
          </cell>
          <cell r="F29">
            <v>86.7</v>
          </cell>
          <cell r="G29">
            <v>11</v>
          </cell>
          <cell r="H29">
            <v>11</v>
          </cell>
          <cell r="I29">
            <v>100</v>
          </cell>
          <cell r="J29">
            <v>6</v>
          </cell>
          <cell r="K29">
            <v>5</v>
          </cell>
          <cell r="L29">
            <v>54.5</v>
          </cell>
          <cell r="M29">
            <v>12</v>
          </cell>
          <cell r="N29">
            <v>12</v>
          </cell>
          <cell r="O29">
            <v>100</v>
          </cell>
          <cell r="P29">
            <v>8</v>
          </cell>
          <cell r="Q29">
            <v>2</v>
          </cell>
          <cell r="R29">
            <v>80</v>
          </cell>
          <cell r="S29">
            <v>11</v>
          </cell>
          <cell r="T29">
            <v>11</v>
          </cell>
          <cell r="U29">
            <v>100</v>
          </cell>
          <cell r="V29">
            <v>6</v>
          </cell>
          <cell r="W29">
            <v>6</v>
          </cell>
          <cell r="X29">
            <v>100</v>
          </cell>
          <cell r="Y29">
            <v>8</v>
          </cell>
          <cell r="Z29">
            <v>8</v>
          </cell>
          <cell r="AA29">
            <v>100</v>
          </cell>
          <cell r="AB29">
            <v>6</v>
          </cell>
          <cell r="AC29">
            <v>6</v>
          </cell>
          <cell r="AD29">
            <v>100</v>
          </cell>
          <cell r="AE29">
            <v>9</v>
          </cell>
          <cell r="AF29">
            <v>9</v>
          </cell>
          <cell r="AG29">
            <v>100</v>
          </cell>
          <cell r="AH29">
            <v>4</v>
          </cell>
          <cell r="AI29">
            <v>4</v>
          </cell>
          <cell r="AJ29">
            <v>100</v>
          </cell>
          <cell r="AK29">
            <v>9</v>
          </cell>
          <cell r="AL29">
            <v>9</v>
          </cell>
          <cell r="AM29">
            <v>100</v>
          </cell>
          <cell r="AN29">
            <v>3</v>
          </cell>
          <cell r="AO29">
            <v>1</v>
          </cell>
          <cell r="AP29">
            <v>75</v>
          </cell>
          <cell r="AQ29">
            <v>6</v>
          </cell>
          <cell r="AR29">
            <v>6</v>
          </cell>
          <cell r="AS29">
            <v>100</v>
          </cell>
          <cell r="AT29">
            <v>1</v>
          </cell>
          <cell r="AU29">
            <v>1</v>
          </cell>
          <cell r="AV29">
            <v>100</v>
          </cell>
          <cell r="AW29">
            <v>4</v>
          </cell>
          <cell r="AX29">
            <v>4</v>
          </cell>
          <cell r="AY29">
            <v>100</v>
          </cell>
          <cell r="AZ29">
            <v>6</v>
          </cell>
          <cell r="BA29">
            <v>2</v>
          </cell>
          <cell r="BB29">
            <v>75</v>
          </cell>
          <cell r="BC29">
            <v>2</v>
          </cell>
          <cell r="BD29">
            <v>2</v>
          </cell>
          <cell r="BE29">
            <v>100</v>
          </cell>
          <cell r="BF29">
            <v>2</v>
          </cell>
          <cell r="BG29">
            <v>2</v>
          </cell>
          <cell r="BH29">
            <v>100</v>
          </cell>
          <cell r="BI29">
            <v>2</v>
          </cell>
          <cell r="BJ29">
            <v>2</v>
          </cell>
          <cell r="BK29">
            <v>100</v>
          </cell>
          <cell r="BL29">
            <v>4</v>
          </cell>
          <cell r="BM29">
            <v>4</v>
          </cell>
          <cell r="BN29">
            <v>100</v>
          </cell>
          <cell r="BO29">
            <v>3</v>
          </cell>
          <cell r="BP29">
            <v>3</v>
          </cell>
          <cell r="BQ29">
            <v>100</v>
          </cell>
          <cell r="BR29">
            <v>5</v>
          </cell>
          <cell r="BS29">
            <v>5</v>
          </cell>
          <cell r="BT29">
            <v>100</v>
          </cell>
          <cell r="BU29">
            <v>3</v>
          </cell>
          <cell r="BV29">
            <v>3</v>
          </cell>
          <cell r="BW29">
            <v>100</v>
          </cell>
          <cell r="BX29">
            <v>27</v>
          </cell>
          <cell r="BY29">
            <v>6</v>
          </cell>
          <cell r="BZ29">
            <v>81.8</v>
          </cell>
          <cell r="CA29">
            <v>34</v>
          </cell>
          <cell r="CB29">
            <v>4</v>
          </cell>
          <cell r="CC29">
            <v>89.5</v>
          </cell>
          <cell r="CD29">
            <v>33</v>
          </cell>
          <cell r="CE29">
            <v>3</v>
          </cell>
          <cell r="CF29">
            <v>91.7</v>
          </cell>
          <cell r="CG29">
            <v>30</v>
          </cell>
          <cell r="CH29">
            <v>3</v>
          </cell>
          <cell r="CI29">
            <v>90.9</v>
          </cell>
          <cell r="CJ29">
            <v>27</v>
          </cell>
          <cell r="CK29">
            <v>7</v>
          </cell>
          <cell r="CL29">
            <v>79.400000000000006</v>
          </cell>
          <cell r="CM29">
            <v>21</v>
          </cell>
          <cell r="CN29">
            <v>2</v>
          </cell>
          <cell r="CO29">
            <v>91.3</v>
          </cell>
          <cell r="CP29">
            <v>15</v>
          </cell>
          <cell r="CQ29">
            <v>1</v>
          </cell>
          <cell r="CR29">
            <v>93.8</v>
          </cell>
          <cell r="CS29">
            <v>12</v>
          </cell>
          <cell r="CT29">
            <v>12</v>
          </cell>
          <cell r="CU29">
            <v>100</v>
          </cell>
          <cell r="CV29">
            <v>23</v>
          </cell>
          <cell r="CW29">
            <v>6</v>
          </cell>
          <cell r="CX29">
            <v>79.3</v>
          </cell>
          <cell r="CY29">
            <v>24</v>
          </cell>
          <cell r="CZ29">
            <v>2</v>
          </cell>
          <cell r="DA29">
            <v>92.3</v>
          </cell>
          <cell r="DB29">
            <v>25</v>
          </cell>
          <cell r="DC29">
            <v>3</v>
          </cell>
          <cell r="DD29">
            <v>89.3</v>
          </cell>
          <cell r="DE29">
            <v>20</v>
          </cell>
          <cell r="DF29">
            <v>3</v>
          </cell>
          <cell r="DG29">
            <v>87</v>
          </cell>
          <cell r="DH29">
            <v>22</v>
          </cell>
          <cell r="DI29">
            <v>7</v>
          </cell>
          <cell r="DJ29">
            <v>75.900000000000006</v>
          </cell>
          <cell r="DK29">
            <v>17</v>
          </cell>
          <cell r="DL29">
            <v>2</v>
          </cell>
          <cell r="DM29">
            <v>89.5</v>
          </cell>
          <cell r="DN29">
            <v>10</v>
          </cell>
          <cell r="DO29">
            <v>1</v>
          </cell>
          <cell r="DP29">
            <v>90.9</v>
          </cell>
          <cell r="DQ29">
            <v>8</v>
          </cell>
          <cell r="DR29">
            <v>8</v>
          </cell>
          <cell r="DS29">
            <v>100</v>
          </cell>
          <cell r="DT29">
            <v>1</v>
          </cell>
          <cell r="DU29">
            <v>1</v>
          </cell>
          <cell r="DV29">
            <v>50</v>
          </cell>
          <cell r="DW29">
            <v>1</v>
          </cell>
          <cell r="DX29">
            <v>1</v>
          </cell>
          <cell r="DY29">
            <v>100</v>
          </cell>
          <cell r="DZ29">
            <v>100</v>
          </cell>
          <cell r="EA29">
            <v>100</v>
          </cell>
          <cell r="EB29" t="str">
            <v>-</v>
          </cell>
          <cell r="EC29">
            <v>1</v>
          </cell>
          <cell r="ED29">
            <v>1</v>
          </cell>
          <cell r="EE29">
            <v>100</v>
          </cell>
          <cell r="EF29">
            <v>1</v>
          </cell>
          <cell r="EG29">
            <v>1</v>
          </cell>
          <cell r="EH29">
            <v>100</v>
          </cell>
          <cell r="EI29">
            <v>100</v>
          </cell>
          <cell r="EJ29">
            <v>100</v>
          </cell>
          <cell r="EK29" t="str">
            <v>-</v>
          </cell>
          <cell r="EL29">
            <v>100</v>
          </cell>
          <cell r="EM29">
            <v>100</v>
          </cell>
          <cell r="EN29" t="str">
            <v>-</v>
          </cell>
          <cell r="EO29">
            <v>100</v>
          </cell>
          <cell r="EP29">
            <v>100</v>
          </cell>
          <cell r="EQ29" t="str">
            <v>-</v>
          </cell>
          <cell r="ER29">
            <v>100</v>
          </cell>
          <cell r="ES29">
            <v>100</v>
          </cell>
          <cell r="ET29" t="str">
            <v>-</v>
          </cell>
          <cell r="EU29">
            <v>7</v>
          </cell>
          <cell r="EV29">
            <v>7</v>
          </cell>
          <cell r="EW29">
            <v>100</v>
          </cell>
          <cell r="EX29">
            <v>11</v>
          </cell>
          <cell r="EY29">
            <v>11</v>
          </cell>
          <cell r="EZ29">
            <v>100</v>
          </cell>
          <cell r="FA29">
            <v>100</v>
          </cell>
          <cell r="FB29">
            <v>100</v>
          </cell>
          <cell r="FC29" t="str">
            <v>-</v>
          </cell>
          <cell r="FD29">
            <v>100</v>
          </cell>
          <cell r="FE29">
            <v>100</v>
          </cell>
          <cell r="FF29" t="str">
            <v>-</v>
          </cell>
          <cell r="FG29">
            <v>2</v>
          </cell>
          <cell r="FH29">
            <v>2</v>
          </cell>
          <cell r="FI29">
            <v>100</v>
          </cell>
          <cell r="FJ29">
            <v>100</v>
          </cell>
          <cell r="FK29">
            <v>100</v>
          </cell>
          <cell r="FL29" t="str">
            <v>-</v>
          </cell>
          <cell r="FM29">
            <v>1</v>
          </cell>
          <cell r="FN29">
            <v>1</v>
          </cell>
          <cell r="FO29">
            <v>100</v>
          </cell>
          <cell r="FP29">
            <v>100</v>
          </cell>
          <cell r="FQ29">
            <v>100</v>
          </cell>
          <cell r="FR29" t="str">
            <v>-</v>
          </cell>
          <cell r="FS29">
            <v>100</v>
          </cell>
          <cell r="FT29">
            <v>100</v>
          </cell>
          <cell r="FU29" t="str">
            <v>-</v>
          </cell>
          <cell r="FV29">
            <v>100</v>
          </cell>
          <cell r="FW29">
            <v>100</v>
          </cell>
          <cell r="FX29" t="str">
            <v>-</v>
          </cell>
          <cell r="FY29">
            <v>100</v>
          </cell>
          <cell r="FZ29">
            <v>100</v>
          </cell>
          <cell r="GA29" t="str">
            <v>-</v>
          </cell>
          <cell r="GB29">
            <v>3</v>
          </cell>
          <cell r="GC29">
            <v>3</v>
          </cell>
          <cell r="GD29">
            <v>100</v>
          </cell>
          <cell r="GE29">
            <v>1</v>
          </cell>
          <cell r="GF29">
            <v>1</v>
          </cell>
          <cell r="GG29">
            <v>100</v>
          </cell>
          <cell r="GH29">
            <v>1</v>
          </cell>
          <cell r="GI29">
            <v>1</v>
          </cell>
          <cell r="GJ29">
            <v>100</v>
          </cell>
          <cell r="GK29">
            <v>100</v>
          </cell>
          <cell r="GL29">
            <v>100</v>
          </cell>
          <cell r="GM29" t="str">
            <v>-</v>
          </cell>
          <cell r="GN29">
            <v>10</v>
          </cell>
          <cell r="GO29">
            <v>10</v>
          </cell>
          <cell r="GP29">
            <v>100</v>
          </cell>
          <cell r="GQ29">
            <v>23</v>
          </cell>
          <cell r="GR29">
            <v>1</v>
          </cell>
          <cell r="GS29">
            <v>95.8</v>
          </cell>
          <cell r="GT29">
            <v>15</v>
          </cell>
          <cell r="GU29">
            <v>1</v>
          </cell>
          <cell r="GV29">
            <v>93.8</v>
          </cell>
          <cell r="GW29">
            <v>24</v>
          </cell>
          <cell r="GX29">
            <v>4</v>
          </cell>
          <cell r="GY29">
            <v>85.7</v>
          </cell>
          <cell r="GZ29">
            <v>14</v>
          </cell>
          <cell r="HA29">
            <v>3</v>
          </cell>
          <cell r="HB29">
            <v>82.4</v>
          </cell>
          <cell r="HC29">
            <v>3</v>
          </cell>
          <cell r="HD29">
            <v>3</v>
          </cell>
          <cell r="HE29">
            <v>100</v>
          </cell>
          <cell r="HF29">
            <v>5</v>
          </cell>
          <cell r="HG29">
            <v>5</v>
          </cell>
          <cell r="HH29">
            <v>100</v>
          </cell>
          <cell r="HI29">
            <v>4</v>
          </cell>
          <cell r="HJ29">
            <v>4</v>
          </cell>
          <cell r="HK29">
            <v>100</v>
          </cell>
          <cell r="HL29">
            <v>1</v>
          </cell>
          <cell r="HM29">
            <v>1</v>
          </cell>
          <cell r="HN29">
            <v>50</v>
          </cell>
          <cell r="HO29">
            <v>2</v>
          </cell>
          <cell r="HP29">
            <v>3</v>
          </cell>
          <cell r="HQ29">
            <v>40</v>
          </cell>
          <cell r="HR29">
            <v>1</v>
          </cell>
          <cell r="HS29">
            <v>1</v>
          </cell>
          <cell r="HT29">
            <v>100</v>
          </cell>
          <cell r="HU29">
            <v>100</v>
          </cell>
          <cell r="HV29">
            <v>1</v>
          </cell>
          <cell r="HW29">
            <v>0</v>
          </cell>
          <cell r="HX29">
            <v>0</v>
          </cell>
          <cell r="HY29">
            <v>1</v>
          </cell>
          <cell r="HZ29">
            <v>0</v>
          </cell>
          <cell r="IA29">
            <v>3</v>
          </cell>
          <cell r="IB29">
            <v>3</v>
          </cell>
          <cell r="IC29">
            <v>100</v>
          </cell>
          <cell r="ID29">
            <v>100</v>
          </cell>
          <cell r="IE29">
            <v>100</v>
          </cell>
          <cell r="IF29" t="str">
            <v>-</v>
          </cell>
          <cell r="IG29">
            <v>100</v>
          </cell>
          <cell r="IH29">
            <v>100</v>
          </cell>
          <cell r="II29" t="str">
            <v>-</v>
          </cell>
          <cell r="IJ29">
            <v>12</v>
          </cell>
          <cell r="IK29">
            <v>12</v>
          </cell>
          <cell r="IL29">
            <v>100</v>
          </cell>
          <cell r="IM29">
            <v>11</v>
          </cell>
          <cell r="IN29">
            <v>11</v>
          </cell>
          <cell r="IO29">
            <v>100</v>
          </cell>
          <cell r="IP29">
            <v>1</v>
          </cell>
          <cell r="IQ29">
            <v>1</v>
          </cell>
          <cell r="IR29">
            <v>100</v>
          </cell>
          <cell r="IS29">
            <v>2</v>
          </cell>
          <cell r="IT29">
            <v>2</v>
          </cell>
          <cell r="IU29">
            <v>100</v>
          </cell>
          <cell r="IV29">
            <v>3</v>
          </cell>
          <cell r="IW29">
            <v>2</v>
          </cell>
          <cell r="IX29">
            <v>60</v>
          </cell>
          <cell r="IY29">
            <v>4</v>
          </cell>
          <cell r="IZ29">
            <v>4</v>
          </cell>
          <cell r="JA29">
            <v>100</v>
          </cell>
          <cell r="JB29">
            <v>16</v>
          </cell>
          <cell r="JC29">
            <v>16</v>
          </cell>
          <cell r="JD29">
            <v>100</v>
          </cell>
          <cell r="JE29">
            <v>7</v>
          </cell>
          <cell r="JF29">
            <v>7</v>
          </cell>
          <cell r="JG29">
            <v>100</v>
          </cell>
          <cell r="JH29">
            <v>45</v>
          </cell>
          <cell r="JI29">
            <v>2</v>
          </cell>
          <cell r="JJ29">
            <v>95.744680851063833</v>
          </cell>
          <cell r="JK29">
            <v>23</v>
          </cell>
          <cell r="JL29">
            <v>1</v>
          </cell>
          <cell r="JM29">
            <v>95.833333333333343</v>
          </cell>
          <cell r="JN29">
            <v>17</v>
          </cell>
          <cell r="JO29">
            <v>0</v>
          </cell>
          <cell r="JP29">
            <v>100</v>
          </cell>
          <cell r="JQ29">
            <v>105</v>
          </cell>
          <cell r="JR29">
            <v>13</v>
          </cell>
          <cell r="JS29">
            <v>88.983050847457619</v>
          </cell>
          <cell r="JT29">
            <v>77</v>
          </cell>
          <cell r="JU29">
            <v>13</v>
          </cell>
          <cell r="JV29">
            <v>85.555555555555557</v>
          </cell>
          <cell r="JW29">
            <v>2</v>
          </cell>
          <cell r="JX29">
            <v>0</v>
          </cell>
          <cell r="JY29">
            <v>100</v>
          </cell>
          <cell r="JZ29">
            <v>3</v>
          </cell>
          <cell r="KA29">
            <v>0</v>
          </cell>
          <cell r="KB29">
            <v>100</v>
          </cell>
          <cell r="KC29">
            <v>5</v>
          </cell>
          <cell r="KD29">
            <v>0</v>
          </cell>
          <cell r="KE29">
            <v>100</v>
          </cell>
          <cell r="KF29">
            <v>50</v>
          </cell>
          <cell r="KG29">
            <v>7</v>
          </cell>
          <cell r="KH29">
            <v>87.719298245614027</v>
          </cell>
          <cell r="KI29">
            <v>3</v>
          </cell>
          <cell r="KJ29">
            <v>2</v>
          </cell>
          <cell r="KK29">
            <v>60</v>
          </cell>
          <cell r="KL29">
            <v>32</v>
          </cell>
          <cell r="KM29">
            <v>2</v>
          </cell>
          <cell r="KN29">
            <v>94.117647058823522</v>
          </cell>
        </row>
        <row r="30">
          <cell r="C30" t="str">
            <v>Pécsi Rendőrkapitányság</v>
          </cell>
          <cell r="D30">
            <v>94.11761474609375</v>
          </cell>
          <cell r="E30">
            <v>94.11761474609375</v>
          </cell>
          <cell r="F30" t="str">
            <v>-</v>
          </cell>
          <cell r="G30">
            <v>94.11761474609375</v>
          </cell>
          <cell r="H30">
            <v>94.11761474609375</v>
          </cell>
          <cell r="I30" t="str">
            <v>-</v>
          </cell>
          <cell r="J30">
            <v>94.11761474609375</v>
          </cell>
          <cell r="K30">
            <v>94.11761474609375</v>
          </cell>
          <cell r="L30" t="str">
            <v>-</v>
          </cell>
          <cell r="M30">
            <v>94.11761474609375</v>
          </cell>
          <cell r="N30">
            <v>94.11761474609375</v>
          </cell>
          <cell r="O30" t="str">
            <v>-</v>
          </cell>
          <cell r="P30">
            <v>94.11761474609375</v>
          </cell>
          <cell r="Q30">
            <v>94.11761474609375</v>
          </cell>
          <cell r="R30" t="str">
            <v>-</v>
          </cell>
          <cell r="S30">
            <v>94.11761474609375</v>
          </cell>
          <cell r="T30">
            <v>94.11761474609375</v>
          </cell>
          <cell r="U30" t="str">
            <v>-</v>
          </cell>
          <cell r="V30">
            <v>94.11761474609375</v>
          </cell>
          <cell r="W30">
            <v>94.11761474609375</v>
          </cell>
          <cell r="X30" t="str">
            <v>-</v>
          </cell>
          <cell r="Y30">
            <v>94.11761474609375</v>
          </cell>
          <cell r="Z30">
            <v>94.11761474609375</v>
          </cell>
          <cell r="AA30" t="str">
            <v>-</v>
          </cell>
          <cell r="AB30">
            <v>94.11761474609375</v>
          </cell>
          <cell r="AC30">
            <v>94.11761474609375</v>
          </cell>
          <cell r="AD30" t="str">
            <v>-</v>
          </cell>
          <cell r="AE30">
            <v>94.11761474609375</v>
          </cell>
          <cell r="AF30">
            <v>94.11761474609375</v>
          </cell>
          <cell r="AG30" t="str">
            <v>-</v>
          </cell>
          <cell r="AH30">
            <v>94.11761474609375</v>
          </cell>
          <cell r="AI30">
            <v>94.11761474609375</v>
          </cell>
          <cell r="AJ30" t="str">
            <v>-</v>
          </cell>
          <cell r="AK30">
            <v>94.11761474609375</v>
          </cell>
          <cell r="AL30">
            <v>94.11761474609375</v>
          </cell>
          <cell r="AM30" t="str">
            <v>-</v>
          </cell>
          <cell r="AN30">
            <v>94.11761474609375</v>
          </cell>
          <cell r="AO30">
            <v>94.11761474609375</v>
          </cell>
          <cell r="AP30" t="str">
            <v>-</v>
          </cell>
          <cell r="AQ30">
            <v>94.11761474609375</v>
          </cell>
          <cell r="AR30">
            <v>94.11761474609375</v>
          </cell>
          <cell r="AS30" t="str">
            <v>-</v>
          </cell>
          <cell r="AT30">
            <v>94.11761474609375</v>
          </cell>
          <cell r="AU30">
            <v>94.11761474609375</v>
          </cell>
          <cell r="AV30" t="str">
            <v>-</v>
          </cell>
          <cell r="AW30">
            <v>94.11761474609375</v>
          </cell>
          <cell r="AX30">
            <v>94.11761474609375</v>
          </cell>
          <cell r="AY30" t="str">
            <v>-</v>
          </cell>
          <cell r="AZ30">
            <v>94.11761474609375</v>
          </cell>
          <cell r="BA30">
            <v>94.11761474609375</v>
          </cell>
          <cell r="BB30" t="str">
            <v>-</v>
          </cell>
          <cell r="BC30">
            <v>94.11761474609375</v>
          </cell>
          <cell r="BD30">
            <v>94.11761474609375</v>
          </cell>
          <cell r="BE30" t="str">
            <v>-</v>
          </cell>
          <cell r="BF30">
            <v>94.11761474609375</v>
          </cell>
          <cell r="BG30">
            <v>94.11761474609375</v>
          </cell>
          <cell r="BH30" t="str">
            <v>-</v>
          </cell>
          <cell r="BI30">
            <v>94.11761474609375</v>
          </cell>
          <cell r="BJ30">
            <v>94.11761474609375</v>
          </cell>
          <cell r="BK30" t="str">
            <v>-</v>
          </cell>
          <cell r="BL30">
            <v>94.11761474609375</v>
          </cell>
          <cell r="BM30">
            <v>94.11761474609375</v>
          </cell>
          <cell r="BN30" t="str">
            <v>-</v>
          </cell>
          <cell r="BO30">
            <v>94.11761474609375</v>
          </cell>
          <cell r="BP30">
            <v>94.11761474609375</v>
          </cell>
          <cell r="BQ30" t="str">
            <v>-</v>
          </cell>
          <cell r="BR30">
            <v>94.11761474609375</v>
          </cell>
          <cell r="BS30">
            <v>94.11761474609375</v>
          </cell>
          <cell r="BT30" t="str">
            <v>-</v>
          </cell>
          <cell r="BU30">
            <v>94.11761474609375</v>
          </cell>
          <cell r="BV30">
            <v>94.11761474609375</v>
          </cell>
          <cell r="BW30" t="str">
            <v>-</v>
          </cell>
          <cell r="BX30">
            <v>225</v>
          </cell>
          <cell r="BY30">
            <v>54</v>
          </cell>
          <cell r="BZ30">
            <v>80.599999999999994</v>
          </cell>
          <cell r="CA30">
            <v>185</v>
          </cell>
          <cell r="CB30">
            <v>70</v>
          </cell>
          <cell r="CC30">
            <v>72.5</v>
          </cell>
          <cell r="CD30">
            <v>206</v>
          </cell>
          <cell r="CE30">
            <v>54</v>
          </cell>
          <cell r="CF30">
            <v>79.2</v>
          </cell>
          <cell r="CG30">
            <v>181</v>
          </cell>
          <cell r="CH30">
            <v>52</v>
          </cell>
          <cell r="CI30">
            <v>77.7</v>
          </cell>
          <cell r="CJ30">
            <v>130</v>
          </cell>
          <cell r="CK30">
            <v>38</v>
          </cell>
          <cell r="CL30">
            <v>77.400000000000006</v>
          </cell>
          <cell r="CM30">
            <v>164</v>
          </cell>
          <cell r="CN30">
            <v>62</v>
          </cell>
          <cell r="CO30">
            <v>72.599999999999994</v>
          </cell>
          <cell r="CP30">
            <v>176</v>
          </cell>
          <cell r="CQ30">
            <v>46</v>
          </cell>
          <cell r="CR30">
            <v>79.3</v>
          </cell>
          <cell r="CS30">
            <v>168</v>
          </cell>
          <cell r="CT30">
            <v>58</v>
          </cell>
          <cell r="CU30">
            <v>74.3</v>
          </cell>
          <cell r="CV30">
            <v>109</v>
          </cell>
          <cell r="CW30">
            <v>42</v>
          </cell>
          <cell r="CX30">
            <v>72.2</v>
          </cell>
          <cell r="CY30">
            <v>85</v>
          </cell>
          <cell r="CZ30">
            <v>44</v>
          </cell>
          <cell r="DA30">
            <v>65.900000000000006</v>
          </cell>
          <cell r="DB30">
            <v>92</v>
          </cell>
          <cell r="DC30">
            <v>41</v>
          </cell>
          <cell r="DD30">
            <v>69.2</v>
          </cell>
          <cell r="DE30">
            <v>74</v>
          </cell>
          <cell r="DF30">
            <v>43</v>
          </cell>
          <cell r="DG30">
            <v>63.2</v>
          </cell>
          <cell r="DH30">
            <v>69</v>
          </cell>
          <cell r="DI30">
            <v>31</v>
          </cell>
          <cell r="DJ30">
            <v>69</v>
          </cell>
          <cell r="DK30">
            <v>69</v>
          </cell>
          <cell r="DL30">
            <v>43</v>
          </cell>
          <cell r="DM30">
            <v>61.6</v>
          </cell>
          <cell r="DN30">
            <v>85</v>
          </cell>
          <cell r="DO30">
            <v>33</v>
          </cell>
          <cell r="DP30">
            <v>72</v>
          </cell>
          <cell r="DQ30">
            <v>77</v>
          </cell>
          <cell r="DR30">
            <v>44</v>
          </cell>
          <cell r="DS30">
            <v>63.6</v>
          </cell>
          <cell r="DT30">
            <v>63.5999755859375</v>
          </cell>
          <cell r="DU30">
            <v>63.5999755859375</v>
          </cell>
          <cell r="DV30" t="str">
            <v>-</v>
          </cell>
          <cell r="DW30">
            <v>63.5999755859375</v>
          </cell>
          <cell r="DX30">
            <v>63.5999755859375</v>
          </cell>
          <cell r="DY30" t="str">
            <v>-</v>
          </cell>
          <cell r="DZ30">
            <v>63.5999755859375</v>
          </cell>
          <cell r="EA30">
            <v>63.5999755859375</v>
          </cell>
          <cell r="EB30" t="str">
            <v>-</v>
          </cell>
          <cell r="EC30">
            <v>63.5999755859375</v>
          </cell>
          <cell r="ED30">
            <v>63.5999755859375</v>
          </cell>
          <cell r="EE30" t="str">
            <v>-</v>
          </cell>
          <cell r="EF30">
            <v>63.5999755859375</v>
          </cell>
          <cell r="EG30">
            <v>63.5999755859375</v>
          </cell>
          <cell r="EH30" t="str">
            <v>-</v>
          </cell>
          <cell r="EI30">
            <v>63.5999755859375</v>
          </cell>
          <cell r="EJ30">
            <v>63.5999755859375</v>
          </cell>
          <cell r="EK30" t="str">
            <v>-</v>
          </cell>
          <cell r="EL30">
            <v>63.5999755859375</v>
          </cell>
          <cell r="EM30">
            <v>63.5999755859375</v>
          </cell>
          <cell r="EN30" t="str">
            <v>-</v>
          </cell>
          <cell r="EO30">
            <v>63.5999755859375</v>
          </cell>
          <cell r="EP30">
            <v>63.5999755859375</v>
          </cell>
          <cell r="EQ30" t="str">
            <v>-</v>
          </cell>
          <cell r="ER30">
            <v>33</v>
          </cell>
          <cell r="ES30">
            <v>37</v>
          </cell>
          <cell r="ET30">
            <v>47.1</v>
          </cell>
          <cell r="EU30">
            <v>42</v>
          </cell>
          <cell r="EV30">
            <v>16</v>
          </cell>
          <cell r="EW30">
            <v>72.400000000000006</v>
          </cell>
          <cell r="EX30">
            <v>18</v>
          </cell>
          <cell r="EY30">
            <v>7</v>
          </cell>
          <cell r="EZ30">
            <v>72</v>
          </cell>
          <cell r="FA30">
            <v>21</v>
          </cell>
          <cell r="FB30">
            <v>2</v>
          </cell>
          <cell r="FC30">
            <v>91.3</v>
          </cell>
          <cell r="FD30">
            <v>33</v>
          </cell>
          <cell r="FE30">
            <v>33</v>
          </cell>
          <cell r="FF30">
            <v>100</v>
          </cell>
          <cell r="FG30">
            <v>21</v>
          </cell>
          <cell r="FH30">
            <v>9</v>
          </cell>
          <cell r="FI30">
            <v>70</v>
          </cell>
          <cell r="FJ30">
            <v>17</v>
          </cell>
          <cell r="FK30">
            <v>7</v>
          </cell>
          <cell r="FL30">
            <v>70.8</v>
          </cell>
          <cell r="FM30">
            <v>18</v>
          </cell>
          <cell r="FN30">
            <v>7</v>
          </cell>
          <cell r="FO30">
            <v>72</v>
          </cell>
          <cell r="FP30">
            <v>72</v>
          </cell>
          <cell r="FQ30">
            <v>72</v>
          </cell>
          <cell r="FR30" t="str">
            <v>-</v>
          </cell>
          <cell r="FS30">
            <v>72</v>
          </cell>
          <cell r="FT30">
            <v>72</v>
          </cell>
          <cell r="FU30" t="str">
            <v>-</v>
          </cell>
          <cell r="FV30">
            <v>72</v>
          </cell>
          <cell r="FW30">
            <v>72</v>
          </cell>
          <cell r="FX30" t="str">
            <v>-</v>
          </cell>
          <cell r="FY30">
            <v>72</v>
          </cell>
          <cell r="FZ30">
            <v>72</v>
          </cell>
          <cell r="GA30" t="str">
            <v>-</v>
          </cell>
          <cell r="GB30">
            <v>72</v>
          </cell>
          <cell r="GC30">
            <v>72</v>
          </cell>
          <cell r="GD30" t="str">
            <v>-</v>
          </cell>
          <cell r="GE30">
            <v>72</v>
          </cell>
          <cell r="GF30">
            <v>72</v>
          </cell>
          <cell r="GG30" t="str">
            <v>-</v>
          </cell>
          <cell r="GH30">
            <v>72</v>
          </cell>
          <cell r="GI30">
            <v>72</v>
          </cell>
          <cell r="GJ30" t="str">
            <v>-</v>
          </cell>
          <cell r="GK30">
            <v>72</v>
          </cell>
          <cell r="GL30">
            <v>72</v>
          </cell>
          <cell r="GM30" t="str">
            <v>-</v>
          </cell>
          <cell r="GN30">
            <v>164</v>
          </cell>
          <cell r="GO30">
            <v>31</v>
          </cell>
          <cell r="GP30">
            <v>84.1</v>
          </cell>
          <cell r="GQ30">
            <v>186</v>
          </cell>
          <cell r="GR30">
            <v>40</v>
          </cell>
          <cell r="GS30">
            <v>82.3</v>
          </cell>
          <cell r="GT30">
            <v>207</v>
          </cell>
          <cell r="GU30">
            <v>74</v>
          </cell>
          <cell r="GV30">
            <v>73.7</v>
          </cell>
          <cell r="GW30">
            <v>197</v>
          </cell>
          <cell r="GX30">
            <v>56</v>
          </cell>
          <cell r="GY30">
            <v>77.900000000000006</v>
          </cell>
          <cell r="GZ30">
            <v>134</v>
          </cell>
          <cell r="HA30">
            <v>37</v>
          </cell>
          <cell r="HB30">
            <v>78.400000000000006</v>
          </cell>
          <cell r="HC30">
            <v>184</v>
          </cell>
          <cell r="HD30">
            <v>59</v>
          </cell>
          <cell r="HE30">
            <v>75.7</v>
          </cell>
          <cell r="HF30">
            <v>257</v>
          </cell>
          <cell r="HG30">
            <v>78</v>
          </cell>
          <cell r="HH30">
            <v>76.7</v>
          </cell>
          <cell r="HI30">
            <v>224</v>
          </cell>
          <cell r="HJ30">
            <v>84</v>
          </cell>
          <cell r="HK30">
            <v>72.7</v>
          </cell>
          <cell r="HL30">
            <v>14</v>
          </cell>
          <cell r="HM30">
            <v>10</v>
          </cell>
          <cell r="HN30">
            <v>58.3</v>
          </cell>
          <cell r="HO30">
            <v>14</v>
          </cell>
          <cell r="HP30">
            <v>9</v>
          </cell>
          <cell r="HQ30">
            <v>60.9</v>
          </cell>
          <cell r="HR30">
            <v>15</v>
          </cell>
          <cell r="HS30">
            <v>8</v>
          </cell>
          <cell r="HT30">
            <v>65.2</v>
          </cell>
          <cell r="HU30">
            <v>16</v>
          </cell>
          <cell r="HV30">
            <v>15</v>
          </cell>
          <cell r="HW30">
            <v>51.6</v>
          </cell>
          <cell r="HX30">
            <v>12</v>
          </cell>
          <cell r="HY30">
            <v>10</v>
          </cell>
          <cell r="HZ30">
            <v>54.5</v>
          </cell>
          <cell r="IA30">
            <v>16</v>
          </cell>
          <cell r="IB30">
            <v>9</v>
          </cell>
          <cell r="IC30">
            <v>64</v>
          </cell>
          <cell r="ID30">
            <v>6</v>
          </cell>
          <cell r="IE30">
            <v>9</v>
          </cell>
          <cell r="IF30">
            <v>40</v>
          </cell>
          <cell r="IG30">
            <v>8</v>
          </cell>
          <cell r="IH30">
            <v>10</v>
          </cell>
          <cell r="II30">
            <v>44.4</v>
          </cell>
          <cell r="IJ30">
            <v>2</v>
          </cell>
          <cell r="IK30">
            <v>1</v>
          </cell>
          <cell r="IL30">
            <v>66.7</v>
          </cell>
          <cell r="IM30">
            <v>1</v>
          </cell>
          <cell r="IN30">
            <v>2</v>
          </cell>
          <cell r="IO30">
            <v>33.299999999999997</v>
          </cell>
          <cell r="IP30">
            <v>5</v>
          </cell>
          <cell r="IQ30">
            <v>5</v>
          </cell>
          <cell r="IR30">
            <v>100</v>
          </cell>
          <cell r="IS30">
            <v>5</v>
          </cell>
          <cell r="IT30">
            <v>2</v>
          </cell>
          <cell r="IU30">
            <v>71.400000000000006</v>
          </cell>
          <cell r="IV30">
            <v>2</v>
          </cell>
          <cell r="IW30">
            <v>2</v>
          </cell>
          <cell r="IX30">
            <v>100</v>
          </cell>
          <cell r="IY30">
            <v>1</v>
          </cell>
          <cell r="IZ30">
            <v>1</v>
          </cell>
          <cell r="JA30">
            <v>100</v>
          </cell>
          <cell r="JB30">
            <v>1</v>
          </cell>
          <cell r="JC30">
            <v>1</v>
          </cell>
          <cell r="JD30">
            <v>50</v>
          </cell>
          <cell r="JE30">
            <v>2</v>
          </cell>
          <cell r="JF30">
            <v>2</v>
          </cell>
          <cell r="JG30">
            <v>100</v>
          </cell>
          <cell r="JH30">
            <v>0</v>
          </cell>
          <cell r="JI30">
            <v>0</v>
          </cell>
          <cell r="JJ30" t="str">
            <v>-</v>
          </cell>
          <cell r="JK30">
            <v>0</v>
          </cell>
          <cell r="JL30">
            <v>0</v>
          </cell>
          <cell r="JM30" t="str">
            <v>-</v>
          </cell>
          <cell r="JN30">
            <v>0</v>
          </cell>
          <cell r="JO30">
            <v>0</v>
          </cell>
          <cell r="JP30" t="str">
            <v>-</v>
          </cell>
          <cell r="JQ30">
            <v>819</v>
          </cell>
          <cell r="JR30">
            <v>256</v>
          </cell>
          <cell r="JS30">
            <v>76.186046511627907</v>
          </cell>
          <cell r="JT30">
            <v>374</v>
          </cell>
          <cell r="JU30">
            <v>194</v>
          </cell>
          <cell r="JV30">
            <v>65.845070422535215</v>
          </cell>
          <cell r="JW30">
            <v>0</v>
          </cell>
          <cell r="JX30">
            <v>0</v>
          </cell>
          <cell r="JY30" t="str">
            <v>-</v>
          </cell>
          <cell r="JZ30">
            <v>110</v>
          </cell>
          <cell r="KA30">
            <v>25</v>
          </cell>
          <cell r="KB30">
            <v>81.481481481481481</v>
          </cell>
          <cell r="KC30">
            <v>0</v>
          </cell>
          <cell r="KD30">
            <v>0</v>
          </cell>
          <cell r="KE30" t="str">
            <v>-</v>
          </cell>
          <cell r="KF30">
            <v>996</v>
          </cell>
          <cell r="KG30">
            <v>314</v>
          </cell>
          <cell r="KH30">
            <v>76.030534351145036</v>
          </cell>
          <cell r="KI30">
            <v>58</v>
          </cell>
          <cell r="KJ30">
            <v>53</v>
          </cell>
          <cell r="KK30">
            <v>52.252252252252248</v>
          </cell>
          <cell r="KL30">
            <v>11</v>
          </cell>
          <cell r="KM30">
            <v>3</v>
          </cell>
          <cell r="KN30">
            <v>78.571428571428569</v>
          </cell>
        </row>
        <row r="31">
          <cell r="C31" t="str">
            <v>Komlói Rendőrkapitányság</v>
          </cell>
          <cell r="D31">
            <v>78.5714111328125</v>
          </cell>
          <cell r="E31">
            <v>78.5714111328125</v>
          </cell>
          <cell r="F31" t="str">
            <v>-</v>
          </cell>
          <cell r="G31">
            <v>78.5714111328125</v>
          </cell>
          <cell r="H31">
            <v>78.5714111328125</v>
          </cell>
          <cell r="I31" t="str">
            <v>-</v>
          </cell>
          <cell r="J31">
            <v>78.5714111328125</v>
          </cell>
          <cell r="K31">
            <v>78.5714111328125</v>
          </cell>
          <cell r="L31" t="str">
            <v>-</v>
          </cell>
          <cell r="M31">
            <v>78.5714111328125</v>
          </cell>
          <cell r="N31">
            <v>78.5714111328125</v>
          </cell>
          <cell r="O31" t="str">
            <v>-</v>
          </cell>
          <cell r="P31">
            <v>78.5714111328125</v>
          </cell>
          <cell r="Q31">
            <v>78.5714111328125</v>
          </cell>
          <cell r="R31" t="str">
            <v>-</v>
          </cell>
          <cell r="S31">
            <v>78.5714111328125</v>
          </cell>
          <cell r="T31">
            <v>78.5714111328125</v>
          </cell>
          <cell r="U31" t="str">
            <v>-</v>
          </cell>
          <cell r="V31">
            <v>78.5714111328125</v>
          </cell>
          <cell r="W31">
            <v>78.5714111328125</v>
          </cell>
          <cell r="X31" t="str">
            <v>-</v>
          </cell>
          <cell r="Y31">
            <v>78.5714111328125</v>
          </cell>
          <cell r="Z31">
            <v>78.5714111328125</v>
          </cell>
          <cell r="AA31" t="str">
            <v>-</v>
          </cell>
          <cell r="AB31">
            <v>78.5714111328125</v>
          </cell>
          <cell r="AC31">
            <v>78.5714111328125</v>
          </cell>
          <cell r="AD31" t="str">
            <v>-</v>
          </cell>
          <cell r="AE31">
            <v>78.5714111328125</v>
          </cell>
          <cell r="AF31">
            <v>78.5714111328125</v>
          </cell>
          <cell r="AG31" t="str">
            <v>-</v>
          </cell>
          <cell r="AH31">
            <v>78.5714111328125</v>
          </cell>
          <cell r="AI31">
            <v>78.5714111328125</v>
          </cell>
          <cell r="AJ31" t="str">
            <v>-</v>
          </cell>
          <cell r="AK31">
            <v>78.5714111328125</v>
          </cell>
          <cell r="AL31">
            <v>78.5714111328125</v>
          </cell>
          <cell r="AM31" t="str">
            <v>-</v>
          </cell>
          <cell r="AN31">
            <v>78.5714111328125</v>
          </cell>
          <cell r="AO31">
            <v>78.5714111328125</v>
          </cell>
          <cell r="AP31" t="str">
            <v>-</v>
          </cell>
          <cell r="AQ31">
            <v>78.5714111328125</v>
          </cell>
          <cell r="AR31">
            <v>78.5714111328125</v>
          </cell>
          <cell r="AS31" t="str">
            <v>-</v>
          </cell>
          <cell r="AT31">
            <v>78.5714111328125</v>
          </cell>
          <cell r="AU31">
            <v>78.5714111328125</v>
          </cell>
          <cell r="AV31" t="str">
            <v>-</v>
          </cell>
          <cell r="AW31">
            <v>78.5714111328125</v>
          </cell>
          <cell r="AX31">
            <v>78.5714111328125</v>
          </cell>
          <cell r="AY31" t="str">
            <v>-</v>
          </cell>
          <cell r="AZ31">
            <v>78.5714111328125</v>
          </cell>
          <cell r="BA31">
            <v>78.5714111328125</v>
          </cell>
          <cell r="BB31" t="str">
            <v>-</v>
          </cell>
          <cell r="BC31">
            <v>78.5714111328125</v>
          </cell>
          <cell r="BD31">
            <v>78.5714111328125</v>
          </cell>
          <cell r="BE31" t="str">
            <v>-</v>
          </cell>
          <cell r="BF31">
            <v>78.5714111328125</v>
          </cell>
          <cell r="BG31">
            <v>78.5714111328125</v>
          </cell>
          <cell r="BH31" t="str">
            <v>-</v>
          </cell>
          <cell r="BI31">
            <v>78.5714111328125</v>
          </cell>
          <cell r="BJ31">
            <v>78.5714111328125</v>
          </cell>
          <cell r="BK31" t="str">
            <v>-</v>
          </cell>
          <cell r="BL31">
            <v>78.5714111328125</v>
          </cell>
          <cell r="BM31">
            <v>78.5714111328125</v>
          </cell>
          <cell r="BN31" t="str">
            <v>-</v>
          </cell>
          <cell r="BO31">
            <v>78.5714111328125</v>
          </cell>
          <cell r="BP31">
            <v>78.5714111328125</v>
          </cell>
          <cell r="BQ31" t="str">
            <v>-</v>
          </cell>
          <cell r="BR31">
            <v>78.5714111328125</v>
          </cell>
          <cell r="BS31">
            <v>78.5714111328125</v>
          </cell>
          <cell r="BT31" t="str">
            <v>-</v>
          </cell>
          <cell r="BU31">
            <v>78.5714111328125</v>
          </cell>
          <cell r="BV31">
            <v>78.5714111328125</v>
          </cell>
          <cell r="BW31" t="str">
            <v>-</v>
          </cell>
          <cell r="BX31">
            <v>83</v>
          </cell>
          <cell r="BY31">
            <v>18</v>
          </cell>
          <cell r="BZ31">
            <v>82.2</v>
          </cell>
          <cell r="CA31">
            <v>67</v>
          </cell>
          <cell r="CB31">
            <v>20</v>
          </cell>
          <cell r="CC31">
            <v>77</v>
          </cell>
          <cell r="CD31">
            <v>43</v>
          </cell>
          <cell r="CE31">
            <v>16</v>
          </cell>
          <cell r="CF31">
            <v>72.900000000000006</v>
          </cell>
          <cell r="CG31">
            <v>51</v>
          </cell>
          <cell r="CH31">
            <v>17</v>
          </cell>
          <cell r="CI31">
            <v>75</v>
          </cell>
          <cell r="CJ31">
            <v>62</v>
          </cell>
          <cell r="CK31">
            <v>11</v>
          </cell>
          <cell r="CL31">
            <v>84.9</v>
          </cell>
          <cell r="CM31">
            <v>66</v>
          </cell>
          <cell r="CN31">
            <v>10</v>
          </cell>
          <cell r="CO31">
            <v>86.8</v>
          </cell>
          <cell r="CP31">
            <v>56</v>
          </cell>
          <cell r="CQ31">
            <v>23</v>
          </cell>
          <cell r="CR31">
            <v>70.900000000000006</v>
          </cell>
          <cell r="CS31">
            <v>37</v>
          </cell>
          <cell r="CT31">
            <v>25</v>
          </cell>
          <cell r="CU31">
            <v>59.7</v>
          </cell>
          <cell r="CV31">
            <v>44</v>
          </cell>
          <cell r="CW31">
            <v>9</v>
          </cell>
          <cell r="CX31">
            <v>83</v>
          </cell>
          <cell r="CY31">
            <v>31</v>
          </cell>
          <cell r="CZ31">
            <v>20</v>
          </cell>
          <cell r="DA31">
            <v>60.8</v>
          </cell>
          <cell r="DB31">
            <v>19</v>
          </cell>
          <cell r="DC31">
            <v>14</v>
          </cell>
          <cell r="DD31">
            <v>57.6</v>
          </cell>
          <cell r="DE31">
            <v>17</v>
          </cell>
          <cell r="DF31">
            <v>12</v>
          </cell>
          <cell r="DG31">
            <v>58.6</v>
          </cell>
          <cell r="DH31">
            <v>30</v>
          </cell>
          <cell r="DI31">
            <v>7</v>
          </cell>
          <cell r="DJ31">
            <v>81.099999999999994</v>
          </cell>
          <cell r="DK31">
            <v>24</v>
          </cell>
          <cell r="DL31">
            <v>8</v>
          </cell>
          <cell r="DM31">
            <v>75</v>
          </cell>
          <cell r="DN31">
            <v>26</v>
          </cell>
          <cell r="DO31">
            <v>14</v>
          </cell>
          <cell r="DP31">
            <v>65</v>
          </cell>
          <cell r="DQ31">
            <v>11</v>
          </cell>
          <cell r="DR31">
            <v>13</v>
          </cell>
          <cell r="DS31">
            <v>45.8</v>
          </cell>
          <cell r="DT31">
            <v>45.79998779296875</v>
          </cell>
          <cell r="DU31">
            <v>45.79998779296875</v>
          </cell>
          <cell r="DV31" t="str">
            <v>-</v>
          </cell>
          <cell r="DW31">
            <v>45.79998779296875</v>
          </cell>
          <cell r="DX31">
            <v>45.79998779296875</v>
          </cell>
          <cell r="DY31" t="str">
            <v>-</v>
          </cell>
          <cell r="DZ31">
            <v>45.79998779296875</v>
          </cell>
          <cell r="EA31">
            <v>45.79998779296875</v>
          </cell>
          <cell r="EB31" t="str">
            <v>-</v>
          </cell>
          <cell r="EC31">
            <v>45.79998779296875</v>
          </cell>
          <cell r="ED31">
            <v>45.79998779296875</v>
          </cell>
          <cell r="EE31" t="str">
            <v>-</v>
          </cell>
          <cell r="EF31">
            <v>45.79998779296875</v>
          </cell>
          <cell r="EG31">
            <v>45.79998779296875</v>
          </cell>
          <cell r="EH31" t="str">
            <v>-</v>
          </cell>
          <cell r="EI31">
            <v>45.79998779296875</v>
          </cell>
          <cell r="EJ31">
            <v>45.79998779296875</v>
          </cell>
          <cell r="EK31" t="str">
            <v>-</v>
          </cell>
          <cell r="EL31">
            <v>45.79998779296875</v>
          </cell>
          <cell r="EM31">
            <v>45.79998779296875</v>
          </cell>
          <cell r="EN31" t="str">
            <v>-</v>
          </cell>
          <cell r="EO31">
            <v>45.79998779296875</v>
          </cell>
          <cell r="EP31">
            <v>45.79998779296875</v>
          </cell>
          <cell r="EQ31" t="str">
            <v>-</v>
          </cell>
          <cell r="ER31">
            <v>8</v>
          </cell>
          <cell r="ES31">
            <v>12</v>
          </cell>
          <cell r="ET31">
            <v>40</v>
          </cell>
          <cell r="EU31">
            <v>7</v>
          </cell>
          <cell r="EV31">
            <v>8</v>
          </cell>
          <cell r="EW31">
            <v>46.7</v>
          </cell>
          <cell r="EX31">
            <v>8</v>
          </cell>
          <cell r="EY31">
            <v>19</v>
          </cell>
          <cell r="EZ31">
            <v>29.6</v>
          </cell>
          <cell r="FA31">
            <v>17</v>
          </cell>
          <cell r="FB31">
            <v>11</v>
          </cell>
          <cell r="FC31">
            <v>60.7</v>
          </cell>
          <cell r="FD31">
            <v>25</v>
          </cell>
          <cell r="FE31">
            <v>3</v>
          </cell>
          <cell r="FF31">
            <v>89.3</v>
          </cell>
          <cell r="FG31">
            <v>9</v>
          </cell>
          <cell r="FH31">
            <v>5</v>
          </cell>
          <cell r="FI31">
            <v>64.3</v>
          </cell>
          <cell r="FJ31">
            <v>7</v>
          </cell>
          <cell r="FK31">
            <v>10</v>
          </cell>
          <cell r="FL31">
            <v>41.2</v>
          </cell>
          <cell r="FM31">
            <v>20</v>
          </cell>
          <cell r="FN31">
            <v>1</v>
          </cell>
          <cell r="FO31">
            <v>95.2</v>
          </cell>
          <cell r="FP31">
            <v>95.199951171875</v>
          </cell>
          <cell r="FQ31">
            <v>95.199951171875</v>
          </cell>
          <cell r="FR31" t="str">
            <v>-</v>
          </cell>
          <cell r="FS31">
            <v>95.199951171875</v>
          </cell>
          <cell r="FT31">
            <v>95.199951171875</v>
          </cell>
          <cell r="FU31" t="str">
            <v>-</v>
          </cell>
          <cell r="FV31">
            <v>95.199951171875</v>
          </cell>
          <cell r="FW31">
            <v>95.199951171875</v>
          </cell>
          <cell r="FX31" t="str">
            <v>-</v>
          </cell>
          <cell r="FY31">
            <v>95.199951171875</v>
          </cell>
          <cell r="FZ31">
            <v>95.199951171875</v>
          </cell>
          <cell r="GA31" t="str">
            <v>-</v>
          </cell>
          <cell r="GB31">
            <v>95.199951171875</v>
          </cell>
          <cell r="GC31">
            <v>95.199951171875</v>
          </cell>
          <cell r="GD31" t="str">
            <v>-</v>
          </cell>
          <cell r="GE31">
            <v>95.199951171875</v>
          </cell>
          <cell r="GF31">
            <v>95.199951171875</v>
          </cell>
          <cell r="GG31" t="str">
            <v>-</v>
          </cell>
          <cell r="GH31">
            <v>95.199951171875</v>
          </cell>
          <cell r="GI31">
            <v>95.199951171875</v>
          </cell>
          <cell r="GJ31" t="str">
            <v>-</v>
          </cell>
          <cell r="GK31">
            <v>95.199951171875</v>
          </cell>
          <cell r="GL31">
            <v>95.199951171875</v>
          </cell>
          <cell r="GM31" t="str">
            <v>-</v>
          </cell>
          <cell r="GN31">
            <v>57</v>
          </cell>
          <cell r="GO31">
            <v>12</v>
          </cell>
          <cell r="GP31">
            <v>82.6</v>
          </cell>
          <cell r="GQ31">
            <v>76</v>
          </cell>
          <cell r="GR31">
            <v>6</v>
          </cell>
          <cell r="GS31">
            <v>92.7</v>
          </cell>
          <cell r="GT31">
            <v>35</v>
          </cell>
          <cell r="GU31">
            <v>19</v>
          </cell>
          <cell r="GV31">
            <v>64.8</v>
          </cell>
          <cell r="GW31">
            <v>56</v>
          </cell>
          <cell r="GX31">
            <v>16</v>
          </cell>
          <cell r="GY31">
            <v>77.8</v>
          </cell>
          <cell r="GZ31">
            <v>58</v>
          </cell>
          <cell r="HA31">
            <v>13</v>
          </cell>
          <cell r="HB31">
            <v>81.7</v>
          </cell>
          <cell r="HC31">
            <v>54</v>
          </cell>
          <cell r="HD31">
            <v>8</v>
          </cell>
          <cell r="HE31">
            <v>87.1</v>
          </cell>
          <cell r="HF31">
            <v>46</v>
          </cell>
          <cell r="HG31">
            <v>16</v>
          </cell>
          <cell r="HH31">
            <v>74.2</v>
          </cell>
          <cell r="HI31">
            <v>50</v>
          </cell>
          <cell r="HJ31">
            <v>17</v>
          </cell>
          <cell r="HK31">
            <v>74.599999999999994</v>
          </cell>
          <cell r="HL31">
            <v>2</v>
          </cell>
          <cell r="HM31">
            <v>3</v>
          </cell>
          <cell r="HN31">
            <v>40</v>
          </cell>
          <cell r="HO31">
            <v>6</v>
          </cell>
          <cell r="HP31">
            <v>4</v>
          </cell>
          <cell r="HQ31">
            <v>60</v>
          </cell>
          <cell r="HR31">
            <v>3</v>
          </cell>
          <cell r="HS31">
            <v>2</v>
          </cell>
          <cell r="HT31">
            <v>60</v>
          </cell>
          <cell r="HU31">
            <v>2</v>
          </cell>
          <cell r="HV31">
            <v>4</v>
          </cell>
          <cell r="HW31">
            <v>33.299999999999997</v>
          </cell>
          <cell r="HX31">
            <v>2</v>
          </cell>
          <cell r="HY31">
            <v>2</v>
          </cell>
          <cell r="HZ31">
            <v>50</v>
          </cell>
          <cell r="IA31">
            <v>6</v>
          </cell>
          <cell r="IB31">
            <v>2</v>
          </cell>
          <cell r="IC31">
            <v>75</v>
          </cell>
          <cell r="ID31">
            <v>6</v>
          </cell>
          <cell r="IE31">
            <v>4</v>
          </cell>
          <cell r="IF31">
            <v>60</v>
          </cell>
          <cell r="IG31">
            <v>60</v>
          </cell>
          <cell r="IH31">
            <v>2</v>
          </cell>
          <cell r="II31">
            <v>0</v>
          </cell>
          <cell r="IJ31">
            <v>2</v>
          </cell>
          <cell r="IK31">
            <v>2</v>
          </cell>
          <cell r="IL31">
            <v>100</v>
          </cell>
          <cell r="IM31">
            <v>100</v>
          </cell>
          <cell r="IN31">
            <v>100</v>
          </cell>
          <cell r="IO31" t="str">
            <v>-</v>
          </cell>
          <cell r="IP31">
            <v>100</v>
          </cell>
          <cell r="IQ31">
            <v>1</v>
          </cell>
          <cell r="IR31">
            <v>0</v>
          </cell>
          <cell r="IS31">
            <v>2</v>
          </cell>
          <cell r="IT31">
            <v>1</v>
          </cell>
          <cell r="IU31">
            <v>66.7</v>
          </cell>
          <cell r="IV31">
            <v>5</v>
          </cell>
          <cell r="IW31">
            <v>1</v>
          </cell>
          <cell r="IX31">
            <v>83.3</v>
          </cell>
          <cell r="IY31">
            <v>83.29998779296875</v>
          </cell>
          <cell r="IZ31">
            <v>83.29998779296875</v>
          </cell>
          <cell r="JA31" t="str">
            <v>-</v>
          </cell>
          <cell r="JB31">
            <v>83.29998779296875</v>
          </cell>
          <cell r="JC31">
            <v>2</v>
          </cell>
          <cell r="JD31">
            <v>0</v>
          </cell>
          <cell r="JE31">
            <v>0</v>
          </cell>
          <cell r="JF31">
            <v>1</v>
          </cell>
          <cell r="JG31">
            <v>0</v>
          </cell>
          <cell r="JH31">
            <v>0</v>
          </cell>
          <cell r="JI31">
            <v>0</v>
          </cell>
          <cell r="JJ31" t="str">
            <v>-</v>
          </cell>
          <cell r="JK31">
            <v>0</v>
          </cell>
          <cell r="JL31">
            <v>0</v>
          </cell>
          <cell r="JM31" t="str">
            <v>-</v>
          </cell>
          <cell r="JN31">
            <v>0</v>
          </cell>
          <cell r="JO31">
            <v>0</v>
          </cell>
          <cell r="JP31" t="str">
            <v>-</v>
          </cell>
          <cell r="JQ31">
            <v>272</v>
          </cell>
          <cell r="JR31">
            <v>86</v>
          </cell>
          <cell r="JS31">
            <v>75.977653631284909</v>
          </cell>
          <cell r="JT31">
            <v>108</v>
          </cell>
          <cell r="JU31">
            <v>54</v>
          </cell>
          <cell r="JV31">
            <v>66.666666666666657</v>
          </cell>
          <cell r="JW31">
            <v>0</v>
          </cell>
          <cell r="JX31">
            <v>0</v>
          </cell>
          <cell r="JY31" t="str">
            <v>-</v>
          </cell>
          <cell r="JZ31">
            <v>78</v>
          </cell>
          <cell r="KA31">
            <v>30</v>
          </cell>
          <cell r="KB31">
            <v>72.222222222222214</v>
          </cell>
          <cell r="KC31">
            <v>0</v>
          </cell>
          <cell r="KD31">
            <v>0</v>
          </cell>
          <cell r="KE31" t="str">
            <v>-</v>
          </cell>
          <cell r="KF31">
            <v>264</v>
          </cell>
          <cell r="KG31">
            <v>70</v>
          </cell>
          <cell r="KH31">
            <v>79.041916167664667</v>
          </cell>
          <cell r="KI31">
            <v>16</v>
          </cell>
          <cell r="KJ31">
            <v>14</v>
          </cell>
          <cell r="KK31">
            <v>53.333333333333336</v>
          </cell>
          <cell r="KL31">
            <v>7</v>
          </cell>
          <cell r="KM31">
            <v>5</v>
          </cell>
          <cell r="KN31">
            <v>58.333333333333336</v>
          </cell>
        </row>
        <row r="32">
          <cell r="C32" t="str">
            <v>Mohácsi Rendőrkapitányság</v>
          </cell>
          <cell r="D32">
            <v>58.33331298828125</v>
          </cell>
          <cell r="E32">
            <v>58.33331298828125</v>
          </cell>
          <cell r="F32" t="str">
            <v>-</v>
          </cell>
          <cell r="G32">
            <v>58.33331298828125</v>
          </cell>
          <cell r="H32">
            <v>58.33331298828125</v>
          </cell>
          <cell r="I32" t="str">
            <v>-</v>
          </cell>
          <cell r="J32">
            <v>58.33331298828125</v>
          </cell>
          <cell r="K32">
            <v>58.33331298828125</v>
          </cell>
          <cell r="L32" t="str">
            <v>-</v>
          </cell>
          <cell r="M32">
            <v>58.33331298828125</v>
          </cell>
          <cell r="N32">
            <v>58.33331298828125</v>
          </cell>
          <cell r="O32" t="str">
            <v>-</v>
          </cell>
          <cell r="P32">
            <v>58.33331298828125</v>
          </cell>
          <cell r="Q32">
            <v>58.33331298828125</v>
          </cell>
          <cell r="R32" t="str">
            <v>-</v>
          </cell>
          <cell r="S32">
            <v>58.33331298828125</v>
          </cell>
          <cell r="T32">
            <v>58.33331298828125</v>
          </cell>
          <cell r="U32" t="str">
            <v>-</v>
          </cell>
          <cell r="V32">
            <v>58.33331298828125</v>
          </cell>
          <cell r="W32">
            <v>58.33331298828125</v>
          </cell>
          <cell r="X32" t="str">
            <v>-</v>
          </cell>
          <cell r="Y32">
            <v>58.33331298828125</v>
          </cell>
          <cell r="Z32">
            <v>58.33331298828125</v>
          </cell>
          <cell r="AA32" t="str">
            <v>-</v>
          </cell>
          <cell r="AB32">
            <v>58.33331298828125</v>
          </cell>
          <cell r="AC32">
            <v>58.33331298828125</v>
          </cell>
          <cell r="AD32" t="str">
            <v>-</v>
          </cell>
          <cell r="AE32">
            <v>58.33331298828125</v>
          </cell>
          <cell r="AF32">
            <v>58.33331298828125</v>
          </cell>
          <cell r="AG32" t="str">
            <v>-</v>
          </cell>
          <cell r="AH32">
            <v>58.33331298828125</v>
          </cell>
          <cell r="AI32">
            <v>58.33331298828125</v>
          </cell>
          <cell r="AJ32" t="str">
            <v>-</v>
          </cell>
          <cell r="AK32">
            <v>58.33331298828125</v>
          </cell>
          <cell r="AL32">
            <v>58.33331298828125</v>
          </cell>
          <cell r="AM32" t="str">
            <v>-</v>
          </cell>
          <cell r="AN32">
            <v>58.33331298828125</v>
          </cell>
          <cell r="AO32">
            <v>58.33331298828125</v>
          </cell>
          <cell r="AP32" t="str">
            <v>-</v>
          </cell>
          <cell r="AQ32">
            <v>58.33331298828125</v>
          </cell>
          <cell r="AR32">
            <v>58.33331298828125</v>
          </cell>
          <cell r="AS32" t="str">
            <v>-</v>
          </cell>
          <cell r="AT32">
            <v>58.33331298828125</v>
          </cell>
          <cell r="AU32">
            <v>58.33331298828125</v>
          </cell>
          <cell r="AV32" t="str">
            <v>-</v>
          </cell>
          <cell r="AW32">
            <v>58.33331298828125</v>
          </cell>
          <cell r="AX32">
            <v>58.33331298828125</v>
          </cell>
          <cell r="AY32" t="str">
            <v>-</v>
          </cell>
          <cell r="AZ32">
            <v>58.33331298828125</v>
          </cell>
          <cell r="BA32">
            <v>58.33331298828125</v>
          </cell>
          <cell r="BB32" t="str">
            <v>-</v>
          </cell>
          <cell r="BC32">
            <v>58.33331298828125</v>
          </cell>
          <cell r="BD32">
            <v>58.33331298828125</v>
          </cell>
          <cell r="BE32" t="str">
            <v>-</v>
          </cell>
          <cell r="BF32">
            <v>58.33331298828125</v>
          </cell>
          <cell r="BG32">
            <v>58.33331298828125</v>
          </cell>
          <cell r="BH32" t="str">
            <v>-</v>
          </cell>
          <cell r="BI32">
            <v>58.33331298828125</v>
          </cell>
          <cell r="BJ32">
            <v>58.33331298828125</v>
          </cell>
          <cell r="BK32" t="str">
            <v>-</v>
          </cell>
          <cell r="BL32">
            <v>58.33331298828125</v>
          </cell>
          <cell r="BM32">
            <v>58.33331298828125</v>
          </cell>
          <cell r="BN32" t="str">
            <v>-</v>
          </cell>
          <cell r="BO32">
            <v>58.33331298828125</v>
          </cell>
          <cell r="BP32">
            <v>58.33331298828125</v>
          </cell>
          <cell r="BQ32" t="str">
            <v>-</v>
          </cell>
          <cell r="BR32">
            <v>58.33331298828125</v>
          </cell>
          <cell r="BS32">
            <v>58.33331298828125</v>
          </cell>
          <cell r="BT32" t="str">
            <v>-</v>
          </cell>
          <cell r="BU32">
            <v>58.33331298828125</v>
          </cell>
          <cell r="BV32">
            <v>58.33331298828125</v>
          </cell>
          <cell r="BW32" t="str">
            <v>-</v>
          </cell>
          <cell r="BX32">
            <v>42</v>
          </cell>
          <cell r="BY32">
            <v>11</v>
          </cell>
          <cell r="BZ32">
            <v>79.2</v>
          </cell>
          <cell r="CA32">
            <v>36</v>
          </cell>
          <cell r="CB32">
            <v>13</v>
          </cell>
          <cell r="CC32">
            <v>73.5</v>
          </cell>
          <cell r="CD32">
            <v>20</v>
          </cell>
          <cell r="CE32">
            <v>4</v>
          </cell>
          <cell r="CF32">
            <v>83.3</v>
          </cell>
          <cell r="CG32">
            <v>25</v>
          </cell>
          <cell r="CH32">
            <v>13</v>
          </cell>
          <cell r="CI32">
            <v>65.8</v>
          </cell>
          <cell r="CJ32">
            <v>29</v>
          </cell>
          <cell r="CK32">
            <v>7</v>
          </cell>
          <cell r="CL32">
            <v>80.599999999999994</v>
          </cell>
          <cell r="CM32">
            <v>19</v>
          </cell>
          <cell r="CN32">
            <v>7</v>
          </cell>
          <cell r="CO32">
            <v>73.099999999999994</v>
          </cell>
          <cell r="CP32">
            <v>14</v>
          </cell>
          <cell r="CQ32">
            <v>3</v>
          </cell>
          <cell r="CR32">
            <v>82.4</v>
          </cell>
          <cell r="CS32">
            <v>15</v>
          </cell>
          <cell r="CT32">
            <v>2</v>
          </cell>
          <cell r="CU32">
            <v>88.2</v>
          </cell>
          <cell r="CV32">
            <v>16</v>
          </cell>
          <cell r="CW32">
            <v>10</v>
          </cell>
          <cell r="CX32">
            <v>61.5</v>
          </cell>
          <cell r="CY32">
            <v>23</v>
          </cell>
          <cell r="CZ32">
            <v>8</v>
          </cell>
          <cell r="DA32">
            <v>74.2</v>
          </cell>
          <cell r="DB32">
            <v>7</v>
          </cell>
          <cell r="DC32">
            <v>4</v>
          </cell>
          <cell r="DD32">
            <v>63.6</v>
          </cell>
          <cell r="DE32">
            <v>10</v>
          </cell>
          <cell r="DF32">
            <v>11</v>
          </cell>
          <cell r="DG32">
            <v>47.6</v>
          </cell>
          <cell r="DH32">
            <v>11</v>
          </cell>
          <cell r="DI32">
            <v>6</v>
          </cell>
          <cell r="DJ32">
            <v>64.7</v>
          </cell>
          <cell r="DK32">
            <v>8</v>
          </cell>
          <cell r="DL32">
            <v>4</v>
          </cell>
          <cell r="DM32">
            <v>66.7</v>
          </cell>
          <cell r="DN32">
            <v>5</v>
          </cell>
          <cell r="DO32">
            <v>2</v>
          </cell>
          <cell r="DP32">
            <v>71.400000000000006</v>
          </cell>
          <cell r="DQ32">
            <v>7</v>
          </cell>
          <cell r="DR32">
            <v>1</v>
          </cell>
          <cell r="DS32">
            <v>87.5</v>
          </cell>
          <cell r="DT32">
            <v>87.5</v>
          </cell>
          <cell r="DU32">
            <v>87.5</v>
          </cell>
          <cell r="DV32" t="str">
            <v>-</v>
          </cell>
          <cell r="DW32">
            <v>87.5</v>
          </cell>
          <cell r="DX32">
            <v>87.5</v>
          </cell>
          <cell r="DY32" t="str">
            <v>-</v>
          </cell>
          <cell r="DZ32">
            <v>87.5</v>
          </cell>
          <cell r="EA32">
            <v>87.5</v>
          </cell>
          <cell r="EB32" t="str">
            <v>-</v>
          </cell>
          <cell r="EC32">
            <v>87.5</v>
          </cell>
          <cell r="ED32">
            <v>87.5</v>
          </cell>
          <cell r="EE32" t="str">
            <v>-</v>
          </cell>
          <cell r="EF32">
            <v>87.5</v>
          </cell>
          <cell r="EG32">
            <v>87.5</v>
          </cell>
          <cell r="EH32" t="str">
            <v>-</v>
          </cell>
          <cell r="EI32">
            <v>87.5</v>
          </cell>
          <cell r="EJ32">
            <v>87.5</v>
          </cell>
          <cell r="EK32" t="str">
            <v>-</v>
          </cell>
          <cell r="EL32">
            <v>87.5</v>
          </cell>
          <cell r="EM32">
            <v>87.5</v>
          </cell>
          <cell r="EN32" t="str">
            <v>-</v>
          </cell>
          <cell r="EO32">
            <v>87.5</v>
          </cell>
          <cell r="EP32">
            <v>87.5</v>
          </cell>
          <cell r="EQ32" t="str">
            <v>-</v>
          </cell>
          <cell r="ER32">
            <v>18</v>
          </cell>
          <cell r="ES32">
            <v>2</v>
          </cell>
          <cell r="ET32">
            <v>90</v>
          </cell>
          <cell r="EU32">
            <v>3</v>
          </cell>
          <cell r="EV32">
            <v>1</v>
          </cell>
          <cell r="EW32">
            <v>75</v>
          </cell>
          <cell r="EX32">
            <v>75</v>
          </cell>
          <cell r="EY32">
            <v>4</v>
          </cell>
          <cell r="EZ32">
            <v>0</v>
          </cell>
          <cell r="FA32">
            <v>1</v>
          </cell>
          <cell r="FB32">
            <v>1</v>
          </cell>
          <cell r="FC32">
            <v>50</v>
          </cell>
          <cell r="FD32">
            <v>1</v>
          </cell>
          <cell r="FE32">
            <v>1</v>
          </cell>
          <cell r="FF32">
            <v>50</v>
          </cell>
          <cell r="FG32">
            <v>50</v>
          </cell>
          <cell r="FH32">
            <v>50</v>
          </cell>
          <cell r="FI32" t="str">
            <v>-</v>
          </cell>
          <cell r="FJ32">
            <v>3</v>
          </cell>
          <cell r="FK32">
            <v>3</v>
          </cell>
          <cell r="FL32">
            <v>100</v>
          </cell>
          <cell r="FM32">
            <v>100</v>
          </cell>
          <cell r="FN32">
            <v>100</v>
          </cell>
          <cell r="FO32" t="str">
            <v>-</v>
          </cell>
          <cell r="FP32">
            <v>100</v>
          </cell>
          <cell r="FQ32">
            <v>100</v>
          </cell>
          <cell r="FR32" t="str">
            <v>-</v>
          </cell>
          <cell r="FS32">
            <v>100</v>
          </cell>
          <cell r="FT32">
            <v>100</v>
          </cell>
          <cell r="FU32" t="str">
            <v>-</v>
          </cell>
          <cell r="FV32">
            <v>100</v>
          </cell>
          <cell r="FW32">
            <v>100</v>
          </cell>
          <cell r="FX32" t="str">
            <v>-</v>
          </cell>
          <cell r="FY32">
            <v>100</v>
          </cell>
          <cell r="FZ32">
            <v>100</v>
          </cell>
          <cell r="GA32" t="str">
            <v>-</v>
          </cell>
          <cell r="GB32">
            <v>100</v>
          </cell>
          <cell r="GC32">
            <v>100</v>
          </cell>
          <cell r="GD32" t="str">
            <v>-</v>
          </cell>
          <cell r="GE32">
            <v>100</v>
          </cell>
          <cell r="GF32">
            <v>100</v>
          </cell>
          <cell r="GG32" t="str">
            <v>-</v>
          </cell>
          <cell r="GH32">
            <v>100</v>
          </cell>
          <cell r="GI32">
            <v>100</v>
          </cell>
          <cell r="GJ32" t="str">
            <v>-</v>
          </cell>
          <cell r="GK32">
            <v>100</v>
          </cell>
          <cell r="GL32">
            <v>100</v>
          </cell>
          <cell r="GM32" t="str">
            <v>-</v>
          </cell>
          <cell r="GN32">
            <v>27</v>
          </cell>
          <cell r="GO32">
            <v>3</v>
          </cell>
          <cell r="GP32">
            <v>90</v>
          </cell>
          <cell r="GQ32">
            <v>20</v>
          </cell>
          <cell r="GR32">
            <v>3</v>
          </cell>
          <cell r="GS32">
            <v>87</v>
          </cell>
          <cell r="GT32">
            <v>11</v>
          </cell>
          <cell r="GU32">
            <v>7</v>
          </cell>
          <cell r="GV32">
            <v>61.1</v>
          </cell>
          <cell r="GW32">
            <v>16</v>
          </cell>
          <cell r="GX32">
            <v>7</v>
          </cell>
          <cell r="GY32">
            <v>69.599999999999994</v>
          </cell>
          <cell r="GZ32">
            <v>23</v>
          </cell>
          <cell r="HA32">
            <v>1</v>
          </cell>
          <cell r="HB32">
            <v>95.8</v>
          </cell>
          <cell r="HC32">
            <v>23</v>
          </cell>
          <cell r="HD32">
            <v>6</v>
          </cell>
          <cell r="HE32">
            <v>79.3</v>
          </cell>
          <cell r="HF32">
            <v>40</v>
          </cell>
          <cell r="HG32">
            <v>10</v>
          </cell>
          <cell r="HH32">
            <v>80</v>
          </cell>
          <cell r="HI32">
            <v>46</v>
          </cell>
          <cell r="HJ32">
            <v>8</v>
          </cell>
          <cell r="HK32">
            <v>85.2</v>
          </cell>
          <cell r="HL32">
            <v>3</v>
          </cell>
          <cell r="HM32">
            <v>6</v>
          </cell>
          <cell r="HN32">
            <v>33.299999999999997</v>
          </cell>
          <cell r="HO32">
            <v>1</v>
          </cell>
          <cell r="HP32">
            <v>5</v>
          </cell>
          <cell r="HQ32">
            <v>16.7</v>
          </cell>
          <cell r="HR32">
            <v>1</v>
          </cell>
          <cell r="HS32">
            <v>3</v>
          </cell>
          <cell r="HT32">
            <v>25</v>
          </cell>
          <cell r="HU32">
            <v>3</v>
          </cell>
          <cell r="HV32">
            <v>2</v>
          </cell>
          <cell r="HW32">
            <v>60</v>
          </cell>
          <cell r="HX32">
            <v>1</v>
          </cell>
          <cell r="HY32">
            <v>1</v>
          </cell>
          <cell r="HZ32">
            <v>50</v>
          </cell>
          <cell r="IA32">
            <v>2</v>
          </cell>
          <cell r="IB32">
            <v>1</v>
          </cell>
          <cell r="IC32">
            <v>66.7</v>
          </cell>
          <cell r="ID32">
            <v>2</v>
          </cell>
          <cell r="IE32">
            <v>2</v>
          </cell>
          <cell r="IF32">
            <v>100</v>
          </cell>
          <cell r="IG32">
            <v>4</v>
          </cell>
          <cell r="IH32">
            <v>1</v>
          </cell>
          <cell r="II32">
            <v>80</v>
          </cell>
          <cell r="IJ32">
            <v>2</v>
          </cell>
          <cell r="IK32">
            <v>2</v>
          </cell>
          <cell r="IL32">
            <v>100</v>
          </cell>
          <cell r="IM32">
            <v>3</v>
          </cell>
          <cell r="IN32">
            <v>1</v>
          </cell>
          <cell r="IO32">
            <v>75</v>
          </cell>
          <cell r="IP32">
            <v>6</v>
          </cell>
          <cell r="IQ32">
            <v>1</v>
          </cell>
          <cell r="IR32">
            <v>85.7</v>
          </cell>
          <cell r="IS32">
            <v>4</v>
          </cell>
          <cell r="IT32">
            <v>4</v>
          </cell>
          <cell r="IU32">
            <v>100</v>
          </cell>
          <cell r="IV32">
            <v>100</v>
          </cell>
          <cell r="IW32">
            <v>3</v>
          </cell>
          <cell r="IX32">
            <v>0</v>
          </cell>
          <cell r="IY32">
            <v>0</v>
          </cell>
          <cell r="IZ32">
            <v>1</v>
          </cell>
          <cell r="JA32">
            <v>0</v>
          </cell>
          <cell r="JB32">
            <v>0</v>
          </cell>
          <cell r="JC32">
            <v>0</v>
          </cell>
          <cell r="JD32" t="str">
            <v>-</v>
          </cell>
          <cell r="JE32">
            <v>1</v>
          </cell>
          <cell r="JF32">
            <v>1</v>
          </cell>
          <cell r="JG32">
            <v>50</v>
          </cell>
          <cell r="JH32">
            <v>0</v>
          </cell>
          <cell r="JI32">
            <v>0</v>
          </cell>
          <cell r="JJ32" t="str">
            <v>-</v>
          </cell>
          <cell r="JK32">
            <v>0</v>
          </cell>
          <cell r="JL32">
            <v>0</v>
          </cell>
          <cell r="JM32" t="str">
            <v>-</v>
          </cell>
          <cell r="JN32">
            <v>0</v>
          </cell>
          <cell r="JO32">
            <v>0</v>
          </cell>
          <cell r="JP32" t="str">
            <v>-</v>
          </cell>
          <cell r="JQ32">
            <v>102</v>
          </cell>
          <cell r="JR32">
            <v>32</v>
          </cell>
          <cell r="JS32">
            <v>76.119402985074629</v>
          </cell>
          <cell r="JT32">
            <v>41</v>
          </cell>
          <cell r="JU32">
            <v>24</v>
          </cell>
          <cell r="JV32">
            <v>63.076923076923073</v>
          </cell>
          <cell r="JW32">
            <v>0</v>
          </cell>
          <cell r="JX32">
            <v>0</v>
          </cell>
          <cell r="JY32" t="str">
            <v>-</v>
          </cell>
          <cell r="JZ32">
            <v>5</v>
          </cell>
          <cell r="KA32">
            <v>2</v>
          </cell>
          <cell r="KB32">
            <v>71.428571428571431</v>
          </cell>
          <cell r="KC32">
            <v>0</v>
          </cell>
          <cell r="KD32">
            <v>0</v>
          </cell>
          <cell r="KE32" t="str">
            <v>-</v>
          </cell>
          <cell r="KF32">
            <v>148</v>
          </cell>
          <cell r="KG32">
            <v>32</v>
          </cell>
          <cell r="KH32">
            <v>82.222222222222214</v>
          </cell>
          <cell r="KI32">
            <v>12</v>
          </cell>
          <cell r="KJ32">
            <v>5</v>
          </cell>
          <cell r="KK32">
            <v>70.588235294117652</v>
          </cell>
          <cell r="KL32">
            <v>5</v>
          </cell>
          <cell r="KM32">
            <v>5</v>
          </cell>
          <cell r="KN32">
            <v>50</v>
          </cell>
        </row>
        <row r="33">
          <cell r="C33" t="str">
            <v>Siklósi Rendőrkapitányság</v>
          </cell>
          <cell r="D33">
            <v>50</v>
          </cell>
          <cell r="E33">
            <v>50</v>
          </cell>
          <cell r="F33" t="str">
            <v>-</v>
          </cell>
          <cell r="G33">
            <v>50</v>
          </cell>
          <cell r="H33">
            <v>50</v>
          </cell>
          <cell r="I33" t="str">
            <v>-</v>
          </cell>
          <cell r="J33">
            <v>50</v>
          </cell>
          <cell r="K33">
            <v>50</v>
          </cell>
          <cell r="L33" t="str">
            <v>-</v>
          </cell>
          <cell r="M33">
            <v>50</v>
          </cell>
          <cell r="N33">
            <v>50</v>
          </cell>
          <cell r="O33" t="str">
            <v>-</v>
          </cell>
          <cell r="P33">
            <v>50</v>
          </cell>
          <cell r="Q33">
            <v>50</v>
          </cell>
          <cell r="R33" t="str">
            <v>-</v>
          </cell>
          <cell r="S33">
            <v>50</v>
          </cell>
          <cell r="T33">
            <v>50</v>
          </cell>
          <cell r="U33" t="str">
            <v>-</v>
          </cell>
          <cell r="V33">
            <v>50</v>
          </cell>
          <cell r="W33">
            <v>50</v>
          </cell>
          <cell r="X33" t="str">
            <v>-</v>
          </cell>
          <cell r="Y33">
            <v>50</v>
          </cell>
          <cell r="Z33">
            <v>50</v>
          </cell>
          <cell r="AA33" t="str">
            <v>-</v>
          </cell>
          <cell r="AB33">
            <v>50</v>
          </cell>
          <cell r="AC33">
            <v>50</v>
          </cell>
          <cell r="AD33" t="str">
            <v>-</v>
          </cell>
          <cell r="AE33">
            <v>50</v>
          </cell>
          <cell r="AF33">
            <v>50</v>
          </cell>
          <cell r="AG33" t="str">
            <v>-</v>
          </cell>
          <cell r="AH33">
            <v>50</v>
          </cell>
          <cell r="AI33">
            <v>50</v>
          </cell>
          <cell r="AJ33" t="str">
            <v>-</v>
          </cell>
          <cell r="AK33">
            <v>50</v>
          </cell>
          <cell r="AL33">
            <v>50</v>
          </cell>
          <cell r="AM33" t="str">
            <v>-</v>
          </cell>
          <cell r="AN33">
            <v>50</v>
          </cell>
          <cell r="AO33">
            <v>50</v>
          </cell>
          <cell r="AP33" t="str">
            <v>-</v>
          </cell>
          <cell r="AQ33">
            <v>50</v>
          </cell>
          <cell r="AR33">
            <v>50</v>
          </cell>
          <cell r="AS33" t="str">
            <v>-</v>
          </cell>
          <cell r="AT33">
            <v>50</v>
          </cell>
          <cell r="AU33">
            <v>50</v>
          </cell>
          <cell r="AV33" t="str">
            <v>-</v>
          </cell>
          <cell r="AW33">
            <v>50</v>
          </cell>
          <cell r="AX33">
            <v>50</v>
          </cell>
          <cell r="AY33" t="str">
            <v>-</v>
          </cell>
          <cell r="AZ33">
            <v>50</v>
          </cell>
          <cell r="BA33">
            <v>50</v>
          </cell>
          <cell r="BB33" t="str">
            <v>-</v>
          </cell>
          <cell r="BC33">
            <v>50</v>
          </cell>
          <cell r="BD33">
            <v>50</v>
          </cell>
          <cell r="BE33" t="str">
            <v>-</v>
          </cell>
          <cell r="BF33">
            <v>50</v>
          </cell>
          <cell r="BG33">
            <v>50</v>
          </cell>
          <cell r="BH33" t="str">
            <v>-</v>
          </cell>
          <cell r="BI33">
            <v>50</v>
          </cell>
          <cell r="BJ33">
            <v>50</v>
          </cell>
          <cell r="BK33" t="str">
            <v>-</v>
          </cell>
          <cell r="BL33">
            <v>50</v>
          </cell>
          <cell r="BM33">
            <v>50</v>
          </cell>
          <cell r="BN33" t="str">
            <v>-</v>
          </cell>
          <cell r="BO33">
            <v>50</v>
          </cell>
          <cell r="BP33">
            <v>50</v>
          </cell>
          <cell r="BQ33" t="str">
            <v>-</v>
          </cell>
          <cell r="BR33">
            <v>50</v>
          </cell>
          <cell r="BS33">
            <v>50</v>
          </cell>
          <cell r="BT33" t="str">
            <v>-</v>
          </cell>
          <cell r="BU33">
            <v>50</v>
          </cell>
          <cell r="BV33">
            <v>50</v>
          </cell>
          <cell r="BW33" t="str">
            <v>-</v>
          </cell>
          <cell r="BX33">
            <v>85</v>
          </cell>
          <cell r="BY33">
            <v>16</v>
          </cell>
          <cell r="BZ33">
            <v>84.2</v>
          </cell>
          <cell r="CA33">
            <v>65</v>
          </cell>
          <cell r="CB33">
            <v>14</v>
          </cell>
          <cell r="CC33">
            <v>82.3</v>
          </cell>
          <cell r="CD33">
            <v>71</v>
          </cell>
          <cell r="CE33">
            <v>15</v>
          </cell>
          <cell r="CF33">
            <v>82.6</v>
          </cell>
          <cell r="CG33">
            <v>78</v>
          </cell>
          <cell r="CH33">
            <v>19</v>
          </cell>
          <cell r="CI33">
            <v>80.400000000000006</v>
          </cell>
          <cell r="CJ33">
            <v>66</v>
          </cell>
          <cell r="CK33">
            <v>18</v>
          </cell>
          <cell r="CL33">
            <v>78.599999999999994</v>
          </cell>
          <cell r="CM33">
            <v>42</v>
          </cell>
          <cell r="CN33">
            <v>13</v>
          </cell>
          <cell r="CO33">
            <v>76.400000000000006</v>
          </cell>
          <cell r="CP33">
            <v>46</v>
          </cell>
          <cell r="CQ33">
            <v>15</v>
          </cell>
          <cell r="CR33">
            <v>75.400000000000006</v>
          </cell>
          <cell r="CS33">
            <v>37</v>
          </cell>
          <cell r="CT33">
            <v>13</v>
          </cell>
          <cell r="CU33">
            <v>74</v>
          </cell>
          <cell r="CV33">
            <v>34</v>
          </cell>
          <cell r="CW33">
            <v>7</v>
          </cell>
          <cell r="CX33">
            <v>82.9</v>
          </cell>
          <cell r="CY33">
            <v>20</v>
          </cell>
          <cell r="CZ33">
            <v>7</v>
          </cell>
          <cell r="DA33">
            <v>74.099999999999994</v>
          </cell>
          <cell r="DB33">
            <v>19</v>
          </cell>
          <cell r="DC33">
            <v>7</v>
          </cell>
          <cell r="DD33">
            <v>73.099999999999994</v>
          </cell>
          <cell r="DE33">
            <v>26</v>
          </cell>
          <cell r="DF33">
            <v>4</v>
          </cell>
          <cell r="DG33">
            <v>86.7</v>
          </cell>
          <cell r="DH33">
            <v>30</v>
          </cell>
          <cell r="DI33">
            <v>4</v>
          </cell>
          <cell r="DJ33">
            <v>88.2</v>
          </cell>
          <cell r="DK33">
            <v>19</v>
          </cell>
          <cell r="DL33">
            <v>5</v>
          </cell>
          <cell r="DM33">
            <v>79.2</v>
          </cell>
          <cell r="DN33">
            <v>22</v>
          </cell>
          <cell r="DO33">
            <v>4</v>
          </cell>
          <cell r="DP33">
            <v>84.6</v>
          </cell>
          <cell r="DQ33">
            <v>16</v>
          </cell>
          <cell r="DR33">
            <v>5</v>
          </cell>
          <cell r="DS33">
            <v>76.2</v>
          </cell>
          <cell r="DT33">
            <v>76.199951171875</v>
          </cell>
          <cell r="DU33">
            <v>76.199951171875</v>
          </cell>
          <cell r="DV33" t="str">
            <v>-</v>
          </cell>
          <cell r="DW33">
            <v>76.199951171875</v>
          </cell>
          <cell r="DX33">
            <v>76.199951171875</v>
          </cell>
          <cell r="DY33" t="str">
            <v>-</v>
          </cell>
          <cell r="DZ33">
            <v>76.199951171875</v>
          </cell>
          <cell r="EA33">
            <v>76.199951171875</v>
          </cell>
          <cell r="EB33" t="str">
            <v>-</v>
          </cell>
          <cell r="EC33">
            <v>76.199951171875</v>
          </cell>
          <cell r="ED33">
            <v>76.199951171875</v>
          </cell>
          <cell r="EE33" t="str">
            <v>-</v>
          </cell>
          <cell r="EF33">
            <v>76.199951171875</v>
          </cell>
          <cell r="EG33">
            <v>76.199951171875</v>
          </cell>
          <cell r="EH33" t="str">
            <v>-</v>
          </cell>
          <cell r="EI33">
            <v>76.199951171875</v>
          </cell>
          <cell r="EJ33">
            <v>76.199951171875</v>
          </cell>
          <cell r="EK33" t="str">
            <v>-</v>
          </cell>
          <cell r="EL33">
            <v>76.199951171875</v>
          </cell>
          <cell r="EM33">
            <v>76.199951171875</v>
          </cell>
          <cell r="EN33" t="str">
            <v>-</v>
          </cell>
          <cell r="EO33">
            <v>76.199951171875</v>
          </cell>
          <cell r="EP33">
            <v>76.199951171875</v>
          </cell>
          <cell r="EQ33" t="str">
            <v>-</v>
          </cell>
          <cell r="ER33">
            <v>16</v>
          </cell>
          <cell r="ES33">
            <v>1</v>
          </cell>
          <cell r="ET33">
            <v>94.1</v>
          </cell>
          <cell r="EU33">
            <v>12</v>
          </cell>
          <cell r="EV33">
            <v>2</v>
          </cell>
          <cell r="EW33">
            <v>85.7</v>
          </cell>
          <cell r="EX33">
            <v>5</v>
          </cell>
          <cell r="EY33">
            <v>4</v>
          </cell>
          <cell r="EZ33">
            <v>55.6</v>
          </cell>
          <cell r="FA33">
            <v>10</v>
          </cell>
          <cell r="FB33">
            <v>4</v>
          </cell>
          <cell r="FC33">
            <v>71.400000000000006</v>
          </cell>
          <cell r="FD33">
            <v>4</v>
          </cell>
          <cell r="FE33">
            <v>7</v>
          </cell>
          <cell r="FF33">
            <v>36.4</v>
          </cell>
          <cell r="FG33">
            <v>9</v>
          </cell>
          <cell r="FH33">
            <v>2</v>
          </cell>
          <cell r="FI33">
            <v>81.8</v>
          </cell>
          <cell r="FJ33">
            <v>11</v>
          </cell>
          <cell r="FK33">
            <v>11</v>
          </cell>
          <cell r="FL33">
            <v>100</v>
          </cell>
          <cell r="FM33">
            <v>5</v>
          </cell>
          <cell r="FN33">
            <v>3</v>
          </cell>
          <cell r="FO33">
            <v>62.5</v>
          </cell>
          <cell r="FP33">
            <v>62.5</v>
          </cell>
          <cell r="FQ33">
            <v>62.5</v>
          </cell>
          <cell r="FR33" t="str">
            <v>-</v>
          </cell>
          <cell r="FS33">
            <v>2</v>
          </cell>
          <cell r="FT33">
            <v>2</v>
          </cell>
          <cell r="FU33">
            <v>100</v>
          </cell>
          <cell r="FV33">
            <v>100</v>
          </cell>
          <cell r="FW33">
            <v>100</v>
          </cell>
          <cell r="FX33" t="str">
            <v>-</v>
          </cell>
          <cell r="FY33">
            <v>100</v>
          </cell>
          <cell r="FZ33">
            <v>100</v>
          </cell>
          <cell r="GA33" t="str">
            <v>-</v>
          </cell>
          <cell r="GB33">
            <v>100</v>
          </cell>
          <cell r="GC33">
            <v>100</v>
          </cell>
          <cell r="GD33" t="str">
            <v>-</v>
          </cell>
          <cell r="GE33">
            <v>100</v>
          </cell>
          <cell r="GF33">
            <v>100</v>
          </cell>
          <cell r="GG33" t="str">
            <v>-</v>
          </cell>
          <cell r="GH33">
            <v>100</v>
          </cell>
          <cell r="GI33">
            <v>100</v>
          </cell>
          <cell r="GJ33" t="str">
            <v>-</v>
          </cell>
          <cell r="GK33">
            <v>100</v>
          </cell>
          <cell r="GL33">
            <v>100</v>
          </cell>
          <cell r="GM33" t="str">
            <v>-</v>
          </cell>
          <cell r="GN33">
            <v>61</v>
          </cell>
          <cell r="GO33">
            <v>19</v>
          </cell>
          <cell r="GP33">
            <v>76.3</v>
          </cell>
          <cell r="GQ33">
            <v>60</v>
          </cell>
          <cell r="GR33">
            <v>22</v>
          </cell>
          <cell r="GS33">
            <v>73.2</v>
          </cell>
          <cell r="GT33">
            <v>71</v>
          </cell>
          <cell r="GU33">
            <v>15</v>
          </cell>
          <cell r="GV33">
            <v>82.6</v>
          </cell>
          <cell r="GW33">
            <v>63</v>
          </cell>
          <cell r="GX33">
            <v>18</v>
          </cell>
          <cell r="GY33">
            <v>77.8</v>
          </cell>
          <cell r="GZ33">
            <v>51</v>
          </cell>
          <cell r="HA33">
            <v>22</v>
          </cell>
          <cell r="HB33">
            <v>69.900000000000006</v>
          </cell>
          <cell r="HC33">
            <v>25</v>
          </cell>
          <cell r="HD33">
            <v>5</v>
          </cell>
          <cell r="HE33">
            <v>83.3</v>
          </cell>
          <cell r="HF33">
            <v>47</v>
          </cell>
          <cell r="HG33">
            <v>17</v>
          </cell>
          <cell r="HH33">
            <v>73.400000000000006</v>
          </cell>
          <cell r="HI33">
            <v>57</v>
          </cell>
          <cell r="HJ33">
            <v>5</v>
          </cell>
          <cell r="HK33">
            <v>91.9</v>
          </cell>
          <cell r="HL33">
            <v>2</v>
          </cell>
          <cell r="HM33">
            <v>5</v>
          </cell>
          <cell r="HN33">
            <v>28.6</v>
          </cell>
          <cell r="HO33">
            <v>12</v>
          </cell>
          <cell r="HP33">
            <v>10</v>
          </cell>
          <cell r="HQ33">
            <v>54.5</v>
          </cell>
          <cell r="HR33">
            <v>5</v>
          </cell>
          <cell r="HS33">
            <v>7</v>
          </cell>
          <cell r="HT33">
            <v>41.7</v>
          </cell>
          <cell r="HU33">
            <v>4</v>
          </cell>
          <cell r="HV33">
            <v>2</v>
          </cell>
          <cell r="HW33">
            <v>66.7</v>
          </cell>
          <cell r="HX33">
            <v>4</v>
          </cell>
          <cell r="HY33">
            <v>2</v>
          </cell>
          <cell r="HZ33">
            <v>66.7</v>
          </cell>
          <cell r="IA33">
            <v>1</v>
          </cell>
          <cell r="IB33">
            <v>1</v>
          </cell>
          <cell r="IC33">
            <v>50</v>
          </cell>
          <cell r="ID33">
            <v>2</v>
          </cell>
          <cell r="IE33">
            <v>2</v>
          </cell>
          <cell r="IF33">
            <v>100</v>
          </cell>
          <cell r="IG33">
            <v>100</v>
          </cell>
          <cell r="IH33">
            <v>100</v>
          </cell>
          <cell r="II33" t="str">
            <v>-</v>
          </cell>
          <cell r="IJ33">
            <v>5</v>
          </cell>
          <cell r="IK33">
            <v>2</v>
          </cell>
          <cell r="IL33">
            <v>71.400000000000006</v>
          </cell>
          <cell r="IM33">
            <v>1</v>
          </cell>
          <cell r="IN33">
            <v>1</v>
          </cell>
          <cell r="IO33">
            <v>50</v>
          </cell>
          <cell r="IP33">
            <v>50</v>
          </cell>
          <cell r="IQ33">
            <v>50</v>
          </cell>
          <cell r="IR33" t="str">
            <v>-</v>
          </cell>
          <cell r="IS33">
            <v>2</v>
          </cell>
          <cell r="IT33">
            <v>2</v>
          </cell>
          <cell r="IU33">
            <v>100</v>
          </cell>
          <cell r="IV33">
            <v>1</v>
          </cell>
          <cell r="IW33">
            <v>1</v>
          </cell>
          <cell r="IX33">
            <v>100</v>
          </cell>
          <cell r="IY33">
            <v>1</v>
          </cell>
          <cell r="IZ33">
            <v>1</v>
          </cell>
          <cell r="JA33">
            <v>100</v>
          </cell>
          <cell r="JB33">
            <v>1</v>
          </cell>
          <cell r="JC33">
            <v>1</v>
          </cell>
          <cell r="JD33">
            <v>100</v>
          </cell>
          <cell r="JE33">
            <v>100</v>
          </cell>
          <cell r="JF33">
            <v>100</v>
          </cell>
          <cell r="JG33" t="str">
            <v>-</v>
          </cell>
          <cell r="JH33">
            <v>0</v>
          </cell>
          <cell r="JI33">
            <v>0</v>
          </cell>
          <cell r="JJ33" t="str">
            <v>-</v>
          </cell>
          <cell r="JK33">
            <v>0</v>
          </cell>
          <cell r="JL33">
            <v>0</v>
          </cell>
          <cell r="JM33" t="str">
            <v>-</v>
          </cell>
          <cell r="JN33">
            <v>0</v>
          </cell>
          <cell r="JO33">
            <v>0</v>
          </cell>
          <cell r="JP33" t="str">
            <v>-</v>
          </cell>
          <cell r="JQ33">
            <v>269</v>
          </cell>
          <cell r="JR33">
            <v>78</v>
          </cell>
          <cell r="JS33">
            <v>77.521613832853035</v>
          </cell>
          <cell r="JT33">
            <v>113</v>
          </cell>
          <cell r="JU33">
            <v>22</v>
          </cell>
          <cell r="JV33">
            <v>83.703703703703695</v>
          </cell>
          <cell r="JW33">
            <v>0</v>
          </cell>
          <cell r="JX33">
            <v>0</v>
          </cell>
          <cell r="JY33" t="str">
            <v>-</v>
          </cell>
          <cell r="JZ33">
            <v>39</v>
          </cell>
          <cell r="KA33">
            <v>16</v>
          </cell>
          <cell r="KB33">
            <v>70.909090909090907</v>
          </cell>
          <cell r="KC33">
            <v>0</v>
          </cell>
          <cell r="KD33">
            <v>0</v>
          </cell>
          <cell r="KE33" t="str">
            <v>-</v>
          </cell>
          <cell r="KF33">
            <v>243</v>
          </cell>
          <cell r="KG33">
            <v>67</v>
          </cell>
          <cell r="KH33">
            <v>78.387096774193537</v>
          </cell>
          <cell r="KI33">
            <v>11</v>
          </cell>
          <cell r="KJ33">
            <v>5</v>
          </cell>
          <cell r="KK33">
            <v>68.75</v>
          </cell>
          <cell r="KL33">
            <v>5</v>
          </cell>
          <cell r="KM33">
            <v>0</v>
          </cell>
          <cell r="KN33">
            <v>100</v>
          </cell>
        </row>
        <row r="34">
          <cell r="C34" t="str">
            <v>Szigetvári Rendőrkapitányság</v>
          </cell>
          <cell r="D34">
            <v>100</v>
          </cell>
          <cell r="E34">
            <v>100</v>
          </cell>
          <cell r="F34" t="str">
            <v>-</v>
          </cell>
          <cell r="G34">
            <v>100</v>
          </cell>
          <cell r="H34">
            <v>100</v>
          </cell>
          <cell r="I34" t="str">
            <v>-</v>
          </cell>
          <cell r="J34">
            <v>100</v>
          </cell>
          <cell r="K34">
            <v>100</v>
          </cell>
          <cell r="L34" t="str">
            <v>-</v>
          </cell>
          <cell r="M34">
            <v>100</v>
          </cell>
          <cell r="N34">
            <v>100</v>
          </cell>
          <cell r="O34" t="str">
            <v>-</v>
          </cell>
          <cell r="P34">
            <v>100</v>
          </cell>
          <cell r="Q34">
            <v>100</v>
          </cell>
          <cell r="R34" t="str">
            <v>-</v>
          </cell>
          <cell r="S34">
            <v>100</v>
          </cell>
          <cell r="T34">
            <v>100</v>
          </cell>
          <cell r="U34" t="str">
            <v>-</v>
          </cell>
          <cell r="V34">
            <v>100</v>
          </cell>
          <cell r="W34">
            <v>100</v>
          </cell>
          <cell r="X34" t="str">
            <v>-</v>
          </cell>
          <cell r="Y34">
            <v>100</v>
          </cell>
          <cell r="Z34">
            <v>100</v>
          </cell>
          <cell r="AA34" t="str">
            <v>-</v>
          </cell>
          <cell r="AB34">
            <v>100</v>
          </cell>
          <cell r="AC34">
            <v>100</v>
          </cell>
          <cell r="AD34" t="str">
            <v>-</v>
          </cell>
          <cell r="AE34">
            <v>100</v>
          </cell>
          <cell r="AF34">
            <v>100</v>
          </cell>
          <cell r="AG34" t="str">
            <v>-</v>
          </cell>
          <cell r="AH34">
            <v>100</v>
          </cell>
          <cell r="AI34">
            <v>100</v>
          </cell>
          <cell r="AJ34" t="str">
            <v>-</v>
          </cell>
          <cell r="AK34">
            <v>100</v>
          </cell>
          <cell r="AL34">
            <v>100</v>
          </cell>
          <cell r="AM34" t="str">
            <v>-</v>
          </cell>
          <cell r="AN34">
            <v>100</v>
          </cell>
          <cell r="AO34">
            <v>100</v>
          </cell>
          <cell r="AP34" t="str">
            <v>-</v>
          </cell>
          <cell r="AQ34">
            <v>100</v>
          </cell>
          <cell r="AR34">
            <v>100</v>
          </cell>
          <cell r="AS34" t="str">
            <v>-</v>
          </cell>
          <cell r="AT34">
            <v>100</v>
          </cell>
          <cell r="AU34">
            <v>100</v>
          </cell>
          <cell r="AV34" t="str">
            <v>-</v>
          </cell>
          <cell r="AW34">
            <v>100</v>
          </cell>
          <cell r="AX34">
            <v>100</v>
          </cell>
          <cell r="AY34" t="str">
            <v>-</v>
          </cell>
          <cell r="AZ34">
            <v>100</v>
          </cell>
          <cell r="BA34">
            <v>100</v>
          </cell>
          <cell r="BB34" t="str">
            <v>-</v>
          </cell>
          <cell r="BC34">
            <v>100</v>
          </cell>
          <cell r="BD34">
            <v>100</v>
          </cell>
          <cell r="BE34" t="str">
            <v>-</v>
          </cell>
          <cell r="BF34">
            <v>100</v>
          </cell>
          <cell r="BG34">
            <v>100</v>
          </cell>
          <cell r="BH34" t="str">
            <v>-</v>
          </cell>
          <cell r="BI34">
            <v>100</v>
          </cell>
          <cell r="BJ34">
            <v>100</v>
          </cell>
          <cell r="BK34" t="str">
            <v>-</v>
          </cell>
          <cell r="BL34">
            <v>100</v>
          </cell>
          <cell r="BM34">
            <v>100</v>
          </cell>
          <cell r="BN34" t="str">
            <v>-</v>
          </cell>
          <cell r="BO34">
            <v>100</v>
          </cell>
          <cell r="BP34">
            <v>100</v>
          </cell>
          <cell r="BQ34" t="str">
            <v>-</v>
          </cell>
          <cell r="BR34">
            <v>100</v>
          </cell>
          <cell r="BS34">
            <v>100</v>
          </cell>
          <cell r="BT34" t="str">
            <v>-</v>
          </cell>
          <cell r="BU34">
            <v>100</v>
          </cell>
          <cell r="BV34">
            <v>100</v>
          </cell>
          <cell r="BW34" t="str">
            <v>-</v>
          </cell>
          <cell r="BX34">
            <v>43</v>
          </cell>
          <cell r="BY34">
            <v>8</v>
          </cell>
          <cell r="BZ34">
            <v>84.3</v>
          </cell>
          <cell r="CA34">
            <v>36</v>
          </cell>
          <cell r="CB34">
            <v>8</v>
          </cell>
          <cell r="CC34">
            <v>81.8</v>
          </cell>
          <cell r="CD34">
            <v>38</v>
          </cell>
          <cell r="CE34">
            <v>4</v>
          </cell>
          <cell r="CF34">
            <v>90.5</v>
          </cell>
          <cell r="CG34">
            <v>51</v>
          </cell>
          <cell r="CH34">
            <v>16</v>
          </cell>
          <cell r="CI34">
            <v>76.099999999999994</v>
          </cell>
          <cell r="CJ34">
            <v>61</v>
          </cell>
          <cell r="CK34">
            <v>7</v>
          </cell>
          <cell r="CL34">
            <v>89.7</v>
          </cell>
          <cell r="CM34">
            <v>81</v>
          </cell>
          <cell r="CN34">
            <v>14</v>
          </cell>
          <cell r="CO34">
            <v>85.3</v>
          </cell>
          <cell r="CP34">
            <v>60</v>
          </cell>
          <cell r="CQ34">
            <v>15</v>
          </cell>
          <cell r="CR34">
            <v>80</v>
          </cell>
          <cell r="CS34">
            <v>36</v>
          </cell>
          <cell r="CT34">
            <v>11</v>
          </cell>
          <cell r="CU34">
            <v>76.599999999999994</v>
          </cell>
          <cell r="CV34">
            <v>32</v>
          </cell>
          <cell r="CW34">
            <v>5</v>
          </cell>
          <cell r="CX34">
            <v>86.5</v>
          </cell>
          <cell r="CY34">
            <v>16</v>
          </cell>
          <cell r="CZ34">
            <v>8</v>
          </cell>
          <cell r="DA34">
            <v>66.7</v>
          </cell>
          <cell r="DB34">
            <v>22</v>
          </cell>
          <cell r="DC34">
            <v>2</v>
          </cell>
          <cell r="DD34">
            <v>91.7</v>
          </cell>
          <cell r="DE34">
            <v>23</v>
          </cell>
          <cell r="DF34">
            <v>10</v>
          </cell>
          <cell r="DG34">
            <v>69.7</v>
          </cell>
          <cell r="DH34">
            <v>30</v>
          </cell>
          <cell r="DI34">
            <v>5</v>
          </cell>
          <cell r="DJ34">
            <v>85.7</v>
          </cell>
          <cell r="DK34">
            <v>41</v>
          </cell>
          <cell r="DL34">
            <v>12</v>
          </cell>
          <cell r="DM34">
            <v>77.400000000000006</v>
          </cell>
          <cell r="DN34">
            <v>18</v>
          </cell>
          <cell r="DO34">
            <v>12</v>
          </cell>
          <cell r="DP34">
            <v>60</v>
          </cell>
          <cell r="DQ34">
            <v>14</v>
          </cell>
          <cell r="DR34">
            <v>8</v>
          </cell>
          <cell r="DS34">
            <v>63.6</v>
          </cell>
          <cell r="DT34">
            <v>63.5999755859375</v>
          </cell>
          <cell r="DU34">
            <v>63.5999755859375</v>
          </cell>
          <cell r="DV34" t="str">
            <v>-</v>
          </cell>
          <cell r="DW34">
            <v>63.5999755859375</v>
          </cell>
          <cell r="DX34">
            <v>63.5999755859375</v>
          </cell>
          <cell r="DY34" t="str">
            <v>-</v>
          </cell>
          <cell r="DZ34">
            <v>63.5999755859375</v>
          </cell>
          <cell r="EA34">
            <v>63.5999755859375</v>
          </cell>
          <cell r="EB34" t="str">
            <v>-</v>
          </cell>
          <cell r="EC34">
            <v>63.5999755859375</v>
          </cell>
          <cell r="ED34">
            <v>63.5999755859375</v>
          </cell>
          <cell r="EE34" t="str">
            <v>-</v>
          </cell>
          <cell r="EF34">
            <v>63.5999755859375</v>
          </cell>
          <cell r="EG34">
            <v>63.5999755859375</v>
          </cell>
          <cell r="EH34" t="str">
            <v>-</v>
          </cell>
          <cell r="EI34">
            <v>63.5999755859375</v>
          </cell>
          <cell r="EJ34">
            <v>63.5999755859375</v>
          </cell>
          <cell r="EK34" t="str">
            <v>-</v>
          </cell>
          <cell r="EL34">
            <v>63.5999755859375</v>
          </cell>
          <cell r="EM34">
            <v>63.5999755859375</v>
          </cell>
          <cell r="EN34" t="str">
            <v>-</v>
          </cell>
          <cell r="EO34">
            <v>63.5999755859375</v>
          </cell>
          <cell r="EP34">
            <v>63.5999755859375</v>
          </cell>
          <cell r="EQ34" t="str">
            <v>-</v>
          </cell>
          <cell r="ER34">
            <v>10</v>
          </cell>
          <cell r="ES34">
            <v>5</v>
          </cell>
          <cell r="ET34">
            <v>66.7</v>
          </cell>
          <cell r="EU34">
            <v>19</v>
          </cell>
          <cell r="EV34">
            <v>8</v>
          </cell>
          <cell r="EW34">
            <v>70.400000000000006</v>
          </cell>
          <cell r="EX34">
            <v>5</v>
          </cell>
          <cell r="EY34">
            <v>1</v>
          </cell>
          <cell r="EZ34">
            <v>83.3</v>
          </cell>
          <cell r="FA34">
            <v>2</v>
          </cell>
          <cell r="FB34">
            <v>2</v>
          </cell>
          <cell r="FC34">
            <v>50</v>
          </cell>
          <cell r="FD34">
            <v>4</v>
          </cell>
          <cell r="FE34">
            <v>4</v>
          </cell>
          <cell r="FF34">
            <v>100</v>
          </cell>
          <cell r="FG34">
            <v>5</v>
          </cell>
          <cell r="FH34">
            <v>2</v>
          </cell>
          <cell r="FI34">
            <v>71.400000000000006</v>
          </cell>
          <cell r="FJ34">
            <v>14</v>
          </cell>
          <cell r="FK34">
            <v>1</v>
          </cell>
          <cell r="FL34">
            <v>93.3</v>
          </cell>
          <cell r="FM34">
            <v>1</v>
          </cell>
          <cell r="FN34">
            <v>3</v>
          </cell>
          <cell r="FO34">
            <v>25</v>
          </cell>
          <cell r="FP34">
            <v>25</v>
          </cell>
          <cell r="FQ34">
            <v>25</v>
          </cell>
          <cell r="FR34" t="str">
            <v>-</v>
          </cell>
          <cell r="FS34">
            <v>25</v>
          </cell>
          <cell r="FT34">
            <v>25</v>
          </cell>
          <cell r="FU34" t="str">
            <v>-</v>
          </cell>
          <cell r="FV34">
            <v>25</v>
          </cell>
          <cell r="FW34">
            <v>25</v>
          </cell>
          <cell r="FX34" t="str">
            <v>-</v>
          </cell>
          <cell r="FY34">
            <v>25</v>
          </cell>
          <cell r="FZ34">
            <v>25</v>
          </cell>
          <cell r="GA34" t="str">
            <v>-</v>
          </cell>
          <cell r="GB34">
            <v>25</v>
          </cell>
          <cell r="GC34">
            <v>25</v>
          </cell>
          <cell r="GD34" t="str">
            <v>-</v>
          </cell>
          <cell r="GE34">
            <v>25</v>
          </cell>
          <cell r="GF34">
            <v>25</v>
          </cell>
          <cell r="GG34" t="str">
            <v>-</v>
          </cell>
          <cell r="GH34">
            <v>25</v>
          </cell>
          <cell r="GI34">
            <v>25</v>
          </cell>
          <cell r="GJ34" t="str">
            <v>-</v>
          </cell>
          <cell r="GK34">
            <v>25</v>
          </cell>
          <cell r="GL34">
            <v>25</v>
          </cell>
          <cell r="GM34" t="str">
            <v>-</v>
          </cell>
          <cell r="GN34">
            <v>54</v>
          </cell>
          <cell r="GO34">
            <v>5</v>
          </cell>
          <cell r="GP34">
            <v>91.5</v>
          </cell>
          <cell r="GQ34">
            <v>51</v>
          </cell>
          <cell r="GR34">
            <v>11</v>
          </cell>
          <cell r="GS34">
            <v>82.3</v>
          </cell>
          <cell r="GT34">
            <v>58</v>
          </cell>
          <cell r="GU34">
            <v>10</v>
          </cell>
          <cell r="GV34">
            <v>85.3</v>
          </cell>
          <cell r="GW34">
            <v>58</v>
          </cell>
          <cell r="GX34">
            <v>17</v>
          </cell>
          <cell r="GY34">
            <v>77.3</v>
          </cell>
          <cell r="GZ34">
            <v>58</v>
          </cell>
          <cell r="HA34">
            <v>5</v>
          </cell>
          <cell r="HB34">
            <v>92.1</v>
          </cell>
          <cell r="HC34">
            <v>54</v>
          </cell>
          <cell r="HD34">
            <v>11</v>
          </cell>
          <cell r="HE34">
            <v>83.1</v>
          </cell>
          <cell r="HF34">
            <v>87</v>
          </cell>
          <cell r="HG34">
            <v>14</v>
          </cell>
          <cell r="HH34">
            <v>86.1</v>
          </cell>
          <cell r="HI34">
            <v>56</v>
          </cell>
          <cell r="HJ34">
            <v>8</v>
          </cell>
          <cell r="HK34">
            <v>87.5</v>
          </cell>
          <cell r="HL34">
            <v>4</v>
          </cell>
          <cell r="HM34">
            <v>1</v>
          </cell>
          <cell r="HN34">
            <v>80</v>
          </cell>
          <cell r="HO34">
            <v>4</v>
          </cell>
          <cell r="HP34">
            <v>6</v>
          </cell>
          <cell r="HQ34">
            <v>40</v>
          </cell>
          <cell r="HR34">
            <v>1</v>
          </cell>
          <cell r="HS34">
            <v>1</v>
          </cell>
          <cell r="HT34">
            <v>100</v>
          </cell>
          <cell r="HU34">
            <v>2</v>
          </cell>
          <cell r="HV34">
            <v>2</v>
          </cell>
          <cell r="HW34">
            <v>50</v>
          </cell>
          <cell r="HX34">
            <v>1</v>
          </cell>
          <cell r="HY34">
            <v>3</v>
          </cell>
          <cell r="HZ34">
            <v>25</v>
          </cell>
          <cell r="IA34">
            <v>25</v>
          </cell>
          <cell r="IB34">
            <v>25</v>
          </cell>
          <cell r="IC34" t="str">
            <v>-</v>
          </cell>
          <cell r="ID34">
            <v>1</v>
          </cell>
          <cell r="IE34">
            <v>1</v>
          </cell>
          <cell r="IF34">
            <v>50</v>
          </cell>
          <cell r="IG34">
            <v>1</v>
          </cell>
          <cell r="IH34">
            <v>1</v>
          </cell>
          <cell r="II34">
            <v>100</v>
          </cell>
          <cell r="IJ34">
            <v>100</v>
          </cell>
          <cell r="IK34">
            <v>100</v>
          </cell>
          <cell r="IL34" t="str">
            <v>-</v>
          </cell>
          <cell r="IM34">
            <v>1</v>
          </cell>
          <cell r="IN34">
            <v>1</v>
          </cell>
          <cell r="IO34">
            <v>100</v>
          </cell>
          <cell r="IP34">
            <v>100</v>
          </cell>
          <cell r="IQ34">
            <v>100</v>
          </cell>
          <cell r="IR34" t="str">
            <v>-</v>
          </cell>
          <cell r="IS34">
            <v>1</v>
          </cell>
          <cell r="IT34">
            <v>1</v>
          </cell>
          <cell r="IU34">
            <v>100</v>
          </cell>
          <cell r="IV34">
            <v>1</v>
          </cell>
          <cell r="IW34">
            <v>1</v>
          </cell>
          <cell r="IX34">
            <v>100</v>
          </cell>
          <cell r="IY34">
            <v>100</v>
          </cell>
          <cell r="IZ34">
            <v>100</v>
          </cell>
          <cell r="JA34" t="str">
            <v>-</v>
          </cell>
          <cell r="JB34">
            <v>1</v>
          </cell>
          <cell r="JC34">
            <v>1</v>
          </cell>
          <cell r="JD34">
            <v>100</v>
          </cell>
          <cell r="JE34">
            <v>4</v>
          </cell>
          <cell r="JF34">
            <v>4</v>
          </cell>
          <cell r="JG34">
            <v>100</v>
          </cell>
          <cell r="JH34">
            <v>0</v>
          </cell>
          <cell r="JI34">
            <v>0</v>
          </cell>
          <cell r="JJ34" t="str">
            <v>-</v>
          </cell>
          <cell r="JK34">
            <v>0</v>
          </cell>
          <cell r="JL34">
            <v>0</v>
          </cell>
          <cell r="JM34" t="str">
            <v>-</v>
          </cell>
          <cell r="JN34">
            <v>0</v>
          </cell>
          <cell r="JO34">
            <v>0</v>
          </cell>
          <cell r="JP34" t="str">
            <v>-</v>
          </cell>
          <cell r="JQ34">
            <v>289</v>
          </cell>
          <cell r="JR34">
            <v>63</v>
          </cell>
          <cell r="JS34">
            <v>82.102272727272734</v>
          </cell>
          <cell r="JT34">
            <v>126</v>
          </cell>
          <cell r="JU34">
            <v>47</v>
          </cell>
          <cell r="JV34">
            <v>72.832369942196522</v>
          </cell>
          <cell r="JW34">
            <v>0</v>
          </cell>
          <cell r="JX34">
            <v>0</v>
          </cell>
          <cell r="JY34" t="str">
            <v>-</v>
          </cell>
          <cell r="JZ34">
            <v>26</v>
          </cell>
          <cell r="KA34">
            <v>8</v>
          </cell>
          <cell r="KB34">
            <v>76.470588235294116</v>
          </cell>
          <cell r="KC34">
            <v>0</v>
          </cell>
          <cell r="KD34">
            <v>0</v>
          </cell>
          <cell r="KE34" t="str">
            <v>-</v>
          </cell>
          <cell r="KF34">
            <v>313</v>
          </cell>
          <cell r="KG34">
            <v>55</v>
          </cell>
          <cell r="KH34">
            <v>85.054347826086953</v>
          </cell>
          <cell r="KI34">
            <v>5</v>
          </cell>
          <cell r="KJ34">
            <v>6</v>
          </cell>
          <cell r="KK34">
            <v>45.454545454545453</v>
          </cell>
          <cell r="KL34">
            <v>7</v>
          </cell>
          <cell r="KM34">
            <v>0</v>
          </cell>
          <cell r="KN34">
            <v>100</v>
          </cell>
        </row>
        <row r="35">
          <cell r="C35" t="str">
            <v>Baranya Megyei Rendőr-főkapitányság</v>
          </cell>
          <cell r="D35">
            <v>13</v>
          </cell>
          <cell r="E35">
            <v>2</v>
          </cell>
          <cell r="F35">
            <v>86.7</v>
          </cell>
          <cell r="G35">
            <v>11</v>
          </cell>
          <cell r="H35">
            <v>11</v>
          </cell>
          <cell r="I35">
            <v>100</v>
          </cell>
          <cell r="J35">
            <v>6</v>
          </cell>
          <cell r="K35">
            <v>5</v>
          </cell>
          <cell r="L35">
            <v>54.5</v>
          </cell>
          <cell r="M35">
            <v>12</v>
          </cell>
          <cell r="N35">
            <v>12</v>
          </cell>
          <cell r="O35">
            <v>100</v>
          </cell>
          <cell r="P35">
            <v>8</v>
          </cell>
          <cell r="Q35">
            <v>2</v>
          </cell>
          <cell r="R35">
            <v>80</v>
          </cell>
          <cell r="S35">
            <v>11</v>
          </cell>
          <cell r="T35">
            <v>11</v>
          </cell>
          <cell r="U35">
            <v>100</v>
          </cell>
          <cell r="V35">
            <v>6</v>
          </cell>
          <cell r="W35">
            <v>6</v>
          </cell>
          <cell r="X35">
            <v>100</v>
          </cell>
          <cell r="Y35">
            <v>8</v>
          </cell>
          <cell r="Z35">
            <v>8</v>
          </cell>
          <cell r="AA35">
            <v>100</v>
          </cell>
          <cell r="AB35">
            <v>6</v>
          </cell>
          <cell r="AC35">
            <v>6</v>
          </cell>
          <cell r="AD35">
            <v>100</v>
          </cell>
          <cell r="AE35">
            <v>9</v>
          </cell>
          <cell r="AF35">
            <v>9</v>
          </cell>
          <cell r="AG35">
            <v>100</v>
          </cell>
          <cell r="AH35">
            <v>4</v>
          </cell>
          <cell r="AI35">
            <v>4</v>
          </cell>
          <cell r="AJ35">
            <v>100</v>
          </cell>
          <cell r="AK35">
            <v>9</v>
          </cell>
          <cell r="AL35">
            <v>9</v>
          </cell>
          <cell r="AM35">
            <v>100</v>
          </cell>
          <cell r="AN35">
            <v>3</v>
          </cell>
          <cell r="AO35">
            <v>1</v>
          </cell>
          <cell r="AP35">
            <v>75</v>
          </cell>
          <cell r="AQ35">
            <v>6</v>
          </cell>
          <cell r="AR35">
            <v>6</v>
          </cell>
          <cell r="AS35">
            <v>100</v>
          </cell>
          <cell r="AT35">
            <v>1</v>
          </cell>
          <cell r="AU35">
            <v>1</v>
          </cell>
          <cell r="AV35">
            <v>100</v>
          </cell>
          <cell r="AW35">
            <v>4</v>
          </cell>
          <cell r="AX35">
            <v>4</v>
          </cell>
          <cell r="AY35">
            <v>100</v>
          </cell>
          <cell r="AZ35">
            <v>6</v>
          </cell>
          <cell r="BA35">
            <v>2</v>
          </cell>
          <cell r="BB35">
            <v>75</v>
          </cell>
          <cell r="BC35">
            <v>2</v>
          </cell>
          <cell r="BD35">
            <v>2</v>
          </cell>
          <cell r="BE35">
            <v>100</v>
          </cell>
          <cell r="BF35">
            <v>2</v>
          </cell>
          <cell r="BG35">
            <v>2</v>
          </cell>
          <cell r="BH35">
            <v>100</v>
          </cell>
          <cell r="BI35">
            <v>2</v>
          </cell>
          <cell r="BJ35">
            <v>2</v>
          </cell>
          <cell r="BK35">
            <v>100</v>
          </cell>
          <cell r="BL35">
            <v>4</v>
          </cell>
          <cell r="BM35">
            <v>4</v>
          </cell>
          <cell r="BN35">
            <v>100</v>
          </cell>
          <cell r="BO35">
            <v>3</v>
          </cell>
          <cell r="BP35">
            <v>3</v>
          </cell>
          <cell r="BQ35">
            <v>100</v>
          </cell>
          <cell r="BR35">
            <v>5</v>
          </cell>
          <cell r="BS35">
            <v>5</v>
          </cell>
          <cell r="BT35">
            <v>100</v>
          </cell>
          <cell r="BU35">
            <v>3</v>
          </cell>
          <cell r="BV35">
            <v>3</v>
          </cell>
          <cell r="BW35">
            <v>100</v>
          </cell>
          <cell r="BX35">
            <v>505</v>
          </cell>
          <cell r="BY35">
            <v>113</v>
          </cell>
          <cell r="BZ35">
            <v>81.7</v>
          </cell>
          <cell r="CA35">
            <v>423</v>
          </cell>
          <cell r="CB35">
            <v>129</v>
          </cell>
          <cell r="CC35">
            <v>76.599999999999994</v>
          </cell>
          <cell r="CD35">
            <v>411</v>
          </cell>
          <cell r="CE35">
            <v>96</v>
          </cell>
          <cell r="CF35">
            <v>81.099999999999994</v>
          </cell>
          <cell r="CG35">
            <v>416</v>
          </cell>
          <cell r="CH35">
            <v>120</v>
          </cell>
          <cell r="CI35">
            <v>77.599999999999994</v>
          </cell>
          <cell r="CJ35">
            <v>375</v>
          </cell>
          <cell r="CK35">
            <v>88</v>
          </cell>
          <cell r="CL35">
            <v>81</v>
          </cell>
          <cell r="CM35">
            <v>393</v>
          </cell>
          <cell r="CN35">
            <v>108</v>
          </cell>
          <cell r="CO35">
            <v>78.400000000000006</v>
          </cell>
          <cell r="CP35">
            <v>367</v>
          </cell>
          <cell r="CQ35">
            <v>103</v>
          </cell>
          <cell r="CR35">
            <v>78.099999999999994</v>
          </cell>
          <cell r="CS35">
            <v>305</v>
          </cell>
          <cell r="CT35">
            <v>109</v>
          </cell>
          <cell r="CU35">
            <v>73.7</v>
          </cell>
          <cell r="CV35">
            <v>258</v>
          </cell>
          <cell r="CW35">
            <v>79</v>
          </cell>
          <cell r="CX35">
            <v>76.599999999999994</v>
          </cell>
          <cell r="CY35">
            <v>199</v>
          </cell>
          <cell r="CZ35">
            <v>89</v>
          </cell>
          <cell r="DA35">
            <v>69.099999999999994</v>
          </cell>
          <cell r="DB35">
            <v>184</v>
          </cell>
          <cell r="DC35">
            <v>71</v>
          </cell>
          <cell r="DD35">
            <v>72.2</v>
          </cell>
          <cell r="DE35">
            <v>170</v>
          </cell>
          <cell r="DF35">
            <v>83</v>
          </cell>
          <cell r="DG35">
            <v>67.2</v>
          </cell>
          <cell r="DH35">
            <v>192</v>
          </cell>
          <cell r="DI35">
            <v>60</v>
          </cell>
          <cell r="DJ35">
            <v>76.2</v>
          </cell>
          <cell r="DK35">
            <v>178</v>
          </cell>
          <cell r="DL35">
            <v>74</v>
          </cell>
          <cell r="DM35">
            <v>70.599999999999994</v>
          </cell>
          <cell r="DN35">
            <v>166</v>
          </cell>
          <cell r="DO35">
            <v>66</v>
          </cell>
          <cell r="DP35">
            <v>71.599999999999994</v>
          </cell>
          <cell r="DQ35">
            <v>133</v>
          </cell>
          <cell r="DR35">
            <v>71</v>
          </cell>
          <cell r="DS35">
            <v>65.2</v>
          </cell>
          <cell r="DT35">
            <v>1</v>
          </cell>
          <cell r="DU35">
            <v>1</v>
          </cell>
          <cell r="DV35">
            <v>50</v>
          </cell>
          <cell r="DW35">
            <v>1</v>
          </cell>
          <cell r="DX35">
            <v>1</v>
          </cell>
          <cell r="DY35">
            <v>100</v>
          </cell>
          <cell r="DZ35">
            <v>100</v>
          </cell>
          <cell r="EA35">
            <v>100</v>
          </cell>
          <cell r="EB35" t="str">
            <v>-</v>
          </cell>
          <cell r="EC35">
            <v>1</v>
          </cell>
          <cell r="ED35">
            <v>1</v>
          </cell>
          <cell r="EE35">
            <v>100</v>
          </cell>
          <cell r="EF35">
            <v>1</v>
          </cell>
          <cell r="EG35">
            <v>1</v>
          </cell>
          <cell r="EH35">
            <v>100</v>
          </cell>
          <cell r="EI35">
            <v>100</v>
          </cell>
          <cell r="EJ35">
            <v>100</v>
          </cell>
          <cell r="EK35" t="str">
            <v>-</v>
          </cell>
          <cell r="EL35">
            <v>100</v>
          </cell>
          <cell r="EM35">
            <v>100</v>
          </cell>
          <cell r="EN35" t="str">
            <v>-</v>
          </cell>
          <cell r="EO35">
            <v>100</v>
          </cell>
          <cell r="EP35">
            <v>100</v>
          </cell>
          <cell r="EQ35" t="str">
            <v>-</v>
          </cell>
          <cell r="ER35">
            <v>85</v>
          </cell>
          <cell r="ES35">
            <v>57</v>
          </cell>
          <cell r="ET35">
            <v>59.9</v>
          </cell>
          <cell r="EU35">
            <v>90</v>
          </cell>
          <cell r="EV35">
            <v>35</v>
          </cell>
          <cell r="EW35">
            <v>72</v>
          </cell>
          <cell r="EX35">
            <v>47</v>
          </cell>
          <cell r="EY35">
            <v>35</v>
          </cell>
          <cell r="EZ35">
            <v>57.3</v>
          </cell>
          <cell r="FA35">
            <v>51</v>
          </cell>
          <cell r="FB35">
            <v>20</v>
          </cell>
          <cell r="FC35">
            <v>71.8</v>
          </cell>
          <cell r="FD35">
            <v>67</v>
          </cell>
          <cell r="FE35">
            <v>11</v>
          </cell>
          <cell r="FF35">
            <v>85.9</v>
          </cell>
          <cell r="FG35">
            <v>46</v>
          </cell>
          <cell r="FH35">
            <v>18</v>
          </cell>
          <cell r="FI35">
            <v>71.900000000000006</v>
          </cell>
          <cell r="FJ35">
            <v>52</v>
          </cell>
          <cell r="FK35">
            <v>18</v>
          </cell>
          <cell r="FL35">
            <v>74.3</v>
          </cell>
          <cell r="FM35">
            <v>45</v>
          </cell>
          <cell r="FN35">
            <v>14</v>
          </cell>
          <cell r="FO35">
            <v>76.3</v>
          </cell>
          <cell r="FP35">
            <v>76.29998779296875</v>
          </cell>
          <cell r="FQ35">
            <v>76.29998779296875</v>
          </cell>
          <cell r="FR35" t="str">
            <v>-</v>
          </cell>
          <cell r="FS35">
            <v>2</v>
          </cell>
          <cell r="FT35">
            <v>2</v>
          </cell>
          <cell r="FU35">
            <v>100</v>
          </cell>
          <cell r="FV35">
            <v>100</v>
          </cell>
          <cell r="FW35">
            <v>100</v>
          </cell>
          <cell r="FX35" t="str">
            <v>-</v>
          </cell>
          <cell r="FY35">
            <v>100</v>
          </cell>
          <cell r="FZ35">
            <v>100</v>
          </cell>
          <cell r="GA35" t="str">
            <v>-</v>
          </cell>
          <cell r="GB35">
            <v>3</v>
          </cell>
          <cell r="GC35">
            <v>3</v>
          </cell>
          <cell r="GD35">
            <v>100</v>
          </cell>
          <cell r="GE35">
            <v>1</v>
          </cell>
          <cell r="GF35">
            <v>1</v>
          </cell>
          <cell r="GG35">
            <v>100</v>
          </cell>
          <cell r="GH35">
            <v>1</v>
          </cell>
          <cell r="GI35">
            <v>1</v>
          </cell>
          <cell r="GJ35">
            <v>100</v>
          </cell>
          <cell r="GK35">
            <v>100</v>
          </cell>
          <cell r="GL35">
            <v>100</v>
          </cell>
          <cell r="GM35" t="str">
            <v>-</v>
          </cell>
          <cell r="GN35">
            <v>373</v>
          </cell>
          <cell r="GO35">
            <v>70</v>
          </cell>
          <cell r="GP35">
            <v>84.2</v>
          </cell>
          <cell r="GQ35">
            <v>416</v>
          </cell>
          <cell r="GR35">
            <v>83</v>
          </cell>
          <cell r="GS35">
            <v>83.4</v>
          </cell>
          <cell r="GT35">
            <v>397</v>
          </cell>
          <cell r="GU35">
            <v>126</v>
          </cell>
          <cell r="GV35">
            <v>75.900000000000006</v>
          </cell>
          <cell r="GW35">
            <v>414</v>
          </cell>
          <cell r="GX35">
            <v>118</v>
          </cell>
          <cell r="GY35">
            <v>77.8</v>
          </cell>
          <cell r="GZ35">
            <v>338</v>
          </cell>
          <cell r="HA35">
            <v>81</v>
          </cell>
          <cell r="HB35">
            <v>80.7</v>
          </cell>
          <cell r="HC35">
            <v>343</v>
          </cell>
          <cell r="HD35">
            <v>89</v>
          </cell>
          <cell r="HE35">
            <v>79.400000000000006</v>
          </cell>
          <cell r="HF35">
            <v>482</v>
          </cell>
          <cell r="HG35">
            <v>135</v>
          </cell>
          <cell r="HH35">
            <v>78.099999999999994</v>
          </cell>
          <cell r="HI35">
            <v>437</v>
          </cell>
          <cell r="HJ35">
            <v>122</v>
          </cell>
          <cell r="HK35">
            <v>78.2</v>
          </cell>
          <cell r="HL35">
            <v>26</v>
          </cell>
          <cell r="HM35">
            <v>26</v>
          </cell>
          <cell r="HN35">
            <v>50</v>
          </cell>
          <cell r="HO35">
            <v>39</v>
          </cell>
          <cell r="HP35">
            <v>37</v>
          </cell>
          <cell r="HQ35">
            <v>51.3</v>
          </cell>
          <cell r="HR35">
            <v>26</v>
          </cell>
          <cell r="HS35">
            <v>20</v>
          </cell>
          <cell r="HT35">
            <v>56.5</v>
          </cell>
          <cell r="HU35">
            <v>27</v>
          </cell>
          <cell r="HV35">
            <v>26</v>
          </cell>
          <cell r="HW35">
            <v>50.9</v>
          </cell>
          <cell r="HX35">
            <v>20</v>
          </cell>
          <cell r="HY35">
            <v>19</v>
          </cell>
          <cell r="HZ35">
            <v>51.3</v>
          </cell>
          <cell r="IA35">
            <v>28</v>
          </cell>
          <cell r="IB35">
            <v>13</v>
          </cell>
          <cell r="IC35">
            <v>68.3</v>
          </cell>
          <cell r="ID35">
            <v>17</v>
          </cell>
          <cell r="IE35">
            <v>14</v>
          </cell>
          <cell r="IF35">
            <v>54.8</v>
          </cell>
          <cell r="IG35">
            <v>13</v>
          </cell>
          <cell r="IH35">
            <v>13</v>
          </cell>
          <cell r="II35">
            <v>50</v>
          </cell>
          <cell r="IJ35">
            <v>23</v>
          </cell>
          <cell r="IK35">
            <v>3</v>
          </cell>
          <cell r="IL35">
            <v>88.5</v>
          </cell>
          <cell r="IM35">
            <v>17</v>
          </cell>
          <cell r="IN35">
            <v>4</v>
          </cell>
          <cell r="IO35">
            <v>81</v>
          </cell>
          <cell r="IP35">
            <v>12</v>
          </cell>
          <cell r="IQ35">
            <v>2</v>
          </cell>
          <cell r="IR35">
            <v>85.7</v>
          </cell>
          <cell r="IS35">
            <v>16</v>
          </cell>
          <cell r="IT35">
            <v>3</v>
          </cell>
          <cell r="IU35">
            <v>84.2</v>
          </cell>
          <cell r="IV35">
            <v>12</v>
          </cell>
          <cell r="IW35">
            <v>6</v>
          </cell>
          <cell r="IX35">
            <v>66.7</v>
          </cell>
          <cell r="IY35">
            <v>6</v>
          </cell>
          <cell r="IZ35">
            <v>1</v>
          </cell>
          <cell r="JA35">
            <v>85.7</v>
          </cell>
          <cell r="JB35">
            <v>19</v>
          </cell>
          <cell r="JC35">
            <v>3</v>
          </cell>
          <cell r="JD35">
            <v>86.4</v>
          </cell>
          <cell r="JE35">
            <v>14</v>
          </cell>
          <cell r="JF35">
            <v>2</v>
          </cell>
          <cell r="JG35">
            <v>87.5</v>
          </cell>
          <cell r="JH35">
            <v>45</v>
          </cell>
          <cell r="JI35">
            <v>2</v>
          </cell>
          <cell r="JJ35">
            <v>95.744680851063833</v>
          </cell>
          <cell r="JK35">
            <v>23</v>
          </cell>
          <cell r="JL35">
            <v>1</v>
          </cell>
          <cell r="JM35">
            <v>95.833333333333343</v>
          </cell>
          <cell r="JN35">
            <v>17</v>
          </cell>
          <cell r="JO35">
            <v>0</v>
          </cell>
          <cell r="JP35">
            <v>100</v>
          </cell>
          <cell r="JQ35">
            <v>1856</v>
          </cell>
          <cell r="JR35">
            <v>528</v>
          </cell>
          <cell r="JS35">
            <v>77.852348993288587</v>
          </cell>
          <cell r="JT35">
            <v>839</v>
          </cell>
          <cell r="JU35">
            <v>354</v>
          </cell>
          <cell r="JV35">
            <v>70.326906957250628</v>
          </cell>
          <cell r="JW35">
            <v>2</v>
          </cell>
          <cell r="JX35">
            <v>0</v>
          </cell>
          <cell r="JY35">
            <v>100</v>
          </cell>
          <cell r="JZ35">
            <v>261</v>
          </cell>
          <cell r="KA35">
            <v>81</v>
          </cell>
          <cell r="KB35">
            <v>76.31578947368422</v>
          </cell>
          <cell r="KC35">
            <v>5</v>
          </cell>
          <cell r="KD35">
            <v>0</v>
          </cell>
          <cell r="KE35">
            <v>100</v>
          </cell>
          <cell r="KF35">
            <v>2014</v>
          </cell>
          <cell r="KG35">
            <v>545</v>
          </cell>
          <cell r="KH35">
            <v>78.70261821023837</v>
          </cell>
          <cell r="KI35">
            <v>105</v>
          </cell>
          <cell r="KJ35">
            <v>85</v>
          </cell>
          <cell r="KK35">
            <v>55.26315789473685</v>
          </cell>
          <cell r="KL35">
            <v>67</v>
          </cell>
          <cell r="KM35">
            <v>15</v>
          </cell>
          <cell r="KN35">
            <v>81.707317073170728</v>
          </cell>
        </row>
        <row r="36">
          <cell r="C36" t="str">
            <v>Bács-Kiskun MRFK Központ</v>
          </cell>
          <cell r="D36">
            <v>16</v>
          </cell>
          <cell r="E36">
            <v>1</v>
          </cell>
          <cell r="F36">
            <v>94.1</v>
          </cell>
          <cell r="G36">
            <v>12</v>
          </cell>
          <cell r="H36">
            <v>1</v>
          </cell>
          <cell r="I36">
            <v>92.3</v>
          </cell>
          <cell r="J36">
            <v>13</v>
          </cell>
          <cell r="K36">
            <v>3</v>
          </cell>
          <cell r="L36">
            <v>81.3</v>
          </cell>
          <cell r="M36">
            <v>12</v>
          </cell>
          <cell r="N36">
            <v>12</v>
          </cell>
          <cell r="O36">
            <v>100</v>
          </cell>
          <cell r="P36">
            <v>12</v>
          </cell>
          <cell r="Q36">
            <v>2</v>
          </cell>
          <cell r="R36">
            <v>85.7</v>
          </cell>
          <cell r="S36">
            <v>10</v>
          </cell>
          <cell r="T36">
            <v>1</v>
          </cell>
          <cell r="U36">
            <v>90.9</v>
          </cell>
          <cell r="V36">
            <v>10</v>
          </cell>
          <cell r="W36">
            <v>1</v>
          </cell>
          <cell r="X36">
            <v>90.9</v>
          </cell>
          <cell r="Y36">
            <v>12</v>
          </cell>
          <cell r="Z36">
            <v>1</v>
          </cell>
          <cell r="AA36">
            <v>92.3</v>
          </cell>
          <cell r="AB36">
            <v>11</v>
          </cell>
          <cell r="AC36">
            <v>1</v>
          </cell>
          <cell r="AD36">
            <v>91.7</v>
          </cell>
          <cell r="AE36">
            <v>1</v>
          </cell>
          <cell r="AF36">
            <v>1</v>
          </cell>
          <cell r="AG36">
            <v>100</v>
          </cell>
          <cell r="AH36">
            <v>5</v>
          </cell>
          <cell r="AI36">
            <v>1</v>
          </cell>
          <cell r="AJ36">
            <v>83.3</v>
          </cell>
          <cell r="AK36">
            <v>8</v>
          </cell>
          <cell r="AL36">
            <v>8</v>
          </cell>
          <cell r="AM36">
            <v>100</v>
          </cell>
          <cell r="AN36">
            <v>6</v>
          </cell>
          <cell r="AO36">
            <v>2</v>
          </cell>
          <cell r="AP36">
            <v>75</v>
          </cell>
          <cell r="AQ36">
            <v>6</v>
          </cell>
          <cell r="AR36">
            <v>6</v>
          </cell>
          <cell r="AS36">
            <v>100</v>
          </cell>
          <cell r="AT36">
            <v>6</v>
          </cell>
          <cell r="AU36">
            <v>6</v>
          </cell>
          <cell r="AV36">
            <v>100</v>
          </cell>
          <cell r="AW36">
            <v>9</v>
          </cell>
          <cell r="AX36">
            <v>1</v>
          </cell>
          <cell r="AY36">
            <v>90</v>
          </cell>
          <cell r="AZ36">
            <v>5</v>
          </cell>
          <cell r="BA36">
            <v>5</v>
          </cell>
          <cell r="BB36">
            <v>100</v>
          </cell>
          <cell r="BC36">
            <v>10</v>
          </cell>
          <cell r="BD36">
            <v>10</v>
          </cell>
          <cell r="BE36">
            <v>100</v>
          </cell>
          <cell r="BF36">
            <v>7</v>
          </cell>
          <cell r="BG36">
            <v>1</v>
          </cell>
          <cell r="BH36">
            <v>87.5</v>
          </cell>
          <cell r="BI36">
            <v>4</v>
          </cell>
          <cell r="BJ36">
            <v>4</v>
          </cell>
          <cell r="BK36">
            <v>100</v>
          </cell>
          <cell r="BL36">
            <v>4</v>
          </cell>
          <cell r="BM36">
            <v>4</v>
          </cell>
          <cell r="BN36">
            <v>100</v>
          </cell>
          <cell r="BO36">
            <v>4</v>
          </cell>
          <cell r="BP36">
            <v>1</v>
          </cell>
          <cell r="BQ36">
            <v>80</v>
          </cell>
          <cell r="BR36">
            <v>3</v>
          </cell>
          <cell r="BS36">
            <v>3</v>
          </cell>
          <cell r="BT36">
            <v>100</v>
          </cell>
          <cell r="BU36">
            <v>3</v>
          </cell>
          <cell r="BV36">
            <v>3</v>
          </cell>
          <cell r="BW36">
            <v>100</v>
          </cell>
          <cell r="BX36">
            <v>14</v>
          </cell>
          <cell r="BY36">
            <v>14</v>
          </cell>
          <cell r="BZ36">
            <v>100</v>
          </cell>
          <cell r="CA36">
            <v>35</v>
          </cell>
          <cell r="CB36">
            <v>3</v>
          </cell>
          <cell r="CC36">
            <v>92.1</v>
          </cell>
          <cell r="CD36">
            <v>38</v>
          </cell>
          <cell r="CE36">
            <v>1</v>
          </cell>
          <cell r="CF36">
            <v>97.4</v>
          </cell>
          <cell r="CG36">
            <v>15</v>
          </cell>
          <cell r="CH36">
            <v>3</v>
          </cell>
          <cell r="CI36">
            <v>83.3</v>
          </cell>
          <cell r="CJ36">
            <v>30</v>
          </cell>
          <cell r="CK36">
            <v>2</v>
          </cell>
          <cell r="CL36">
            <v>93.8</v>
          </cell>
          <cell r="CM36">
            <v>22</v>
          </cell>
          <cell r="CN36">
            <v>22</v>
          </cell>
          <cell r="CO36">
            <v>100</v>
          </cell>
          <cell r="CP36">
            <v>32</v>
          </cell>
          <cell r="CQ36">
            <v>5</v>
          </cell>
          <cell r="CR36">
            <v>86.5</v>
          </cell>
          <cell r="CS36">
            <v>28</v>
          </cell>
          <cell r="CT36">
            <v>3</v>
          </cell>
          <cell r="CU36">
            <v>90.3</v>
          </cell>
          <cell r="CV36">
            <v>13</v>
          </cell>
          <cell r="CW36">
            <v>13</v>
          </cell>
          <cell r="CX36">
            <v>100</v>
          </cell>
          <cell r="CY36">
            <v>27</v>
          </cell>
          <cell r="CZ36">
            <v>1</v>
          </cell>
          <cell r="DA36">
            <v>96.4</v>
          </cell>
          <cell r="DB36">
            <v>36</v>
          </cell>
          <cell r="DC36">
            <v>1</v>
          </cell>
          <cell r="DD36">
            <v>97.3</v>
          </cell>
          <cell r="DE36">
            <v>15</v>
          </cell>
          <cell r="DF36">
            <v>3</v>
          </cell>
          <cell r="DG36">
            <v>83.3</v>
          </cell>
          <cell r="DH36">
            <v>26</v>
          </cell>
          <cell r="DI36">
            <v>2</v>
          </cell>
          <cell r="DJ36">
            <v>92.9</v>
          </cell>
          <cell r="DK36">
            <v>21</v>
          </cell>
          <cell r="DL36">
            <v>21</v>
          </cell>
          <cell r="DM36">
            <v>100</v>
          </cell>
          <cell r="DN36">
            <v>26</v>
          </cell>
          <cell r="DO36">
            <v>5</v>
          </cell>
          <cell r="DP36">
            <v>83.9</v>
          </cell>
          <cell r="DQ36">
            <v>25</v>
          </cell>
          <cell r="DR36">
            <v>3</v>
          </cell>
          <cell r="DS36">
            <v>89.3</v>
          </cell>
          <cell r="DT36">
            <v>89.29998779296875</v>
          </cell>
          <cell r="DU36">
            <v>89.29998779296875</v>
          </cell>
          <cell r="DV36" t="str">
            <v>-</v>
          </cell>
          <cell r="DW36">
            <v>89.29998779296875</v>
          </cell>
          <cell r="DX36">
            <v>89.29998779296875</v>
          </cell>
          <cell r="DY36" t="str">
            <v>-</v>
          </cell>
          <cell r="DZ36">
            <v>89.29998779296875</v>
          </cell>
          <cell r="EA36">
            <v>89.29998779296875</v>
          </cell>
          <cell r="EB36" t="str">
            <v>-</v>
          </cell>
          <cell r="EC36">
            <v>1</v>
          </cell>
          <cell r="ED36">
            <v>1</v>
          </cell>
          <cell r="EE36">
            <v>50</v>
          </cell>
          <cell r="EF36">
            <v>50</v>
          </cell>
          <cell r="EG36">
            <v>50</v>
          </cell>
          <cell r="EH36" t="str">
            <v>-</v>
          </cell>
          <cell r="EI36">
            <v>1</v>
          </cell>
          <cell r="EJ36">
            <v>1</v>
          </cell>
          <cell r="EK36">
            <v>100</v>
          </cell>
          <cell r="EL36">
            <v>100</v>
          </cell>
          <cell r="EM36">
            <v>1</v>
          </cell>
          <cell r="EN36">
            <v>0</v>
          </cell>
          <cell r="EO36">
            <v>3</v>
          </cell>
          <cell r="EP36">
            <v>1</v>
          </cell>
          <cell r="EQ36">
            <v>75</v>
          </cell>
          <cell r="ER36">
            <v>7</v>
          </cell>
          <cell r="ES36">
            <v>1</v>
          </cell>
          <cell r="ET36">
            <v>87.5</v>
          </cell>
          <cell r="EU36">
            <v>1</v>
          </cell>
          <cell r="EV36">
            <v>1</v>
          </cell>
          <cell r="EW36">
            <v>100</v>
          </cell>
          <cell r="EX36">
            <v>1</v>
          </cell>
          <cell r="EY36">
            <v>1</v>
          </cell>
          <cell r="EZ36">
            <v>100</v>
          </cell>
          <cell r="FA36">
            <v>3</v>
          </cell>
          <cell r="FB36">
            <v>3</v>
          </cell>
          <cell r="FC36">
            <v>100</v>
          </cell>
          <cell r="FD36">
            <v>2</v>
          </cell>
          <cell r="FE36">
            <v>1</v>
          </cell>
          <cell r="FF36">
            <v>66.7</v>
          </cell>
          <cell r="FG36">
            <v>3</v>
          </cell>
          <cell r="FH36">
            <v>3</v>
          </cell>
          <cell r="FI36">
            <v>100</v>
          </cell>
          <cell r="FJ36">
            <v>6</v>
          </cell>
          <cell r="FK36">
            <v>6</v>
          </cell>
          <cell r="FL36">
            <v>100</v>
          </cell>
          <cell r="FM36">
            <v>10</v>
          </cell>
          <cell r="FN36">
            <v>10</v>
          </cell>
          <cell r="FO36">
            <v>100</v>
          </cell>
          <cell r="FP36">
            <v>21</v>
          </cell>
          <cell r="FQ36">
            <v>6</v>
          </cell>
          <cell r="FR36">
            <v>77.8</v>
          </cell>
          <cell r="FS36">
            <v>33</v>
          </cell>
          <cell r="FT36">
            <v>9</v>
          </cell>
          <cell r="FU36">
            <v>78.599999999999994</v>
          </cell>
          <cell r="FV36">
            <v>22</v>
          </cell>
          <cell r="FW36">
            <v>12</v>
          </cell>
          <cell r="FX36">
            <v>64.7</v>
          </cell>
          <cell r="FY36">
            <v>47</v>
          </cell>
          <cell r="FZ36">
            <v>5</v>
          </cell>
          <cell r="GA36">
            <v>90.4</v>
          </cell>
          <cell r="GB36">
            <v>39</v>
          </cell>
          <cell r="GC36">
            <v>8</v>
          </cell>
          <cell r="GD36">
            <v>83</v>
          </cell>
          <cell r="GE36">
            <v>69</v>
          </cell>
          <cell r="GF36">
            <v>11</v>
          </cell>
          <cell r="GG36">
            <v>86.3</v>
          </cell>
          <cell r="GH36">
            <v>67</v>
          </cell>
          <cell r="GI36">
            <v>8</v>
          </cell>
          <cell r="GJ36">
            <v>89.3</v>
          </cell>
          <cell r="GK36">
            <v>21</v>
          </cell>
          <cell r="GL36">
            <v>3</v>
          </cell>
          <cell r="GM36">
            <v>87.5</v>
          </cell>
          <cell r="GN36">
            <v>87.5</v>
          </cell>
          <cell r="GO36">
            <v>87.5</v>
          </cell>
          <cell r="GP36" t="str">
            <v>-</v>
          </cell>
          <cell r="GQ36">
            <v>4</v>
          </cell>
          <cell r="GR36">
            <v>1</v>
          </cell>
          <cell r="GS36">
            <v>80</v>
          </cell>
          <cell r="GT36">
            <v>4</v>
          </cell>
          <cell r="GU36">
            <v>4</v>
          </cell>
          <cell r="GV36">
            <v>100</v>
          </cell>
          <cell r="GW36">
            <v>1</v>
          </cell>
          <cell r="GX36">
            <v>1</v>
          </cell>
          <cell r="GY36">
            <v>100</v>
          </cell>
          <cell r="GZ36">
            <v>6</v>
          </cell>
          <cell r="HA36">
            <v>6</v>
          </cell>
          <cell r="HB36">
            <v>100</v>
          </cell>
          <cell r="HC36">
            <v>1</v>
          </cell>
          <cell r="HD36">
            <v>1</v>
          </cell>
          <cell r="HE36">
            <v>100</v>
          </cell>
          <cell r="HF36">
            <v>2</v>
          </cell>
          <cell r="HG36">
            <v>2</v>
          </cell>
          <cell r="HH36">
            <v>100</v>
          </cell>
          <cell r="HI36">
            <v>6</v>
          </cell>
          <cell r="HJ36">
            <v>6</v>
          </cell>
          <cell r="HK36">
            <v>100</v>
          </cell>
          <cell r="HL36">
            <v>1</v>
          </cell>
          <cell r="HM36">
            <v>1</v>
          </cell>
          <cell r="HN36">
            <v>100</v>
          </cell>
          <cell r="HO36">
            <v>100</v>
          </cell>
          <cell r="HP36">
            <v>100</v>
          </cell>
          <cell r="HQ36" t="str">
            <v>-</v>
          </cell>
          <cell r="HR36">
            <v>100</v>
          </cell>
          <cell r="HS36">
            <v>100</v>
          </cell>
          <cell r="HT36" t="str">
            <v>-</v>
          </cell>
          <cell r="HU36">
            <v>100</v>
          </cell>
          <cell r="HV36">
            <v>100</v>
          </cell>
          <cell r="HW36" t="str">
            <v>-</v>
          </cell>
          <cell r="HX36">
            <v>1</v>
          </cell>
          <cell r="HY36">
            <v>1</v>
          </cell>
          <cell r="HZ36">
            <v>100</v>
          </cell>
          <cell r="IA36">
            <v>100</v>
          </cell>
          <cell r="IB36">
            <v>100</v>
          </cell>
          <cell r="IC36" t="str">
            <v>-</v>
          </cell>
          <cell r="ID36">
            <v>100</v>
          </cell>
          <cell r="IE36">
            <v>100</v>
          </cell>
          <cell r="IF36" t="str">
            <v>-</v>
          </cell>
          <cell r="IG36">
            <v>100</v>
          </cell>
          <cell r="IH36">
            <v>100</v>
          </cell>
          <cell r="II36" t="str">
            <v>-</v>
          </cell>
          <cell r="IJ36">
            <v>100</v>
          </cell>
          <cell r="IK36">
            <v>100</v>
          </cell>
          <cell r="IL36" t="str">
            <v>-</v>
          </cell>
          <cell r="IM36">
            <v>100</v>
          </cell>
          <cell r="IN36">
            <v>100</v>
          </cell>
          <cell r="IO36" t="str">
            <v>-</v>
          </cell>
          <cell r="IP36">
            <v>100</v>
          </cell>
          <cell r="IQ36">
            <v>100</v>
          </cell>
          <cell r="IR36" t="str">
            <v>-</v>
          </cell>
          <cell r="IS36">
            <v>1</v>
          </cell>
          <cell r="IT36">
            <v>1</v>
          </cell>
          <cell r="IU36">
            <v>50</v>
          </cell>
          <cell r="IV36">
            <v>50</v>
          </cell>
          <cell r="IW36">
            <v>50</v>
          </cell>
          <cell r="IX36" t="str">
            <v>-</v>
          </cell>
          <cell r="IY36">
            <v>10</v>
          </cell>
          <cell r="IZ36">
            <v>3</v>
          </cell>
          <cell r="JA36">
            <v>76.900000000000006</v>
          </cell>
          <cell r="JB36">
            <v>3</v>
          </cell>
          <cell r="JC36">
            <v>1</v>
          </cell>
          <cell r="JD36">
            <v>75</v>
          </cell>
          <cell r="JE36">
            <v>3</v>
          </cell>
          <cell r="JF36">
            <v>3</v>
          </cell>
          <cell r="JG36">
            <v>100</v>
          </cell>
          <cell r="JH36">
            <v>56</v>
          </cell>
          <cell r="JI36">
            <v>5</v>
          </cell>
          <cell r="JJ36">
            <v>91.803278688524586</v>
          </cell>
          <cell r="JK36">
            <v>35</v>
          </cell>
          <cell r="JL36">
            <v>3</v>
          </cell>
          <cell r="JM36">
            <v>92.10526315789474</v>
          </cell>
          <cell r="JN36">
            <v>18</v>
          </cell>
          <cell r="JO36">
            <v>1</v>
          </cell>
          <cell r="JP36">
            <v>94.73684210526315</v>
          </cell>
          <cell r="JQ36">
            <v>127</v>
          </cell>
          <cell r="JR36">
            <v>13</v>
          </cell>
          <cell r="JS36">
            <v>90.714285714285708</v>
          </cell>
          <cell r="JT36">
            <v>113</v>
          </cell>
          <cell r="JU36">
            <v>13</v>
          </cell>
          <cell r="JV36">
            <v>89.682539682539684</v>
          </cell>
          <cell r="JW36">
            <v>5</v>
          </cell>
          <cell r="JX36">
            <v>3</v>
          </cell>
          <cell r="JY36">
            <v>62.5</v>
          </cell>
          <cell r="JZ36">
            <v>24</v>
          </cell>
          <cell r="KA36">
            <v>1</v>
          </cell>
          <cell r="KB36">
            <v>96</v>
          </cell>
          <cell r="KC36">
            <v>243</v>
          </cell>
          <cell r="KD36">
            <v>35</v>
          </cell>
          <cell r="KE36">
            <v>87.410071942446038</v>
          </cell>
          <cell r="KF36">
            <v>16</v>
          </cell>
          <cell r="KG36">
            <v>0</v>
          </cell>
          <cell r="KH36">
            <v>100</v>
          </cell>
          <cell r="KI36">
            <v>1</v>
          </cell>
          <cell r="KJ36">
            <v>0</v>
          </cell>
          <cell r="KK36">
            <v>100</v>
          </cell>
          <cell r="KL36">
            <v>17</v>
          </cell>
          <cell r="KM36">
            <v>5</v>
          </cell>
          <cell r="KN36">
            <v>77.272727272727266</v>
          </cell>
        </row>
        <row r="37">
          <cell r="C37" t="str">
            <v>Kecskeméti Rendőrkapitányság</v>
          </cell>
          <cell r="D37">
            <v>77.272705078125</v>
          </cell>
          <cell r="E37">
            <v>77.272705078125</v>
          </cell>
          <cell r="F37" t="str">
            <v>-</v>
          </cell>
          <cell r="G37">
            <v>77.272705078125</v>
          </cell>
          <cell r="H37">
            <v>77.272705078125</v>
          </cell>
          <cell r="I37" t="str">
            <v>-</v>
          </cell>
          <cell r="J37">
            <v>77.272705078125</v>
          </cell>
          <cell r="K37">
            <v>77.272705078125</v>
          </cell>
          <cell r="L37" t="str">
            <v>-</v>
          </cell>
          <cell r="M37">
            <v>77.272705078125</v>
          </cell>
          <cell r="N37">
            <v>77.272705078125</v>
          </cell>
          <cell r="O37" t="str">
            <v>-</v>
          </cell>
          <cell r="P37">
            <v>77.272705078125</v>
          </cell>
          <cell r="Q37">
            <v>77.272705078125</v>
          </cell>
          <cell r="R37" t="str">
            <v>-</v>
          </cell>
          <cell r="S37">
            <v>77.272705078125</v>
          </cell>
          <cell r="T37">
            <v>77.272705078125</v>
          </cell>
          <cell r="U37" t="str">
            <v>-</v>
          </cell>
          <cell r="V37">
            <v>77.272705078125</v>
          </cell>
          <cell r="W37">
            <v>77.272705078125</v>
          </cell>
          <cell r="X37" t="str">
            <v>-</v>
          </cell>
          <cell r="Y37">
            <v>77.272705078125</v>
          </cell>
          <cell r="Z37">
            <v>77.272705078125</v>
          </cell>
          <cell r="AA37" t="str">
            <v>-</v>
          </cell>
          <cell r="AB37">
            <v>77.272705078125</v>
          </cell>
          <cell r="AC37">
            <v>77.272705078125</v>
          </cell>
          <cell r="AD37" t="str">
            <v>-</v>
          </cell>
          <cell r="AE37">
            <v>77.272705078125</v>
          </cell>
          <cell r="AF37">
            <v>77.272705078125</v>
          </cell>
          <cell r="AG37" t="str">
            <v>-</v>
          </cell>
          <cell r="AH37">
            <v>77.272705078125</v>
          </cell>
          <cell r="AI37">
            <v>77.272705078125</v>
          </cell>
          <cell r="AJ37" t="str">
            <v>-</v>
          </cell>
          <cell r="AK37">
            <v>77.272705078125</v>
          </cell>
          <cell r="AL37">
            <v>77.272705078125</v>
          </cell>
          <cell r="AM37" t="str">
            <v>-</v>
          </cell>
          <cell r="AN37">
            <v>77.272705078125</v>
          </cell>
          <cell r="AO37">
            <v>77.272705078125</v>
          </cell>
          <cell r="AP37" t="str">
            <v>-</v>
          </cell>
          <cell r="AQ37">
            <v>77.272705078125</v>
          </cell>
          <cell r="AR37">
            <v>77.272705078125</v>
          </cell>
          <cell r="AS37" t="str">
            <v>-</v>
          </cell>
          <cell r="AT37">
            <v>77.272705078125</v>
          </cell>
          <cell r="AU37">
            <v>77.272705078125</v>
          </cell>
          <cell r="AV37" t="str">
            <v>-</v>
          </cell>
          <cell r="AW37">
            <v>77.272705078125</v>
          </cell>
          <cell r="AX37">
            <v>77.272705078125</v>
          </cell>
          <cell r="AY37" t="str">
            <v>-</v>
          </cell>
          <cell r="AZ37">
            <v>77.272705078125</v>
          </cell>
          <cell r="BA37">
            <v>77.272705078125</v>
          </cell>
          <cell r="BB37" t="str">
            <v>-</v>
          </cell>
          <cell r="BC37">
            <v>77.272705078125</v>
          </cell>
          <cell r="BD37">
            <v>77.272705078125</v>
          </cell>
          <cell r="BE37" t="str">
            <v>-</v>
          </cell>
          <cell r="BF37">
            <v>77.272705078125</v>
          </cell>
          <cell r="BG37">
            <v>77.272705078125</v>
          </cell>
          <cell r="BH37" t="str">
            <v>-</v>
          </cell>
          <cell r="BI37">
            <v>77.272705078125</v>
          </cell>
          <cell r="BJ37">
            <v>77.272705078125</v>
          </cell>
          <cell r="BK37" t="str">
            <v>-</v>
          </cell>
          <cell r="BL37">
            <v>77.272705078125</v>
          </cell>
          <cell r="BM37">
            <v>77.272705078125</v>
          </cell>
          <cell r="BN37" t="str">
            <v>-</v>
          </cell>
          <cell r="BO37">
            <v>77.272705078125</v>
          </cell>
          <cell r="BP37">
            <v>77.272705078125</v>
          </cell>
          <cell r="BQ37" t="str">
            <v>-</v>
          </cell>
          <cell r="BR37">
            <v>77.272705078125</v>
          </cell>
          <cell r="BS37">
            <v>77.272705078125</v>
          </cell>
          <cell r="BT37" t="str">
            <v>-</v>
          </cell>
          <cell r="BU37">
            <v>77.272705078125</v>
          </cell>
          <cell r="BV37">
            <v>77.272705078125</v>
          </cell>
          <cell r="BW37" t="str">
            <v>-</v>
          </cell>
          <cell r="BX37">
            <v>199</v>
          </cell>
          <cell r="BY37">
            <v>49</v>
          </cell>
          <cell r="BZ37">
            <v>80.2</v>
          </cell>
          <cell r="CA37">
            <v>199</v>
          </cell>
          <cell r="CB37">
            <v>40</v>
          </cell>
          <cell r="CC37">
            <v>83.3</v>
          </cell>
          <cell r="CD37">
            <v>175</v>
          </cell>
          <cell r="CE37">
            <v>49</v>
          </cell>
          <cell r="CF37">
            <v>78.099999999999994</v>
          </cell>
          <cell r="CG37">
            <v>190</v>
          </cell>
          <cell r="CH37">
            <v>49</v>
          </cell>
          <cell r="CI37">
            <v>79.5</v>
          </cell>
          <cell r="CJ37">
            <v>197</v>
          </cell>
          <cell r="CK37">
            <v>41</v>
          </cell>
          <cell r="CL37">
            <v>82.8</v>
          </cell>
          <cell r="CM37">
            <v>164</v>
          </cell>
          <cell r="CN37">
            <v>47</v>
          </cell>
          <cell r="CO37">
            <v>77.7</v>
          </cell>
          <cell r="CP37">
            <v>201</v>
          </cell>
          <cell r="CQ37">
            <v>46</v>
          </cell>
          <cell r="CR37">
            <v>81.400000000000006</v>
          </cell>
          <cell r="CS37">
            <v>174</v>
          </cell>
          <cell r="CT37">
            <v>42</v>
          </cell>
          <cell r="CU37">
            <v>80.599999999999994</v>
          </cell>
          <cell r="CV37">
            <v>83</v>
          </cell>
          <cell r="CW37">
            <v>32</v>
          </cell>
          <cell r="CX37">
            <v>72.2</v>
          </cell>
          <cell r="CY37">
            <v>90</v>
          </cell>
          <cell r="CZ37">
            <v>29</v>
          </cell>
          <cell r="DA37">
            <v>75.599999999999994</v>
          </cell>
          <cell r="DB37">
            <v>76</v>
          </cell>
          <cell r="DC37">
            <v>37</v>
          </cell>
          <cell r="DD37">
            <v>67.3</v>
          </cell>
          <cell r="DE37">
            <v>58</v>
          </cell>
          <cell r="DF37">
            <v>34</v>
          </cell>
          <cell r="DG37">
            <v>63</v>
          </cell>
          <cell r="DH37">
            <v>86</v>
          </cell>
          <cell r="DI37">
            <v>21</v>
          </cell>
          <cell r="DJ37">
            <v>80.400000000000006</v>
          </cell>
          <cell r="DK37">
            <v>56</v>
          </cell>
          <cell r="DL37">
            <v>34</v>
          </cell>
          <cell r="DM37">
            <v>62.2</v>
          </cell>
          <cell r="DN37">
            <v>71</v>
          </cell>
          <cell r="DO37">
            <v>30</v>
          </cell>
          <cell r="DP37">
            <v>70.3</v>
          </cell>
          <cell r="DQ37">
            <v>56</v>
          </cell>
          <cell r="DR37">
            <v>23</v>
          </cell>
          <cell r="DS37">
            <v>70.900000000000006</v>
          </cell>
          <cell r="DT37">
            <v>70.89996337890625</v>
          </cell>
          <cell r="DU37">
            <v>70.89996337890625</v>
          </cell>
          <cell r="DV37" t="str">
            <v>-</v>
          </cell>
          <cell r="DW37">
            <v>70.89996337890625</v>
          </cell>
          <cell r="DX37">
            <v>70.89996337890625</v>
          </cell>
          <cell r="DY37" t="str">
            <v>-</v>
          </cell>
          <cell r="DZ37">
            <v>70.89996337890625</v>
          </cell>
          <cell r="EA37">
            <v>70.89996337890625</v>
          </cell>
          <cell r="EB37" t="str">
            <v>-</v>
          </cell>
          <cell r="EC37">
            <v>70.89996337890625</v>
          </cell>
          <cell r="ED37">
            <v>70.89996337890625</v>
          </cell>
          <cell r="EE37" t="str">
            <v>-</v>
          </cell>
          <cell r="EF37">
            <v>70.89996337890625</v>
          </cell>
          <cell r="EG37">
            <v>70.89996337890625</v>
          </cell>
          <cell r="EH37" t="str">
            <v>-</v>
          </cell>
          <cell r="EI37">
            <v>70.89996337890625</v>
          </cell>
          <cell r="EJ37">
            <v>70.89996337890625</v>
          </cell>
          <cell r="EK37" t="str">
            <v>-</v>
          </cell>
          <cell r="EL37">
            <v>70.89996337890625</v>
          </cell>
          <cell r="EM37">
            <v>70.89996337890625</v>
          </cell>
          <cell r="EN37" t="str">
            <v>-</v>
          </cell>
          <cell r="EO37">
            <v>70.89996337890625</v>
          </cell>
          <cell r="EP37">
            <v>70.89996337890625</v>
          </cell>
          <cell r="EQ37" t="str">
            <v>-</v>
          </cell>
          <cell r="ER37">
            <v>29</v>
          </cell>
          <cell r="ES37">
            <v>11</v>
          </cell>
          <cell r="ET37">
            <v>72.5</v>
          </cell>
          <cell r="EU37">
            <v>19</v>
          </cell>
          <cell r="EV37">
            <v>13</v>
          </cell>
          <cell r="EW37">
            <v>59.4</v>
          </cell>
          <cell r="EX37">
            <v>16</v>
          </cell>
          <cell r="EY37">
            <v>26</v>
          </cell>
          <cell r="EZ37">
            <v>38.1</v>
          </cell>
          <cell r="FA37">
            <v>30</v>
          </cell>
          <cell r="FB37">
            <v>18</v>
          </cell>
          <cell r="FC37">
            <v>62.5</v>
          </cell>
          <cell r="FD37">
            <v>25</v>
          </cell>
          <cell r="FE37">
            <v>18</v>
          </cell>
          <cell r="FF37">
            <v>58.1</v>
          </cell>
          <cell r="FG37">
            <v>16</v>
          </cell>
          <cell r="FH37">
            <v>23</v>
          </cell>
          <cell r="FI37">
            <v>41</v>
          </cell>
          <cell r="FJ37">
            <v>19</v>
          </cell>
          <cell r="FK37">
            <v>19</v>
          </cell>
          <cell r="FL37">
            <v>50</v>
          </cell>
          <cell r="FM37">
            <v>14</v>
          </cell>
          <cell r="FN37">
            <v>17</v>
          </cell>
          <cell r="FO37">
            <v>45.2</v>
          </cell>
          <cell r="FP37">
            <v>1</v>
          </cell>
          <cell r="FQ37">
            <v>1</v>
          </cell>
          <cell r="FR37">
            <v>100</v>
          </cell>
          <cell r="FS37">
            <v>100</v>
          </cell>
          <cell r="FT37">
            <v>100</v>
          </cell>
          <cell r="FU37" t="str">
            <v>-</v>
          </cell>
          <cell r="FV37">
            <v>100</v>
          </cell>
          <cell r="FW37">
            <v>100</v>
          </cell>
          <cell r="FX37" t="str">
            <v>-</v>
          </cell>
          <cell r="FY37">
            <v>100</v>
          </cell>
          <cell r="FZ37">
            <v>100</v>
          </cell>
          <cell r="GA37" t="str">
            <v>-</v>
          </cell>
          <cell r="GB37">
            <v>100</v>
          </cell>
          <cell r="GC37">
            <v>100</v>
          </cell>
          <cell r="GD37" t="str">
            <v>-</v>
          </cell>
          <cell r="GE37">
            <v>8</v>
          </cell>
          <cell r="GF37">
            <v>8</v>
          </cell>
          <cell r="GG37">
            <v>100</v>
          </cell>
          <cell r="GH37">
            <v>2</v>
          </cell>
          <cell r="GI37">
            <v>2</v>
          </cell>
          <cell r="GJ37">
            <v>100</v>
          </cell>
          <cell r="GK37">
            <v>100</v>
          </cell>
          <cell r="GL37">
            <v>100</v>
          </cell>
          <cell r="GM37" t="str">
            <v>-</v>
          </cell>
          <cell r="GN37">
            <v>140</v>
          </cell>
          <cell r="GO37">
            <v>33</v>
          </cell>
          <cell r="GP37">
            <v>80.900000000000006</v>
          </cell>
          <cell r="GQ37">
            <v>138</v>
          </cell>
          <cell r="GR37">
            <v>28</v>
          </cell>
          <cell r="GS37">
            <v>83.1</v>
          </cell>
          <cell r="GT37">
            <v>124</v>
          </cell>
          <cell r="GU37">
            <v>47</v>
          </cell>
          <cell r="GV37">
            <v>72.5</v>
          </cell>
          <cell r="GW37">
            <v>171</v>
          </cell>
          <cell r="GX37">
            <v>51</v>
          </cell>
          <cell r="GY37">
            <v>77</v>
          </cell>
          <cell r="GZ37">
            <v>214</v>
          </cell>
          <cell r="HA37">
            <v>51</v>
          </cell>
          <cell r="HB37">
            <v>80.8</v>
          </cell>
          <cell r="HC37">
            <v>186</v>
          </cell>
          <cell r="HD37">
            <v>58</v>
          </cell>
          <cell r="HE37">
            <v>76.2</v>
          </cell>
          <cell r="HF37">
            <v>205</v>
          </cell>
          <cell r="HG37">
            <v>83</v>
          </cell>
          <cell r="HH37">
            <v>71.2</v>
          </cell>
          <cell r="HI37">
            <v>165</v>
          </cell>
          <cell r="HJ37">
            <v>62</v>
          </cell>
          <cell r="HK37">
            <v>72.7</v>
          </cell>
          <cell r="HL37">
            <v>17</v>
          </cell>
          <cell r="HM37">
            <v>11</v>
          </cell>
          <cell r="HN37">
            <v>60.7</v>
          </cell>
          <cell r="HO37">
            <v>13</v>
          </cell>
          <cell r="HP37">
            <v>9</v>
          </cell>
          <cell r="HQ37">
            <v>59.1</v>
          </cell>
          <cell r="HR37">
            <v>9</v>
          </cell>
          <cell r="HS37">
            <v>11</v>
          </cell>
          <cell r="HT37">
            <v>45</v>
          </cell>
          <cell r="HU37">
            <v>6</v>
          </cell>
          <cell r="HV37">
            <v>6</v>
          </cell>
          <cell r="HW37">
            <v>50</v>
          </cell>
          <cell r="HX37">
            <v>11</v>
          </cell>
          <cell r="HY37">
            <v>5</v>
          </cell>
          <cell r="HZ37">
            <v>68.8</v>
          </cell>
          <cell r="IA37">
            <v>5</v>
          </cell>
          <cell r="IB37">
            <v>5</v>
          </cell>
          <cell r="IC37">
            <v>50</v>
          </cell>
          <cell r="ID37">
            <v>12</v>
          </cell>
          <cell r="IE37">
            <v>11</v>
          </cell>
          <cell r="IF37">
            <v>52.2</v>
          </cell>
          <cell r="IG37">
            <v>13</v>
          </cell>
          <cell r="IH37">
            <v>5</v>
          </cell>
          <cell r="II37">
            <v>72.2</v>
          </cell>
          <cell r="IJ37">
            <v>8</v>
          </cell>
          <cell r="IK37">
            <v>5</v>
          </cell>
          <cell r="IL37">
            <v>61.5</v>
          </cell>
          <cell r="IM37">
            <v>6</v>
          </cell>
          <cell r="IN37">
            <v>6</v>
          </cell>
          <cell r="IO37">
            <v>50</v>
          </cell>
          <cell r="IP37">
            <v>4</v>
          </cell>
          <cell r="IQ37">
            <v>3</v>
          </cell>
          <cell r="IR37">
            <v>57.1</v>
          </cell>
          <cell r="IS37">
            <v>2</v>
          </cell>
          <cell r="IT37">
            <v>5</v>
          </cell>
          <cell r="IU37">
            <v>28.6</v>
          </cell>
          <cell r="IV37">
            <v>3</v>
          </cell>
          <cell r="IW37">
            <v>2</v>
          </cell>
          <cell r="IX37">
            <v>60</v>
          </cell>
          <cell r="IY37">
            <v>2</v>
          </cell>
          <cell r="IZ37">
            <v>1</v>
          </cell>
          <cell r="JA37">
            <v>66.7</v>
          </cell>
          <cell r="JB37">
            <v>1</v>
          </cell>
          <cell r="JC37">
            <v>10</v>
          </cell>
          <cell r="JD37">
            <v>9.1</v>
          </cell>
          <cell r="JE37">
            <v>1</v>
          </cell>
          <cell r="JF37">
            <v>2</v>
          </cell>
          <cell r="JG37">
            <v>33.299999999999997</v>
          </cell>
          <cell r="JH37">
            <v>0</v>
          </cell>
          <cell r="JI37">
            <v>0</v>
          </cell>
          <cell r="JJ37" t="str">
            <v>-</v>
          </cell>
          <cell r="JK37">
            <v>0</v>
          </cell>
          <cell r="JL37">
            <v>0</v>
          </cell>
          <cell r="JM37" t="str">
            <v>-</v>
          </cell>
          <cell r="JN37">
            <v>0</v>
          </cell>
          <cell r="JO37">
            <v>0</v>
          </cell>
          <cell r="JP37" t="str">
            <v>-</v>
          </cell>
          <cell r="JQ37">
            <v>926</v>
          </cell>
          <cell r="JR37">
            <v>225</v>
          </cell>
          <cell r="JS37">
            <v>80.451781059947862</v>
          </cell>
          <cell r="JT37">
            <v>327</v>
          </cell>
          <cell r="JU37">
            <v>142</v>
          </cell>
          <cell r="JV37">
            <v>69.7228144989339</v>
          </cell>
          <cell r="JW37">
            <v>0</v>
          </cell>
          <cell r="JX37">
            <v>0</v>
          </cell>
          <cell r="JY37" t="str">
            <v>-</v>
          </cell>
          <cell r="JZ37">
            <v>104</v>
          </cell>
          <cell r="KA37">
            <v>95</v>
          </cell>
          <cell r="KB37">
            <v>52.261306532663319</v>
          </cell>
          <cell r="KC37">
            <v>10</v>
          </cell>
          <cell r="KD37">
            <v>0</v>
          </cell>
          <cell r="KE37">
            <v>100</v>
          </cell>
          <cell r="KF37">
            <v>941</v>
          </cell>
          <cell r="KG37">
            <v>305</v>
          </cell>
          <cell r="KH37">
            <v>75.521669341894054</v>
          </cell>
          <cell r="KI37">
            <v>47</v>
          </cell>
          <cell r="KJ37">
            <v>32</v>
          </cell>
          <cell r="KK37">
            <v>59.493670886075947</v>
          </cell>
          <cell r="KL37">
            <v>9</v>
          </cell>
          <cell r="KM37">
            <v>20</v>
          </cell>
          <cell r="KN37">
            <v>31.03448275862069</v>
          </cell>
        </row>
        <row r="38">
          <cell r="C38" t="str">
            <v>Bajai Rendőrkapitányság</v>
          </cell>
          <cell r="D38">
            <v>31.034469604492188</v>
          </cell>
          <cell r="E38">
            <v>31.034469604492188</v>
          </cell>
          <cell r="F38" t="str">
            <v>-</v>
          </cell>
          <cell r="G38">
            <v>31.034469604492188</v>
          </cell>
          <cell r="H38">
            <v>31.034469604492188</v>
          </cell>
          <cell r="I38" t="str">
            <v>-</v>
          </cell>
          <cell r="J38">
            <v>31.034469604492188</v>
          </cell>
          <cell r="K38">
            <v>31.034469604492188</v>
          </cell>
          <cell r="L38" t="str">
            <v>-</v>
          </cell>
          <cell r="M38">
            <v>31.034469604492188</v>
          </cell>
          <cell r="N38">
            <v>31.034469604492188</v>
          </cell>
          <cell r="O38" t="str">
            <v>-</v>
          </cell>
          <cell r="P38">
            <v>31.034469604492188</v>
          </cell>
          <cell r="Q38">
            <v>31.034469604492188</v>
          </cell>
          <cell r="R38" t="str">
            <v>-</v>
          </cell>
          <cell r="S38">
            <v>31.034469604492188</v>
          </cell>
          <cell r="T38">
            <v>31.034469604492188</v>
          </cell>
          <cell r="U38" t="str">
            <v>-</v>
          </cell>
          <cell r="V38">
            <v>31.034469604492188</v>
          </cell>
          <cell r="W38">
            <v>31.034469604492188</v>
          </cell>
          <cell r="X38" t="str">
            <v>-</v>
          </cell>
          <cell r="Y38">
            <v>31.034469604492188</v>
          </cell>
          <cell r="Z38">
            <v>31.034469604492188</v>
          </cell>
          <cell r="AA38" t="str">
            <v>-</v>
          </cell>
          <cell r="AB38">
            <v>31.034469604492188</v>
          </cell>
          <cell r="AC38">
            <v>31.034469604492188</v>
          </cell>
          <cell r="AD38" t="str">
            <v>-</v>
          </cell>
          <cell r="AE38">
            <v>31.034469604492188</v>
          </cell>
          <cell r="AF38">
            <v>31.034469604492188</v>
          </cell>
          <cell r="AG38" t="str">
            <v>-</v>
          </cell>
          <cell r="AH38">
            <v>31.034469604492188</v>
          </cell>
          <cell r="AI38">
            <v>31.034469604492188</v>
          </cell>
          <cell r="AJ38" t="str">
            <v>-</v>
          </cell>
          <cell r="AK38">
            <v>31.034469604492188</v>
          </cell>
          <cell r="AL38">
            <v>31.034469604492188</v>
          </cell>
          <cell r="AM38" t="str">
            <v>-</v>
          </cell>
          <cell r="AN38">
            <v>31.034469604492188</v>
          </cell>
          <cell r="AO38">
            <v>31.034469604492188</v>
          </cell>
          <cell r="AP38" t="str">
            <v>-</v>
          </cell>
          <cell r="AQ38">
            <v>31.034469604492188</v>
          </cell>
          <cell r="AR38">
            <v>31.034469604492188</v>
          </cell>
          <cell r="AS38" t="str">
            <v>-</v>
          </cell>
          <cell r="AT38">
            <v>31.034469604492188</v>
          </cell>
          <cell r="AU38">
            <v>31.034469604492188</v>
          </cell>
          <cell r="AV38" t="str">
            <v>-</v>
          </cell>
          <cell r="AW38">
            <v>31.034469604492188</v>
          </cell>
          <cell r="AX38">
            <v>31.034469604492188</v>
          </cell>
          <cell r="AY38" t="str">
            <v>-</v>
          </cell>
          <cell r="AZ38">
            <v>31.034469604492188</v>
          </cell>
          <cell r="BA38">
            <v>31.034469604492188</v>
          </cell>
          <cell r="BB38" t="str">
            <v>-</v>
          </cell>
          <cell r="BC38">
            <v>31.034469604492188</v>
          </cell>
          <cell r="BD38">
            <v>31.034469604492188</v>
          </cell>
          <cell r="BE38" t="str">
            <v>-</v>
          </cell>
          <cell r="BF38">
            <v>31.034469604492188</v>
          </cell>
          <cell r="BG38">
            <v>31.034469604492188</v>
          </cell>
          <cell r="BH38" t="str">
            <v>-</v>
          </cell>
          <cell r="BI38">
            <v>31.034469604492188</v>
          </cell>
          <cell r="BJ38">
            <v>31.034469604492188</v>
          </cell>
          <cell r="BK38" t="str">
            <v>-</v>
          </cell>
          <cell r="BL38">
            <v>31.034469604492188</v>
          </cell>
          <cell r="BM38">
            <v>31.034469604492188</v>
          </cell>
          <cell r="BN38" t="str">
            <v>-</v>
          </cell>
          <cell r="BO38">
            <v>31.034469604492188</v>
          </cell>
          <cell r="BP38">
            <v>31.034469604492188</v>
          </cell>
          <cell r="BQ38" t="str">
            <v>-</v>
          </cell>
          <cell r="BR38">
            <v>31.034469604492188</v>
          </cell>
          <cell r="BS38">
            <v>31.034469604492188</v>
          </cell>
          <cell r="BT38" t="str">
            <v>-</v>
          </cell>
          <cell r="BU38">
            <v>31.034469604492188</v>
          </cell>
          <cell r="BV38">
            <v>31.034469604492188</v>
          </cell>
          <cell r="BW38" t="str">
            <v>-</v>
          </cell>
          <cell r="BX38">
            <v>70</v>
          </cell>
          <cell r="BY38">
            <v>20</v>
          </cell>
          <cell r="BZ38">
            <v>77.8</v>
          </cell>
          <cell r="CA38">
            <v>69</v>
          </cell>
          <cell r="CB38">
            <v>7</v>
          </cell>
          <cell r="CC38">
            <v>90.8</v>
          </cell>
          <cell r="CD38">
            <v>52</v>
          </cell>
          <cell r="CE38">
            <v>13</v>
          </cell>
          <cell r="CF38">
            <v>80</v>
          </cell>
          <cell r="CG38">
            <v>73</v>
          </cell>
          <cell r="CH38">
            <v>9</v>
          </cell>
          <cell r="CI38">
            <v>89</v>
          </cell>
          <cell r="CJ38">
            <v>64</v>
          </cell>
          <cell r="CK38">
            <v>9</v>
          </cell>
          <cell r="CL38">
            <v>87.7</v>
          </cell>
          <cell r="CM38">
            <v>75</v>
          </cell>
          <cell r="CN38">
            <v>8</v>
          </cell>
          <cell r="CO38">
            <v>90.4</v>
          </cell>
          <cell r="CP38">
            <v>47</v>
          </cell>
          <cell r="CQ38">
            <v>7</v>
          </cell>
          <cell r="CR38">
            <v>87</v>
          </cell>
          <cell r="CS38">
            <v>47</v>
          </cell>
          <cell r="CT38">
            <v>8</v>
          </cell>
          <cell r="CU38">
            <v>85.5</v>
          </cell>
          <cell r="CV38">
            <v>50</v>
          </cell>
          <cell r="CW38">
            <v>15</v>
          </cell>
          <cell r="CX38">
            <v>76.900000000000006</v>
          </cell>
          <cell r="CY38">
            <v>42</v>
          </cell>
          <cell r="CZ38">
            <v>6</v>
          </cell>
          <cell r="DA38">
            <v>87.5</v>
          </cell>
          <cell r="DB38">
            <v>32</v>
          </cell>
          <cell r="DC38">
            <v>10</v>
          </cell>
          <cell r="DD38">
            <v>76.2</v>
          </cell>
          <cell r="DE38">
            <v>40</v>
          </cell>
          <cell r="DF38">
            <v>7</v>
          </cell>
          <cell r="DG38">
            <v>85.1</v>
          </cell>
          <cell r="DH38">
            <v>27</v>
          </cell>
          <cell r="DI38">
            <v>7</v>
          </cell>
          <cell r="DJ38">
            <v>79.400000000000006</v>
          </cell>
          <cell r="DK38">
            <v>33</v>
          </cell>
          <cell r="DL38">
            <v>4</v>
          </cell>
          <cell r="DM38">
            <v>89.2</v>
          </cell>
          <cell r="DN38">
            <v>19</v>
          </cell>
          <cell r="DO38">
            <v>4</v>
          </cell>
          <cell r="DP38">
            <v>82.6</v>
          </cell>
          <cell r="DQ38">
            <v>21</v>
          </cell>
          <cell r="DR38">
            <v>6</v>
          </cell>
          <cell r="DS38">
            <v>77.8</v>
          </cell>
          <cell r="DT38">
            <v>77.79998779296875</v>
          </cell>
          <cell r="DU38">
            <v>77.79998779296875</v>
          </cell>
          <cell r="DV38" t="str">
            <v>-</v>
          </cell>
          <cell r="DW38">
            <v>77.79998779296875</v>
          </cell>
          <cell r="DX38">
            <v>77.79998779296875</v>
          </cell>
          <cell r="DY38" t="str">
            <v>-</v>
          </cell>
          <cell r="DZ38">
            <v>77.79998779296875</v>
          </cell>
          <cell r="EA38">
            <v>77.79998779296875</v>
          </cell>
          <cell r="EB38" t="str">
            <v>-</v>
          </cell>
          <cell r="EC38">
            <v>77.79998779296875</v>
          </cell>
          <cell r="ED38">
            <v>77.79998779296875</v>
          </cell>
          <cell r="EE38" t="str">
            <v>-</v>
          </cell>
          <cell r="EF38">
            <v>77.79998779296875</v>
          </cell>
          <cell r="EG38">
            <v>77.79998779296875</v>
          </cell>
          <cell r="EH38" t="str">
            <v>-</v>
          </cell>
          <cell r="EI38">
            <v>77.79998779296875</v>
          </cell>
          <cell r="EJ38">
            <v>77.79998779296875</v>
          </cell>
          <cell r="EK38" t="str">
            <v>-</v>
          </cell>
          <cell r="EL38">
            <v>77.79998779296875</v>
          </cell>
          <cell r="EM38">
            <v>77.79998779296875</v>
          </cell>
          <cell r="EN38" t="str">
            <v>-</v>
          </cell>
          <cell r="EO38">
            <v>77.79998779296875</v>
          </cell>
          <cell r="EP38">
            <v>77.79998779296875</v>
          </cell>
          <cell r="EQ38" t="str">
            <v>-</v>
          </cell>
          <cell r="ER38">
            <v>11</v>
          </cell>
          <cell r="ES38">
            <v>7</v>
          </cell>
          <cell r="ET38">
            <v>61.1</v>
          </cell>
          <cell r="EU38">
            <v>10</v>
          </cell>
          <cell r="EV38">
            <v>8</v>
          </cell>
          <cell r="EW38">
            <v>55.6</v>
          </cell>
          <cell r="EX38">
            <v>24</v>
          </cell>
          <cell r="EY38">
            <v>9</v>
          </cell>
          <cell r="EZ38">
            <v>72.7</v>
          </cell>
          <cell r="FA38">
            <v>17</v>
          </cell>
          <cell r="FB38">
            <v>2</v>
          </cell>
          <cell r="FC38">
            <v>89.5</v>
          </cell>
          <cell r="FD38">
            <v>6</v>
          </cell>
          <cell r="FE38">
            <v>6</v>
          </cell>
          <cell r="FF38">
            <v>50</v>
          </cell>
          <cell r="FG38">
            <v>20</v>
          </cell>
          <cell r="FH38">
            <v>7</v>
          </cell>
          <cell r="FI38">
            <v>74.099999999999994</v>
          </cell>
          <cell r="FJ38">
            <v>9</v>
          </cell>
          <cell r="FK38">
            <v>1</v>
          </cell>
          <cell r="FL38">
            <v>90</v>
          </cell>
          <cell r="FM38">
            <v>12</v>
          </cell>
          <cell r="FN38">
            <v>12</v>
          </cell>
          <cell r="FO38">
            <v>100</v>
          </cell>
          <cell r="FP38">
            <v>100</v>
          </cell>
          <cell r="FQ38">
            <v>1</v>
          </cell>
          <cell r="FR38">
            <v>0</v>
          </cell>
          <cell r="FS38">
            <v>0</v>
          </cell>
          <cell r="FT38">
            <v>0</v>
          </cell>
          <cell r="FU38" t="str">
            <v>-</v>
          </cell>
          <cell r="FV38">
            <v>0</v>
          </cell>
          <cell r="FW38">
            <v>0</v>
          </cell>
          <cell r="FX38" t="str">
            <v>-</v>
          </cell>
          <cell r="FY38">
            <v>0</v>
          </cell>
          <cell r="FZ38">
            <v>0</v>
          </cell>
          <cell r="GA38" t="str">
            <v>-</v>
          </cell>
          <cell r="GB38">
            <v>0</v>
          </cell>
          <cell r="GC38">
            <v>0</v>
          </cell>
          <cell r="GD38" t="str">
            <v>-</v>
          </cell>
          <cell r="GE38">
            <v>0</v>
          </cell>
          <cell r="GF38">
            <v>0</v>
          </cell>
          <cell r="GG38" t="str">
            <v>-</v>
          </cell>
          <cell r="GH38">
            <v>0</v>
          </cell>
          <cell r="GI38">
            <v>0</v>
          </cell>
          <cell r="GJ38" t="str">
            <v>-</v>
          </cell>
          <cell r="GK38">
            <v>0</v>
          </cell>
          <cell r="GL38">
            <v>0</v>
          </cell>
          <cell r="GM38" t="str">
            <v>-</v>
          </cell>
          <cell r="GN38">
            <v>42</v>
          </cell>
          <cell r="GO38">
            <v>4</v>
          </cell>
          <cell r="GP38">
            <v>91.3</v>
          </cell>
          <cell r="GQ38">
            <v>63</v>
          </cell>
          <cell r="GR38">
            <v>5</v>
          </cell>
          <cell r="GS38">
            <v>92.6</v>
          </cell>
          <cell r="GT38">
            <v>69</v>
          </cell>
          <cell r="GU38">
            <v>16</v>
          </cell>
          <cell r="GV38">
            <v>81.2</v>
          </cell>
          <cell r="GW38">
            <v>87</v>
          </cell>
          <cell r="GX38">
            <v>10</v>
          </cell>
          <cell r="GY38">
            <v>89.7</v>
          </cell>
          <cell r="GZ38">
            <v>69</v>
          </cell>
          <cell r="HA38">
            <v>9</v>
          </cell>
          <cell r="HB38">
            <v>88.5</v>
          </cell>
          <cell r="HC38">
            <v>65</v>
          </cell>
          <cell r="HD38">
            <v>2</v>
          </cell>
          <cell r="HE38">
            <v>97</v>
          </cell>
          <cell r="HF38">
            <v>45</v>
          </cell>
          <cell r="HG38">
            <v>1</v>
          </cell>
          <cell r="HH38">
            <v>97.8</v>
          </cell>
          <cell r="HI38">
            <v>35</v>
          </cell>
          <cell r="HJ38">
            <v>1</v>
          </cell>
          <cell r="HK38">
            <v>97.2</v>
          </cell>
          <cell r="HL38">
            <v>7</v>
          </cell>
          <cell r="HM38">
            <v>5</v>
          </cell>
          <cell r="HN38">
            <v>58.3</v>
          </cell>
          <cell r="HO38">
            <v>5</v>
          </cell>
          <cell r="HP38">
            <v>2</v>
          </cell>
          <cell r="HQ38">
            <v>71.400000000000006</v>
          </cell>
          <cell r="HR38">
            <v>2</v>
          </cell>
          <cell r="HS38">
            <v>5</v>
          </cell>
          <cell r="HT38">
            <v>28.6</v>
          </cell>
          <cell r="HU38">
            <v>6</v>
          </cell>
          <cell r="HV38">
            <v>2</v>
          </cell>
          <cell r="HW38">
            <v>75</v>
          </cell>
          <cell r="HX38">
            <v>5</v>
          </cell>
          <cell r="HY38">
            <v>3</v>
          </cell>
          <cell r="HZ38">
            <v>62.5</v>
          </cell>
          <cell r="IA38">
            <v>5</v>
          </cell>
          <cell r="IB38">
            <v>1</v>
          </cell>
          <cell r="IC38">
            <v>83.3</v>
          </cell>
          <cell r="ID38">
            <v>3</v>
          </cell>
          <cell r="IE38">
            <v>1</v>
          </cell>
          <cell r="IF38">
            <v>75</v>
          </cell>
          <cell r="IG38">
            <v>2</v>
          </cell>
          <cell r="IH38">
            <v>3</v>
          </cell>
          <cell r="II38">
            <v>40</v>
          </cell>
          <cell r="IJ38">
            <v>1</v>
          </cell>
          <cell r="IK38">
            <v>1</v>
          </cell>
          <cell r="IL38">
            <v>50</v>
          </cell>
          <cell r="IM38">
            <v>5</v>
          </cell>
          <cell r="IN38">
            <v>2</v>
          </cell>
          <cell r="IO38">
            <v>71.400000000000006</v>
          </cell>
          <cell r="IP38">
            <v>5</v>
          </cell>
          <cell r="IQ38">
            <v>1</v>
          </cell>
          <cell r="IR38">
            <v>83.3</v>
          </cell>
          <cell r="IS38">
            <v>4</v>
          </cell>
          <cell r="IT38">
            <v>4</v>
          </cell>
          <cell r="IU38">
            <v>100</v>
          </cell>
          <cell r="IV38">
            <v>5</v>
          </cell>
          <cell r="IW38">
            <v>1</v>
          </cell>
          <cell r="IX38">
            <v>83.3</v>
          </cell>
          <cell r="IY38">
            <v>5</v>
          </cell>
          <cell r="IZ38">
            <v>1</v>
          </cell>
          <cell r="JA38">
            <v>83.3</v>
          </cell>
          <cell r="JB38">
            <v>3</v>
          </cell>
          <cell r="JC38">
            <v>1</v>
          </cell>
          <cell r="JD38">
            <v>75</v>
          </cell>
          <cell r="JE38">
            <v>5</v>
          </cell>
          <cell r="JF38">
            <v>1</v>
          </cell>
          <cell r="JG38">
            <v>83.3</v>
          </cell>
          <cell r="JH38">
            <v>0</v>
          </cell>
          <cell r="JI38">
            <v>0</v>
          </cell>
          <cell r="JJ38" t="str">
            <v>-</v>
          </cell>
          <cell r="JK38">
            <v>0</v>
          </cell>
          <cell r="JL38">
            <v>0</v>
          </cell>
          <cell r="JM38" t="str">
            <v>-</v>
          </cell>
          <cell r="JN38">
            <v>0</v>
          </cell>
          <cell r="JO38">
            <v>0</v>
          </cell>
          <cell r="JP38" t="str">
            <v>-</v>
          </cell>
          <cell r="JQ38">
            <v>306</v>
          </cell>
          <cell r="JR38">
            <v>41</v>
          </cell>
          <cell r="JS38">
            <v>88.184438040345825</v>
          </cell>
          <cell r="JT38">
            <v>140</v>
          </cell>
          <cell r="JU38">
            <v>28</v>
          </cell>
          <cell r="JV38">
            <v>83.333333333333343</v>
          </cell>
          <cell r="JW38">
            <v>0</v>
          </cell>
          <cell r="JX38">
            <v>0</v>
          </cell>
          <cell r="JY38" t="str">
            <v>-</v>
          </cell>
          <cell r="JZ38">
            <v>64</v>
          </cell>
          <cell r="KA38">
            <v>16</v>
          </cell>
          <cell r="KB38">
            <v>80</v>
          </cell>
          <cell r="KC38">
            <v>0</v>
          </cell>
          <cell r="KD38">
            <v>0</v>
          </cell>
          <cell r="KE38" t="str">
            <v>-</v>
          </cell>
          <cell r="KF38">
            <v>301</v>
          </cell>
          <cell r="KG38">
            <v>23</v>
          </cell>
          <cell r="KH38">
            <v>92.901234567901241</v>
          </cell>
          <cell r="KI38">
            <v>21</v>
          </cell>
          <cell r="KJ38">
            <v>10</v>
          </cell>
          <cell r="KK38">
            <v>67.741935483870961</v>
          </cell>
          <cell r="KL38">
            <v>22</v>
          </cell>
          <cell r="KM38">
            <v>4</v>
          </cell>
          <cell r="KN38">
            <v>84.615384615384613</v>
          </cell>
        </row>
        <row r="39">
          <cell r="C39" t="str">
            <v>Kalocsai Rendőrkapitányság</v>
          </cell>
          <cell r="D39">
            <v>84.6153564453125</v>
          </cell>
          <cell r="E39">
            <v>84.6153564453125</v>
          </cell>
          <cell r="F39" t="str">
            <v>-</v>
          </cell>
          <cell r="G39">
            <v>84.6153564453125</v>
          </cell>
          <cell r="H39">
            <v>84.6153564453125</v>
          </cell>
          <cell r="I39" t="str">
            <v>-</v>
          </cell>
          <cell r="J39">
            <v>84.6153564453125</v>
          </cell>
          <cell r="K39">
            <v>84.6153564453125</v>
          </cell>
          <cell r="L39" t="str">
            <v>-</v>
          </cell>
          <cell r="M39">
            <v>84.6153564453125</v>
          </cell>
          <cell r="N39">
            <v>84.6153564453125</v>
          </cell>
          <cell r="O39" t="str">
            <v>-</v>
          </cell>
          <cell r="P39">
            <v>84.6153564453125</v>
          </cell>
          <cell r="Q39">
            <v>84.6153564453125</v>
          </cell>
          <cell r="R39" t="str">
            <v>-</v>
          </cell>
          <cell r="S39">
            <v>84.6153564453125</v>
          </cell>
          <cell r="T39">
            <v>84.6153564453125</v>
          </cell>
          <cell r="U39" t="str">
            <v>-</v>
          </cell>
          <cell r="V39">
            <v>84.6153564453125</v>
          </cell>
          <cell r="W39">
            <v>84.6153564453125</v>
          </cell>
          <cell r="X39" t="str">
            <v>-</v>
          </cell>
          <cell r="Y39">
            <v>84.6153564453125</v>
          </cell>
          <cell r="Z39">
            <v>84.6153564453125</v>
          </cell>
          <cell r="AA39" t="str">
            <v>-</v>
          </cell>
          <cell r="AB39">
            <v>84.6153564453125</v>
          </cell>
          <cell r="AC39">
            <v>84.6153564453125</v>
          </cell>
          <cell r="AD39" t="str">
            <v>-</v>
          </cell>
          <cell r="AE39">
            <v>84.6153564453125</v>
          </cell>
          <cell r="AF39">
            <v>84.6153564453125</v>
          </cell>
          <cell r="AG39" t="str">
            <v>-</v>
          </cell>
          <cell r="AH39">
            <v>84.6153564453125</v>
          </cell>
          <cell r="AI39">
            <v>84.6153564453125</v>
          </cell>
          <cell r="AJ39" t="str">
            <v>-</v>
          </cell>
          <cell r="AK39">
            <v>84.6153564453125</v>
          </cell>
          <cell r="AL39">
            <v>84.6153564453125</v>
          </cell>
          <cell r="AM39" t="str">
            <v>-</v>
          </cell>
          <cell r="AN39">
            <v>84.6153564453125</v>
          </cell>
          <cell r="AO39">
            <v>84.6153564453125</v>
          </cell>
          <cell r="AP39" t="str">
            <v>-</v>
          </cell>
          <cell r="AQ39">
            <v>84.6153564453125</v>
          </cell>
          <cell r="AR39">
            <v>84.6153564453125</v>
          </cell>
          <cell r="AS39" t="str">
            <v>-</v>
          </cell>
          <cell r="AT39">
            <v>84.6153564453125</v>
          </cell>
          <cell r="AU39">
            <v>84.6153564453125</v>
          </cell>
          <cell r="AV39" t="str">
            <v>-</v>
          </cell>
          <cell r="AW39">
            <v>84.6153564453125</v>
          </cell>
          <cell r="AX39">
            <v>84.6153564453125</v>
          </cell>
          <cell r="AY39" t="str">
            <v>-</v>
          </cell>
          <cell r="AZ39">
            <v>84.6153564453125</v>
          </cell>
          <cell r="BA39">
            <v>84.6153564453125</v>
          </cell>
          <cell r="BB39" t="str">
            <v>-</v>
          </cell>
          <cell r="BC39">
            <v>84.6153564453125</v>
          </cell>
          <cell r="BD39">
            <v>84.6153564453125</v>
          </cell>
          <cell r="BE39" t="str">
            <v>-</v>
          </cell>
          <cell r="BF39">
            <v>84.6153564453125</v>
          </cell>
          <cell r="BG39">
            <v>84.6153564453125</v>
          </cell>
          <cell r="BH39" t="str">
            <v>-</v>
          </cell>
          <cell r="BI39">
            <v>84.6153564453125</v>
          </cell>
          <cell r="BJ39">
            <v>84.6153564453125</v>
          </cell>
          <cell r="BK39" t="str">
            <v>-</v>
          </cell>
          <cell r="BL39">
            <v>84.6153564453125</v>
          </cell>
          <cell r="BM39">
            <v>84.6153564453125</v>
          </cell>
          <cell r="BN39" t="str">
            <v>-</v>
          </cell>
          <cell r="BO39">
            <v>84.6153564453125</v>
          </cell>
          <cell r="BP39">
            <v>84.6153564453125</v>
          </cell>
          <cell r="BQ39" t="str">
            <v>-</v>
          </cell>
          <cell r="BR39">
            <v>84.6153564453125</v>
          </cell>
          <cell r="BS39">
            <v>84.6153564453125</v>
          </cell>
          <cell r="BT39" t="str">
            <v>-</v>
          </cell>
          <cell r="BU39">
            <v>84.6153564453125</v>
          </cell>
          <cell r="BV39">
            <v>84.6153564453125</v>
          </cell>
          <cell r="BW39" t="str">
            <v>-</v>
          </cell>
          <cell r="BX39">
            <v>65</v>
          </cell>
          <cell r="BY39">
            <v>24</v>
          </cell>
          <cell r="BZ39">
            <v>73</v>
          </cell>
          <cell r="CA39">
            <v>59</v>
          </cell>
          <cell r="CB39">
            <v>14</v>
          </cell>
          <cell r="CC39">
            <v>80.8</v>
          </cell>
          <cell r="CD39">
            <v>69</v>
          </cell>
          <cell r="CE39">
            <v>11</v>
          </cell>
          <cell r="CF39">
            <v>86.3</v>
          </cell>
          <cell r="CG39">
            <v>56</v>
          </cell>
          <cell r="CH39">
            <v>6</v>
          </cell>
          <cell r="CI39">
            <v>90.3</v>
          </cell>
          <cell r="CJ39">
            <v>46</v>
          </cell>
          <cell r="CK39">
            <v>10</v>
          </cell>
          <cell r="CL39">
            <v>82.1</v>
          </cell>
          <cell r="CM39">
            <v>38</v>
          </cell>
          <cell r="CN39">
            <v>4</v>
          </cell>
          <cell r="CO39">
            <v>90.5</v>
          </cell>
          <cell r="CP39">
            <v>48</v>
          </cell>
          <cell r="CQ39">
            <v>8</v>
          </cell>
          <cell r="CR39">
            <v>85.7</v>
          </cell>
          <cell r="CS39">
            <v>19</v>
          </cell>
          <cell r="CT39">
            <v>5</v>
          </cell>
          <cell r="CU39">
            <v>79.2</v>
          </cell>
          <cell r="CV39">
            <v>27</v>
          </cell>
          <cell r="CW39">
            <v>16</v>
          </cell>
          <cell r="CX39">
            <v>62.8</v>
          </cell>
          <cell r="CY39">
            <v>25</v>
          </cell>
          <cell r="CZ39">
            <v>6</v>
          </cell>
          <cell r="DA39">
            <v>80.599999999999994</v>
          </cell>
          <cell r="DB39">
            <v>25</v>
          </cell>
          <cell r="DC39">
            <v>6</v>
          </cell>
          <cell r="DD39">
            <v>80.599999999999994</v>
          </cell>
          <cell r="DE39">
            <v>18</v>
          </cell>
          <cell r="DF39">
            <v>3</v>
          </cell>
          <cell r="DG39">
            <v>85.7</v>
          </cell>
          <cell r="DH39">
            <v>23</v>
          </cell>
          <cell r="DI39">
            <v>4</v>
          </cell>
          <cell r="DJ39">
            <v>85.2</v>
          </cell>
          <cell r="DK39">
            <v>16</v>
          </cell>
          <cell r="DL39">
            <v>3</v>
          </cell>
          <cell r="DM39">
            <v>84.2</v>
          </cell>
          <cell r="DN39">
            <v>16</v>
          </cell>
          <cell r="DO39">
            <v>5</v>
          </cell>
          <cell r="DP39">
            <v>76.2</v>
          </cell>
          <cell r="DQ39">
            <v>6</v>
          </cell>
          <cell r="DR39">
            <v>4</v>
          </cell>
          <cell r="DS39">
            <v>60</v>
          </cell>
          <cell r="DT39">
            <v>60</v>
          </cell>
          <cell r="DU39">
            <v>60</v>
          </cell>
          <cell r="DV39" t="str">
            <v>-</v>
          </cell>
          <cell r="DW39">
            <v>60</v>
          </cell>
          <cell r="DX39">
            <v>60</v>
          </cell>
          <cell r="DY39" t="str">
            <v>-</v>
          </cell>
          <cell r="DZ39">
            <v>60</v>
          </cell>
          <cell r="EA39">
            <v>60</v>
          </cell>
          <cell r="EB39" t="str">
            <v>-</v>
          </cell>
          <cell r="EC39">
            <v>60</v>
          </cell>
          <cell r="ED39">
            <v>60</v>
          </cell>
          <cell r="EE39" t="str">
            <v>-</v>
          </cell>
          <cell r="EF39">
            <v>60</v>
          </cell>
          <cell r="EG39">
            <v>60</v>
          </cell>
          <cell r="EH39" t="str">
            <v>-</v>
          </cell>
          <cell r="EI39">
            <v>60</v>
          </cell>
          <cell r="EJ39">
            <v>60</v>
          </cell>
          <cell r="EK39" t="str">
            <v>-</v>
          </cell>
          <cell r="EL39">
            <v>60</v>
          </cell>
          <cell r="EM39">
            <v>60</v>
          </cell>
          <cell r="EN39" t="str">
            <v>-</v>
          </cell>
          <cell r="EO39">
            <v>60</v>
          </cell>
          <cell r="EP39">
            <v>60</v>
          </cell>
          <cell r="EQ39" t="str">
            <v>-</v>
          </cell>
          <cell r="ER39">
            <v>3</v>
          </cell>
          <cell r="ES39">
            <v>1</v>
          </cell>
          <cell r="ET39">
            <v>75</v>
          </cell>
          <cell r="EU39">
            <v>26</v>
          </cell>
          <cell r="EV39">
            <v>4</v>
          </cell>
          <cell r="EW39">
            <v>86.7</v>
          </cell>
          <cell r="EX39">
            <v>7</v>
          </cell>
          <cell r="EY39">
            <v>4</v>
          </cell>
          <cell r="EZ39">
            <v>63.6</v>
          </cell>
          <cell r="FA39">
            <v>19</v>
          </cell>
          <cell r="FB39">
            <v>19</v>
          </cell>
          <cell r="FC39">
            <v>100</v>
          </cell>
          <cell r="FD39">
            <v>8</v>
          </cell>
          <cell r="FE39">
            <v>4</v>
          </cell>
          <cell r="FF39">
            <v>66.7</v>
          </cell>
          <cell r="FG39">
            <v>2</v>
          </cell>
          <cell r="FH39">
            <v>3</v>
          </cell>
          <cell r="FI39">
            <v>40</v>
          </cell>
          <cell r="FJ39">
            <v>5</v>
          </cell>
          <cell r="FK39">
            <v>1</v>
          </cell>
          <cell r="FL39">
            <v>83.3</v>
          </cell>
          <cell r="FM39">
            <v>3</v>
          </cell>
          <cell r="FN39">
            <v>2</v>
          </cell>
          <cell r="FO39">
            <v>60</v>
          </cell>
          <cell r="FP39">
            <v>60</v>
          </cell>
          <cell r="FQ39">
            <v>60</v>
          </cell>
          <cell r="FR39" t="str">
            <v>-</v>
          </cell>
          <cell r="FS39">
            <v>60</v>
          </cell>
          <cell r="FT39">
            <v>60</v>
          </cell>
          <cell r="FU39" t="str">
            <v>-</v>
          </cell>
          <cell r="FV39">
            <v>60</v>
          </cell>
          <cell r="FW39">
            <v>60</v>
          </cell>
          <cell r="FX39" t="str">
            <v>-</v>
          </cell>
          <cell r="FY39">
            <v>60</v>
          </cell>
          <cell r="FZ39">
            <v>60</v>
          </cell>
          <cell r="GA39" t="str">
            <v>-</v>
          </cell>
          <cell r="GB39">
            <v>60</v>
          </cell>
          <cell r="GC39">
            <v>60</v>
          </cell>
          <cell r="GD39" t="str">
            <v>-</v>
          </cell>
          <cell r="GE39">
            <v>60</v>
          </cell>
          <cell r="GF39">
            <v>60</v>
          </cell>
          <cell r="GG39" t="str">
            <v>-</v>
          </cell>
          <cell r="GH39">
            <v>60</v>
          </cell>
          <cell r="GI39">
            <v>60</v>
          </cell>
          <cell r="GJ39" t="str">
            <v>-</v>
          </cell>
          <cell r="GK39">
            <v>60</v>
          </cell>
          <cell r="GL39">
            <v>60</v>
          </cell>
          <cell r="GM39" t="str">
            <v>-</v>
          </cell>
          <cell r="GN39">
            <v>36</v>
          </cell>
          <cell r="GO39">
            <v>13</v>
          </cell>
          <cell r="GP39">
            <v>73.5</v>
          </cell>
          <cell r="GQ39">
            <v>46</v>
          </cell>
          <cell r="GR39">
            <v>11</v>
          </cell>
          <cell r="GS39">
            <v>80.7</v>
          </cell>
          <cell r="GT39">
            <v>44</v>
          </cell>
          <cell r="GU39">
            <v>25</v>
          </cell>
          <cell r="GV39">
            <v>63.8</v>
          </cell>
          <cell r="GW39">
            <v>61</v>
          </cell>
          <cell r="GX39">
            <v>9</v>
          </cell>
          <cell r="GY39">
            <v>87.1</v>
          </cell>
          <cell r="GZ39">
            <v>27</v>
          </cell>
          <cell r="HA39">
            <v>18</v>
          </cell>
          <cell r="HB39">
            <v>60</v>
          </cell>
          <cell r="HC39">
            <v>25</v>
          </cell>
          <cell r="HD39">
            <v>5</v>
          </cell>
          <cell r="HE39">
            <v>83.3</v>
          </cell>
          <cell r="HF39">
            <v>18</v>
          </cell>
          <cell r="HG39">
            <v>7</v>
          </cell>
          <cell r="HH39">
            <v>72</v>
          </cell>
          <cell r="HI39">
            <v>19</v>
          </cell>
          <cell r="HJ39">
            <v>4</v>
          </cell>
          <cell r="HK39">
            <v>82.6</v>
          </cell>
          <cell r="HL39">
            <v>5</v>
          </cell>
          <cell r="HM39">
            <v>7</v>
          </cell>
          <cell r="HN39">
            <v>41.7</v>
          </cell>
          <cell r="HO39">
            <v>5</v>
          </cell>
          <cell r="HP39">
            <v>2</v>
          </cell>
          <cell r="HQ39">
            <v>71.400000000000006</v>
          </cell>
          <cell r="HR39">
            <v>1</v>
          </cell>
          <cell r="HS39">
            <v>2</v>
          </cell>
          <cell r="HT39">
            <v>33.299999999999997</v>
          </cell>
          <cell r="HU39">
            <v>6</v>
          </cell>
          <cell r="HV39">
            <v>2</v>
          </cell>
          <cell r="HW39">
            <v>75</v>
          </cell>
          <cell r="HX39">
            <v>4</v>
          </cell>
          <cell r="HY39">
            <v>5</v>
          </cell>
          <cell r="HZ39">
            <v>44.4</v>
          </cell>
          <cell r="IA39">
            <v>44.399993896484375</v>
          </cell>
          <cell r="IB39">
            <v>1</v>
          </cell>
          <cell r="IC39">
            <v>0</v>
          </cell>
          <cell r="ID39">
            <v>2</v>
          </cell>
          <cell r="IE39">
            <v>2</v>
          </cell>
          <cell r="IF39">
            <v>100</v>
          </cell>
          <cell r="IG39">
            <v>100</v>
          </cell>
          <cell r="IH39">
            <v>100</v>
          </cell>
          <cell r="II39" t="str">
            <v>-</v>
          </cell>
          <cell r="IJ39">
            <v>4</v>
          </cell>
          <cell r="IK39">
            <v>5</v>
          </cell>
          <cell r="IL39">
            <v>44.4</v>
          </cell>
          <cell r="IM39">
            <v>2</v>
          </cell>
          <cell r="IN39">
            <v>3</v>
          </cell>
          <cell r="IO39">
            <v>40</v>
          </cell>
          <cell r="IP39">
            <v>11</v>
          </cell>
          <cell r="IQ39">
            <v>4</v>
          </cell>
          <cell r="IR39">
            <v>73.3</v>
          </cell>
          <cell r="IS39">
            <v>8</v>
          </cell>
          <cell r="IT39">
            <v>3</v>
          </cell>
          <cell r="IU39">
            <v>72.7</v>
          </cell>
          <cell r="IV39">
            <v>4</v>
          </cell>
          <cell r="IW39">
            <v>4</v>
          </cell>
          <cell r="IX39">
            <v>50</v>
          </cell>
          <cell r="IY39">
            <v>2</v>
          </cell>
          <cell r="IZ39">
            <v>1</v>
          </cell>
          <cell r="JA39">
            <v>66.7</v>
          </cell>
          <cell r="JB39">
            <v>1</v>
          </cell>
          <cell r="JC39">
            <v>1</v>
          </cell>
          <cell r="JD39">
            <v>100</v>
          </cell>
          <cell r="JE39">
            <v>1</v>
          </cell>
          <cell r="JF39">
            <v>1</v>
          </cell>
          <cell r="JG39">
            <v>50</v>
          </cell>
          <cell r="JH39">
            <v>0</v>
          </cell>
          <cell r="JI39">
            <v>0</v>
          </cell>
          <cell r="JJ39" t="str">
            <v>-</v>
          </cell>
          <cell r="JK39">
            <v>0</v>
          </cell>
          <cell r="JL39">
            <v>0</v>
          </cell>
          <cell r="JM39" t="str">
            <v>-</v>
          </cell>
          <cell r="JN39">
            <v>0</v>
          </cell>
          <cell r="JO39">
            <v>0</v>
          </cell>
          <cell r="JP39" t="str">
            <v>-</v>
          </cell>
          <cell r="JQ39">
            <v>207</v>
          </cell>
          <cell r="JR39">
            <v>33</v>
          </cell>
          <cell r="JS39">
            <v>86.25</v>
          </cell>
          <cell r="JT39">
            <v>79</v>
          </cell>
          <cell r="JU39">
            <v>19</v>
          </cell>
          <cell r="JV39">
            <v>80.612244897959187</v>
          </cell>
          <cell r="JW39">
            <v>0</v>
          </cell>
          <cell r="JX39">
            <v>0</v>
          </cell>
          <cell r="JY39" t="str">
            <v>-</v>
          </cell>
          <cell r="JZ39">
            <v>37</v>
          </cell>
          <cell r="KA39">
            <v>10</v>
          </cell>
          <cell r="KB39">
            <v>78.723404255319153</v>
          </cell>
          <cell r="KC39">
            <v>0</v>
          </cell>
          <cell r="KD39">
            <v>0</v>
          </cell>
          <cell r="KE39" t="str">
            <v>-</v>
          </cell>
          <cell r="KF39">
            <v>150</v>
          </cell>
          <cell r="KG39">
            <v>43</v>
          </cell>
          <cell r="KH39">
            <v>77.720207253886002</v>
          </cell>
          <cell r="KI39">
            <v>12</v>
          </cell>
          <cell r="KJ39">
            <v>8</v>
          </cell>
          <cell r="KK39">
            <v>60</v>
          </cell>
          <cell r="KL39">
            <v>16</v>
          </cell>
          <cell r="KM39">
            <v>9</v>
          </cell>
          <cell r="KN39">
            <v>64</v>
          </cell>
        </row>
        <row r="40">
          <cell r="C40" t="str">
            <v>Kiskőrösi Rendőrkapitányság</v>
          </cell>
          <cell r="D40">
            <v>64</v>
          </cell>
          <cell r="E40">
            <v>64</v>
          </cell>
          <cell r="F40" t="str">
            <v>-</v>
          </cell>
          <cell r="G40">
            <v>64</v>
          </cell>
          <cell r="H40">
            <v>64</v>
          </cell>
          <cell r="I40" t="str">
            <v>-</v>
          </cell>
          <cell r="J40">
            <v>64</v>
          </cell>
          <cell r="K40">
            <v>64</v>
          </cell>
          <cell r="L40" t="str">
            <v>-</v>
          </cell>
          <cell r="M40">
            <v>64</v>
          </cell>
          <cell r="N40">
            <v>64</v>
          </cell>
          <cell r="O40" t="str">
            <v>-</v>
          </cell>
          <cell r="P40">
            <v>64</v>
          </cell>
          <cell r="Q40">
            <v>64</v>
          </cell>
          <cell r="R40" t="str">
            <v>-</v>
          </cell>
          <cell r="S40">
            <v>64</v>
          </cell>
          <cell r="T40">
            <v>64</v>
          </cell>
          <cell r="U40" t="str">
            <v>-</v>
          </cell>
          <cell r="V40">
            <v>64</v>
          </cell>
          <cell r="W40">
            <v>64</v>
          </cell>
          <cell r="X40" t="str">
            <v>-</v>
          </cell>
          <cell r="Y40">
            <v>64</v>
          </cell>
          <cell r="Z40">
            <v>64</v>
          </cell>
          <cell r="AA40" t="str">
            <v>-</v>
          </cell>
          <cell r="AB40">
            <v>64</v>
          </cell>
          <cell r="AC40">
            <v>64</v>
          </cell>
          <cell r="AD40" t="str">
            <v>-</v>
          </cell>
          <cell r="AE40">
            <v>64</v>
          </cell>
          <cell r="AF40">
            <v>64</v>
          </cell>
          <cell r="AG40" t="str">
            <v>-</v>
          </cell>
          <cell r="AH40">
            <v>64</v>
          </cell>
          <cell r="AI40">
            <v>64</v>
          </cell>
          <cell r="AJ40" t="str">
            <v>-</v>
          </cell>
          <cell r="AK40">
            <v>64</v>
          </cell>
          <cell r="AL40">
            <v>64</v>
          </cell>
          <cell r="AM40" t="str">
            <v>-</v>
          </cell>
          <cell r="AN40">
            <v>64</v>
          </cell>
          <cell r="AO40">
            <v>64</v>
          </cell>
          <cell r="AP40" t="str">
            <v>-</v>
          </cell>
          <cell r="AQ40">
            <v>64</v>
          </cell>
          <cell r="AR40">
            <v>64</v>
          </cell>
          <cell r="AS40" t="str">
            <v>-</v>
          </cell>
          <cell r="AT40">
            <v>64</v>
          </cell>
          <cell r="AU40">
            <v>64</v>
          </cell>
          <cell r="AV40" t="str">
            <v>-</v>
          </cell>
          <cell r="AW40">
            <v>64</v>
          </cell>
          <cell r="AX40">
            <v>64</v>
          </cell>
          <cell r="AY40" t="str">
            <v>-</v>
          </cell>
          <cell r="AZ40">
            <v>64</v>
          </cell>
          <cell r="BA40">
            <v>64</v>
          </cell>
          <cell r="BB40" t="str">
            <v>-</v>
          </cell>
          <cell r="BC40">
            <v>64</v>
          </cell>
          <cell r="BD40">
            <v>64</v>
          </cell>
          <cell r="BE40" t="str">
            <v>-</v>
          </cell>
          <cell r="BF40">
            <v>64</v>
          </cell>
          <cell r="BG40">
            <v>64</v>
          </cell>
          <cell r="BH40" t="str">
            <v>-</v>
          </cell>
          <cell r="BI40">
            <v>64</v>
          </cell>
          <cell r="BJ40">
            <v>64</v>
          </cell>
          <cell r="BK40" t="str">
            <v>-</v>
          </cell>
          <cell r="BL40">
            <v>64</v>
          </cell>
          <cell r="BM40">
            <v>64</v>
          </cell>
          <cell r="BN40" t="str">
            <v>-</v>
          </cell>
          <cell r="BO40">
            <v>64</v>
          </cell>
          <cell r="BP40">
            <v>64</v>
          </cell>
          <cell r="BQ40" t="str">
            <v>-</v>
          </cell>
          <cell r="BR40">
            <v>64</v>
          </cell>
          <cell r="BS40">
            <v>64</v>
          </cell>
          <cell r="BT40" t="str">
            <v>-</v>
          </cell>
          <cell r="BU40">
            <v>64</v>
          </cell>
          <cell r="BV40">
            <v>64</v>
          </cell>
          <cell r="BW40" t="str">
            <v>-</v>
          </cell>
          <cell r="BX40">
            <v>71</v>
          </cell>
          <cell r="BY40">
            <v>11</v>
          </cell>
          <cell r="BZ40">
            <v>86.6</v>
          </cell>
          <cell r="CA40">
            <v>60</v>
          </cell>
          <cell r="CB40">
            <v>7</v>
          </cell>
          <cell r="CC40">
            <v>89.6</v>
          </cell>
          <cell r="CD40">
            <v>94</v>
          </cell>
          <cell r="CE40">
            <v>4</v>
          </cell>
          <cell r="CF40">
            <v>95.9</v>
          </cell>
          <cell r="CG40">
            <v>102</v>
          </cell>
          <cell r="CH40">
            <v>5</v>
          </cell>
          <cell r="CI40">
            <v>95.3</v>
          </cell>
          <cell r="CJ40">
            <v>72</v>
          </cell>
          <cell r="CK40">
            <v>12</v>
          </cell>
          <cell r="CL40">
            <v>85.7</v>
          </cell>
          <cell r="CM40">
            <v>79</v>
          </cell>
          <cell r="CN40">
            <v>14</v>
          </cell>
          <cell r="CO40">
            <v>84.9</v>
          </cell>
          <cell r="CP40">
            <v>56</v>
          </cell>
          <cell r="CQ40">
            <v>10</v>
          </cell>
          <cell r="CR40">
            <v>84.8</v>
          </cell>
          <cell r="CS40">
            <v>55</v>
          </cell>
          <cell r="CT40">
            <v>15</v>
          </cell>
          <cell r="CU40">
            <v>78.599999999999994</v>
          </cell>
          <cell r="CV40">
            <v>29</v>
          </cell>
          <cell r="CW40">
            <v>4</v>
          </cell>
          <cell r="CX40">
            <v>87.9</v>
          </cell>
          <cell r="CY40">
            <v>15</v>
          </cell>
          <cell r="CZ40">
            <v>4</v>
          </cell>
          <cell r="DA40">
            <v>78.900000000000006</v>
          </cell>
          <cell r="DB40">
            <v>27</v>
          </cell>
          <cell r="DC40">
            <v>4</v>
          </cell>
          <cell r="DD40">
            <v>87.1</v>
          </cell>
          <cell r="DE40">
            <v>38</v>
          </cell>
          <cell r="DF40">
            <v>3</v>
          </cell>
          <cell r="DG40">
            <v>92.7</v>
          </cell>
          <cell r="DH40">
            <v>27</v>
          </cell>
          <cell r="DI40">
            <v>6</v>
          </cell>
          <cell r="DJ40">
            <v>81.8</v>
          </cell>
          <cell r="DK40">
            <v>30</v>
          </cell>
          <cell r="DL40">
            <v>7</v>
          </cell>
          <cell r="DM40">
            <v>81.099999999999994</v>
          </cell>
          <cell r="DN40">
            <v>19</v>
          </cell>
          <cell r="DO40">
            <v>5</v>
          </cell>
          <cell r="DP40">
            <v>79.2</v>
          </cell>
          <cell r="DQ40">
            <v>22</v>
          </cell>
          <cell r="DR40">
            <v>9</v>
          </cell>
          <cell r="DS40">
            <v>71</v>
          </cell>
          <cell r="DT40">
            <v>71</v>
          </cell>
          <cell r="DU40">
            <v>71</v>
          </cell>
          <cell r="DV40" t="str">
            <v>-</v>
          </cell>
          <cell r="DW40">
            <v>71</v>
          </cell>
          <cell r="DX40">
            <v>71</v>
          </cell>
          <cell r="DY40" t="str">
            <v>-</v>
          </cell>
          <cell r="DZ40">
            <v>71</v>
          </cell>
          <cell r="EA40">
            <v>71</v>
          </cell>
          <cell r="EB40" t="str">
            <v>-</v>
          </cell>
          <cell r="EC40">
            <v>71</v>
          </cell>
          <cell r="ED40">
            <v>71</v>
          </cell>
          <cell r="EE40" t="str">
            <v>-</v>
          </cell>
          <cell r="EF40">
            <v>71</v>
          </cell>
          <cell r="EG40">
            <v>71</v>
          </cell>
          <cell r="EH40" t="str">
            <v>-</v>
          </cell>
          <cell r="EI40">
            <v>71</v>
          </cell>
          <cell r="EJ40">
            <v>71</v>
          </cell>
          <cell r="EK40" t="str">
            <v>-</v>
          </cell>
          <cell r="EL40">
            <v>71</v>
          </cell>
          <cell r="EM40">
            <v>71</v>
          </cell>
          <cell r="EN40" t="str">
            <v>-</v>
          </cell>
          <cell r="EO40">
            <v>71</v>
          </cell>
          <cell r="EP40">
            <v>71</v>
          </cell>
          <cell r="EQ40" t="str">
            <v>-</v>
          </cell>
          <cell r="ER40">
            <v>22</v>
          </cell>
          <cell r="ES40">
            <v>13</v>
          </cell>
          <cell r="ET40">
            <v>62.9</v>
          </cell>
          <cell r="EU40">
            <v>13</v>
          </cell>
          <cell r="EV40">
            <v>1</v>
          </cell>
          <cell r="EW40">
            <v>92.9</v>
          </cell>
          <cell r="EX40">
            <v>10</v>
          </cell>
          <cell r="EY40">
            <v>1</v>
          </cell>
          <cell r="EZ40">
            <v>90.9</v>
          </cell>
          <cell r="FA40">
            <v>20</v>
          </cell>
          <cell r="FB40">
            <v>1</v>
          </cell>
          <cell r="FC40">
            <v>95.2</v>
          </cell>
          <cell r="FD40">
            <v>11</v>
          </cell>
          <cell r="FE40">
            <v>2</v>
          </cell>
          <cell r="FF40">
            <v>84.6</v>
          </cell>
          <cell r="FG40">
            <v>24</v>
          </cell>
          <cell r="FH40">
            <v>12</v>
          </cell>
          <cell r="FI40">
            <v>66.7</v>
          </cell>
          <cell r="FJ40">
            <v>11</v>
          </cell>
          <cell r="FK40">
            <v>6</v>
          </cell>
          <cell r="FL40">
            <v>64.7</v>
          </cell>
          <cell r="FM40">
            <v>10</v>
          </cell>
          <cell r="FN40">
            <v>2</v>
          </cell>
          <cell r="FO40">
            <v>83.3</v>
          </cell>
          <cell r="FP40">
            <v>83.29998779296875</v>
          </cell>
          <cell r="FQ40">
            <v>83.29998779296875</v>
          </cell>
          <cell r="FR40" t="str">
            <v>-</v>
          </cell>
          <cell r="FS40">
            <v>83.29998779296875</v>
          </cell>
          <cell r="FT40">
            <v>83.29998779296875</v>
          </cell>
          <cell r="FU40" t="str">
            <v>-</v>
          </cell>
          <cell r="FV40">
            <v>83.29998779296875</v>
          </cell>
          <cell r="FW40">
            <v>83.29998779296875</v>
          </cell>
          <cell r="FX40" t="str">
            <v>-</v>
          </cell>
          <cell r="FY40">
            <v>83.29998779296875</v>
          </cell>
          <cell r="FZ40">
            <v>83.29998779296875</v>
          </cell>
          <cell r="GA40" t="str">
            <v>-</v>
          </cell>
          <cell r="GB40">
            <v>83.29998779296875</v>
          </cell>
          <cell r="GC40">
            <v>83.29998779296875</v>
          </cell>
          <cell r="GD40" t="str">
            <v>-</v>
          </cell>
          <cell r="GE40">
            <v>3</v>
          </cell>
          <cell r="GF40">
            <v>3</v>
          </cell>
          <cell r="GG40">
            <v>100</v>
          </cell>
          <cell r="GH40">
            <v>4</v>
          </cell>
          <cell r="GI40">
            <v>1</v>
          </cell>
          <cell r="GJ40">
            <v>80</v>
          </cell>
          <cell r="GK40">
            <v>80</v>
          </cell>
          <cell r="GL40">
            <v>80</v>
          </cell>
          <cell r="GM40" t="str">
            <v>-</v>
          </cell>
          <cell r="GN40">
            <v>53</v>
          </cell>
          <cell r="GO40">
            <v>9</v>
          </cell>
          <cell r="GP40">
            <v>85.5</v>
          </cell>
          <cell r="GQ40">
            <v>64</v>
          </cell>
          <cell r="GR40">
            <v>10</v>
          </cell>
          <cell r="GS40">
            <v>86.5</v>
          </cell>
          <cell r="GT40">
            <v>80</v>
          </cell>
          <cell r="GU40">
            <v>9</v>
          </cell>
          <cell r="GV40">
            <v>89.9</v>
          </cell>
          <cell r="GW40">
            <v>94</v>
          </cell>
          <cell r="GX40">
            <v>14</v>
          </cell>
          <cell r="GY40">
            <v>87</v>
          </cell>
          <cell r="GZ40">
            <v>77</v>
          </cell>
          <cell r="HA40">
            <v>9</v>
          </cell>
          <cell r="HB40">
            <v>89.5</v>
          </cell>
          <cell r="HC40">
            <v>80</v>
          </cell>
          <cell r="HD40">
            <v>19</v>
          </cell>
          <cell r="HE40">
            <v>80.8</v>
          </cell>
          <cell r="HF40">
            <v>51</v>
          </cell>
          <cell r="HG40">
            <v>10</v>
          </cell>
          <cell r="HH40">
            <v>83.6</v>
          </cell>
          <cell r="HI40">
            <v>66</v>
          </cell>
          <cell r="HJ40">
            <v>17</v>
          </cell>
          <cell r="HK40">
            <v>79.5</v>
          </cell>
          <cell r="HL40">
            <v>1</v>
          </cell>
          <cell r="HM40">
            <v>3</v>
          </cell>
          <cell r="HN40">
            <v>25</v>
          </cell>
          <cell r="HO40">
            <v>3</v>
          </cell>
          <cell r="HP40">
            <v>1</v>
          </cell>
          <cell r="HQ40">
            <v>75</v>
          </cell>
          <cell r="HR40">
            <v>4</v>
          </cell>
          <cell r="HS40">
            <v>4</v>
          </cell>
          <cell r="HT40">
            <v>100</v>
          </cell>
          <cell r="HU40">
            <v>1</v>
          </cell>
          <cell r="HV40">
            <v>1</v>
          </cell>
          <cell r="HW40">
            <v>50</v>
          </cell>
          <cell r="HX40">
            <v>3</v>
          </cell>
          <cell r="HY40">
            <v>1</v>
          </cell>
          <cell r="HZ40">
            <v>75</v>
          </cell>
          <cell r="IA40">
            <v>2</v>
          </cell>
          <cell r="IB40">
            <v>2</v>
          </cell>
          <cell r="IC40">
            <v>50</v>
          </cell>
          <cell r="ID40">
            <v>1</v>
          </cell>
          <cell r="IE40">
            <v>1</v>
          </cell>
          <cell r="IF40">
            <v>100</v>
          </cell>
          <cell r="IG40">
            <v>100</v>
          </cell>
          <cell r="IH40">
            <v>1</v>
          </cell>
          <cell r="II40">
            <v>0</v>
          </cell>
          <cell r="IJ40">
            <v>8</v>
          </cell>
          <cell r="IK40">
            <v>1</v>
          </cell>
          <cell r="IL40">
            <v>88.9</v>
          </cell>
          <cell r="IM40">
            <v>13</v>
          </cell>
          <cell r="IN40">
            <v>3</v>
          </cell>
          <cell r="IO40">
            <v>81.3</v>
          </cell>
          <cell r="IP40">
            <v>6</v>
          </cell>
          <cell r="IQ40">
            <v>2</v>
          </cell>
          <cell r="IR40">
            <v>75</v>
          </cell>
          <cell r="IS40">
            <v>1</v>
          </cell>
          <cell r="IT40">
            <v>1</v>
          </cell>
          <cell r="IU40">
            <v>100</v>
          </cell>
          <cell r="IV40">
            <v>100</v>
          </cell>
          <cell r="IW40">
            <v>100</v>
          </cell>
          <cell r="IX40" t="str">
            <v>-</v>
          </cell>
          <cell r="IY40">
            <v>1</v>
          </cell>
          <cell r="IZ40">
            <v>1</v>
          </cell>
          <cell r="JA40">
            <v>100</v>
          </cell>
          <cell r="JB40">
            <v>7</v>
          </cell>
          <cell r="JC40">
            <v>7</v>
          </cell>
          <cell r="JD40">
            <v>100</v>
          </cell>
          <cell r="JE40">
            <v>100</v>
          </cell>
          <cell r="JF40">
            <v>100</v>
          </cell>
          <cell r="JG40" t="str">
            <v>-</v>
          </cell>
          <cell r="JH40">
            <v>0</v>
          </cell>
          <cell r="JI40">
            <v>0</v>
          </cell>
          <cell r="JJ40" t="str">
            <v>-</v>
          </cell>
          <cell r="JK40">
            <v>0</v>
          </cell>
          <cell r="JL40">
            <v>0</v>
          </cell>
          <cell r="JM40" t="str">
            <v>-</v>
          </cell>
          <cell r="JN40">
            <v>0</v>
          </cell>
          <cell r="JO40">
            <v>0</v>
          </cell>
          <cell r="JP40" t="str">
            <v>-</v>
          </cell>
          <cell r="JQ40">
            <v>364</v>
          </cell>
          <cell r="JR40">
            <v>56</v>
          </cell>
          <cell r="JS40">
            <v>86.666666666666671</v>
          </cell>
          <cell r="JT40">
            <v>136</v>
          </cell>
          <cell r="JU40">
            <v>30</v>
          </cell>
          <cell r="JV40">
            <v>81.92771084337349</v>
          </cell>
          <cell r="JW40">
            <v>0</v>
          </cell>
          <cell r="JX40">
            <v>0</v>
          </cell>
          <cell r="JY40" t="str">
            <v>-</v>
          </cell>
          <cell r="JZ40">
            <v>76</v>
          </cell>
          <cell r="KA40">
            <v>23</v>
          </cell>
          <cell r="KB40">
            <v>76.767676767676761</v>
          </cell>
          <cell r="KC40">
            <v>7</v>
          </cell>
          <cell r="KD40">
            <v>1</v>
          </cell>
          <cell r="KE40">
            <v>87.5</v>
          </cell>
          <cell r="KF40">
            <v>368</v>
          </cell>
          <cell r="KG40">
            <v>69</v>
          </cell>
          <cell r="KH40">
            <v>84.210526315789465</v>
          </cell>
          <cell r="KI40">
            <v>7</v>
          </cell>
          <cell r="KJ40">
            <v>5</v>
          </cell>
          <cell r="KK40">
            <v>58.333333333333336</v>
          </cell>
          <cell r="KL40">
            <v>9</v>
          </cell>
          <cell r="KM40">
            <v>0</v>
          </cell>
          <cell r="KN40">
            <v>100</v>
          </cell>
        </row>
        <row r="41">
          <cell r="C41" t="str">
            <v>Kiskunfélegyházi Rendőrkapitányság</v>
          </cell>
          <cell r="D41">
            <v>100</v>
          </cell>
          <cell r="E41">
            <v>100</v>
          </cell>
          <cell r="F41" t="str">
            <v>-</v>
          </cell>
          <cell r="G41">
            <v>100</v>
          </cell>
          <cell r="H41">
            <v>100</v>
          </cell>
          <cell r="I41" t="str">
            <v>-</v>
          </cell>
          <cell r="J41">
            <v>100</v>
          </cell>
          <cell r="K41">
            <v>100</v>
          </cell>
          <cell r="L41" t="str">
            <v>-</v>
          </cell>
          <cell r="M41">
            <v>100</v>
          </cell>
          <cell r="N41">
            <v>100</v>
          </cell>
          <cell r="O41" t="str">
            <v>-</v>
          </cell>
          <cell r="P41">
            <v>100</v>
          </cell>
          <cell r="Q41">
            <v>100</v>
          </cell>
          <cell r="R41" t="str">
            <v>-</v>
          </cell>
          <cell r="S41">
            <v>100</v>
          </cell>
          <cell r="T41">
            <v>100</v>
          </cell>
          <cell r="U41" t="str">
            <v>-</v>
          </cell>
          <cell r="V41">
            <v>100</v>
          </cell>
          <cell r="W41">
            <v>100</v>
          </cell>
          <cell r="X41" t="str">
            <v>-</v>
          </cell>
          <cell r="Y41">
            <v>100</v>
          </cell>
          <cell r="Z41">
            <v>100</v>
          </cell>
          <cell r="AA41" t="str">
            <v>-</v>
          </cell>
          <cell r="AB41">
            <v>100</v>
          </cell>
          <cell r="AC41">
            <v>100</v>
          </cell>
          <cell r="AD41" t="str">
            <v>-</v>
          </cell>
          <cell r="AE41">
            <v>100</v>
          </cell>
          <cell r="AF41">
            <v>100</v>
          </cell>
          <cell r="AG41" t="str">
            <v>-</v>
          </cell>
          <cell r="AH41">
            <v>100</v>
          </cell>
          <cell r="AI41">
            <v>100</v>
          </cell>
          <cell r="AJ41" t="str">
            <v>-</v>
          </cell>
          <cell r="AK41">
            <v>100</v>
          </cell>
          <cell r="AL41">
            <v>100</v>
          </cell>
          <cell r="AM41" t="str">
            <v>-</v>
          </cell>
          <cell r="AN41">
            <v>100</v>
          </cell>
          <cell r="AO41">
            <v>100</v>
          </cell>
          <cell r="AP41" t="str">
            <v>-</v>
          </cell>
          <cell r="AQ41">
            <v>100</v>
          </cell>
          <cell r="AR41">
            <v>100</v>
          </cell>
          <cell r="AS41" t="str">
            <v>-</v>
          </cell>
          <cell r="AT41">
            <v>100</v>
          </cell>
          <cell r="AU41">
            <v>100</v>
          </cell>
          <cell r="AV41" t="str">
            <v>-</v>
          </cell>
          <cell r="AW41">
            <v>100</v>
          </cell>
          <cell r="AX41">
            <v>100</v>
          </cell>
          <cell r="AY41" t="str">
            <v>-</v>
          </cell>
          <cell r="AZ41">
            <v>100</v>
          </cell>
          <cell r="BA41">
            <v>100</v>
          </cell>
          <cell r="BB41" t="str">
            <v>-</v>
          </cell>
          <cell r="BC41">
            <v>100</v>
          </cell>
          <cell r="BD41">
            <v>100</v>
          </cell>
          <cell r="BE41" t="str">
            <v>-</v>
          </cell>
          <cell r="BF41">
            <v>100</v>
          </cell>
          <cell r="BG41">
            <v>100</v>
          </cell>
          <cell r="BH41" t="str">
            <v>-</v>
          </cell>
          <cell r="BI41">
            <v>100</v>
          </cell>
          <cell r="BJ41">
            <v>100</v>
          </cell>
          <cell r="BK41" t="str">
            <v>-</v>
          </cell>
          <cell r="BL41">
            <v>100</v>
          </cell>
          <cell r="BM41">
            <v>100</v>
          </cell>
          <cell r="BN41" t="str">
            <v>-</v>
          </cell>
          <cell r="BO41">
            <v>100</v>
          </cell>
          <cell r="BP41">
            <v>100</v>
          </cell>
          <cell r="BQ41" t="str">
            <v>-</v>
          </cell>
          <cell r="BR41">
            <v>100</v>
          </cell>
          <cell r="BS41">
            <v>100</v>
          </cell>
          <cell r="BT41" t="str">
            <v>-</v>
          </cell>
          <cell r="BU41">
            <v>100</v>
          </cell>
          <cell r="BV41">
            <v>100</v>
          </cell>
          <cell r="BW41" t="str">
            <v>-</v>
          </cell>
          <cell r="BX41">
            <v>45</v>
          </cell>
          <cell r="BY41">
            <v>5</v>
          </cell>
          <cell r="BZ41">
            <v>90</v>
          </cell>
          <cell r="CA41">
            <v>36</v>
          </cell>
          <cell r="CB41">
            <v>9</v>
          </cell>
          <cell r="CC41">
            <v>80</v>
          </cell>
          <cell r="CD41">
            <v>41</v>
          </cell>
          <cell r="CE41">
            <v>8</v>
          </cell>
          <cell r="CF41">
            <v>83.7</v>
          </cell>
          <cell r="CG41">
            <v>56</v>
          </cell>
          <cell r="CH41">
            <v>4</v>
          </cell>
          <cell r="CI41">
            <v>93.3</v>
          </cell>
          <cell r="CJ41">
            <v>36</v>
          </cell>
          <cell r="CK41">
            <v>4</v>
          </cell>
          <cell r="CL41">
            <v>90</v>
          </cell>
          <cell r="CM41">
            <v>41</v>
          </cell>
          <cell r="CN41">
            <v>12</v>
          </cell>
          <cell r="CO41">
            <v>77.400000000000006</v>
          </cell>
          <cell r="CP41">
            <v>21</v>
          </cell>
          <cell r="CQ41">
            <v>5</v>
          </cell>
          <cell r="CR41">
            <v>80.8</v>
          </cell>
          <cell r="CS41">
            <v>24</v>
          </cell>
          <cell r="CT41">
            <v>3</v>
          </cell>
          <cell r="CU41">
            <v>88.9</v>
          </cell>
          <cell r="CV41">
            <v>27</v>
          </cell>
          <cell r="CW41">
            <v>4</v>
          </cell>
          <cell r="CX41">
            <v>87.1</v>
          </cell>
          <cell r="CY41">
            <v>22</v>
          </cell>
          <cell r="CZ41">
            <v>8</v>
          </cell>
          <cell r="DA41">
            <v>73.3</v>
          </cell>
          <cell r="DB41">
            <v>23</v>
          </cell>
          <cell r="DC41">
            <v>7</v>
          </cell>
          <cell r="DD41">
            <v>76.7</v>
          </cell>
          <cell r="DE41">
            <v>33</v>
          </cell>
          <cell r="DF41">
            <v>3</v>
          </cell>
          <cell r="DG41">
            <v>91.7</v>
          </cell>
          <cell r="DH41">
            <v>13</v>
          </cell>
          <cell r="DI41">
            <v>3</v>
          </cell>
          <cell r="DJ41">
            <v>81.3</v>
          </cell>
          <cell r="DK41">
            <v>19</v>
          </cell>
          <cell r="DL41">
            <v>4</v>
          </cell>
          <cell r="DM41">
            <v>82.6</v>
          </cell>
          <cell r="DN41">
            <v>8</v>
          </cell>
          <cell r="DO41">
            <v>3</v>
          </cell>
          <cell r="DP41">
            <v>72.7</v>
          </cell>
          <cell r="DQ41">
            <v>12</v>
          </cell>
          <cell r="DR41">
            <v>2</v>
          </cell>
          <cell r="DS41">
            <v>85.7</v>
          </cell>
          <cell r="DT41">
            <v>85.699951171875</v>
          </cell>
          <cell r="DU41">
            <v>85.699951171875</v>
          </cell>
          <cell r="DV41" t="str">
            <v>-</v>
          </cell>
          <cell r="DW41">
            <v>85.699951171875</v>
          </cell>
          <cell r="DX41">
            <v>85.699951171875</v>
          </cell>
          <cell r="DY41" t="str">
            <v>-</v>
          </cell>
          <cell r="DZ41">
            <v>85.699951171875</v>
          </cell>
          <cell r="EA41">
            <v>85.699951171875</v>
          </cell>
          <cell r="EB41" t="str">
            <v>-</v>
          </cell>
          <cell r="EC41">
            <v>85.699951171875</v>
          </cell>
          <cell r="ED41">
            <v>85.699951171875</v>
          </cell>
          <cell r="EE41" t="str">
            <v>-</v>
          </cell>
          <cell r="EF41">
            <v>85.699951171875</v>
          </cell>
          <cell r="EG41">
            <v>85.699951171875</v>
          </cell>
          <cell r="EH41" t="str">
            <v>-</v>
          </cell>
          <cell r="EI41">
            <v>85.699951171875</v>
          </cell>
          <cell r="EJ41">
            <v>85.699951171875</v>
          </cell>
          <cell r="EK41" t="str">
            <v>-</v>
          </cell>
          <cell r="EL41">
            <v>85.699951171875</v>
          </cell>
          <cell r="EM41">
            <v>85.699951171875</v>
          </cell>
          <cell r="EN41" t="str">
            <v>-</v>
          </cell>
          <cell r="EO41">
            <v>85.699951171875</v>
          </cell>
          <cell r="EP41">
            <v>85.699951171875</v>
          </cell>
          <cell r="EQ41" t="str">
            <v>-</v>
          </cell>
          <cell r="ER41">
            <v>13</v>
          </cell>
          <cell r="ES41">
            <v>4</v>
          </cell>
          <cell r="ET41">
            <v>76.5</v>
          </cell>
          <cell r="EU41">
            <v>8</v>
          </cell>
          <cell r="EV41">
            <v>3</v>
          </cell>
          <cell r="EW41">
            <v>72.7</v>
          </cell>
          <cell r="EX41">
            <v>5</v>
          </cell>
          <cell r="EY41">
            <v>5</v>
          </cell>
          <cell r="EZ41">
            <v>50</v>
          </cell>
          <cell r="FA41">
            <v>6</v>
          </cell>
          <cell r="FB41">
            <v>6</v>
          </cell>
          <cell r="FC41">
            <v>50</v>
          </cell>
          <cell r="FD41">
            <v>13</v>
          </cell>
          <cell r="FE41">
            <v>4</v>
          </cell>
          <cell r="FF41">
            <v>76.5</v>
          </cell>
          <cell r="FG41">
            <v>13</v>
          </cell>
          <cell r="FH41">
            <v>5</v>
          </cell>
          <cell r="FI41">
            <v>72.2</v>
          </cell>
          <cell r="FJ41">
            <v>8</v>
          </cell>
          <cell r="FK41">
            <v>1</v>
          </cell>
          <cell r="FL41">
            <v>88.9</v>
          </cell>
          <cell r="FM41">
            <v>16</v>
          </cell>
          <cell r="FN41">
            <v>16</v>
          </cell>
          <cell r="FO41">
            <v>100</v>
          </cell>
          <cell r="FP41">
            <v>100</v>
          </cell>
          <cell r="FQ41">
            <v>100</v>
          </cell>
          <cell r="FR41" t="str">
            <v>-</v>
          </cell>
          <cell r="FS41">
            <v>100</v>
          </cell>
          <cell r="FT41">
            <v>100</v>
          </cell>
          <cell r="FU41" t="str">
            <v>-</v>
          </cell>
          <cell r="FV41">
            <v>100</v>
          </cell>
          <cell r="FW41">
            <v>100</v>
          </cell>
          <cell r="FX41" t="str">
            <v>-</v>
          </cell>
          <cell r="FY41">
            <v>100</v>
          </cell>
          <cell r="FZ41">
            <v>100</v>
          </cell>
          <cell r="GA41" t="str">
            <v>-</v>
          </cell>
          <cell r="GB41">
            <v>100</v>
          </cell>
          <cell r="GC41">
            <v>100</v>
          </cell>
          <cell r="GD41" t="str">
            <v>-</v>
          </cell>
          <cell r="GE41">
            <v>6</v>
          </cell>
          <cell r="GF41">
            <v>6</v>
          </cell>
          <cell r="GG41">
            <v>100</v>
          </cell>
          <cell r="GH41">
            <v>2</v>
          </cell>
          <cell r="GI41">
            <v>2</v>
          </cell>
          <cell r="GJ41">
            <v>100</v>
          </cell>
          <cell r="GK41">
            <v>100</v>
          </cell>
          <cell r="GL41">
            <v>100</v>
          </cell>
          <cell r="GM41" t="str">
            <v>-</v>
          </cell>
          <cell r="GN41">
            <v>31</v>
          </cell>
          <cell r="GO41">
            <v>1</v>
          </cell>
          <cell r="GP41">
            <v>96.9</v>
          </cell>
          <cell r="GQ41">
            <v>31</v>
          </cell>
          <cell r="GR41">
            <v>3</v>
          </cell>
          <cell r="GS41">
            <v>91.2</v>
          </cell>
          <cell r="GT41">
            <v>40</v>
          </cell>
          <cell r="GU41">
            <v>3</v>
          </cell>
          <cell r="GV41">
            <v>93</v>
          </cell>
          <cell r="GW41">
            <v>41</v>
          </cell>
          <cell r="GX41">
            <v>6</v>
          </cell>
          <cell r="GY41">
            <v>87.2</v>
          </cell>
          <cell r="GZ41">
            <v>29</v>
          </cell>
          <cell r="HA41">
            <v>2</v>
          </cell>
          <cell r="HB41">
            <v>93.5</v>
          </cell>
          <cell r="HC41">
            <v>38</v>
          </cell>
          <cell r="HD41">
            <v>11</v>
          </cell>
          <cell r="HE41">
            <v>77.599999999999994</v>
          </cell>
          <cell r="HF41">
            <v>30</v>
          </cell>
          <cell r="HG41">
            <v>6</v>
          </cell>
          <cell r="HH41">
            <v>83.3</v>
          </cell>
          <cell r="HI41">
            <v>28</v>
          </cell>
          <cell r="HJ41">
            <v>7</v>
          </cell>
          <cell r="HK41">
            <v>80</v>
          </cell>
          <cell r="HL41">
            <v>1</v>
          </cell>
          <cell r="HM41">
            <v>1</v>
          </cell>
          <cell r="HN41">
            <v>100</v>
          </cell>
          <cell r="HO41">
            <v>1</v>
          </cell>
          <cell r="HP41">
            <v>1</v>
          </cell>
          <cell r="HQ41">
            <v>100</v>
          </cell>
          <cell r="HR41">
            <v>100</v>
          </cell>
          <cell r="HS41">
            <v>100</v>
          </cell>
          <cell r="HT41" t="str">
            <v>-</v>
          </cell>
          <cell r="HU41">
            <v>4</v>
          </cell>
          <cell r="HV41">
            <v>4</v>
          </cell>
          <cell r="HW41">
            <v>100</v>
          </cell>
          <cell r="HX41">
            <v>2</v>
          </cell>
          <cell r="HY41">
            <v>2</v>
          </cell>
          <cell r="HZ41">
            <v>100</v>
          </cell>
          <cell r="IA41">
            <v>2</v>
          </cell>
          <cell r="IB41">
            <v>1</v>
          </cell>
          <cell r="IC41">
            <v>66.7</v>
          </cell>
          <cell r="ID41">
            <v>2</v>
          </cell>
          <cell r="IE41">
            <v>3</v>
          </cell>
          <cell r="IF41">
            <v>40</v>
          </cell>
          <cell r="IG41">
            <v>4</v>
          </cell>
          <cell r="IH41">
            <v>4</v>
          </cell>
          <cell r="II41">
            <v>100</v>
          </cell>
          <cell r="IJ41">
            <v>2</v>
          </cell>
          <cell r="IK41">
            <v>2</v>
          </cell>
          <cell r="IL41">
            <v>100</v>
          </cell>
          <cell r="IM41">
            <v>1</v>
          </cell>
          <cell r="IN41">
            <v>1</v>
          </cell>
          <cell r="IO41">
            <v>100</v>
          </cell>
          <cell r="IP41">
            <v>100</v>
          </cell>
          <cell r="IQ41">
            <v>100</v>
          </cell>
          <cell r="IR41" t="str">
            <v>-</v>
          </cell>
          <cell r="IS41">
            <v>1</v>
          </cell>
          <cell r="IT41">
            <v>1</v>
          </cell>
          <cell r="IU41">
            <v>100</v>
          </cell>
          <cell r="IV41">
            <v>100</v>
          </cell>
          <cell r="IW41">
            <v>2</v>
          </cell>
          <cell r="IX41">
            <v>0</v>
          </cell>
          <cell r="IY41">
            <v>0</v>
          </cell>
          <cell r="IZ41">
            <v>1</v>
          </cell>
          <cell r="JA41">
            <v>0</v>
          </cell>
          <cell r="JB41">
            <v>0</v>
          </cell>
          <cell r="JC41">
            <v>0</v>
          </cell>
          <cell r="JD41" t="str">
            <v>-</v>
          </cell>
          <cell r="JE41">
            <v>5</v>
          </cell>
          <cell r="JF41">
            <v>5</v>
          </cell>
          <cell r="JG41">
            <v>100</v>
          </cell>
          <cell r="JH41">
            <v>0</v>
          </cell>
          <cell r="JI41">
            <v>0</v>
          </cell>
          <cell r="JJ41" t="str">
            <v>-</v>
          </cell>
          <cell r="JK41">
            <v>0</v>
          </cell>
          <cell r="JL41">
            <v>0</v>
          </cell>
          <cell r="JM41" t="str">
            <v>-</v>
          </cell>
          <cell r="JN41">
            <v>0</v>
          </cell>
          <cell r="JO41">
            <v>0</v>
          </cell>
          <cell r="JP41" t="str">
            <v>-</v>
          </cell>
          <cell r="JQ41">
            <v>178</v>
          </cell>
          <cell r="JR41">
            <v>28</v>
          </cell>
          <cell r="JS41">
            <v>86.40776699029125</v>
          </cell>
          <cell r="JT41">
            <v>85</v>
          </cell>
          <cell r="JU41">
            <v>15</v>
          </cell>
          <cell r="JV41">
            <v>85</v>
          </cell>
          <cell r="JW41">
            <v>0</v>
          </cell>
          <cell r="JX41">
            <v>0</v>
          </cell>
          <cell r="JY41" t="str">
            <v>-</v>
          </cell>
          <cell r="JZ41">
            <v>56</v>
          </cell>
          <cell r="KA41">
            <v>16</v>
          </cell>
          <cell r="KB41">
            <v>77.777777777777786</v>
          </cell>
          <cell r="KC41">
            <v>8</v>
          </cell>
          <cell r="KD41">
            <v>0</v>
          </cell>
          <cell r="KE41">
            <v>100</v>
          </cell>
          <cell r="KF41">
            <v>166</v>
          </cell>
          <cell r="KG41">
            <v>32</v>
          </cell>
          <cell r="KH41">
            <v>83.838383838383834</v>
          </cell>
          <cell r="KI41">
            <v>14</v>
          </cell>
          <cell r="KJ41">
            <v>4</v>
          </cell>
          <cell r="KK41">
            <v>77.777777777777786</v>
          </cell>
          <cell r="KL41">
            <v>6</v>
          </cell>
          <cell r="KM41">
            <v>3</v>
          </cell>
          <cell r="KN41">
            <v>66.666666666666657</v>
          </cell>
        </row>
        <row r="42">
          <cell r="C42" t="str">
            <v>Kiskunhalasi Rendőrkapitányság</v>
          </cell>
          <cell r="D42">
            <v>66.6666259765625</v>
          </cell>
          <cell r="E42">
            <v>66.6666259765625</v>
          </cell>
          <cell r="F42" t="str">
            <v>-</v>
          </cell>
          <cell r="G42">
            <v>66.6666259765625</v>
          </cell>
          <cell r="H42">
            <v>66.6666259765625</v>
          </cell>
          <cell r="I42" t="str">
            <v>-</v>
          </cell>
          <cell r="J42">
            <v>66.6666259765625</v>
          </cell>
          <cell r="K42">
            <v>66.6666259765625</v>
          </cell>
          <cell r="L42" t="str">
            <v>-</v>
          </cell>
          <cell r="M42">
            <v>66.6666259765625</v>
          </cell>
          <cell r="N42">
            <v>66.6666259765625</v>
          </cell>
          <cell r="O42" t="str">
            <v>-</v>
          </cell>
          <cell r="P42">
            <v>66.6666259765625</v>
          </cell>
          <cell r="Q42">
            <v>66.6666259765625</v>
          </cell>
          <cell r="R42" t="str">
            <v>-</v>
          </cell>
          <cell r="S42">
            <v>66.6666259765625</v>
          </cell>
          <cell r="T42">
            <v>66.6666259765625</v>
          </cell>
          <cell r="U42" t="str">
            <v>-</v>
          </cell>
          <cell r="V42">
            <v>66.6666259765625</v>
          </cell>
          <cell r="W42">
            <v>66.6666259765625</v>
          </cell>
          <cell r="X42" t="str">
            <v>-</v>
          </cell>
          <cell r="Y42">
            <v>66.6666259765625</v>
          </cell>
          <cell r="Z42">
            <v>66.6666259765625</v>
          </cell>
          <cell r="AA42" t="str">
            <v>-</v>
          </cell>
          <cell r="AB42">
            <v>66.6666259765625</v>
          </cell>
          <cell r="AC42">
            <v>66.6666259765625</v>
          </cell>
          <cell r="AD42" t="str">
            <v>-</v>
          </cell>
          <cell r="AE42">
            <v>66.6666259765625</v>
          </cell>
          <cell r="AF42">
            <v>66.6666259765625</v>
          </cell>
          <cell r="AG42" t="str">
            <v>-</v>
          </cell>
          <cell r="AH42">
            <v>66.6666259765625</v>
          </cell>
          <cell r="AI42">
            <v>66.6666259765625</v>
          </cell>
          <cell r="AJ42" t="str">
            <v>-</v>
          </cell>
          <cell r="AK42">
            <v>66.6666259765625</v>
          </cell>
          <cell r="AL42">
            <v>66.6666259765625</v>
          </cell>
          <cell r="AM42" t="str">
            <v>-</v>
          </cell>
          <cell r="AN42">
            <v>66.6666259765625</v>
          </cell>
          <cell r="AO42">
            <v>66.6666259765625</v>
          </cell>
          <cell r="AP42" t="str">
            <v>-</v>
          </cell>
          <cell r="AQ42">
            <v>66.6666259765625</v>
          </cell>
          <cell r="AR42">
            <v>66.6666259765625</v>
          </cell>
          <cell r="AS42" t="str">
            <v>-</v>
          </cell>
          <cell r="AT42">
            <v>66.6666259765625</v>
          </cell>
          <cell r="AU42">
            <v>66.6666259765625</v>
          </cell>
          <cell r="AV42" t="str">
            <v>-</v>
          </cell>
          <cell r="AW42">
            <v>66.6666259765625</v>
          </cell>
          <cell r="AX42">
            <v>66.6666259765625</v>
          </cell>
          <cell r="AY42" t="str">
            <v>-</v>
          </cell>
          <cell r="AZ42">
            <v>66.6666259765625</v>
          </cell>
          <cell r="BA42">
            <v>66.6666259765625</v>
          </cell>
          <cell r="BB42" t="str">
            <v>-</v>
          </cell>
          <cell r="BC42">
            <v>66.6666259765625</v>
          </cell>
          <cell r="BD42">
            <v>66.6666259765625</v>
          </cell>
          <cell r="BE42" t="str">
            <v>-</v>
          </cell>
          <cell r="BF42">
            <v>66.6666259765625</v>
          </cell>
          <cell r="BG42">
            <v>66.6666259765625</v>
          </cell>
          <cell r="BH42" t="str">
            <v>-</v>
          </cell>
          <cell r="BI42">
            <v>66.6666259765625</v>
          </cell>
          <cell r="BJ42">
            <v>66.6666259765625</v>
          </cell>
          <cell r="BK42" t="str">
            <v>-</v>
          </cell>
          <cell r="BL42">
            <v>66.6666259765625</v>
          </cell>
          <cell r="BM42">
            <v>66.6666259765625</v>
          </cell>
          <cell r="BN42" t="str">
            <v>-</v>
          </cell>
          <cell r="BO42">
            <v>66.6666259765625</v>
          </cell>
          <cell r="BP42">
            <v>66.6666259765625</v>
          </cell>
          <cell r="BQ42" t="str">
            <v>-</v>
          </cell>
          <cell r="BR42">
            <v>66.6666259765625</v>
          </cell>
          <cell r="BS42">
            <v>66.6666259765625</v>
          </cell>
          <cell r="BT42" t="str">
            <v>-</v>
          </cell>
          <cell r="BU42">
            <v>66.6666259765625</v>
          </cell>
          <cell r="BV42">
            <v>66.6666259765625</v>
          </cell>
          <cell r="BW42" t="str">
            <v>-</v>
          </cell>
          <cell r="BX42">
            <v>62</v>
          </cell>
          <cell r="BY42">
            <v>7</v>
          </cell>
          <cell r="BZ42">
            <v>89.9</v>
          </cell>
          <cell r="CA42">
            <v>53</v>
          </cell>
          <cell r="CB42">
            <v>6</v>
          </cell>
          <cell r="CC42">
            <v>89.8</v>
          </cell>
          <cell r="CD42">
            <v>73</v>
          </cell>
          <cell r="CE42">
            <v>7</v>
          </cell>
          <cell r="CF42">
            <v>91.3</v>
          </cell>
          <cell r="CG42">
            <v>51</v>
          </cell>
          <cell r="CH42">
            <v>10</v>
          </cell>
          <cell r="CI42">
            <v>83.6</v>
          </cell>
          <cell r="CJ42">
            <v>72</v>
          </cell>
          <cell r="CK42">
            <v>5</v>
          </cell>
          <cell r="CL42">
            <v>93.5</v>
          </cell>
          <cell r="CM42">
            <v>48</v>
          </cell>
          <cell r="CN42">
            <v>8</v>
          </cell>
          <cell r="CO42">
            <v>85.7</v>
          </cell>
          <cell r="CP42">
            <v>59</v>
          </cell>
          <cell r="CQ42">
            <v>6</v>
          </cell>
          <cell r="CR42">
            <v>90.8</v>
          </cell>
          <cell r="CS42">
            <v>35</v>
          </cell>
          <cell r="CT42">
            <v>10</v>
          </cell>
          <cell r="CU42">
            <v>77.8</v>
          </cell>
          <cell r="CV42">
            <v>38</v>
          </cell>
          <cell r="CW42">
            <v>7</v>
          </cell>
          <cell r="CX42">
            <v>84.4</v>
          </cell>
          <cell r="CY42">
            <v>35</v>
          </cell>
          <cell r="CZ42">
            <v>3</v>
          </cell>
          <cell r="DA42">
            <v>92.1</v>
          </cell>
          <cell r="DB42">
            <v>42</v>
          </cell>
          <cell r="DC42">
            <v>6</v>
          </cell>
          <cell r="DD42">
            <v>87.5</v>
          </cell>
          <cell r="DE42">
            <v>31</v>
          </cell>
          <cell r="DF42">
            <v>9</v>
          </cell>
          <cell r="DG42">
            <v>77.5</v>
          </cell>
          <cell r="DH42">
            <v>31</v>
          </cell>
          <cell r="DI42">
            <v>4</v>
          </cell>
          <cell r="DJ42">
            <v>88.6</v>
          </cell>
          <cell r="DK42">
            <v>18</v>
          </cell>
          <cell r="DL42">
            <v>6</v>
          </cell>
          <cell r="DM42">
            <v>75</v>
          </cell>
          <cell r="DN42">
            <v>33</v>
          </cell>
          <cell r="DO42">
            <v>6</v>
          </cell>
          <cell r="DP42">
            <v>84.6</v>
          </cell>
          <cell r="DQ42">
            <v>19</v>
          </cell>
          <cell r="DR42">
            <v>10</v>
          </cell>
          <cell r="DS42">
            <v>65.5</v>
          </cell>
          <cell r="DT42">
            <v>65.5</v>
          </cell>
          <cell r="DU42">
            <v>65.5</v>
          </cell>
          <cell r="DV42" t="str">
            <v>-</v>
          </cell>
          <cell r="DW42">
            <v>65.5</v>
          </cell>
          <cell r="DX42">
            <v>65.5</v>
          </cell>
          <cell r="DY42" t="str">
            <v>-</v>
          </cell>
          <cell r="DZ42">
            <v>65.5</v>
          </cell>
          <cell r="EA42">
            <v>65.5</v>
          </cell>
          <cell r="EB42" t="str">
            <v>-</v>
          </cell>
          <cell r="EC42">
            <v>65.5</v>
          </cell>
          <cell r="ED42">
            <v>65.5</v>
          </cell>
          <cell r="EE42" t="str">
            <v>-</v>
          </cell>
          <cell r="EF42">
            <v>65.5</v>
          </cell>
          <cell r="EG42">
            <v>65.5</v>
          </cell>
          <cell r="EH42" t="str">
            <v>-</v>
          </cell>
          <cell r="EI42">
            <v>65.5</v>
          </cell>
          <cell r="EJ42">
            <v>65.5</v>
          </cell>
          <cell r="EK42" t="str">
            <v>-</v>
          </cell>
          <cell r="EL42">
            <v>65.5</v>
          </cell>
          <cell r="EM42">
            <v>65.5</v>
          </cell>
          <cell r="EN42" t="str">
            <v>-</v>
          </cell>
          <cell r="EO42">
            <v>65.5</v>
          </cell>
          <cell r="EP42">
            <v>65.5</v>
          </cell>
          <cell r="EQ42" t="str">
            <v>-</v>
          </cell>
          <cell r="ER42">
            <v>7</v>
          </cell>
          <cell r="ES42">
            <v>2</v>
          </cell>
          <cell r="ET42">
            <v>77.8</v>
          </cell>
          <cell r="EU42">
            <v>30</v>
          </cell>
          <cell r="EV42">
            <v>30</v>
          </cell>
          <cell r="EW42">
            <v>100</v>
          </cell>
          <cell r="EX42">
            <v>28</v>
          </cell>
          <cell r="EY42">
            <v>1</v>
          </cell>
          <cell r="EZ42">
            <v>96.6</v>
          </cell>
          <cell r="FA42">
            <v>55</v>
          </cell>
          <cell r="FB42">
            <v>5</v>
          </cell>
          <cell r="FC42">
            <v>91.7</v>
          </cell>
          <cell r="FD42">
            <v>23</v>
          </cell>
          <cell r="FE42">
            <v>5</v>
          </cell>
          <cell r="FF42">
            <v>82.1</v>
          </cell>
          <cell r="FG42">
            <v>15</v>
          </cell>
          <cell r="FH42">
            <v>14</v>
          </cell>
          <cell r="FI42">
            <v>51.7</v>
          </cell>
          <cell r="FJ42">
            <v>27</v>
          </cell>
          <cell r="FK42">
            <v>4</v>
          </cell>
          <cell r="FL42">
            <v>87.1</v>
          </cell>
          <cell r="FM42">
            <v>16</v>
          </cell>
          <cell r="FN42">
            <v>3</v>
          </cell>
          <cell r="FO42">
            <v>84.2</v>
          </cell>
          <cell r="FP42">
            <v>84.199951171875</v>
          </cell>
          <cell r="FQ42">
            <v>84.199951171875</v>
          </cell>
          <cell r="FR42" t="str">
            <v>-</v>
          </cell>
          <cell r="FS42">
            <v>84.199951171875</v>
          </cell>
          <cell r="FT42">
            <v>84.199951171875</v>
          </cell>
          <cell r="FU42" t="str">
            <v>-</v>
          </cell>
          <cell r="FV42">
            <v>84.199951171875</v>
          </cell>
          <cell r="FW42">
            <v>84.199951171875</v>
          </cell>
          <cell r="FX42" t="str">
            <v>-</v>
          </cell>
          <cell r="FY42">
            <v>84.199951171875</v>
          </cell>
          <cell r="FZ42">
            <v>84.199951171875</v>
          </cell>
          <cell r="GA42" t="str">
            <v>-</v>
          </cell>
          <cell r="GB42">
            <v>84.199951171875</v>
          </cell>
          <cell r="GC42">
            <v>84.199951171875</v>
          </cell>
          <cell r="GD42" t="str">
            <v>-</v>
          </cell>
          <cell r="GE42">
            <v>84.199951171875</v>
          </cell>
          <cell r="GF42">
            <v>84.199951171875</v>
          </cell>
          <cell r="GG42" t="str">
            <v>-</v>
          </cell>
          <cell r="GH42">
            <v>84.199951171875</v>
          </cell>
          <cell r="GI42">
            <v>84.199951171875</v>
          </cell>
          <cell r="GJ42" t="str">
            <v>-</v>
          </cell>
          <cell r="GK42">
            <v>84.199951171875</v>
          </cell>
          <cell r="GL42">
            <v>84.199951171875</v>
          </cell>
          <cell r="GM42" t="str">
            <v>-</v>
          </cell>
          <cell r="GN42">
            <v>43</v>
          </cell>
          <cell r="GO42">
            <v>2</v>
          </cell>
          <cell r="GP42">
            <v>95.6</v>
          </cell>
          <cell r="GQ42">
            <v>29</v>
          </cell>
          <cell r="GR42">
            <v>1</v>
          </cell>
          <cell r="GS42">
            <v>96.7</v>
          </cell>
          <cell r="GT42">
            <v>57</v>
          </cell>
          <cell r="GU42">
            <v>5</v>
          </cell>
          <cell r="GV42">
            <v>91.9</v>
          </cell>
          <cell r="GW42">
            <v>47</v>
          </cell>
          <cell r="GX42">
            <v>5</v>
          </cell>
          <cell r="GY42">
            <v>90.4</v>
          </cell>
          <cell r="GZ42">
            <v>78</v>
          </cell>
          <cell r="HA42">
            <v>4</v>
          </cell>
          <cell r="HB42">
            <v>95.1</v>
          </cell>
          <cell r="HC42">
            <v>55</v>
          </cell>
          <cell r="HD42">
            <v>7</v>
          </cell>
          <cell r="HE42">
            <v>88.7</v>
          </cell>
          <cell r="HF42">
            <v>54</v>
          </cell>
          <cell r="HG42">
            <v>6</v>
          </cell>
          <cell r="HH42">
            <v>90</v>
          </cell>
          <cell r="HI42">
            <v>39</v>
          </cell>
          <cell r="HJ42">
            <v>8</v>
          </cell>
          <cell r="HK42">
            <v>83</v>
          </cell>
          <cell r="HL42">
            <v>4</v>
          </cell>
          <cell r="HM42">
            <v>4</v>
          </cell>
          <cell r="HN42">
            <v>100</v>
          </cell>
          <cell r="HO42">
            <v>3</v>
          </cell>
          <cell r="HP42">
            <v>4</v>
          </cell>
          <cell r="HQ42">
            <v>42.9</v>
          </cell>
          <cell r="HR42">
            <v>5</v>
          </cell>
          <cell r="HS42">
            <v>5</v>
          </cell>
          <cell r="HT42">
            <v>100</v>
          </cell>
          <cell r="HU42">
            <v>4</v>
          </cell>
          <cell r="HV42">
            <v>1</v>
          </cell>
          <cell r="HW42">
            <v>80</v>
          </cell>
          <cell r="HX42">
            <v>6</v>
          </cell>
          <cell r="HY42">
            <v>2</v>
          </cell>
          <cell r="HZ42">
            <v>75</v>
          </cell>
          <cell r="IA42">
            <v>7</v>
          </cell>
          <cell r="IB42">
            <v>7</v>
          </cell>
          <cell r="IC42">
            <v>100</v>
          </cell>
          <cell r="ID42">
            <v>2</v>
          </cell>
          <cell r="IE42">
            <v>2</v>
          </cell>
          <cell r="IF42">
            <v>50</v>
          </cell>
          <cell r="IG42">
            <v>4</v>
          </cell>
          <cell r="IH42">
            <v>3</v>
          </cell>
          <cell r="II42">
            <v>57.1</v>
          </cell>
          <cell r="IJ42">
            <v>4</v>
          </cell>
          <cell r="IK42">
            <v>4</v>
          </cell>
          <cell r="IL42">
            <v>100</v>
          </cell>
          <cell r="IM42">
            <v>3</v>
          </cell>
          <cell r="IN42">
            <v>1</v>
          </cell>
          <cell r="IO42">
            <v>75</v>
          </cell>
          <cell r="IP42">
            <v>75</v>
          </cell>
          <cell r="IQ42">
            <v>1</v>
          </cell>
          <cell r="IR42">
            <v>0</v>
          </cell>
          <cell r="IS42">
            <v>3</v>
          </cell>
          <cell r="IT42">
            <v>1</v>
          </cell>
          <cell r="IU42">
            <v>75</v>
          </cell>
          <cell r="IV42">
            <v>75</v>
          </cell>
          <cell r="IW42">
            <v>1</v>
          </cell>
          <cell r="IX42">
            <v>0</v>
          </cell>
          <cell r="IY42">
            <v>1</v>
          </cell>
          <cell r="IZ42">
            <v>1</v>
          </cell>
          <cell r="JA42">
            <v>50</v>
          </cell>
          <cell r="JB42">
            <v>2</v>
          </cell>
          <cell r="JC42">
            <v>4</v>
          </cell>
          <cell r="JD42">
            <v>33.299999999999997</v>
          </cell>
          <cell r="JE42">
            <v>3</v>
          </cell>
          <cell r="JF42">
            <v>1</v>
          </cell>
          <cell r="JG42">
            <v>75</v>
          </cell>
          <cell r="JH42">
            <v>0</v>
          </cell>
          <cell r="JI42">
            <v>0</v>
          </cell>
          <cell r="JJ42" t="str">
            <v>-</v>
          </cell>
          <cell r="JK42">
            <v>0</v>
          </cell>
          <cell r="JL42">
            <v>0</v>
          </cell>
          <cell r="JM42" t="str">
            <v>-</v>
          </cell>
          <cell r="JN42">
            <v>0</v>
          </cell>
          <cell r="JO42">
            <v>0</v>
          </cell>
          <cell r="JP42" t="str">
            <v>-</v>
          </cell>
          <cell r="JQ42">
            <v>265</v>
          </cell>
          <cell r="JR42">
            <v>39</v>
          </cell>
          <cell r="JS42">
            <v>87.171052631578945</v>
          </cell>
          <cell r="JT42">
            <v>132</v>
          </cell>
          <cell r="JU42">
            <v>35</v>
          </cell>
          <cell r="JV42">
            <v>79.041916167664667</v>
          </cell>
          <cell r="JW42">
            <v>0</v>
          </cell>
          <cell r="JX42">
            <v>0</v>
          </cell>
          <cell r="JY42" t="str">
            <v>-</v>
          </cell>
          <cell r="JZ42">
            <v>136</v>
          </cell>
          <cell r="KA42">
            <v>31</v>
          </cell>
          <cell r="KB42">
            <v>81.437125748502993</v>
          </cell>
          <cell r="KC42">
            <v>0</v>
          </cell>
          <cell r="KD42">
            <v>0</v>
          </cell>
          <cell r="KE42" t="str">
            <v>-</v>
          </cell>
          <cell r="KF42">
            <v>273</v>
          </cell>
          <cell r="KG42">
            <v>30</v>
          </cell>
          <cell r="KH42">
            <v>90.099009900990097</v>
          </cell>
          <cell r="KI42">
            <v>23</v>
          </cell>
          <cell r="KJ42">
            <v>8</v>
          </cell>
          <cell r="KK42">
            <v>74.193548387096769</v>
          </cell>
          <cell r="KL42">
            <v>9</v>
          </cell>
          <cell r="KM42">
            <v>8</v>
          </cell>
          <cell r="KN42">
            <v>52.941176470588239</v>
          </cell>
        </row>
        <row r="43">
          <cell r="C43" t="str">
            <v>Kunszentmiklósi Rendőrkapitányság</v>
          </cell>
          <cell r="D43">
            <v>52.941162109375</v>
          </cell>
          <cell r="E43">
            <v>52.941162109375</v>
          </cell>
          <cell r="F43" t="str">
            <v>-</v>
          </cell>
          <cell r="G43">
            <v>52.941162109375</v>
          </cell>
          <cell r="H43">
            <v>52.941162109375</v>
          </cell>
          <cell r="I43" t="str">
            <v>-</v>
          </cell>
          <cell r="J43">
            <v>52.941162109375</v>
          </cell>
          <cell r="K43">
            <v>52.941162109375</v>
          </cell>
          <cell r="L43" t="str">
            <v>-</v>
          </cell>
          <cell r="M43">
            <v>52.941162109375</v>
          </cell>
          <cell r="N43">
            <v>52.941162109375</v>
          </cell>
          <cell r="O43" t="str">
            <v>-</v>
          </cell>
          <cell r="P43">
            <v>52.941162109375</v>
          </cell>
          <cell r="Q43">
            <v>52.941162109375</v>
          </cell>
          <cell r="R43" t="str">
            <v>-</v>
          </cell>
          <cell r="S43">
            <v>52.941162109375</v>
          </cell>
          <cell r="T43">
            <v>52.941162109375</v>
          </cell>
          <cell r="U43" t="str">
            <v>-</v>
          </cell>
          <cell r="V43">
            <v>52.941162109375</v>
          </cell>
          <cell r="W43">
            <v>52.941162109375</v>
          </cell>
          <cell r="X43" t="str">
            <v>-</v>
          </cell>
          <cell r="Y43">
            <v>52.941162109375</v>
          </cell>
          <cell r="Z43">
            <v>52.941162109375</v>
          </cell>
          <cell r="AA43" t="str">
            <v>-</v>
          </cell>
          <cell r="AB43">
            <v>52.941162109375</v>
          </cell>
          <cell r="AC43">
            <v>52.941162109375</v>
          </cell>
          <cell r="AD43" t="str">
            <v>-</v>
          </cell>
          <cell r="AE43">
            <v>52.941162109375</v>
          </cell>
          <cell r="AF43">
            <v>52.941162109375</v>
          </cell>
          <cell r="AG43" t="str">
            <v>-</v>
          </cell>
          <cell r="AH43">
            <v>52.941162109375</v>
          </cell>
          <cell r="AI43">
            <v>52.941162109375</v>
          </cell>
          <cell r="AJ43" t="str">
            <v>-</v>
          </cell>
          <cell r="AK43">
            <v>52.941162109375</v>
          </cell>
          <cell r="AL43">
            <v>52.941162109375</v>
          </cell>
          <cell r="AM43" t="str">
            <v>-</v>
          </cell>
          <cell r="AN43">
            <v>52.941162109375</v>
          </cell>
          <cell r="AO43">
            <v>52.941162109375</v>
          </cell>
          <cell r="AP43" t="str">
            <v>-</v>
          </cell>
          <cell r="AQ43">
            <v>52.941162109375</v>
          </cell>
          <cell r="AR43">
            <v>52.941162109375</v>
          </cell>
          <cell r="AS43" t="str">
            <v>-</v>
          </cell>
          <cell r="AT43">
            <v>52.941162109375</v>
          </cell>
          <cell r="AU43">
            <v>52.941162109375</v>
          </cell>
          <cell r="AV43" t="str">
            <v>-</v>
          </cell>
          <cell r="AW43">
            <v>52.941162109375</v>
          </cell>
          <cell r="AX43">
            <v>52.941162109375</v>
          </cell>
          <cell r="AY43" t="str">
            <v>-</v>
          </cell>
          <cell r="AZ43">
            <v>52.941162109375</v>
          </cell>
          <cell r="BA43">
            <v>52.941162109375</v>
          </cell>
          <cell r="BB43" t="str">
            <v>-</v>
          </cell>
          <cell r="BC43">
            <v>52.941162109375</v>
          </cell>
          <cell r="BD43">
            <v>52.941162109375</v>
          </cell>
          <cell r="BE43" t="str">
            <v>-</v>
          </cell>
          <cell r="BF43">
            <v>52.941162109375</v>
          </cell>
          <cell r="BG43">
            <v>52.941162109375</v>
          </cell>
          <cell r="BH43" t="str">
            <v>-</v>
          </cell>
          <cell r="BI43">
            <v>52.941162109375</v>
          </cell>
          <cell r="BJ43">
            <v>52.941162109375</v>
          </cell>
          <cell r="BK43" t="str">
            <v>-</v>
          </cell>
          <cell r="BL43">
            <v>52.941162109375</v>
          </cell>
          <cell r="BM43">
            <v>52.941162109375</v>
          </cell>
          <cell r="BN43" t="str">
            <v>-</v>
          </cell>
          <cell r="BO43">
            <v>52.941162109375</v>
          </cell>
          <cell r="BP43">
            <v>52.941162109375</v>
          </cell>
          <cell r="BQ43" t="str">
            <v>-</v>
          </cell>
          <cell r="BR43">
            <v>52.941162109375</v>
          </cell>
          <cell r="BS43">
            <v>52.941162109375</v>
          </cell>
          <cell r="BT43" t="str">
            <v>-</v>
          </cell>
          <cell r="BU43">
            <v>52.941162109375</v>
          </cell>
          <cell r="BV43">
            <v>52.941162109375</v>
          </cell>
          <cell r="BW43" t="str">
            <v>-</v>
          </cell>
          <cell r="BX43">
            <v>30</v>
          </cell>
          <cell r="BY43">
            <v>5</v>
          </cell>
          <cell r="BZ43">
            <v>85.7</v>
          </cell>
          <cell r="CA43">
            <v>26</v>
          </cell>
          <cell r="CB43">
            <v>8</v>
          </cell>
          <cell r="CC43">
            <v>76.5</v>
          </cell>
          <cell r="CD43">
            <v>41</v>
          </cell>
          <cell r="CE43">
            <v>3</v>
          </cell>
          <cell r="CF43">
            <v>93.2</v>
          </cell>
          <cell r="CG43">
            <v>41</v>
          </cell>
          <cell r="CH43">
            <v>4</v>
          </cell>
          <cell r="CI43">
            <v>91.1</v>
          </cell>
          <cell r="CJ43">
            <v>54</v>
          </cell>
          <cell r="CK43">
            <v>4</v>
          </cell>
          <cell r="CL43">
            <v>93.1</v>
          </cell>
          <cell r="CM43">
            <v>30</v>
          </cell>
          <cell r="CN43">
            <v>5</v>
          </cell>
          <cell r="CO43">
            <v>85.7</v>
          </cell>
          <cell r="CP43">
            <v>52</v>
          </cell>
          <cell r="CQ43">
            <v>4</v>
          </cell>
          <cell r="CR43">
            <v>92.9</v>
          </cell>
          <cell r="CS43">
            <v>30</v>
          </cell>
          <cell r="CT43">
            <v>7</v>
          </cell>
          <cell r="CU43">
            <v>81.099999999999994</v>
          </cell>
          <cell r="CV43">
            <v>5</v>
          </cell>
          <cell r="CW43">
            <v>3</v>
          </cell>
          <cell r="CX43">
            <v>62.5</v>
          </cell>
          <cell r="CY43">
            <v>9</v>
          </cell>
          <cell r="CZ43">
            <v>4</v>
          </cell>
          <cell r="DA43">
            <v>69.2</v>
          </cell>
          <cell r="DB43">
            <v>17</v>
          </cell>
          <cell r="DC43">
            <v>2</v>
          </cell>
          <cell r="DD43">
            <v>89.5</v>
          </cell>
          <cell r="DE43">
            <v>9</v>
          </cell>
          <cell r="DF43">
            <v>3</v>
          </cell>
          <cell r="DG43">
            <v>75</v>
          </cell>
          <cell r="DH43">
            <v>7</v>
          </cell>
          <cell r="DI43">
            <v>4</v>
          </cell>
          <cell r="DJ43">
            <v>63.6</v>
          </cell>
          <cell r="DK43">
            <v>5</v>
          </cell>
          <cell r="DL43">
            <v>2</v>
          </cell>
          <cell r="DM43">
            <v>71.400000000000006</v>
          </cell>
          <cell r="DN43">
            <v>6</v>
          </cell>
          <cell r="DO43">
            <v>2</v>
          </cell>
          <cell r="DP43">
            <v>75</v>
          </cell>
          <cell r="DQ43">
            <v>10</v>
          </cell>
          <cell r="DR43">
            <v>6</v>
          </cell>
          <cell r="DS43">
            <v>62.5</v>
          </cell>
          <cell r="DT43">
            <v>62.5</v>
          </cell>
          <cell r="DU43">
            <v>62.5</v>
          </cell>
          <cell r="DV43" t="str">
            <v>-</v>
          </cell>
          <cell r="DW43">
            <v>62.5</v>
          </cell>
          <cell r="DX43">
            <v>62.5</v>
          </cell>
          <cell r="DY43" t="str">
            <v>-</v>
          </cell>
          <cell r="DZ43">
            <v>62.5</v>
          </cell>
          <cell r="EA43">
            <v>62.5</v>
          </cell>
          <cell r="EB43" t="str">
            <v>-</v>
          </cell>
          <cell r="EC43">
            <v>62.5</v>
          </cell>
          <cell r="ED43">
            <v>62.5</v>
          </cell>
          <cell r="EE43" t="str">
            <v>-</v>
          </cell>
          <cell r="EF43">
            <v>62.5</v>
          </cell>
          <cell r="EG43">
            <v>62.5</v>
          </cell>
          <cell r="EH43" t="str">
            <v>-</v>
          </cell>
          <cell r="EI43">
            <v>62.5</v>
          </cell>
          <cell r="EJ43">
            <v>62.5</v>
          </cell>
          <cell r="EK43" t="str">
            <v>-</v>
          </cell>
          <cell r="EL43">
            <v>62.5</v>
          </cell>
          <cell r="EM43">
            <v>62.5</v>
          </cell>
          <cell r="EN43" t="str">
            <v>-</v>
          </cell>
          <cell r="EO43">
            <v>62.5</v>
          </cell>
          <cell r="EP43">
            <v>62.5</v>
          </cell>
          <cell r="EQ43" t="str">
            <v>-</v>
          </cell>
          <cell r="ER43">
            <v>11</v>
          </cell>
          <cell r="ES43">
            <v>11</v>
          </cell>
          <cell r="ET43">
            <v>100</v>
          </cell>
          <cell r="EU43">
            <v>100</v>
          </cell>
          <cell r="EV43">
            <v>100</v>
          </cell>
          <cell r="EW43" t="str">
            <v>-</v>
          </cell>
          <cell r="EX43">
            <v>7</v>
          </cell>
          <cell r="EY43">
            <v>7</v>
          </cell>
          <cell r="EZ43">
            <v>50</v>
          </cell>
          <cell r="FA43">
            <v>3</v>
          </cell>
          <cell r="FB43">
            <v>2</v>
          </cell>
          <cell r="FC43">
            <v>60</v>
          </cell>
          <cell r="FD43">
            <v>4</v>
          </cell>
          <cell r="FE43">
            <v>4</v>
          </cell>
          <cell r="FF43">
            <v>100</v>
          </cell>
          <cell r="FG43">
            <v>7</v>
          </cell>
          <cell r="FH43">
            <v>5</v>
          </cell>
          <cell r="FI43">
            <v>58.3</v>
          </cell>
          <cell r="FJ43">
            <v>16</v>
          </cell>
          <cell r="FK43">
            <v>3</v>
          </cell>
          <cell r="FL43">
            <v>84.2</v>
          </cell>
          <cell r="FM43">
            <v>8</v>
          </cell>
          <cell r="FN43">
            <v>8</v>
          </cell>
          <cell r="FO43">
            <v>100</v>
          </cell>
          <cell r="FP43">
            <v>100</v>
          </cell>
          <cell r="FQ43">
            <v>100</v>
          </cell>
          <cell r="FR43" t="str">
            <v>-</v>
          </cell>
          <cell r="FS43">
            <v>100</v>
          </cell>
          <cell r="FT43">
            <v>100</v>
          </cell>
          <cell r="FU43" t="str">
            <v>-</v>
          </cell>
          <cell r="FV43">
            <v>100</v>
          </cell>
          <cell r="FW43">
            <v>100</v>
          </cell>
          <cell r="FX43" t="str">
            <v>-</v>
          </cell>
          <cell r="FY43">
            <v>100</v>
          </cell>
          <cell r="FZ43">
            <v>100</v>
          </cell>
          <cell r="GA43" t="str">
            <v>-</v>
          </cell>
          <cell r="GB43">
            <v>100</v>
          </cell>
          <cell r="GC43">
            <v>100</v>
          </cell>
          <cell r="GD43" t="str">
            <v>-</v>
          </cell>
          <cell r="GE43">
            <v>2</v>
          </cell>
          <cell r="GF43">
            <v>2</v>
          </cell>
          <cell r="GG43">
            <v>100</v>
          </cell>
          <cell r="GH43">
            <v>5</v>
          </cell>
          <cell r="GI43">
            <v>5</v>
          </cell>
          <cell r="GJ43">
            <v>100</v>
          </cell>
          <cell r="GK43">
            <v>100</v>
          </cell>
          <cell r="GL43">
            <v>100</v>
          </cell>
          <cell r="GM43" t="str">
            <v>-</v>
          </cell>
          <cell r="GN43">
            <v>41</v>
          </cell>
          <cell r="GO43">
            <v>2</v>
          </cell>
          <cell r="GP43">
            <v>95.3</v>
          </cell>
          <cell r="GQ43">
            <v>30</v>
          </cell>
          <cell r="GR43">
            <v>5</v>
          </cell>
          <cell r="GS43">
            <v>85.7</v>
          </cell>
          <cell r="GT43">
            <v>39</v>
          </cell>
          <cell r="GU43">
            <v>3</v>
          </cell>
          <cell r="GV43">
            <v>92.9</v>
          </cell>
          <cell r="GW43">
            <v>36</v>
          </cell>
          <cell r="GX43">
            <v>6</v>
          </cell>
          <cell r="GY43">
            <v>85.7</v>
          </cell>
          <cell r="GZ43">
            <v>39</v>
          </cell>
          <cell r="HA43">
            <v>6</v>
          </cell>
          <cell r="HB43">
            <v>86.7</v>
          </cell>
          <cell r="HC43">
            <v>41</v>
          </cell>
          <cell r="HD43">
            <v>7</v>
          </cell>
          <cell r="HE43">
            <v>85.4</v>
          </cell>
          <cell r="HF43">
            <v>56</v>
          </cell>
          <cell r="HG43">
            <v>7</v>
          </cell>
          <cell r="HH43">
            <v>88.9</v>
          </cell>
          <cell r="HI43">
            <v>28</v>
          </cell>
          <cell r="HJ43">
            <v>2</v>
          </cell>
          <cell r="HK43">
            <v>93.3</v>
          </cell>
          <cell r="HL43">
            <v>1</v>
          </cell>
          <cell r="HM43">
            <v>1</v>
          </cell>
          <cell r="HN43">
            <v>50</v>
          </cell>
          <cell r="HO43">
            <v>1</v>
          </cell>
          <cell r="HP43">
            <v>2</v>
          </cell>
          <cell r="HQ43">
            <v>33.299999999999997</v>
          </cell>
          <cell r="HR43">
            <v>2</v>
          </cell>
          <cell r="HS43">
            <v>3</v>
          </cell>
          <cell r="HT43">
            <v>40</v>
          </cell>
          <cell r="HU43">
            <v>1</v>
          </cell>
          <cell r="HV43">
            <v>1</v>
          </cell>
          <cell r="HW43">
            <v>100</v>
          </cell>
          <cell r="HX43">
            <v>100</v>
          </cell>
          <cell r="HY43">
            <v>1</v>
          </cell>
          <cell r="HZ43">
            <v>0</v>
          </cell>
          <cell r="IA43">
            <v>1</v>
          </cell>
          <cell r="IB43">
            <v>1</v>
          </cell>
          <cell r="IC43">
            <v>50</v>
          </cell>
          <cell r="ID43">
            <v>6</v>
          </cell>
          <cell r="IE43">
            <v>6</v>
          </cell>
          <cell r="IF43">
            <v>100</v>
          </cell>
          <cell r="IG43">
            <v>100</v>
          </cell>
          <cell r="IH43">
            <v>100</v>
          </cell>
          <cell r="II43" t="str">
            <v>-</v>
          </cell>
          <cell r="IJ43">
            <v>2</v>
          </cell>
          <cell r="IK43">
            <v>2</v>
          </cell>
          <cell r="IL43">
            <v>100</v>
          </cell>
          <cell r="IM43">
            <v>100</v>
          </cell>
          <cell r="IN43">
            <v>100</v>
          </cell>
          <cell r="IO43" t="str">
            <v>-</v>
          </cell>
          <cell r="IP43">
            <v>4</v>
          </cell>
          <cell r="IQ43">
            <v>4</v>
          </cell>
          <cell r="IR43">
            <v>100</v>
          </cell>
          <cell r="IS43">
            <v>100</v>
          </cell>
          <cell r="IT43">
            <v>100</v>
          </cell>
          <cell r="IU43" t="str">
            <v>-</v>
          </cell>
          <cell r="IV43">
            <v>100</v>
          </cell>
          <cell r="IW43">
            <v>100</v>
          </cell>
          <cell r="IX43" t="str">
            <v>-</v>
          </cell>
          <cell r="IY43">
            <v>100</v>
          </cell>
          <cell r="IZ43">
            <v>100</v>
          </cell>
          <cell r="JA43" t="str">
            <v>-</v>
          </cell>
          <cell r="JB43">
            <v>3</v>
          </cell>
          <cell r="JC43">
            <v>3</v>
          </cell>
          <cell r="JD43">
            <v>100</v>
          </cell>
          <cell r="JE43">
            <v>100</v>
          </cell>
          <cell r="JF43">
            <v>100</v>
          </cell>
          <cell r="JG43" t="str">
            <v>-</v>
          </cell>
          <cell r="JH43">
            <v>0</v>
          </cell>
          <cell r="JI43">
            <v>0</v>
          </cell>
          <cell r="JJ43" t="str">
            <v>-</v>
          </cell>
          <cell r="JK43">
            <v>0</v>
          </cell>
          <cell r="JL43">
            <v>0</v>
          </cell>
          <cell r="JM43" t="str">
            <v>-</v>
          </cell>
          <cell r="JN43">
            <v>0</v>
          </cell>
          <cell r="JO43">
            <v>0</v>
          </cell>
          <cell r="JP43" t="str">
            <v>-</v>
          </cell>
          <cell r="JQ43">
            <v>207</v>
          </cell>
          <cell r="JR43">
            <v>24</v>
          </cell>
          <cell r="JS43">
            <v>89.610389610389603</v>
          </cell>
          <cell r="JT43">
            <v>37</v>
          </cell>
          <cell r="JU43">
            <v>17</v>
          </cell>
          <cell r="JV43">
            <v>68.518518518518519</v>
          </cell>
          <cell r="JW43">
            <v>0</v>
          </cell>
          <cell r="JX43">
            <v>0</v>
          </cell>
          <cell r="JY43" t="str">
            <v>-</v>
          </cell>
          <cell r="JZ43">
            <v>38</v>
          </cell>
          <cell r="KA43">
            <v>10</v>
          </cell>
          <cell r="KB43">
            <v>79.166666666666657</v>
          </cell>
          <cell r="KC43">
            <v>7</v>
          </cell>
          <cell r="KD43">
            <v>0</v>
          </cell>
          <cell r="KE43">
            <v>100</v>
          </cell>
          <cell r="KF43">
            <v>200</v>
          </cell>
          <cell r="KG43">
            <v>28</v>
          </cell>
          <cell r="KH43">
            <v>87.719298245614027</v>
          </cell>
          <cell r="KI43">
            <v>8</v>
          </cell>
          <cell r="KJ43">
            <v>2</v>
          </cell>
          <cell r="KK43">
            <v>80</v>
          </cell>
          <cell r="KL43">
            <v>3</v>
          </cell>
          <cell r="KM43">
            <v>0</v>
          </cell>
          <cell r="KN43">
            <v>100</v>
          </cell>
        </row>
        <row r="44">
          <cell r="C44" t="str">
            <v>Bács-Kiskun Megyei Rendőr-főkapitányság</v>
          </cell>
          <cell r="D44">
            <v>16</v>
          </cell>
          <cell r="E44">
            <v>1</v>
          </cell>
          <cell r="F44">
            <v>94.1</v>
          </cell>
          <cell r="G44">
            <v>12</v>
          </cell>
          <cell r="H44">
            <v>1</v>
          </cell>
          <cell r="I44">
            <v>92.3</v>
          </cell>
          <cell r="J44">
            <v>13</v>
          </cell>
          <cell r="K44">
            <v>3</v>
          </cell>
          <cell r="L44">
            <v>81.3</v>
          </cell>
          <cell r="M44">
            <v>12</v>
          </cell>
          <cell r="N44">
            <v>12</v>
          </cell>
          <cell r="O44">
            <v>100</v>
          </cell>
          <cell r="P44">
            <v>12</v>
          </cell>
          <cell r="Q44">
            <v>2</v>
          </cell>
          <cell r="R44">
            <v>85.7</v>
          </cell>
          <cell r="S44">
            <v>10</v>
          </cell>
          <cell r="T44">
            <v>1</v>
          </cell>
          <cell r="U44">
            <v>90.9</v>
          </cell>
          <cell r="V44">
            <v>10</v>
          </cell>
          <cell r="W44">
            <v>1</v>
          </cell>
          <cell r="X44">
            <v>90.9</v>
          </cell>
          <cell r="Y44">
            <v>12</v>
          </cell>
          <cell r="Z44">
            <v>1</v>
          </cell>
          <cell r="AA44">
            <v>92.3</v>
          </cell>
          <cell r="AB44">
            <v>11</v>
          </cell>
          <cell r="AC44">
            <v>1</v>
          </cell>
          <cell r="AD44">
            <v>91.7</v>
          </cell>
          <cell r="AE44">
            <v>1</v>
          </cell>
          <cell r="AF44">
            <v>1</v>
          </cell>
          <cell r="AG44">
            <v>100</v>
          </cell>
          <cell r="AH44">
            <v>5</v>
          </cell>
          <cell r="AI44">
            <v>1</v>
          </cell>
          <cell r="AJ44">
            <v>83.3</v>
          </cell>
          <cell r="AK44">
            <v>8</v>
          </cell>
          <cell r="AL44">
            <v>8</v>
          </cell>
          <cell r="AM44">
            <v>100</v>
          </cell>
          <cell r="AN44">
            <v>6</v>
          </cell>
          <cell r="AO44">
            <v>2</v>
          </cell>
          <cell r="AP44">
            <v>75</v>
          </cell>
          <cell r="AQ44">
            <v>6</v>
          </cell>
          <cell r="AR44">
            <v>6</v>
          </cell>
          <cell r="AS44">
            <v>100</v>
          </cell>
          <cell r="AT44">
            <v>6</v>
          </cell>
          <cell r="AU44">
            <v>6</v>
          </cell>
          <cell r="AV44">
            <v>100</v>
          </cell>
          <cell r="AW44">
            <v>9</v>
          </cell>
          <cell r="AX44">
            <v>1</v>
          </cell>
          <cell r="AY44">
            <v>90</v>
          </cell>
          <cell r="AZ44">
            <v>5</v>
          </cell>
          <cell r="BA44">
            <v>5</v>
          </cell>
          <cell r="BB44">
            <v>100</v>
          </cell>
          <cell r="BC44">
            <v>10</v>
          </cell>
          <cell r="BD44">
            <v>10</v>
          </cell>
          <cell r="BE44">
            <v>100</v>
          </cell>
          <cell r="BF44">
            <v>7</v>
          </cell>
          <cell r="BG44">
            <v>1</v>
          </cell>
          <cell r="BH44">
            <v>87.5</v>
          </cell>
          <cell r="BI44">
            <v>4</v>
          </cell>
          <cell r="BJ44">
            <v>4</v>
          </cell>
          <cell r="BK44">
            <v>100</v>
          </cell>
          <cell r="BL44">
            <v>4</v>
          </cell>
          <cell r="BM44">
            <v>4</v>
          </cell>
          <cell r="BN44">
            <v>100</v>
          </cell>
          <cell r="BO44">
            <v>4</v>
          </cell>
          <cell r="BP44">
            <v>1</v>
          </cell>
          <cell r="BQ44">
            <v>80</v>
          </cell>
          <cell r="BR44">
            <v>3</v>
          </cell>
          <cell r="BS44">
            <v>3</v>
          </cell>
          <cell r="BT44">
            <v>100</v>
          </cell>
          <cell r="BU44">
            <v>3</v>
          </cell>
          <cell r="BV44">
            <v>3</v>
          </cell>
          <cell r="BW44">
            <v>100</v>
          </cell>
          <cell r="BX44">
            <v>556</v>
          </cell>
          <cell r="BY44">
            <v>121</v>
          </cell>
          <cell r="BZ44">
            <v>82.1</v>
          </cell>
          <cell r="CA44">
            <v>537</v>
          </cell>
          <cell r="CB44">
            <v>94</v>
          </cell>
          <cell r="CC44">
            <v>85.1</v>
          </cell>
          <cell r="CD44">
            <v>583</v>
          </cell>
          <cell r="CE44">
            <v>96</v>
          </cell>
          <cell r="CF44">
            <v>85.9</v>
          </cell>
          <cell r="CG44">
            <v>584</v>
          </cell>
          <cell r="CH44">
            <v>90</v>
          </cell>
          <cell r="CI44">
            <v>86.6</v>
          </cell>
          <cell r="CJ44">
            <v>571</v>
          </cell>
          <cell r="CK44">
            <v>87</v>
          </cell>
          <cell r="CL44">
            <v>86.8</v>
          </cell>
          <cell r="CM44">
            <v>497</v>
          </cell>
          <cell r="CN44">
            <v>98</v>
          </cell>
          <cell r="CO44">
            <v>83.5</v>
          </cell>
          <cell r="CP44">
            <v>516</v>
          </cell>
          <cell r="CQ44">
            <v>91</v>
          </cell>
          <cell r="CR44">
            <v>85</v>
          </cell>
          <cell r="CS44">
            <v>412</v>
          </cell>
          <cell r="CT44">
            <v>93</v>
          </cell>
          <cell r="CU44">
            <v>81.599999999999994</v>
          </cell>
          <cell r="CV44">
            <v>272</v>
          </cell>
          <cell r="CW44">
            <v>81</v>
          </cell>
          <cell r="CX44">
            <v>77.099999999999994</v>
          </cell>
          <cell r="CY44">
            <v>265</v>
          </cell>
          <cell r="CZ44">
            <v>61</v>
          </cell>
          <cell r="DA44">
            <v>81.3</v>
          </cell>
          <cell r="DB44">
            <v>278</v>
          </cell>
          <cell r="DC44">
            <v>73</v>
          </cell>
          <cell r="DD44">
            <v>79.2</v>
          </cell>
          <cell r="DE44">
            <v>242</v>
          </cell>
          <cell r="DF44">
            <v>65</v>
          </cell>
          <cell r="DG44">
            <v>78.8</v>
          </cell>
          <cell r="DH44">
            <v>240</v>
          </cell>
          <cell r="DI44">
            <v>51</v>
          </cell>
          <cell r="DJ44">
            <v>82.5</v>
          </cell>
          <cell r="DK44">
            <v>198</v>
          </cell>
          <cell r="DL44">
            <v>60</v>
          </cell>
          <cell r="DM44">
            <v>76.7</v>
          </cell>
          <cell r="DN44">
            <v>198</v>
          </cell>
          <cell r="DO44">
            <v>60</v>
          </cell>
          <cell r="DP44">
            <v>76.7</v>
          </cell>
          <cell r="DQ44">
            <v>171</v>
          </cell>
          <cell r="DR44">
            <v>63</v>
          </cell>
          <cell r="DS44">
            <v>73.099999999999994</v>
          </cell>
          <cell r="DT44">
            <v>73.0999755859375</v>
          </cell>
          <cell r="DU44">
            <v>73.0999755859375</v>
          </cell>
          <cell r="DV44" t="str">
            <v>-</v>
          </cell>
          <cell r="DW44">
            <v>73.0999755859375</v>
          </cell>
          <cell r="DX44">
            <v>73.0999755859375</v>
          </cell>
          <cell r="DY44" t="str">
            <v>-</v>
          </cell>
          <cell r="DZ44">
            <v>73.0999755859375</v>
          </cell>
          <cell r="EA44">
            <v>73.0999755859375</v>
          </cell>
          <cell r="EB44" t="str">
            <v>-</v>
          </cell>
          <cell r="EC44">
            <v>1</v>
          </cell>
          <cell r="ED44">
            <v>1</v>
          </cell>
          <cell r="EE44">
            <v>50</v>
          </cell>
          <cell r="EF44">
            <v>50</v>
          </cell>
          <cell r="EG44">
            <v>50</v>
          </cell>
          <cell r="EH44" t="str">
            <v>-</v>
          </cell>
          <cell r="EI44">
            <v>1</v>
          </cell>
          <cell r="EJ44">
            <v>1</v>
          </cell>
          <cell r="EK44">
            <v>100</v>
          </cell>
          <cell r="EL44">
            <v>100</v>
          </cell>
          <cell r="EM44">
            <v>1</v>
          </cell>
          <cell r="EN44">
            <v>0</v>
          </cell>
          <cell r="EO44">
            <v>3</v>
          </cell>
          <cell r="EP44">
            <v>1</v>
          </cell>
          <cell r="EQ44">
            <v>75</v>
          </cell>
          <cell r="ER44">
            <v>103</v>
          </cell>
          <cell r="ES44">
            <v>39</v>
          </cell>
          <cell r="ET44">
            <v>72.5</v>
          </cell>
          <cell r="EU44">
            <v>107</v>
          </cell>
          <cell r="EV44">
            <v>29</v>
          </cell>
          <cell r="EW44">
            <v>78.7</v>
          </cell>
          <cell r="EX44">
            <v>98</v>
          </cell>
          <cell r="EY44">
            <v>53</v>
          </cell>
          <cell r="EZ44">
            <v>64.900000000000006</v>
          </cell>
          <cell r="FA44">
            <v>153</v>
          </cell>
          <cell r="FB44">
            <v>34</v>
          </cell>
          <cell r="FC44">
            <v>81.8</v>
          </cell>
          <cell r="FD44">
            <v>92</v>
          </cell>
          <cell r="FE44">
            <v>40</v>
          </cell>
          <cell r="FF44">
            <v>69.7</v>
          </cell>
          <cell r="FG44">
            <v>100</v>
          </cell>
          <cell r="FH44">
            <v>69</v>
          </cell>
          <cell r="FI44">
            <v>59.2</v>
          </cell>
          <cell r="FJ44">
            <v>101</v>
          </cell>
          <cell r="FK44">
            <v>35</v>
          </cell>
          <cell r="FL44">
            <v>74.3</v>
          </cell>
          <cell r="FM44">
            <v>89</v>
          </cell>
          <cell r="FN44">
            <v>24</v>
          </cell>
          <cell r="FO44">
            <v>78.8</v>
          </cell>
          <cell r="FP44">
            <v>22</v>
          </cell>
          <cell r="FQ44">
            <v>7</v>
          </cell>
          <cell r="FR44">
            <v>75.900000000000006</v>
          </cell>
          <cell r="FS44">
            <v>33</v>
          </cell>
          <cell r="FT44">
            <v>9</v>
          </cell>
          <cell r="FU44">
            <v>78.599999999999994</v>
          </cell>
          <cell r="FV44">
            <v>22</v>
          </cell>
          <cell r="FW44">
            <v>12</v>
          </cell>
          <cell r="FX44">
            <v>64.7</v>
          </cell>
          <cell r="FY44">
            <v>47</v>
          </cell>
          <cell r="FZ44">
            <v>5</v>
          </cell>
          <cell r="GA44">
            <v>90.4</v>
          </cell>
          <cell r="GB44">
            <v>39</v>
          </cell>
          <cell r="GC44">
            <v>8</v>
          </cell>
          <cell r="GD44">
            <v>83</v>
          </cell>
          <cell r="GE44">
            <v>88</v>
          </cell>
          <cell r="GF44">
            <v>11</v>
          </cell>
          <cell r="GG44">
            <v>88.9</v>
          </cell>
          <cell r="GH44">
            <v>80</v>
          </cell>
          <cell r="GI44">
            <v>9</v>
          </cell>
          <cell r="GJ44">
            <v>89.9</v>
          </cell>
          <cell r="GK44">
            <v>21</v>
          </cell>
          <cell r="GL44">
            <v>3</v>
          </cell>
          <cell r="GM44">
            <v>87.5</v>
          </cell>
          <cell r="GN44">
            <v>386</v>
          </cell>
          <cell r="GO44">
            <v>64</v>
          </cell>
          <cell r="GP44">
            <v>85.8</v>
          </cell>
          <cell r="GQ44">
            <v>405</v>
          </cell>
          <cell r="GR44">
            <v>64</v>
          </cell>
          <cell r="GS44">
            <v>86.4</v>
          </cell>
          <cell r="GT44">
            <v>457</v>
          </cell>
          <cell r="GU44">
            <v>108</v>
          </cell>
          <cell r="GV44">
            <v>80.900000000000006</v>
          </cell>
          <cell r="GW44">
            <v>538</v>
          </cell>
          <cell r="GX44">
            <v>101</v>
          </cell>
          <cell r="GY44">
            <v>84.2</v>
          </cell>
          <cell r="GZ44">
            <v>539</v>
          </cell>
          <cell r="HA44">
            <v>99</v>
          </cell>
          <cell r="HB44">
            <v>84.5</v>
          </cell>
          <cell r="HC44">
            <v>491</v>
          </cell>
          <cell r="HD44">
            <v>109</v>
          </cell>
          <cell r="HE44">
            <v>81.8</v>
          </cell>
          <cell r="HF44">
            <v>461</v>
          </cell>
          <cell r="HG44">
            <v>120</v>
          </cell>
          <cell r="HH44">
            <v>79.3</v>
          </cell>
          <cell r="HI44">
            <v>386</v>
          </cell>
          <cell r="HJ44">
            <v>101</v>
          </cell>
          <cell r="HK44">
            <v>79.3</v>
          </cell>
          <cell r="HL44">
            <v>37</v>
          </cell>
          <cell r="HM44">
            <v>27</v>
          </cell>
          <cell r="HN44">
            <v>57.8</v>
          </cell>
          <cell r="HO44">
            <v>31</v>
          </cell>
          <cell r="HP44">
            <v>20</v>
          </cell>
          <cell r="HQ44">
            <v>60.8</v>
          </cell>
          <cell r="HR44">
            <v>23</v>
          </cell>
          <cell r="HS44">
            <v>21</v>
          </cell>
          <cell r="HT44">
            <v>52.3</v>
          </cell>
          <cell r="HU44">
            <v>28</v>
          </cell>
          <cell r="HV44">
            <v>12</v>
          </cell>
          <cell r="HW44">
            <v>70</v>
          </cell>
          <cell r="HX44">
            <v>32</v>
          </cell>
          <cell r="HY44">
            <v>17</v>
          </cell>
          <cell r="HZ44">
            <v>65.3</v>
          </cell>
          <cell r="IA44">
            <v>22</v>
          </cell>
          <cell r="IB44">
            <v>11</v>
          </cell>
          <cell r="IC44">
            <v>66.7</v>
          </cell>
          <cell r="ID44">
            <v>28</v>
          </cell>
          <cell r="IE44">
            <v>17</v>
          </cell>
          <cell r="IF44">
            <v>62.2</v>
          </cell>
          <cell r="IG44">
            <v>23</v>
          </cell>
          <cell r="IH44">
            <v>12</v>
          </cell>
          <cell r="II44">
            <v>65.7</v>
          </cell>
          <cell r="IJ44">
            <v>29</v>
          </cell>
          <cell r="IK44">
            <v>12</v>
          </cell>
          <cell r="IL44">
            <v>70.7</v>
          </cell>
          <cell r="IM44">
            <v>30</v>
          </cell>
          <cell r="IN44">
            <v>15</v>
          </cell>
          <cell r="IO44">
            <v>66.7</v>
          </cell>
          <cell r="IP44">
            <v>30</v>
          </cell>
          <cell r="IQ44">
            <v>11</v>
          </cell>
          <cell r="IR44">
            <v>73.2</v>
          </cell>
          <cell r="IS44">
            <v>20</v>
          </cell>
          <cell r="IT44">
            <v>10</v>
          </cell>
          <cell r="IU44">
            <v>66.7</v>
          </cell>
          <cell r="IV44">
            <v>12</v>
          </cell>
          <cell r="IW44">
            <v>10</v>
          </cell>
          <cell r="IX44">
            <v>54.5</v>
          </cell>
          <cell r="IY44">
            <v>21</v>
          </cell>
          <cell r="IZ44">
            <v>8</v>
          </cell>
          <cell r="JA44">
            <v>72.400000000000006</v>
          </cell>
          <cell r="JB44">
            <v>20</v>
          </cell>
          <cell r="JC44">
            <v>16</v>
          </cell>
          <cell r="JD44">
            <v>55.6</v>
          </cell>
          <cell r="JE44">
            <v>18</v>
          </cell>
          <cell r="JF44">
            <v>5</v>
          </cell>
          <cell r="JG44">
            <v>78.3</v>
          </cell>
          <cell r="JH44">
            <v>56</v>
          </cell>
          <cell r="JI44">
            <v>5</v>
          </cell>
          <cell r="JJ44">
            <v>91.803278688524586</v>
          </cell>
          <cell r="JK44">
            <v>35</v>
          </cell>
          <cell r="JL44">
            <v>3</v>
          </cell>
          <cell r="JM44">
            <v>92.10526315789474</v>
          </cell>
          <cell r="JN44">
            <v>18</v>
          </cell>
          <cell r="JO44">
            <v>1</v>
          </cell>
          <cell r="JP44">
            <v>94.73684210526315</v>
          </cell>
          <cell r="JQ44">
            <v>2580</v>
          </cell>
          <cell r="JR44">
            <v>459</v>
          </cell>
          <cell r="JS44">
            <v>84.896347482724579</v>
          </cell>
          <cell r="JT44">
            <v>1049</v>
          </cell>
          <cell r="JU44">
            <v>299</v>
          </cell>
          <cell r="JV44">
            <v>77.818991097922847</v>
          </cell>
          <cell r="JW44">
            <v>5</v>
          </cell>
          <cell r="JX44">
            <v>3</v>
          </cell>
          <cell r="JY44">
            <v>62.5</v>
          </cell>
          <cell r="JZ44">
            <v>535</v>
          </cell>
          <cell r="KA44">
            <v>202</v>
          </cell>
          <cell r="KB44">
            <v>72.591587516960658</v>
          </cell>
          <cell r="KC44">
            <v>275</v>
          </cell>
          <cell r="KD44">
            <v>36</v>
          </cell>
          <cell r="KE44">
            <v>88.424437299035375</v>
          </cell>
          <cell r="KF44">
            <v>2415</v>
          </cell>
          <cell r="KG44">
            <v>530</v>
          </cell>
          <cell r="KH44">
            <v>82.003395585738531</v>
          </cell>
          <cell r="KI44">
            <v>133</v>
          </cell>
          <cell r="KJ44">
            <v>69</v>
          </cell>
          <cell r="KK44">
            <v>65.841584158415841</v>
          </cell>
          <cell r="KL44">
            <v>91</v>
          </cell>
          <cell r="KM44">
            <v>49</v>
          </cell>
          <cell r="KN44">
            <v>65</v>
          </cell>
        </row>
        <row r="45">
          <cell r="C45" t="str">
            <v>Békés MRFK Központ</v>
          </cell>
          <cell r="D45">
            <v>3</v>
          </cell>
          <cell r="E45">
            <v>1</v>
          </cell>
          <cell r="F45">
            <v>75</v>
          </cell>
          <cell r="G45">
            <v>12</v>
          </cell>
          <cell r="H45">
            <v>2</v>
          </cell>
          <cell r="I45">
            <v>85.7</v>
          </cell>
          <cell r="J45">
            <v>8</v>
          </cell>
          <cell r="K45">
            <v>8</v>
          </cell>
          <cell r="L45">
            <v>100</v>
          </cell>
          <cell r="M45">
            <v>11</v>
          </cell>
          <cell r="N45">
            <v>11</v>
          </cell>
          <cell r="O45">
            <v>100</v>
          </cell>
          <cell r="P45">
            <v>9</v>
          </cell>
          <cell r="Q45">
            <v>9</v>
          </cell>
          <cell r="R45">
            <v>100</v>
          </cell>
          <cell r="S45">
            <v>4</v>
          </cell>
          <cell r="T45">
            <v>4</v>
          </cell>
          <cell r="U45">
            <v>100</v>
          </cell>
          <cell r="V45">
            <v>6</v>
          </cell>
          <cell r="W45">
            <v>6</v>
          </cell>
          <cell r="X45">
            <v>100</v>
          </cell>
          <cell r="Y45">
            <v>5</v>
          </cell>
          <cell r="Z45">
            <v>5</v>
          </cell>
          <cell r="AA45">
            <v>100</v>
          </cell>
          <cell r="AB45">
            <v>2</v>
          </cell>
          <cell r="AC45">
            <v>1</v>
          </cell>
          <cell r="AD45">
            <v>66.7</v>
          </cell>
          <cell r="AE45">
            <v>10</v>
          </cell>
          <cell r="AF45">
            <v>1</v>
          </cell>
          <cell r="AG45">
            <v>90.9</v>
          </cell>
          <cell r="AH45">
            <v>2</v>
          </cell>
          <cell r="AI45">
            <v>2</v>
          </cell>
          <cell r="AJ45">
            <v>100</v>
          </cell>
          <cell r="AK45">
            <v>7</v>
          </cell>
          <cell r="AL45">
            <v>7</v>
          </cell>
          <cell r="AM45">
            <v>100</v>
          </cell>
          <cell r="AN45">
            <v>3</v>
          </cell>
          <cell r="AO45">
            <v>3</v>
          </cell>
          <cell r="AP45">
            <v>100</v>
          </cell>
          <cell r="AQ45">
            <v>3</v>
          </cell>
          <cell r="AR45">
            <v>3</v>
          </cell>
          <cell r="AS45">
            <v>100</v>
          </cell>
          <cell r="AT45">
            <v>2</v>
          </cell>
          <cell r="AU45">
            <v>2</v>
          </cell>
          <cell r="AV45">
            <v>100</v>
          </cell>
          <cell r="AW45">
            <v>2</v>
          </cell>
          <cell r="AX45">
            <v>2</v>
          </cell>
          <cell r="AY45">
            <v>100</v>
          </cell>
          <cell r="AZ45">
            <v>100</v>
          </cell>
          <cell r="BA45">
            <v>100</v>
          </cell>
          <cell r="BB45" t="str">
            <v>-</v>
          </cell>
          <cell r="BC45">
            <v>1</v>
          </cell>
          <cell r="BD45">
            <v>1</v>
          </cell>
          <cell r="BE45">
            <v>100</v>
          </cell>
          <cell r="BF45">
            <v>5</v>
          </cell>
          <cell r="BG45">
            <v>5</v>
          </cell>
          <cell r="BH45">
            <v>100</v>
          </cell>
          <cell r="BI45">
            <v>3</v>
          </cell>
          <cell r="BJ45">
            <v>3</v>
          </cell>
          <cell r="BK45">
            <v>100</v>
          </cell>
          <cell r="BL45">
            <v>6</v>
          </cell>
          <cell r="BM45">
            <v>6</v>
          </cell>
          <cell r="BN45">
            <v>100</v>
          </cell>
          <cell r="BO45">
            <v>1</v>
          </cell>
          <cell r="BP45">
            <v>1</v>
          </cell>
          <cell r="BQ45">
            <v>100</v>
          </cell>
          <cell r="BR45">
            <v>3</v>
          </cell>
          <cell r="BS45">
            <v>3</v>
          </cell>
          <cell r="BT45">
            <v>100</v>
          </cell>
          <cell r="BU45">
            <v>2</v>
          </cell>
          <cell r="BV45">
            <v>2</v>
          </cell>
          <cell r="BW45">
            <v>100</v>
          </cell>
          <cell r="BX45">
            <v>16</v>
          </cell>
          <cell r="BY45">
            <v>2</v>
          </cell>
          <cell r="BZ45">
            <v>88.9</v>
          </cell>
          <cell r="CA45">
            <v>18</v>
          </cell>
          <cell r="CB45">
            <v>1</v>
          </cell>
          <cell r="CC45">
            <v>94.7</v>
          </cell>
          <cell r="CD45">
            <v>14</v>
          </cell>
          <cell r="CE45">
            <v>3</v>
          </cell>
          <cell r="CF45">
            <v>82.4</v>
          </cell>
          <cell r="CG45">
            <v>28</v>
          </cell>
          <cell r="CH45">
            <v>28</v>
          </cell>
          <cell r="CI45">
            <v>100</v>
          </cell>
          <cell r="CJ45">
            <v>10</v>
          </cell>
          <cell r="CK45">
            <v>10</v>
          </cell>
          <cell r="CL45">
            <v>100</v>
          </cell>
          <cell r="CM45">
            <v>24</v>
          </cell>
          <cell r="CN45">
            <v>15</v>
          </cell>
          <cell r="CO45">
            <v>61.5</v>
          </cell>
          <cell r="CP45">
            <v>10</v>
          </cell>
          <cell r="CQ45">
            <v>10</v>
          </cell>
          <cell r="CR45">
            <v>100</v>
          </cell>
          <cell r="CS45">
            <v>6</v>
          </cell>
          <cell r="CT45">
            <v>1</v>
          </cell>
          <cell r="CU45">
            <v>85.7</v>
          </cell>
          <cell r="CV45">
            <v>10</v>
          </cell>
          <cell r="CW45">
            <v>2</v>
          </cell>
          <cell r="CX45">
            <v>83.3</v>
          </cell>
          <cell r="CY45">
            <v>15</v>
          </cell>
          <cell r="CZ45">
            <v>1</v>
          </cell>
          <cell r="DA45">
            <v>93.8</v>
          </cell>
          <cell r="DB45">
            <v>12</v>
          </cell>
          <cell r="DC45">
            <v>2</v>
          </cell>
          <cell r="DD45">
            <v>85.7</v>
          </cell>
          <cell r="DE45">
            <v>24</v>
          </cell>
          <cell r="DF45">
            <v>24</v>
          </cell>
          <cell r="DG45">
            <v>100</v>
          </cell>
          <cell r="DH45">
            <v>8</v>
          </cell>
          <cell r="DI45">
            <v>8</v>
          </cell>
          <cell r="DJ45">
            <v>100</v>
          </cell>
          <cell r="DK45">
            <v>14</v>
          </cell>
          <cell r="DL45">
            <v>12</v>
          </cell>
          <cell r="DM45">
            <v>53.8</v>
          </cell>
          <cell r="DN45">
            <v>7</v>
          </cell>
          <cell r="DO45">
            <v>7</v>
          </cell>
          <cell r="DP45">
            <v>100</v>
          </cell>
          <cell r="DQ45">
            <v>4</v>
          </cell>
          <cell r="DR45">
            <v>1</v>
          </cell>
          <cell r="DS45">
            <v>80</v>
          </cell>
          <cell r="DT45">
            <v>1</v>
          </cell>
          <cell r="DU45">
            <v>1</v>
          </cell>
          <cell r="DV45">
            <v>100</v>
          </cell>
          <cell r="DW45">
            <v>100</v>
          </cell>
          <cell r="DX45">
            <v>100</v>
          </cell>
          <cell r="DY45" t="str">
            <v>-</v>
          </cell>
          <cell r="DZ45">
            <v>100</v>
          </cell>
          <cell r="EA45">
            <v>100</v>
          </cell>
          <cell r="EB45" t="str">
            <v>-</v>
          </cell>
          <cell r="EC45">
            <v>100</v>
          </cell>
          <cell r="ED45">
            <v>100</v>
          </cell>
          <cell r="EE45" t="str">
            <v>-</v>
          </cell>
          <cell r="EF45">
            <v>3</v>
          </cell>
          <cell r="EG45">
            <v>3</v>
          </cell>
          <cell r="EH45">
            <v>100</v>
          </cell>
          <cell r="EI45">
            <v>1</v>
          </cell>
          <cell r="EJ45">
            <v>1</v>
          </cell>
          <cell r="EK45">
            <v>100</v>
          </cell>
          <cell r="EL45">
            <v>100</v>
          </cell>
          <cell r="EM45">
            <v>100</v>
          </cell>
          <cell r="EN45" t="str">
            <v>-</v>
          </cell>
          <cell r="EO45">
            <v>100</v>
          </cell>
          <cell r="EP45">
            <v>1</v>
          </cell>
          <cell r="EQ45">
            <v>0</v>
          </cell>
          <cell r="ER45">
            <v>0</v>
          </cell>
          <cell r="ES45">
            <v>1</v>
          </cell>
          <cell r="ET45">
            <v>0</v>
          </cell>
          <cell r="EU45">
            <v>2</v>
          </cell>
          <cell r="EV45">
            <v>2</v>
          </cell>
          <cell r="EW45">
            <v>100</v>
          </cell>
          <cell r="EX45">
            <v>2</v>
          </cell>
          <cell r="EY45">
            <v>2</v>
          </cell>
          <cell r="EZ45">
            <v>100</v>
          </cell>
          <cell r="FA45">
            <v>4</v>
          </cell>
          <cell r="FB45">
            <v>4</v>
          </cell>
          <cell r="FC45">
            <v>100</v>
          </cell>
          <cell r="FD45">
            <v>100</v>
          </cell>
          <cell r="FE45">
            <v>100</v>
          </cell>
          <cell r="FF45" t="str">
            <v>-</v>
          </cell>
          <cell r="FG45">
            <v>7</v>
          </cell>
          <cell r="FH45">
            <v>7</v>
          </cell>
          <cell r="FI45">
            <v>100</v>
          </cell>
          <cell r="FJ45">
            <v>3</v>
          </cell>
          <cell r="FK45">
            <v>3</v>
          </cell>
          <cell r="FL45">
            <v>100</v>
          </cell>
          <cell r="FM45">
            <v>1</v>
          </cell>
          <cell r="FN45">
            <v>1</v>
          </cell>
          <cell r="FO45">
            <v>50</v>
          </cell>
          <cell r="FP45">
            <v>4</v>
          </cell>
          <cell r="FQ45">
            <v>4</v>
          </cell>
          <cell r="FR45">
            <v>100</v>
          </cell>
          <cell r="FS45">
            <v>5</v>
          </cell>
          <cell r="FT45">
            <v>5</v>
          </cell>
          <cell r="FU45">
            <v>100</v>
          </cell>
          <cell r="FV45">
            <v>16</v>
          </cell>
          <cell r="FW45">
            <v>2</v>
          </cell>
          <cell r="FX45">
            <v>88.9</v>
          </cell>
          <cell r="FY45">
            <v>4</v>
          </cell>
          <cell r="FZ45">
            <v>2</v>
          </cell>
          <cell r="GA45">
            <v>66.7</v>
          </cell>
          <cell r="GB45">
            <v>10</v>
          </cell>
          <cell r="GC45">
            <v>1</v>
          </cell>
          <cell r="GD45">
            <v>90.9</v>
          </cell>
          <cell r="GE45">
            <v>4</v>
          </cell>
          <cell r="GF45">
            <v>4</v>
          </cell>
          <cell r="GG45">
            <v>100</v>
          </cell>
          <cell r="GH45">
            <v>6</v>
          </cell>
          <cell r="GI45">
            <v>6</v>
          </cell>
          <cell r="GJ45">
            <v>100</v>
          </cell>
          <cell r="GK45">
            <v>7</v>
          </cell>
          <cell r="GL45">
            <v>7</v>
          </cell>
          <cell r="GM45">
            <v>100</v>
          </cell>
          <cell r="GN45">
            <v>5</v>
          </cell>
          <cell r="GO45">
            <v>5</v>
          </cell>
          <cell r="GP45">
            <v>100</v>
          </cell>
          <cell r="GQ45">
            <v>3</v>
          </cell>
          <cell r="GR45">
            <v>3</v>
          </cell>
          <cell r="GS45">
            <v>100</v>
          </cell>
          <cell r="GT45">
            <v>10</v>
          </cell>
          <cell r="GU45">
            <v>1</v>
          </cell>
          <cell r="GV45">
            <v>90.9</v>
          </cell>
          <cell r="GW45">
            <v>3</v>
          </cell>
          <cell r="GX45">
            <v>3</v>
          </cell>
          <cell r="GY45">
            <v>100</v>
          </cell>
          <cell r="GZ45">
            <v>1</v>
          </cell>
          <cell r="HA45">
            <v>1</v>
          </cell>
          <cell r="HB45">
            <v>100</v>
          </cell>
          <cell r="HC45">
            <v>13</v>
          </cell>
          <cell r="HD45">
            <v>4</v>
          </cell>
          <cell r="HE45">
            <v>76.5</v>
          </cell>
          <cell r="HF45">
            <v>3</v>
          </cell>
          <cell r="HG45">
            <v>3</v>
          </cell>
          <cell r="HH45">
            <v>100</v>
          </cell>
          <cell r="HI45">
            <v>4</v>
          </cell>
          <cell r="HJ45">
            <v>4</v>
          </cell>
          <cell r="HK45">
            <v>100</v>
          </cell>
          <cell r="HL45">
            <v>1</v>
          </cell>
          <cell r="HM45">
            <v>1</v>
          </cell>
          <cell r="HN45">
            <v>100</v>
          </cell>
          <cell r="HO45">
            <v>1</v>
          </cell>
          <cell r="HP45">
            <v>1</v>
          </cell>
          <cell r="HQ45">
            <v>100</v>
          </cell>
          <cell r="HR45">
            <v>100</v>
          </cell>
          <cell r="HS45">
            <v>100</v>
          </cell>
          <cell r="HT45" t="str">
            <v>-</v>
          </cell>
          <cell r="HU45">
            <v>100</v>
          </cell>
          <cell r="HV45">
            <v>100</v>
          </cell>
          <cell r="HW45" t="str">
            <v>-</v>
          </cell>
          <cell r="HX45">
            <v>100</v>
          </cell>
          <cell r="HY45">
            <v>100</v>
          </cell>
          <cell r="HZ45" t="str">
            <v>-</v>
          </cell>
          <cell r="IA45">
            <v>1</v>
          </cell>
          <cell r="IB45">
            <v>1</v>
          </cell>
          <cell r="IC45">
            <v>100</v>
          </cell>
          <cell r="ID45">
            <v>100</v>
          </cell>
          <cell r="IE45">
            <v>100</v>
          </cell>
          <cell r="IF45" t="str">
            <v>-</v>
          </cell>
          <cell r="IG45">
            <v>1</v>
          </cell>
          <cell r="IH45">
            <v>1</v>
          </cell>
          <cell r="II45">
            <v>100</v>
          </cell>
          <cell r="IJ45">
            <v>6</v>
          </cell>
          <cell r="IK45">
            <v>6</v>
          </cell>
          <cell r="IL45">
            <v>100</v>
          </cell>
          <cell r="IM45">
            <v>3</v>
          </cell>
          <cell r="IN45">
            <v>3</v>
          </cell>
          <cell r="IO45">
            <v>50</v>
          </cell>
          <cell r="IP45">
            <v>1</v>
          </cell>
          <cell r="IQ45">
            <v>1</v>
          </cell>
          <cell r="IR45">
            <v>100</v>
          </cell>
          <cell r="IS45">
            <v>2</v>
          </cell>
          <cell r="IT45">
            <v>2</v>
          </cell>
          <cell r="IU45">
            <v>100</v>
          </cell>
          <cell r="IV45">
            <v>100</v>
          </cell>
          <cell r="IW45">
            <v>100</v>
          </cell>
          <cell r="IX45" t="str">
            <v>-</v>
          </cell>
          <cell r="IY45">
            <v>2</v>
          </cell>
          <cell r="IZ45">
            <v>1</v>
          </cell>
          <cell r="JA45">
            <v>66.7</v>
          </cell>
          <cell r="JB45">
            <v>66.699951171875</v>
          </cell>
          <cell r="JC45">
            <v>66.699951171875</v>
          </cell>
          <cell r="JD45" t="str">
            <v>-</v>
          </cell>
          <cell r="JE45">
            <v>3</v>
          </cell>
          <cell r="JF45">
            <v>3</v>
          </cell>
          <cell r="JG45">
            <v>100</v>
          </cell>
          <cell r="JH45">
            <v>35</v>
          </cell>
          <cell r="JI45">
            <v>0</v>
          </cell>
          <cell r="JJ45">
            <v>100</v>
          </cell>
          <cell r="JK45">
            <v>17</v>
          </cell>
          <cell r="JL45">
            <v>0</v>
          </cell>
          <cell r="JM45">
            <v>100</v>
          </cell>
          <cell r="JN45">
            <v>15</v>
          </cell>
          <cell r="JO45">
            <v>0</v>
          </cell>
          <cell r="JP45">
            <v>100</v>
          </cell>
          <cell r="JQ45">
            <v>78</v>
          </cell>
          <cell r="JR45">
            <v>16</v>
          </cell>
          <cell r="JS45">
            <v>82.978723404255319</v>
          </cell>
          <cell r="JT45">
            <v>57</v>
          </cell>
          <cell r="JU45">
            <v>13</v>
          </cell>
          <cell r="JV45">
            <v>81.428571428571431</v>
          </cell>
          <cell r="JW45">
            <v>4</v>
          </cell>
          <cell r="JX45">
            <v>1</v>
          </cell>
          <cell r="JY45">
            <v>80</v>
          </cell>
          <cell r="JZ45">
            <v>15</v>
          </cell>
          <cell r="KA45">
            <v>1</v>
          </cell>
          <cell r="KB45">
            <v>93.75</v>
          </cell>
          <cell r="KC45">
            <v>31</v>
          </cell>
          <cell r="KD45">
            <v>3</v>
          </cell>
          <cell r="KE45">
            <v>91.17647058823529</v>
          </cell>
          <cell r="KF45">
            <v>24</v>
          </cell>
          <cell r="KG45">
            <v>4</v>
          </cell>
          <cell r="KH45">
            <v>85.714285714285708</v>
          </cell>
          <cell r="KI45">
            <v>2</v>
          </cell>
          <cell r="KJ45">
            <v>0</v>
          </cell>
          <cell r="KK45">
            <v>100</v>
          </cell>
          <cell r="KL45">
            <v>7</v>
          </cell>
          <cell r="KM45">
            <v>1</v>
          </cell>
          <cell r="KN45">
            <v>87.5</v>
          </cell>
        </row>
        <row r="46">
          <cell r="C46" t="str">
            <v>Békéscsabai Rendőrkapitányság</v>
          </cell>
          <cell r="D46">
            <v>87.5</v>
          </cell>
          <cell r="E46">
            <v>87.5</v>
          </cell>
          <cell r="F46" t="str">
            <v>-</v>
          </cell>
          <cell r="G46">
            <v>87.5</v>
          </cell>
          <cell r="H46">
            <v>87.5</v>
          </cell>
          <cell r="I46" t="str">
            <v>-</v>
          </cell>
          <cell r="J46">
            <v>87.5</v>
          </cell>
          <cell r="K46">
            <v>87.5</v>
          </cell>
          <cell r="L46" t="str">
            <v>-</v>
          </cell>
          <cell r="M46">
            <v>87.5</v>
          </cell>
          <cell r="N46">
            <v>87.5</v>
          </cell>
          <cell r="O46" t="str">
            <v>-</v>
          </cell>
          <cell r="P46">
            <v>87.5</v>
          </cell>
          <cell r="Q46">
            <v>87.5</v>
          </cell>
          <cell r="R46" t="str">
            <v>-</v>
          </cell>
          <cell r="S46">
            <v>87.5</v>
          </cell>
          <cell r="T46">
            <v>87.5</v>
          </cell>
          <cell r="U46" t="str">
            <v>-</v>
          </cell>
          <cell r="V46">
            <v>87.5</v>
          </cell>
          <cell r="W46">
            <v>87.5</v>
          </cell>
          <cell r="X46" t="str">
            <v>-</v>
          </cell>
          <cell r="Y46">
            <v>87.5</v>
          </cell>
          <cell r="Z46">
            <v>87.5</v>
          </cell>
          <cell r="AA46" t="str">
            <v>-</v>
          </cell>
          <cell r="AB46">
            <v>87.5</v>
          </cell>
          <cell r="AC46">
            <v>87.5</v>
          </cell>
          <cell r="AD46" t="str">
            <v>-</v>
          </cell>
          <cell r="AE46">
            <v>87.5</v>
          </cell>
          <cell r="AF46">
            <v>87.5</v>
          </cell>
          <cell r="AG46" t="str">
            <v>-</v>
          </cell>
          <cell r="AH46">
            <v>87.5</v>
          </cell>
          <cell r="AI46">
            <v>87.5</v>
          </cell>
          <cell r="AJ46" t="str">
            <v>-</v>
          </cell>
          <cell r="AK46">
            <v>87.5</v>
          </cell>
          <cell r="AL46">
            <v>87.5</v>
          </cell>
          <cell r="AM46" t="str">
            <v>-</v>
          </cell>
          <cell r="AN46">
            <v>87.5</v>
          </cell>
          <cell r="AO46">
            <v>87.5</v>
          </cell>
          <cell r="AP46" t="str">
            <v>-</v>
          </cell>
          <cell r="AQ46">
            <v>87.5</v>
          </cell>
          <cell r="AR46">
            <v>87.5</v>
          </cell>
          <cell r="AS46" t="str">
            <v>-</v>
          </cell>
          <cell r="AT46">
            <v>87.5</v>
          </cell>
          <cell r="AU46">
            <v>87.5</v>
          </cell>
          <cell r="AV46" t="str">
            <v>-</v>
          </cell>
          <cell r="AW46">
            <v>87.5</v>
          </cell>
          <cell r="AX46">
            <v>87.5</v>
          </cell>
          <cell r="AY46" t="str">
            <v>-</v>
          </cell>
          <cell r="AZ46">
            <v>87.5</v>
          </cell>
          <cell r="BA46">
            <v>87.5</v>
          </cell>
          <cell r="BB46" t="str">
            <v>-</v>
          </cell>
          <cell r="BC46">
            <v>87.5</v>
          </cell>
          <cell r="BD46">
            <v>87.5</v>
          </cell>
          <cell r="BE46" t="str">
            <v>-</v>
          </cell>
          <cell r="BF46">
            <v>87.5</v>
          </cell>
          <cell r="BG46">
            <v>87.5</v>
          </cell>
          <cell r="BH46" t="str">
            <v>-</v>
          </cell>
          <cell r="BI46">
            <v>87.5</v>
          </cell>
          <cell r="BJ46">
            <v>87.5</v>
          </cell>
          <cell r="BK46" t="str">
            <v>-</v>
          </cell>
          <cell r="BL46">
            <v>87.5</v>
          </cell>
          <cell r="BM46">
            <v>87.5</v>
          </cell>
          <cell r="BN46" t="str">
            <v>-</v>
          </cell>
          <cell r="BO46">
            <v>87.5</v>
          </cell>
          <cell r="BP46">
            <v>87.5</v>
          </cell>
          <cell r="BQ46" t="str">
            <v>-</v>
          </cell>
          <cell r="BR46">
            <v>87.5</v>
          </cell>
          <cell r="BS46">
            <v>87.5</v>
          </cell>
          <cell r="BT46" t="str">
            <v>-</v>
          </cell>
          <cell r="BU46">
            <v>87.5</v>
          </cell>
          <cell r="BV46">
            <v>87.5</v>
          </cell>
          <cell r="BW46" t="str">
            <v>-</v>
          </cell>
          <cell r="BX46">
            <v>65</v>
          </cell>
          <cell r="BY46">
            <v>11</v>
          </cell>
          <cell r="BZ46">
            <v>85.5</v>
          </cell>
          <cell r="CA46">
            <v>64</v>
          </cell>
          <cell r="CB46">
            <v>16</v>
          </cell>
          <cell r="CC46">
            <v>80</v>
          </cell>
          <cell r="CD46">
            <v>52</v>
          </cell>
          <cell r="CE46">
            <v>12</v>
          </cell>
          <cell r="CF46">
            <v>81.3</v>
          </cell>
          <cell r="CG46">
            <v>39</v>
          </cell>
          <cell r="CH46">
            <v>14</v>
          </cell>
          <cell r="CI46">
            <v>73.599999999999994</v>
          </cell>
          <cell r="CJ46">
            <v>35</v>
          </cell>
          <cell r="CK46">
            <v>12</v>
          </cell>
          <cell r="CL46">
            <v>74.5</v>
          </cell>
          <cell r="CM46">
            <v>54</v>
          </cell>
          <cell r="CN46">
            <v>7</v>
          </cell>
          <cell r="CO46">
            <v>88.5</v>
          </cell>
          <cell r="CP46">
            <v>41</v>
          </cell>
          <cell r="CQ46">
            <v>6</v>
          </cell>
          <cell r="CR46">
            <v>87.2</v>
          </cell>
          <cell r="CS46">
            <v>33</v>
          </cell>
          <cell r="CT46">
            <v>3</v>
          </cell>
          <cell r="CU46">
            <v>91.7</v>
          </cell>
          <cell r="CV46">
            <v>20</v>
          </cell>
          <cell r="CW46">
            <v>8</v>
          </cell>
          <cell r="CX46">
            <v>71.400000000000006</v>
          </cell>
          <cell r="CY46">
            <v>27</v>
          </cell>
          <cell r="CZ46">
            <v>9</v>
          </cell>
          <cell r="DA46">
            <v>75</v>
          </cell>
          <cell r="DB46">
            <v>22</v>
          </cell>
          <cell r="DC46">
            <v>10</v>
          </cell>
          <cell r="DD46">
            <v>68.8</v>
          </cell>
          <cell r="DE46">
            <v>18</v>
          </cell>
          <cell r="DF46">
            <v>10</v>
          </cell>
          <cell r="DG46">
            <v>64.3</v>
          </cell>
          <cell r="DH46">
            <v>19</v>
          </cell>
          <cell r="DI46">
            <v>8</v>
          </cell>
          <cell r="DJ46">
            <v>70.400000000000006</v>
          </cell>
          <cell r="DK46">
            <v>28</v>
          </cell>
          <cell r="DL46">
            <v>7</v>
          </cell>
          <cell r="DM46">
            <v>80</v>
          </cell>
          <cell r="DN46">
            <v>22</v>
          </cell>
          <cell r="DO46">
            <v>6</v>
          </cell>
          <cell r="DP46">
            <v>78.599999999999994</v>
          </cell>
          <cell r="DQ46">
            <v>17</v>
          </cell>
          <cell r="DR46">
            <v>3</v>
          </cell>
          <cell r="DS46">
            <v>85</v>
          </cell>
          <cell r="DT46">
            <v>85</v>
          </cell>
          <cell r="DU46">
            <v>85</v>
          </cell>
          <cell r="DV46" t="str">
            <v>-</v>
          </cell>
          <cell r="DW46">
            <v>85</v>
          </cell>
          <cell r="DX46">
            <v>85</v>
          </cell>
          <cell r="DY46" t="str">
            <v>-</v>
          </cell>
          <cell r="DZ46">
            <v>85</v>
          </cell>
          <cell r="EA46">
            <v>85</v>
          </cell>
          <cell r="EB46" t="str">
            <v>-</v>
          </cell>
          <cell r="EC46">
            <v>85</v>
          </cell>
          <cell r="ED46">
            <v>85</v>
          </cell>
          <cell r="EE46" t="str">
            <v>-</v>
          </cell>
          <cell r="EF46">
            <v>85</v>
          </cell>
          <cell r="EG46">
            <v>85</v>
          </cell>
          <cell r="EH46" t="str">
            <v>-</v>
          </cell>
          <cell r="EI46">
            <v>85</v>
          </cell>
          <cell r="EJ46">
            <v>85</v>
          </cell>
          <cell r="EK46" t="str">
            <v>-</v>
          </cell>
          <cell r="EL46">
            <v>85</v>
          </cell>
          <cell r="EM46">
            <v>85</v>
          </cell>
          <cell r="EN46" t="str">
            <v>-</v>
          </cell>
          <cell r="EO46">
            <v>85</v>
          </cell>
          <cell r="EP46">
            <v>85</v>
          </cell>
          <cell r="EQ46" t="str">
            <v>-</v>
          </cell>
          <cell r="ER46">
            <v>2</v>
          </cell>
          <cell r="ES46">
            <v>4</v>
          </cell>
          <cell r="ET46">
            <v>33.299999999999997</v>
          </cell>
          <cell r="EU46">
            <v>3</v>
          </cell>
          <cell r="EV46">
            <v>5</v>
          </cell>
          <cell r="EW46">
            <v>37.5</v>
          </cell>
          <cell r="EX46">
            <v>3</v>
          </cell>
          <cell r="EY46">
            <v>10</v>
          </cell>
          <cell r="EZ46">
            <v>23.1</v>
          </cell>
          <cell r="FA46">
            <v>1</v>
          </cell>
          <cell r="FB46">
            <v>3</v>
          </cell>
          <cell r="FC46">
            <v>25</v>
          </cell>
          <cell r="FD46">
            <v>7</v>
          </cell>
          <cell r="FE46">
            <v>3</v>
          </cell>
          <cell r="FF46">
            <v>70</v>
          </cell>
          <cell r="FG46">
            <v>1</v>
          </cell>
          <cell r="FH46">
            <v>3</v>
          </cell>
          <cell r="FI46">
            <v>25</v>
          </cell>
          <cell r="FJ46">
            <v>10</v>
          </cell>
          <cell r="FK46">
            <v>1</v>
          </cell>
          <cell r="FL46">
            <v>90.9</v>
          </cell>
          <cell r="FM46">
            <v>2</v>
          </cell>
          <cell r="FN46">
            <v>1</v>
          </cell>
          <cell r="FO46">
            <v>66.7</v>
          </cell>
          <cell r="FP46">
            <v>66.699951171875</v>
          </cell>
          <cell r="FQ46">
            <v>66.699951171875</v>
          </cell>
          <cell r="FR46" t="str">
            <v>-</v>
          </cell>
          <cell r="FS46">
            <v>66.699951171875</v>
          </cell>
          <cell r="FT46">
            <v>66.699951171875</v>
          </cell>
          <cell r="FU46" t="str">
            <v>-</v>
          </cell>
          <cell r="FV46">
            <v>66.699951171875</v>
          </cell>
          <cell r="FW46">
            <v>66.699951171875</v>
          </cell>
          <cell r="FX46" t="str">
            <v>-</v>
          </cell>
          <cell r="FY46">
            <v>66.699951171875</v>
          </cell>
          <cell r="FZ46">
            <v>66.699951171875</v>
          </cell>
          <cell r="GA46" t="str">
            <v>-</v>
          </cell>
          <cell r="GB46">
            <v>66.699951171875</v>
          </cell>
          <cell r="GC46">
            <v>66.699951171875</v>
          </cell>
          <cell r="GD46" t="str">
            <v>-</v>
          </cell>
          <cell r="GE46">
            <v>66.699951171875</v>
          </cell>
          <cell r="GF46">
            <v>66.699951171875</v>
          </cell>
          <cell r="GG46" t="str">
            <v>-</v>
          </cell>
          <cell r="GH46">
            <v>66.699951171875</v>
          </cell>
          <cell r="GI46">
            <v>66.699951171875</v>
          </cell>
          <cell r="GJ46" t="str">
            <v>-</v>
          </cell>
          <cell r="GK46">
            <v>66.699951171875</v>
          </cell>
          <cell r="GL46">
            <v>66.699951171875</v>
          </cell>
          <cell r="GM46" t="str">
            <v>-</v>
          </cell>
          <cell r="GN46">
            <v>83</v>
          </cell>
          <cell r="GO46">
            <v>9</v>
          </cell>
          <cell r="GP46">
            <v>90.2</v>
          </cell>
          <cell r="GQ46">
            <v>79</v>
          </cell>
          <cell r="GR46">
            <v>17</v>
          </cell>
          <cell r="GS46">
            <v>82.3</v>
          </cell>
          <cell r="GT46">
            <v>71</v>
          </cell>
          <cell r="GU46">
            <v>18</v>
          </cell>
          <cell r="GV46">
            <v>79.8</v>
          </cell>
          <cell r="GW46">
            <v>62</v>
          </cell>
          <cell r="GX46">
            <v>16</v>
          </cell>
          <cell r="GY46">
            <v>79.5</v>
          </cell>
          <cell r="GZ46">
            <v>56</v>
          </cell>
          <cell r="HA46">
            <v>4</v>
          </cell>
          <cell r="HB46">
            <v>93.3</v>
          </cell>
          <cell r="HC46">
            <v>53</v>
          </cell>
          <cell r="HD46">
            <v>6</v>
          </cell>
          <cell r="HE46">
            <v>89.8</v>
          </cell>
          <cell r="HF46">
            <v>41</v>
          </cell>
          <cell r="HG46">
            <v>8</v>
          </cell>
          <cell r="HH46">
            <v>83.7</v>
          </cell>
          <cell r="HI46">
            <v>57</v>
          </cell>
          <cell r="HJ46">
            <v>6</v>
          </cell>
          <cell r="HK46">
            <v>90.5</v>
          </cell>
          <cell r="HL46">
            <v>6</v>
          </cell>
          <cell r="HM46">
            <v>5</v>
          </cell>
          <cell r="HN46">
            <v>54.5</v>
          </cell>
          <cell r="HO46">
            <v>3</v>
          </cell>
          <cell r="HP46">
            <v>6</v>
          </cell>
          <cell r="HQ46">
            <v>33.299999999999997</v>
          </cell>
          <cell r="HR46">
            <v>3</v>
          </cell>
          <cell r="HS46">
            <v>1</v>
          </cell>
          <cell r="HT46">
            <v>75</v>
          </cell>
          <cell r="HU46">
            <v>3</v>
          </cell>
          <cell r="HV46">
            <v>1</v>
          </cell>
          <cell r="HW46">
            <v>75</v>
          </cell>
          <cell r="HX46">
            <v>3</v>
          </cell>
          <cell r="HY46">
            <v>2</v>
          </cell>
          <cell r="HZ46">
            <v>60</v>
          </cell>
          <cell r="IA46">
            <v>3</v>
          </cell>
          <cell r="IB46">
            <v>3</v>
          </cell>
          <cell r="IC46">
            <v>100</v>
          </cell>
          <cell r="ID46">
            <v>100</v>
          </cell>
          <cell r="IE46">
            <v>1</v>
          </cell>
          <cell r="IF46">
            <v>0</v>
          </cell>
          <cell r="IG46">
            <v>1</v>
          </cell>
          <cell r="IH46">
            <v>1</v>
          </cell>
          <cell r="II46">
            <v>100</v>
          </cell>
          <cell r="IJ46">
            <v>100</v>
          </cell>
          <cell r="IK46">
            <v>100</v>
          </cell>
          <cell r="IL46" t="str">
            <v>-</v>
          </cell>
          <cell r="IM46">
            <v>1</v>
          </cell>
          <cell r="IN46">
            <v>1</v>
          </cell>
          <cell r="IO46">
            <v>50</v>
          </cell>
          <cell r="IP46">
            <v>1</v>
          </cell>
          <cell r="IQ46">
            <v>1</v>
          </cell>
          <cell r="IR46">
            <v>100</v>
          </cell>
          <cell r="IS46">
            <v>1</v>
          </cell>
          <cell r="IT46">
            <v>1</v>
          </cell>
          <cell r="IU46">
            <v>100</v>
          </cell>
          <cell r="IV46">
            <v>5</v>
          </cell>
          <cell r="IW46">
            <v>5</v>
          </cell>
          <cell r="IX46">
            <v>100</v>
          </cell>
          <cell r="IY46">
            <v>4</v>
          </cell>
          <cell r="IZ46">
            <v>4</v>
          </cell>
          <cell r="JA46">
            <v>100</v>
          </cell>
          <cell r="JB46">
            <v>2</v>
          </cell>
          <cell r="JC46">
            <v>2</v>
          </cell>
          <cell r="JD46">
            <v>100</v>
          </cell>
          <cell r="JE46">
            <v>1</v>
          </cell>
          <cell r="JF46">
            <v>1</v>
          </cell>
          <cell r="JG46">
            <v>100</v>
          </cell>
          <cell r="JH46">
            <v>0</v>
          </cell>
          <cell r="JI46">
            <v>0</v>
          </cell>
          <cell r="JJ46" t="str">
            <v>-</v>
          </cell>
          <cell r="JK46">
            <v>0</v>
          </cell>
          <cell r="JL46">
            <v>0</v>
          </cell>
          <cell r="JM46" t="str">
            <v>-</v>
          </cell>
          <cell r="JN46">
            <v>0</v>
          </cell>
          <cell r="JO46">
            <v>0</v>
          </cell>
          <cell r="JP46" t="str">
            <v>-</v>
          </cell>
          <cell r="JQ46">
            <v>202</v>
          </cell>
          <cell r="JR46">
            <v>42</v>
          </cell>
          <cell r="JS46">
            <v>82.786885245901644</v>
          </cell>
          <cell r="JT46">
            <v>104</v>
          </cell>
          <cell r="JU46">
            <v>34</v>
          </cell>
          <cell r="JV46">
            <v>75.362318840579718</v>
          </cell>
          <cell r="JW46">
            <v>0</v>
          </cell>
          <cell r="JX46">
            <v>0</v>
          </cell>
          <cell r="JY46" t="str">
            <v>-</v>
          </cell>
          <cell r="JZ46">
            <v>21</v>
          </cell>
          <cell r="KA46">
            <v>11</v>
          </cell>
          <cell r="KB46">
            <v>65.625</v>
          </cell>
          <cell r="KC46">
            <v>0</v>
          </cell>
          <cell r="KD46">
            <v>0</v>
          </cell>
          <cell r="KE46" t="str">
            <v>-</v>
          </cell>
          <cell r="KF46">
            <v>269</v>
          </cell>
          <cell r="KG46">
            <v>40</v>
          </cell>
          <cell r="KH46">
            <v>87.055016181229774</v>
          </cell>
          <cell r="KI46">
            <v>10</v>
          </cell>
          <cell r="KJ46">
            <v>4</v>
          </cell>
          <cell r="KK46">
            <v>71.428571428571431</v>
          </cell>
          <cell r="KL46">
            <v>13</v>
          </cell>
          <cell r="KM46">
            <v>0</v>
          </cell>
          <cell r="KN46">
            <v>100</v>
          </cell>
        </row>
        <row r="47">
          <cell r="C47" t="str">
            <v>Békési Rendőrkapitányság</v>
          </cell>
          <cell r="D47">
            <v>100</v>
          </cell>
          <cell r="E47">
            <v>100</v>
          </cell>
          <cell r="F47" t="str">
            <v>-</v>
          </cell>
          <cell r="G47">
            <v>100</v>
          </cell>
          <cell r="H47">
            <v>100</v>
          </cell>
          <cell r="I47" t="str">
            <v>-</v>
          </cell>
          <cell r="J47">
            <v>100</v>
          </cell>
          <cell r="K47">
            <v>100</v>
          </cell>
          <cell r="L47" t="str">
            <v>-</v>
          </cell>
          <cell r="M47">
            <v>100</v>
          </cell>
          <cell r="N47">
            <v>100</v>
          </cell>
          <cell r="O47" t="str">
            <v>-</v>
          </cell>
          <cell r="P47">
            <v>100</v>
          </cell>
          <cell r="Q47">
            <v>100</v>
          </cell>
          <cell r="R47" t="str">
            <v>-</v>
          </cell>
          <cell r="S47">
            <v>100</v>
          </cell>
          <cell r="T47">
            <v>100</v>
          </cell>
          <cell r="U47" t="str">
            <v>-</v>
          </cell>
          <cell r="V47">
            <v>100</v>
          </cell>
          <cell r="W47">
            <v>100</v>
          </cell>
          <cell r="X47" t="str">
            <v>-</v>
          </cell>
          <cell r="Y47">
            <v>100</v>
          </cell>
          <cell r="Z47">
            <v>100</v>
          </cell>
          <cell r="AA47" t="str">
            <v>-</v>
          </cell>
          <cell r="AB47">
            <v>100</v>
          </cell>
          <cell r="AC47">
            <v>100</v>
          </cell>
          <cell r="AD47" t="str">
            <v>-</v>
          </cell>
          <cell r="AE47">
            <v>100</v>
          </cell>
          <cell r="AF47">
            <v>100</v>
          </cell>
          <cell r="AG47" t="str">
            <v>-</v>
          </cell>
          <cell r="AH47">
            <v>100</v>
          </cell>
          <cell r="AI47">
            <v>100</v>
          </cell>
          <cell r="AJ47" t="str">
            <v>-</v>
          </cell>
          <cell r="AK47">
            <v>100</v>
          </cell>
          <cell r="AL47">
            <v>100</v>
          </cell>
          <cell r="AM47" t="str">
            <v>-</v>
          </cell>
          <cell r="AN47">
            <v>100</v>
          </cell>
          <cell r="AO47">
            <v>100</v>
          </cell>
          <cell r="AP47" t="str">
            <v>-</v>
          </cell>
          <cell r="AQ47">
            <v>100</v>
          </cell>
          <cell r="AR47">
            <v>100</v>
          </cell>
          <cell r="AS47" t="str">
            <v>-</v>
          </cell>
          <cell r="AT47">
            <v>100</v>
          </cell>
          <cell r="AU47">
            <v>100</v>
          </cell>
          <cell r="AV47" t="str">
            <v>-</v>
          </cell>
          <cell r="AW47">
            <v>100</v>
          </cell>
          <cell r="AX47">
            <v>100</v>
          </cell>
          <cell r="AY47" t="str">
            <v>-</v>
          </cell>
          <cell r="AZ47">
            <v>100</v>
          </cell>
          <cell r="BA47">
            <v>100</v>
          </cell>
          <cell r="BB47" t="str">
            <v>-</v>
          </cell>
          <cell r="BC47">
            <v>100</v>
          </cell>
          <cell r="BD47">
            <v>100</v>
          </cell>
          <cell r="BE47" t="str">
            <v>-</v>
          </cell>
          <cell r="BF47">
            <v>100</v>
          </cell>
          <cell r="BG47">
            <v>100</v>
          </cell>
          <cell r="BH47" t="str">
            <v>-</v>
          </cell>
          <cell r="BI47">
            <v>100</v>
          </cell>
          <cell r="BJ47">
            <v>100</v>
          </cell>
          <cell r="BK47" t="str">
            <v>-</v>
          </cell>
          <cell r="BL47">
            <v>100</v>
          </cell>
          <cell r="BM47">
            <v>100</v>
          </cell>
          <cell r="BN47" t="str">
            <v>-</v>
          </cell>
          <cell r="BO47">
            <v>100</v>
          </cell>
          <cell r="BP47">
            <v>100</v>
          </cell>
          <cell r="BQ47" t="str">
            <v>-</v>
          </cell>
          <cell r="BR47">
            <v>100</v>
          </cell>
          <cell r="BS47">
            <v>100</v>
          </cell>
          <cell r="BT47" t="str">
            <v>-</v>
          </cell>
          <cell r="BU47">
            <v>100</v>
          </cell>
          <cell r="BV47">
            <v>100</v>
          </cell>
          <cell r="BW47" t="str">
            <v>-</v>
          </cell>
          <cell r="BX47">
            <v>12</v>
          </cell>
          <cell r="BY47">
            <v>4</v>
          </cell>
          <cell r="BZ47">
            <v>75</v>
          </cell>
          <cell r="CA47">
            <v>16</v>
          </cell>
          <cell r="CB47">
            <v>9</v>
          </cell>
          <cell r="CC47">
            <v>64</v>
          </cell>
          <cell r="CD47">
            <v>13</v>
          </cell>
          <cell r="CE47">
            <v>3</v>
          </cell>
          <cell r="CF47">
            <v>81.3</v>
          </cell>
          <cell r="CG47">
            <v>7</v>
          </cell>
          <cell r="CH47">
            <v>7</v>
          </cell>
          <cell r="CI47">
            <v>50</v>
          </cell>
          <cell r="CJ47">
            <v>10</v>
          </cell>
          <cell r="CK47">
            <v>7</v>
          </cell>
          <cell r="CL47">
            <v>58.8</v>
          </cell>
          <cell r="CM47">
            <v>18</v>
          </cell>
          <cell r="CN47">
            <v>4</v>
          </cell>
          <cell r="CO47">
            <v>81.8</v>
          </cell>
          <cell r="CP47">
            <v>7</v>
          </cell>
          <cell r="CQ47">
            <v>2</v>
          </cell>
          <cell r="CR47">
            <v>77.8</v>
          </cell>
          <cell r="CS47">
            <v>19</v>
          </cell>
          <cell r="CT47">
            <v>2</v>
          </cell>
          <cell r="CU47">
            <v>90.5</v>
          </cell>
          <cell r="CV47">
            <v>8</v>
          </cell>
          <cell r="CW47">
            <v>3</v>
          </cell>
          <cell r="CX47">
            <v>72.7</v>
          </cell>
          <cell r="CY47">
            <v>8</v>
          </cell>
          <cell r="CZ47">
            <v>6</v>
          </cell>
          <cell r="DA47">
            <v>57.1</v>
          </cell>
          <cell r="DB47">
            <v>5</v>
          </cell>
          <cell r="DC47">
            <v>3</v>
          </cell>
          <cell r="DD47">
            <v>62.5</v>
          </cell>
          <cell r="DE47">
            <v>3</v>
          </cell>
          <cell r="DF47">
            <v>7</v>
          </cell>
          <cell r="DG47">
            <v>30</v>
          </cell>
          <cell r="DH47">
            <v>6</v>
          </cell>
          <cell r="DI47">
            <v>7</v>
          </cell>
          <cell r="DJ47">
            <v>46.2</v>
          </cell>
          <cell r="DK47">
            <v>9</v>
          </cell>
          <cell r="DL47">
            <v>2</v>
          </cell>
          <cell r="DM47">
            <v>81.8</v>
          </cell>
          <cell r="DN47">
            <v>4</v>
          </cell>
          <cell r="DO47">
            <v>2</v>
          </cell>
          <cell r="DP47">
            <v>66.7</v>
          </cell>
          <cell r="DQ47">
            <v>3</v>
          </cell>
          <cell r="DR47">
            <v>3</v>
          </cell>
          <cell r="DS47">
            <v>100</v>
          </cell>
          <cell r="DT47">
            <v>100</v>
          </cell>
          <cell r="DU47">
            <v>100</v>
          </cell>
          <cell r="DV47" t="str">
            <v>-</v>
          </cell>
          <cell r="DW47">
            <v>100</v>
          </cell>
          <cell r="DX47">
            <v>100</v>
          </cell>
          <cell r="DY47" t="str">
            <v>-</v>
          </cell>
          <cell r="DZ47">
            <v>100</v>
          </cell>
          <cell r="EA47">
            <v>100</v>
          </cell>
          <cell r="EB47" t="str">
            <v>-</v>
          </cell>
          <cell r="EC47">
            <v>100</v>
          </cell>
          <cell r="ED47">
            <v>100</v>
          </cell>
          <cell r="EE47" t="str">
            <v>-</v>
          </cell>
          <cell r="EF47">
            <v>100</v>
          </cell>
          <cell r="EG47">
            <v>100</v>
          </cell>
          <cell r="EH47" t="str">
            <v>-</v>
          </cell>
          <cell r="EI47">
            <v>100</v>
          </cell>
          <cell r="EJ47">
            <v>100</v>
          </cell>
          <cell r="EK47" t="str">
            <v>-</v>
          </cell>
          <cell r="EL47">
            <v>100</v>
          </cell>
          <cell r="EM47">
            <v>100</v>
          </cell>
          <cell r="EN47" t="str">
            <v>-</v>
          </cell>
          <cell r="EO47">
            <v>100</v>
          </cell>
          <cell r="EP47">
            <v>100</v>
          </cell>
          <cell r="EQ47" t="str">
            <v>-</v>
          </cell>
          <cell r="ER47">
            <v>1</v>
          </cell>
          <cell r="ES47">
            <v>1</v>
          </cell>
          <cell r="ET47">
            <v>50</v>
          </cell>
          <cell r="EU47">
            <v>10</v>
          </cell>
          <cell r="EV47">
            <v>10</v>
          </cell>
          <cell r="EW47">
            <v>50</v>
          </cell>
          <cell r="EX47">
            <v>1</v>
          </cell>
          <cell r="EY47">
            <v>5</v>
          </cell>
          <cell r="EZ47">
            <v>16.7</v>
          </cell>
          <cell r="FA47">
            <v>16.699996948242188</v>
          </cell>
          <cell r="FB47">
            <v>7</v>
          </cell>
          <cell r="FC47">
            <v>0</v>
          </cell>
          <cell r="FD47">
            <v>4</v>
          </cell>
          <cell r="FE47">
            <v>4</v>
          </cell>
          <cell r="FF47">
            <v>100</v>
          </cell>
          <cell r="FG47">
            <v>100</v>
          </cell>
          <cell r="FH47">
            <v>1</v>
          </cell>
          <cell r="FI47">
            <v>0</v>
          </cell>
          <cell r="FJ47">
            <v>6</v>
          </cell>
          <cell r="FK47">
            <v>6</v>
          </cell>
          <cell r="FL47">
            <v>100</v>
          </cell>
          <cell r="FM47">
            <v>6</v>
          </cell>
          <cell r="FN47">
            <v>6</v>
          </cell>
          <cell r="FO47">
            <v>100</v>
          </cell>
          <cell r="FP47">
            <v>100</v>
          </cell>
          <cell r="FQ47">
            <v>100</v>
          </cell>
          <cell r="FR47" t="str">
            <v>-</v>
          </cell>
          <cell r="FS47">
            <v>100</v>
          </cell>
          <cell r="FT47">
            <v>100</v>
          </cell>
          <cell r="FU47" t="str">
            <v>-</v>
          </cell>
          <cell r="FV47">
            <v>100</v>
          </cell>
          <cell r="FW47">
            <v>100</v>
          </cell>
          <cell r="FX47" t="str">
            <v>-</v>
          </cell>
          <cell r="FY47">
            <v>100</v>
          </cell>
          <cell r="FZ47">
            <v>100</v>
          </cell>
          <cell r="GA47" t="str">
            <v>-</v>
          </cell>
          <cell r="GB47">
            <v>100</v>
          </cell>
          <cell r="GC47">
            <v>100</v>
          </cell>
          <cell r="GD47" t="str">
            <v>-</v>
          </cell>
          <cell r="GE47">
            <v>100</v>
          </cell>
          <cell r="GF47">
            <v>100</v>
          </cell>
          <cell r="GG47" t="str">
            <v>-</v>
          </cell>
          <cell r="GH47">
            <v>100</v>
          </cell>
          <cell r="GI47">
            <v>100</v>
          </cell>
          <cell r="GJ47" t="str">
            <v>-</v>
          </cell>
          <cell r="GK47">
            <v>100</v>
          </cell>
          <cell r="GL47">
            <v>100</v>
          </cell>
          <cell r="GM47" t="str">
            <v>-</v>
          </cell>
          <cell r="GN47">
            <v>17</v>
          </cell>
          <cell r="GO47">
            <v>2</v>
          </cell>
          <cell r="GP47">
            <v>89.5</v>
          </cell>
          <cell r="GQ47">
            <v>16</v>
          </cell>
          <cell r="GR47">
            <v>4</v>
          </cell>
          <cell r="GS47">
            <v>80</v>
          </cell>
          <cell r="GT47">
            <v>11</v>
          </cell>
          <cell r="GU47">
            <v>2</v>
          </cell>
          <cell r="GV47">
            <v>84.6</v>
          </cell>
          <cell r="GW47">
            <v>12</v>
          </cell>
          <cell r="GX47">
            <v>7</v>
          </cell>
          <cell r="GY47">
            <v>63.2</v>
          </cell>
          <cell r="GZ47">
            <v>11</v>
          </cell>
          <cell r="HA47">
            <v>1</v>
          </cell>
          <cell r="HB47">
            <v>91.7</v>
          </cell>
          <cell r="HC47">
            <v>7</v>
          </cell>
          <cell r="HD47">
            <v>7</v>
          </cell>
          <cell r="HE47">
            <v>100</v>
          </cell>
          <cell r="HF47">
            <v>3</v>
          </cell>
          <cell r="HG47">
            <v>3</v>
          </cell>
          <cell r="HH47">
            <v>100</v>
          </cell>
          <cell r="HI47">
            <v>13</v>
          </cell>
          <cell r="HJ47">
            <v>1</v>
          </cell>
          <cell r="HK47">
            <v>92.9</v>
          </cell>
          <cell r="HL47">
            <v>92.89996337890625</v>
          </cell>
          <cell r="HM47">
            <v>92.89996337890625</v>
          </cell>
          <cell r="HN47" t="str">
            <v>-</v>
          </cell>
          <cell r="HO47">
            <v>92.89996337890625</v>
          </cell>
          <cell r="HP47">
            <v>2</v>
          </cell>
          <cell r="HQ47">
            <v>0</v>
          </cell>
          <cell r="HR47">
            <v>4</v>
          </cell>
          <cell r="HS47">
            <v>4</v>
          </cell>
          <cell r="HT47">
            <v>100</v>
          </cell>
          <cell r="HU47">
            <v>1</v>
          </cell>
          <cell r="HV47">
            <v>1</v>
          </cell>
          <cell r="HW47">
            <v>50</v>
          </cell>
          <cell r="HX47">
            <v>1</v>
          </cell>
          <cell r="HY47">
            <v>1</v>
          </cell>
          <cell r="HZ47">
            <v>100</v>
          </cell>
          <cell r="IA47">
            <v>1</v>
          </cell>
          <cell r="IB47">
            <v>1</v>
          </cell>
          <cell r="IC47">
            <v>100</v>
          </cell>
          <cell r="ID47">
            <v>1</v>
          </cell>
          <cell r="IE47">
            <v>2</v>
          </cell>
          <cell r="IF47">
            <v>33.299999999999997</v>
          </cell>
          <cell r="IG47">
            <v>33.29998779296875</v>
          </cell>
          <cell r="IH47">
            <v>33.29998779296875</v>
          </cell>
          <cell r="II47" t="str">
            <v>-</v>
          </cell>
          <cell r="IJ47">
            <v>33.29998779296875</v>
          </cell>
          <cell r="IK47">
            <v>1</v>
          </cell>
          <cell r="IL47">
            <v>0</v>
          </cell>
          <cell r="IM47">
            <v>1</v>
          </cell>
          <cell r="IN47">
            <v>2</v>
          </cell>
          <cell r="IO47">
            <v>33.299999999999997</v>
          </cell>
          <cell r="IP47">
            <v>33.29998779296875</v>
          </cell>
          <cell r="IQ47">
            <v>33.29998779296875</v>
          </cell>
          <cell r="IR47" t="str">
            <v>-</v>
          </cell>
          <cell r="IS47">
            <v>33.29998779296875</v>
          </cell>
          <cell r="IT47">
            <v>33.29998779296875</v>
          </cell>
          <cell r="IU47" t="str">
            <v>-</v>
          </cell>
          <cell r="IV47">
            <v>33.29998779296875</v>
          </cell>
          <cell r="IW47">
            <v>33.29998779296875</v>
          </cell>
          <cell r="IX47" t="str">
            <v>-</v>
          </cell>
          <cell r="IY47">
            <v>1</v>
          </cell>
          <cell r="IZ47">
            <v>1</v>
          </cell>
          <cell r="JA47">
            <v>100</v>
          </cell>
          <cell r="JB47">
            <v>100</v>
          </cell>
          <cell r="JC47">
            <v>1</v>
          </cell>
          <cell r="JD47">
            <v>0</v>
          </cell>
          <cell r="JE47">
            <v>1</v>
          </cell>
          <cell r="JF47">
            <v>1</v>
          </cell>
          <cell r="JG47">
            <v>100</v>
          </cell>
          <cell r="JH47">
            <v>0</v>
          </cell>
          <cell r="JI47">
            <v>0</v>
          </cell>
          <cell r="JJ47" t="str">
            <v>-</v>
          </cell>
          <cell r="JK47">
            <v>0</v>
          </cell>
          <cell r="JL47">
            <v>0</v>
          </cell>
          <cell r="JM47" t="str">
            <v>-</v>
          </cell>
          <cell r="JN47">
            <v>0</v>
          </cell>
          <cell r="JO47">
            <v>0</v>
          </cell>
          <cell r="JP47" t="str">
            <v>-</v>
          </cell>
          <cell r="JQ47">
            <v>61</v>
          </cell>
          <cell r="JR47">
            <v>22</v>
          </cell>
          <cell r="JS47">
            <v>73.493975903614455</v>
          </cell>
          <cell r="JT47">
            <v>25</v>
          </cell>
          <cell r="JU47">
            <v>18</v>
          </cell>
          <cell r="JV47">
            <v>58.139534883720934</v>
          </cell>
          <cell r="JW47">
            <v>0</v>
          </cell>
          <cell r="JX47">
            <v>0</v>
          </cell>
          <cell r="JY47" t="str">
            <v>-</v>
          </cell>
          <cell r="JZ47">
            <v>16</v>
          </cell>
          <cell r="KA47">
            <v>8</v>
          </cell>
          <cell r="KB47">
            <v>66.666666666666657</v>
          </cell>
          <cell r="KC47">
            <v>0</v>
          </cell>
          <cell r="KD47">
            <v>0</v>
          </cell>
          <cell r="KE47" t="str">
            <v>-</v>
          </cell>
          <cell r="KF47">
            <v>46</v>
          </cell>
          <cell r="KG47">
            <v>9</v>
          </cell>
          <cell r="KH47">
            <v>83.636363636363626</v>
          </cell>
          <cell r="KI47">
            <v>4</v>
          </cell>
          <cell r="KJ47">
            <v>3</v>
          </cell>
          <cell r="KK47">
            <v>57.142857142857139</v>
          </cell>
          <cell r="KL47">
            <v>2</v>
          </cell>
          <cell r="KM47">
            <v>1</v>
          </cell>
          <cell r="KN47">
            <v>66.666666666666657</v>
          </cell>
        </row>
        <row r="48">
          <cell r="C48" t="str">
            <v>Gyulai Rendőrkapitányság</v>
          </cell>
          <cell r="D48">
            <v>66.6666259765625</v>
          </cell>
          <cell r="E48">
            <v>66.6666259765625</v>
          </cell>
          <cell r="F48" t="str">
            <v>-</v>
          </cell>
          <cell r="G48">
            <v>66.6666259765625</v>
          </cell>
          <cell r="H48">
            <v>66.6666259765625</v>
          </cell>
          <cell r="I48" t="str">
            <v>-</v>
          </cell>
          <cell r="J48">
            <v>66.6666259765625</v>
          </cell>
          <cell r="K48">
            <v>66.6666259765625</v>
          </cell>
          <cell r="L48" t="str">
            <v>-</v>
          </cell>
          <cell r="M48">
            <v>66.6666259765625</v>
          </cell>
          <cell r="N48">
            <v>66.6666259765625</v>
          </cell>
          <cell r="O48" t="str">
            <v>-</v>
          </cell>
          <cell r="P48">
            <v>66.6666259765625</v>
          </cell>
          <cell r="Q48">
            <v>66.6666259765625</v>
          </cell>
          <cell r="R48" t="str">
            <v>-</v>
          </cell>
          <cell r="S48">
            <v>66.6666259765625</v>
          </cell>
          <cell r="T48">
            <v>66.6666259765625</v>
          </cell>
          <cell r="U48" t="str">
            <v>-</v>
          </cell>
          <cell r="V48">
            <v>66.6666259765625</v>
          </cell>
          <cell r="W48">
            <v>66.6666259765625</v>
          </cell>
          <cell r="X48" t="str">
            <v>-</v>
          </cell>
          <cell r="Y48">
            <v>66.6666259765625</v>
          </cell>
          <cell r="Z48">
            <v>66.6666259765625</v>
          </cell>
          <cell r="AA48" t="str">
            <v>-</v>
          </cell>
          <cell r="AB48">
            <v>66.6666259765625</v>
          </cell>
          <cell r="AC48">
            <v>66.6666259765625</v>
          </cell>
          <cell r="AD48" t="str">
            <v>-</v>
          </cell>
          <cell r="AE48">
            <v>66.6666259765625</v>
          </cell>
          <cell r="AF48">
            <v>66.6666259765625</v>
          </cell>
          <cell r="AG48" t="str">
            <v>-</v>
          </cell>
          <cell r="AH48">
            <v>66.6666259765625</v>
          </cell>
          <cell r="AI48">
            <v>66.6666259765625</v>
          </cell>
          <cell r="AJ48" t="str">
            <v>-</v>
          </cell>
          <cell r="AK48">
            <v>66.6666259765625</v>
          </cell>
          <cell r="AL48">
            <v>66.6666259765625</v>
          </cell>
          <cell r="AM48" t="str">
            <v>-</v>
          </cell>
          <cell r="AN48">
            <v>66.6666259765625</v>
          </cell>
          <cell r="AO48">
            <v>66.6666259765625</v>
          </cell>
          <cell r="AP48" t="str">
            <v>-</v>
          </cell>
          <cell r="AQ48">
            <v>66.6666259765625</v>
          </cell>
          <cell r="AR48">
            <v>66.6666259765625</v>
          </cell>
          <cell r="AS48" t="str">
            <v>-</v>
          </cell>
          <cell r="AT48">
            <v>66.6666259765625</v>
          </cell>
          <cell r="AU48">
            <v>66.6666259765625</v>
          </cell>
          <cell r="AV48" t="str">
            <v>-</v>
          </cell>
          <cell r="AW48">
            <v>66.6666259765625</v>
          </cell>
          <cell r="AX48">
            <v>66.6666259765625</v>
          </cell>
          <cell r="AY48" t="str">
            <v>-</v>
          </cell>
          <cell r="AZ48">
            <v>66.6666259765625</v>
          </cell>
          <cell r="BA48">
            <v>66.6666259765625</v>
          </cell>
          <cell r="BB48" t="str">
            <v>-</v>
          </cell>
          <cell r="BC48">
            <v>66.6666259765625</v>
          </cell>
          <cell r="BD48">
            <v>66.6666259765625</v>
          </cell>
          <cell r="BE48" t="str">
            <v>-</v>
          </cell>
          <cell r="BF48">
            <v>66.6666259765625</v>
          </cell>
          <cell r="BG48">
            <v>66.6666259765625</v>
          </cell>
          <cell r="BH48" t="str">
            <v>-</v>
          </cell>
          <cell r="BI48">
            <v>66.6666259765625</v>
          </cell>
          <cell r="BJ48">
            <v>66.6666259765625</v>
          </cell>
          <cell r="BK48" t="str">
            <v>-</v>
          </cell>
          <cell r="BL48">
            <v>66.6666259765625</v>
          </cell>
          <cell r="BM48">
            <v>66.6666259765625</v>
          </cell>
          <cell r="BN48" t="str">
            <v>-</v>
          </cell>
          <cell r="BO48">
            <v>66.6666259765625</v>
          </cell>
          <cell r="BP48">
            <v>66.6666259765625</v>
          </cell>
          <cell r="BQ48" t="str">
            <v>-</v>
          </cell>
          <cell r="BR48">
            <v>66.6666259765625</v>
          </cell>
          <cell r="BS48">
            <v>66.6666259765625</v>
          </cell>
          <cell r="BT48" t="str">
            <v>-</v>
          </cell>
          <cell r="BU48">
            <v>66.6666259765625</v>
          </cell>
          <cell r="BV48">
            <v>66.6666259765625</v>
          </cell>
          <cell r="BW48" t="str">
            <v>-</v>
          </cell>
          <cell r="BX48">
            <v>34</v>
          </cell>
          <cell r="BY48">
            <v>5</v>
          </cell>
          <cell r="BZ48">
            <v>87.2</v>
          </cell>
          <cell r="CA48">
            <v>35</v>
          </cell>
          <cell r="CB48">
            <v>2</v>
          </cell>
          <cell r="CC48">
            <v>94.6</v>
          </cell>
          <cell r="CD48">
            <v>46</v>
          </cell>
          <cell r="CE48">
            <v>3</v>
          </cell>
          <cell r="CF48">
            <v>93.9</v>
          </cell>
          <cell r="CG48">
            <v>40</v>
          </cell>
          <cell r="CH48">
            <v>4</v>
          </cell>
          <cell r="CI48">
            <v>90.9</v>
          </cell>
          <cell r="CJ48">
            <v>32</v>
          </cell>
          <cell r="CK48">
            <v>5</v>
          </cell>
          <cell r="CL48">
            <v>86.5</v>
          </cell>
          <cell r="CM48">
            <v>35</v>
          </cell>
          <cell r="CN48">
            <v>9</v>
          </cell>
          <cell r="CO48">
            <v>79.5</v>
          </cell>
          <cell r="CP48">
            <v>26</v>
          </cell>
          <cell r="CQ48">
            <v>3</v>
          </cell>
          <cell r="CR48">
            <v>89.7</v>
          </cell>
          <cell r="CS48">
            <v>36</v>
          </cell>
          <cell r="CT48">
            <v>3</v>
          </cell>
          <cell r="CU48">
            <v>92.3</v>
          </cell>
          <cell r="CV48">
            <v>19</v>
          </cell>
          <cell r="CW48">
            <v>3</v>
          </cell>
          <cell r="CX48">
            <v>86.4</v>
          </cell>
          <cell r="CY48">
            <v>21</v>
          </cell>
          <cell r="CZ48">
            <v>1</v>
          </cell>
          <cell r="DA48">
            <v>95.5</v>
          </cell>
          <cell r="DB48">
            <v>18</v>
          </cell>
          <cell r="DC48">
            <v>2</v>
          </cell>
          <cell r="DD48">
            <v>90</v>
          </cell>
          <cell r="DE48">
            <v>20</v>
          </cell>
          <cell r="DF48">
            <v>4</v>
          </cell>
          <cell r="DG48">
            <v>83.3</v>
          </cell>
          <cell r="DH48">
            <v>14</v>
          </cell>
          <cell r="DI48">
            <v>2</v>
          </cell>
          <cell r="DJ48">
            <v>87.5</v>
          </cell>
          <cell r="DK48">
            <v>12</v>
          </cell>
          <cell r="DL48">
            <v>6</v>
          </cell>
          <cell r="DM48">
            <v>66.7</v>
          </cell>
          <cell r="DN48">
            <v>14</v>
          </cell>
          <cell r="DO48">
            <v>14</v>
          </cell>
          <cell r="DP48">
            <v>100</v>
          </cell>
          <cell r="DQ48">
            <v>18</v>
          </cell>
          <cell r="DR48">
            <v>3</v>
          </cell>
          <cell r="DS48">
            <v>85.7</v>
          </cell>
          <cell r="DT48">
            <v>85.699951171875</v>
          </cell>
          <cell r="DU48">
            <v>85.699951171875</v>
          </cell>
          <cell r="DV48" t="str">
            <v>-</v>
          </cell>
          <cell r="DW48">
            <v>85.699951171875</v>
          </cell>
          <cell r="DX48">
            <v>85.699951171875</v>
          </cell>
          <cell r="DY48" t="str">
            <v>-</v>
          </cell>
          <cell r="DZ48">
            <v>85.699951171875</v>
          </cell>
          <cell r="EA48">
            <v>85.699951171875</v>
          </cell>
          <cell r="EB48" t="str">
            <v>-</v>
          </cell>
          <cell r="EC48">
            <v>85.699951171875</v>
          </cell>
          <cell r="ED48">
            <v>85.699951171875</v>
          </cell>
          <cell r="EE48" t="str">
            <v>-</v>
          </cell>
          <cell r="EF48">
            <v>85.699951171875</v>
          </cell>
          <cell r="EG48">
            <v>85.699951171875</v>
          </cell>
          <cell r="EH48" t="str">
            <v>-</v>
          </cell>
          <cell r="EI48">
            <v>85.699951171875</v>
          </cell>
          <cell r="EJ48">
            <v>85.699951171875</v>
          </cell>
          <cell r="EK48" t="str">
            <v>-</v>
          </cell>
          <cell r="EL48">
            <v>85.699951171875</v>
          </cell>
          <cell r="EM48">
            <v>85.699951171875</v>
          </cell>
          <cell r="EN48" t="str">
            <v>-</v>
          </cell>
          <cell r="EO48">
            <v>85.699951171875</v>
          </cell>
          <cell r="EP48">
            <v>85.699951171875</v>
          </cell>
          <cell r="EQ48" t="str">
            <v>-</v>
          </cell>
          <cell r="ER48">
            <v>3</v>
          </cell>
          <cell r="ES48">
            <v>1</v>
          </cell>
          <cell r="ET48">
            <v>75</v>
          </cell>
          <cell r="EU48">
            <v>2</v>
          </cell>
          <cell r="EV48">
            <v>2</v>
          </cell>
          <cell r="EW48">
            <v>100</v>
          </cell>
          <cell r="EX48">
            <v>8</v>
          </cell>
          <cell r="EY48">
            <v>5</v>
          </cell>
          <cell r="EZ48">
            <v>61.5</v>
          </cell>
          <cell r="FA48">
            <v>1</v>
          </cell>
          <cell r="FB48">
            <v>2</v>
          </cell>
          <cell r="FC48">
            <v>33.299999999999997</v>
          </cell>
          <cell r="FD48">
            <v>4</v>
          </cell>
          <cell r="FE48">
            <v>4</v>
          </cell>
          <cell r="FF48">
            <v>100</v>
          </cell>
          <cell r="FG48">
            <v>4</v>
          </cell>
          <cell r="FH48">
            <v>2</v>
          </cell>
          <cell r="FI48">
            <v>66.7</v>
          </cell>
          <cell r="FJ48">
            <v>66.699951171875</v>
          </cell>
          <cell r="FK48">
            <v>66.699951171875</v>
          </cell>
          <cell r="FL48" t="str">
            <v>-</v>
          </cell>
          <cell r="FM48">
            <v>66.699951171875</v>
          </cell>
          <cell r="FN48">
            <v>66.699951171875</v>
          </cell>
          <cell r="FO48" t="str">
            <v>-</v>
          </cell>
          <cell r="FP48">
            <v>66.699951171875</v>
          </cell>
          <cell r="FQ48">
            <v>66.699951171875</v>
          </cell>
          <cell r="FR48" t="str">
            <v>-</v>
          </cell>
          <cell r="FS48">
            <v>66.699951171875</v>
          </cell>
          <cell r="FT48">
            <v>66.699951171875</v>
          </cell>
          <cell r="FU48" t="str">
            <v>-</v>
          </cell>
          <cell r="FV48">
            <v>66.699951171875</v>
          </cell>
          <cell r="FW48">
            <v>66.699951171875</v>
          </cell>
          <cell r="FX48" t="str">
            <v>-</v>
          </cell>
          <cell r="FY48">
            <v>66.699951171875</v>
          </cell>
          <cell r="FZ48">
            <v>66.699951171875</v>
          </cell>
          <cell r="GA48" t="str">
            <v>-</v>
          </cell>
          <cell r="GB48">
            <v>66.699951171875</v>
          </cell>
          <cell r="GC48">
            <v>66.699951171875</v>
          </cell>
          <cell r="GD48" t="str">
            <v>-</v>
          </cell>
          <cell r="GE48">
            <v>66.699951171875</v>
          </cell>
          <cell r="GF48">
            <v>66.699951171875</v>
          </cell>
          <cell r="GG48" t="str">
            <v>-</v>
          </cell>
          <cell r="GH48">
            <v>66.699951171875</v>
          </cell>
          <cell r="GI48">
            <v>66.699951171875</v>
          </cell>
          <cell r="GJ48" t="str">
            <v>-</v>
          </cell>
          <cell r="GK48">
            <v>66.699951171875</v>
          </cell>
          <cell r="GL48">
            <v>66.699951171875</v>
          </cell>
          <cell r="GM48" t="str">
            <v>-</v>
          </cell>
          <cell r="GN48">
            <v>38</v>
          </cell>
          <cell r="GO48">
            <v>6</v>
          </cell>
          <cell r="GP48">
            <v>86.4</v>
          </cell>
          <cell r="GQ48">
            <v>33</v>
          </cell>
          <cell r="GR48">
            <v>5</v>
          </cell>
          <cell r="GS48">
            <v>86.8</v>
          </cell>
          <cell r="GT48">
            <v>45</v>
          </cell>
          <cell r="GU48">
            <v>6</v>
          </cell>
          <cell r="GV48">
            <v>88.2</v>
          </cell>
          <cell r="GW48">
            <v>30</v>
          </cell>
          <cell r="GX48">
            <v>12</v>
          </cell>
          <cell r="GY48">
            <v>71.400000000000006</v>
          </cell>
          <cell r="GZ48">
            <v>44</v>
          </cell>
          <cell r="HA48">
            <v>11</v>
          </cell>
          <cell r="HB48">
            <v>80</v>
          </cell>
          <cell r="HC48">
            <v>27</v>
          </cell>
          <cell r="HD48">
            <v>17</v>
          </cell>
          <cell r="HE48">
            <v>61.4</v>
          </cell>
          <cell r="HF48">
            <v>23</v>
          </cell>
          <cell r="HG48">
            <v>6</v>
          </cell>
          <cell r="HH48">
            <v>79.3</v>
          </cell>
          <cell r="HI48">
            <v>22</v>
          </cell>
          <cell r="HJ48">
            <v>6</v>
          </cell>
          <cell r="HK48">
            <v>78.599999999999994</v>
          </cell>
          <cell r="HL48">
            <v>3</v>
          </cell>
          <cell r="HM48">
            <v>2</v>
          </cell>
          <cell r="HN48">
            <v>60</v>
          </cell>
          <cell r="HO48">
            <v>2</v>
          </cell>
          <cell r="HP48">
            <v>2</v>
          </cell>
          <cell r="HQ48">
            <v>50</v>
          </cell>
          <cell r="HR48">
            <v>4</v>
          </cell>
          <cell r="HS48">
            <v>2</v>
          </cell>
          <cell r="HT48">
            <v>66.7</v>
          </cell>
          <cell r="HU48">
            <v>6</v>
          </cell>
          <cell r="HV48">
            <v>2</v>
          </cell>
          <cell r="HW48">
            <v>75</v>
          </cell>
          <cell r="HX48">
            <v>2</v>
          </cell>
          <cell r="HY48">
            <v>2</v>
          </cell>
          <cell r="HZ48">
            <v>50</v>
          </cell>
          <cell r="IA48">
            <v>3</v>
          </cell>
          <cell r="IB48">
            <v>1</v>
          </cell>
          <cell r="IC48">
            <v>75</v>
          </cell>
          <cell r="ID48">
            <v>75</v>
          </cell>
          <cell r="IE48">
            <v>75</v>
          </cell>
          <cell r="IF48" t="str">
            <v>-</v>
          </cell>
          <cell r="IG48">
            <v>75</v>
          </cell>
          <cell r="IH48">
            <v>75</v>
          </cell>
          <cell r="II48" t="str">
            <v>-</v>
          </cell>
          <cell r="IJ48">
            <v>1</v>
          </cell>
          <cell r="IK48">
            <v>1</v>
          </cell>
          <cell r="IL48">
            <v>100</v>
          </cell>
          <cell r="IM48">
            <v>100</v>
          </cell>
          <cell r="IN48">
            <v>100</v>
          </cell>
          <cell r="IO48" t="str">
            <v>-</v>
          </cell>
          <cell r="IP48">
            <v>1</v>
          </cell>
          <cell r="IQ48">
            <v>1</v>
          </cell>
          <cell r="IR48">
            <v>100</v>
          </cell>
          <cell r="IS48">
            <v>1</v>
          </cell>
          <cell r="IT48">
            <v>1</v>
          </cell>
          <cell r="IU48">
            <v>100</v>
          </cell>
          <cell r="IV48">
            <v>100</v>
          </cell>
          <cell r="IW48">
            <v>1</v>
          </cell>
          <cell r="IX48">
            <v>0</v>
          </cell>
          <cell r="IY48">
            <v>3</v>
          </cell>
          <cell r="IZ48">
            <v>1</v>
          </cell>
          <cell r="JA48">
            <v>75</v>
          </cell>
          <cell r="JB48">
            <v>1</v>
          </cell>
          <cell r="JC48">
            <v>1</v>
          </cell>
          <cell r="JD48">
            <v>100</v>
          </cell>
          <cell r="JE48">
            <v>1</v>
          </cell>
          <cell r="JF48">
            <v>1</v>
          </cell>
          <cell r="JG48">
            <v>100</v>
          </cell>
          <cell r="JH48">
            <v>0</v>
          </cell>
          <cell r="JI48">
            <v>0</v>
          </cell>
          <cell r="JJ48" t="str">
            <v>-</v>
          </cell>
          <cell r="JK48">
            <v>0</v>
          </cell>
          <cell r="JL48">
            <v>0</v>
          </cell>
          <cell r="JM48" t="str">
            <v>-</v>
          </cell>
          <cell r="JN48">
            <v>0</v>
          </cell>
          <cell r="JO48">
            <v>0</v>
          </cell>
          <cell r="JP48" t="str">
            <v>-</v>
          </cell>
          <cell r="JQ48">
            <v>169</v>
          </cell>
          <cell r="JR48">
            <v>24</v>
          </cell>
          <cell r="JS48">
            <v>87.564766839378237</v>
          </cell>
          <cell r="JT48">
            <v>78</v>
          </cell>
          <cell r="JU48">
            <v>15</v>
          </cell>
          <cell r="JV48">
            <v>83.870967741935488</v>
          </cell>
          <cell r="JW48">
            <v>0</v>
          </cell>
          <cell r="JX48">
            <v>0</v>
          </cell>
          <cell r="JY48" t="str">
            <v>-</v>
          </cell>
          <cell r="JZ48">
            <v>9</v>
          </cell>
          <cell r="KA48">
            <v>4</v>
          </cell>
          <cell r="KB48">
            <v>69.230769230769226</v>
          </cell>
          <cell r="KC48">
            <v>0</v>
          </cell>
          <cell r="KD48">
            <v>0</v>
          </cell>
          <cell r="KE48" t="str">
            <v>-</v>
          </cell>
          <cell r="KF48">
            <v>146</v>
          </cell>
          <cell r="KG48">
            <v>52</v>
          </cell>
          <cell r="KH48">
            <v>73.73737373737373</v>
          </cell>
          <cell r="KI48">
            <v>11</v>
          </cell>
          <cell r="KJ48">
            <v>5</v>
          </cell>
          <cell r="KK48">
            <v>68.75</v>
          </cell>
          <cell r="KL48">
            <v>6</v>
          </cell>
          <cell r="KM48">
            <v>2</v>
          </cell>
          <cell r="KN48">
            <v>75</v>
          </cell>
        </row>
        <row r="49">
          <cell r="C49" t="str">
            <v>Mezőkovácsházi Rendőrkapitányság</v>
          </cell>
          <cell r="D49">
            <v>75</v>
          </cell>
          <cell r="E49">
            <v>75</v>
          </cell>
          <cell r="F49" t="str">
            <v>-</v>
          </cell>
          <cell r="G49">
            <v>75</v>
          </cell>
          <cell r="H49">
            <v>75</v>
          </cell>
          <cell r="I49" t="str">
            <v>-</v>
          </cell>
          <cell r="J49">
            <v>75</v>
          </cell>
          <cell r="K49">
            <v>75</v>
          </cell>
          <cell r="L49" t="str">
            <v>-</v>
          </cell>
          <cell r="M49">
            <v>75</v>
          </cell>
          <cell r="N49">
            <v>75</v>
          </cell>
          <cell r="O49" t="str">
            <v>-</v>
          </cell>
          <cell r="P49">
            <v>75</v>
          </cell>
          <cell r="Q49">
            <v>75</v>
          </cell>
          <cell r="R49" t="str">
            <v>-</v>
          </cell>
          <cell r="S49">
            <v>75</v>
          </cell>
          <cell r="T49">
            <v>75</v>
          </cell>
          <cell r="U49" t="str">
            <v>-</v>
          </cell>
          <cell r="V49">
            <v>75</v>
          </cell>
          <cell r="W49">
            <v>75</v>
          </cell>
          <cell r="X49" t="str">
            <v>-</v>
          </cell>
          <cell r="Y49">
            <v>75</v>
          </cell>
          <cell r="Z49">
            <v>75</v>
          </cell>
          <cell r="AA49" t="str">
            <v>-</v>
          </cell>
          <cell r="AB49">
            <v>75</v>
          </cell>
          <cell r="AC49">
            <v>75</v>
          </cell>
          <cell r="AD49" t="str">
            <v>-</v>
          </cell>
          <cell r="AE49">
            <v>75</v>
          </cell>
          <cell r="AF49">
            <v>75</v>
          </cell>
          <cell r="AG49" t="str">
            <v>-</v>
          </cell>
          <cell r="AH49">
            <v>75</v>
          </cell>
          <cell r="AI49">
            <v>75</v>
          </cell>
          <cell r="AJ49" t="str">
            <v>-</v>
          </cell>
          <cell r="AK49">
            <v>75</v>
          </cell>
          <cell r="AL49">
            <v>75</v>
          </cell>
          <cell r="AM49" t="str">
            <v>-</v>
          </cell>
          <cell r="AN49">
            <v>75</v>
          </cell>
          <cell r="AO49">
            <v>75</v>
          </cell>
          <cell r="AP49" t="str">
            <v>-</v>
          </cell>
          <cell r="AQ49">
            <v>75</v>
          </cell>
          <cell r="AR49">
            <v>75</v>
          </cell>
          <cell r="AS49" t="str">
            <v>-</v>
          </cell>
          <cell r="AT49">
            <v>75</v>
          </cell>
          <cell r="AU49">
            <v>75</v>
          </cell>
          <cell r="AV49" t="str">
            <v>-</v>
          </cell>
          <cell r="AW49">
            <v>75</v>
          </cell>
          <cell r="AX49">
            <v>75</v>
          </cell>
          <cell r="AY49" t="str">
            <v>-</v>
          </cell>
          <cell r="AZ49">
            <v>75</v>
          </cell>
          <cell r="BA49">
            <v>75</v>
          </cell>
          <cell r="BB49" t="str">
            <v>-</v>
          </cell>
          <cell r="BC49">
            <v>75</v>
          </cell>
          <cell r="BD49">
            <v>75</v>
          </cell>
          <cell r="BE49" t="str">
            <v>-</v>
          </cell>
          <cell r="BF49">
            <v>75</v>
          </cell>
          <cell r="BG49">
            <v>75</v>
          </cell>
          <cell r="BH49" t="str">
            <v>-</v>
          </cell>
          <cell r="BI49">
            <v>75</v>
          </cell>
          <cell r="BJ49">
            <v>75</v>
          </cell>
          <cell r="BK49" t="str">
            <v>-</v>
          </cell>
          <cell r="BL49">
            <v>75</v>
          </cell>
          <cell r="BM49">
            <v>75</v>
          </cell>
          <cell r="BN49" t="str">
            <v>-</v>
          </cell>
          <cell r="BO49">
            <v>75</v>
          </cell>
          <cell r="BP49">
            <v>75</v>
          </cell>
          <cell r="BQ49" t="str">
            <v>-</v>
          </cell>
          <cell r="BR49">
            <v>75</v>
          </cell>
          <cell r="BS49">
            <v>75</v>
          </cell>
          <cell r="BT49" t="str">
            <v>-</v>
          </cell>
          <cell r="BU49">
            <v>75</v>
          </cell>
          <cell r="BV49">
            <v>75</v>
          </cell>
          <cell r="BW49" t="str">
            <v>-</v>
          </cell>
          <cell r="BX49">
            <v>44</v>
          </cell>
          <cell r="BY49">
            <v>9</v>
          </cell>
          <cell r="BZ49">
            <v>83</v>
          </cell>
          <cell r="CA49">
            <v>60</v>
          </cell>
          <cell r="CB49">
            <v>11</v>
          </cell>
          <cell r="CC49">
            <v>84.5</v>
          </cell>
          <cell r="CD49">
            <v>67</v>
          </cell>
          <cell r="CE49">
            <v>4</v>
          </cell>
          <cell r="CF49">
            <v>94.4</v>
          </cell>
          <cell r="CG49">
            <v>47</v>
          </cell>
          <cell r="CH49">
            <v>13</v>
          </cell>
          <cell r="CI49">
            <v>78.3</v>
          </cell>
          <cell r="CJ49">
            <v>78</v>
          </cell>
          <cell r="CK49">
            <v>11</v>
          </cell>
          <cell r="CL49">
            <v>87.6</v>
          </cell>
          <cell r="CM49">
            <v>64</v>
          </cell>
          <cell r="CN49">
            <v>15</v>
          </cell>
          <cell r="CO49">
            <v>81</v>
          </cell>
          <cell r="CP49">
            <v>55</v>
          </cell>
          <cell r="CQ49">
            <v>5</v>
          </cell>
          <cell r="CR49">
            <v>91.7</v>
          </cell>
          <cell r="CS49">
            <v>46</v>
          </cell>
          <cell r="CT49">
            <v>5</v>
          </cell>
          <cell r="CU49">
            <v>90.2</v>
          </cell>
          <cell r="CV49">
            <v>20</v>
          </cell>
          <cell r="CW49">
            <v>6</v>
          </cell>
          <cell r="CX49">
            <v>76.900000000000006</v>
          </cell>
          <cell r="CY49">
            <v>27</v>
          </cell>
          <cell r="CZ49">
            <v>4</v>
          </cell>
          <cell r="DA49">
            <v>87.1</v>
          </cell>
          <cell r="DB49">
            <v>24</v>
          </cell>
          <cell r="DC49">
            <v>2</v>
          </cell>
          <cell r="DD49">
            <v>92.3</v>
          </cell>
          <cell r="DE49">
            <v>23</v>
          </cell>
          <cell r="DF49">
            <v>5</v>
          </cell>
          <cell r="DG49">
            <v>82.1</v>
          </cell>
          <cell r="DH49">
            <v>22</v>
          </cell>
          <cell r="DI49">
            <v>5</v>
          </cell>
          <cell r="DJ49">
            <v>81.5</v>
          </cell>
          <cell r="DK49">
            <v>25</v>
          </cell>
          <cell r="DL49">
            <v>3</v>
          </cell>
          <cell r="DM49">
            <v>89.3</v>
          </cell>
          <cell r="DN49">
            <v>19</v>
          </cell>
          <cell r="DO49">
            <v>2</v>
          </cell>
          <cell r="DP49">
            <v>90.5</v>
          </cell>
          <cell r="DQ49">
            <v>16</v>
          </cell>
          <cell r="DR49">
            <v>3</v>
          </cell>
          <cell r="DS49">
            <v>84.2</v>
          </cell>
          <cell r="DT49">
            <v>84.199951171875</v>
          </cell>
          <cell r="DU49">
            <v>84.199951171875</v>
          </cell>
          <cell r="DV49" t="str">
            <v>-</v>
          </cell>
          <cell r="DW49">
            <v>84.199951171875</v>
          </cell>
          <cell r="DX49">
            <v>84.199951171875</v>
          </cell>
          <cell r="DY49" t="str">
            <v>-</v>
          </cell>
          <cell r="DZ49">
            <v>84.199951171875</v>
          </cell>
          <cell r="EA49">
            <v>84.199951171875</v>
          </cell>
          <cell r="EB49" t="str">
            <v>-</v>
          </cell>
          <cell r="EC49">
            <v>84.199951171875</v>
          </cell>
          <cell r="ED49">
            <v>84.199951171875</v>
          </cell>
          <cell r="EE49" t="str">
            <v>-</v>
          </cell>
          <cell r="EF49">
            <v>84.199951171875</v>
          </cell>
          <cell r="EG49">
            <v>84.199951171875</v>
          </cell>
          <cell r="EH49" t="str">
            <v>-</v>
          </cell>
          <cell r="EI49">
            <v>84.199951171875</v>
          </cell>
          <cell r="EJ49">
            <v>84.199951171875</v>
          </cell>
          <cell r="EK49" t="str">
            <v>-</v>
          </cell>
          <cell r="EL49">
            <v>84.199951171875</v>
          </cell>
          <cell r="EM49">
            <v>84.199951171875</v>
          </cell>
          <cell r="EN49" t="str">
            <v>-</v>
          </cell>
          <cell r="EO49">
            <v>84.199951171875</v>
          </cell>
          <cell r="EP49">
            <v>84.199951171875</v>
          </cell>
          <cell r="EQ49" t="str">
            <v>-</v>
          </cell>
          <cell r="ER49">
            <v>6</v>
          </cell>
          <cell r="ES49">
            <v>7</v>
          </cell>
          <cell r="ET49">
            <v>46.2</v>
          </cell>
          <cell r="EU49">
            <v>10</v>
          </cell>
          <cell r="EV49">
            <v>3</v>
          </cell>
          <cell r="EW49">
            <v>76.900000000000006</v>
          </cell>
          <cell r="EX49">
            <v>31</v>
          </cell>
          <cell r="EY49">
            <v>6</v>
          </cell>
          <cell r="EZ49">
            <v>83.8</v>
          </cell>
          <cell r="FA49">
            <v>11</v>
          </cell>
          <cell r="FB49">
            <v>3</v>
          </cell>
          <cell r="FC49">
            <v>78.599999999999994</v>
          </cell>
          <cell r="FD49">
            <v>21</v>
          </cell>
          <cell r="FE49">
            <v>4</v>
          </cell>
          <cell r="FF49">
            <v>84</v>
          </cell>
          <cell r="FG49">
            <v>12</v>
          </cell>
          <cell r="FH49">
            <v>2</v>
          </cell>
          <cell r="FI49">
            <v>85.7</v>
          </cell>
          <cell r="FJ49">
            <v>5</v>
          </cell>
          <cell r="FK49">
            <v>1</v>
          </cell>
          <cell r="FL49">
            <v>83.3</v>
          </cell>
          <cell r="FM49">
            <v>83.29998779296875</v>
          </cell>
          <cell r="FN49">
            <v>1</v>
          </cell>
          <cell r="FO49">
            <v>0</v>
          </cell>
          <cell r="FP49">
            <v>0</v>
          </cell>
          <cell r="FQ49">
            <v>0</v>
          </cell>
          <cell r="FR49" t="str">
            <v>-</v>
          </cell>
          <cell r="FS49">
            <v>0</v>
          </cell>
          <cell r="FT49">
            <v>0</v>
          </cell>
          <cell r="FU49" t="str">
            <v>-</v>
          </cell>
          <cell r="FV49">
            <v>0</v>
          </cell>
          <cell r="FW49">
            <v>0</v>
          </cell>
          <cell r="FX49" t="str">
            <v>-</v>
          </cell>
          <cell r="FY49">
            <v>0</v>
          </cell>
          <cell r="FZ49">
            <v>0</v>
          </cell>
          <cell r="GA49" t="str">
            <v>-</v>
          </cell>
          <cell r="GB49">
            <v>0</v>
          </cell>
          <cell r="GC49">
            <v>0</v>
          </cell>
          <cell r="GD49" t="str">
            <v>-</v>
          </cell>
          <cell r="GE49">
            <v>0</v>
          </cell>
          <cell r="GF49">
            <v>0</v>
          </cell>
          <cell r="GG49" t="str">
            <v>-</v>
          </cell>
          <cell r="GH49">
            <v>0</v>
          </cell>
          <cell r="GI49">
            <v>0</v>
          </cell>
          <cell r="GJ49" t="str">
            <v>-</v>
          </cell>
          <cell r="GK49">
            <v>0</v>
          </cell>
          <cell r="GL49">
            <v>0</v>
          </cell>
          <cell r="GM49" t="str">
            <v>-</v>
          </cell>
          <cell r="GN49">
            <v>44</v>
          </cell>
          <cell r="GO49">
            <v>7</v>
          </cell>
          <cell r="GP49">
            <v>86.3</v>
          </cell>
          <cell r="GQ49">
            <v>54</v>
          </cell>
          <cell r="GR49">
            <v>17</v>
          </cell>
          <cell r="GS49">
            <v>76.099999999999994</v>
          </cell>
          <cell r="GT49">
            <v>71</v>
          </cell>
          <cell r="GU49">
            <v>10</v>
          </cell>
          <cell r="GV49">
            <v>87.7</v>
          </cell>
          <cell r="GW49">
            <v>73</v>
          </cell>
          <cell r="GX49">
            <v>9</v>
          </cell>
          <cell r="GY49">
            <v>89</v>
          </cell>
          <cell r="GZ49">
            <v>87</v>
          </cell>
          <cell r="HA49">
            <v>13</v>
          </cell>
          <cell r="HB49">
            <v>87</v>
          </cell>
          <cell r="HC49">
            <v>64</v>
          </cell>
          <cell r="HD49">
            <v>13</v>
          </cell>
          <cell r="HE49">
            <v>83.1</v>
          </cell>
          <cell r="HF49">
            <v>72</v>
          </cell>
          <cell r="HG49">
            <v>6</v>
          </cell>
          <cell r="HH49">
            <v>92.3</v>
          </cell>
          <cell r="HI49">
            <v>67</v>
          </cell>
          <cell r="HJ49">
            <v>13</v>
          </cell>
          <cell r="HK49">
            <v>83.8</v>
          </cell>
          <cell r="HL49">
            <v>3</v>
          </cell>
          <cell r="HM49">
            <v>1</v>
          </cell>
          <cell r="HN49">
            <v>75</v>
          </cell>
          <cell r="HO49">
            <v>4</v>
          </cell>
          <cell r="HP49">
            <v>4</v>
          </cell>
          <cell r="HQ49">
            <v>100</v>
          </cell>
          <cell r="HR49">
            <v>3</v>
          </cell>
          <cell r="HS49">
            <v>2</v>
          </cell>
          <cell r="HT49">
            <v>60</v>
          </cell>
          <cell r="HU49">
            <v>6</v>
          </cell>
          <cell r="HV49">
            <v>2</v>
          </cell>
          <cell r="HW49">
            <v>75</v>
          </cell>
          <cell r="HX49">
            <v>7</v>
          </cell>
          <cell r="HY49">
            <v>7</v>
          </cell>
          <cell r="HZ49">
            <v>100</v>
          </cell>
          <cell r="IA49">
            <v>4</v>
          </cell>
          <cell r="IB49">
            <v>4</v>
          </cell>
          <cell r="IC49">
            <v>100</v>
          </cell>
          <cell r="ID49">
            <v>3</v>
          </cell>
          <cell r="IE49">
            <v>1</v>
          </cell>
          <cell r="IF49">
            <v>75</v>
          </cell>
          <cell r="IG49">
            <v>5</v>
          </cell>
          <cell r="IH49">
            <v>3</v>
          </cell>
          <cell r="II49">
            <v>62.5</v>
          </cell>
          <cell r="IJ49">
            <v>5</v>
          </cell>
          <cell r="IK49">
            <v>5</v>
          </cell>
          <cell r="IL49">
            <v>100</v>
          </cell>
          <cell r="IM49">
            <v>100</v>
          </cell>
          <cell r="IN49">
            <v>100</v>
          </cell>
          <cell r="IO49" t="str">
            <v>-</v>
          </cell>
          <cell r="IP49">
            <v>100</v>
          </cell>
          <cell r="IQ49">
            <v>1</v>
          </cell>
          <cell r="IR49">
            <v>0</v>
          </cell>
          <cell r="IS49">
            <v>6</v>
          </cell>
          <cell r="IT49">
            <v>1</v>
          </cell>
          <cell r="IU49">
            <v>85.7</v>
          </cell>
          <cell r="IV49">
            <v>85.699951171875</v>
          </cell>
          <cell r="IW49">
            <v>1</v>
          </cell>
          <cell r="IX49">
            <v>0</v>
          </cell>
          <cell r="IY49">
            <v>0</v>
          </cell>
          <cell r="IZ49">
            <v>0</v>
          </cell>
          <cell r="JA49" t="str">
            <v>-</v>
          </cell>
          <cell r="JB49">
            <v>0</v>
          </cell>
          <cell r="JC49">
            <v>0</v>
          </cell>
          <cell r="JD49" t="str">
            <v>-</v>
          </cell>
          <cell r="JE49">
            <v>0</v>
          </cell>
          <cell r="JF49">
            <v>0</v>
          </cell>
          <cell r="JG49" t="str">
            <v>-</v>
          </cell>
          <cell r="JH49">
            <v>0</v>
          </cell>
          <cell r="JI49">
            <v>0</v>
          </cell>
          <cell r="JJ49" t="str">
            <v>-</v>
          </cell>
          <cell r="JK49">
            <v>0</v>
          </cell>
          <cell r="JL49">
            <v>0</v>
          </cell>
          <cell r="JM49" t="str">
            <v>-</v>
          </cell>
          <cell r="JN49">
            <v>0</v>
          </cell>
          <cell r="JO49">
            <v>0</v>
          </cell>
          <cell r="JP49" t="str">
            <v>-</v>
          </cell>
          <cell r="JQ49">
            <v>290</v>
          </cell>
          <cell r="JR49">
            <v>49</v>
          </cell>
          <cell r="JS49">
            <v>85.545722713864308</v>
          </cell>
          <cell r="JT49">
            <v>105</v>
          </cell>
          <cell r="JU49">
            <v>18</v>
          </cell>
          <cell r="JV49">
            <v>85.365853658536579</v>
          </cell>
          <cell r="JW49">
            <v>0</v>
          </cell>
          <cell r="JX49">
            <v>0</v>
          </cell>
          <cell r="JY49" t="str">
            <v>-</v>
          </cell>
          <cell r="JZ49">
            <v>49</v>
          </cell>
          <cell r="KA49">
            <v>11</v>
          </cell>
          <cell r="KB49">
            <v>81.666666666666671</v>
          </cell>
          <cell r="KC49">
            <v>0</v>
          </cell>
          <cell r="KD49">
            <v>0</v>
          </cell>
          <cell r="KE49" t="str">
            <v>-</v>
          </cell>
          <cell r="KF49">
            <v>363</v>
          </cell>
          <cell r="KG49">
            <v>54</v>
          </cell>
          <cell r="KH49">
            <v>87.050359712230218</v>
          </cell>
          <cell r="KI49">
            <v>25</v>
          </cell>
          <cell r="KJ49">
            <v>6</v>
          </cell>
          <cell r="KK49">
            <v>80.645161290322577</v>
          </cell>
          <cell r="KL49">
            <v>6</v>
          </cell>
          <cell r="KM49">
            <v>2</v>
          </cell>
          <cell r="KN49">
            <v>75</v>
          </cell>
        </row>
        <row r="50">
          <cell r="C50" t="str">
            <v>Orosházi Rendőrkapitányság</v>
          </cell>
          <cell r="D50">
            <v>75</v>
          </cell>
          <cell r="E50">
            <v>75</v>
          </cell>
          <cell r="F50" t="str">
            <v>-</v>
          </cell>
          <cell r="G50">
            <v>75</v>
          </cell>
          <cell r="H50">
            <v>75</v>
          </cell>
          <cell r="I50" t="str">
            <v>-</v>
          </cell>
          <cell r="J50">
            <v>75</v>
          </cell>
          <cell r="K50">
            <v>75</v>
          </cell>
          <cell r="L50" t="str">
            <v>-</v>
          </cell>
          <cell r="M50">
            <v>75</v>
          </cell>
          <cell r="N50">
            <v>75</v>
          </cell>
          <cell r="O50" t="str">
            <v>-</v>
          </cell>
          <cell r="P50">
            <v>75</v>
          </cell>
          <cell r="Q50">
            <v>75</v>
          </cell>
          <cell r="R50" t="str">
            <v>-</v>
          </cell>
          <cell r="S50">
            <v>75</v>
          </cell>
          <cell r="T50">
            <v>75</v>
          </cell>
          <cell r="U50" t="str">
            <v>-</v>
          </cell>
          <cell r="V50">
            <v>75</v>
          </cell>
          <cell r="W50">
            <v>75</v>
          </cell>
          <cell r="X50" t="str">
            <v>-</v>
          </cell>
          <cell r="Y50">
            <v>75</v>
          </cell>
          <cell r="Z50">
            <v>75</v>
          </cell>
          <cell r="AA50" t="str">
            <v>-</v>
          </cell>
          <cell r="AB50">
            <v>75</v>
          </cell>
          <cell r="AC50">
            <v>75</v>
          </cell>
          <cell r="AD50" t="str">
            <v>-</v>
          </cell>
          <cell r="AE50">
            <v>75</v>
          </cell>
          <cell r="AF50">
            <v>75</v>
          </cell>
          <cell r="AG50" t="str">
            <v>-</v>
          </cell>
          <cell r="AH50">
            <v>75</v>
          </cell>
          <cell r="AI50">
            <v>75</v>
          </cell>
          <cell r="AJ50" t="str">
            <v>-</v>
          </cell>
          <cell r="AK50">
            <v>75</v>
          </cell>
          <cell r="AL50">
            <v>75</v>
          </cell>
          <cell r="AM50" t="str">
            <v>-</v>
          </cell>
          <cell r="AN50">
            <v>75</v>
          </cell>
          <cell r="AO50">
            <v>75</v>
          </cell>
          <cell r="AP50" t="str">
            <v>-</v>
          </cell>
          <cell r="AQ50">
            <v>75</v>
          </cell>
          <cell r="AR50">
            <v>75</v>
          </cell>
          <cell r="AS50" t="str">
            <v>-</v>
          </cell>
          <cell r="AT50">
            <v>75</v>
          </cell>
          <cell r="AU50">
            <v>75</v>
          </cell>
          <cell r="AV50" t="str">
            <v>-</v>
          </cell>
          <cell r="AW50">
            <v>75</v>
          </cell>
          <cell r="AX50">
            <v>75</v>
          </cell>
          <cell r="AY50" t="str">
            <v>-</v>
          </cell>
          <cell r="AZ50">
            <v>75</v>
          </cell>
          <cell r="BA50">
            <v>75</v>
          </cell>
          <cell r="BB50" t="str">
            <v>-</v>
          </cell>
          <cell r="BC50">
            <v>75</v>
          </cell>
          <cell r="BD50">
            <v>75</v>
          </cell>
          <cell r="BE50" t="str">
            <v>-</v>
          </cell>
          <cell r="BF50">
            <v>75</v>
          </cell>
          <cell r="BG50">
            <v>75</v>
          </cell>
          <cell r="BH50" t="str">
            <v>-</v>
          </cell>
          <cell r="BI50">
            <v>75</v>
          </cell>
          <cell r="BJ50">
            <v>75</v>
          </cell>
          <cell r="BK50" t="str">
            <v>-</v>
          </cell>
          <cell r="BL50">
            <v>75</v>
          </cell>
          <cell r="BM50">
            <v>75</v>
          </cell>
          <cell r="BN50" t="str">
            <v>-</v>
          </cell>
          <cell r="BO50">
            <v>75</v>
          </cell>
          <cell r="BP50">
            <v>75</v>
          </cell>
          <cell r="BQ50" t="str">
            <v>-</v>
          </cell>
          <cell r="BR50">
            <v>75</v>
          </cell>
          <cell r="BS50">
            <v>75</v>
          </cell>
          <cell r="BT50" t="str">
            <v>-</v>
          </cell>
          <cell r="BU50">
            <v>75</v>
          </cell>
          <cell r="BV50">
            <v>75</v>
          </cell>
          <cell r="BW50" t="str">
            <v>-</v>
          </cell>
          <cell r="BX50">
            <v>28</v>
          </cell>
          <cell r="BY50">
            <v>2</v>
          </cell>
          <cell r="BZ50">
            <v>93.3</v>
          </cell>
          <cell r="CA50">
            <v>27</v>
          </cell>
          <cell r="CB50">
            <v>7</v>
          </cell>
          <cell r="CC50">
            <v>79.400000000000006</v>
          </cell>
          <cell r="CD50">
            <v>15</v>
          </cell>
          <cell r="CE50">
            <v>4</v>
          </cell>
          <cell r="CF50">
            <v>78.900000000000006</v>
          </cell>
          <cell r="CG50">
            <v>19</v>
          </cell>
          <cell r="CH50">
            <v>2</v>
          </cell>
          <cell r="CI50">
            <v>90.5</v>
          </cell>
          <cell r="CJ50">
            <v>20</v>
          </cell>
          <cell r="CK50">
            <v>3</v>
          </cell>
          <cell r="CL50">
            <v>87</v>
          </cell>
          <cell r="CM50">
            <v>22</v>
          </cell>
          <cell r="CN50">
            <v>6</v>
          </cell>
          <cell r="CO50">
            <v>78.599999999999994</v>
          </cell>
          <cell r="CP50">
            <v>16</v>
          </cell>
          <cell r="CQ50">
            <v>6</v>
          </cell>
          <cell r="CR50">
            <v>72.7</v>
          </cell>
          <cell r="CS50">
            <v>26</v>
          </cell>
          <cell r="CT50">
            <v>1</v>
          </cell>
          <cell r="CU50">
            <v>96.3</v>
          </cell>
          <cell r="CV50">
            <v>17</v>
          </cell>
          <cell r="CW50">
            <v>2</v>
          </cell>
          <cell r="CX50">
            <v>89.5</v>
          </cell>
          <cell r="CY50">
            <v>18</v>
          </cell>
          <cell r="CZ50">
            <v>6</v>
          </cell>
          <cell r="DA50">
            <v>75</v>
          </cell>
          <cell r="DB50">
            <v>10</v>
          </cell>
          <cell r="DC50">
            <v>2</v>
          </cell>
          <cell r="DD50">
            <v>83.3</v>
          </cell>
          <cell r="DE50">
            <v>15</v>
          </cell>
          <cell r="DF50">
            <v>1</v>
          </cell>
          <cell r="DG50">
            <v>93.8</v>
          </cell>
          <cell r="DH50">
            <v>16</v>
          </cell>
          <cell r="DI50">
            <v>3</v>
          </cell>
          <cell r="DJ50">
            <v>84.2</v>
          </cell>
          <cell r="DK50">
            <v>13</v>
          </cell>
          <cell r="DL50">
            <v>5</v>
          </cell>
          <cell r="DM50">
            <v>72.2</v>
          </cell>
          <cell r="DN50">
            <v>12</v>
          </cell>
          <cell r="DO50">
            <v>4</v>
          </cell>
          <cell r="DP50">
            <v>75</v>
          </cell>
          <cell r="DQ50">
            <v>15</v>
          </cell>
          <cell r="DR50">
            <v>15</v>
          </cell>
          <cell r="DS50">
            <v>100</v>
          </cell>
          <cell r="DT50">
            <v>100</v>
          </cell>
          <cell r="DU50">
            <v>100</v>
          </cell>
          <cell r="DV50" t="str">
            <v>-</v>
          </cell>
          <cell r="DW50">
            <v>100</v>
          </cell>
          <cell r="DX50">
            <v>100</v>
          </cell>
          <cell r="DY50" t="str">
            <v>-</v>
          </cell>
          <cell r="DZ50">
            <v>100</v>
          </cell>
          <cell r="EA50">
            <v>100</v>
          </cell>
          <cell r="EB50" t="str">
            <v>-</v>
          </cell>
          <cell r="EC50">
            <v>100</v>
          </cell>
          <cell r="ED50">
            <v>100</v>
          </cell>
          <cell r="EE50" t="str">
            <v>-</v>
          </cell>
          <cell r="EF50">
            <v>100</v>
          </cell>
          <cell r="EG50">
            <v>100</v>
          </cell>
          <cell r="EH50" t="str">
            <v>-</v>
          </cell>
          <cell r="EI50">
            <v>100</v>
          </cell>
          <cell r="EJ50">
            <v>100</v>
          </cell>
          <cell r="EK50" t="str">
            <v>-</v>
          </cell>
          <cell r="EL50">
            <v>100</v>
          </cell>
          <cell r="EM50">
            <v>100</v>
          </cell>
          <cell r="EN50" t="str">
            <v>-</v>
          </cell>
          <cell r="EO50">
            <v>100</v>
          </cell>
          <cell r="EP50">
            <v>100</v>
          </cell>
          <cell r="EQ50" t="str">
            <v>-</v>
          </cell>
          <cell r="ER50">
            <v>2</v>
          </cell>
          <cell r="ES50">
            <v>2</v>
          </cell>
          <cell r="ET50">
            <v>100</v>
          </cell>
          <cell r="EU50">
            <v>1</v>
          </cell>
          <cell r="EV50">
            <v>2</v>
          </cell>
          <cell r="EW50">
            <v>33.299999999999997</v>
          </cell>
          <cell r="EX50">
            <v>2</v>
          </cell>
          <cell r="EY50">
            <v>9</v>
          </cell>
          <cell r="EZ50">
            <v>18.2</v>
          </cell>
          <cell r="FA50">
            <v>6</v>
          </cell>
          <cell r="FB50">
            <v>6</v>
          </cell>
          <cell r="FC50">
            <v>100</v>
          </cell>
          <cell r="FD50">
            <v>1</v>
          </cell>
          <cell r="FE50">
            <v>5</v>
          </cell>
          <cell r="FF50">
            <v>16.7</v>
          </cell>
          <cell r="FG50">
            <v>4</v>
          </cell>
          <cell r="FH50">
            <v>1</v>
          </cell>
          <cell r="FI50">
            <v>80</v>
          </cell>
          <cell r="FJ50">
            <v>5</v>
          </cell>
          <cell r="FK50">
            <v>5</v>
          </cell>
          <cell r="FL50">
            <v>50</v>
          </cell>
          <cell r="FM50">
            <v>5</v>
          </cell>
          <cell r="FN50">
            <v>4</v>
          </cell>
          <cell r="FO50">
            <v>55.6</v>
          </cell>
          <cell r="FP50">
            <v>55.5999755859375</v>
          </cell>
          <cell r="FQ50">
            <v>55.5999755859375</v>
          </cell>
          <cell r="FR50" t="str">
            <v>-</v>
          </cell>
          <cell r="FS50">
            <v>55.5999755859375</v>
          </cell>
          <cell r="FT50">
            <v>55.5999755859375</v>
          </cell>
          <cell r="FU50" t="str">
            <v>-</v>
          </cell>
          <cell r="FV50">
            <v>55.5999755859375</v>
          </cell>
          <cell r="FW50">
            <v>55.5999755859375</v>
          </cell>
          <cell r="FX50" t="str">
            <v>-</v>
          </cell>
          <cell r="FY50">
            <v>55.5999755859375</v>
          </cell>
          <cell r="FZ50">
            <v>55.5999755859375</v>
          </cell>
          <cell r="GA50" t="str">
            <v>-</v>
          </cell>
          <cell r="GB50">
            <v>55.5999755859375</v>
          </cell>
          <cell r="GC50">
            <v>55.5999755859375</v>
          </cell>
          <cell r="GD50" t="str">
            <v>-</v>
          </cell>
          <cell r="GE50">
            <v>55.5999755859375</v>
          </cell>
          <cell r="GF50">
            <v>55.5999755859375</v>
          </cell>
          <cell r="GG50" t="str">
            <v>-</v>
          </cell>
          <cell r="GH50">
            <v>55.5999755859375</v>
          </cell>
          <cell r="GI50">
            <v>55.5999755859375</v>
          </cell>
          <cell r="GJ50" t="str">
            <v>-</v>
          </cell>
          <cell r="GK50">
            <v>55.5999755859375</v>
          </cell>
          <cell r="GL50">
            <v>55.5999755859375</v>
          </cell>
          <cell r="GM50" t="str">
            <v>-</v>
          </cell>
          <cell r="GN50">
            <v>6</v>
          </cell>
          <cell r="GO50">
            <v>2</v>
          </cell>
          <cell r="GP50">
            <v>75</v>
          </cell>
          <cell r="GQ50">
            <v>14</v>
          </cell>
          <cell r="GR50">
            <v>14</v>
          </cell>
          <cell r="GS50">
            <v>100</v>
          </cell>
          <cell r="GT50">
            <v>7</v>
          </cell>
          <cell r="GU50">
            <v>7</v>
          </cell>
          <cell r="GV50">
            <v>100</v>
          </cell>
          <cell r="GW50">
            <v>8</v>
          </cell>
          <cell r="GX50">
            <v>8</v>
          </cell>
          <cell r="GY50">
            <v>100</v>
          </cell>
          <cell r="GZ50">
            <v>9</v>
          </cell>
          <cell r="HA50">
            <v>9</v>
          </cell>
          <cell r="HB50">
            <v>100</v>
          </cell>
          <cell r="HC50">
            <v>15</v>
          </cell>
          <cell r="HD50">
            <v>1</v>
          </cell>
          <cell r="HE50">
            <v>93.8</v>
          </cell>
          <cell r="HF50">
            <v>12</v>
          </cell>
          <cell r="HG50">
            <v>1</v>
          </cell>
          <cell r="HH50">
            <v>92.3</v>
          </cell>
          <cell r="HI50">
            <v>24</v>
          </cell>
          <cell r="HJ50">
            <v>3</v>
          </cell>
          <cell r="HK50">
            <v>88.9</v>
          </cell>
          <cell r="HL50">
            <v>1</v>
          </cell>
          <cell r="HM50">
            <v>1</v>
          </cell>
          <cell r="HN50">
            <v>50</v>
          </cell>
          <cell r="HO50">
            <v>5</v>
          </cell>
          <cell r="HP50">
            <v>4</v>
          </cell>
          <cell r="HQ50">
            <v>55.6</v>
          </cell>
          <cell r="HR50">
            <v>55.5999755859375</v>
          </cell>
          <cell r="HS50">
            <v>55.5999755859375</v>
          </cell>
          <cell r="HT50" t="str">
            <v>-</v>
          </cell>
          <cell r="HU50">
            <v>55.5999755859375</v>
          </cell>
          <cell r="HV50">
            <v>2</v>
          </cell>
          <cell r="HW50">
            <v>0</v>
          </cell>
          <cell r="HX50">
            <v>1</v>
          </cell>
          <cell r="HY50">
            <v>1</v>
          </cell>
          <cell r="HZ50">
            <v>100</v>
          </cell>
          <cell r="IA50">
            <v>2</v>
          </cell>
          <cell r="IB50">
            <v>2</v>
          </cell>
          <cell r="IC50">
            <v>100</v>
          </cell>
          <cell r="ID50">
            <v>100</v>
          </cell>
          <cell r="IE50">
            <v>1</v>
          </cell>
          <cell r="IF50">
            <v>0</v>
          </cell>
          <cell r="IG50">
            <v>5</v>
          </cell>
          <cell r="IH50">
            <v>5</v>
          </cell>
          <cell r="II50">
            <v>100</v>
          </cell>
          <cell r="IJ50">
            <v>3</v>
          </cell>
          <cell r="IK50">
            <v>3</v>
          </cell>
          <cell r="IL50">
            <v>100</v>
          </cell>
          <cell r="IM50">
            <v>100</v>
          </cell>
          <cell r="IN50">
            <v>100</v>
          </cell>
          <cell r="IO50" t="str">
            <v>-</v>
          </cell>
          <cell r="IP50">
            <v>2</v>
          </cell>
          <cell r="IQ50">
            <v>4</v>
          </cell>
          <cell r="IR50">
            <v>33.299999999999997</v>
          </cell>
          <cell r="IS50">
            <v>2</v>
          </cell>
          <cell r="IT50">
            <v>2</v>
          </cell>
          <cell r="IU50">
            <v>100</v>
          </cell>
          <cell r="IV50">
            <v>2</v>
          </cell>
          <cell r="IW50">
            <v>2</v>
          </cell>
          <cell r="IX50">
            <v>100</v>
          </cell>
          <cell r="IY50">
            <v>2</v>
          </cell>
          <cell r="IZ50">
            <v>2</v>
          </cell>
          <cell r="JA50">
            <v>100</v>
          </cell>
          <cell r="JB50">
            <v>2</v>
          </cell>
          <cell r="JC50">
            <v>2</v>
          </cell>
          <cell r="JD50">
            <v>100</v>
          </cell>
          <cell r="JE50">
            <v>2</v>
          </cell>
          <cell r="JF50">
            <v>2</v>
          </cell>
          <cell r="JG50">
            <v>100</v>
          </cell>
          <cell r="JH50">
            <v>0</v>
          </cell>
          <cell r="JI50">
            <v>0</v>
          </cell>
          <cell r="JJ50" t="str">
            <v>-</v>
          </cell>
          <cell r="JK50">
            <v>0</v>
          </cell>
          <cell r="JL50">
            <v>0</v>
          </cell>
          <cell r="JM50" t="str">
            <v>-</v>
          </cell>
          <cell r="JN50">
            <v>0</v>
          </cell>
          <cell r="JO50">
            <v>0</v>
          </cell>
          <cell r="JP50" t="str">
            <v>-</v>
          </cell>
          <cell r="JQ50">
            <v>103</v>
          </cell>
          <cell r="JR50">
            <v>18</v>
          </cell>
          <cell r="JS50">
            <v>85.123966942148769</v>
          </cell>
          <cell r="JT50">
            <v>71</v>
          </cell>
          <cell r="JU50">
            <v>13</v>
          </cell>
          <cell r="JV50">
            <v>84.523809523809518</v>
          </cell>
          <cell r="JW50">
            <v>0</v>
          </cell>
          <cell r="JX50">
            <v>0</v>
          </cell>
          <cell r="JY50" t="str">
            <v>-</v>
          </cell>
          <cell r="JZ50">
            <v>21</v>
          </cell>
          <cell r="KA50">
            <v>15</v>
          </cell>
          <cell r="KB50">
            <v>58.333333333333336</v>
          </cell>
          <cell r="KC50">
            <v>0</v>
          </cell>
          <cell r="KD50">
            <v>0</v>
          </cell>
          <cell r="KE50" t="str">
            <v>-</v>
          </cell>
          <cell r="KF50">
            <v>68</v>
          </cell>
          <cell r="KG50">
            <v>5</v>
          </cell>
          <cell r="KH50">
            <v>93.150684931506845</v>
          </cell>
          <cell r="KI50">
            <v>8</v>
          </cell>
          <cell r="KJ50">
            <v>3</v>
          </cell>
          <cell r="KK50">
            <v>72.727272727272734</v>
          </cell>
          <cell r="KL50">
            <v>10</v>
          </cell>
          <cell r="KM50">
            <v>0</v>
          </cell>
          <cell r="KN50">
            <v>100</v>
          </cell>
        </row>
        <row r="51">
          <cell r="C51" t="str">
            <v>Szarvasi Rendőrkapitányság</v>
          </cell>
          <cell r="D51">
            <v>100</v>
          </cell>
          <cell r="E51">
            <v>100</v>
          </cell>
          <cell r="F51" t="str">
            <v>-</v>
          </cell>
          <cell r="G51">
            <v>100</v>
          </cell>
          <cell r="H51">
            <v>100</v>
          </cell>
          <cell r="I51" t="str">
            <v>-</v>
          </cell>
          <cell r="J51">
            <v>100</v>
          </cell>
          <cell r="K51">
            <v>100</v>
          </cell>
          <cell r="L51" t="str">
            <v>-</v>
          </cell>
          <cell r="M51">
            <v>100</v>
          </cell>
          <cell r="N51">
            <v>100</v>
          </cell>
          <cell r="O51" t="str">
            <v>-</v>
          </cell>
          <cell r="P51">
            <v>100</v>
          </cell>
          <cell r="Q51">
            <v>100</v>
          </cell>
          <cell r="R51" t="str">
            <v>-</v>
          </cell>
          <cell r="S51">
            <v>100</v>
          </cell>
          <cell r="T51">
            <v>100</v>
          </cell>
          <cell r="U51" t="str">
            <v>-</v>
          </cell>
          <cell r="V51">
            <v>100</v>
          </cell>
          <cell r="W51">
            <v>100</v>
          </cell>
          <cell r="X51" t="str">
            <v>-</v>
          </cell>
          <cell r="Y51">
            <v>100</v>
          </cell>
          <cell r="Z51">
            <v>100</v>
          </cell>
          <cell r="AA51" t="str">
            <v>-</v>
          </cell>
          <cell r="AB51">
            <v>100</v>
          </cell>
          <cell r="AC51">
            <v>100</v>
          </cell>
          <cell r="AD51" t="str">
            <v>-</v>
          </cell>
          <cell r="AE51">
            <v>100</v>
          </cell>
          <cell r="AF51">
            <v>100</v>
          </cell>
          <cell r="AG51" t="str">
            <v>-</v>
          </cell>
          <cell r="AH51">
            <v>100</v>
          </cell>
          <cell r="AI51">
            <v>100</v>
          </cell>
          <cell r="AJ51" t="str">
            <v>-</v>
          </cell>
          <cell r="AK51">
            <v>100</v>
          </cell>
          <cell r="AL51">
            <v>100</v>
          </cell>
          <cell r="AM51" t="str">
            <v>-</v>
          </cell>
          <cell r="AN51">
            <v>100</v>
          </cell>
          <cell r="AO51">
            <v>100</v>
          </cell>
          <cell r="AP51" t="str">
            <v>-</v>
          </cell>
          <cell r="AQ51">
            <v>100</v>
          </cell>
          <cell r="AR51">
            <v>100</v>
          </cell>
          <cell r="AS51" t="str">
            <v>-</v>
          </cell>
          <cell r="AT51">
            <v>100</v>
          </cell>
          <cell r="AU51">
            <v>100</v>
          </cell>
          <cell r="AV51" t="str">
            <v>-</v>
          </cell>
          <cell r="AW51">
            <v>100</v>
          </cell>
          <cell r="AX51">
            <v>100</v>
          </cell>
          <cell r="AY51" t="str">
            <v>-</v>
          </cell>
          <cell r="AZ51">
            <v>100</v>
          </cell>
          <cell r="BA51">
            <v>100</v>
          </cell>
          <cell r="BB51" t="str">
            <v>-</v>
          </cell>
          <cell r="BC51">
            <v>100</v>
          </cell>
          <cell r="BD51">
            <v>100</v>
          </cell>
          <cell r="BE51" t="str">
            <v>-</v>
          </cell>
          <cell r="BF51">
            <v>100</v>
          </cell>
          <cell r="BG51">
            <v>100</v>
          </cell>
          <cell r="BH51" t="str">
            <v>-</v>
          </cell>
          <cell r="BI51">
            <v>100</v>
          </cell>
          <cell r="BJ51">
            <v>100</v>
          </cell>
          <cell r="BK51" t="str">
            <v>-</v>
          </cell>
          <cell r="BL51">
            <v>100</v>
          </cell>
          <cell r="BM51">
            <v>100</v>
          </cell>
          <cell r="BN51" t="str">
            <v>-</v>
          </cell>
          <cell r="BO51">
            <v>100</v>
          </cell>
          <cell r="BP51">
            <v>100</v>
          </cell>
          <cell r="BQ51" t="str">
            <v>-</v>
          </cell>
          <cell r="BR51">
            <v>100</v>
          </cell>
          <cell r="BS51">
            <v>100</v>
          </cell>
          <cell r="BT51" t="str">
            <v>-</v>
          </cell>
          <cell r="BU51">
            <v>100</v>
          </cell>
          <cell r="BV51">
            <v>100</v>
          </cell>
          <cell r="BW51" t="str">
            <v>-</v>
          </cell>
          <cell r="BX51">
            <v>20</v>
          </cell>
          <cell r="BY51">
            <v>5</v>
          </cell>
          <cell r="BZ51">
            <v>80</v>
          </cell>
          <cell r="CA51">
            <v>18</v>
          </cell>
          <cell r="CB51">
            <v>5</v>
          </cell>
          <cell r="CC51">
            <v>78.3</v>
          </cell>
          <cell r="CD51">
            <v>28</v>
          </cell>
          <cell r="CE51">
            <v>1</v>
          </cell>
          <cell r="CF51">
            <v>96.6</v>
          </cell>
          <cell r="CG51">
            <v>24</v>
          </cell>
          <cell r="CH51">
            <v>3</v>
          </cell>
          <cell r="CI51">
            <v>88.9</v>
          </cell>
          <cell r="CJ51">
            <v>29</v>
          </cell>
          <cell r="CK51">
            <v>1</v>
          </cell>
          <cell r="CL51">
            <v>96.7</v>
          </cell>
          <cell r="CM51">
            <v>26</v>
          </cell>
          <cell r="CN51">
            <v>2</v>
          </cell>
          <cell r="CO51">
            <v>92.9</v>
          </cell>
          <cell r="CP51">
            <v>42</v>
          </cell>
          <cell r="CQ51">
            <v>1</v>
          </cell>
          <cell r="CR51">
            <v>97.7</v>
          </cell>
          <cell r="CS51">
            <v>80</v>
          </cell>
          <cell r="CT51">
            <v>1</v>
          </cell>
          <cell r="CU51">
            <v>98.8</v>
          </cell>
          <cell r="CV51">
            <v>12</v>
          </cell>
          <cell r="CW51">
            <v>2</v>
          </cell>
          <cell r="CX51">
            <v>85.7</v>
          </cell>
          <cell r="CY51">
            <v>6</v>
          </cell>
          <cell r="CZ51">
            <v>3</v>
          </cell>
          <cell r="DA51">
            <v>66.7</v>
          </cell>
          <cell r="DB51">
            <v>14</v>
          </cell>
          <cell r="DC51">
            <v>14</v>
          </cell>
          <cell r="DD51">
            <v>100</v>
          </cell>
          <cell r="DE51">
            <v>13</v>
          </cell>
          <cell r="DF51">
            <v>2</v>
          </cell>
          <cell r="DG51">
            <v>86.7</v>
          </cell>
          <cell r="DH51">
            <v>19</v>
          </cell>
          <cell r="DI51">
            <v>1</v>
          </cell>
          <cell r="DJ51">
            <v>95</v>
          </cell>
          <cell r="DK51">
            <v>16</v>
          </cell>
          <cell r="DL51">
            <v>2</v>
          </cell>
          <cell r="DM51">
            <v>88.9</v>
          </cell>
          <cell r="DN51">
            <v>19</v>
          </cell>
          <cell r="DO51">
            <v>1</v>
          </cell>
          <cell r="DP51">
            <v>95</v>
          </cell>
          <cell r="DQ51">
            <v>11</v>
          </cell>
          <cell r="DR51">
            <v>1</v>
          </cell>
          <cell r="DS51">
            <v>91.7</v>
          </cell>
          <cell r="DT51">
            <v>91.699951171875</v>
          </cell>
          <cell r="DU51">
            <v>91.699951171875</v>
          </cell>
          <cell r="DV51" t="str">
            <v>-</v>
          </cell>
          <cell r="DW51">
            <v>91.699951171875</v>
          </cell>
          <cell r="DX51">
            <v>91.699951171875</v>
          </cell>
          <cell r="DY51" t="str">
            <v>-</v>
          </cell>
          <cell r="DZ51">
            <v>91.699951171875</v>
          </cell>
          <cell r="EA51">
            <v>91.699951171875</v>
          </cell>
          <cell r="EB51" t="str">
            <v>-</v>
          </cell>
          <cell r="EC51">
            <v>91.699951171875</v>
          </cell>
          <cell r="ED51">
            <v>91.699951171875</v>
          </cell>
          <cell r="EE51" t="str">
            <v>-</v>
          </cell>
          <cell r="EF51">
            <v>91.699951171875</v>
          </cell>
          <cell r="EG51">
            <v>91.699951171875</v>
          </cell>
          <cell r="EH51" t="str">
            <v>-</v>
          </cell>
          <cell r="EI51">
            <v>91.699951171875</v>
          </cell>
          <cell r="EJ51">
            <v>91.699951171875</v>
          </cell>
          <cell r="EK51" t="str">
            <v>-</v>
          </cell>
          <cell r="EL51">
            <v>91.699951171875</v>
          </cell>
          <cell r="EM51">
            <v>91.699951171875</v>
          </cell>
          <cell r="EN51" t="str">
            <v>-</v>
          </cell>
          <cell r="EO51">
            <v>91.699951171875</v>
          </cell>
          <cell r="EP51">
            <v>91.699951171875</v>
          </cell>
          <cell r="EQ51" t="str">
            <v>-</v>
          </cell>
          <cell r="ER51">
            <v>4</v>
          </cell>
          <cell r="ES51">
            <v>4</v>
          </cell>
          <cell r="ET51">
            <v>50</v>
          </cell>
          <cell r="EU51">
            <v>50</v>
          </cell>
          <cell r="EV51">
            <v>4</v>
          </cell>
          <cell r="EW51">
            <v>0</v>
          </cell>
          <cell r="EX51">
            <v>2</v>
          </cell>
          <cell r="EY51">
            <v>2</v>
          </cell>
          <cell r="EZ51">
            <v>100</v>
          </cell>
          <cell r="FA51">
            <v>6</v>
          </cell>
          <cell r="FB51">
            <v>6</v>
          </cell>
          <cell r="FC51">
            <v>100</v>
          </cell>
          <cell r="FD51">
            <v>5</v>
          </cell>
          <cell r="FE51">
            <v>1</v>
          </cell>
          <cell r="FF51">
            <v>83.3</v>
          </cell>
          <cell r="FG51">
            <v>8</v>
          </cell>
          <cell r="FH51">
            <v>8</v>
          </cell>
          <cell r="FI51">
            <v>100</v>
          </cell>
          <cell r="FJ51">
            <v>5</v>
          </cell>
          <cell r="FK51">
            <v>1</v>
          </cell>
          <cell r="FL51">
            <v>83.3</v>
          </cell>
          <cell r="FM51">
            <v>15</v>
          </cell>
          <cell r="FN51">
            <v>15</v>
          </cell>
          <cell r="FO51">
            <v>100</v>
          </cell>
          <cell r="FP51">
            <v>100</v>
          </cell>
          <cell r="FQ51">
            <v>100</v>
          </cell>
          <cell r="FR51" t="str">
            <v>-</v>
          </cell>
          <cell r="FS51">
            <v>100</v>
          </cell>
          <cell r="FT51">
            <v>100</v>
          </cell>
          <cell r="FU51" t="str">
            <v>-</v>
          </cell>
          <cell r="FV51">
            <v>100</v>
          </cell>
          <cell r="FW51">
            <v>100</v>
          </cell>
          <cell r="FX51" t="str">
            <v>-</v>
          </cell>
          <cell r="FY51">
            <v>100</v>
          </cell>
          <cell r="FZ51">
            <v>100</v>
          </cell>
          <cell r="GA51" t="str">
            <v>-</v>
          </cell>
          <cell r="GB51">
            <v>100</v>
          </cell>
          <cell r="GC51">
            <v>100</v>
          </cell>
          <cell r="GD51" t="str">
            <v>-</v>
          </cell>
          <cell r="GE51">
            <v>100</v>
          </cell>
          <cell r="GF51">
            <v>100</v>
          </cell>
          <cell r="GG51" t="str">
            <v>-</v>
          </cell>
          <cell r="GH51">
            <v>100</v>
          </cell>
          <cell r="GI51">
            <v>100</v>
          </cell>
          <cell r="GJ51" t="str">
            <v>-</v>
          </cell>
          <cell r="GK51">
            <v>100</v>
          </cell>
          <cell r="GL51">
            <v>100</v>
          </cell>
          <cell r="GM51" t="str">
            <v>-</v>
          </cell>
          <cell r="GN51">
            <v>8</v>
          </cell>
          <cell r="GO51">
            <v>5</v>
          </cell>
          <cell r="GP51">
            <v>61.5</v>
          </cell>
          <cell r="GQ51">
            <v>4</v>
          </cell>
          <cell r="GR51">
            <v>2</v>
          </cell>
          <cell r="GS51">
            <v>66.7</v>
          </cell>
          <cell r="GT51">
            <v>4</v>
          </cell>
          <cell r="GU51">
            <v>4</v>
          </cell>
          <cell r="GV51">
            <v>100</v>
          </cell>
          <cell r="GW51">
            <v>6</v>
          </cell>
          <cell r="GX51">
            <v>2</v>
          </cell>
          <cell r="GY51">
            <v>75</v>
          </cell>
          <cell r="GZ51">
            <v>14</v>
          </cell>
          <cell r="HA51">
            <v>14</v>
          </cell>
          <cell r="HB51">
            <v>100</v>
          </cell>
          <cell r="HC51">
            <v>7</v>
          </cell>
          <cell r="HD51">
            <v>1</v>
          </cell>
          <cell r="HE51">
            <v>87.5</v>
          </cell>
          <cell r="HF51">
            <v>16</v>
          </cell>
          <cell r="HG51">
            <v>16</v>
          </cell>
          <cell r="HH51">
            <v>100</v>
          </cell>
          <cell r="HI51">
            <v>9</v>
          </cell>
          <cell r="HJ51">
            <v>9</v>
          </cell>
          <cell r="HK51">
            <v>100</v>
          </cell>
          <cell r="HL51">
            <v>1</v>
          </cell>
          <cell r="HM51">
            <v>4</v>
          </cell>
          <cell r="HN51">
            <v>20</v>
          </cell>
          <cell r="HO51">
            <v>2</v>
          </cell>
          <cell r="HP51">
            <v>1</v>
          </cell>
          <cell r="HQ51">
            <v>66.7</v>
          </cell>
          <cell r="HR51">
            <v>66.699951171875</v>
          </cell>
          <cell r="HS51">
            <v>1</v>
          </cell>
          <cell r="HT51">
            <v>0</v>
          </cell>
          <cell r="HU51">
            <v>2</v>
          </cell>
          <cell r="HV51">
            <v>1</v>
          </cell>
          <cell r="HW51">
            <v>66.7</v>
          </cell>
          <cell r="HX51">
            <v>1</v>
          </cell>
          <cell r="HY51">
            <v>1</v>
          </cell>
          <cell r="HZ51">
            <v>50</v>
          </cell>
          <cell r="IA51">
            <v>2</v>
          </cell>
          <cell r="IB51">
            <v>1</v>
          </cell>
          <cell r="IC51">
            <v>66.7</v>
          </cell>
          <cell r="ID51">
            <v>66.699951171875</v>
          </cell>
          <cell r="IE51">
            <v>66.699951171875</v>
          </cell>
          <cell r="IF51" t="str">
            <v>-</v>
          </cell>
          <cell r="IG51">
            <v>1</v>
          </cell>
          <cell r="IH51">
            <v>1</v>
          </cell>
          <cell r="II51">
            <v>100</v>
          </cell>
          <cell r="IJ51">
            <v>3</v>
          </cell>
          <cell r="IK51">
            <v>3</v>
          </cell>
          <cell r="IL51">
            <v>100</v>
          </cell>
          <cell r="IM51">
            <v>100</v>
          </cell>
          <cell r="IN51">
            <v>1</v>
          </cell>
          <cell r="IO51">
            <v>0</v>
          </cell>
          <cell r="IP51">
            <v>2</v>
          </cell>
          <cell r="IQ51">
            <v>2</v>
          </cell>
          <cell r="IR51">
            <v>50</v>
          </cell>
          <cell r="IS51">
            <v>50</v>
          </cell>
          <cell r="IT51">
            <v>50</v>
          </cell>
          <cell r="IU51" t="str">
            <v>-</v>
          </cell>
          <cell r="IV51">
            <v>50</v>
          </cell>
          <cell r="IW51">
            <v>50</v>
          </cell>
          <cell r="IX51" t="str">
            <v>-</v>
          </cell>
          <cell r="IY51">
            <v>50</v>
          </cell>
          <cell r="IZ51">
            <v>50</v>
          </cell>
          <cell r="JA51" t="str">
            <v>-</v>
          </cell>
          <cell r="JB51">
            <v>1</v>
          </cell>
          <cell r="JC51">
            <v>1</v>
          </cell>
          <cell r="JD51">
            <v>100</v>
          </cell>
          <cell r="JE51">
            <v>1</v>
          </cell>
          <cell r="JF51">
            <v>1</v>
          </cell>
          <cell r="JG51">
            <v>100</v>
          </cell>
          <cell r="JH51">
            <v>0</v>
          </cell>
          <cell r="JI51">
            <v>0</v>
          </cell>
          <cell r="JJ51" t="str">
            <v>-</v>
          </cell>
          <cell r="JK51">
            <v>0</v>
          </cell>
          <cell r="JL51">
            <v>0</v>
          </cell>
          <cell r="JM51" t="str">
            <v>-</v>
          </cell>
          <cell r="JN51">
            <v>0</v>
          </cell>
          <cell r="JO51">
            <v>0</v>
          </cell>
          <cell r="JP51" t="str">
            <v>-</v>
          </cell>
          <cell r="JQ51">
            <v>201</v>
          </cell>
          <cell r="JR51">
            <v>8</v>
          </cell>
          <cell r="JS51">
            <v>96.172248803827756</v>
          </cell>
          <cell r="JT51">
            <v>78</v>
          </cell>
          <cell r="JU51">
            <v>7</v>
          </cell>
          <cell r="JV51">
            <v>91.764705882352942</v>
          </cell>
          <cell r="JW51">
            <v>0</v>
          </cell>
          <cell r="JX51">
            <v>0</v>
          </cell>
          <cell r="JY51" t="str">
            <v>-</v>
          </cell>
          <cell r="JZ51">
            <v>39</v>
          </cell>
          <cell r="KA51">
            <v>2</v>
          </cell>
          <cell r="KB51">
            <v>95.121951219512198</v>
          </cell>
          <cell r="KC51">
            <v>0</v>
          </cell>
          <cell r="KD51">
            <v>0</v>
          </cell>
          <cell r="KE51" t="str">
            <v>-</v>
          </cell>
          <cell r="KF51">
            <v>52</v>
          </cell>
          <cell r="KG51">
            <v>3</v>
          </cell>
          <cell r="KH51">
            <v>94.545454545454547</v>
          </cell>
          <cell r="KI51">
            <v>6</v>
          </cell>
          <cell r="KJ51">
            <v>3</v>
          </cell>
          <cell r="KK51">
            <v>66.666666666666657</v>
          </cell>
          <cell r="KL51">
            <v>2</v>
          </cell>
          <cell r="KM51">
            <v>0</v>
          </cell>
          <cell r="KN51">
            <v>100</v>
          </cell>
        </row>
        <row r="52">
          <cell r="C52" t="str">
            <v>Szeghalmi Rendőrkapitányság</v>
          </cell>
          <cell r="D52">
            <v>100</v>
          </cell>
          <cell r="E52">
            <v>100</v>
          </cell>
          <cell r="F52" t="str">
            <v>-</v>
          </cell>
          <cell r="G52">
            <v>100</v>
          </cell>
          <cell r="H52">
            <v>100</v>
          </cell>
          <cell r="I52" t="str">
            <v>-</v>
          </cell>
          <cell r="J52">
            <v>100</v>
          </cell>
          <cell r="K52">
            <v>100</v>
          </cell>
          <cell r="L52" t="str">
            <v>-</v>
          </cell>
          <cell r="M52">
            <v>100</v>
          </cell>
          <cell r="N52">
            <v>100</v>
          </cell>
          <cell r="O52" t="str">
            <v>-</v>
          </cell>
          <cell r="P52">
            <v>100</v>
          </cell>
          <cell r="Q52">
            <v>100</v>
          </cell>
          <cell r="R52" t="str">
            <v>-</v>
          </cell>
          <cell r="S52">
            <v>100</v>
          </cell>
          <cell r="T52">
            <v>100</v>
          </cell>
          <cell r="U52" t="str">
            <v>-</v>
          </cell>
          <cell r="V52">
            <v>100</v>
          </cell>
          <cell r="W52">
            <v>100</v>
          </cell>
          <cell r="X52" t="str">
            <v>-</v>
          </cell>
          <cell r="Y52">
            <v>100</v>
          </cell>
          <cell r="Z52">
            <v>100</v>
          </cell>
          <cell r="AA52" t="str">
            <v>-</v>
          </cell>
          <cell r="AB52">
            <v>100</v>
          </cell>
          <cell r="AC52">
            <v>100</v>
          </cell>
          <cell r="AD52" t="str">
            <v>-</v>
          </cell>
          <cell r="AE52">
            <v>100</v>
          </cell>
          <cell r="AF52">
            <v>100</v>
          </cell>
          <cell r="AG52" t="str">
            <v>-</v>
          </cell>
          <cell r="AH52">
            <v>100</v>
          </cell>
          <cell r="AI52">
            <v>100</v>
          </cell>
          <cell r="AJ52" t="str">
            <v>-</v>
          </cell>
          <cell r="AK52">
            <v>100</v>
          </cell>
          <cell r="AL52">
            <v>100</v>
          </cell>
          <cell r="AM52" t="str">
            <v>-</v>
          </cell>
          <cell r="AN52">
            <v>100</v>
          </cell>
          <cell r="AO52">
            <v>100</v>
          </cell>
          <cell r="AP52" t="str">
            <v>-</v>
          </cell>
          <cell r="AQ52">
            <v>100</v>
          </cell>
          <cell r="AR52">
            <v>100</v>
          </cell>
          <cell r="AS52" t="str">
            <v>-</v>
          </cell>
          <cell r="AT52">
            <v>100</v>
          </cell>
          <cell r="AU52">
            <v>100</v>
          </cell>
          <cell r="AV52" t="str">
            <v>-</v>
          </cell>
          <cell r="AW52">
            <v>100</v>
          </cell>
          <cell r="AX52">
            <v>100</v>
          </cell>
          <cell r="AY52" t="str">
            <v>-</v>
          </cell>
          <cell r="AZ52">
            <v>100</v>
          </cell>
          <cell r="BA52">
            <v>100</v>
          </cell>
          <cell r="BB52" t="str">
            <v>-</v>
          </cell>
          <cell r="BC52">
            <v>100</v>
          </cell>
          <cell r="BD52">
            <v>100</v>
          </cell>
          <cell r="BE52" t="str">
            <v>-</v>
          </cell>
          <cell r="BF52">
            <v>100</v>
          </cell>
          <cell r="BG52">
            <v>100</v>
          </cell>
          <cell r="BH52" t="str">
            <v>-</v>
          </cell>
          <cell r="BI52">
            <v>100</v>
          </cell>
          <cell r="BJ52">
            <v>100</v>
          </cell>
          <cell r="BK52" t="str">
            <v>-</v>
          </cell>
          <cell r="BL52">
            <v>100</v>
          </cell>
          <cell r="BM52">
            <v>100</v>
          </cell>
          <cell r="BN52" t="str">
            <v>-</v>
          </cell>
          <cell r="BO52">
            <v>100</v>
          </cell>
          <cell r="BP52">
            <v>100</v>
          </cell>
          <cell r="BQ52" t="str">
            <v>-</v>
          </cell>
          <cell r="BR52">
            <v>100</v>
          </cell>
          <cell r="BS52">
            <v>100</v>
          </cell>
          <cell r="BT52" t="str">
            <v>-</v>
          </cell>
          <cell r="BU52">
            <v>100</v>
          </cell>
          <cell r="BV52">
            <v>100</v>
          </cell>
          <cell r="BW52" t="str">
            <v>-</v>
          </cell>
          <cell r="BX52">
            <v>40</v>
          </cell>
          <cell r="BY52">
            <v>10</v>
          </cell>
          <cell r="BZ52">
            <v>80</v>
          </cell>
          <cell r="CA52">
            <v>33</v>
          </cell>
          <cell r="CB52">
            <v>5</v>
          </cell>
          <cell r="CC52">
            <v>86.8</v>
          </cell>
          <cell r="CD52">
            <v>30</v>
          </cell>
          <cell r="CE52">
            <v>5</v>
          </cell>
          <cell r="CF52">
            <v>85.7</v>
          </cell>
          <cell r="CG52">
            <v>24</v>
          </cell>
          <cell r="CH52">
            <v>24</v>
          </cell>
          <cell r="CI52">
            <v>100</v>
          </cell>
          <cell r="CJ52">
            <v>35</v>
          </cell>
          <cell r="CK52">
            <v>2</v>
          </cell>
          <cell r="CL52">
            <v>94.6</v>
          </cell>
          <cell r="CM52">
            <v>36</v>
          </cell>
          <cell r="CN52">
            <v>7</v>
          </cell>
          <cell r="CO52">
            <v>83.7</v>
          </cell>
          <cell r="CP52">
            <v>20</v>
          </cell>
          <cell r="CQ52">
            <v>2</v>
          </cell>
          <cell r="CR52">
            <v>90.9</v>
          </cell>
          <cell r="CS52">
            <v>27</v>
          </cell>
          <cell r="CT52">
            <v>7</v>
          </cell>
          <cell r="CU52">
            <v>79.400000000000006</v>
          </cell>
          <cell r="CV52">
            <v>15</v>
          </cell>
          <cell r="CW52">
            <v>9</v>
          </cell>
          <cell r="CX52">
            <v>62.5</v>
          </cell>
          <cell r="CY52">
            <v>15</v>
          </cell>
          <cell r="CZ52">
            <v>3</v>
          </cell>
          <cell r="DA52">
            <v>83.3</v>
          </cell>
          <cell r="DB52">
            <v>19</v>
          </cell>
          <cell r="DC52">
            <v>5</v>
          </cell>
          <cell r="DD52">
            <v>79.2</v>
          </cell>
          <cell r="DE52">
            <v>16</v>
          </cell>
          <cell r="DF52">
            <v>16</v>
          </cell>
          <cell r="DG52">
            <v>100</v>
          </cell>
          <cell r="DH52">
            <v>19</v>
          </cell>
          <cell r="DI52">
            <v>2</v>
          </cell>
          <cell r="DJ52">
            <v>90.5</v>
          </cell>
          <cell r="DK52">
            <v>19</v>
          </cell>
          <cell r="DL52">
            <v>3</v>
          </cell>
          <cell r="DM52">
            <v>86.4</v>
          </cell>
          <cell r="DN52">
            <v>9</v>
          </cell>
          <cell r="DO52">
            <v>1</v>
          </cell>
          <cell r="DP52">
            <v>90</v>
          </cell>
          <cell r="DQ52">
            <v>15</v>
          </cell>
          <cell r="DR52">
            <v>3</v>
          </cell>
          <cell r="DS52">
            <v>83.3</v>
          </cell>
          <cell r="DT52">
            <v>83.29998779296875</v>
          </cell>
          <cell r="DU52">
            <v>83.29998779296875</v>
          </cell>
          <cell r="DV52" t="str">
            <v>-</v>
          </cell>
          <cell r="DW52">
            <v>83.29998779296875</v>
          </cell>
          <cell r="DX52">
            <v>83.29998779296875</v>
          </cell>
          <cell r="DY52" t="str">
            <v>-</v>
          </cell>
          <cell r="DZ52">
            <v>83.29998779296875</v>
          </cell>
          <cell r="EA52">
            <v>83.29998779296875</v>
          </cell>
          <cell r="EB52" t="str">
            <v>-</v>
          </cell>
          <cell r="EC52">
            <v>83.29998779296875</v>
          </cell>
          <cell r="ED52">
            <v>83.29998779296875</v>
          </cell>
          <cell r="EE52" t="str">
            <v>-</v>
          </cell>
          <cell r="EF52">
            <v>83.29998779296875</v>
          </cell>
          <cell r="EG52">
            <v>83.29998779296875</v>
          </cell>
          <cell r="EH52" t="str">
            <v>-</v>
          </cell>
          <cell r="EI52">
            <v>83.29998779296875</v>
          </cell>
          <cell r="EJ52">
            <v>83.29998779296875</v>
          </cell>
          <cell r="EK52" t="str">
            <v>-</v>
          </cell>
          <cell r="EL52">
            <v>83.29998779296875</v>
          </cell>
          <cell r="EM52">
            <v>83.29998779296875</v>
          </cell>
          <cell r="EN52" t="str">
            <v>-</v>
          </cell>
          <cell r="EO52">
            <v>83.29998779296875</v>
          </cell>
          <cell r="EP52">
            <v>83.29998779296875</v>
          </cell>
          <cell r="EQ52" t="str">
            <v>-</v>
          </cell>
          <cell r="ER52">
            <v>1</v>
          </cell>
          <cell r="ES52">
            <v>1</v>
          </cell>
          <cell r="ET52">
            <v>100</v>
          </cell>
          <cell r="EU52">
            <v>100</v>
          </cell>
          <cell r="EV52">
            <v>3</v>
          </cell>
          <cell r="EW52">
            <v>0</v>
          </cell>
          <cell r="EX52">
            <v>4</v>
          </cell>
          <cell r="EY52">
            <v>4</v>
          </cell>
          <cell r="EZ52">
            <v>100</v>
          </cell>
          <cell r="FA52">
            <v>7</v>
          </cell>
          <cell r="FB52">
            <v>2</v>
          </cell>
          <cell r="FC52">
            <v>77.8</v>
          </cell>
          <cell r="FD52">
            <v>77.79998779296875</v>
          </cell>
          <cell r="FE52">
            <v>77.79998779296875</v>
          </cell>
          <cell r="FF52" t="str">
            <v>-</v>
          </cell>
          <cell r="FG52">
            <v>4</v>
          </cell>
          <cell r="FH52">
            <v>4</v>
          </cell>
          <cell r="FI52">
            <v>100</v>
          </cell>
          <cell r="FJ52">
            <v>6</v>
          </cell>
          <cell r="FK52">
            <v>6</v>
          </cell>
          <cell r="FL52">
            <v>100</v>
          </cell>
          <cell r="FM52">
            <v>3</v>
          </cell>
          <cell r="FN52">
            <v>3</v>
          </cell>
          <cell r="FO52">
            <v>100</v>
          </cell>
          <cell r="FP52">
            <v>100</v>
          </cell>
          <cell r="FQ52">
            <v>100</v>
          </cell>
          <cell r="FR52" t="str">
            <v>-</v>
          </cell>
          <cell r="FS52">
            <v>100</v>
          </cell>
          <cell r="FT52">
            <v>100</v>
          </cell>
          <cell r="FU52" t="str">
            <v>-</v>
          </cell>
          <cell r="FV52">
            <v>100</v>
          </cell>
          <cell r="FW52">
            <v>100</v>
          </cell>
          <cell r="FX52" t="str">
            <v>-</v>
          </cell>
          <cell r="FY52">
            <v>100</v>
          </cell>
          <cell r="FZ52">
            <v>100</v>
          </cell>
          <cell r="GA52" t="str">
            <v>-</v>
          </cell>
          <cell r="GB52">
            <v>100</v>
          </cell>
          <cell r="GC52">
            <v>100</v>
          </cell>
          <cell r="GD52" t="str">
            <v>-</v>
          </cell>
          <cell r="GE52">
            <v>100</v>
          </cell>
          <cell r="GF52">
            <v>100</v>
          </cell>
          <cell r="GG52" t="str">
            <v>-</v>
          </cell>
          <cell r="GH52">
            <v>100</v>
          </cell>
          <cell r="GI52">
            <v>100</v>
          </cell>
          <cell r="GJ52" t="str">
            <v>-</v>
          </cell>
          <cell r="GK52">
            <v>100</v>
          </cell>
          <cell r="GL52">
            <v>100</v>
          </cell>
          <cell r="GM52" t="str">
            <v>-</v>
          </cell>
          <cell r="GN52">
            <v>15</v>
          </cell>
          <cell r="GO52">
            <v>2</v>
          </cell>
          <cell r="GP52">
            <v>88.2</v>
          </cell>
          <cell r="GQ52">
            <v>11</v>
          </cell>
          <cell r="GR52">
            <v>1</v>
          </cell>
          <cell r="GS52">
            <v>91.7</v>
          </cell>
          <cell r="GT52">
            <v>19</v>
          </cell>
          <cell r="GU52">
            <v>2</v>
          </cell>
          <cell r="GV52">
            <v>90.5</v>
          </cell>
          <cell r="GW52">
            <v>15</v>
          </cell>
          <cell r="GX52">
            <v>15</v>
          </cell>
          <cell r="GY52">
            <v>100</v>
          </cell>
          <cell r="GZ52">
            <v>31</v>
          </cell>
          <cell r="HA52">
            <v>1</v>
          </cell>
          <cell r="HB52">
            <v>96.9</v>
          </cell>
          <cell r="HC52">
            <v>24</v>
          </cell>
          <cell r="HD52">
            <v>1</v>
          </cell>
          <cell r="HE52">
            <v>96</v>
          </cell>
          <cell r="HF52">
            <v>49</v>
          </cell>
          <cell r="HG52">
            <v>3</v>
          </cell>
          <cell r="HH52">
            <v>94.2</v>
          </cell>
          <cell r="HI52">
            <v>51</v>
          </cell>
          <cell r="HJ52">
            <v>4</v>
          </cell>
          <cell r="HK52">
            <v>92.7</v>
          </cell>
          <cell r="HL52">
            <v>1</v>
          </cell>
          <cell r="HM52">
            <v>1</v>
          </cell>
          <cell r="HN52">
            <v>50</v>
          </cell>
          <cell r="HO52">
            <v>2</v>
          </cell>
          <cell r="HP52">
            <v>2</v>
          </cell>
          <cell r="HQ52">
            <v>100</v>
          </cell>
          <cell r="HR52">
            <v>2</v>
          </cell>
          <cell r="HS52">
            <v>2</v>
          </cell>
          <cell r="HT52">
            <v>100</v>
          </cell>
          <cell r="HU52">
            <v>100</v>
          </cell>
          <cell r="HV52">
            <v>100</v>
          </cell>
          <cell r="HW52" t="str">
            <v>-</v>
          </cell>
          <cell r="HX52">
            <v>2</v>
          </cell>
          <cell r="HY52">
            <v>1</v>
          </cell>
          <cell r="HZ52">
            <v>66.7</v>
          </cell>
          <cell r="IA52">
            <v>1</v>
          </cell>
          <cell r="IB52">
            <v>1</v>
          </cell>
          <cell r="IC52">
            <v>50</v>
          </cell>
          <cell r="ID52">
            <v>50</v>
          </cell>
          <cell r="IE52">
            <v>50</v>
          </cell>
          <cell r="IF52" t="str">
            <v>-</v>
          </cell>
          <cell r="IG52">
            <v>2</v>
          </cell>
          <cell r="IH52">
            <v>2</v>
          </cell>
          <cell r="II52">
            <v>100</v>
          </cell>
          <cell r="IJ52">
            <v>1</v>
          </cell>
          <cell r="IK52">
            <v>1</v>
          </cell>
          <cell r="IL52">
            <v>100</v>
          </cell>
          <cell r="IM52">
            <v>1</v>
          </cell>
          <cell r="IN52">
            <v>1</v>
          </cell>
          <cell r="IO52">
            <v>100</v>
          </cell>
          <cell r="IP52">
            <v>2</v>
          </cell>
          <cell r="IQ52">
            <v>2</v>
          </cell>
          <cell r="IR52">
            <v>100</v>
          </cell>
          <cell r="IS52">
            <v>100</v>
          </cell>
          <cell r="IT52">
            <v>100</v>
          </cell>
          <cell r="IU52" t="str">
            <v>-</v>
          </cell>
          <cell r="IV52">
            <v>100</v>
          </cell>
          <cell r="IW52">
            <v>100</v>
          </cell>
          <cell r="IX52" t="str">
            <v>-</v>
          </cell>
          <cell r="IY52">
            <v>2</v>
          </cell>
          <cell r="IZ52">
            <v>2</v>
          </cell>
          <cell r="JA52">
            <v>100</v>
          </cell>
          <cell r="JB52">
            <v>1</v>
          </cell>
          <cell r="JC52">
            <v>1</v>
          </cell>
          <cell r="JD52">
            <v>100</v>
          </cell>
          <cell r="JE52">
            <v>1</v>
          </cell>
          <cell r="JF52">
            <v>1</v>
          </cell>
          <cell r="JG52">
            <v>100</v>
          </cell>
          <cell r="JH52">
            <v>0</v>
          </cell>
          <cell r="JI52">
            <v>0</v>
          </cell>
          <cell r="JJ52" t="str">
            <v>-</v>
          </cell>
          <cell r="JK52">
            <v>0</v>
          </cell>
          <cell r="JL52">
            <v>0</v>
          </cell>
          <cell r="JM52" t="str">
            <v>-</v>
          </cell>
          <cell r="JN52">
            <v>0</v>
          </cell>
          <cell r="JO52">
            <v>0</v>
          </cell>
          <cell r="JP52" t="str">
            <v>-</v>
          </cell>
          <cell r="JQ52">
            <v>142</v>
          </cell>
          <cell r="JR52">
            <v>18</v>
          </cell>
          <cell r="JS52">
            <v>88.75</v>
          </cell>
          <cell r="JT52">
            <v>78</v>
          </cell>
          <cell r="JU52">
            <v>9</v>
          </cell>
          <cell r="JV52">
            <v>89.65517241379311</v>
          </cell>
          <cell r="JW52">
            <v>0</v>
          </cell>
          <cell r="JX52">
            <v>0</v>
          </cell>
          <cell r="JY52" t="str">
            <v>-</v>
          </cell>
          <cell r="JZ52">
            <v>20</v>
          </cell>
          <cell r="KA52">
            <v>2</v>
          </cell>
          <cell r="KB52">
            <v>90.909090909090907</v>
          </cell>
          <cell r="KC52">
            <v>0</v>
          </cell>
          <cell r="KD52">
            <v>0</v>
          </cell>
          <cell r="KE52" t="str">
            <v>-</v>
          </cell>
          <cell r="KF52">
            <v>170</v>
          </cell>
          <cell r="KG52">
            <v>9</v>
          </cell>
          <cell r="KH52">
            <v>94.97206703910615</v>
          </cell>
          <cell r="KI52">
            <v>5</v>
          </cell>
          <cell r="KJ52">
            <v>2</v>
          </cell>
          <cell r="KK52">
            <v>71.428571428571431</v>
          </cell>
          <cell r="KL52">
            <v>4</v>
          </cell>
          <cell r="KM52">
            <v>0</v>
          </cell>
          <cell r="KN52">
            <v>100</v>
          </cell>
        </row>
        <row r="53">
          <cell r="C53" t="str">
            <v>Sarkadi Rendőrkapitányság</v>
          </cell>
          <cell r="D53">
            <v>100</v>
          </cell>
          <cell r="E53">
            <v>100</v>
          </cell>
          <cell r="F53" t="str">
            <v>-</v>
          </cell>
          <cell r="G53">
            <v>100</v>
          </cell>
          <cell r="H53">
            <v>100</v>
          </cell>
          <cell r="I53" t="str">
            <v>-</v>
          </cell>
          <cell r="J53">
            <v>100</v>
          </cell>
          <cell r="K53">
            <v>100</v>
          </cell>
          <cell r="L53" t="str">
            <v>-</v>
          </cell>
          <cell r="M53">
            <v>100</v>
          </cell>
          <cell r="N53">
            <v>100</v>
          </cell>
          <cell r="O53" t="str">
            <v>-</v>
          </cell>
          <cell r="P53">
            <v>100</v>
          </cell>
          <cell r="Q53">
            <v>100</v>
          </cell>
          <cell r="R53" t="str">
            <v>-</v>
          </cell>
          <cell r="S53">
            <v>100</v>
          </cell>
          <cell r="T53">
            <v>100</v>
          </cell>
          <cell r="U53" t="str">
            <v>-</v>
          </cell>
          <cell r="V53">
            <v>100</v>
          </cell>
          <cell r="W53">
            <v>100</v>
          </cell>
          <cell r="X53" t="str">
            <v>-</v>
          </cell>
          <cell r="Y53">
            <v>100</v>
          </cell>
          <cell r="Z53">
            <v>100</v>
          </cell>
          <cell r="AA53" t="str">
            <v>-</v>
          </cell>
          <cell r="AB53">
            <v>100</v>
          </cell>
          <cell r="AC53">
            <v>100</v>
          </cell>
          <cell r="AD53" t="str">
            <v>-</v>
          </cell>
          <cell r="AE53">
            <v>100</v>
          </cell>
          <cell r="AF53">
            <v>100</v>
          </cell>
          <cell r="AG53" t="str">
            <v>-</v>
          </cell>
          <cell r="AH53">
            <v>100</v>
          </cell>
          <cell r="AI53">
            <v>100</v>
          </cell>
          <cell r="AJ53" t="str">
            <v>-</v>
          </cell>
          <cell r="AK53">
            <v>100</v>
          </cell>
          <cell r="AL53">
            <v>100</v>
          </cell>
          <cell r="AM53" t="str">
            <v>-</v>
          </cell>
          <cell r="AN53">
            <v>100</v>
          </cell>
          <cell r="AO53">
            <v>100</v>
          </cell>
          <cell r="AP53" t="str">
            <v>-</v>
          </cell>
          <cell r="AQ53">
            <v>100</v>
          </cell>
          <cell r="AR53">
            <v>100</v>
          </cell>
          <cell r="AS53" t="str">
            <v>-</v>
          </cell>
          <cell r="AT53">
            <v>100</v>
          </cell>
          <cell r="AU53">
            <v>100</v>
          </cell>
          <cell r="AV53" t="str">
            <v>-</v>
          </cell>
          <cell r="AW53">
            <v>100</v>
          </cell>
          <cell r="AX53">
            <v>100</v>
          </cell>
          <cell r="AY53" t="str">
            <v>-</v>
          </cell>
          <cell r="AZ53">
            <v>100</v>
          </cell>
          <cell r="BA53">
            <v>100</v>
          </cell>
          <cell r="BB53" t="str">
            <v>-</v>
          </cell>
          <cell r="BC53">
            <v>100</v>
          </cell>
          <cell r="BD53">
            <v>100</v>
          </cell>
          <cell r="BE53" t="str">
            <v>-</v>
          </cell>
          <cell r="BF53">
            <v>100</v>
          </cell>
          <cell r="BG53">
            <v>100</v>
          </cell>
          <cell r="BH53" t="str">
            <v>-</v>
          </cell>
          <cell r="BI53">
            <v>100</v>
          </cell>
          <cell r="BJ53">
            <v>100</v>
          </cell>
          <cell r="BK53" t="str">
            <v>-</v>
          </cell>
          <cell r="BL53">
            <v>100</v>
          </cell>
          <cell r="BM53">
            <v>100</v>
          </cell>
          <cell r="BN53" t="str">
            <v>-</v>
          </cell>
          <cell r="BO53">
            <v>100</v>
          </cell>
          <cell r="BP53">
            <v>100</v>
          </cell>
          <cell r="BQ53" t="str">
            <v>-</v>
          </cell>
          <cell r="BR53">
            <v>100</v>
          </cell>
          <cell r="BS53">
            <v>100</v>
          </cell>
          <cell r="BT53" t="str">
            <v>-</v>
          </cell>
          <cell r="BU53">
            <v>100</v>
          </cell>
          <cell r="BV53">
            <v>100</v>
          </cell>
          <cell r="BW53" t="str">
            <v>-</v>
          </cell>
          <cell r="BX53">
            <v>14</v>
          </cell>
          <cell r="BY53">
            <v>5</v>
          </cell>
          <cell r="BZ53">
            <v>73.7</v>
          </cell>
          <cell r="CA53">
            <v>18</v>
          </cell>
          <cell r="CB53">
            <v>2</v>
          </cell>
          <cell r="CC53">
            <v>90</v>
          </cell>
          <cell r="CD53">
            <v>23</v>
          </cell>
          <cell r="CE53">
            <v>4</v>
          </cell>
          <cell r="CF53">
            <v>85.2</v>
          </cell>
          <cell r="CG53">
            <v>24</v>
          </cell>
          <cell r="CH53">
            <v>3</v>
          </cell>
          <cell r="CI53">
            <v>88.9</v>
          </cell>
          <cell r="CJ53">
            <v>33</v>
          </cell>
          <cell r="CK53">
            <v>12</v>
          </cell>
          <cell r="CL53">
            <v>73.3</v>
          </cell>
          <cell r="CM53">
            <v>21</v>
          </cell>
          <cell r="CN53">
            <v>10</v>
          </cell>
          <cell r="CO53">
            <v>67.7</v>
          </cell>
          <cell r="CP53">
            <v>20</v>
          </cell>
          <cell r="CQ53">
            <v>4</v>
          </cell>
          <cell r="CR53">
            <v>83.3</v>
          </cell>
          <cell r="CS53">
            <v>29</v>
          </cell>
          <cell r="CT53">
            <v>8</v>
          </cell>
          <cell r="CU53">
            <v>78.400000000000006</v>
          </cell>
          <cell r="CV53">
            <v>4</v>
          </cell>
          <cell r="CW53">
            <v>2</v>
          </cell>
          <cell r="CX53">
            <v>66.7</v>
          </cell>
          <cell r="CY53">
            <v>9</v>
          </cell>
          <cell r="CZ53">
            <v>1</v>
          </cell>
          <cell r="DA53">
            <v>90</v>
          </cell>
          <cell r="DB53">
            <v>8</v>
          </cell>
          <cell r="DC53">
            <v>1</v>
          </cell>
          <cell r="DD53">
            <v>88.9</v>
          </cell>
          <cell r="DE53">
            <v>8</v>
          </cell>
          <cell r="DF53">
            <v>1</v>
          </cell>
          <cell r="DG53">
            <v>88.9</v>
          </cell>
          <cell r="DH53">
            <v>10</v>
          </cell>
          <cell r="DI53">
            <v>2</v>
          </cell>
          <cell r="DJ53">
            <v>83.3</v>
          </cell>
          <cell r="DK53">
            <v>7</v>
          </cell>
          <cell r="DL53">
            <v>3</v>
          </cell>
          <cell r="DM53">
            <v>70</v>
          </cell>
          <cell r="DN53">
            <v>6</v>
          </cell>
          <cell r="DO53">
            <v>1</v>
          </cell>
          <cell r="DP53">
            <v>85.7</v>
          </cell>
          <cell r="DQ53">
            <v>7</v>
          </cell>
          <cell r="DR53">
            <v>3</v>
          </cell>
          <cell r="DS53">
            <v>70</v>
          </cell>
          <cell r="DT53">
            <v>70</v>
          </cell>
          <cell r="DU53">
            <v>70</v>
          </cell>
          <cell r="DV53" t="str">
            <v>-</v>
          </cell>
          <cell r="DW53">
            <v>70</v>
          </cell>
          <cell r="DX53">
            <v>70</v>
          </cell>
          <cell r="DY53" t="str">
            <v>-</v>
          </cell>
          <cell r="DZ53">
            <v>70</v>
          </cell>
          <cell r="EA53">
            <v>70</v>
          </cell>
          <cell r="EB53" t="str">
            <v>-</v>
          </cell>
          <cell r="EC53">
            <v>70</v>
          </cell>
          <cell r="ED53">
            <v>70</v>
          </cell>
          <cell r="EE53" t="str">
            <v>-</v>
          </cell>
          <cell r="EF53">
            <v>70</v>
          </cell>
          <cell r="EG53">
            <v>70</v>
          </cell>
          <cell r="EH53" t="str">
            <v>-</v>
          </cell>
          <cell r="EI53">
            <v>70</v>
          </cell>
          <cell r="EJ53">
            <v>70</v>
          </cell>
          <cell r="EK53" t="str">
            <v>-</v>
          </cell>
          <cell r="EL53">
            <v>70</v>
          </cell>
          <cell r="EM53">
            <v>70</v>
          </cell>
          <cell r="EN53" t="str">
            <v>-</v>
          </cell>
          <cell r="EO53">
            <v>70</v>
          </cell>
          <cell r="EP53">
            <v>70</v>
          </cell>
          <cell r="EQ53" t="str">
            <v>-</v>
          </cell>
          <cell r="ER53">
            <v>4</v>
          </cell>
          <cell r="ES53">
            <v>3</v>
          </cell>
          <cell r="ET53">
            <v>57.1</v>
          </cell>
          <cell r="EU53">
            <v>6</v>
          </cell>
          <cell r="EV53">
            <v>6</v>
          </cell>
          <cell r="EW53">
            <v>100</v>
          </cell>
          <cell r="EX53">
            <v>2</v>
          </cell>
          <cell r="EY53">
            <v>1</v>
          </cell>
          <cell r="EZ53">
            <v>66.7</v>
          </cell>
          <cell r="FA53">
            <v>3</v>
          </cell>
          <cell r="FB53">
            <v>5</v>
          </cell>
          <cell r="FC53">
            <v>37.5</v>
          </cell>
          <cell r="FD53">
            <v>2</v>
          </cell>
          <cell r="FE53">
            <v>2</v>
          </cell>
          <cell r="FF53">
            <v>100</v>
          </cell>
          <cell r="FG53">
            <v>1</v>
          </cell>
          <cell r="FH53">
            <v>2</v>
          </cell>
          <cell r="FI53">
            <v>33.299999999999997</v>
          </cell>
          <cell r="FJ53">
            <v>3</v>
          </cell>
          <cell r="FK53">
            <v>3</v>
          </cell>
          <cell r="FL53">
            <v>100</v>
          </cell>
          <cell r="FM53">
            <v>3</v>
          </cell>
          <cell r="FN53">
            <v>1</v>
          </cell>
          <cell r="FO53">
            <v>75</v>
          </cell>
          <cell r="FP53">
            <v>75</v>
          </cell>
          <cell r="FQ53">
            <v>75</v>
          </cell>
          <cell r="FR53" t="str">
            <v>-</v>
          </cell>
          <cell r="FS53">
            <v>75</v>
          </cell>
          <cell r="FT53">
            <v>75</v>
          </cell>
          <cell r="FU53" t="str">
            <v>-</v>
          </cell>
          <cell r="FV53">
            <v>75</v>
          </cell>
          <cell r="FW53">
            <v>75</v>
          </cell>
          <cell r="FX53" t="str">
            <v>-</v>
          </cell>
          <cell r="FY53">
            <v>75</v>
          </cell>
          <cell r="FZ53">
            <v>75</v>
          </cell>
          <cell r="GA53" t="str">
            <v>-</v>
          </cell>
          <cell r="GB53">
            <v>75</v>
          </cell>
          <cell r="GC53">
            <v>75</v>
          </cell>
          <cell r="GD53" t="str">
            <v>-</v>
          </cell>
          <cell r="GE53">
            <v>75</v>
          </cell>
          <cell r="GF53">
            <v>75</v>
          </cell>
          <cell r="GG53" t="str">
            <v>-</v>
          </cell>
          <cell r="GH53">
            <v>75</v>
          </cell>
          <cell r="GI53">
            <v>75</v>
          </cell>
          <cell r="GJ53" t="str">
            <v>-</v>
          </cell>
          <cell r="GK53">
            <v>75</v>
          </cell>
          <cell r="GL53">
            <v>75</v>
          </cell>
          <cell r="GM53" t="str">
            <v>-</v>
          </cell>
          <cell r="GN53">
            <v>15</v>
          </cell>
          <cell r="GO53">
            <v>6</v>
          </cell>
          <cell r="GP53">
            <v>71.400000000000006</v>
          </cell>
          <cell r="GQ53">
            <v>15</v>
          </cell>
          <cell r="GR53">
            <v>1</v>
          </cell>
          <cell r="GS53">
            <v>93.8</v>
          </cell>
          <cell r="GT53">
            <v>15</v>
          </cell>
          <cell r="GU53">
            <v>3</v>
          </cell>
          <cell r="GV53">
            <v>83.3</v>
          </cell>
          <cell r="GW53">
            <v>30</v>
          </cell>
          <cell r="GX53">
            <v>8</v>
          </cell>
          <cell r="GY53">
            <v>78.900000000000006</v>
          </cell>
          <cell r="GZ53">
            <v>44</v>
          </cell>
          <cell r="HA53">
            <v>14</v>
          </cell>
          <cell r="HB53">
            <v>75.900000000000006</v>
          </cell>
          <cell r="HC53">
            <v>28</v>
          </cell>
          <cell r="HD53">
            <v>9</v>
          </cell>
          <cell r="HE53">
            <v>75.7</v>
          </cell>
          <cell r="HF53">
            <v>28</v>
          </cell>
          <cell r="HG53">
            <v>5</v>
          </cell>
          <cell r="HH53">
            <v>84.8</v>
          </cell>
          <cell r="HI53">
            <v>23</v>
          </cell>
          <cell r="HJ53">
            <v>3</v>
          </cell>
          <cell r="HK53">
            <v>88.5</v>
          </cell>
          <cell r="HL53">
            <v>88.5</v>
          </cell>
          <cell r="HM53">
            <v>88.5</v>
          </cell>
          <cell r="HN53" t="str">
            <v>-</v>
          </cell>
          <cell r="HO53">
            <v>4</v>
          </cell>
          <cell r="HP53">
            <v>1</v>
          </cell>
          <cell r="HQ53">
            <v>80</v>
          </cell>
          <cell r="HR53">
            <v>1</v>
          </cell>
          <cell r="HS53">
            <v>1</v>
          </cell>
          <cell r="HT53">
            <v>50</v>
          </cell>
          <cell r="HU53">
            <v>3</v>
          </cell>
          <cell r="HV53">
            <v>1</v>
          </cell>
          <cell r="HW53">
            <v>75</v>
          </cell>
          <cell r="HX53">
            <v>3</v>
          </cell>
          <cell r="HY53">
            <v>1</v>
          </cell>
          <cell r="HZ53">
            <v>75</v>
          </cell>
          <cell r="IA53">
            <v>75</v>
          </cell>
          <cell r="IB53">
            <v>75</v>
          </cell>
          <cell r="IC53" t="str">
            <v>-</v>
          </cell>
          <cell r="ID53">
            <v>75</v>
          </cell>
          <cell r="IE53">
            <v>2</v>
          </cell>
          <cell r="IF53">
            <v>0</v>
          </cell>
          <cell r="IG53">
            <v>1</v>
          </cell>
          <cell r="IH53">
            <v>1</v>
          </cell>
          <cell r="II53">
            <v>100</v>
          </cell>
          <cell r="IJ53">
            <v>100</v>
          </cell>
          <cell r="IK53">
            <v>100</v>
          </cell>
          <cell r="IL53" t="str">
            <v>-</v>
          </cell>
          <cell r="IM53">
            <v>100</v>
          </cell>
          <cell r="IN53">
            <v>100</v>
          </cell>
          <cell r="IO53" t="str">
            <v>-</v>
          </cell>
          <cell r="IP53">
            <v>100</v>
          </cell>
          <cell r="IQ53">
            <v>2</v>
          </cell>
          <cell r="IR53">
            <v>0</v>
          </cell>
          <cell r="IS53">
            <v>0</v>
          </cell>
          <cell r="IT53">
            <v>1</v>
          </cell>
          <cell r="IU53">
            <v>0</v>
          </cell>
          <cell r="IV53">
            <v>0</v>
          </cell>
          <cell r="IW53">
            <v>1</v>
          </cell>
          <cell r="IX53">
            <v>0</v>
          </cell>
          <cell r="IY53">
            <v>0</v>
          </cell>
          <cell r="IZ53">
            <v>0</v>
          </cell>
          <cell r="JA53" t="str">
            <v>-</v>
          </cell>
          <cell r="JB53">
            <v>1</v>
          </cell>
          <cell r="JC53">
            <v>1</v>
          </cell>
          <cell r="JD53">
            <v>100</v>
          </cell>
          <cell r="JE53">
            <v>1</v>
          </cell>
          <cell r="JF53">
            <v>1</v>
          </cell>
          <cell r="JG53">
            <v>100</v>
          </cell>
          <cell r="JH53">
            <v>0</v>
          </cell>
          <cell r="JI53">
            <v>0</v>
          </cell>
          <cell r="JJ53" t="str">
            <v>-</v>
          </cell>
          <cell r="JK53">
            <v>0</v>
          </cell>
          <cell r="JL53">
            <v>0</v>
          </cell>
          <cell r="JM53" t="str">
            <v>-</v>
          </cell>
          <cell r="JN53">
            <v>0</v>
          </cell>
          <cell r="JO53">
            <v>0</v>
          </cell>
          <cell r="JP53" t="str">
            <v>-</v>
          </cell>
          <cell r="JQ53">
            <v>127</v>
          </cell>
          <cell r="JR53">
            <v>37</v>
          </cell>
          <cell r="JS53">
            <v>77.439024390243901</v>
          </cell>
          <cell r="JT53">
            <v>38</v>
          </cell>
          <cell r="JU53">
            <v>10</v>
          </cell>
          <cell r="JV53">
            <v>79.166666666666657</v>
          </cell>
          <cell r="JW53">
            <v>0</v>
          </cell>
          <cell r="JX53">
            <v>0</v>
          </cell>
          <cell r="JY53" t="str">
            <v>-</v>
          </cell>
          <cell r="JZ53">
            <v>12</v>
          </cell>
          <cell r="KA53">
            <v>8</v>
          </cell>
          <cell r="KB53">
            <v>60</v>
          </cell>
          <cell r="KC53">
            <v>0</v>
          </cell>
          <cell r="KD53">
            <v>0</v>
          </cell>
          <cell r="KE53" t="str">
            <v>-</v>
          </cell>
          <cell r="KF53">
            <v>153</v>
          </cell>
          <cell r="KG53">
            <v>39</v>
          </cell>
          <cell r="KH53">
            <v>79.6875</v>
          </cell>
          <cell r="KI53">
            <v>7</v>
          </cell>
          <cell r="KJ53">
            <v>4</v>
          </cell>
          <cell r="KK53">
            <v>63.636363636363633</v>
          </cell>
          <cell r="KL53">
            <v>2</v>
          </cell>
          <cell r="KM53">
            <v>2</v>
          </cell>
          <cell r="KN53">
            <v>50</v>
          </cell>
        </row>
        <row r="54">
          <cell r="C54" t="str">
            <v>Békés Megyei Rendőr-főkapitányság</v>
          </cell>
          <cell r="D54">
            <v>3</v>
          </cell>
          <cell r="E54">
            <v>1</v>
          </cell>
          <cell r="F54">
            <v>75</v>
          </cell>
          <cell r="G54">
            <v>12</v>
          </cell>
          <cell r="H54">
            <v>2</v>
          </cell>
          <cell r="I54">
            <v>85.7</v>
          </cell>
          <cell r="J54">
            <v>8</v>
          </cell>
          <cell r="K54">
            <v>8</v>
          </cell>
          <cell r="L54">
            <v>100</v>
          </cell>
          <cell r="M54">
            <v>11</v>
          </cell>
          <cell r="N54">
            <v>11</v>
          </cell>
          <cell r="O54">
            <v>100</v>
          </cell>
          <cell r="P54">
            <v>9</v>
          </cell>
          <cell r="Q54">
            <v>9</v>
          </cell>
          <cell r="R54">
            <v>100</v>
          </cell>
          <cell r="S54">
            <v>4</v>
          </cell>
          <cell r="T54">
            <v>4</v>
          </cell>
          <cell r="U54">
            <v>100</v>
          </cell>
          <cell r="V54">
            <v>6</v>
          </cell>
          <cell r="W54">
            <v>6</v>
          </cell>
          <cell r="X54">
            <v>100</v>
          </cell>
          <cell r="Y54">
            <v>5</v>
          </cell>
          <cell r="Z54">
            <v>5</v>
          </cell>
          <cell r="AA54">
            <v>100</v>
          </cell>
          <cell r="AB54">
            <v>2</v>
          </cell>
          <cell r="AC54">
            <v>1</v>
          </cell>
          <cell r="AD54">
            <v>66.7</v>
          </cell>
          <cell r="AE54">
            <v>10</v>
          </cell>
          <cell r="AF54">
            <v>1</v>
          </cell>
          <cell r="AG54">
            <v>90.9</v>
          </cell>
          <cell r="AH54">
            <v>2</v>
          </cell>
          <cell r="AI54">
            <v>2</v>
          </cell>
          <cell r="AJ54">
            <v>100</v>
          </cell>
          <cell r="AK54">
            <v>7</v>
          </cell>
          <cell r="AL54">
            <v>7</v>
          </cell>
          <cell r="AM54">
            <v>100</v>
          </cell>
          <cell r="AN54">
            <v>3</v>
          </cell>
          <cell r="AO54">
            <v>3</v>
          </cell>
          <cell r="AP54">
            <v>100</v>
          </cell>
          <cell r="AQ54">
            <v>3</v>
          </cell>
          <cell r="AR54">
            <v>3</v>
          </cell>
          <cell r="AS54">
            <v>100</v>
          </cell>
          <cell r="AT54">
            <v>2</v>
          </cell>
          <cell r="AU54">
            <v>2</v>
          </cell>
          <cell r="AV54">
            <v>100</v>
          </cell>
          <cell r="AW54">
            <v>2</v>
          </cell>
          <cell r="AX54">
            <v>2</v>
          </cell>
          <cell r="AY54">
            <v>100</v>
          </cell>
          <cell r="AZ54">
            <v>100</v>
          </cell>
          <cell r="BA54">
            <v>100</v>
          </cell>
          <cell r="BB54" t="str">
            <v>-</v>
          </cell>
          <cell r="BC54">
            <v>1</v>
          </cell>
          <cell r="BD54">
            <v>1</v>
          </cell>
          <cell r="BE54">
            <v>100</v>
          </cell>
          <cell r="BF54">
            <v>5</v>
          </cell>
          <cell r="BG54">
            <v>5</v>
          </cell>
          <cell r="BH54">
            <v>100</v>
          </cell>
          <cell r="BI54">
            <v>3</v>
          </cell>
          <cell r="BJ54">
            <v>3</v>
          </cell>
          <cell r="BK54">
            <v>100</v>
          </cell>
          <cell r="BL54">
            <v>6</v>
          </cell>
          <cell r="BM54">
            <v>6</v>
          </cell>
          <cell r="BN54">
            <v>100</v>
          </cell>
          <cell r="BO54">
            <v>1</v>
          </cell>
          <cell r="BP54">
            <v>1</v>
          </cell>
          <cell r="BQ54">
            <v>100</v>
          </cell>
          <cell r="BR54">
            <v>3</v>
          </cell>
          <cell r="BS54">
            <v>3</v>
          </cell>
          <cell r="BT54">
            <v>100</v>
          </cell>
          <cell r="BU54">
            <v>2</v>
          </cell>
          <cell r="BV54">
            <v>2</v>
          </cell>
          <cell r="BW54">
            <v>100</v>
          </cell>
          <cell r="BX54">
            <v>273</v>
          </cell>
          <cell r="BY54">
            <v>53</v>
          </cell>
          <cell r="BZ54">
            <v>83.7</v>
          </cell>
          <cell r="CA54">
            <v>289</v>
          </cell>
          <cell r="CB54">
            <v>58</v>
          </cell>
          <cell r="CC54">
            <v>83.3</v>
          </cell>
          <cell r="CD54">
            <v>288</v>
          </cell>
          <cell r="CE54">
            <v>39</v>
          </cell>
          <cell r="CF54">
            <v>88.1</v>
          </cell>
          <cell r="CG54">
            <v>252</v>
          </cell>
          <cell r="CH54">
            <v>46</v>
          </cell>
          <cell r="CI54">
            <v>84.6</v>
          </cell>
          <cell r="CJ54">
            <v>282</v>
          </cell>
          <cell r="CK54">
            <v>53</v>
          </cell>
          <cell r="CL54">
            <v>84.2</v>
          </cell>
          <cell r="CM54">
            <v>300</v>
          </cell>
          <cell r="CN54">
            <v>75</v>
          </cell>
          <cell r="CO54">
            <v>80</v>
          </cell>
          <cell r="CP54">
            <v>237</v>
          </cell>
          <cell r="CQ54">
            <v>29</v>
          </cell>
          <cell r="CR54">
            <v>89.1</v>
          </cell>
          <cell r="CS54">
            <v>302</v>
          </cell>
          <cell r="CT54">
            <v>31</v>
          </cell>
          <cell r="CU54">
            <v>90.7</v>
          </cell>
          <cell r="CV54">
            <v>125</v>
          </cell>
          <cell r="CW54">
            <v>37</v>
          </cell>
          <cell r="CX54">
            <v>77.2</v>
          </cell>
          <cell r="CY54">
            <v>146</v>
          </cell>
          <cell r="CZ54">
            <v>34</v>
          </cell>
          <cell r="DA54">
            <v>81.099999999999994</v>
          </cell>
          <cell r="DB54">
            <v>132</v>
          </cell>
          <cell r="DC54">
            <v>27</v>
          </cell>
          <cell r="DD54">
            <v>83</v>
          </cell>
          <cell r="DE54">
            <v>140</v>
          </cell>
          <cell r="DF54">
            <v>30</v>
          </cell>
          <cell r="DG54">
            <v>82.4</v>
          </cell>
          <cell r="DH54">
            <v>133</v>
          </cell>
          <cell r="DI54">
            <v>30</v>
          </cell>
          <cell r="DJ54">
            <v>81.599999999999994</v>
          </cell>
          <cell r="DK54">
            <v>143</v>
          </cell>
          <cell r="DL54">
            <v>43</v>
          </cell>
          <cell r="DM54">
            <v>76.900000000000006</v>
          </cell>
          <cell r="DN54">
            <v>112</v>
          </cell>
          <cell r="DO54">
            <v>17</v>
          </cell>
          <cell r="DP54">
            <v>86.8</v>
          </cell>
          <cell r="DQ54">
            <v>106</v>
          </cell>
          <cell r="DR54">
            <v>17</v>
          </cell>
          <cell r="DS54">
            <v>86.2</v>
          </cell>
          <cell r="DT54">
            <v>1</v>
          </cell>
          <cell r="DU54">
            <v>1</v>
          </cell>
          <cell r="DV54">
            <v>100</v>
          </cell>
          <cell r="DW54">
            <v>100</v>
          </cell>
          <cell r="DX54">
            <v>100</v>
          </cell>
          <cell r="DY54" t="str">
            <v>-</v>
          </cell>
          <cell r="DZ54">
            <v>100</v>
          </cell>
          <cell r="EA54">
            <v>100</v>
          </cell>
          <cell r="EB54" t="str">
            <v>-</v>
          </cell>
          <cell r="EC54">
            <v>100</v>
          </cell>
          <cell r="ED54">
            <v>100</v>
          </cell>
          <cell r="EE54" t="str">
            <v>-</v>
          </cell>
          <cell r="EF54">
            <v>3</v>
          </cell>
          <cell r="EG54">
            <v>3</v>
          </cell>
          <cell r="EH54">
            <v>100</v>
          </cell>
          <cell r="EI54">
            <v>1</v>
          </cell>
          <cell r="EJ54">
            <v>1</v>
          </cell>
          <cell r="EK54">
            <v>100</v>
          </cell>
          <cell r="EL54">
            <v>100</v>
          </cell>
          <cell r="EM54">
            <v>100</v>
          </cell>
          <cell r="EN54" t="str">
            <v>-</v>
          </cell>
          <cell r="EO54">
            <v>100</v>
          </cell>
          <cell r="EP54">
            <v>1</v>
          </cell>
          <cell r="EQ54">
            <v>0</v>
          </cell>
          <cell r="ER54">
            <v>23</v>
          </cell>
          <cell r="ES54">
            <v>21</v>
          </cell>
          <cell r="ET54">
            <v>52.3</v>
          </cell>
          <cell r="EU54">
            <v>34</v>
          </cell>
          <cell r="EV54">
            <v>27</v>
          </cell>
          <cell r="EW54">
            <v>55.7</v>
          </cell>
          <cell r="EX54">
            <v>55</v>
          </cell>
          <cell r="EY54">
            <v>36</v>
          </cell>
          <cell r="EZ54">
            <v>60.4</v>
          </cell>
          <cell r="FA54">
            <v>39</v>
          </cell>
          <cell r="FB54">
            <v>22</v>
          </cell>
          <cell r="FC54">
            <v>63.9</v>
          </cell>
          <cell r="FD54">
            <v>44</v>
          </cell>
          <cell r="FE54">
            <v>13</v>
          </cell>
          <cell r="FF54">
            <v>77.2</v>
          </cell>
          <cell r="FG54">
            <v>41</v>
          </cell>
          <cell r="FH54">
            <v>11</v>
          </cell>
          <cell r="FI54">
            <v>78.8</v>
          </cell>
          <cell r="FJ54">
            <v>43</v>
          </cell>
          <cell r="FK54">
            <v>8</v>
          </cell>
          <cell r="FL54">
            <v>84.3</v>
          </cell>
          <cell r="FM54">
            <v>35</v>
          </cell>
          <cell r="FN54">
            <v>8</v>
          </cell>
          <cell r="FO54">
            <v>81.400000000000006</v>
          </cell>
          <cell r="FP54">
            <v>4</v>
          </cell>
          <cell r="FQ54">
            <v>4</v>
          </cell>
          <cell r="FR54">
            <v>100</v>
          </cell>
          <cell r="FS54">
            <v>5</v>
          </cell>
          <cell r="FT54">
            <v>5</v>
          </cell>
          <cell r="FU54">
            <v>100</v>
          </cell>
          <cell r="FV54">
            <v>16</v>
          </cell>
          <cell r="FW54">
            <v>2</v>
          </cell>
          <cell r="FX54">
            <v>88.9</v>
          </cell>
          <cell r="FY54">
            <v>4</v>
          </cell>
          <cell r="FZ54">
            <v>2</v>
          </cell>
          <cell r="GA54">
            <v>66.7</v>
          </cell>
          <cell r="GB54">
            <v>10</v>
          </cell>
          <cell r="GC54">
            <v>1</v>
          </cell>
          <cell r="GD54">
            <v>90.9</v>
          </cell>
          <cell r="GE54">
            <v>4</v>
          </cell>
          <cell r="GF54">
            <v>4</v>
          </cell>
          <cell r="GG54">
            <v>100</v>
          </cell>
          <cell r="GH54">
            <v>6</v>
          </cell>
          <cell r="GI54">
            <v>6</v>
          </cell>
          <cell r="GJ54">
            <v>100</v>
          </cell>
          <cell r="GK54">
            <v>7</v>
          </cell>
          <cell r="GL54">
            <v>7</v>
          </cell>
          <cell r="GM54">
            <v>100</v>
          </cell>
          <cell r="GN54">
            <v>231</v>
          </cell>
          <cell r="GO54">
            <v>39</v>
          </cell>
          <cell r="GP54">
            <v>85.6</v>
          </cell>
          <cell r="GQ54">
            <v>229</v>
          </cell>
          <cell r="GR54">
            <v>47</v>
          </cell>
          <cell r="GS54">
            <v>83</v>
          </cell>
          <cell r="GT54">
            <v>253</v>
          </cell>
          <cell r="GU54">
            <v>42</v>
          </cell>
          <cell r="GV54">
            <v>85.8</v>
          </cell>
          <cell r="GW54">
            <v>239</v>
          </cell>
          <cell r="GX54">
            <v>54</v>
          </cell>
          <cell r="GY54">
            <v>81.599999999999994</v>
          </cell>
          <cell r="GZ54">
            <v>297</v>
          </cell>
          <cell r="HA54">
            <v>44</v>
          </cell>
          <cell r="HB54">
            <v>87.1</v>
          </cell>
          <cell r="HC54">
            <v>238</v>
          </cell>
          <cell r="HD54">
            <v>52</v>
          </cell>
          <cell r="HE54">
            <v>82.1</v>
          </cell>
          <cell r="HF54">
            <v>247</v>
          </cell>
          <cell r="HG54">
            <v>29</v>
          </cell>
          <cell r="HH54">
            <v>89.5</v>
          </cell>
          <cell r="HI54">
            <v>270</v>
          </cell>
          <cell r="HJ54">
            <v>36</v>
          </cell>
          <cell r="HK54">
            <v>88.2</v>
          </cell>
          <cell r="HL54">
            <v>16</v>
          </cell>
          <cell r="HM54">
            <v>14</v>
          </cell>
          <cell r="HN54">
            <v>53.3</v>
          </cell>
          <cell r="HO54">
            <v>23</v>
          </cell>
          <cell r="HP54">
            <v>16</v>
          </cell>
          <cell r="HQ54">
            <v>59</v>
          </cell>
          <cell r="HR54">
            <v>17</v>
          </cell>
          <cell r="HS54">
            <v>7</v>
          </cell>
          <cell r="HT54">
            <v>70.8</v>
          </cell>
          <cell r="HU54">
            <v>21</v>
          </cell>
          <cell r="HV54">
            <v>10</v>
          </cell>
          <cell r="HW54">
            <v>67.7</v>
          </cell>
          <cell r="HX54">
            <v>20</v>
          </cell>
          <cell r="HY54">
            <v>7</v>
          </cell>
          <cell r="HZ54">
            <v>74.099999999999994</v>
          </cell>
          <cell r="IA54">
            <v>17</v>
          </cell>
          <cell r="IB54">
            <v>3</v>
          </cell>
          <cell r="IC54">
            <v>85</v>
          </cell>
          <cell r="ID54">
            <v>4</v>
          </cell>
          <cell r="IE54">
            <v>7</v>
          </cell>
          <cell r="IF54">
            <v>36.4</v>
          </cell>
          <cell r="IG54">
            <v>16</v>
          </cell>
          <cell r="IH54">
            <v>3</v>
          </cell>
          <cell r="II54">
            <v>84.2</v>
          </cell>
          <cell r="IJ54">
            <v>19</v>
          </cell>
          <cell r="IK54">
            <v>1</v>
          </cell>
          <cell r="IL54">
            <v>95</v>
          </cell>
          <cell r="IM54">
            <v>6</v>
          </cell>
          <cell r="IN54">
            <v>7</v>
          </cell>
          <cell r="IO54">
            <v>46.2</v>
          </cell>
          <cell r="IP54">
            <v>9</v>
          </cell>
          <cell r="IQ54">
            <v>9</v>
          </cell>
          <cell r="IR54">
            <v>50</v>
          </cell>
          <cell r="IS54">
            <v>12</v>
          </cell>
          <cell r="IT54">
            <v>2</v>
          </cell>
          <cell r="IU54">
            <v>85.7</v>
          </cell>
          <cell r="IV54">
            <v>7</v>
          </cell>
          <cell r="IW54">
            <v>3</v>
          </cell>
          <cell r="IX54">
            <v>70</v>
          </cell>
          <cell r="IY54">
            <v>14</v>
          </cell>
          <cell r="IZ54">
            <v>2</v>
          </cell>
          <cell r="JA54">
            <v>87.5</v>
          </cell>
          <cell r="JB54">
            <v>8</v>
          </cell>
          <cell r="JC54">
            <v>1</v>
          </cell>
          <cell r="JD54">
            <v>88.9</v>
          </cell>
          <cell r="JE54">
            <v>11</v>
          </cell>
          <cell r="JF54">
            <v>11</v>
          </cell>
          <cell r="JG54">
            <v>100</v>
          </cell>
          <cell r="JH54">
            <v>35</v>
          </cell>
          <cell r="JI54">
            <v>0</v>
          </cell>
          <cell r="JJ54">
            <v>100</v>
          </cell>
          <cell r="JK54">
            <v>17</v>
          </cell>
          <cell r="JL54">
            <v>0</v>
          </cell>
          <cell r="JM54">
            <v>100</v>
          </cell>
          <cell r="JN54">
            <v>15</v>
          </cell>
          <cell r="JO54">
            <v>0</v>
          </cell>
          <cell r="JP54">
            <v>100</v>
          </cell>
          <cell r="JQ54">
            <v>1373</v>
          </cell>
          <cell r="JR54">
            <v>234</v>
          </cell>
          <cell r="JS54">
            <v>85.438705662725582</v>
          </cell>
          <cell r="JT54">
            <v>634</v>
          </cell>
          <cell r="JU54">
            <v>137</v>
          </cell>
          <cell r="JV54">
            <v>82.230869001297009</v>
          </cell>
          <cell r="JW54">
            <v>4</v>
          </cell>
          <cell r="JX54">
            <v>1</v>
          </cell>
          <cell r="JY54">
            <v>80</v>
          </cell>
          <cell r="JZ54">
            <v>202</v>
          </cell>
          <cell r="KA54">
            <v>62</v>
          </cell>
          <cell r="KB54">
            <v>76.515151515151516</v>
          </cell>
          <cell r="KC54">
            <v>31</v>
          </cell>
          <cell r="KD54">
            <v>3</v>
          </cell>
          <cell r="KE54">
            <v>91.17647058823529</v>
          </cell>
          <cell r="KF54">
            <v>1291</v>
          </cell>
          <cell r="KG54">
            <v>215</v>
          </cell>
          <cell r="KH54">
            <v>85.723771580345286</v>
          </cell>
          <cell r="KI54">
            <v>78</v>
          </cell>
          <cell r="KJ54">
            <v>30</v>
          </cell>
          <cell r="KK54">
            <v>72.222222222222214</v>
          </cell>
          <cell r="KL54">
            <v>52</v>
          </cell>
          <cell r="KM54">
            <v>8</v>
          </cell>
          <cell r="KN54">
            <v>86.666666666666671</v>
          </cell>
        </row>
        <row r="55">
          <cell r="C55" t="str">
            <v>Borsod-Abaúj-Zemplén MRFK Központ</v>
          </cell>
          <cell r="D55">
            <v>18</v>
          </cell>
          <cell r="E55">
            <v>3</v>
          </cell>
          <cell r="F55">
            <v>85.7</v>
          </cell>
          <cell r="G55">
            <v>30</v>
          </cell>
          <cell r="H55">
            <v>1</v>
          </cell>
          <cell r="I55">
            <v>96.8</v>
          </cell>
          <cell r="J55">
            <v>14</v>
          </cell>
          <cell r="K55">
            <v>4</v>
          </cell>
          <cell r="L55">
            <v>77.8</v>
          </cell>
          <cell r="M55">
            <v>17</v>
          </cell>
          <cell r="N55">
            <v>4</v>
          </cell>
          <cell r="O55">
            <v>81</v>
          </cell>
          <cell r="P55">
            <v>24</v>
          </cell>
          <cell r="Q55">
            <v>6</v>
          </cell>
          <cell r="R55">
            <v>80</v>
          </cell>
          <cell r="S55">
            <v>11</v>
          </cell>
          <cell r="T55">
            <v>5</v>
          </cell>
          <cell r="U55">
            <v>68.8</v>
          </cell>
          <cell r="V55">
            <v>16</v>
          </cell>
          <cell r="W55">
            <v>3</v>
          </cell>
          <cell r="X55">
            <v>84.2</v>
          </cell>
          <cell r="Y55">
            <v>12</v>
          </cell>
          <cell r="Z55">
            <v>4</v>
          </cell>
          <cell r="AA55">
            <v>75</v>
          </cell>
          <cell r="AB55">
            <v>5</v>
          </cell>
          <cell r="AC55">
            <v>1</v>
          </cell>
          <cell r="AD55">
            <v>83.3</v>
          </cell>
          <cell r="AE55">
            <v>14</v>
          </cell>
          <cell r="AF55">
            <v>1</v>
          </cell>
          <cell r="AG55">
            <v>93.3</v>
          </cell>
          <cell r="AH55">
            <v>6</v>
          </cell>
          <cell r="AI55">
            <v>1</v>
          </cell>
          <cell r="AJ55">
            <v>85.7</v>
          </cell>
          <cell r="AK55">
            <v>6</v>
          </cell>
          <cell r="AL55">
            <v>3</v>
          </cell>
          <cell r="AM55">
            <v>66.7</v>
          </cell>
          <cell r="AN55">
            <v>11</v>
          </cell>
          <cell r="AO55">
            <v>1</v>
          </cell>
          <cell r="AP55">
            <v>91.7</v>
          </cell>
          <cell r="AQ55">
            <v>6</v>
          </cell>
          <cell r="AR55">
            <v>1</v>
          </cell>
          <cell r="AS55">
            <v>85.7</v>
          </cell>
          <cell r="AT55">
            <v>5</v>
          </cell>
          <cell r="AU55">
            <v>2</v>
          </cell>
          <cell r="AV55">
            <v>71.400000000000006</v>
          </cell>
          <cell r="AW55">
            <v>7</v>
          </cell>
          <cell r="AX55">
            <v>4</v>
          </cell>
          <cell r="AY55">
            <v>63.6</v>
          </cell>
          <cell r="AZ55">
            <v>12</v>
          </cell>
          <cell r="BA55">
            <v>12</v>
          </cell>
          <cell r="BB55">
            <v>100</v>
          </cell>
          <cell r="BC55">
            <v>9</v>
          </cell>
          <cell r="BD55">
            <v>9</v>
          </cell>
          <cell r="BE55">
            <v>100</v>
          </cell>
          <cell r="BF55">
            <v>8</v>
          </cell>
          <cell r="BG55">
            <v>8</v>
          </cell>
          <cell r="BH55">
            <v>100</v>
          </cell>
          <cell r="BI55">
            <v>8</v>
          </cell>
          <cell r="BJ55">
            <v>8</v>
          </cell>
          <cell r="BK55">
            <v>100</v>
          </cell>
          <cell r="BL55">
            <v>11</v>
          </cell>
          <cell r="BM55">
            <v>1</v>
          </cell>
          <cell r="BN55">
            <v>91.7</v>
          </cell>
          <cell r="BO55">
            <v>5</v>
          </cell>
          <cell r="BP55">
            <v>1</v>
          </cell>
          <cell r="BQ55">
            <v>83.3</v>
          </cell>
          <cell r="BR55">
            <v>9</v>
          </cell>
          <cell r="BS55">
            <v>9</v>
          </cell>
          <cell r="BT55">
            <v>100</v>
          </cell>
          <cell r="BU55">
            <v>5</v>
          </cell>
          <cell r="BV55">
            <v>5</v>
          </cell>
          <cell r="BW55">
            <v>100</v>
          </cell>
          <cell r="BX55">
            <v>36</v>
          </cell>
          <cell r="BY55">
            <v>9</v>
          </cell>
          <cell r="BZ55">
            <v>80</v>
          </cell>
          <cell r="CA55">
            <v>34</v>
          </cell>
          <cell r="CB55">
            <v>1</v>
          </cell>
          <cell r="CC55">
            <v>97.1</v>
          </cell>
          <cell r="CD55">
            <v>20</v>
          </cell>
          <cell r="CE55">
            <v>1</v>
          </cell>
          <cell r="CF55">
            <v>95.2</v>
          </cell>
          <cell r="CG55">
            <v>42</v>
          </cell>
          <cell r="CH55">
            <v>4</v>
          </cell>
          <cell r="CI55">
            <v>91.3</v>
          </cell>
          <cell r="CJ55">
            <v>33</v>
          </cell>
          <cell r="CK55">
            <v>3</v>
          </cell>
          <cell r="CL55">
            <v>91.7</v>
          </cell>
          <cell r="CM55">
            <v>30</v>
          </cell>
          <cell r="CN55">
            <v>9</v>
          </cell>
          <cell r="CO55">
            <v>76.900000000000006</v>
          </cell>
          <cell r="CP55">
            <v>32</v>
          </cell>
          <cell r="CQ55">
            <v>9</v>
          </cell>
          <cell r="CR55">
            <v>78</v>
          </cell>
          <cell r="CS55">
            <v>39</v>
          </cell>
          <cell r="CT55">
            <v>8</v>
          </cell>
          <cell r="CU55">
            <v>83</v>
          </cell>
          <cell r="CV55">
            <v>32</v>
          </cell>
          <cell r="CW55">
            <v>9</v>
          </cell>
          <cell r="CX55">
            <v>78</v>
          </cell>
          <cell r="CY55">
            <v>30</v>
          </cell>
          <cell r="CZ55">
            <v>1</v>
          </cell>
          <cell r="DA55">
            <v>96.8</v>
          </cell>
          <cell r="DB55">
            <v>17</v>
          </cell>
          <cell r="DC55">
            <v>1</v>
          </cell>
          <cell r="DD55">
            <v>94.4</v>
          </cell>
          <cell r="DE55">
            <v>35</v>
          </cell>
          <cell r="DF55">
            <v>4</v>
          </cell>
          <cell r="DG55">
            <v>89.7</v>
          </cell>
          <cell r="DH55">
            <v>28</v>
          </cell>
          <cell r="DI55">
            <v>3</v>
          </cell>
          <cell r="DJ55">
            <v>90.3</v>
          </cell>
          <cell r="DK55">
            <v>24</v>
          </cell>
          <cell r="DL55">
            <v>9</v>
          </cell>
          <cell r="DM55">
            <v>72.7</v>
          </cell>
          <cell r="DN55">
            <v>28</v>
          </cell>
          <cell r="DO55">
            <v>6</v>
          </cell>
          <cell r="DP55">
            <v>82.4</v>
          </cell>
          <cell r="DQ55">
            <v>33</v>
          </cell>
          <cell r="DR55">
            <v>6</v>
          </cell>
          <cell r="DS55">
            <v>84.6</v>
          </cell>
          <cell r="DT55">
            <v>1</v>
          </cell>
          <cell r="DU55">
            <v>2</v>
          </cell>
          <cell r="DV55">
            <v>33.299999999999997</v>
          </cell>
          <cell r="DW55">
            <v>4</v>
          </cell>
          <cell r="DX55">
            <v>4</v>
          </cell>
          <cell r="DY55">
            <v>100</v>
          </cell>
          <cell r="DZ55">
            <v>100</v>
          </cell>
          <cell r="EA55">
            <v>1</v>
          </cell>
          <cell r="EB55">
            <v>0</v>
          </cell>
          <cell r="EC55">
            <v>1</v>
          </cell>
          <cell r="ED55">
            <v>1</v>
          </cell>
          <cell r="EE55">
            <v>100</v>
          </cell>
          <cell r="EF55">
            <v>4</v>
          </cell>
          <cell r="EG55">
            <v>4</v>
          </cell>
          <cell r="EH55">
            <v>100</v>
          </cell>
          <cell r="EI55">
            <v>2</v>
          </cell>
          <cell r="EJ55">
            <v>1</v>
          </cell>
          <cell r="EK55">
            <v>66.7</v>
          </cell>
          <cell r="EL55">
            <v>5</v>
          </cell>
          <cell r="EM55">
            <v>1</v>
          </cell>
          <cell r="EN55">
            <v>83.3</v>
          </cell>
          <cell r="EO55">
            <v>3</v>
          </cell>
          <cell r="EP55">
            <v>3</v>
          </cell>
          <cell r="EQ55">
            <v>100</v>
          </cell>
          <cell r="ER55">
            <v>100</v>
          </cell>
          <cell r="ES55">
            <v>100</v>
          </cell>
          <cell r="ET55" t="str">
            <v>-</v>
          </cell>
          <cell r="EU55">
            <v>100</v>
          </cell>
          <cell r="EV55">
            <v>100</v>
          </cell>
          <cell r="EW55" t="str">
            <v>-</v>
          </cell>
          <cell r="EX55">
            <v>100</v>
          </cell>
          <cell r="EY55">
            <v>2</v>
          </cell>
          <cell r="EZ55">
            <v>0</v>
          </cell>
          <cell r="FA55">
            <v>0</v>
          </cell>
          <cell r="FB55">
            <v>1</v>
          </cell>
          <cell r="FC55">
            <v>0</v>
          </cell>
          <cell r="FD55">
            <v>0</v>
          </cell>
          <cell r="FE55">
            <v>0</v>
          </cell>
          <cell r="FF55" t="str">
            <v>-</v>
          </cell>
          <cell r="FG55">
            <v>0</v>
          </cell>
          <cell r="FH55">
            <v>0</v>
          </cell>
          <cell r="FI55" t="str">
            <v>-</v>
          </cell>
          <cell r="FJ55">
            <v>6</v>
          </cell>
          <cell r="FK55">
            <v>6</v>
          </cell>
          <cell r="FL55">
            <v>100</v>
          </cell>
          <cell r="FM55">
            <v>9</v>
          </cell>
          <cell r="FN55">
            <v>9</v>
          </cell>
          <cell r="FO55">
            <v>100</v>
          </cell>
          <cell r="FP55">
            <v>100</v>
          </cell>
          <cell r="FQ55">
            <v>100</v>
          </cell>
          <cell r="FR55" t="str">
            <v>-</v>
          </cell>
          <cell r="FS55">
            <v>100</v>
          </cell>
          <cell r="FT55">
            <v>100</v>
          </cell>
          <cell r="FU55" t="str">
            <v>-</v>
          </cell>
          <cell r="FV55">
            <v>100</v>
          </cell>
          <cell r="FW55">
            <v>100</v>
          </cell>
          <cell r="FX55" t="str">
            <v>-</v>
          </cell>
          <cell r="FY55">
            <v>100</v>
          </cell>
          <cell r="FZ55">
            <v>100</v>
          </cell>
          <cell r="GA55" t="str">
            <v>-</v>
          </cell>
          <cell r="GB55">
            <v>100</v>
          </cell>
          <cell r="GC55">
            <v>1</v>
          </cell>
          <cell r="GD55">
            <v>0</v>
          </cell>
          <cell r="GE55">
            <v>0</v>
          </cell>
          <cell r="GF55">
            <v>0</v>
          </cell>
          <cell r="GG55" t="str">
            <v>-</v>
          </cell>
          <cell r="GH55">
            <v>0</v>
          </cell>
          <cell r="GI55">
            <v>0</v>
          </cell>
          <cell r="GJ55" t="str">
            <v>-</v>
          </cell>
          <cell r="GK55">
            <v>2</v>
          </cell>
          <cell r="GL55">
            <v>1</v>
          </cell>
          <cell r="GM55">
            <v>66.7</v>
          </cell>
          <cell r="GN55">
            <v>15</v>
          </cell>
          <cell r="GO55">
            <v>2</v>
          </cell>
          <cell r="GP55">
            <v>88.2</v>
          </cell>
          <cell r="GQ55">
            <v>4</v>
          </cell>
          <cell r="GR55">
            <v>4</v>
          </cell>
          <cell r="GS55">
            <v>100</v>
          </cell>
          <cell r="GT55">
            <v>5</v>
          </cell>
          <cell r="GU55">
            <v>5</v>
          </cell>
          <cell r="GV55">
            <v>100</v>
          </cell>
          <cell r="GW55">
            <v>6</v>
          </cell>
          <cell r="GX55">
            <v>1</v>
          </cell>
          <cell r="GY55">
            <v>85.7</v>
          </cell>
          <cell r="GZ55">
            <v>7</v>
          </cell>
          <cell r="HA55">
            <v>2</v>
          </cell>
          <cell r="HB55">
            <v>77.8</v>
          </cell>
          <cell r="HC55">
            <v>4</v>
          </cell>
          <cell r="HD55">
            <v>4</v>
          </cell>
          <cell r="HE55">
            <v>100</v>
          </cell>
          <cell r="HF55">
            <v>3</v>
          </cell>
          <cell r="HG55">
            <v>1</v>
          </cell>
          <cell r="HH55">
            <v>75</v>
          </cell>
          <cell r="HI55">
            <v>10</v>
          </cell>
          <cell r="HJ55">
            <v>2</v>
          </cell>
          <cell r="HK55">
            <v>83.3</v>
          </cell>
          <cell r="HL55">
            <v>83.29998779296875</v>
          </cell>
          <cell r="HM55">
            <v>83.29998779296875</v>
          </cell>
          <cell r="HN55" t="str">
            <v>-</v>
          </cell>
          <cell r="HO55">
            <v>1</v>
          </cell>
          <cell r="HP55">
            <v>1</v>
          </cell>
          <cell r="HQ55">
            <v>100</v>
          </cell>
          <cell r="HR55">
            <v>2</v>
          </cell>
          <cell r="HS55">
            <v>2</v>
          </cell>
          <cell r="HT55">
            <v>100</v>
          </cell>
          <cell r="HU55">
            <v>100</v>
          </cell>
          <cell r="HV55">
            <v>100</v>
          </cell>
          <cell r="HW55" t="str">
            <v>-</v>
          </cell>
          <cell r="HX55">
            <v>100</v>
          </cell>
          <cell r="HY55">
            <v>100</v>
          </cell>
          <cell r="HZ55" t="str">
            <v>-</v>
          </cell>
          <cell r="IA55">
            <v>1</v>
          </cell>
          <cell r="IB55">
            <v>1</v>
          </cell>
          <cell r="IC55">
            <v>100</v>
          </cell>
          <cell r="ID55">
            <v>2</v>
          </cell>
          <cell r="IE55">
            <v>2</v>
          </cell>
          <cell r="IF55">
            <v>100</v>
          </cell>
          <cell r="IG55">
            <v>100</v>
          </cell>
          <cell r="IH55">
            <v>100</v>
          </cell>
          <cell r="II55" t="str">
            <v>-</v>
          </cell>
          <cell r="IJ55">
            <v>8</v>
          </cell>
          <cell r="IK55">
            <v>8</v>
          </cell>
          <cell r="IL55">
            <v>100</v>
          </cell>
          <cell r="IM55">
            <v>29</v>
          </cell>
          <cell r="IN55">
            <v>29</v>
          </cell>
          <cell r="IO55">
            <v>100</v>
          </cell>
          <cell r="IP55">
            <v>100</v>
          </cell>
          <cell r="IQ55">
            <v>100</v>
          </cell>
          <cell r="IR55" t="str">
            <v>-</v>
          </cell>
          <cell r="IS55">
            <v>100</v>
          </cell>
          <cell r="IT55">
            <v>100</v>
          </cell>
          <cell r="IU55" t="str">
            <v>-</v>
          </cell>
          <cell r="IV55">
            <v>2</v>
          </cell>
          <cell r="IW55">
            <v>2</v>
          </cell>
          <cell r="IX55">
            <v>100</v>
          </cell>
          <cell r="IY55">
            <v>5</v>
          </cell>
          <cell r="IZ55">
            <v>2</v>
          </cell>
          <cell r="JA55">
            <v>71.400000000000006</v>
          </cell>
          <cell r="JB55">
            <v>8</v>
          </cell>
          <cell r="JC55">
            <v>1</v>
          </cell>
          <cell r="JD55">
            <v>88.9</v>
          </cell>
          <cell r="JE55">
            <v>11</v>
          </cell>
          <cell r="JF55">
            <v>1</v>
          </cell>
          <cell r="JG55">
            <v>91.7</v>
          </cell>
          <cell r="JH55">
            <v>80</v>
          </cell>
          <cell r="JI55">
            <v>22</v>
          </cell>
          <cell r="JJ55">
            <v>78.431372549019613</v>
          </cell>
          <cell r="JK55">
            <v>35</v>
          </cell>
          <cell r="JL55">
            <v>11</v>
          </cell>
          <cell r="JM55">
            <v>76.08695652173914</v>
          </cell>
          <cell r="JN55">
            <v>38</v>
          </cell>
          <cell r="JO55">
            <v>2</v>
          </cell>
          <cell r="JP55">
            <v>95</v>
          </cell>
          <cell r="JQ55">
            <v>176</v>
          </cell>
          <cell r="JR55">
            <v>33</v>
          </cell>
          <cell r="JS55">
            <v>84.210526315789465</v>
          </cell>
          <cell r="JT55">
            <v>148</v>
          </cell>
          <cell r="JU55">
            <v>28</v>
          </cell>
          <cell r="JV55">
            <v>84.090909090909093</v>
          </cell>
          <cell r="JW55">
            <v>15</v>
          </cell>
          <cell r="JX55">
            <v>2</v>
          </cell>
          <cell r="JY55">
            <v>88.235294117647058</v>
          </cell>
          <cell r="JZ55">
            <v>15</v>
          </cell>
          <cell r="KA55">
            <v>1</v>
          </cell>
          <cell r="KB55">
            <v>93.75</v>
          </cell>
          <cell r="KC55">
            <v>2</v>
          </cell>
          <cell r="KD55">
            <v>2</v>
          </cell>
          <cell r="KE55">
            <v>50</v>
          </cell>
          <cell r="KF55">
            <v>30</v>
          </cell>
          <cell r="KG55">
            <v>6</v>
          </cell>
          <cell r="KH55">
            <v>83.333333333333343</v>
          </cell>
          <cell r="KI55">
            <v>3</v>
          </cell>
          <cell r="KJ55">
            <v>0</v>
          </cell>
          <cell r="KK55">
            <v>100</v>
          </cell>
          <cell r="KL55">
            <v>26</v>
          </cell>
          <cell r="KM55">
            <v>4</v>
          </cell>
          <cell r="KN55">
            <v>86.666666666666671</v>
          </cell>
        </row>
        <row r="56">
          <cell r="C56" t="str">
            <v>Miskolci Rendőrkapitányság</v>
          </cell>
          <cell r="D56">
            <v>86.6666259765625</v>
          </cell>
          <cell r="E56">
            <v>86.6666259765625</v>
          </cell>
          <cell r="F56" t="str">
            <v>-</v>
          </cell>
          <cell r="G56">
            <v>86.6666259765625</v>
          </cell>
          <cell r="H56">
            <v>86.6666259765625</v>
          </cell>
          <cell r="I56" t="str">
            <v>-</v>
          </cell>
          <cell r="J56">
            <v>86.6666259765625</v>
          </cell>
          <cell r="K56">
            <v>86.6666259765625</v>
          </cell>
          <cell r="L56" t="str">
            <v>-</v>
          </cell>
          <cell r="M56">
            <v>86.6666259765625</v>
          </cell>
          <cell r="N56">
            <v>86.6666259765625</v>
          </cell>
          <cell r="O56" t="str">
            <v>-</v>
          </cell>
          <cell r="P56">
            <v>86.6666259765625</v>
          </cell>
          <cell r="Q56">
            <v>86.6666259765625</v>
          </cell>
          <cell r="R56" t="str">
            <v>-</v>
          </cell>
          <cell r="S56">
            <v>86.6666259765625</v>
          </cell>
          <cell r="T56">
            <v>86.6666259765625</v>
          </cell>
          <cell r="U56" t="str">
            <v>-</v>
          </cell>
          <cell r="V56">
            <v>86.6666259765625</v>
          </cell>
          <cell r="W56">
            <v>86.6666259765625</v>
          </cell>
          <cell r="X56" t="str">
            <v>-</v>
          </cell>
          <cell r="Y56">
            <v>86.6666259765625</v>
          </cell>
          <cell r="Z56">
            <v>86.6666259765625</v>
          </cell>
          <cell r="AA56" t="str">
            <v>-</v>
          </cell>
          <cell r="AB56">
            <v>86.6666259765625</v>
          </cell>
          <cell r="AC56">
            <v>86.6666259765625</v>
          </cell>
          <cell r="AD56" t="str">
            <v>-</v>
          </cell>
          <cell r="AE56">
            <v>86.6666259765625</v>
          </cell>
          <cell r="AF56">
            <v>86.6666259765625</v>
          </cell>
          <cell r="AG56" t="str">
            <v>-</v>
          </cell>
          <cell r="AH56">
            <v>86.6666259765625</v>
          </cell>
          <cell r="AI56">
            <v>86.6666259765625</v>
          </cell>
          <cell r="AJ56" t="str">
            <v>-</v>
          </cell>
          <cell r="AK56">
            <v>86.6666259765625</v>
          </cell>
          <cell r="AL56">
            <v>86.6666259765625</v>
          </cell>
          <cell r="AM56" t="str">
            <v>-</v>
          </cell>
          <cell r="AN56">
            <v>86.6666259765625</v>
          </cell>
          <cell r="AO56">
            <v>86.6666259765625</v>
          </cell>
          <cell r="AP56" t="str">
            <v>-</v>
          </cell>
          <cell r="AQ56">
            <v>86.6666259765625</v>
          </cell>
          <cell r="AR56">
            <v>86.6666259765625</v>
          </cell>
          <cell r="AS56" t="str">
            <v>-</v>
          </cell>
          <cell r="AT56">
            <v>86.6666259765625</v>
          </cell>
          <cell r="AU56">
            <v>86.6666259765625</v>
          </cell>
          <cell r="AV56" t="str">
            <v>-</v>
          </cell>
          <cell r="AW56">
            <v>86.6666259765625</v>
          </cell>
          <cell r="AX56">
            <v>86.6666259765625</v>
          </cell>
          <cell r="AY56" t="str">
            <v>-</v>
          </cell>
          <cell r="AZ56">
            <v>86.6666259765625</v>
          </cell>
          <cell r="BA56">
            <v>86.6666259765625</v>
          </cell>
          <cell r="BB56" t="str">
            <v>-</v>
          </cell>
          <cell r="BC56">
            <v>86.6666259765625</v>
          </cell>
          <cell r="BD56">
            <v>86.6666259765625</v>
          </cell>
          <cell r="BE56" t="str">
            <v>-</v>
          </cell>
          <cell r="BF56">
            <v>86.6666259765625</v>
          </cell>
          <cell r="BG56">
            <v>86.6666259765625</v>
          </cell>
          <cell r="BH56" t="str">
            <v>-</v>
          </cell>
          <cell r="BI56">
            <v>86.6666259765625</v>
          </cell>
          <cell r="BJ56">
            <v>86.6666259765625</v>
          </cell>
          <cell r="BK56" t="str">
            <v>-</v>
          </cell>
          <cell r="BL56">
            <v>86.6666259765625</v>
          </cell>
          <cell r="BM56">
            <v>86.6666259765625</v>
          </cell>
          <cell r="BN56" t="str">
            <v>-</v>
          </cell>
          <cell r="BO56">
            <v>86.6666259765625</v>
          </cell>
          <cell r="BP56">
            <v>86.6666259765625</v>
          </cell>
          <cell r="BQ56" t="str">
            <v>-</v>
          </cell>
          <cell r="BR56">
            <v>86.6666259765625</v>
          </cell>
          <cell r="BS56">
            <v>86.6666259765625</v>
          </cell>
          <cell r="BT56" t="str">
            <v>-</v>
          </cell>
          <cell r="BU56">
            <v>86.6666259765625</v>
          </cell>
          <cell r="BV56">
            <v>86.6666259765625</v>
          </cell>
          <cell r="BW56" t="str">
            <v>-</v>
          </cell>
          <cell r="BX56">
            <v>293</v>
          </cell>
          <cell r="BY56">
            <v>55</v>
          </cell>
          <cell r="BZ56">
            <v>84.2</v>
          </cell>
          <cell r="CA56">
            <v>256</v>
          </cell>
          <cell r="CB56">
            <v>57</v>
          </cell>
          <cell r="CC56">
            <v>81.8</v>
          </cell>
          <cell r="CD56">
            <v>274</v>
          </cell>
          <cell r="CE56">
            <v>36</v>
          </cell>
          <cell r="CF56">
            <v>88.4</v>
          </cell>
          <cell r="CG56">
            <v>278</v>
          </cell>
          <cell r="CH56">
            <v>58</v>
          </cell>
          <cell r="CI56">
            <v>82.7</v>
          </cell>
          <cell r="CJ56">
            <v>234</v>
          </cell>
          <cell r="CK56">
            <v>56</v>
          </cell>
          <cell r="CL56">
            <v>80.7</v>
          </cell>
          <cell r="CM56">
            <v>288</v>
          </cell>
          <cell r="CN56">
            <v>78</v>
          </cell>
          <cell r="CO56">
            <v>78.7</v>
          </cell>
          <cell r="CP56">
            <v>186</v>
          </cell>
          <cell r="CQ56">
            <v>50</v>
          </cell>
          <cell r="CR56">
            <v>78.8</v>
          </cell>
          <cell r="CS56">
            <v>213</v>
          </cell>
          <cell r="CT56">
            <v>46</v>
          </cell>
          <cell r="CU56">
            <v>82.2</v>
          </cell>
          <cell r="CV56">
            <v>133</v>
          </cell>
          <cell r="CW56">
            <v>42</v>
          </cell>
          <cell r="CX56">
            <v>76</v>
          </cell>
          <cell r="CY56">
            <v>105</v>
          </cell>
          <cell r="CZ56">
            <v>38</v>
          </cell>
          <cell r="DA56">
            <v>73.400000000000006</v>
          </cell>
          <cell r="DB56">
            <v>113</v>
          </cell>
          <cell r="DC56">
            <v>27</v>
          </cell>
          <cell r="DD56">
            <v>80.7</v>
          </cell>
          <cell r="DE56">
            <v>121</v>
          </cell>
          <cell r="DF56">
            <v>35</v>
          </cell>
          <cell r="DG56">
            <v>77.599999999999994</v>
          </cell>
          <cell r="DH56">
            <v>80</v>
          </cell>
          <cell r="DI56">
            <v>40</v>
          </cell>
          <cell r="DJ56">
            <v>66.7</v>
          </cell>
          <cell r="DK56">
            <v>101</v>
          </cell>
          <cell r="DL56">
            <v>60</v>
          </cell>
          <cell r="DM56">
            <v>62.7</v>
          </cell>
          <cell r="DN56">
            <v>63</v>
          </cell>
          <cell r="DO56">
            <v>38</v>
          </cell>
          <cell r="DP56">
            <v>62.4</v>
          </cell>
          <cell r="DQ56">
            <v>83</v>
          </cell>
          <cell r="DR56">
            <v>34</v>
          </cell>
          <cell r="DS56">
            <v>70.900000000000006</v>
          </cell>
          <cell r="DT56">
            <v>70.89996337890625</v>
          </cell>
          <cell r="DU56">
            <v>70.89996337890625</v>
          </cell>
          <cell r="DV56" t="str">
            <v>-</v>
          </cell>
          <cell r="DW56">
            <v>70.89996337890625</v>
          </cell>
          <cell r="DX56">
            <v>70.89996337890625</v>
          </cell>
          <cell r="DY56" t="str">
            <v>-</v>
          </cell>
          <cell r="DZ56">
            <v>70.89996337890625</v>
          </cell>
          <cell r="EA56">
            <v>70.89996337890625</v>
          </cell>
          <cell r="EB56" t="str">
            <v>-</v>
          </cell>
          <cell r="EC56">
            <v>70.89996337890625</v>
          </cell>
          <cell r="ED56">
            <v>70.89996337890625</v>
          </cell>
          <cell r="EE56" t="str">
            <v>-</v>
          </cell>
          <cell r="EF56">
            <v>70.89996337890625</v>
          </cell>
          <cell r="EG56">
            <v>70.89996337890625</v>
          </cell>
          <cell r="EH56" t="str">
            <v>-</v>
          </cell>
          <cell r="EI56">
            <v>70.89996337890625</v>
          </cell>
          <cell r="EJ56">
            <v>70.89996337890625</v>
          </cell>
          <cell r="EK56" t="str">
            <v>-</v>
          </cell>
          <cell r="EL56">
            <v>70.89996337890625</v>
          </cell>
          <cell r="EM56">
            <v>70.89996337890625</v>
          </cell>
          <cell r="EN56" t="str">
            <v>-</v>
          </cell>
          <cell r="EO56">
            <v>70.89996337890625</v>
          </cell>
          <cell r="EP56">
            <v>70.89996337890625</v>
          </cell>
          <cell r="EQ56" t="str">
            <v>-</v>
          </cell>
          <cell r="ER56">
            <v>107</v>
          </cell>
          <cell r="ES56">
            <v>32</v>
          </cell>
          <cell r="ET56">
            <v>77</v>
          </cell>
          <cell r="EU56">
            <v>61</v>
          </cell>
          <cell r="EV56">
            <v>51</v>
          </cell>
          <cell r="EW56">
            <v>54.5</v>
          </cell>
          <cell r="EX56">
            <v>62</v>
          </cell>
          <cell r="EY56">
            <v>60</v>
          </cell>
          <cell r="EZ56">
            <v>50.8</v>
          </cell>
          <cell r="FA56">
            <v>42</v>
          </cell>
          <cell r="FB56">
            <v>30</v>
          </cell>
          <cell r="FC56">
            <v>58.3</v>
          </cell>
          <cell r="FD56">
            <v>45</v>
          </cell>
          <cell r="FE56">
            <v>35</v>
          </cell>
          <cell r="FF56">
            <v>56.3</v>
          </cell>
          <cell r="FG56">
            <v>66</v>
          </cell>
          <cell r="FH56">
            <v>37</v>
          </cell>
          <cell r="FI56">
            <v>64.099999999999994</v>
          </cell>
          <cell r="FJ56">
            <v>59</v>
          </cell>
          <cell r="FK56">
            <v>46</v>
          </cell>
          <cell r="FL56">
            <v>56.2</v>
          </cell>
          <cell r="FM56">
            <v>41</v>
          </cell>
          <cell r="FN56">
            <v>25</v>
          </cell>
          <cell r="FO56">
            <v>62.1</v>
          </cell>
          <cell r="FP56">
            <v>62.0999755859375</v>
          </cell>
          <cell r="FQ56">
            <v>62.0999755859375</v>
          </cell>
          <cell r="FR56" t="str">
            <v>-</v>
          </cell>
          <cell r="FS56">
            <v>62.0999755859375</v>
          </cell>
          <cell r="FT56">
            <v>62.0999755859375</v>
          </cell>
          <cell r="FU56" t="str">
            <v>-</v>
          </cell>
          <cell r="FV56">
            <v>62.0999755859375</v>
          </cell>
          <cell r="FW56">
            <v>62.0999755859375</v>
          </cell>
          <cell r="FX56" t="str">
            <v>-</v>
          </cell>
          <cell r="FY56">
            <v>62.0999755859375</v>
          </cell>
          <cell r="FZ56">
            <v>62.0999755859375</v>
          </cell>
          <cell r="GA56" t="str">
            <v>-</v>
          </cell>
          <cell r="GB56">
            <v>62.0999755859375</v>
          </cell>
          <cell r="GC56">
            <v>62.0999755859375</v>
          </cell>
          <cell r="GD56" t="str">
            <v>-</v>
          </cell>
          <cell r="GE56">
            <v>62.0999755859375</v>
          </cell>
          <cell r="GF56">
            <v>62.0999755859375</v>
          </cell>
          <cell r="GG56" t="str">
            <v>-</v>
          </cell>
          <cell r="GH56">
            <v>62.0999755859375</v>
          </cell>
          <cell r="GI56">
            <v>62.0999755859375</v>
          </cell>
          <cell r="GJ56" t="str">
            <v>-</v>
          </cell>
          <cell r="GK56">
            <v>62.0999755859375</v>
          </cell>
          <cell r="GL56">
            <v>62.0999755859375</v>
          </cell>
          <cell r="GM56" t="str">
            <v>-</v>
          </cell>
          <cell r="GN56">
            <v>324</v>
          </cell>
          <cell r="GO56">
            <v>75</v>
          </cell>
          <cell r="GP56">
            <v>81.2</v>
          </cell>
          <cell r="GQ56">
            <v>317</v>
          </cell>
          <cell r="GR56">
            <v>76</v>
          </cell>
          <cell r="GS56">
            <v>80.7</v>
          </cell>
          <cell r="GT56">
            <v>355</v>
          </cell>
          <cell r="GU56">
            <v>77</v>
          </cell>
          <cell r="GV56">
            <v>82.2</v>
          </cell>
          <cell r="GW56">
            <v>341</v>
          </cell>
          <cell r="GX56">
            <v>99</v>
          </cell>
          <cell r="GY56">
            <v>77.5</v>
          </cell>
          <cell r="GZ56">
            <v>420</v>
          </cell>
          <cell r="HA56">
            <v>98</v>
          </cell>
          <cell r="HB56">
            <v>81.099999999999994</v>
          </cell>
          <cell r="HC56">
            <v>484</v>
          </cell>
          <cell r="HD56">
            <v>127</v>
          </cell>
          <cell r="HE56">
            <v>79.2</v>
          </cell>
          <cell r="HF56">
            <v>390</v>
          </cell>
          <cell r="HG56">
            <v>108</v>
          </cell>
          <cell r="HH56">
            <v>78.3</v>
          </cell>
          <cell r="HI56">
            <v>375</v>
          </cell>
          <cell r="HJ56">
            <v>118</v>
          </cell>
          <cell r="HK56">
            <v>76.099999999999994</v>
          </cell>
          <cell r="HL56">
            <v>17</v>
          </cell>
          <cell r="HM56">
            <v>3</v>
          </cell>
          <cell r="HN56">
            <v>85</v>
          </cell>
          <cell r="HO56">
            <v>12</v>
          </cell>
          <cell r="HP56">
            <v>14</v>
          </cell>
          <cell r="HQ56">
            <v>46.2</v>
          </cell>
          <cell r="HR56">
            <v>19</v>
          </cell>
          <cell r="HS56">
            <v>16</v>
          </cell>
          <cell r="HT56">
            <v>54.3</v>
          </cell>
          <cell r="HU56">
            <v>16</v>
          </cell>
          <cell r="HV56">
            <v>7</v>
          </cell>
          <cell r="HW56">
            <v>69.599999999999994</v>
          </cell>
          <cell r="HX56">
            <v>9</v>
          </cell>
          <cell r="HY56">
            <v>8</v>
          </cell>
          <cell r="HZ56">
            <v>52.9</v>
          </cell>
          <cell r="IA56">
            <v>14</v>
          </cell>
          <cell r="IB56">
            <v>9</v>
          </cell>
          <cell r="IC56">
            <v>60.9</v>
          </cell>
          <cell r="ID56">
            <v>6</v>
          </cell>
          <cell r="IE56">
            <v>8</v>
          </cell>
          <cell r="IF56">
            <v>42.9</v>
          </cell>
          <cell r="IG56">
            <v>3</v>
          </cell>
          <cell r="IH56">
            <v>10</v>
          </cell>
          <cell r="II56">
            <v>23.1</v>
          </cell>
          <cell r="IJ56">
            <v>50</v>
          </cell>
          <cell r="IK56">
            <v>1</v>
          </cell>
          <cell r="IL56">
            <v>98</v>
          </cell>
          <cell r="IM56">
            <v>14</v>
          </cell>
          <cell r="IN56">
            <v>6</v>
          </cell>
          <cell r="IO56">
            <v>70</v>
          </cell>
          <cell r="IP56">
            <v>12</v>
          </cell>
          <cell r="IQ56">
            <v>2</v>
          </cell>
          <cell r="IR56">
            <v>85.7</v>
          </cell>
          <cell r="IS56">
            <v>7</v>
          </cell>
          <cell r="IT56">
            <v>1</v>
          </cell>
          <cell r="IU56">
            <v>87.5</v>
          </cell>
          <cell r="IV56">
            <v>4</v>
          </cell>
          <cell r="IW56">
            <v>3</v>
          </cell>
          <cell r="IX56">
            <v>57.1</v>
          </cell>
          <cell r="IY56">
            <v>2</v>
          </cell>
          <cell r="IZ56">
            <v>2</v>
          </cell>
          <cell r="JA56">
            <v>100</v>
          </cell>
          <cell r="JB56">
            <v>21</v>
          </cell>
          <cell r="JC56">
            <v>3</v>
          </cell>
          <cell r="JD56">
            <v>87.5</v>
          </cell>
          <cell r="JE56">
            <v>34</v>
          </cell>
          <cell r="JF56">
            <v>2</v>
          </cell>
          <cell r="JG56">
            <v>94.4</v>
          </cell>
          <cell r="JH56">
            <v>0</v>
          </cell>
          <cell r="JI56">
            <v>0</v>
          </cell>
          <cell r="JJ56" t="str">
            <v>-</v>
          </cell>
          <cell r="JK56">
            <v>0</v>
          </cell>
          <cell r="JL56">
            <v>0</v>
          </cell>
          <cell r="JM56" t="str">
            <v>-</v>
          </cell>
          <cell r="JN56">
            <v>0</v>
          </cell>
          <cell r="JO56">
            <v>0</v>
          </cell>
          <cell r="JP56" t="str">
            <v>-</v>
          </cell>
          <cell r="JQ56">
            <v>1199</v>
          </cell>
          <cell r="JR56">
            <v>288</v>
          </cell>
          <cell r="JS56">
            <v>80.632145258910555</v>
          </cell>
          <cell r="JT56">
            <v>448</v>
          </cell>
          <cell r="JU56">
            <v>207</v>
          </cell>
          <cell r="JV56">
            <v>68.396946564885496</v>
          </cell>
          <cell r="JW56">
            <v>0</v>
          </cell>
          <cell r="JX56">
            <v>0</v>
          </cell>
          <cell r="JY56" t="str">
            <v>-</v>
          </cell>
          <cell r="JZ56">
            <v>253</v>
          </cell>
          <cell r="KA56">
            <v>173</v>
          </cell>
          <cell r="KB56">
            <v>59.389671361502351</v>
          </cell>
          <cell r="KC56">
            <v>0</v>
          </cell>
          <cell r="KD56">
            <v>0</v>
          </cell>
          <cell r="KE56" t="str">
            <v>-</v>
          </cell>
          <cell r="KF56">
            <v>2010</v>
          </cell>
          <cell r="KG56">
            <v>550</v>
          </cell>
          <cell r="KH56">
            <v>78.515625</v>
          </cell>
          <cell r="KI56">
            <v>48</v>
          </cell>
          <cell r="KJ56">
            <v>42</v>
          </cell>
          <cell r="KK56">
            <v>53.333333333333336</v>
          </cell>
          <cell r="KL56">
            <v>68</v>
          </cell>
          <cell r="KM56">
            <v>9</v>
          </cell>
          <cell r="KN56">
            <v>88.311688311688314</v>
          </cell>
        </row>
        <row r="57">
          <cell r="C57" t="str">
            <v>Edelényi Rendőrkapitányság</v>
          </cell>
          <cell r="D57">
            <v>88.3116455078125</v>
          </cell>
          <cell r="E57">
            <v>88.3116455078125</v>
          </cell>
          <cell r="F57" t="str">
            <v>-</v>
          </cell>
          <cell r="G57">
            <v>88.3116455078125</v>
          </cell>
          <cell r="H57">
            <v>88.3116455078125</v>
          </cell>
          <cell r="I57" t="str">
            <v>-</v>
          </cell>
          <cell r="J57">
            <v>88.3116455078125</v>
          </cell>
          <cell r="K57">
            <v>88.3116455078125</v>
          </cell>
          <cell r="L57" t="str">
            <v>-</v>
          </cell>
          <cell r="M57">
            <v>88.3116455078125</v>
          </cell>
          <cell r="N57">
            <v>88.3116455078125</v>
          </cell>
          <cell r="O57" t="str">
            <v>-</v>
          </cell>
          <cell r="P57">
            <v>88.3116455078125</v>
          </cell>
          <cell r="Q57">
            <v>88.3116455078125</v>
          </cell>
          <cell r="R57" t="str">
            <v>-</v>
          </cell>
          <cell r="S57">
            <v>88.3116455078125</v>
          </cell>
          <cell r="T57">
            <v>88.3116455078125</v>
          </cell>
          <cell r="U57" t="str">
            <v>-</v>
          </cell>
          <cell r="V57">
            <v>88.3116455078125</v>
          </cell>
          <cell r="W57">
            <v>88.3116455078125</v>
          </cell>
          <cell r="X57" t="str">
            <v>-</v>
          </cell>
          <cell r="Y57">
            <v>88.3116455078125</v>
          </cell>
          <cell r="Z57">
            <v>88.3116455078125</v>
          </cell>
          <cell r="AA57" t="str">
            <v>-</v>
          </cell>
          <cell r="AB57">
            <v>88.3116455078125</v>
          </cell>
          <cell r="AC57">
            <v>88.3116455078125</v>
          </cell>
          <cell r="AD57" t="str">
            <v>-</v>
          </cell>
          <cell r="AE57">
            <v>88.3116455078125</v>
          </cell>
          <cell r="AF57">
            <v>88.3116455078125</v>
          </cell>
          <cell r="AG57" t="str">
            <v>-</v>
          </cell>
          <cell r="AH57">
            <v>88.3116455078125</v>
          </cell>
          <cell r="AI57">
            <v>88.3116455078125</v>
          </cell>
          <cell r="AJ57" t="str">
            <v>-</v>
          </cell>
          <cell r="AK57">
            <v>88.3116455078125</v>
          </cell>
          <cell r="AL57">
            <v>88.3116455078125</v>
          </cell>
          <cell r="AM57" t="str">
            <v>-</v>
          </cell>
          <cell r="AN57">
            <v>88.3116455078125</v>
          </cell>
          <cell r="AO57">
            <v>88.3116455078125</v>
          </cell>
          <cell r="AP57" t="str">
            <v>-</v>
          </cell>
          <cell r="AQ57">
            <v>88.3116455078125</v>
          </cell>
          <cell r="AR57">
            <v>88.3116455078125</v>
          </cell>
          <cell r="AS57" t="str">
            <v>-</v>
          </cell>
          <cell r="AT57">
            <v>88.3116455078125</v>
          </cell>
          <cell r="AU57">
            <v>88.3116455078125</v>
          </cell>
          <cell r="AV57" t="str">
            <v>-</v>
          </cell>
          <cell r="AW57">
            <v>88.3116455078125</v>
          </cell>
          <cell r="AX57">
            <v>88.3116455078125</v>
          </cell>
          <cell r="AY57" t="str">
            <v>-</v>
          </cell>
          <cell r="AZ57">
            <v>88.3116455078125</v>
          </cell>
          <cell r="BA57">
            <v>88.3116455078125</v>
          </cell>
          <cell r="BB57" t="str">
            <v>-</v>
          </cell>
          <cell r="BC57">
            <v>88.3116455078125</v>
          </cell>
          <cell r="BD57">
            <v>88.3116455078125</v>
          </cell>
          <cell r="BE57" t="str">
            <v>-</v>
          </cell>
          <cell r="BF57">
            <v>88.3116455078125</v>
          </cell>
          <cell r="BG57">
            <v>88.3116455078125</v>
          </cell>
          <cell r="BH57" t="str">
            <v>-</v>
          </cell>
          <cell r="BI57">
            <v>88.3116455078125</v>
          </cell>
          <cell r="BJ57">
            <v>88.3116455078125</v>
          </cell>
          <cell r="BK57" t="str">
            <v>-</v>
          </cell>
          <cell r="BL57">
            <v>88.3116455078125</v>
          </cell>
          <cell r="BM57">
            <v>88.3116455078125</v>
          </cell>
          <cell r="BN57" t="str">
            <v>-</v>
          </cell>
          <cell r="BO57">
            <v>88.3116455078125</v>
          </cell>
          <cell r="BP57">
            <v>88.3116455078125</v>
          </cell>
          <cell r="BQ57" t="str">
            <v>-</v>
          </cell>
          <cell r="BR57">
            <v>88.3116455078125</v>
          </cell>
          <cell r="BS57">
            <v>88.3116455078125</v>
          </cell>
          <cell r="BT57" t="str">
            <v>-</v>
          </cell>
          <cell r="BU57">
            <v>88.3116455078125</v>
          </cell>
          <cell r="BV57">
            <v>88.3116455078125</v>
          </cell>
          <cell r="BW57" t="str">
            <v>-</v>
          </cell>
          <cell r="BX57">
            <v>42</v>
          </cell>
          <cell r="BY57">
            <v>8</v>
          </cell>
          <cell r="BZ57">
            <v>84</v>
          </cell>
          <cell r="CA57">
            <v>39</v>
          </cell>
          <cell r="CB57">
            <v>3</v>
          </cell>
          <cell r="CC57">
            <v>92.9</v>
          </cell>
          <cell r="CD57">
            <v>32</v>
          </cell>
          <cell r="CE57">
            <v>4</v>
          </cell>
          <cell r="CF57">
            <v>88.9</v>
          </cell>
          <cell r="CG57">
            <v>41</v>
          </cell>
          <cell r="CH57">
            <v>4</v>
          </cell>
          <cell r="CI57">
            <v>91.1</v>
          </cell>
          <cell r="CJ57">
            <v>27</v>
          </cell>
          <cell r="CK57">
            <v>5</v>
          </cell>
          <cell r="CL57">
            <v>84.4</v>
          </cell>
          <cell r="CM57">
            <v>34</v>
          </cell>
          <cell r="CN57">
            <v>5</v>
          </cell>
          <cell r="CO57">
            <v>87.2</v>
          </cell>
          <cell r="CP57">
            <v>17</v>
          </cell>
          <cell r="CQ57">
            <v>7</v>
          </cell>
          <cell r="CR57">
            <v>70.8</v>
          </cell>
          <cell r="CS57">
            <v>15</v>
          </cell>
          <cell r="CT57">
            <v>5</v>
          </cell>
          <cell r="CU57">
            <v>75</v>
          </cell>
          <cell r="CV57">
            <v>21</v>
          </cell>
          <cell r="CW57">
            <v>7</v>
          </cell>
          <cell r="CX57">
            <v>75</v>
          </cell>
          <cell r="CY57">
            <v>10</v>
          </cell>
          <cell r="CZ57">
            <v>2</v>
          </cell>
          <cell r="DA57">
            <v>83.3</v>
          </cell>
          <cell r="DB57">
            <v>15</v>
          </cell>
          <cell r="DC57">
            <v>15</v>
          </cell>
          <cell r="DD57">
            <v>100</v>
          </cell>
          <cell r="DE57">
            <v>12</v>
          </cell>
          <cell r="DF57">
            <v>1</v>
          </cell>
          <cell r="DG57">
            <v>92.3</v>
          </cell>
          <cell r="DH57">
            <v>9</v>
          </cell>
          <cell r="DI57">
            <v>2</v>
          </cell>
          <cell r="DJ57">
            <v>81.8</v>
          </cell>
          <cell r="DK57">
            <v>14</v>
          </cell>
          <cell r="DL57">
            <v>4</v>
          </cell>
          <cell r="DM57">
            <v>77.8</v>
          </cell>
          <cell r="DN57">
            <v>6</v>
          </cell>
          <cell r="DO57">
            <v>4</v>
          </cell>
          <cell r="DP57">
            <v>60</v>
          </cell>
          <cell r="DQ57">
            <v>7</v>
          </cell>
          <cell r="DR57">
            <v>3</v>
          </cell>
          <cell r="DS57">
            <v>70</v>
          </cell>
          <cell r="DT57">
            <v>70</v>
          </cell>
          <cell r="DU57">
            <v>70</v>
          </cell>
          <cell r="DV57" t="str">
            <v>-</v>
          </cell>
          <cell r="DW57">
            <v>70</v>
          </cell>
          <cell r="DX57">
            <v>70</v>
          </cell>
          <cell r="DY57" t="str">
            <v>-</v>
          </cell>
          <cell r="DZ57">
            <v>70</v>
          </cell>
          <cell r="EA57">
            <v>70</v>
          </cell>
          <cell r="EB57" t="str">
            <v>-</v>
          </cell>
          <cell r="EC57">
            <v>70</v>
          </cell>
          <cell r="ED57">
            <v>70</v>
          </cell>
          <cell r="EE57" t="str">
            <v>-</v>
          </cell>
          <cell r="EF57">
            <v>70</v>
          </cell>
          <cell r="EG57">
            <v>70</v>
          </cell>
          <cell r="EH57" t="str">
            <v>-</v>
          </cell>
          <cell r="EI57">
            <v>70</v>
          </cell>
          <cell r="EJ57">
            <v>70</v>
          </cell>
          <cell r="EK57" t="str">
            <v>-</v>
          </cell>
          <cell r="EL57">
            <v>70</v>
          </cell>
          <cell r="EM57">
            <v>70</v>
          </cell>
          <cell r="EN57" t="str">
            <v>-</v>
          </cell>
          <cell r="EO57">
            <v>70</v>
          </cell>
          <cell r="EP57">
            <v>70</v>
          </cell>
          <cell r="EQ57" t="str">
            <v>-</v>
          </cell>
          <cell r="ER57">
            <v>53</v>
          </cell>
          <cell r="ES57">
            <v>3</v>
          </cell>
          <cell r="ET57">
            <v>94.6</v>
          </cell>
          <cell r="EU57">
            <v>18</v>
          </cell>
          <cell r="EV57">
            <v>2</v>
          </cell>
          <cell r="EW57">
            <v>90</v>
          </cell>
          <cell r="EX57">
            <v>33</v>
          </cell>
          <cell r="EY57">
            <v>1</v>
          </cell>
          <cell r="EZ57">
            <v>97.1</v>
          </cell>
          <cell r="FA57">
            <v>10</v>
          </cell>
          <cell r="FB57">
            <v>5</v>
          </cell>
          <cell r="FC57">
            <v>66.7</v>
          </cell>
          <cell r="FD57">
            <v>6</v>
          </cell>
          <cell r="FE57">
            <v>1</v>
          </cell>
          <cell r="FF57">
            <v>85.7</v>
          </cell>
          <cell r="FG57">
            <v>11</v>
          </cell>
          <cell r="FH57">
            <v>11</v>
          </cell>
          <cell r="FI57">
            <v>100</v>
          </cell>
          <cell r="FJ57">
            <v>7</v>
          </cell>
          <cell r="FK57">
            <v>2</v>
          </cell>
          <cell r="FL57">
            <v>77.8</v>
          </cell>
          <cell r="FM57">
            <v>3</v>
          </cell>
          <cell r="FN57">
            <v>3</v>
          </cell>
          <cell r="FO57">
            <v>100</v>
          </cell>
          <cell r="FP57">
            <v>100</v>
          </cell>
          <cell r="FQ57">
            <v>100</v>
          </cell>
          <cell r="FR57" t="str">
            <v>-</v>
          </cell>
          <cell r="FS57">
            <v>100</v>
          </cell>
          <cell r="FT57">
            <v>100</v>
          </cell>
          <cell r="FU57" t="str">
            <v>-</v>
          </cell>
          <cell r="FV57">
            <v>100</v>
          </cell>
          <cell r="FW57">
            <v>100</v>
          </cell>
          <cell r="FX57" t="str">
            <v>-</v>
          </cell>
          <cell r="FY57">
            <v>100</v>
          </cell>
          <cell r="FZ57">
            <v>100</v>
          </cell>
          <cell r="GA57" t="str">
            <v>-</v>
          </cell>
          <cell r="GB57">
            <v>100</v>
          </cell>
          <cell r="GC57">
            <v>100</v>
          </cell>
          <cell r="GD57" t="str">
            <v>-</v>
          </cell>
          <cell r="GE57">
            <v>100</v>
          </cell>
          <cell r="GF57">
            <v>100</v>
          </cell>
          <cell r="GG57" t="str">
            <v>-</v>
          </cell>
          <cell r="GH57">
            <v>100</v>
          </cell>
          <cell r="GI57">
            <v>100</v>
          </cell>
          <cell r="GJ57" t="str">
            <v>-</v>
          </cell>
          <cell r="GK57">
            <v>100</v>
          </cell>
          <cell r="GL57">
            <v>100</v>
          </cell>
          <cell r="GM57" t="str">
            <v>-</v>
          </cell>
          <cell r="GN57">
            <v>60</v>
          </cell>
          <cell r="GO57">
            <v>6</v>
          </cell>
          <cell r="GP57">
            <v>90.9</v>
          </cell>
          <cell r="GQ57">
            <v>49</v>
          </cell>
          <cell r="GR57">
            <v>9</v>
          </cell>
          <cell r="GS57">
            <v>84.5</v>
          </cell>
          <cell r="GT57">
            <v>58</v>
          </cell>
          <cell r="GU57">
            <v>24</v>
          </cell>
          <cell r="GV57">
            <v>70.7</v>
          </cell>
          <cell r="GW57">
            <v>58</v>
          </cell>
          <cell r="GX57">
            <v>18</v>
          </cell>
          <cell r="GY57">
            <v>76.3</v>
          </cell>
          <cell r="GZ57">
            <v>71</v>
          </cell>
          <cell r="HA57">
            <v>19</v>
          </cell>
          <cell r="HB57">
            <v>78.900000000000006</v>
          </cell>
          <cell r="HC57">
            <v>59</v>
          </cell>
          <cell r="HD57">
            <v>18</v>
          </cell>
          <cell r="HE57">
            <v>76.599999999999994</v>
          </cell>
          <cell r="HF57">
            <v>45</v>
          </cell>
          <cell r="HG57">
            <v>18</v>
          </cell>
          <cell r="HH57">
            <v>71.400000000000006</v>
          </cell>
          <cell r="HI57">
            <v>24</v>
          </cell>
          <cell r="HJ57">
            <v>5</v>
          </cell>
          <cell r="HK57">
            <v>82.8</v>
          </cell>
          <cell r="HL57">
            <v>82.79998779296875</v>
          </cell>
          <cell r="HM57">
            <v>82.79998779296875</v>
          </cell>
          <cell r="HN57" t="str">
            <v>-</v>
          </cell>
          <cell r="HO57">
            <v>1</v>
          </cell>
          <cell r="HP57">
            <v>1</v>
          </cell>
          <cell r="HQ57">
            <v>100</v>
          </cell>
          <cell r="HR57">
            <v>1</v>
          </cell>
          <cell r="HS57">
            <v>1</v>
          </cell>
          <cell r="HT57">
            <v>50</v>
          </cell>
          <cell r="HU57">
            <v>3</v>
          </cell>
          <cell r="HV57">
            <v>3</v>
          </cell>
          <cell r="HW57">
            <v>100</v>
          </cell>
          <cell r="HX57">
            <v>100</v>
          </cell>
          <cell r="HY57">
            <v>100</v>
          </cell>
          <cell r="HZ57" t="str">
            <v>-</v>
          </cell>
          <cell r="IA57">
            <v>100</v>
          </cell>
          <cell r="IB57">
            <v>1</v>
          </cell>
          <cell r="IC57">
            <v>0</v>
          </cell>
          <cell r="ID57">
            <v>2</v>
          </cell>
          <cell r="IE57">
            <v>1</v>
          </cell>
          <cell r="IF57">
            <v>66.7</v>
          </cell>
          <cell r="IG57">
            <v>66.699951171875</v>
          </cell>
          <cell r="IH57">
            <v>66.699951171875</v>
          </cell>
          <cell r="II57" t="str">
            <v>-</v>
          </cell>
          <cell r="IJ57">
            <v>1</v>
          </cell>
          <cell r="IK57">
            <v>1</v>
          </cell>
          <cell r="IL57">
            <v>50</v>
          </cell>
          <cell r="IM57">
            <v>50</v>
          </cell>
          <cell r="IN57">
            <v>50</v>
          </cell>
          <cell r="IO57" t="str">
            <v>-</v>
          </cell>
          <cell r="IP57">
            <v>50</v>
          </cell>
          <cell r="IQ57">
            <v>50</v>
          </cell>
          <cell r="IR57" t="str">
            <v>-</v>
          </cell>
          <cell r="IS57">
            <v>50</v>
          </cell>
          <cell r="IT57">
            <v>50</v>
          </cell>
          <cell r="IU57" t="str">
            <v>-</v>
          </cell>
          <cell r="IV57">
            <v>50</v>
          </cell>
          <cell r="IW57">
            <v>50</v>
          </cell>
          <cell r="IX57" t="str">
            <v>-</v>
          </cell>
          <cell r="IY57">
            <v>50</v>
          </cell>
          <cell r="IZ57">
            <v>50</v>
          </cell>
          <cell r="JA57" t="str">
            <v>-</v>
          </cell>
          <cell r="JB57">
            <v>1</v>
          </cell>
          <cell r="JC57">
            <v>1</v>
          </cell>
          <cell r="JD57">
            <v>100</v>
          </cell>
          <cell r="JE57">
            <v>100</v>
          </cell>
          <cell r="JF57">
            <v>100</v>
          </cell>
          <cell r="JG57" t="str">
            <v>-</v>
          </cell>
          <cell r="JH57">
            <v>0</v>
          </cell>
          <cell r="JI57">
            <v>0</v>
          </cell>
          <cell r="JJ57" t="str">
            <v>-</v>
          </cell>
          <cell r="JK57">
            <v>0</v>
          </cell>
          <cell r="JL57">
            <v>0</v>
          </cell>
          <cell r="JM57" t="str">
            <v>-</v>
          </cell>
          <cell r="JN57">
            <v>0</v>
          </cell>
          <cell r="JO57">
            <v>0</v>
          </cell>
          <cell r="JP57" t="str">
            <v>-</v>
          </cell>
          <cell r="JQ57">
            <v>134</v>
          </cell>
          <cell r="JR57">
            <v>26</v>
          </cell>
          <cell r="JS57">
            <v>83.75</v>
          </cell>
          <cell r="JT57">
            <v>48</v>
          </cell>
          <cell r="JU57">
            <v>14</v>
          </cell>
          <cell r="JV57">
            <v>77.41935483870968</v>
          </cell>
          <cell r="JW57">
            <v>0</v>
          </cell>
          <cell r="JX57">
            <v>0</v>
          </cell>
          <cell r="JY57" t="str">
            <v>-</v>
          </cell>
          <cell r="JZ57">
            <v>37</v>
          </cell>
          <cell r="KA57">
            <v>8</v>
          </cell>
          <cell r="KB57">
            <v>82.222222222222214</v>
          </cell>
          <cell r="KC57">
            <v>0</v>
          </cell>
          <cell r="KD57">
            <v>0</v>
          </cell>
          <cell r="KE57" t="str">
            <v>-</v>
          </cell>
          <cell r="KF57">
            <v>257</v>
          </cell>
          <cell r="KG57">
            <v>78</v>
          </cell>
          <cell r="KH57">
            <v>76.71641791044776</v>
          </cell>
          <cell r="KI57">
            <v>5</v>
          </cell>
          <cell r="KJ57">
            <v>2</v>
          </cell>
          <cell r="KK57">
            <v>71.428571428571431</v>
          </cell>
          <cell r="KL57">
            <v>1</v>
          </cell>
          <cell r="KM57">
            <v>0</v>
          </cell>
          <cell r="KN57">
            <v>100</v>
          </cell>
        </row>
        <row r="58">
          <cell r="C58" t="str">
            <v>Encsi Rendőrkapitányság</v>
          </cell>
          <cell r="D58">
            <v>100</v>
          </cell>
          <cell r="E58">
            <v>100</v>
          </cell>
          <cell r="F58" t="str">
            <v>-</v>
          </cell>
          <cell r="G58">
            <v>100</v>
          </cell>
          <cell r="H58">
            <v>100</v>
          </cell>
          <cell r="I58" t="str">
            <v>-</v>
          </cell>
          <cell r="J58">
            <v>100</v>
          </cell>
          <cell r="K58">
            <v>100</v>
          </cell>
          <cell r="L58" t="str">
            <v>-</v>
          </cell>
          <cell r="M58">
            <v>100</v>
          </cell>
          <cell r="N58">
            <v>100</v>
          </cell>
          <cell r="O58" t="str">
            <v>-</v>
          </cell>
          <cell r="P58">
            <v>100</v>
          </cell>
          <cell r="Q58">
            <v>100</v>
          </cell>
          <cell r="R58" t="str">
            <v>-</v>
          </cell>
          <cell r="S58">
            <v>100</v>
          </cell>
          <cell r="T58">
            <v>100</v>
          </cell>
          <cell r="U58" t="str">
            <v>-</v>
          </cell>
          <cell r="V58">
            <v>100</v>
          </cell>
          <cell r="W58">
            <v>100</v>
          </cell>
          <cell r="X58" t="str">
            <v>-</v>
          </cell>
          <cell r="Y58">
            <v>100</v>
          </cell>
          <cell r="Z58">
            <v>100</v>
          </cell>
          <cell r="AA58" t="str">
            <v>-</v>
          </cell>
          <cell r="AB58">
            <v>100</v>
          </cell>
          <cell r="AC58">
            <v>100</v>
          </cell>
          <cell r="AD58" t="str">
            <v>-</v>
          </cell>
          <cell r="AE58">
            <v>100</v>
          </cell>
          <cell r="AF58">
            <v>100</v>
          </cell>
          <cell r="AG58" t="str">
            <v>-</v>
          </cell>
          <cell r="AH58">
            <v>100</v>
          </cell>
          <cell r="AI58">
            <v>100</v>
          </cell>
          <cell r="AJ58" t="str">
            <v>-</v>
          </cell>
          <cell r="AK58">
            <v>100</v>
          </cell>
          <cell r="AL58">
            <v>100</v>
          </cell>
          <cell r="AM58" t="str">
            <v>-</v>
          </cell>
          <cell r="AN58">
            <v>100</v>
          </cell>
          <cell r="AO58">
            <v>100</v>
          </cell>
          <cell r="AP58" t="str">
            <v>-</v>
          </cell>
          <cell r="AQ58">
            <v>100</v>
          </cell>
          <cell r="AR58">
            <v>100</v>
          </cell>
          <cell r="AS58" t="str">
            <v>-</v>
          </cell>
          <cell r="AT58">
            <v>100</v>
          </cell>
          <cell r="AU58">
            <v>100</v>
          </cell>
          <cell r="AV58" t="str">
            <v>-</v>
          </cell>
          <cell r="AW58">
            <v>100</v>
          </cell>
          <cell r="AX58">
            <v>100</v>
          </cell>
          <cell r="AY58" t="str">
            <v>-</v>
          </cell>
          <cell r="AZ58">
            <v>100</v>
          </cell>
          <cell r="BA58">
            <v>100</v>
          </cell>
          <cell r="BB58" t="str">
            <v>-</v>
          </cell>
          <cell r="BC58">
            <v>100</v>
          </cell>
          <cell r="BD58">
            <v>100</v>
          </cell>
          <cell r="BE58" t="str">
            <v>-</v>
          </cell>
          <cell r="BF58">
            <v>100</v>
          </cell>
          <cell r="BG58">
            <v>100</v>
          </cell>
          <cell r="BH58" t="str">
            <v>-</v>
          </cell>
          <cell r="BI58">
            <v>100</v>
          </cell>
          <cell r="BJ58">
            <v>100</v>
          </cell>
          <cell r="BK58" t="str">
            <v>-</v>
          </cell>
          <cell r="BL58">
            <v>100</v>
          </cell>
          <cell r="BM58">
            <v>100</v>
          </cell>
          <cell r="BN58" t="str">
            <v>-</v>
          </cell>
          <cell r="BO58">
            <v>100</v>
          </cell>
          <cell r="BP58">
            <v>100</v>
          </cell>
          <cell r="BQ58" t="str">
            <v>-</v>
          </cell>
          <cell r="BR58">
            <v>100</v>
          </cell>
          <cell r="BS58">
            <v>100</v>
          </cell>
          <cell r="BT58" t="str">
            <v>-</v>
          </cell>
          <cell r="BU58">
            <v>100</v>
          </cell>
          <cell r="BV58">
            <v>100</v>
          </cell>
          <cell r="BW58" t="str">
            <v>-</v>
          </cell>
          <cell r="BX58">
            <v>98</v>
          </cell>
          <cell r="BY58">
            <v>9</v>
          </cell>
          <cell r="BZ58">
            <v>91.6</v>
          </cell>
          <cell r="CA58">
            <v>72</v>
          </cell>
          <cell r="CB58">
            <v>11</v>
          </cell>
          <cell r="CC58">
            <v>86.7</v>
          </cell>
          <cell r="CD58">
            <v>51</v>
          </cell>
          <cell r="CE58">
            <v>8</v>
          </cell>
          <cell r="CF58">
            <v>86.4</v>
          </cell>
          <cell r="CG58">
            <v>91</v>
          </cell>
          <cell r="CH58">
            <v>12</v>
          </cell>
          <cell r="CI58">
            <v>88.3</v>
          </cell>
          <cell r="CJ58">
            <v>76</v>
          </cell>
          <cell r="CK58">
            <v>7</v>
          </cell>
          <cell r="CL58">
            <v>91.6</v>
          </cell>
          <cell r="CM58">
            <v>77</v>
          </cell>
          <cell r="CN58">
            <v>8</v>
          </cell>
          <cell r="CO58">
            <v>90.6</v>
          </cell>
          <cell r="CP58">
            <v>84</v>
          </cell>
          <cell r="CQ58">
            <v>7</v>
          </cell>
          <cell r="CR58">
            <v>92.3</v>
          </cell>
          <cell r="CS58">
            <v>79</v>
          </cell>
          <cell r="CT58">
            <v>5</v>
          </cell>
          <cell r="CU58">
            <v>94</v>
          </cell>
          <cell r="CV58">
            <v>24</v>
          </cell>
          <cell r="CW58">
            <v>3</v>
          </cell>
          <cell r="CX58">
            <v>88.9</v>
          </cell>
          <cell r="CY58">
            <v>18</v>
          </cell>
          <cell r="CZ58">
            <v>8</v>
          </cell>
          <cell r="DA58">
            <v>69.2</v>
          </cell>
          <cell r="DB58">
            <v>12</v>
          </cell>
          <cell r="DC58">
            <v>7</v>
          </cell>
          <cell r="DD58">
            <v>63.2</v>
          </cell>
          <cell r="DE58">
            <v>22</v>
          </cell>
          <cell r="DF58">
            <v>5</v>
          </cell>
          <cell r="DG58">
            <v>81.5</v>
          </cell>
          <cell r="DH58">
            <v>18</v>
          </cell>
          <cell r="DI58">
            <v>4</v>
          </cell>
          <cell r="DJ58">
            <v>81.8</v>
          </cell>
          <cell r="DK58">
            <v>18</v>
          </cell>
          <cell r="DL58">
            <v>8</v>
          </cell>
          <cell r="DM58">
            <v>69.2</v>
          </cell>
          <cell r="DN58">
            <v>20</v>
          </cell>
          <cell r="DO58">
            <v>4</v>
          </cell>
          <cell r="DP58">
            <v>83.3</v>
          </cell>
          <cell r="DQ58">
            <v>18</v>
          </cell>
          <cell r="DR58">
            <v>18</v>
          </cell>
          <cell r="DS58">
            <v>100</v>
          </cell>
          <cell r="DT58">
            <v>100</v>
          </cell>
          <cell r="DU58">
            <v>100</v>
          </cell>
          <cell r="DV58" t="str">
            <v>-</v>
          </cell>
          <cell r="DW58">
            <v>100</v>
          </cell>
          <cell r="DX58">
            <v>100</v>
          </cell>
          <cell r="DY58" t="str">
            <v>-</v>
          </cell>
          <cell r="DZ58">
            <v>100</v>
          </cell>
          <cell r="EA58">
            <v>100</v>
          </cell>
          <cell r="EB58" t="str">
            <v>-</v>
          </cell>
          <cell r="EC58">
            <v>100</v>
          </cell>
          <cell r="ED58">
            <v>100</v>
          </cell>
          <cell r="EE58" t="str">
            <v>-</v>
          </cell>
          <cell r="EF58">
            <v>100</v>
          </cell>
          <cell r="EG58">
            <v>100</v>
          </cell>
          <cell r="EH58" t="str">
            <v>-</v>
          </cell>
          <cell r="EI58">
            <v>100</v>
          </cell>
          <cell r="EJ58">
            <v>100</v>
          </cell>
          <cell r="EK58" t="str">
            <v>-</v>
          </cell>
          <cell r="EL58">
            <v>100</v>
          </cell>
          <cell r="EM58">
            <v>100</v>
          </cell>
          <cell r="EN58" t="str">
            <v>-</v>
          </cell>
          <cell r="EO58">
            <v>100</v>
          </cell>
          <cell r="EP58">
            <v>100</v>
          </cell>
          <cell r="EQ58" t="str">
            <v>-</v>
          </cell>
          <cell r="ER58">
            <v>11</v>
          </cell>
          <cell r="ES58">
            <v>6</v>
          </cell>
          <cell r="ET58">
            <v>64.7</v>
          </cell>
          <cell r="EU58">
            <v>45</v>
          </cell>
          <cell r="EV58">
            <v>10</v>
          </cell>
          <cell r="EW58">
            <v>81.8</v>
          </cell>
          <cell r="EX58">
            <v>26</v>
          </cell>
          <cell r="EY58">
            <v>8</v>
          </cell>
          <cell r="EZ58">
            <v>76.5</v>
          </cell>
          <cell r="FA58">
            <v>16</v>
          </cell>
          <cell r="FB58">
            <v>5</v>
          </cell>
          <cell r="FC58">
            <v>76.2</v>
          </cell>
          <cell r="FD58">
            <v>30</v>
          </cell>
          <cell r="FE58">
            <v>8</v>
          </cell>
          <cell r="FF58">
            <v>78.900000000000006</v>
          </cell>
          <cell r="FG58">
            <v>27</v>
          </cell>
          <cell r="FH58">
            <v>6</v>
          </cell>
          <cell r="FI58">
            <v>81.8</v>
          </cell>
          <cell r="FJ58">
            <v>25</v>
          </cell>
          <cell r="FK58">
            <v>4</v>
          </cell>
          <cell r="FL58">
            <v>86.2</v>
          </cell>
          <cell r="FM58">
            <v>12</v>
          </cell>
          <cell r="FN58">
            <v>4</v>
          </cell>
          <cell r="FO58">
            <v>75</v>
          </cell>
          <cell r="FP58">
            <v>75</v>
          </cell>
          <cell r="FQ58">
            <v>75</v>
          </cell>
          <cell r="FR58" t="str">
            <v>-</v>
          </cell>
          <cell r="FS58">
            <v>75</v>
          </cell>
          <cell r="FT58">
            <v>75</v>
          </cell>
          <cell r="FU58" t="str">
            <v>-</v>
          </cell>
          <cell r="FV58">
            <v>75</v>
          </cell>
          <cell r="FW58">
            <v>75</v>
          </cell>
          <cell r="FX58" t="str">
            <v>-</v>
          </cell>
          <cell r="FY58">
            <v>75</v>
          </cell>
          <cell r="FZ58">
            <v>75</v>
          </cell>
          <cell r="GA58" t="str">
            <v>-</v>
          </cell>
          <cell r="GB58">
            <v>75</v>
          </cell>
          <cell r="GC58">
            <v>75</v>
          </cell>
          <cell r="GD58" t="str">
            <v>-</v>
          </cell>
          <cell r="GE58">
            <v>75</v>
          </cell>
          <cell r="GF58">
            <v>75</v>
          </cell>
          <cell r="GG58" t="str">
            <v>-</v>
          </cell>
          <cell r="GH58">
            <v>75</v>
          </cell>
          <cell r="GI58">
            <v>75</v>
          </cell>
          <cell r="GJ58" t="str">
            <v>-</v>
          </cell>
          <cell r="GK58">
            <v>75</v>
          </cell>
          <cell r="GL58">
            <v>75</v>
          </cell>
          <cell r="GM58" t="str">
            <v>-</v>
          </cell>
          <cell r="GN58">
            <v>114</v>
          </cell>
          <cell r="GO58">
            <v>25</v>
          </cell>
          <cell r="GP58">
            <v>82</v>
          </cell>
          <cell r="GQ58">
            <v>127</v>
          </cell>
          <cell r="GR58">
            <v>24</v>
          </cell>
          <cell r="GS58">
            <v>84.1</v>
          </cell>
          <cell r="GT58">
            <v>86</v>
          </cell>
          <cell r="GU58">
            <v>31</v>
          </cell>
          <cell r="GV58">
            <v>73.5</v>
          </cell>
          <cell r="GW58">
            <v>154</v>
          </cell>
          <cell r="GX58">
            <v>23</v>
          </cell>
          <cell r="GY58">
            <v>87</v>
          </cell>
          <cell r="GZ58">
            <v>110</v>
          </cell>
          <cell r="HA58">
            <v>29</v>
          </cell>
          <cell r="HB58">
            <v>79.099999999999994</v>
          </cell>
          <cell r="HC58">
            <v>110</v>
          </cell>
          <cell r="HD58">
            <v>21</v>
          </cell>
          <cell r="HE58">
            <v>84</v>
          </cell>
          <cell r="HF58">
            <v>89</v>
          </cell>
          <cell r="HG58">
            <v>30</v>
          </cell>
          <cell r="HH58">
            <v>74.8</v>
          </cell>
          <cell r="HI58">
            <v>84</v>
          </cell>
          <cell r="HJ58">
            <v>21</v>
          </cell>
          <cell r="HK58">
            <v>80</v>
          </cell>
          <cell r="HL58">
            <v>2</v>
          </cell>
          <cell r="HM58">
            <v>4</v>
          </cell>
          <cell r="HN58">
            <v>33.299999999999997</v>
          </cell>
          <cell r="HO58">
            <v>3</v>
          </cell>
          <cell r="HP58">
            <v>5</v>
          </cell>
          <cell r="HQ58">
            <v>37.5</v>
          </cell>
          <cell r="HR58">
            <v>3</v>
          </cell>
          <cell r="HS58">
            <v>1</v>
          </cell>
          <cell r="HT58">
            <v>75</v>
          </cell>
          <cell r="HU58">
            <v>2</v>
          </cell>
          <cell r="HV58">
            <v>2</v>
          </cell>
          <cell r="HW58">
            <v>100</v>
          </cell>
          <cell r="HX58">
            <v>1</v>
          </cell>
          <cell r="HY58">
            <v>1</v>
          </cell>
          <cell r="HZ58">
            <v>100</v>
          </cell>
          <cell r="IA58">
            <v>2</v>
          </cell>
          <cell r="IB58">
            <v>2</v>
          </cell>
          <cell r="IC58">
            <v>100</v>
          </cell>
          <cell r="ID58">
            <v>3</v>
          </cell>
          <cell r="IE58">
            <v>1</v>
          </cell>
          <cell r="IF58">
            <v>75</v>
          </cell>
          <cell r="IG58">
            <v>2</v>
          </cell>
          <cell r="IH58">
            <v>3</v>
          </cell>
          <cell r="II58">
            <v>40</v>
          </cell>
          <cell r="IJ58">
            <v>40</v>
          </cell>
          <cell r="IK58">
            <v>40</v>
          </cell>
          <cell r="IL58" t="str">
            <v>-</v>
          </cell>
          <cell r="IM58">
            <v>40</v>
          </cell>
          <cell r="IN58">
            <v>40</v>
          </cell>
          <cell r="IO58" t="str">
            <v>-</v>
          </cell>
          <cell r="IP58">
            <v>40</v>
          </cell>
          <cell r="IQ58">
            <v>40</v>
          </cell>
          <cell r="IR58" t="str">
            <v>-</v>
          </cell>
          <cell r="IS58">
            <v>40</v>
          </cell>
          <cell r="IT58">
            <v>40</v>
          </cell>
          <cell r="IU58" t="str">
            <v>-</v>
          </cell>
          <cell r="IV58">
            <v>40</v>
          </cell>
          <cell r="IW58">
            <v>40</v>
          </cell>
          <cell r="IX58" t="str">
            <v>-</v>
          </cell>
          <cell r="IY58">
            <v>40</v>
          </cell>
          <cell r="IZ58">
            <v>40</v>
          </cell>
          <cell r="JA58" t="str">
            <v>-</v>
          </cell>
          <cell r="JB58">
            <v>2</v>
          </cell>
          <cell r="JC58">
            <v>2</v>
          </cell>
          <cell r="JD58">
            <v>100</v>
          </cell>
          <cell r="JE58">
            <v>4</v>
          </cell>
          <cell r="JF58">
            <v>4</v>
          </cell>
          <cell r="JG58">
            <v>100</v>
          </cell>
          <cell r="JH58">
            <v>0</v>
          </cell>
          <cell r="JI58">
            <v>0</v>
          </cell>
          <cell r="JJ58" t="str">
            <v>-</v>
          </cell>
          <cell r="JK58">
            <v>0</v>
          </cell>
          <cell r="JL58">
            <v>0</v>
          </cell>
          <cell r="JM58" t="str">
            <v>-</v>
          </cell>
          <cell r="JN58">
            <v>0</v>
          </cell>
          <cell r="JO58">
            <v>0</v>
          </cell>
          <cell r="JP58" t="str">
            <v>-</v>
          </cell>
          <cell r="JQ58">
            <v>407</v>
          </cell>
          <cell r="JR58">
            <v>39</v>
          </cell>
          <cell r="JS58">
            <v>91.255605381165921</v>
          </cell>
          <cell r="JT58">
            <v>96</v>
          </cell>
          <cell r="JU58">
            <v>21</v>
          </cell>
          <cell r="JV58">
            <v>82.051282051282044</v>
          </cell>
          <cell r="JW58">
            <v>0</v>
          </cell>
          <cell r="JX58">
            <v>0</v>
          </cell>
          <cell r="JY58" t="str">
            <v>-</v>
          </cell>
          <cell r="JZ58">
            <v>110</v>
          </cell>
          <cell r="KA58">
            <v>27</v>
          </cell>
          <cell r="KB58">
            <v>80.291970802919707</v>
          </cell>
          <cell r="KC58">
            <v>0</v>
          </cell>
          <cell r="KD58">
            <v>0</v>
          </cell>
          <cell r="KE58" t="str">
            <v>-</v>
          </cell>
          <cell r="KF58">
            <v>547</v>
          </cell>
          <cell r="KG58">
            <v>124</v>
          </cell>
          <cell r="KH58">
            <v>81.520119225037263</v>
          </cell>
          <cell r="KI58">
            <v>10</v>
          </cell>
          <cell r="KJ58">
            <v>4</v>
          </cell>
          <cell r="KK58">
            <v>71.428571428571431</v>
          </cell>
          <cell r="KL58">
            <v>6</v>
          </cell>
          <cell r="KM58">
            <v>0</v>
          </cell>
          <cell r="KN58">
            <v>100</v>
          </cell>
        </row>
        <row r="59">
          <cell r="C59" t="str">
            <v>Kazincbarcikai Rendőrkapitányság</v>
          </cell>
          <cell r="D59">
            <v>100</v>
          </cell>
          <cell r="E59">
            <v>100</v>
          </cell>
          <cell r="F59" t="str">
            <v>-</v>
          </cell>
          <cell r="G59">
            <v>100</v>
          </cell>
          <cell r="H59">
            <v>100</v>
          </cell>
          <cell r="I59" t="str">
            <v>-</v>
          </cell>
          <cell r="J59">
            <v>100</v>
          </cell>
          <cell r="K59">
            <v>100</v>
          </cell>
          <cell r="L59" t="str">
            <v>-</v>
          </cell>
          <cell r="M59">
            <v>100</v>
          </cell>
          <cell r="N59">
            <v>100</v>
          </cell>
          <cell r="O59" t="str">
            <v>-</v>
          </cell>
          <cell r="P59">
            <v>100</v>
          </cell>
          <cell r="Q59">
            <v>100</v>
          </cell>
          <cell r="R59" t="str">
            <v>-</v>
          </cell>
          <cell r="S59">
            <v>100</v>
          </cell>
          <cell r="T59">
            <v>100</v>
          </cell>
          <cell r="U59" t="str">
            <v>-</v>
          </cell>
          <cell r="V59">
            <v>100</v>
          </cell>
          <cell r="W59">
            <v>100</v>
          </cell>
          <cell r="X59" t="str">
            <v>-</v>
          </cell>
          <cell r="Y59">
            <v>100</v>
          </cell>
          <cell r="Z59">
            <v>100</v>
          </cell>
          <cell r="AA59" t="str">
            <v>-</v>
          </cell>
          <cell r="AB59">
            <v>100</v>
          </cell>
          <cell r="AC59">
            <v>100</v>
          </cell>
          <cell r="AD59" t="str">
            <v>-</v>
          </cell>
          <cell r="AE59">
            <v>100</v>
          </cell>
          <cell r="AF59">
            <v>100</v>
          </cell>
          <cell r="AG59" t="str">
            <v>-</v>
          </cell>
          <cell r="AH59">
            <v>100</v>
          </cell>
          <cell r="AI59">
            <v>100</v>
          </cell>
          <cell r="AJ59" t="str">
            <v>-</v>
          </cell>
          <cell r="AK59">
            <v>100</v>
          </cell>
          <cell r="AL59">
            <v>100</v>
          </cell>
          <cell r="AM59" t="str">
            <v>-</v>
          </cell>
          <cell r="AN59">
            <v>100</v>
          </cell>
          <cell r="AO59">
            <v>100</v>
          </cell>
          <cell r="AP59" t="str">
            <v>-</v>
          </cell>
          <cell r="AQ59">
            <v>100</v>
          </cell>
          <cell r="AR59">
            <v>100</v>
          </cell>
          <cell r="AS59" t="str">
            <v>-</v>
          </cell>
          <cell r="AT59">
            <v>100</v>
          </cell>
          <cell r="AU59">
            <v>100</v>
          </cell>
          <cell r="AV59" t="str">
            <v>-</v>
          </cell>
          <cell r="AW59">
            <v>100</v>
          </cell>
          <cell r="AX59">
            <v>100</v>
          </cell>
          <cell r="AY59" t="str">
            <v>-</v>
          </cell>
          <cell r="AZ59">
            <v>100</v>
          </cell>
          <cell r="BA59">
            <v>100</v>
          </cell>
          <cell r="BB59" t="str">
            <v>-</v>
          </cell>
          <cell r="BC59">
            <v>100</v>
          </cell>
          <cell r="BD59">
            <v>100</v>
          </cell>
          <cell r="BE59" t="str">
            <v>-</v>
          </cell>
          <cell r="BF59">
            <v>100</v>
          </cell>
          <cell r="BG59">
            <v>100</v>
          </cell>
          <cell r="BH59" t="str">
            <v>-</v>
          </cell>
          <cell r="BI59">
            <v>100</v>
          </cell>
          <cell r="BJ59">
            <v>100</v>
          </cell>
          <cell r="BK59" t="str">
            <v>-</v>
          </cell>
          <cell r="BL59">
            <v>100</v>
          </cell>
          <cell r="BM59">
            <v>100</v>
          </cell>
          <cell r="BN59" t="str">
            <v>-</v>
          </cell>
          <cell r="BO59">
            <v>100</v>
          </cell>
          <cell r="BP59">
            <v>100</v>
          </cell>
          <cell r="BQ59" t="str">
            <v>-</v>
          </cell>
          <cell r="BR59">
            <v>100</v>
          </cell>
          <cell r="BS59">
            <v>100</v>
          </cell>
          <cell r="BT59" t="str">
            <v>-</v>
          </cell>
          <cell r="BU59">
            <v>100</v>
          </cell>
          <cell r="BV59">
            <v>100</v>
          </cell>
          <cell r="BW59" t="str">
            <v>-</v>
          </cell>
          <cell r="BX59">
            <v>111</v>
          </cell>
          <cell r="BY59">
            <v>22</v>
          </cell>
          <cell r="BZ59">
            <v>83.5</v>
          </cell>
          <cell r="CA59">
            <v>72</v>
          </cell>
          <cell r="CB59">
            <v>24</v>
          </cell>
          <cell r="CC59">
            <v>75</v>
          </cell>
          <cell r="CD59">
            <v>101</v>
          </cell>
          <cell r="CE59">
            <v>10</v>
          </cell>
          <cell r="CF59">
            <v>91</v>
          </cell>
          <cell r="CG59">
            <v>94</v>
          </cell>
          <cell r="CH59">
            <v>15</v>
          </cell>
          <cell r="CI59">
            <v>86.2</v>
          </cell>
          <cell r="CJ59">
            <v>86</v>
          </cell>
          <cell r="CK59">
            <v>20</v>
          </cell>
          <cell r="CL59">
            <v>81.099999999999994</v>
          </cell>
          <cell r="CM59">
            <v>72</v>
          </cell>
          <cell r="CN59">
            <v>15</v>
          </cell>
          <cell r="CO59">
            <v>82.8</v>
          </cell>
          <cell r="CP59">
            <v>79</v>
          </cell>
          <cell r="CQ59">
            <v>11</v>
          </cell>
          <cell r="CR59">
            <v>87.8</v>
          </cell>
          <cell r="CS59">
            <v>48</v>
          </cell>
          <cell r="CT59">
            <v>10</v>
          </cell>
          <cell r="CU59">
            <v>82.8</v>
          </cell>
          <cell r="CV59">
            <v>36</v>
          </cell>
          <cell r="CW59">
            <v>19</v>
          </cell>
          <cell r="CX59">
            <v>65.5</v>
          </cell>
          <cell r="CY59">
            <v>19</v>
          </cell>
          <cell r="CZ59">
            <v>16</v>
          </cell>
          <cell r="DA59">
            <v>54.3</v>
          </cell>
          <cell r="DB59">
            <v>25</v>
          </cell>
          <cell r="DC59">
            <v>7</v>
          </cell>
          <cell r="DD59">
            <v>78.099999999999994</v>
          </cell>
          <cell r="DE59">
            <v>40</v>
          </cell>
          <cell r="DF59">
            <v>11</v>
          </cell>
          <cell r="DG59">
            <v>78.400000000000006</v>
          </cell>
          <cell r="DH59">
            <v>29</v>
          </cell>
          <cell r="DI59">
            <v>14</v>
          </cell>
          <cell r="DJ59">
            <v>67.400000000000006</v>
          </cell>
          <cell r="DK59">
            <v>23</v>
          </cell>
          <cell r="DL59">
            <v>9</v>
          </cell>
          <cell r="DM59">
            <v>71.900000000000006</v>
          </cell>
          <cell r="DN59">
            <v>31</v>
          </cell>
          <cell r="DO59">
            <v>9</v>
          </cell>
          <cell r="DP59">
            <v>77.5</v>
          </cell>
          <cell r="DQ59">
            <v>16</v>
          </cell>
          <cell r="DR59">
            <v>9</v>
          </cell>
          <cell r="DS59">
            <v>64</v>
          </cell>
          <cell r="DT59">
            <v>64</v>
          </cell>
          <cell r="DU59">
            <v>64</v>
          </cell>
          <cell r="DV59" t="str">
            <v>-</v>
          </cell>
          <cell r="DW59">
            <v>64</v>
          </cell>
          <cell r="DX59">
            <v>64</v>
          </cell>
          <cell r="DY59" t="str">
            <v>-</v>
          </cell>
          <cell r="DZ59">
            <v>64</v>
          </cell>
          <cell r="EA59">
            <v>64</v>
          </cell>
          <cell r="EB59" t="str">
            <v>-</v>
          </cell>
          <cell r="EC59">
            <v>64</v>
          </cell>
          <cell r="ED59">
            <v>64</v>
          </cell>
          <cell r="EE59" t="str">
            <v>-</v>
          </cell>
          <cell r="EF59">
            <v>64</v>
          </cell>
          <cell r="EG59">
            <v>64</v>
          </cell>
          <cell r="EH59" t="str">
            <v>-</v>
          </cell>
          <cell r="EI59">
            <v>64</v>
          </cell>
          <cell r="EJ59">
            <v>64</v>
          </cell>
          <cell r="EK59" t="str">
            <v>-</v>
          </cell>
          <cell r="EL59">
            <v>64</v>
          </cell>
          <cell r="EM59">
            <v>64</v>
          </cell>
          <cell r="EN59" t="str">
            <v>-</v>
          </cell>
          <cell r="EO59">
            <v>64</v>
          </cell>
          <cell r="EP59">
            <v>64</v>
          </cell>
          <cell r="EQ59" t="str">
            <v>-</v>
          </cell>
          <cell r="ER59">
            <v>26</v>
          </cell>
          <cell r="ES59">
            <v>4</v>
          </cell>
          <cell r="ET59">
            <v>86.7</v>
          </cell>
          <cell r="EU59">
            <v>22</v>
          </cell>
          <cell r="EV59">
            <v>5</v>
          </cell>
          <cell r="EW59">
            <v>81.5</v>
          </cell>
          <cell r="EX59">
            <v>22</v>
          </cell>
          <cell r="EY59">
            <v>6</v>
          </cell>
          <cell r="EZ59">
            <v>78.599999999999994</v>
          </cell>
          <cell r="FA59">
            <v>6</v>
          </cell>
          <cell r="FB59">
            <v>3</v>
          </cell>
          <cell r="FC59">
            <v>66.7</v>
          </cell>
          <cell r="FD59">
            <v>13</v>
          </cell>
          <cell r="FE59">
            <v>2</v>
          </cell>
          <cell r="FF59">
            <v>86.7</v>
          </cell>
          <cell r="FG59">
            <v>15</v>
          </cell>
          <cell r="FH59">
            <v>8</v>
          </cell>
          <cell r="FI59">
            <v>65.2</v>
          </cell>
          <cell r="FJ59">
            <v>17</v>
          </cell>
          <cell r="FK59">
            <v>17</v>
          </cell>
          <cell r="FL59">
            <v>100</v>
          </cell>
          <cell r="FM59">
            <v>8</v>
          </cell>
          <cell r="FN59">
            <v>1</v>
          </cell>
          <cell r="FO59">
            <v>88.9</v>
          </cell>
          <cell r="FP59">
            <v>88.89996337890625</v>
          </cell>
          <cell r="FQ59">
            <v>88.89996337890625</v>
          </cell>
          <cell r="FR59" t="str">
            <v>-</v>
          </cell>
          <cell r="FS59">
            <v>88.89996337890625</v>
          </cell>
          <cell r="FT59">
            <v>88.89996337890625</v>
          </cell>
          <cell r="FU59" t="str">
            <v>-</v>
          </cell>
          <cell r="FV59">
            <v>88.89996337890625</v>
          </cell>
          <cell r="FW59">
            <v>88.89996337890625</v>
          </cell>
          <cell r="FX59" t="str">
            <v>-</v>
          </cell>
          <cell r="FY59">
            <v>88.89996337890625</v>
          </cell>
          <cell r="FZ59">
            <v>88.89996337890625</v>
          </cell>
          <cell r="GA59" t="str">
            <v>-</v>
          </cell>
          <cell r="GB59">
            <v>88.89996337890625</v>
          </cell>
          <cell r="GC59">
            <v>88.89996337890625</v>
          </cell>
          <cell r="GD59" t="str">
            <v>-</v>
          </cell>
          <cell r="GE59">
            <v>88.89996337890625</v>
          </cell>
          <cell r="GF59">
            <v>88.89996337890625</v>
          </cell>
          <cell r="GG59" t="str">
            <v>-</v>
          </cell>
          <cell r="GH59">
            <v>88.89996337890625</v>
          </cell>
          <cell r="GI59">
            <v>88.89996337890625</v>
          </cell>
          <cell r="GJ59" t="str">
            <v>-</v>
          </cell>
          <cell r="GK59">
            <v>88.89996337890625</v>
          </cell>
          <cell r="GL59">
            <v>88.89996337890625</v>
          </cell>
          <cell r="GM59" t="str">
            <v>-</v>
          </cell>
          <cell r="GN59">
            <v>148</v>
          </cell>
          <cell r="GO59">
            <v>23</v>
          </cell>
          <cell r="GP59">
            <v>86.5</v>
          </cell>
          <cell r="GQ59">
            <v>147</v>
          </cell>
          <cell r="GR59">
            <v>24</v>
          </cell>
          <cell r="GS59">
            <v>86</v>
          </cell>
          <cell r="GT59">
            <v>174</v>
          </cell>
          <cell r="GU59">
            <v>38</v>
          </cell>
          <cell r="GV59">
            <v>82.1</v>
          </cell>
          <cell r="GW59">
            <v>198</v>
          </cell>
          <cell r="GX59">
            <v>31</v>
          </cell>
          <cell r="GY59">
            <v>86.5</v>
          </cell>
          <cell r="GZ59">
            <v>158</v>
          </cell>
          <cell r="HA59">
            <v>37</v>
          </cell>
          <cell r="HB59">
            <v>81</v>
          </cell>
          <cell r="HC59">
            <v>145</v>
          </cell>
          <cell r="HD59">
            <v>53</v>
          </cell>
          <cell r="HE59">
            <v>73.2</v>
          </cell>
          <cell r="HF59">
            <v>122</v>
          </cell>
          <cell r="HG59">
            <v>29</v>
          </cell>
          <cell r="HH59">
            <v>80.8</v>
          </cell>
          <cell r="HI59">
            <v>114</v>
          </cell>
          <cell r="HJ59">
            <v>24</v>
          </cell>
          <cell r="HK59">
            <v>82.6</v>
          </cell>
          <cell r="HL59">
            <v>7</v>
          </cell>
          <cell r="HM59">
            <v>1</v>
          </cell>
          <cell r="HN59">
            <v>87.5</v>
          </cell>
          <cell r="HO59">
            <v>9</v>
          </cell>
          <cell r="HP59">
            <v>3</v>
          </cell>
          <cell r="HQ59">
            <v>75</v>
          </cell>
          <cell r="HR59">
            <v>5</v>
          </cell>
          <cell r="HS59">
            <v>4</v>
          </cell>
          <cell r="HT59">
            <v>55.6</v>
          </cell>
          <cell r="HU59">
            <v>2</v>
          </cell>
          <cell r="HV59">
            <v>1</v>
          </cell>
          <cell r="HW59">
            <v>66.7</v>
          </cell>
          <cell r="HX59">
            <v>5</v>
          </cell>
          <cell r="HY59">
            <v>1</v>
          </cell>
          <cell r="HZ59">
            <v>83.3</v>
          </cell>
          <cell r="IA59">
            <v>3</v>
          </cell>
          <cell r="IB59">
            <v>2</v>
          </cell>
          <cell r="IC59">
            <v>60</v>
          </cell>
          <cell r="ID59">
            <v>60</v>
          </cell>
          <cell r="IE59">
            <v>60</v>
          </cell>
          <cell r="IF59" t="str">
            <v>-</v>
          </cell>
          <cell r="IG59">
            <v>2</v>
          </cell>
          <cell r="IH59">
            <v>2</v>
          </cell>
          <cell r="II59">
            <v>50</v>
          </cell>
          <cell r="IJ59">
            <v>1</v>
          </cell>
          <cell r="IK59">
            <v>1</v>
          </cell>
          <cell r="IL59">
            <v>100</v>
          </cell>
          <cell r="IM59">
            <v>1</v>
          </cell>
          <cell r="IN59">
            <v>1</v>
          </cell>
          <cell r="IO59">
            <v>100</v>
          </cell>
          <cell r="IP59">
            <v>1</v>
          </cell>
          <cell r="IQ59">
            <v>1</v>
          </cell>
          <cell r="IR59">
            <v>100</v>
          </cell>
          <cell r="IS59">
            <v>3</v>
          </cell>
          <cell r="IT59">
            <v>3</v>
          </cell>
          <cell r="IU59">
            <v>100</v>
          </cell>
          <cell r="IV59">
            <v>1</v>
          </cell>
          <cell r="IW59">
            <v>2</v>
          </cell>
          <cell r="IX59">
            <v>33.299999999999997</v>
          </cell>
          <cell r="IY59">
            <v>3</v>
          </cell>
          <cell r="IZ59">
            <v>1</v>
          </cell>
          <cell r="JA59">
            <v>75</v>
          </cell>
          <cell r="JB59">
            <v>1</v>
          </cell>
          <cell r="JC59">
            <v>1</v>
          </cell>
          <cell r="JD59">
            <v>100</v>
          </cell>
          <cell r="JE59">
            <v>7</v>
          </cell>
          <cell r="JF59">
            <v>7</v>
          </cell>
          <cell r="JG59">
            <v>100</v>
          </cell>
          <cell r="JH59">
            <v>0</v>
          </cell>
          <cell r="JI59">
            <v>0</v>
          </cell>
          <cell r="JJ59" t="str">
            <v>-</v>
          </cell>
          <cell r="JK59">
            <v>0</v>
          </cell>
          <cell r="JL59">
            <v>0</v>
          </cell>
          <cell r="JM59" t="str">
            <v>-</v>
          </cell>
          <cell r="JN59">
            <v>0</v>
          </cell>
          <cell r="JO59">
            <v>0</v>
          </cell>
          <cell r="JP59" t="str">
            <v>-</v>
          </cell>
          <cell r="JQ59">
            <v>379</v>
          </cell>
          <cell r="JR59">
            <v>71</v>
          </cell>
          <cell r="JS59">
            <v>84.222222222222214</v>
          </cell>
          <cell r="JT59">
            <v>139</v>
          </cell>
          <cell r="JU59">
            <v>52</v>
          </cell>
          <cell r="JV59">
            <v>72.774869109947645</v>
          </cell>
          <cell r="JW59">
            <v>0</v>
          </cell>
          <cell r="JX59">
            <v>0</v>
          </cell>
          <cell r="JY59" t="str">
            <v>-</v>
          </cell>
          <cell r="JZ59">
            <v>59</v>
          </cell>
          <cell r="KA59">
            <v>14</v>
          </cell>
          <cell r="KB59">
            <v>80.821917808219183</v>
          </cell>
          <cell r="KC59">
            <v>0</v>
          </cell>
          <cell r="KD59">
            <v>0</v>
          </cell>
          <cell r="KE59" t="str">
            <v>-</v>
          </cell>
          <cell r="KF59">
            <v>737</v>
          </cell>
          <cell r="KG59">
            <v>174</v>
          </cell>
          <cell r="KH59">
            <v>80.900109769484089</v>
          </cell>
          <cell r="KI59">
            <v>12</v>
          </cell>
          <cell r="KJ59">
            <v>6</v>
          </cell>
          <cell r="KK59">
            <v>66.666666666666657</v>
          </cell>
          <cell r="KL59">
            <v>15</v>
          </cell>
          <cell r="KM59">
            <v>3</v>
          </cell>
          <cell r="KN59">
            <v>83.333333333333343</v>
          </cell>
        </row>
        <row r="60">
          <cell r="C60" t="str">
            <v>Tiszaújvárosi Rendőrkapitányság</v>
          </cell>
          <cell r="D60">
            <v>83.33331298828125</v>
          </cell>
          <cell r="E60">
            <v>83.33331298828125</v>
          </cell>
          <cell r="F60" t="str">
            <v>-</v>
          </cell>
          <cell r="G60">
            <v>83.33331298828125</v>
          </cell>
          <cell r="H60">
            <v>83.33331298828125</v>
          </cell>
          <cell r="I60" t="str">
            <v>-</v>
          </cell>
          <cell r="J60">
            <v>83.33331298828125</v>
          </cell>
          <cell r="K60">
            <v>83.33331298828125</v>
          </cell>
          <cell r="L60" t="str">
            <v>-</v>
          </cell>
          <cell r="M60">
            <v>83.33331298828125</v>
          </cell>
          <cell r="N60">
            <v>83.33331298828125</v>
          </cell>
          <cell r="O60" t="str">
            <v>-</v>
          </cell>
          <cell r="P60">
            <v>83.33331298828125</v>
          </cell>
          <cell r="Q60">
            <v>83.33331298828125</v>
          </cell>
          <cell r="R60" t="str">
            <v>-</v>
          </cell>
          <cell r="S60">
            <v>83.33331298828125</v>
          </cell>
          <cell r="T60">
            <v>83.33331298828125</v>
          </cell>
          <cell r="U60" t="str">
            <v>-</v>
          </cell>
          <cell r="V60">
            <v>83.33331298828125</v>
          </cell>
          <cell r="W60">
            <v>83.33331298828125</v>
          </cell>
          <cell r="X60" t="str">
            <v>-</v>
          </cell>
          <cell r="Y60">
            <v>83.33331298828125</v>
          </cell>
          <cell r="Z60">
            <v>83.33331298828125</v>
          </cell>
          <cell r="AA60" t="str">
            <v>-</v>
          </cell>
          <cell r="AB60">
            <v>83.33331298828125</v>
          </cell>
          <cell r="AC60">
            <v>83.33331298828125</v>
          </cell>
          <cell r="AD60" t="str">
            <v>-</v>
          </cell>
          <cell r="AE60">
            <v>83.33331298828125</v>
          </cell>
          <cell r="AF60">
            <v>83.33331298828125</v>
          </cell>
          <cell r="AG60" t="str">
            <v>-</v>
          </cell>
          <cell r="AH60">
            <v>83.33331298828125</v>
          </cell>
          <cell r="AI60">
            <v>83.33331298828125</v>
          </cell>
          <cell r="AJ60" t="str">
            <v>-</v>
          </cell>
          <cell r="AK60">
            <v>83.33331298828125</v>
          </cell>
          <cell r="AL60">
            <v>83.33331298828125</v>
          </cell>
          <cell r="AM60" t="str">
            <v>-</v>
          </cell>
          <cell r="AN60">
            <v>83.33331298828125</v>
          </cell>
          <cell r="AO60">
            <v>83.33331298828125</v>
          </cell>
          <cell r="AP60" t="str">
            <v>-</v>
          </cell>
          <cell r="AQ60">
            <v>83.33331298828125</v>
          </cell>
          <cell r="AR60">
            <v>83.33331298828125</v>
          </cell>
          <cell r="AS60" t="str">
            <v>-</v>
          </cell>
          <cell r="AT60">
            <v>83.33331298828125</v>
          </cell>
          <cell r="AU60">
            <v>83.33331298828125</v>
          </cell>
          <cell r="AV60" t="str">
            <v>-</v>
          </cell>
          <cell r="AW60">
            <v>83.33331298828125</v>
          </cell>
          <cell r="AX60">
            <v>83.33331298828125</v>
          </cell>
          <cell r="AY60" t="str">
            <v>-</v>
          </cell>
          <cell r="AZ60">
            <v>83.33331298828125</v>
          </cell>
          <cell r="BA60">
            <v>83.33331298828125</v>
          </cell>
          <cell r="BB60" t="str">
            <v>-</v>
          </cell>
          <cell r="BC60">
            <v>83.33331298828125</v>
          </cell>
          <cell r="BD60">
            <v>83.33331298828125</v>
          </cell>
          <cell r="BE60" t="str">
            <v>-</v>
          </cell>
          <cell r="BF60">
            <v>83.33331298828125</v>
          </cell>
          <cell r="BG60">
            <v>83.33331298828125</v>
          </cell>
          <cell r="BH60" t="str">
            <v>-</v>
          </cell>
          <cell r="BI60">
            <v>83.33331298828125</v>
          </cell>
          <cell r="BJ60">
            <v>83.33331298828125</v>
          </cell>
          <cell r="BK60" t="str">
            <v>-</v>
          </cell>
          <cell r="BL60">
            <v>83.33331298828125</v>
          </cell>
          <cell r="BM60">
            <v>83.33331298828125</v>
          </cell>
          <cell r="BN60" t="str">
            <v>-</v>
          </cell>
          <cell r="BO60">
            <v>83.33331298828125</v>
          </cell>
          <cell r="BP60">
            <v>83.33331298828125</v>
          </cell>
          <cell r="BQ60" t="str">
            <v>-</v>
          </cell>
          <cell r="BR60">
            <v>83.33331298828125</v>
          </cell>
          <cell r="BS60">
            <v>83.33331298828125</v>
          </cell>
          <cell r="BT60" t="str">
            <v>-</v>
          </cell>
          <cell r="BU60">
            <v>83.33331298828125</v>
          </cell>
          <cell r="BV60">
            <v>83.33331298828125</v>
          </cell>
          <cell r="BW60" t="str">
            <v>-</v>
          </cell>
          <cell r="BX60">
            <v>50</v>
          </cell>
          <cell r="BY60">
            <v>14</v>
          </cell>
          <cell r="BZ60">
            <v>78.099999999999994</v>
          </cell>
          <cell r="CA60">
            <v>33</v>
          </cell>
          <cell r="CB60">
            <v>1</v>
          </cell>
          <cell r="CC60">
            <v>97.1</v>
          </cell>
          <cell r="CD60">
            <v>41</v>
          </cell>
          <cell r="CE60">
            <v>4</v>
          </cell>
          <cell r="CF60">
            <v>91.1</v>
          </cell>
          <cell r="CG60">
            <v>41</v>
          </cell>
          <cell r="CH60">
            <v>5</v>
          </cell>
          <cell r="CI60">
            <v>89.1</v>
          </cell>
          <cell r="CJ60">
            <v>44</v>
          </cell>
          <cell r="CK60">
            <v>12</v>
          </cell>
          <cell r="CL60">
            <v>78.599999999999994</v>
          </cell>
          <cell r="CM60">
            <v>43</v>
          </cell>
          <cell r="CN60">
            <v>6</v>
          </cell>
          <cell r="CO60">
            <v>87.8</v>
          </cell>
          <cell r="CP60">
            <v>44</v>
          </cell>
          <cell r="CQ60">
            <v>16</v>
          </cell>
          <cell r="CR60">
            <v>73.3</v>
          </cell>
          <cell r="CS60">
            <v>41</v>
          </cell>
          <cell r="CT60">
            <v>7</v>
          </cell>
          <cell r="CU60">
            <v>85.4</v>
          </cell>
          <cell r="CV60">
            <v>28</v>
          </cell>
          <cell r="CW60">
            <v>5</v>
          </cell>
          <cell r="CX60">
            <v>84.8</v>
          </cell>
          <cell r="CY60">
            <v>16</v>
          </cell>
          <cell r="CZ60">
            <v>1</v>
          </cell>
          <cell r="DA60">
            <v>94.1</v>
          </cell>
          <cell r="DB60">
            <v>12</v>
          </cell>
          <cell r="DC60">
            <v>4</v>
          </cell>
          <cell r="DD60">
            <v>75</v>
          </cell>
          <cell r="DE60">
            <v>18</v>
          </cell>
          <cell r="DF60">
            <v>2</v>
          </cell>
          <cell r="DG60">
            <v>90</v>
          </cell>
          <cell r="DH60">
            <v>23</v>
          </cell>
          <cell r="DI60">
            <v>7</v>
          </cell>
          <cell r="DJ60">
            <v>76.7</v>
          </cell>
          <cell r="DK60">
            <v>15</v>
          </cell>
          <cell r="DL60">
            <v>3</v>
          </cell>
          <cell r="DM60">
            <v>83.3</v>
          </cell>
          <cell r="DN60">
            <v>16</v>
          </cell>
          <cell r="DO60">
            <v>7</v>
          </cell>
          <cell r="DP60">
            <v>69.599999999999994</v>
          </cell>
          <cell r="DQ60">
            <v>16</v>
          </cell>
          <cell r="DR60">
            <v>4</v>
          </cell>
          <cell r="DS60">
            <v>80</v>
          </cell>
          <cell r="DT60">
            <v>80</v>
          </cell>
          <cell r="DU60">
            <v>80</v>
          </cell>
          <cell r="DV60" t="str">
            <v>-</v>
          </cell>
          <cell r="DW60">
            <v>80</v>
          </cell>
          <cell r="DX60">
            <v>80</v>
          </cell>
          <cell r="DY60" t="str">
            <v>-</v>
          </cell>
          <cell r="DZ60">
            <v>80</v>
          </cell>
          <cell r="EA60">
            <v>80</v>
          </cell>
          <cell r="EB60" t="str">
            <v>-</v>
          </cell>
          <cell r="EC60">
            <v>80</v>
          </cell>
          <cell r="ED60">
            <v>80</v>
          </cell>
          <cell r="EE60" t="str">
            <v>-</v>
          </cell>
          <cell r="EF60">
            <v>80</v>
          </cell>
          <cell r="EG60">
            <v>80</v>
          </cell>
          <cell r="EH60" t="str">
            <v>-</v>
          </cell>
          <cell r="EI60">
            <v>80</v>
          </cell>
          <cell r="EJ60">
            <v>80</v>
          </cell>
          <cell r="EK60" t="str">
            <v>-</v>
          </cell>
          <cell r="EL60">
            <v>80</v>
          </cell>
          <cell r="EM60">
            <v>80</v>
          </cell>
          <cell r="EN60" t="str">
            <v>-</v>
          </cell>
          <cell r="EO60">
            <v>80</v>
          </cell>
          <cell r="EP60">
            <v>80</v>
          </cell>
          <cell r="EQ60" t="str">
            <v>-</v>
          </cell>
          <cell r="ER60">
            <v>14</v>
          </cell>
          <cell r="ES60">
            <v>3</v>
          </cell>
          <cell r="ET60">
            <v>82.4</v>
          </cell>
          <cell r="EU60">
            <v>15</v>
          </cell>
          <cell r="EV60">
            <v>3</v>
          </cell>
          <cell r="EW60">
            <v>83.3</v>
          </cell>
          <cell r="EX60">
            <v>16</v>
          </cell>
          <cell r="EY60">
            <v>15</v>
          </cell>
          <cell r="EZ60">
            <v>51.6</v>
          </cell>
          <cell r="FA60">
            <v>13</v>
          </cell>
          <cell r="FB60">
            <v>3</v>
          </cell>
          <cell r="FC60">
            <v>81.3</v>
          </cell>
          <cell r="FD60">
            <v>17</v>
          </cell>
          <cell r="FE60">
            <v>6</v>
          </cell>
          <cell r="FF60">
            <v>73.900000000000006</v>
          </cell>
          <cell r="FG60">
            <v>7</v>
          </cell>
          <cell r="FH60">
            <v>2</v>
          </cell>
          <cell r="FI60">
            <v>77.8</v>
          </cell>
          <cell r="FJ60">
            <v>23</v>
          </cell>
          <cell r="FK60">
            <v>3</v>
          </cell>
          <cell r="FL60">
            <v>88.5</v>
          </cell>
          <cell r="FM60">
            <v>13</v>
          </cell>
          <cell r="FN60">
            <v>1</v>
          </cell>
          <cell r="FO60">
            <v>92.9</v>
          </cell>
          <cell r="FP60">
            <v>92.89996337890625</v>
          </cell>
          <cell r="FQ60">
            <v>92.89996337890625</v>
          </cell>
          <cell r="FR60" t="str">
            <v>-</v>
          </cell>
          <cell r="FS60">
            <v>92.89996337890625</v>
          </cell>
          <cell r="FT60">
            <v>92.89996337890625</v>
          </cell>
          <cell r="FU60" t="str">
            <v>-</v>
          </cell>
          <cell r="FV60">
            <v>92.89996337890625</v>
          </cell>
          <cell r="FW60">
            <v>92.89996337890625</v>
          </cell>
          <cell r="FX60" t="str">
            <v>-</v>
          </cell>
          <cell r="FY60">
            <v>92.89996337890625</v>
          </cell>
          <cell r="FZ60">
            <v>92.89996337890625</v>
          </cell>
          <cell r="GA60" t="str">
            <v>-</v>
          </cell>
          <cell r="GB60">
            <v>92.89996337890625</v>
          </cell>
          <cell r="GC60">
            <v>92.89996337890625</v>
          </cell>
          <cell r="GD60" t="str">
            <v>-</v>
          </cell>
          <cell r="GE60">
            <v>92.89996337890625</v>
          </cell>
          <cell r="GF60">
            <v>92.89996337890625</v>
          </cell>
          <cell r="GG60" t="str">
            <v>-</v>
          </cell>
          <cell r="GH60">
            <v>92.89996337890625</v>
          </cell>
          <cell r="GI60">
            <v>92.89996337890625</v>
          </cell>
          <cell r="GJ60" t="str">
            <v>-</v>
          </cell>
          <cell r="GK60">
            <v>92.89996337890625</v>
          </cell>
          <cell r="GL60">
            <v>92.89996337890625</v>
          </cell>
          <cell r="GM60" t="str">
            <v>-</v>
          </cell>
          <cell r="GN60">
            <v>56</v>
          </cell>
          <cell r="GO60">
            <v>15</v>
          </cell>
          <cell r="GP60">
            <v>78.900000000000006</v>
          </cell>
          <cell r="GQ60">
            <v>63</v>
          </cell>
          <cell r="GR60">
            <v>3</v>
          </cell>
          <cell r="GS60">
            <v>95.5</v>
          </cell>
          <cell r="GT60">
            <v>84</v>
          </cell>
          <cell r="GU60">
            <v>15</v>
          </cell>
          <cell r="GV60">
            <v>84.8</v>
          </cell>
          <cell r="GW60">
            <v>120</v>
          </cell>
          <cell r="GX60">
            <v>27</v>
          </cell>
          <cell r="GY60">
            <v>81.599999999999994</v>
          </cell>
          <cell r="GZ60">
            <v>125</v>
          </cell>
          <cell r="HA60">
            <v>38</v>
          </cell>
          <cell r="HB60">
            <v>76.7</v>
          </cell>
          <cell r="HC60">
            <v>144</v>
          </cell>
          <cell r="HD60">
            <v>27</v>
          </cell>
          <cell r="HE60">
            <v>84.2</v>
          </cell>
          <cell r="HF60">
            <v>120</v>
          </cell>
          <cell r="HG60">
            <v>35</v>
          </cell>
          <cell r="HH60">
            <v>77.400000000000006</v>
          </cell>
          <cell r="HI60">
            <v>122</v>
          </cell>
          <cell r="HJ60">
            <v>20</v>
          </cell>
          <cell r="HK60">
            <v>85.9</v>
          </cell>
          <cell r="HL60">
            <v>85.89996337890625</v>
          </cell>
          <cell r="HM60">
            <v>2</v>
          </cell>
          <cell r="HN60">
            <v>0</v>
          </cell>
          <cell r="HO60">
            <v>2</v>
          </cell>
          <cell r="HP60">
            <v>3</v>
          </cell>
          <cell r="HQ60">
            <v>40</v>
          </cell>
          <cell r="HR60">
            <v>3</v>
          </cell>
          <cell r="HS60">
            <v>5</v>
          </cell>
          <cell r="HT60">
            <v>37.5</v>
          </cell>
          <cell r="HU60">
            <v>2</v>
          </cell>
          <cell r="HV60">
            <v>6</v>
          </cell>
          <cell r="HW60">
            <v>25</v>
          </cell>
          <cell r="HX60">
            <v>4</v>
          </cell>
          <cell r="HY60">
            <v>1</v>
          </cell>
          <cell r="HZ60">
            <v>80</v>
          </cell>
          <cell r="IA60">
            <v>10</v>
          </cell>
          <cell r="IB60">
            <v>2</v>
          </cell>
          <cell r="IC60">
            <v>83.3</v>
          </cell>
          <cell r="ID60">
            <v>7</v>
          </cell>
          <cell r="IE60">
            <v>3</v>
          </cell>
          <cell r="IF60">
            <v>70</v>
          </cell>
          <cell r="IG60">
            <v>5</v>
          </cell>
          <cell r="IH60">
            <v>1</v>
          </cell>
          <cell r="II60">
            <v>83.3</v>
          </cell>
          <cell r="IJ60">
            <v>7</v>
          </cell>
          <cell r="IK60">
            <v>1</v>
          </cell>
          <cell r="IL60">
            <v>87.5</v>
          </cell>
          <cell r="IM60">
            <v>2</v>
          </cell>
          <cell r="IN60">
            <v>2</v>
          </cell>
          <cell r="IO60">
            <v>100</v>
          </cell>
          <cell r="IP60">
            <v>100</v>
          </cell>
          <cell r="IQ60">
            <v>100</v>
          </cell>
          <cell r="IR60" t="str">
            <v>-</v>
          </cell>
          <cell r="IS60">
            <v>3</v>
          </cell>
          <cell r="IT60">
            <v>3</v>
          </cell>
          <cell r="IU60">
            <v>100</v>
          </cell>
          <cell r="IV60">
            <v>100</v>
          </cell>
          <cell r="IW60">
            <v>1</v>
          </cell>
          <cell r="IX60">
            <v>0</v>
          </cell>
          <cell r="IY60">
            <v>0</v>
          </cell>
          <cell r="IZ60">
            <v>0</v>
          </cell>
          <cell r="JA60" t="str">
            <v>-</v>
          </cell>
          <cell r="JB60">
            <v>1</v>
          </cell>
          <cell r="JC60">
            <v>2</v>
          </cell>
          <cell r="JD60">
            <v>33.299999999999997</v>
          </cell>
          <cell r="JE60">
            <v>3</v>
          </cell>
          <cell r="JF60">
            <v>1</v>
          </cell>
          <cell r="JG60">
            <v>75</v>
          </cell>
          <cell r="JH60">
            <v>0</v>
          </cell>
          <cell r="JI60">
            <v>0</v>
          </cell>
          <cell r="JJ60" t="str">
            <v>-</v>
          </cell>
          <cell r="JK60">
            <v>0</v>
          </cell>
          <cell r="JL60">
            <v>0</v>
          </cell>
          <cell r="JM60" t="str">
            <v>-</v>
          </cell>
          <cell r="JN60">
            <v>0</v>
          </cell>
          <cell r="JO60">
            <v>0</v>
          </cell>
          <cell r="JP60" t="str">
            <v>-</v>
          </cell>
          <cell r="JQ60">
            <v>213</v>
          </cell>
          <cell r="JR60">
            <v>46</v>
          </cell>
          <cell r="JS60">
            <v>82.239382239382238</v>
          </cell>
          <cell r="JT60">
            <v>88</v>
          </cell>
          <cell r="JU60">
            <v>23</v>
          </cell>
          <cell r="JV60">
            <v>79.27927927927928</v>
          </cell>
          <cell r="JW60">
            <v>0</v>
          </cell>
          <cell r="JX60">
            <v>0</v>
          </cell>
          <cell r="JY60" t="str">
            <v>-</v>
          </cell>
          <cell r="JZ60">
            <v>73</v>
          </cell>
          <cell r="KA60">
            <v>15</v>
          </cell>
          <cell r="KB60">
            <v>82.954545454545453</v>
          </cell>
          <cell r="KC60">
            <v>0</v>
          </cell>
          <cell r="KD60">
            <v>0</v>
          </cell>
          <cell r="KE60" t="str">
            <v>-</v>
          </cell>
          <cell r="KF60">
            <v>631</v>
          </cell>
          <cell r="KG60">
            <v>147</v>
          </cell>
          <cell r="KH60">
            <v>81.105398457583547</v>
          </cell>
          <cell r="KI60">
            <v>28</v>
          </cell>
          <cell r="KJ60">
            <v>13</v>
          </cell>
          <cell r="KK60">
            <v>68.292682926829272</v>
          </cell>
          <cell r="KL60">
            <v>7</v>
          </cell>
          <cell r="KM60">
            <v>4</v>
          </cell>
          <cell r="KN60">
            <v>63.636363636363633</v>
          </cell>
        </row>
        <row r="61">
          <cell r="C61" t="str">
            <v>Mezőkövesdi Rendőrkapitányság</v>
          </cell>
          <cell r="D61">
            <v>63.6363525390625</v>
          </cell>
          <cell r="E61">
            <v>63.6363525390625</v>
          </cell>
          <cell r="F61" t="str">
            <v>-</v>
          </cell>
          <cell r="G61">
            <v>63.6363525390625</v>
          </cell>
          <cell r="H61">
            <v>63.6363525390625</v>
          </cell>
          <cell r="I61" t="str">
            <v>-</v>
          </cell>
          <cell r="J61">
            <v>63.6363525390625</v>
          </cell>
          <cell r="K61">
            <v>63.6363525390625</v>
          </cell>
          <cell r="L61" t="str">
            <v>-</v>
          </cell>
          <cell r="M61">
            <v>63.6363525390625</v>
          </cell>
          <cell r="N61">
            <v>63.6363525390625</v>
          </cell>
          <cell r="O61" t="str">
            <v>-</v>
          </cell>
          <cell r="P61">
            <v>63.6363525390625</v>
          </cell>
          <cell r="Q61">
            <v>63.6363525390625</v>
          </cell>
          <cell r="R61" t="str">
            <v>-</v>
          </cell>
          <cell r="S61">
            <v>63.6363525390625</v>
          </cell>
          <cell r="T61">
            <v>63.6363525390625</v>
          </cell>
          <cell r="U61" t="str">
            <v>-</v>
          </cell>
          <cell r="V61">
            <v>63.6363525390625</v>
          </cell>
          <cell r="W61">
            <v>63.6363525390625</v>
          </cell>
          <cell r="X61" t="str">
            <v>-</v>
          </cell>
          <cell r="Y61">
            <v>63.6363525390625</v>
          </cell>
          <cell r="Z61">
            <v>63.6363525390625</v>
          </cell>
          <cell r="AA61" t="str">
            <v>-</v>
          </cell>
          <cell r="AB61">
            <v>63.6363525390625</v>
          </cell>
          <cell r="AC61">
            <v>63.6363525390625</v>
          </cell>
          <cell r="AD61" t="str">
            <v>-</v>
          </cell>
          <cell r="AE61">
            <v>63.6363525390625</v>
          </cell>
          <cell r="AF61">
            <v>63.6363525390625</v>
          </cell>
          <cell r="AG61" t="str">
            <v>-</v>
          </cell>
          <cell r="AH61">
            <v>63.6363525390625</v>
          </cell>
          <cell r="AI61">
            <v>63.6363525390625</v>
          </cell>
          <cell r="AJ61" t="str">
            <v>-</v>
          </cell>
          <cell r="AK61">
            <v>63.6363525390625</v>
          </cell>
          <cell r="AL61">
            <v>63.6363525390625</v>
          </cell>
          <cell r="AM61" t="str">
            <v>-</v>
          </cell>
          <cell r="AN61">
            <v>63.6363525390625</v>
          </cell>
          <cell r="AO61">
            <v>63.6363525390625</v>
          </cell>
          <cell r="AP61" t="str">
            <v>-</v>
          </cell>
          <cell r="AQ61">
            <v>63.6363525390625</v>
          </cell>
          <cell r="AR61">
            <v>63.6363525390625</v>
          </cell>
          <cell r="AS61" t="str">
            <v>-</v>
          </cell>
          <cell r="AT61">
            <v>63.6363525390625</v>
          </cell>
          <cell r="AU61">
            <v>63.6363525390625</v>
          </cell>
          <cell r="AV61" t="str">
            <v>-</v>
          </cell>
          <cell r="AW61">
            <v>63.6363525390625</v>
          </cell>
          <cell r="AX61">
            <v>63.6363525390625</v>
          </cell>
          <cell r="AY61" t="str">
            <v>-</v>
          </cell>
          <cell r="AZ61">
            <v>63.6363525390625</v>
          </cell>
          <cell r="BA61">
            <v>63.6363525390625</v>
          </cell>
          <cell r="BB61" t="str">
            <v>-</v>
          </cell>
          <cell r="BC61">
            <v>63.6363525390625</v>
          </cell>
          <cell r="BD61">
            <v>63.6363525390625</v>
          </cell>
          <cell r="BE61" t="str">
            <v>-</v>
          </cell>
          <cell r="BF61">
            <v>63.6363525390625</v>
          </cell>
          <cell r="BG61">
            <v>63.6363525390625</v>
          </cell>
          <cell r="BH61" t="str">
            <v>-</v>
          </cell>
          <cell r="BI61">
            <v>63.6363525390625</v>
          </cell>
          <cell r="BJ61">
            <v>63.6363525390625</v>
          </cell>
          <cell r="BK61" t="str">
            <v>-</v>
          </cell>
          <cell r="BL61">
            <v>63.6363525390625</v>
          </cell>
          <cell r="BM61">
            <v>63.6363525390625</v>
          </cell>
          <cell r="BN61" t="str">
            <v>-</v>
          </cell>
          <cell r="BO61">
            <v>63.6363525390625</v>
          </cell>
          <cell r="BP61">
            <v>63.6363525390625</v>
          </cell>
          <cell r="BQ61" t="str">
            <v>-</v>
          </cell>
          <cell r="BR61">
            <v>63.6363525390625</v>
          </cell>
          <cell r="BS61">
            <v>63.6363525390625</v>
          </cell>
          <cell r="BT61" t="str">
            <v>-</v>
          </cell>
          <cell r="BU61">
            <v>63.6363525390625</v>
          </cell>
          <cell r="BV61">
            <v>63.6363525390625</v>
          </cell>
          <cell r="BW61" t="str">
            <v>-</v>
          </cell>
          <cell r="BX61">
            <v>77</v>
          </cell>
          <cell r="BY61">
            <v>11</v>
          </cell>
          <cell r="BZ61">
            <v>87.5</v>
          </cell>
          <cell r="CA61">
            <v>78</v>
          </cell>
          <cell r="CB61">
            <v>8</v>
          </cell>
          <cell r="CC61">
            <v>90.7</v>
          </cell>
          <cell r="CD61">
            <v>52</v>
          </cell>
          <cell r="CE61">
            <v>9</v>
          </cell>
          <cell r="CF61">
            <v>85.2</v>
          </cell>
          <cell r="CG61">
            <v>69</v>
          </cell>
          <cell r="CH61">
            <v>14</v>
          </cell>
          <cell r="CI61">
            <v>83.1</v>
          </cell>
          <cell r="CJ61">
            <v>63</v>
          </cell>
          <cell r="CK61">
            <v>9</v>
          </cell>
          <cell r="CL61">
            <v>87.5</v>
          </cell>
          <cell r="CM61">
            <v>59</v>
          </cell>
          <cell r="CN61">
            <v>7</v>
          </cell>
          <cell r="CO61">
            <v>89.4</v>
          </cell>
          <cell r="CP61">
            <v>74</v>
          </cell>
          <cell r="CQ61">
            <v>7</v>
          </cell>
          <cell r="CR61">
            <v>91.4</v>
          </cell>
          <cell r="CS61">
            <v>40</v>
          </cell>
          <cell r="CT61">
            <v>4</v>
          </cell>
          <cell r="CU61">
            <v>90.9</v>
          </cell>
          <cell r="CV61">
            <v>28</v>
          </cell>
          <cell r="CW61">
            <v>7</v>
          </cell>
          <cell r="CX61">
            <v>80</v>
          </cell>
          <cell r="CY61">
            <v>26</v>
          </cell>
          <cell r="CZ61">
            <v>5</v>
          </cell>
          <cell r="DA61">
            <v>83.9</v>
          </cell>
          <cell r="DB61">
            <v>25</v>
          </cell>
          <cell r="DC61">
            <v>6</v>
          </cell>
          <cell r="DD61">
            <v>80.599999999999994</v>
          </cell>
          <cell r="DE61">
            <v>30</v>
          </cell>
          <cell r="DF61">
            <v>12</v>
          </cell>
          <cell r="DG61">
            <v>71.400000000000006</v>
          </cell>
          <cell r="DH61">
            <v>25</v>
          </cell>
          <cell r="DI61">
            <v>4</v>
          </cell>
          <cell r="DJ61">
            <v>86.2</v>
          </cell>
          <cell r="DK61">
            <v>21</v>
          </cell>
          <cell r="DL61">
            <v>3</v>
          </cell>
          <cell r="DM61">
            <v>87.5</v>
          </cell>
          <cell r="DN61">
            <v>28</v>
          </cell>
          <cell r="DO61">
            <v>4</v>
          </cell>
          <cell r="DP61">
            <v>87.5</v>
          </cell>
          <cell r="DQ61">
            <v>18</v>
          </cell>
          <cell r="DR61">
            <v>3</v>
          </cell>
          <cell r="DS61">
            <v>85.7</v>
          </cell>
          <cell r="DT61">
            <v>85.699951171875</v>
          </cell>
          <cell r="DU61">
            <v>85.699951171875</v>
          </cell>
          <cell r="DV61" t="str">
            <v>-</v>
          </cell>
          <cell r="DW61">
            <v>85.699951171875</v>
          </cell>
          <cell r="DX61">
            <v>85.699951171875</v>
          </cell>
          <cell r="DY61" t="str">
            <v>-</v>
          </cell>
          <cell r="DZ61">
            <v>85.699951171875</v>
          </cell>
          <cell r="EA61">
            <v>85.699951171875</v>
          </cell>
          <cell r="EB61" t="str">
            <v>-</v>
          </cell>
          <cell r="EC61">
            <v>85.699951171875</v>
          </cell>
          <cell r="ED61">
            <v>85.699951171875</v>
          </cell>
          <cell r="EE61" t="str">
            <v>-</v>
          </cell>
          <cell r="EF61">
            <v>85.699951171875</v>
          </cell>
          <cell r="EG61">
            <v>85.699951171875</v>
          </cell>
          <cell r="EH61" t="str">
            <v>-</v>
          </cell>
          <cell r="EI61">
            <v>85.699951171875</v>
          </cell>
          <cell r="EJ61">
            <v>85.699951171875</v>
          </cell>
          <cell r="EK61" t="str">
            <v>-</v>
          </cell>
          <cell r="EL61">
            <v>85.699951171875</v>
          </cell>
          <cell r="EM61">
            <v>85.699951171875</v>
          </cell>
          <cell r="EN61" t="str">
            <v>-</v>
          </cell>
          <cell r="EO61">
            <v>85.699951171875</v>
          </cell>
          <cell r="EP61">
            <v>85.699951171875</v>
          </cell>
          <cell r="EQ61" t="str">
            <v>-</v>
          </cell>
          <cell r="ER61">
            <v>10</v>
          </cell>
          <cell r="ES61">
            <v>5</v>
          </cell>
          <cell r="ET61">
            <v>66.7</v>
          </cell>
          <cell r="EU61">
            <v>6</v>
          </cell>
          <cell r="EV61">
            <v>2</v>
          </cell>
          <cell r="EW61">
            <v>75</v>
          </cell>
          <cell r="EX61">
            <v>12</v>
          </cell>
          <cell r="EY61">
            <v>2</v>
          </cell>
          <cell r="EZ61">
            <v>85.7</v>
          </cell>
          <cell r="FA61">
            <v>21</v>
          </cell>
          <cell r="FB61">
            <v>4</v>
          </cell>
          <cell r="FC61">
            <v>84</v>
          </cell>
          <cell r="FD61">
            <v>19</v>
          </cell>
          <cell r="FE61">
            <v>6</v>
          </cell>
          <cell r="FF61">
            <v>76</v>
          </cell>
          <cell r="FG61">
            <v>8</v>
          </cell>
          <cell r="FH61">
            <v>7</v>
          </cell>
          <cell r="FI61">
            <v>53.3</v>
          </cell>
          <cell r="FJ61">
            <v>3</v>
          </cell>
          <cell r="FK61">
            <v>1</v>
          </cell>
          <cell r="FL61">
            <v>75</v>
          </cell>
          <cell r="FM61">
            <v>8</v>
          </cell>
          <cell r="FN61">
            <v>1</v>
          </cell>
          <cell r="FO61">
            <v>88.9</v>
          </cell>
          <cell r="FP61">
            <v>88.89996337890625</v>
          </cell>
          <cell r="FQ61">
            <v>88.89996337890625</v>
          </cell>
          <cell r="FR61" t="str">
            <v>-</v>
          </cell>
          <cell r="FS61">
            <v>88.89996337890625</v>
          </cell>
          <cell r="FT61">
            <v>88.89996337890625</v>
          </cell>
          <cell r="FU61" t="str">
            <v>-</v>
          </cell>
          <cell r="FV61">
            <v>88.89996337890625</v>
          </cell>
          <cell r="FW61">
            <v>88.89996337890625</v>
          </cell>
          <cell r="FX61" t="str">
            <v>-</v>
          </cell>
          <cell r="FY61">
            <v>88.89996337890625</v>
          </cell>
          <cell r="FZ61">
            <v>88.89996337890625</v>
          </cell>
          <cell r="GA61" t="str">
            <v>-</v>
          </cell>
          <cell r="GB61">
            <v>88.89996337890625</v>
          </cell>
          <cell r="GC61">
            <v>88.89996337890625</v>
          </cell>
          <cell r="GD61" t="str">
            <v>-</v>
          </cell>
          <cell r="GE61">
            <v>88.89996337890625</v>
          </cell>
          <cell r="GF61">
            <v>88.89996337890625</v>
          </cell>
          <cell r="GG61" t="str">
            <v>-</v>
          </cell>
          <cell r="GH61">
            <v>88.89996337890625</v>
          </cell>
          <cell r="GI61">
            <v>88.89996337890625</v>
          </cell>
          <cell r="GJ61" t="str">
            <v>-</v>
          </cell>
          <cell r="GK61">
            <v>88.89996337890625</v>
          </cell>
          <cell r="GL61">
            <v>88.89996337890625</v>
          </cell>
          <cell r="GM61" t="str">
            <v>-</v>
          </cell>
          <cell r="GN61">
            <v>68</v>
          </cell>
          <cell r="GO61">
            <v>8</v>
          </cell>
          <cell r="GP61">
            <v>89.5</v>
          </cell>
          <cell r="GQ61">
            <v>82</v>
          </cell>
          <cell r="GR61">
            <v>22</v>
          </cell>
          <cell r="GS61">
            <v>78.8</v>
          </cell>
          <cell r="GT61">
            <v>77</v>
          </cell>
          <cell r="GU61">
            <v>28</v>
          </cell>
          <cell r="GV61">
            <v>73.3</v>
          </cell>
          <cell r="GW61">
            <v>71</v>
          </cell>
          <cell r="GX61">
            <v>10</v>
          </cell>
          <cell r="GY61">
            <v>87.7</v>
          </cell>
          <cell r="GZ61">
            <v>67</v>
          </cell>
          <cell r="HA61">
            <v>24</v>
          </cell>
          <cell r="HB61">
            <v>73.599999999999994</v>
          </cell>
          <cell r="HC61">
            <v>94</v>
          </cell>
          <cell r="HD61">
            <v>22</v>
          </cell>
          <cell r="HE61">
            <v>81</v>
          </cell>
          <cell r="HF61">
            <v>75</v>
          </cell>
          <cell r="HG61">
            <v>15</v>
          </cell>
          <cell r="HH61">
            <v>83.3</v>
          </cell>
          <cell r="HI61">
            <v>44</v>
          </cell>
          <cell r="HJ61">
            <v>10</v>
          </cell>
          <cell r="HK61">
            <v>81.5</v>
          </cell>
          <cell r="HL61">
            <v>8</v>
          </cell>
          <cell r="HM61">
            <v>7</v>
          </cell>
          <cell r="HN61">
            <v>53.3</v>
          </cell>
          <cell r="HO61">
            <v>2</v>
          </cell>
          <cell r="HP61">
            <v>1</v>
          </cell>
          <cell r="HQ61">
            <v>66.7</v>
          </cell>
          <cell r="HR61">
            <v>8</v>
          </cell>
          <cell r="HS61">
            <v>3</v>
          </cell>
          <cell r="HT61">
            <v>72.7</v>
          </cell>
          <cell r="HU61">
            <v>2</v>
          </cell>
          <cell r="HV61">
            <v>2</v>
          </cell>
          <cell r="HW61">
            <v>100</v>
          </cell>
          <cell r="HX61">
            <v>2</v>
          </cell>
          <cell r="HY61">
            <v>3</v>
          </cell>
          <cell r="HZ61">
            <v>40</v>
          </cell>
          <cell r="IA61">
            <v>3</v>
          </cell>
          <cell r="IB61">
            <v>2</v>
          </cell>
          <cell r="IC61">
            <v>60</v>
          </cell>
          <cell r="ID61">
            <v>2</v>
          </cell>
          <cell r="IE61">
            <v>2</v>
          </cell>
          <cell r="IF61">
            <v>100</v>
          </cell>
          <cell r="IG61">
            <v>1</v>
          </cell>
          <cell r="IH61">
            <v>1</v>
          </cell>
          <cell r="II61">
            <v>100</v>
          </cell>
          <cell r="IJ61">
            <v>3</v>
          </cell>
          <cell r="IK61">
            <v>3</v>
          </cell>
          <cell r="IL61">
            <v>100</v>
          </cell>
          <cell r="IM61">
            <v>2</v>
          </cell>
          <cell r="IN61">
            <v>1</v>
          </cell>
          <cell r="IO61">
            <v>66.7</v>
          </cell>
          <cell r="IP61">
            <v>5</v>
          </cell>
          <cell r="IQ61">
            <v>1</v>
          </cell>
          <cell r="IR61">
            <v>83.3</v>
          </cell>
          <cell r="IS61">
            <v>83.29998779296875</v>
          </cell>
          <cell r="IT61">
            <v>83.29998779296875</v>
          </cell>
          <cell r="IU61" t="str">
            <v>-</v>
          </cell>
          <cell r="IV61">
            <v>83.29998779296875</v>
          </cell>
          <cell r="IW61">
            <v>83.29998779296875</v>
          </cell>
          <cell r="IX61" t="str">
            <v>-</v>
          </cell>
          <cell r="IY61">
            <v>1</v>
          </cell>
          <cell r="IZ61">
            <v>1</v>
          </cell>
          <cell r="JA61">
            <v>100</v>
          </cell>
          <cell r="JB61">
            <v>2</v>
          </cell>
          <cell r="JC61">
            <v>1</v>
          </cell>
          <cell r="JD61">
            <v>66.7</v>
          </cell>
          <cell r="JE61">
            <v>66.699951171875</v>
          </cell>
          <cell r="JF61">
            <v>66.699951171875</v>
          </cell>
          <cell r="JG61" t="str">
            <v>-</v>
          </cell>
          <cell r="JH61">
            <v>0</v>
          </cell>
          <cell r="JI61">
            <v>0</v>
          </cell>
          <cell r="JJ61" t="str">
            <v>-</v>
          </cell>
          <cell r="JK61">
            <v>0</v>
          </cell>
          <cell r="JL61">
            <v>0</v>
          </cell>
          <cell r="JM61" t="str">
            <v>-</v>
          </cell>
          <cell r="JN61">
            <v>0</v>
          </cell>
          <cell r="JO61">
            <v>0</v>
          </cell>
          <cell r="JP61" t="str">
            <v>-</v>
          </cell>
          <cell r="JQ61">
            <v>305</v>
          </cell>
          <cell r="JR61">
            <v>41</v>
          </cell>
          <cell r="JS61">
            <v>88.150289017341038</v>
          </cell>
          <cell r="JT61">
            <v>122</v>
          </cell>
          <cell r="JU61">
            <v>26</v>
          </cell>
          <cell r="JV61">
            <v>82.432432432432435</v>
          </cell>
          <cell r="JW61">
            <v>0</v>
          </cell>
          <cell r="JX61">
            <v>0</v>
          </cell>
          <cell r="JY61" t="str">
            <v>-</v>
          </cell>
          <cell r="JZ61">
            <v>59</v>
          </cell>
          <cell r="KA61">
            <v>19</v>
          </cell>
          <cell r="KB61">
            <v>75.641025641025635</v>
          </cell>
          <cell r="KC61">
            <v>0</v>
          </cell>
          <cell r="KD61">
            <v>0</v>
          </cell>
          <cell r="KE61" t="str">
            <v>-</v>
          </cell>
          <cell r="KF61">
            <v>351</v>
          </cell>
          <cell r="KG61">
            <v>81</v>
          </cell>
          <cell r="KH61">
            <v>81.25</v>
          </cell>
          <cell r="KI61">
            <v>10</v>
          </cell>
          <cell r="KJ61">
            <v>5</v>
          </cell>
          <cell r="KK61">
            <v>66.666666666666657</v>
          </cell>
          <cell r="KL61">
            <v>3</v>
          </cell>
          <cell r="KM61">
            <v>1</v>
          </cell>
          <cell r="KN61">
            <v>75</v>
          </cell>
        </row>
        <row r="62">
          <cell r="C62" t="str">
            <v>Ózdi Rendőrkapitányság</v>
          </cell>
          <cell r="D62">
            <v>75</v>
          </cell>
          <cell r="E62">
            <v>75</v>
          </cell>
          <cell r="F62" t="str">
            <v>-</v>
          </cell>
          <cell r="G62">
            <v>75</v>
          </cell>
          <cell r="H62">
            <v>75</v>
          </cell>
          <cell r="I62" t="str">
            <v>-</v>
          </cell>
          <cell r="J62">
            <v>75</v>
          </cell>
          <cell r="K62">
            <v>75</v>
          </cell>
          <cell r="L62" t="str">
            <v>-</v>
          </cell>
          <cell r="M62">
            <v>75</v>
          </cell>
          <cell r="N62">
            <v>75</v>
          </cell>
          <cell r="O62" t="str">
            <v>-</v>
          </cell>
          <cell r="P62">
            <v>75</v>
          </cell>
          <cell r="Q62">
            <v>75</v>
          </cell>
          <cell r="R62" t="str">
            <v>-</v>
          </cell>
          <cell r="S62">
            <v>75</v>
          </cell>
          <cell r="T62">
            <v>75</v>
          </cell>
          <cell r="U62" t="str">
            <v>-</v>
          </cell>
          <cell r="V62">
            <v>75</v>
          </cell>
          <cell r="W62">
            <v>75</v>
          </cell>
          <cell r="X62" t="str">
            <v>-</v>
          </cell>
          <cell r="Y62">
            <v>75</v>
          </cell>
          <cell r="Z62">
            <v>75</v>
          </cell>
          <cell r="AA62" t="str">
            <v>-</v>
          </cell>
          <cell r="AB62">
            <v>75</v>
          </cell>
          <cell r="AC62">
            <v>75</v>
          </cell>
          <cell r="AD62" t="str">
            <v>-</v>
          </cell>
          <cell r="AE62">
            <v>75</v>
          </cell>
          <cell r="AF62">
            <v>75</v>
          </cell>
          <cell r="AG62" t="str">
            <v>-</v>
          </cell>
          <cell r="AH62">
            <v>75</v>
          </cell>
          <cell r="AI62">
            <v>75</v>
          </cell>
          <cell r="AJ62" t="str">
            <v>-</v>
          </cell>
          <cell r="AK62">
            <v>75</v>
          </cell>
          <cell r="AL62">
            <v>75</v>
          </cell>
          <cell r="AM62" t="str">
            <v>-</v>
          </cell>
          <cell r="AN62">
            <v>75</v>
          </cell>
          <cell r="AO62">
            <v>75</v>
          </cell>
          <cell r="AP62" t="str">
            <v>-</v>
          </cell>
          <cell r="AQ62">
            <v>75</v>
          </cell>
          <cell r="AR62">
            <v>75</v>
          </cell>
          <cell r="AS62" t="str">
            <v>-</v>
          </cell>
          <cell r="AT62">
            <v>75</v>
          </cell>
          <cell r="AU62">
            <v>75</v>
          </cell>
          <cell r="AV62" t="str">
            <v>-</v>
          </cell>
          <cell r="AW62">
            <v>75</v>
          </cell>
          <cell r="AX62">
            <v>75</v>
          </cell>
          <cell r="AY62" t="str">
            <v>-</v>
          </cell>
          <cell r="AZ62">
            <v>75</v>
          </cell>
          <cell r="BA62">
            <v>75</v>
          </cell>
          <cell r="BB62" t="str">
            <v>-</v>
          </cell>
          <cell r="BC62">
            <v>75</v>
          </cell>
          <cell r="BD62">
            <v>75</v>
          </cell>
          <cell r="BE62" t="str">
            <v>-</v>
          </cell>
          <cell r="BF62">
            <v>75</v>
          </cell>
          <cell r="BG62">
            <v>75</v>
          </cell>
          <cell r="BH62" t="str">
            <v>-</v>
          </cell>
          <cell r="BI62">
            <v>75</v>
          </cell>
          <cell r="BJ62">
            <v>75</v>
          </cell>
          <cell r="BK62" t="str">
            <v>-</v>
          </cell>
          <cell r="BL62">
            <v>75</v>
          </cell>
          <cell r="BM62">
            <v>75</v>
          </cell>
          <cell r="BN62" t="str">
            <v>-</v>
          </cell>
          <cell r="BO62">
            <v>75</v>
          </cell>
          <cell r="BP62">
            <v>75</v>
          </cell>
          <cell r="BQ62" t="str">
            <v>-</v>
          </cell>
          <cell r="BR62">
            <v>75</v>
          </cell>
          <cell r="BS62">
            <v>75</v>
          </cell>
          <cell r="BT62" t="str">
            <v>-</v>
          </cell>
          <cell r="BU62">
            <v>75</v>
          </cell>
          <cell r="BV62">
            <v>75</v>
          </cell>
          <cell r="BW62" t="str">
            <v>-</v>
          </cell>
          <cell r="BX62">
            <v>125</v>
          </cell>
          <cell r="BY62">
            <v>14</v>
          </cell>
          <cell r="BZ62">
            <v>89.9</v>
          </cell>
          <cell r="CA62">
            <v>119</v>
          </cell>
          <cell r="CB62">
            <v>16</v>
          </cell>
          <cell r="CC62">
            <v>88.1</v>
          </cell>
          <cell r="CD62">
            <v>109</v>
          </cell>
          <cell r="CE62">
            <v>17</v>
          </cell>
          <cell r="CF62">
            <v>86.5</v>
          </cell>
          <cell r="CG62">
            <v>114</v>
          </cell>
          <cell r="CH62">
            <v>28</v>
          </cell>
          <cell r="CI62">
            <v>80.3</v>
          </cell>
          <cell r="CJ62">
            <v>120</v>
          </cell>
          <cell r="CK62">
            <v>26</v>
          </cell>
          <cell r="CL62">
            <v>82.2</v>
          </cell>
          <cell r="CM62">
            <v>94</v>
          </cell>
          <cell r="CN62">
            <v>32</v>
          </cell>
          <cell r="CO62">
            <v>74.599999999999994</v>
          </cell>
          <cell r="CP62">
            <v>96</v>
          </cell>
          <cell r="CQ62">
            <v>25</v>
          </cell>
          <cell r="CR62">
            <v>79.3</v>
          </cell>
          <cell r="CS62">
            <v>90</v>
          </cell>
          <cell r="CT62">
            <v>30</v>
          </cell>
          <cell r="CU62">
            <v>75</v>
          </cell>
          <cell r="CV62">
            <v>37</v>
          </cell>
          <cell r="CW62">
            <v>7</v>
          </cell>
          <cell r="CX62">
            <v>84.1</v>
          </cell>
          <cell r="CY62">
            <v>34</v>
          </cell>
          <cell r="CZ62">
            <v>9</v>
          </cell>
          <cell r="DA62">
            <v>79.099999999999994</v>
          </cell>
          <cell r="DB62">
            <v>29</v>
          </cell>
          <cell r="DC62">
            <v>10</v>
          </cell>
          <cell r="DD62">
            <v>74.400000000000006</v>
          </cell>
          <cell r="DE62">
            <v>32</v>
          </cell>
          <cell r="DF62">
            <v>12</v>
          </cell>
          <cell r="DG62">
            <v>72.7</v>
          </cell>
          <cell r="DH62">
            <v>33</v>
          </cell>
          <cell r="DI62">
            <v>8</v>
          </cell>
          <cell r="DJ62">
            <v>80.5</v>
          </cell>
          <cell r="DK62">
            <v>21</v>
          </cell>
          <cell r="DL62">
            <v>19</v>
          </cell>
          <cell r="DM62">
            <v>52.5</v>
          </cell>
          <cell r="DN62">
            <v>33</v>
          </cell>
          <cell r="DO62">
            <v>15</v>
          </cell>
          <cell r="DP62">
            <v>68.8</v>
          </cell>
          <cell r="DQ62">
            <v>39</v>
          </cell>
          <cell r="DR62">
            <v>19</v>
          </cell>
          <cell r="DS62">
            <v>67.2</v>
          </cell>
          <cell r="DT62">
            <v>67.199951171875</v>
          </cell>
          <cell r="DU62">
            <v>67.199951171875</v>
          </cell>
          <cell r="DV62" t="str">
            <v>-</v>
          </cell>
          <cell r="DW62">
            <v>67.199951171875</v>
          </cell>
          <cell r="DX62">
            <v>67.199951171875</v>
          </cell>
          <cell r="DY62" t="str">
            <v>-</v>
          </cell>
          <cell r="DZ62">
            <v>67.199951171875</v>
          </cell>
          <cell r="EA62">
            <v>67.199951171875</v>
          </cell>
          <cell r="EB62" t="str">
            <v>-</v>
          </cell>
          <cell r="EC62">
            <v>67.199951171875</v>
          </cell>
          <cell r="ED62">
            <v>67.199951171875</v>
          </cell>
          <cell r="EE62" t="str">
            <v>-</v>
          </cell>
          <cell r="EF62">
            <v>67.199951171875</v>
          </cell>
          <cell r="EG62">
            <v>67.199951171875</v>
          </cell>
          <cell r="EH62" t="str">
            <v>-</v>
          </cell>
          <cell r="EI62">
            <v>67.199951171875</v>
          </cell>
          <cell r="EJ62">
            <v>67.199951171875</v>
          </cell>
          <cell r="EK62" t="str">
            <v>-</v>
          </cell>
          <cell r="EL62">
            <v>67.199951171875</v>
          </cell>
          <cell r="EM62">
            <v>67.199951171875</v>
          </cell>
          <cell r="EN62" t="str">
            <v>-</v>
          </cell>
          <cell r="EO62">
            <v>67.199951171875</v>
          </cell>
          <cell r="EP62">
            <v>67.199951171875</v>
          </cell>
          <cell r="EQ62" t="str">
            <v>-</v>
          </cell>
          <cell r="ER62">
            <v>27</v>
          </cell>
          <cell r="ES62">
            <v>6</v>
          </cell>
          <cell r="ET62">
            <v>81.8</v>
          </cell>
          <cell r="EU62">
            <v>16</v>
          </cell>
          <cell r="EV62">
            <v>8</v>
          </cell>
          <cell r="EW62">
            <v>66.7</v>
          </cell>
          <cell r="EX62">
            <v>9</v>
          </cell>
          <cell r="EY62">
            <v>3</v>
          </cell>
          <cell r="EZ62">
            <v>75</v>
          </cell>
          <cell r="FA62">
            <v>36</v>
          </cell>
          <cell r="FB62">
            <v>2</v>
          </cell>
          <cell r="FC62">
            <v>94.7</v>
          </cell>
          <cell r="FD62">
            <v>16</v>
          </cell>
          <cell r="FE62">
            <v>4</v>
          </cell>
          <cell r="FF62">
            <v>80</v>
          </cell>
          <cell r="FG62">
            <v>16</v>
          </cell>
          <cell r="FH62">
            <v>5</v>
          </cell>
          <cell r="FI62">
            <v>76.2</v>
          </cell>
          <cell r="FJ62">
            <v>24</v>
          </cell>
          <cell r="FK62">
            <v>12</v>
          </cell>
          <cell r="FL62">
            <v>66.7</v>
          </cell>
          <cell r="FM62">
            <v>19</v>
          </cell>
          <cell r="FN62">
            <v>5</v>
          </cell>
          <cell r="FO62">
            <v>79.2</v>
          </cell>
          <cell r="FP62">
            <v>79.199951171875</v>
          </cell>
          <cell r="FQ62">
            <v>79.199951171875</v>
          </cell>
          <cell r="FR62" t="str">
            <v>-</v>
          </cell>
          <cell r="FS62">
            <v>79.199951171875</v>
          </cell>
          <cell r="FT62">
            <v>79.199951171875</v>
          </cell>
          <cell r="FU62" t="str">
            <v>-</v>
          </cell>
          <cell r="FV62">
            <v>79.199951171875</v>
          </cell>
          <cell r="FW62">
            <v>79.199951171875</v>
          </cell>
          <cell r="FX62" t="str">
            <v>-</v>
          </cell>
          <cell r="FY62">
            <v>79.199951171875</v>
          </cell>
          <cell r="FZ62">
            <v>79.199951171875</v>
          </cell>
          <cell r="GA62" t="str">
            <v>-</v>
          </cell>
          <cell r="GB62">
            <v>79.199951171875</v>
          </cell>
          <cell r="GC62">
            <v>79.199951171875</v>
          </cell>
          <cell r="GD62" t="str">
            <v>-</v>
          </cell>
          <cell r="GE62">
            <v>79.199951171875</v>
          </cell>
          <cell r="GF62">
            <v>79.199951171875</v>
          </cell>
          <cell r="GG62" t="str">
            <v>-</v>
          </cell>
          <cell r="GH62">
            <v>79.199951171875</v>
          </cell>
          <cell r="GI62">
            <v>79.199951171875</v>
          </cell>
          <cell r="GJ62" t="str">
            <v>-</v>
          </cell>
          <cell r="GK62">
            <v>79.199951171875</v>
          </cell>
          <cell r="GL62">
            <v>79.199951171875</v>
          </cell>
          <cell r="GM62" t="str">
            <v>-</v>
          </cell>
          <cell r="GN62">
            <v>156</v>
          </cell>
          <cell r="GO62">
            <v>19</v>
          </cell>
          <cell r="GP62">
            <v>89.1</v>
          </cell>
          <cell r="GQ62">
            <v>189</v>
          </cell>
          <cell r="GR62">
            <v>44</v>
          </cell>
          <cell r="GS62">
            <v>81.099999999999994</v>
          </cell>
          <cell r="GT62">
            <v>181</v>
          </cell>
          <cell r="GU62">
            <v>42</v>
          </cell>
          <cell r="GV62">
            <v>81.2</v>
          </cell>
          <cell r="GW62">
            <v>227</v>
          </cell>
          <cell r="GX62">
            <v>87</v>
          </cell>
          <cell r="GY62">
            <v>72.3</v>
          </cell>
          <cell r="GZ62">
            <v>207</v>
          </cell>
          <cell r="HA62">
            <v>70</v>
          </cell>
          <cell r="HB62">
            <v>74.7</v>
          </cell>
          <cell r="HC62">
            <v>202</v>
          </cell>
          <cell r="HD62">
            <v>99</v>
          </cell>
          <cell r="HE62">
            <v>67.099999999999994</v>
          </cell>
          <cell r="HF62">
            <v>159</v>
          </cell>
          <cell r="HG62">
            <v>50</v>
          </cell>
          <cell r="HH62">
            <v>76.099999999999994</v>
          </cell>
          <cell r="HI62">
            <v>159</v>
          </cell>
          <cell r="HJ62">
            <v>59</v>
          </cell>
          <cell r="HK62">
            <v>72.900000000000006</v>
          </cell>
          <cell r="HL62">
            <v>5</v>
          </cell>
          <cell r="HM62">
            <v>9</v>
          </cell>
          <cell r="HN62">
            <v>35.700000000000003</v>
          </cell>
          <cell r="HO62">
            <v>10</v>
          </cell>
          <cell r="HP62">
            <v>7</v>
          </cell>
          <cell r="HQ62">
            <v>58.8</v>
          </cell>
          <cell r="HR62">
            <v>12</v>
          </cell>
          <cell r="HS62">
            <v>6</v>
          </cell>
          <cell r="HT62">
            <v>66.7</v>
          </cell>
          <cell r="HU62">
            <v>9</v>
          </cell>
          <cell r="HV62">
            <v>6</v>
          </cell>
          <cell r="HW62">
            <v>60</v>
          </cell>
          <cell r="HX62">
            <v>13</v>
          </cell>
          <cell r="HY62">
            <v>6</v>
          </cell>
          <cell r="HZ62">
            <v>68.400000000000006</v>
          </cell>
          <cell r="IA62">
            <v>6</v>
          </cell>
          <cell r="IB62">
            <v>5</v>
          </cell>
          <cell r="IC62">
            <v>54.5</v>
          </cell>
          <cell r="ID62">
            <v>2</v>
          </cell>
          <cell r="IE62">
            <v>5</v>
          </cell>
          <cell r="IF62">
            <v>28.6</v>
          </cell>
          <cell r="IG62">
            <v>7</v>
          </cell>
          <cell r="IH62">
            <v>6</v>
          </cell>
          <cell r="II62">
            <v>53.8</v>
          </cell>
          <cell r="IJ62">
            <v>2</v>
          </cell>
          <cell r="IK62">
            <v>2</v>
          </cell>
          <cell r="IL62">
            <v>50</v>
          </cell>
          <cell r="IM62">
            <v>7</v>
          </cell>
          <cell r="IN62">
            <v>7</v>
          </cell>
          <cell r="IO62">
            <v>100</v>
          </cell>
          <cell r="IP62">
            <v>2</v>
          </cell>
          <cell r="IQ62">
            <v>2</v>
          </cell>
          <cell r="IR62">
            <v>100</v>
          </cell>
          <cell r="IS62">
            <v>10</v>
          </cell>
          <cell r="IT62">
            <v>2</v>
          </cell>
          <cell r="IU62">
            <v>83.3</v>
          </cell>
          <cell r="IV62">
            <v>5</v>
          </cell>
          <cell r="IW62">
            <v>13</v>
          </cell>
          <cell r="IX62">
            <v>27.8</v>
          </cell>
          <cell r="IY62">
            <v>10</v>
          </cell>
          <cell r="IZ62">
            <v>2</v>
          </cell>
          <cell r="JA62">
            <v>83.3</v>
          </cell>
          <cell r="JB62">
            <v>2</v>
          </cell>
          <cell r="JC62">
            <v>1</v>
          </cell>
          <cell r="JD62">
            <v>66.7</v>
          </cell>
          <cell r="JE62">
            <v>7</v>
          </cell>
          <cell r="JF62">
            <v>7</v>
          </cell>
          <cell r="JG62">
            <v>100</v>
          </cell>
          <cell r="JH62">
            <v>0</v>
          </cell>
          <cell r="JI62">
            <v>0</v>
          </cell>
          <cell r="JJ62" t="str">
            <v>-</v>
          </cell>
          <cell r="JK62">
            <v>0</v>
          </cell>
          <cell r="JL62">
            <v>0</v>
          </cell>
          <cell r="JM62" t="str">
            <v>-</v>
          </cell>
          <cell r="JN62">
            <v>0</v>
          </cell>
          <cell r="JO62">
            <v>0</v>
          </cell>
          <cell r="JP62" t="str">
            <v>-</v>
          </cell>
          <cell r="JQ62">
            <v>514</v>
          </cell>
          <cell r="JR62">
            <v>141</v>
          </cell>
          <cell r="JS62">
            <v>78.473282442748086</v>
          </cell>
          <cell r="JT62">
            <v>158</v>
          </cell>
          <cell r="JU62">
            <v>73</v>
          </cell>
          <cell r="JV62">
            <v>68.398268398268399</v>
          </cell>
          <cell r="JW62">
            <v>0</v>
          </cell>
          <cell r="JX62">
            <v>0</v>
          </cell>
          <cell r="JY62" t="str">
            <v>-</v>
          </cell>
          <cell r="JZ62">
            <v>111</v>
          </cell>
          <cell r="KA62">
            <v>28</v>
          </cell>
          <cell r="KB62">
            <v>79.856115107913666</v>
          </cell>
          <cell r="KC62">
            <v>0</v>
          </cell>
          <cell r="KD62">
            <v>0</v>
          </cell>
          <cell r="KE62" t="str">
            <v>-</v>
          </cell>
          <cell r="KF62">
            <v>954</v>
          </cell>
          <cell r="KG62">
            <v>365</v>
          </cell>
          <cell r="KH62">
            <v>72.327520849128121</v>
          </cell>
          <cell r="KI62">
            <v>37</v>
          </cell>
          <cell r="KJ62">
            <v>28</v>
          </cell>
          <cell r="KK62">
            <v>56.92307692307692</v>
          </cell>
          <cell r="KL62">
            <v>34</v>
          </cell>
          <cell r="KM62">
            <v>18</v>
          </cell>
          <cell r="KN62">
            <v>65.384615384615387</v>
          </cell>
        </row>
        <row r="63">
          <cell r="C63" t="str">
            <v>Sátoraljaújhelyi Rendőrkapitányság</v>
          </cell>
          <cell r="D63">
            <v>65.38458251953125</v>
          </cell>
          <cell r="E63">
            <v>65.38458251953125</v>
          </cell>
          <cell r="F63" t="str">
            <v>-</v>
          </cell>
          <cell r="G63">
            <v>65.38458251953125</v>
          </cell>
          <cell r="H63">
            <v>65.38458251953125</v>
          </cell>
          <cell r="I63" t="str">
            <v>-</v>
          </cell>
          <cell r="J63">
            <v>65.38458251953125</v>
          </cell>
          <cell r="K63">
            <v>65.38458251953125</v>
          </cell>
          <cell r="L63" t="str">
            <v>-</v>
          </cell>
          <cell r="M63">
            <v>65.38458251953125</v>
          </cell>
          <cell r="N63">
            <v>65.38458251953125</v>
          </cell>
          <cell r="O63" t="str">
            <v>-</v>
          </cell>
          <cell r="P63">
            <v>65.38458251953125</v>
          </cell>
          <cell r="Q63">
            <v>65.38458251953125</v>
          </cell>
          <cell r="R63" t="str">
            <v>-</v>
          </cell>
          <cell r="S63">
            <v>65.38458251953125</v>
          </cell>
          <cell r="T63">
            <v>65.38458251953125</v>
          </cell>
          <cell r="U63" t="str">
            <v>-</v>
          </cell>
          <cell r="V63">
            <v>65.38458251953125</v>
          </cell>
          <cell r="W63">
            <v>65.38458251953125</v>
          </cell>
          <cell r="X63" t="str">
            <v>-</v>
          </cell>
          <cell r="Y63">
            <v>65.38458251953125</v>
          </cell>
          <cell r="Z63">
            <v>65.38458251953125</v>
          </cell>
          <cell r="AA63" t="str">
            <v>-</v>
          </cell>
          <cell r="AB63">
            <v>65.38458251953125</v>
          </cell>
          <cell r="AC63">
            <v>65.38458251953125</v>
          </cell>
          <cell r="AD63" t="str">
            <v>-</v>
          </cell>
          <cell r="AE63">
            <v>65.38458251953125</v>
          </cell>
          <cell r="AF63">
            <v>65.38458251953125</v>
          </cell>
          <cell r="AG63" t="str">
            <v>-</v>
          </cell>
          <cell r="AH63">
            <v>65.38458251953125</v>
          </cell>
          <cell r="AI63">
            <v>65.38458251953125</v>
          </cell>
          <cell r="AJ63" t="str">
            <v>-</v>
          </cell>
          <cell r="AK63">
            <v>65.38458251953125</v>
          </cell>
          <cell r="AL63">
            <v>65.38458251953125</v>
          </cell>
          <cell r="AM63" t="str">
            <v>-</v>
          </cell>
          <cell r="AN63">
            <v>65.38458251953125</v>
          </cell>
          <cell r="AO63">
            <v>65.38458251953125</v>
          </cell>
          <cell r="AP63" t="str">
            <v>-</v>
          </cell>
          <cell r="AQ63">
            <v>65.38458251953125</v>
          </cell>
          <cell r="AR63">
            <v>65.38458251953125</v>
          </cell>
          <cell r="AS63" t="str">
            <v>-</v>
          </cell>
          <cell r="AT63">
            <v>65.38458251953125</v>
          </cell>
          <cell r="AU63">
            <v>65.38458251953125</v>
          </cell>
          <cell r="AV63" t="str">
            <v>-</v>
          </cell>
          <cell r="AW63">
            <v>65.38458251953125</v>
          </cell>
          <cell r="AX63">
            <v>65.38458251953125</v>
          </cell>
          <cell r="AY63" t="str">
            <v>-</v>
          </cell>
          <cell r="AZ63">
            <v>65.38458251953125</v>
          </cell>
          <cell r="BA63">
            <v>65.38458251953125</v>
          </cell>
          <cell r="BB63" t="str">
            <v>-</v>
          </cell>
          <cell r="BC63">
            <v>65.38458251953125</v>
          </cell>
          <cell r="BD63">
            <v>65.38458251953125</v>
          </cell>
          <cell r="BE63" t="str">
            <v>-</v>
          </cell>
          <cell r="BF63">
            <v>65.38458251953125</v>
          </cell>
          <cell r="BG63">
            <v>65.38458251953125</v>
          </cell>
          <cell r="BH63" t="str">
            <v>-</v>
          </cell>
          <cell r="BI63">
            <v>65.38458251953125</v>
          </cell>
          <cell r="BJ63">
            <v>65.38458251953125</v>
          </cell>
          <cell r="BK63" t="str">
            <v>-</v>
          </cell>
          <cell r="BL63">
            <v>65.38458251953125</v>
          </cell>
          <cell r="BM63">
            <v>65.38458251953125</v>
          </cell>
          <cell r="BN63" t="str">
            <v>-</v>
          </cell>
          <cell r="BO63">
            <v>65.38458251953125</v>
          </cell>
          <cell r="BP63">
            <v>65.38458251953125</v>
          </cell>
          <cell r="BQ63" t="str">
            <v>-</v>
          </cell>
          <cell r="BR63">
            <v>65.38458251953125</v>
          </cell>
          <cell r="BS63">
            <v>65.38458251953125</v>
          </cell>
          <cell r="BT63" t="str">
            <v>-</v>
          </cell>
          <cell r="BU63">
            <v>65.38458251953125</v>
          </cell>
          <cell r="BV63">
            <v>65.38458251953125</v>
          </cell>
          <cell r="BW63" t="str">
            <v>-</v>
          </cell>
          <cell r="BX63">
            <v>47</v>
          </cell>
          <cell r="BY63">
            <v>4</v>
          </cell>
          <cell r="BZ63">
            <v>92.2</v>
          </cell>
          <cell r="CA63">
            <v>84</v>
          </cell>
          <cell r="CB63">
            <v>7</v>
          </cell>
          <cell r="CC63">
            <v>92.3</v>
          </cell>
          <cell r="CD63">
            <v>77</v>
          </cell>
          <cell r="CE63">
            <v>11</v>
          </cell>
          <cell r="CF63">
            <v>87.5</v>
          </cell>
          <cell r="CG63">
            <v>52</v>
          </cell>
          <cell r="CH63">
            <v>11</v>
          </cell>
          <cell r="CI63">
            <v>82.5</v>
          </cell>
          <cell r="CJ63">
            <v>69</v>
          </cell>
          <cell r="CK63">
            <v>14</v>
          </cell>
          <cell r="CL63">
            <v>83.1</v>
          </cell>
          <cell r="CM63">
            <v>35</v>
          </cell>
          <cell r="CN63">
            <v>5</v>
          </cell>
          <cell r="CO63">
            <v>87.5</v>
          </cell>
          <cell r="CP63">
            <v>39</v>
          </cell>
          <cell r="CQ63">
            <v>12</v>
          </cell>
          <cell r="CR63">
            <v>76.5</v>
          </cell>
          <cell r="CS63">
            <v>39</v>
          </cell>
          <cell r="CT63">
            <v>5</v>
          </cell>
          <cell r="CU63">
            <v>88.6</v>
          </cell>
          <cell r="CV63">
            <v>19</v>
          </cell>
          <cell r="CW63">
            <v>2</v>
          </cell>
          <cell r="CX63">
            <v>90.5</v>
          </cell>
          <cell r="CY63">
            <v>20</v>
          </cell>
          <cell r="CZ63">
            <v>3</v>
          </cell>
          <cell r="DA63">
            <v>87</v>
          </cell>
          <cell r="DB63">
            <v>20</v>
          </cell>
          <cell r="DC63">
            <v>6</v>
          </cell>
          <cell r="DD63">
            <v>76.900000000000006</v>
          </cell>
          <cell r="DE63">
            <v>15</v>
          </cell>
          <cell r="DF63">
            <v>9</v>
          </cell>
          <cell r="DG63">
            <v>62.5</v>
          </cell>
          <cell r="DH63">
            <v>22</v>
          </cell>
          <cell r="DI63">
            <v>9</v>
          </cell>
          <cell r="DJ63">
            <v>71</v>
          </cell>
          <cell r="DK63">
            <v>10</v>
          </cell>
          <cell r="DL63">
            <v>5</v>
          </cell>
          <cell r="DM63">
            <v>66.7</v>
          </cell>
          <cell r="DN63">
            <v>9</v>
          </cell>
          <cell r="DO63">
            <v>8</v>
          </cell>
          <cell r="DP63">
            <v>52.9</v>
          </cell>
          <cell r="DQ63">
            <v>14</v>
          </cell>
          <cell r="DR63">
            <v>1</v>
          </cell>
          <cell r="DS63">
            <v>93.3</v>
          </cell>
          <cell r="DT63">
            <v>93.29998779296875</v>
          </cell>
          <cell r="DU63">
            <v>93.29998779296875</v>
          </cell>
          <cell r="DV63" t="str">
            <v>-</v>
          </cell>
          <cell r="DW63">
            <v>93.29998779296875</v>
          </cell>
          <cell r="DX63">
            <v>93.29998779296875</v>
          </cell>
          <cell r="DY63" t="str">
            <v>-</v>
          </cell>
          <cell r="DZ63">
            <v>93.29998779296875</v>
          </cell>
          <cell r="EA63">
            <v>93.29998779296875</v>
          </cell>
          <cell r="EB63" t="str">
            <v>-</v>
          </cell>
          <cell r="EC63">
            <v>93.29998779296875</v>
          </cell>
          <cell r="ED63">
            <v>93.29998779296875</v>
          </cell>
          <cell r="EE63" t="str">
            <v>-</v>
          </cell>
          <cell r="EF63">
            <v>93.29998779296875</v>
          </cell>
          <cell r="EG63">
            <v>93.29998779296875</v>
          </cell>
          <cell r="EH63" t="str">
            <v>-</v>
          </cell>
          <cell r="EI63">
            <v>93.29998779296875</v>
          </cell>
          <cell r="EJ63">
            <v>93.29998779296875</v>
          </cell>
          <cell r="EK63" t="str">
            <v>-</v>
          </cell>
          <cell r="EL63">
            <v>93.29998779296875</v>
          </cell>
          <cell r="EM63">
            <v>93.29998779296875</v>
          </cell>
          <cell r="EN63" t="str">
            <v>-</v>
          </cell>
          <cell r="EO63">
            <v>93.29998779296875</v>
          </cell>
          <cell r="EP63">
            <v>93.29998779296875</v>
          </cell>
          <cell r="EQ63" t="str">
            <v>-</v>
          </cell>
          <cell r="ER63">
            <v>22</v>
          </cell>
          <cell r="ES63">
            <v>6</v>
          </cell>
          <cell r="ET63">
            <v>78.599999999999994</v>
          </cell>
          <cell r="EU63">
            <v>9</v>
          </cell>
          <cell r="EV63">
            <v>1</v>
          </cell>
          <cell r="EW63">
            <v>90</v>
          </cell>
          <cell r="EX63">
            <v>4</v>
          </cell>
          <cell r="EY63">
            <v>16</v>
          </cell>
          <cell r="EZ63">
            <v>20</v>
          </cell>
          <cell r="FA63">
            <v>4</v>
          </cell>
          <cell r="FB63">
            <v>2</v>
          </cell>
          <cell r="FC63">
            <v>66.7</v>
          </cell>
          <cell r="FD63">
            <v>12</v>
          </cell>
          <cell r="FE63">
            <v>12</v>
          </cell>
          <cell r="FF63">
            <v>100</v>
          </cell>
          <cell r="FG63">
            <v>12</v>
          </cell>
          <cell r="FH63">
            <v>12</v>
          </cell>
          <cell r="FI63">
            <v>100</v>
          </cell>
          <cell r="FJ63">
            <v>8</v>
          </cell>
          <cell r="FK63">
            <v>4</v>
          </cell>
          <cell r="FL63">
            <v>66.7</v>
          </cell>
          <cell r="FM63">
            <v>1</v>
          </cell>
          <cell r="FN63">
            <v>1</v>
          </cell>
          <cell r="FO63">
            <v>50</v>
          </cell>
          <cell r="FP63">
            <v>50</v>
          </cell>
          <cell r="FQ63">
            <v>50</v>
          </cell>
          <cell r="FR63" t="str">
            <v>-</v>
          </cell>
          <cell r="FS63">
            <v>50</v>
          </cell>
          <cell r="FT63">
            <v>50</v>
          </cell>
          <cell r="FU63" t="str">
            <v>-</v>
          </cell>
          <cell r="FV63">
            <v>50</v>
          </cell>
          <cell r="FW63">
            <v>50</v>
          </cell>
          <cell r="FX63" t="str">
            <v>-</v>
          </cell>
          <cell r="FY63">
            <v>50</v>
          </cell>
          <cell r="FZ63">
            <v>50</v>
          </cell>
          <cell r="GA63" t="str">
            <v>-</v>
          </cell>
          <cell r="GB63">
            <v>50</v>
          </cell>
          <cell r="GC63">
            <v>50</v>
          </cell>
          <cell r="GD63" t="str">
            <v>-</v>
          </cell>
          <cell r="GE63">
            <v>50</v>
          </cell>
          <cell r="GF63">
            <v>50</v>
          </cell>
          <cell r="GG63" t="str">
            <v>-</v>
          </cell>
          <cell r="GH63">
            <v>50</v>
          </cell>
          <cell r="GI63">
            <v>50</v>
          </cell>
          <cell r="GJ63" t="str">
            <v>-</v>
          </cell>
          <cell r="GK63">
            <v>50</v>
          </cell>
          <cell r="GL63">
            <v>50</v>
          </cell>
          <cell r="GM63" t="str">
            <v>-</v>
          </cell>
          <cell r="GN63">
            <v>64</v>
          </cell>
          <cell r="GO63">
            <v>18</v>
          </cell>
          <cell r="GP63">
            <v>78</v>
          </cell>
          <cell r="GQ63">
            <v>103</v>
          </cell>
          <cell r="GR63">
            <v>12</v>
          </cell>
          <cell r="GS63">
            <v>89.6</v>
          </cell>
          <cell r="GT63">
            <v>113</v>
          </cell>
          <cell r="GU63">
            <v>16</v>
          </cell>
          <cell r="GV63">
            <v>87.6</v>
          </cell>
          <cell r="GW63">
            <v>86</v>
          </cell>
          <cell r="GX63">
            <v>20</v>
          </cell>
          <cell r="GY63">
            <v>81.099999999999994</v>
          </cell>
          <cell r="GZ63">
            <v>123</v>
          </cell>
          <cell r="HA63">
            <v>30</v>
          </cell>
          <cell r="HB63">
            <v>80.400000000000006</v>
          </cell>
          <cell r="HC63">
            <v>78</v>
          </cell>
          <cell r="HD63">
            <v>14</v>
          </cell>
          <cell r="HE63">
            <v>84.8</v>
          </cell>
          <cell r="HF63">
            <v>87</v>
          </cell>
          <cell r="HG63">
            <v>20</v>
          </cell>
          <cell r="HH63">
            <v>81.3</v>
          </cell>
          <cell r="HI63">
            <v>62</v>
          </cell>
          <cell r="HJ63">
            <v>17</v>
          </cell>
          <cell r="HK63">
            <v>78.5</v>
          </cell>
          <cell r="HL63">
            <v>7</v>
          </cell>
          <cell r="HM63">
            <v>1</v>
          </cell>
          <cell r="HN63">
            <v>87.5</v>
          </cell>
          <cell r="HO63">
            <v>3</v>
          </cell>
          <cell r="HP63">
            <v>2</v>
          </cell>
          <cell r="HQ63">
            <v>60</v>
          </cell>
          <cell r="HR63">
            <v>60</v>
          </cell>
          <cell r="HS63">
            <v>1</v>
          </cell>
          <cell r="HT63">
            <v>0</v>
          </cell>
          <cell r="HU63">
            <v>1</v>
          </cell>
          <cell r="HV63">
            <v>1</v>
          </cell>
          <cell r="HW63">
            <v>50</v>
          </cell>
          <cell r="HX63">
            <v>50</v>
          </cell>
          <cell r="HY63">
            <v>3</v>
          </cell>
          <cell r="HZ63">
            <v>0</v>
          </cell>
          <cell r="IA63">
            <v>0</v>
          </cell>
          <cell r="IB63">
            <v>2</v>
          </cell>
          <cell r="IC63">
            <v>0</v>
          </cell>
          <cell r="ID63">
            <v>2</v>
          </cell>
          <cell r="IE63">
            <v>1</v>
          </cell>
          <cell r="IF63">
            <v>66.7</v>
          </cell>
          <cell r="IG63">
            <v>66.699951171875</v>
          </cell>
          <cell r="IH63">
            <v>66.699951171875</v>
          </cell>
          <cell r="II63" t="str">
            <v>-</v>
          </cell>
          <cell r="IJ63">
            <v>8</v>
          </cell>
          <cell r="IK63">
            <v>2</v>
          </cell>
          <cell r="IL63">
            <v>80</v>
          </cell>
          <cell r="IM63">
            <v>1</v>
          </cell>
          <cell r="IN63">
            <v>5</v>
          </cell>
          <cell r="IO63">
            <v>16.7</v>
          </cell>
          <cell r="IP63">
            <v>16.699996948242188</v>
          </cell>
          <cell r="IQ63">
            <v>1</v>
          </cell>
          <cell r="IR63">
            <v>0</v>
          </cell>
          <cell r="IS63">
            <v>0</v>
          </cell>
          <cell r="IT63">
            <v>0</v>
          </cell>
          <cell r="IU63" t="str">
            <v>-</v>
          </cell>
          <cell r="IV63">
            <v>1</v>
          </cell>
          <cell r="IW63">
            <v>1</v>
          </cell>
          <cell r="IX63">
            <v>100</v>
          </cell>
          <cell r="IY63">
            <v>100</v>
          </cell>
          <cell r="IZ63">
            <v>100</v>
          </cell>
          <cell r="JA63" t="str">
            <v>-</v>
          </cell>
          <cell r="JB63">
            <v>100</v>
          </cell>
          <cell r="JC63">
            <v>1</v>
          </cell>
          <cell r="JD63">
            <v>0</v>
          </cell>
          <cell r="JE63">
            <v>0</v>
          </cell>
          <cell r="JF63">
            <v>0</v>
          </cell>
          <cell r="JG63" t="str">
            <v>-</v>
          </cell>
          <cell r="JH63">
            <v>0</v>
          </cell>
          <cell r="JI63">
            <v>0</v>
          </cell>
          <cell r="JJ63" t="str">
            <v>-</v>
          </cell>
          <cell r="JK63">
            <v>0</v>
          </cell>
          <cell r="JL63">
            <v>0</v>
          </cell>
          <cell r="JM63" t="str">
            <v>-</v>
          </cell>
          <cell r="JN63">
            <v>0</v>
          </cell>
          <cell r="JO63">
            <v>0</v>
          </cell>
          <cell r="JP63" t="str">
            <v>-</v>
          </cell>
          <cell r="JQ63">
            <v>234</v>
          </cell>
          <cell r="JR63">
            <v>47</v>
          </cell>
          <cell r="JS63">
            <v>83.27402135231317</v>
          </cell>
          <cell r="JT63">
            <v>70</v>
          </cell>
          <cell r="JU63">
            <v>32</v>
          </cell>
          <cell r="JV63">
            <v>68.627450980392155</v>
          </cell>
          <cell r="JW63">
            <v>0</v>
          </cell>
          <cell r="JX63">
            <v>0</v>
          </cell>
          <cell r="JY63" t="str">
            <v>-</v>
          </cell>
          <cell r="JZ63">
            <v>37</v>
          </cell>
          <cell r="KA63">
            <v>7</v>
          </cell>
          <cell r="KB63">
            <v>84.090909090909093</v>
          </cell>
          <cell r="KC63">
            <v>0</v>
          </cell>
          <cell r="KD63">
            <v>0</v>
          </cell>
          <cell r="KE63" t="str">
            <v>-</v>
          </cell>
          <cell r="KF63">
            <v>436</v>
          </cell>
          <cell r="KG63">
            <v>101</v>
          </cell>
          <cell r="KH63">
            <v>81.191806331471142</v>
          </cell>
          <cell r="KI63">
            <v>3</v>
          </cell>
          <cell r="KJ63">
            <v>7</v>
          </cell>
          <cell r="KK63">
            <v>30</v>
          </cell>
          <cell r="KL63">
            <v>1</v>
          </cell>
          <cell r="KM63">
            <v>1</v>
          </cell>
          <cell r="KN63">
            <v>50</v>
          </cell>
        </row>
        <row r="64">
          <cell r="C64" t="str">
            <v>Szerencsi Rendőrkapitányság</v>
          </cell>
          <cell r="D64">
            <v>50</v>
          </cell>
          <cell r="E64">
            <v>50</v>
          </cell>
          <cell r="F64" t="str">
            <v>-</v>
          </cell>
          <cell r="G64">
            <v>50</v>
          </cell>
          <cell r="H64">
            <v>50</v>
          </cell>
          <cell r="I64" t="str">
            <v>-</v>
          </cell>
          <cell r="J64">
            <v>50</v>
          </cell>
          <cell r="K64">
            <v>50</v>
          </cell>
          <cell r="L64" t="str">
            <v>-</v>
          </cell>
          <cell r="M64">
            <v>50</v>
          </cell>
          <cell r="N64">
            <v>50</v>
          </cell>
          <cell r="O64" t="str">
            <v>-</v>
          </cell>
          <cell r="P64">
            <v>50</v>
          </cell>
          <cell r="Q64">
            <v>50</v>
          </cell>
          <cell r="R64" t="str">
            <v>-</v>
          </cell>
          <cell r="S64">
            <v>50</v>
          </cell>
          <cell r="T64">
            <v>50</v>
          </cell>
          <cell r="U64" t="str">
            <v>-</v>
          </cell>
          <cell r="V64">
            <v>50</v>
          </cell>
          <cell r="W64">
            <v>50</v>
          </cell>
          <cell r="X64" t="str">
            <v>-</v>
          </cell>
          <cell r="Y64">
            <v>50</v>
          </cell>
          <cell r="Z64">
            <v>50</v>
          </cell>
          <cell r="AA64" t="str">
            <v>-</v>
          </cell>
          <cell r="AB64">
            <v>50</v>
          </cell>
          <cell r="AC64">
            <v>50</v>
          </cell>
          <cell r="AD64" t="str">
            <v>-</v>
          </cell>
          <cell r="AE64">
            <v>50</v>
          </cell>
          <cell r="AF64">
            <v>50</v>
          </cell>
          <cell r="AG64" t="str">
            <v>-</v>
          </cell>
          <cell r="AH64">
            <v>50</v>
          </cell>
          <cell r="AI64">
            <v>50</v>
          </cell>
          <cell r="AJ64" t="str">
            <v>-</v>
          </cell>
          <cell r="AK64">
            <v>50</v>
          </cell>
          <cell r="AL64">
            <v>50</v>
          </cell>
          <cell r="AM64" t="str">
            <v>-</v>
          </cell>
          <cell r="AN64">
            <v>50</v>
          </cell>
          <cell r="AO64">
            <v>50</v>
          </cell>
          <cell r="AP64" t="str">
            <v>-</v>
          </cell>
          <cell r="AQ64">
            <v>50</v>
          </cell>
          <cell r="AR64">
            <v>50</v>
          </cell>
          <cell r="AS64" t="str">
            <v>-</v>
          </cell>
          <cell r="AT64">
            <v>50</v>
          </cell>
          <cell r="AU64">
            <v>50</v>
          </cell>
          <cell r="AV64" t="str">
            <v>-</v>
          </cell>
          <cell r="AW64">
            <v>50</v>
          </cell>
          <cell r="AX64">
            <v>50</v>
          </cell>
          <cell r="AY64" t="str">
            <v>-</v>
          </cell>
          <cell r="AZ64">
            <v>50</v>
          </cell>
          <cell r="BA64">
            <v>50</v>
          </cell>
          <cell r="BB64" t="str">
            <v>-</v>
          </cell>
          <cell r="BC64">
            <v>50</v>
          </cell>
          <cell r="BD64">
            <v>50</v>
          </cell>
          <cell r="BE64" t="str">
            <v>-</v>
          </cell>
          <cell r="BF64">
            <v>50</v>
          </cell>
          <cell r="BG64">
            <v>50</v>
          </cell>
          <cell r="BH64" t="str">
            <v>-</v>
          </cell>
          <cell r="BI64">
            <v>50</v>
          </cell>
          <cell r="BJ64">
            <v>50</v>
          </cell>
          <cell r="BK64" t="str">
            <v>-</v>
          </cell>
          <cell r="BL64">
            <v>50</v>
          </cell>
          <cell r="BM64">
            <v>50</v>
          </cell>
          <cell r="BN64" t="str">
            <v>-</v>
          </cell>
          <cell r="BO64">
            <v>50</v>
          </cell>
          <cell r="BP64">
            <v>50</v>
          </cell>
          <cell r="BQ64" t="str">
            <v>-</v>
          </cell>
          <cell r="BR64">
            <v>50</v>
          </cell>
          <cell r="BS64">
            <v>50</v>
          </cell>
          <cell r="BT64" t="str">
            <v>-</v>
          </cell>
          <cell r="BU64">
            <v>50</v>
          </cell>
          <cell r="BV64">
            <v>50</v>
          </cell>
          <cell r="BW64" t="str">
            <v>-</v>
          </cell>
          <cell r="BX64">
            <v>78</v>
          </cell>
          <cell r="BY64">
            <v>2</v>
          </cell>
          <cell r="BZ64">
            <v>97.5</v>
          </cell>
          <cell r="CA64">
            <v>80</v>
          </cell>
          <cell r="CB64">
            <v>11</v>
          </cell>
          <cell r="CC64">
            <v>87.9</v>
          </cell>
          <cell r="CD64">
            <v>90</v>
          </cell>
          <cell r="CE64">
            <v>4</v>
          </cell>
          <cell r="CF64">
            <v>95.7</v>
          </cell>
          <cell r="CG64">
            <v>51</v>
          </cell>
          <cell r="CH64">
            <v>11</v>
          </cell>
          <cell r="CI64">
            <v>82.3</v>
          </cell>
          <cell r="CJ64">
            <v>83</v>
          </cell>
          <cell r="CK64">
            <v>6</v>
          </cell>
          <cell r="CL64">
            <v>93.3</v>
          </cell>
          <cell r="CM64">
            <v>80</v>
          </cell>
          <cell r="CN64">
            <v>6</v>
          </cell>
          <cell r="CO64">
            <v>93</v>
          </cell>
          <cell r="CP64">
            <v>74</v>
          </cell>
          <cell r="CQ64">
            <v>7</v>
          </cell>
          <cell r="CR64">
            <v>91.4</v>
          </cell>
          <cell r="CS64">
            <v>46</v>
          </cell>
          <cell r="CT64">
            <v>2</v>
          </cell>
          <cell r="CU64">
            <v>95.8</v>
          </cell>
          <cell r="CV64">
            <v>28</v>
          </cell>
          <cell r="CW64">
            <v>28</v>
          </cell>
          <cell r="CX64">
            <v>100</v>
          </cell>
          <cell r="CY64">
            <v>16</v>
          </cell>
          <cell r="CZ64">
            <v>6</v>
          </cell>
          <cell r="DA64">
            <v>72.7</v>
          </cell>
          <cell r="DB64">
            <v>19</v>
          </cell>
          <cell r="DC64">
            <v>3</v>
          </cell>
          <cell r="DD64">
            <v>86.4</v>
          </cell>
          <cell r="DE64">
            <v>12</v>
          </cell>
          <cell r="DF64">
            <v>4</v>
          </cell>
          <cell r="DG64">
            <v>75</v>
          </cell>
          <cell r="DH64">
            <v>14</v>
          </cell>
          <cell r="DI64">
            <v>4</v>
          </cell>
          <cell r="DJ64">
            <v>77.8</v>
          </cell>
          <cell r="DK64">
            <v>17</v>
          </cell>
          <cell r="DL64">
            <v>5</v>
          </cell>
          <cell r="DM64">
            <v>77.3</v>
          </cell>
          <cell r="DN64">
            <v>16</v>
          </cell>
          <cell r="DO64">
            <v>2</v>
          </cell>
          <cell r="DP64">
            <v>88.9</v>
          </cell>
          <cell r="DQ64">
            <v>11</v>
          </cell>
          <cell r="DR64">
            <v>11</v>
          </cell>
          <cell r="DS64">
            <v>100</v>
          </cell>
          <cell r="DT64">
            <v>100</v>
          </cell>
          <cell r="DU64">
            <v>100</v>
          </cell>
          <cell r="DV64" t="str">
            <v>-</v>
          </cell>
          <cell r="DW64">
            <v>100</v>
          </cell>
          <cell r="DX64">
            <v>100</v>
          </cell>
          <cell r="DY64" t="str">
            <v>-</v>
          </cell>
          <cell r="DZ64">
            <v>100</v>
          </cell>
          <cell r="EA64">
            <v>100</v>
          </cell>
          <cell r="EB64" t="str">
            <v>-</v>
          </cell>
          <cell r="EC64">
            <v>100</v>
          </cell>
          <cell r="ED64">
            <v>100</v>
          </cell>
          <cell r="EE64" t="str">
            <v>-</v>
          </cell>
          <cell r="EF64">
            <v>100</v>
          </cell>
          <cell r="EG64">
            <v>100</v>
          </cell>
          <cell r="EH64" t="str">
            <v>-</v>
          </cell>
          <cell r="EI64">
            <v>100</v>
          </cell>
          <cell r="EJ64">
            <v>100</v>
          </cell>
          <cell r="EK64" t="str">
            <v>-</v>
          </cell>
          <cell r="EL64">
            <v>100</v>
          </cell>
          <cell r="EM64">
            <v>100</v>
          </cell>
          <cell r="EN64" t="str">
            <v>-</v>
          </cell>
          <cell r="EO64">
            <v>100</v>
          </cell>
          <cell r="EP64">
            <v>100</v>
          </cell>
          <cell r="EQ64" t="str">
            <v>-</v>
          </cell>
          <cell r="ER64">
            <v>55</v>
          </cell>
          <cell r="ES64">
            <v>55</v>
          </cell>
          <cell r="ET64">
            <v>100</v>
          </cell>
          <cell r="EU64">
            <v>33</v>
          </cell>
          <cell r="EV64">
            <v>1</v>
          </cell>
          <cell r="EW64">
            <v>97.1</v>
          </cell>
          <cell r="EX64">
            <v>37</v>
          </cell>
          <cell r="EY64">
            <v>3</v>
          </cell>
          <cell r="EZ64">
            <v>92.5</v>
          </cell>
          <cell r="FA64">
            <v>15</v>
          </cell>
          <cell r="FB64">
            <v>6</v>
          </cell>
          <cell r="FC64">
            <v>71.400000000000006</v>
          </cell>
          <cell r="FD64">
            <v>5</v>
          </cell>
          <cell r="FE64">
            <v>4</v>
          </cell>
          <cell r="FF64">
            <v>55.6</v>
          </cell>
          <cell r="FG64">
            <v>13</v>
          </cell>
          <cell r="FH64">
            <v>1</v>
          </cell>
          <cell r="FI64">
            <v>92.9</v>
          </cell>
          <cell r="FJ64">
            <v>8</v>
          </cell>
          <cell r="FK64">
            <v>8</v>
          </cell>
          <cell r="FL64">
            <v>50</v>
          </cell>
          <cell r="FM64">
            <v>11</v>
          </cell>
          <cell r="FN64">
            <v>2</v>
          </cell>
          <cell r="FO64">
            <v>84.6</v>
          </cell>
          <cell r="FP64">
            <v>84.5999755859375</v>
          </cell>
          <cell r="FQ64">
            <v>84.5999755859375</v>
          </cell>
          <cell r="FR64" t="str">
            <v>-</v>
          </cell>
          <cell r="FS64">
            <v>84.5999755859375</v>
          </cell>
          <cell r="FT64">
            <v>84.5999755859375</v>
          </cell>
          <cell r="FU64" t="str">
            <v>-</v>
          </cell>
          <cell r="FV64">
            <v>84.5999755859375</v>
          </cell>
          <cell r="FW64">
            <v>84.5999755859375</v>
          </cell>
          <cell r="FX64" t="str">
            <v>-</v>
          </cell>
          <cell r="FY64">
            <v>84.5999755859375</v>
          </cell>
          <cell r="FZ64">
            <v>84.5999755859375</v>
          </cell>
          <cell r="GA64" t="str">
            <v>-</v>
          </cell>
          <cell r="GB64">
            <v>84.5999755859375</v>
          </cell>
          <cell r="GC64">
            <v>84.5999755859375</v>
          </cell>
          <cell r="GD64" t="str">
            <v>-</v>
          </cell>
          <cell r="GE64">
            <v>84.5999755859375</v>
          </cell>
          <cell r="GF64">
            <v>84.5999755859375</v>
          </cell>
          <cell r="GG64" t="str">
            <v>-</v>
          </cell>
          <cell r="GH64">
            <v>84.5999755859375</v>
          </cell>
          <cell r="GI64">
            <v>84.5999755859375</v>
          </cell>
          <cell r="GJ64" t="str">
            <v>-</v>
          </cell>
          <cell r="GK64">
            <v>84.5999755859375</v>
          </cell>
          <cell r="GL64">
            <v>84.5999755859375</v>
          </cell>
          <cell r="GM64" t="str">
            <v>-</v>
          </cell>
          <cell r="GN64">
            <v>94</v>
          </cell>
          <cell r="GO64">
            <v>14</v>
          </cell>
          <cell r="GP64">
            <v>87</v>
          </cell>
          <cell r="GQ64">
            <v>116</v>
          </cell>
          <cell r="GR64">
            <v>8</v>
          </cell>
          <cell r="GS64">
            <v>93.5</v>
          </cell>
          <cell r="GT64">
            <v>118</v>
          </cell>
          <cell r="GU64">
            <v>6</v>
          </cell>
          <cell r="GV64">
            <v>95.2</v>
          </cell>
          <cell r="GW64">
            <v>106</v>
          </cell>
          <cell r="GX64">
            <v>14</v>
          </cell>
          <cell r="GY64">
            <v>88.3</v>
          </cell>
          <cell r="GZ64">
            <v>125</v>
          </cell>
          <cell r="HA64">
            <v>16</v>
          </cell>
          <cell r="HB64">
            <v>88.7</v>
          </cell>
          <cell r="HC64">
            <v>141</v>
          </cell>
          <cell r="HD64">
            <v>21</v>
          </cell>
          <cell r="HE64">
            <v>87</v>
          </cell>
          <cell r="HF64">
            <v>123</v>
          </cell>
          <cell r="HG64">
            <v>30</v>
          </cell>
          <cell r="HH64">
            <v>80.400000000000006</v>
          </cell>
          <cell r="HI64">
            <v>102</v>
          </cell>
          <cell r="HJ64">
            <v>27</v>
          </cell>
          <cell r="HK64">
            <v>79.099999999999994</v>
          </cell>
          <cell r="HL64">
            <v>10</v>
          </cell>
          <cell r="HM64">
            <v>5</v>
          </cell>
          <cell r="HN64">
            <v>66.7</v>
          </cell>
          <cell r="HO64">
            <v>4</v>
          </cell>
          <cell r="HP64">
            <v>2</v>
          </cell>
          <cell r="HQ64">
            <v>66.7</v>
          </cell>
          <cell r="HR64">
            <v>3</v>
          </cell>
          <cell r="HS64">
            <v>3</v>
          </cell>
          <cell r="HT64">
            <v>50</v>
          </cell>
          <cell r="HU64">
            <v>3</v>
          </cell>
          <cell r="HV64">
            <v>5</v>
          </cell>
          <cell r="HW64">
            <v>37.5</v>
          </cell>
          <cell r="HX64">
            <v>2</v>
          </cell>
          <cell r="HY64">
            <v>2</v>
          </cell>
          <cell r="HZ64">
            <v>100</v>
          </cell>
          <cell r="IA64">
            <v>1</v>
          </cell>
          <cell r="IB64">
            <v>4</v>
          </cell>
          <cell r="IC64">
            <v>20</v>
          </cell>
          <cell r="ID64">
            <v>2</v>
          </cell>
          <cell r="IE64">
            <v>2</v>
          </cell>
          <cell r="IF64">
            <v>50</v>
          </cell>
          <cell r="IG64">
            <v>3</v>
          </cell>
          <cell r="IH64">
            <v>1</v>
          </cell>
          <cell r="II64">
            <v>75</v>
          </cell>
          <cell r="IJ64">
            <v>7</v>
          </cell>
          <cell r="IK64">
            <v>7</v>
          </cell>
          <cell r="IL64">
            <v>100</v>
          </cell>
          <cell r="IM64">
            <v>100</v>
          </cell>
          <cell r="IN64">
            <v>100</v>
          </cell>
          <cell r="IO64" t="str">
            <v>-</v>
          </cell>
          <cell r="IP64">
            <v>1</v>
          </cell>
          <cell r="IQ64">
            <v>2</v>
          </cell>
          <cell r="IR64">
            <v>33.299999999999997</v>
          </cell>
          <cell r="IS64">
            <v>33.29998779296875</v>
          </cell>
          <cell r="IT64">
            <v>1</v>
          </cell>
          <cell r="IU64">
            <v>0</v>
          </cell>
          <cell r="IV64">
            <v>0</v>
          </cell>
          <cell r="IW64">
            <v>0</v>
          </cell>
          <cell r="IX64" t="str">
            <v>-</v>
          </cell>
          <cell r="IY64">
            <v>0</v>
          </cell>
          <cell r="IZ64">
            <v>0</v>
          </cell>
          <cell r="JA64" t="str">
            <v>-</v>
          </cell>
          <cell r="JB64">
            <v>3</v>
          </cell>
          <cell r="JC64">
            <v>1</v>
          </cell>
          <cell r="JD64">
            <v>75</v>
          </cell>
          <cell r="JE64">
            <v>75</v>
          </cell>
          <cell r="JF64">
            <v>75</v>
          </cell>
          <cell r="JG64" t="str">
            <v>-</v>
          </cell>
          <cell r="JH64">
            <v>0</v>
          </cell>
          <cell r="JI64">
            <v>0</v>
          </cell>
          <cell r="JJ64" t="str">
            <v>-</v>
          </cell>
          <cell r="JK64">
            <v>0</v>
          </cell>
          <cell r="JL64">
            <v>0</v>
          </cell>
          <cell r="JM64" t="str">
            <v>-</v>
          </cell>
          <cell r="JN64">
            <v>0</v>
          </cell>
          <cell r="JO64">
            <v>0</v>
          </cell>
          <cell r="JP64" t="str">
            <v>-</v>
          </cell>
          <cell r="JQ64">
            <v>334</v>
          </cell>
          <cell r="JR64">
            <v>32</v>
          </cell>
          <cell r="JS64">
            <v>91.256830601092901</v>
          </cell>
          <cell r="JT64">
            <v>70</v>
          </cell>
          <cell r="JU64">
            <v>15</v>
          </cell>
          <cell r="JV64">
            <v>82.35294117647058</v>
          </cell>
          <cell r="JW64">
            <v>0</v>
          </cell>
          <cell r="JX64">
            <v>0</v>
          </cell>
          <cell r="JY64" t="str">
            <v>-</v>
          </cell>
          <cell r="JZ64">
            <v>52</v>
          </cell>
          <cell r="KA64">
            <v>21</v>
          </cell>
          <cell r="KB64">
            <v>71.232876712328761</v>
          </cell>
          <cell r="KC64">
            <v>0</v>
          </cell>
          <cell r="KD64">
            <v>0</v>
          </cell>
          <cell r="KE64" t="str">
            <v>-</v>
          </cell>
          <cell r="KF64">
            <v>597</v>
          </cell>
          <cell r="KG64">
            <v>108</v>
          </cell>
          <cell r="KH64">
            <v>84.680851063829792</v>
          </cell>
          <cell r="KI64">
            <v>11</v>
          </cell>
          <cell r="KJ64">
            <v>12</v>
          </cell>
          <cell r="KK64">
            <v>47.826086956521742</v>
          </cell>
          <cell r="KL64">
            <v>3</v>
          </cell>
          <cell r="KM64">
            <v>2</v>
          </cell>
          <cell r="KN64">
            <v>60</v>
          </cell>
        </row>
        <row r="65">
          <cell r="C65" t="str">
            <v>Sárospataki Rendőrkapitányság</v>
          </cell>
          <cell r="D65">
            <v>60</v>
          </cell>
          <cell r="E65">
            <v>60</v>
          </cell>
          <cell r="F65" t="str">
            <v>-</v>
          </cell>
          <cell r="G65">
            <v>60</v>
          </cell>
          <cell r="H65">
            <v>60</v>
          </cell>
          <cell r="I65" t="str">
            <v>-</v>
          </cell>
          <cell r="J65">
            <v>60</v>
          </cell>
          <cell r="K65">
            <v>60</v>
          </cell>
          <cell r="L65" t="str">
            <v>-</v>
          </cell>
          <cell r="M65">
            <v>60</v>
          </cell>
          <cell r="N65">
            <v>60</v>
          </cell>
          <cell r="O65" t="str">
            <v>-</v>
          </cell>
          <cell r="P65">
            <v>60</v>
          </cell>
          <cell r="Q65">
            <v>60</v>
          </cell>
          <cell r="R65" t="str">
            <v>-</v>
          </cell>
          <cell r="S65">
            <v>60</v>
          </cell>
          <cell r="T65">
            <v>60</v>
          </cell>
          <cell r="U65" t="str">
            <v>-</v>
          </cell>
          <cell r="V65">
            <v>60</v>
          </cell>
          <cell r="W65">
            <v>60</v>
          </cell>
          <cell r="X65" t="str">
            <v>-</v>
          </cell>
          <cell r="Y65">
            <v>60</v>
          </cell>
          <cell r="Z65">
            <v>60</v>
          </cell>
          <cell r="AA65" t="str">
            <v>-</v>
          </cell>
          <cell r="AB65">
            <v>60</v>
          </cell>
          <cell r="AC65">
            <v>60</v>
          </cell>
          <cell r="AD65" t="str">
            <v>-</v>
          </cell>
          <cell r="AE65">
            <v>60</v>
          </cell>
          <cell r="AF65">
            <v>60</v>
          </cell>
          <cell r="AG65" t="str">
            <v>-</v>
          </cell>
          <cell r="AH65">
            <v>60</v>
          </cell>
          <cell r="AI65">
            <v>60</v>
          </cell>
          <cell r="AJ65" t="str">
            <v>-</v>
          </cell>
          <cell r="AK65">
            <v>60</v>
          </cell>
          <cell r="AL65">
            <v>60</v>
          </cell>
          <cell r="AM65" t="str">
            <v>-</v>
          </cell>
          <cell r="AN65">
            <v>60</v>
          </cell>
          <cell r="AO65">
            <v>60</v>
          </cell>
          <cell r="AP65" t="str">
            <v>-</v>
          </cell>
          <cell r="AQ65">
            <v>60</v>
          </cell>
          <cell r="AR65">
            <v>60</v>
          </cell>
          <cell r="AS65" t="str">
            <v>-</v>
          </cell>
          <cell r="AT65">
            <v>60</v>
          </cell>
          <cell r="AU65">
            <v>60</v>
          </cell>
          <cell r="AV65" t="str">
            <v>-</v>
          </cell>
          <cell r="AW65">
            <v>60</v>
          </cell>
          <cell r="AX65">
            <v>60</v>
          </cell>
          <cell r="AY65" t="str">
            <v>-</v>
          </cell>
          <cell r="AZ65">
            <v>60</v>
          </cell>
          <cell r="BA65">
            <v>60</v>
          </cell>
          <cell r="BB65" t="str">
            <v>-</v>
          </cell>
          <cell r="BC65">
            <v>60</v>
          </cell>
          <cell r="BD65">
            <v>60</v>
          </cell>
          <cell r="BE65" t="str">
            <v>-</v>
          </cell>
          <cell r="BF65">
            <v>60</v>
          </cell>
          <cell r="BG65">
            <v>60</v>
          </cell>
          <cell r="BH65" t="str">
            <v>-</v>
          </cell>
          <cell r="BI65">
            <v>60</v>
          </cell>
          <cell r="BJ65">
            <v>60</v>
          </cell>
          <cell r="BK65" t="str">
            <v>-</v>
          </cell>
          <cell r="BL65">
            <v>60</v>
          </cell>
          <cell r="BM65">
            <v>60</v>
          </cell>
          <cell r="BN65" t="str">
            <v>-</v>
          </cell>
          <cell r="BO65">
            <v>60</v>
          </cell>
          <cell r="BP65">
            <v>60</v>
          </cell>
          <cell r="BQ65" t="str">
            <v>-</v>
          </cell>
          <cell r="BR65">
            <v>60</v>
          </cell>
          <cell r="BS65">
            <v>60</v>
          </cell>
          <cell r="BT65" t="str">
            <v>-</v>
          </cell>
          <cell r="BU65">
            <v>60</v>
          </cell>
          <cell r="BV65">
            <v>60</v>
          </cell>
          <cell r="BW65" t="str">
            <v>-</v>
          </cell>
          <cell r="BX65">
            <v>32</v>
          </cell>
          <cell r="BY65">
            <v>2</v>
          </cell>
          <cell r="BZ65">
            <v>94.1</v>
          </cell>
          <cell r="CA65">
            <v>35</v>
          </cell>
          <cell r="CB65">
            <v>6</v>
          </cell>
          <cell r="CC65">
            <v>85.4</v>
          </cell>
          <cell r="CD65">
            <v>30</v>
          </cell>
          <cell r="CE65">
            <v>3</v>
          </cell>
          <cell r="CF65">
            <v>90.9</v>
          </cell>
          <cell r="CG65">
            <v>16</v>
          </cell>
          <cell r="CH65">
            <v>3</v>
          </cell>
          <cell r="CI65">
            <v>84.2</v>
          </cell>
          <cell r="CJ65">
            <v>22</v>
          </cell>
          <cell r="CK65">
            <v>3</v>
          </cell>
          <cell r="CL65">
            <v>88</v>
          </cell>
          <cell r="CM65">
            <v>10</v>
          </cell>
          <cell r="CN65">
            <v>4</v>
          </cell>
          <cell r="CO65">
            <v>71.400000000000006</v>
          </cell>
          <cell r="CP65">
            <v>17</v>
          </cell>
          <cell r="CQ65">
            <v>17</v>
          </cell>
          <cell r="CR65">
            <v>100</v>
          </cell>
          <cell r="CS65">
            <v>22</v>
          </cell>
          <cell r="CT65">
            <v>22</v>
          </cell>
          <cell r="CU65">
            <v>100</v>
          </cell>
          <cell r="CV65">
            <v>9</v>
          </cell>
          <cell r="CW65">
            <v>2</v>
          </cell>
          <cell r="CX65">
            <v>81.8</v>
          </cell>
          <cell r="CY65">
            <v>12</v>
          </cell>
          <cell r="CZ65">
            <v>2</v>
          </cell>
          <cell r="DA65">
            <v>85.7</v>
          </cell>
          <cell r="DB65">
            <v>6</v>
          </cell>
          <cell r="DC65">
            <v>1</v>
          </cell>
          <cell r="DD65">
            <v>85.7</v>
          </cell>
          <cell r="DE65">
            <v>3</v>
          </cell>
          <cell r="DF65">
            <v>3</v>
          </cell>
          <cell r="DG65">
            <v>50</v>
          </cell>
          <cell r="DH65">
            <v>7</v>
          </cell>
          <cell r="DI65">
            <v>1</v>
          </cell>
          <cell r="DJ65">
            <v>87.5</v>
          </cell>
          <cell r="DK65">
            <v>4</v>
          </cell>
          <cell r="DL65">
            <v>4</v>
          </cell>
          <cell r="DM65">
            <v>50</v>
          </cell>
          <cell r="DN65">
            <v>4</v>
          </cell>
          <cell r="DO65">
            <v>4</v>
          </cell>
          <cell r="DP65">
            <v>100</v>
          </cell>
          <cell r="DQ65">
            <v>9</v>
          </cell>
          <cell r="DR65">
            <v>9</v>
          </cell>
          <cell r="DS65">
            <v>100</v>
          </cell>
          <cell r="DT65">
            <v>100</v>
          </cell>
          <cell r="DU65">
            <v>100</v>
          </cell>
          <cell r="DV65" t="str">
            <v>-</v>
          </cell>
          <cell r="DW65">
            <v>100</v>
          </cell>
          <cell r="DX65">
            <v>100</v>
          </cell>
          <cell r="DY65" t="str">
            <v>-</v>
          </cell>
          <cell r="DZ65">
            <v>100</v>
          </cell>
          <cell r="EA65">
            <v>100</v>
          </cell>
          <cell r="EB65" t="str">
            <v>-</v>
          </cell>
          <cell r="EC65">
            <v>100</v>
          </cell>
          <cell r="ED65">
            <v>100</v>
          </cell>
          <cell r="EE65" t="str">
            <v>-</v>
          </cell>
          <cell r="EF65">
            <v>100</v>
          </cell>
          <cell r="EG65">
            <v>100</v>
          </cell>
          <cell r="EH65" t="str">
            <v>-</v>
          </cell>
          <cell r="EI65">
            <v>100</v>
          </cell>
          <cell r="EJ65">
            <v>100</v>
          </cell>
          <cell r="EK65" t="str">
            <v>-</v>
          </cell>
          <cell r="EL65">
            <v>100</v>
          </cell>
          <cell r="EM65">
            <v>100</v>
          </cell>
          <cell r="EN65" t="str">
            <v>-</v>
          </cell>
          <cell r="EO65">
            <v>100</v>
          </cell>
          <cell r="EP65">
            <v>100</v>
          </cell>
          <cell r="EQ65" t="str">
            <v>-</v>
          </cell>
          <cell r="ER65">
            <v>6</v>
          </cell>
          <cell r="ES65">
            <v>6</v>
          </cell>
          <cell r="ET65">
            <v>100</v>
          </cell>
          <cell r="EU65">
            <v>4</v>
          </cell>
          <cell r="EV65">
            <v>4</v>
          </cell>
          <cell r="EW65">
            <v>100</v>
          </cell>
          <cell r="EX65">
            <v>9</v>
          </cell>
          <cell r="EY65">
            <v>9</v>
          </cell>
          <cell r="EZ65">
            <v>100</v>
          </cell>
          <cell r="FA65">
            <v>2</v>
          </cell>
          <cell r="FB65">
            <v>1</v>
          </cell>
          <cell r="FC65">
            <v>66.7</v>
          </cell>
          <cell r="FD65">
            <v>2</v>
          </cell>
          <cell r="FE65">
            <v>3</v>
          </cell>
          <cell r="FF65">
            <v>40</v>
          </cell>
          <cell r="FG65">
            <v>2</v>
          </cell>
          <cell r="FH65">
            <v>2</v>
          </cell>
          <cell r="FI65">
            <v>100</v>
          </cell>
          <cell r="FJ65">
            <v>100</v>
          </cell>
          <cell r="FK65">
            <v>100</v>
          </cell>
          <cell r="FL65" t="str">
            <v>-</v>
          </cell>
          <cell r="FM65">
            <v>2</v>
          </cell>
          <cell r="FN65">
            <v>2</v>
          </cell>
          <cell r="FO65">
            <v>100</v>
          </cell>
          <cell r="FP65">
            <v>100</v>
          </cell>
          <cell r="FQ65">
            <v>100</v>
          </cell>
          <cell r="FR65" t="str">
            <v>-</v>
          </cell>
          <cell r="FS65">
            <v>100</v>
          </cell>
          <cell r="FT65">
            <v>100</v>
          </cell>
          <cell r="FU65" t="str">
            <v>-</v>
          </cell>
          <cell r="FV65">
            <v>100</v>
          </cell>
          <cell r="FW65">
            <v>100</v>
          </cell>
          <cell r="FX65" t="str">
            <v>-</v>
          </cell>
          <cell r="FY65">
            <v>100</v>
          </cell>
          <cell r="FZ65">
            <v>100</v>
          </cell>
          <cell r="GA65" t="str">
            <v>-</v>
          </cell>
          <cell r="GB65">
            <v>100</v>
          </cell>
          <cell r="GC65">
            <v>100</v>
          </cell>
          <cell r="GD65" t="str">
            <v>-</v>
          </cell>
          <cell r="GE65">
            <v>100</v>
          </cell>
          <cell r="GF65">
            <v>100</v>
          </cell>
          <cell r="GG65" t="str">
            <v>-</v>
          </cell>
          <cell r="GH65">
            <v>100</v>
          </cell>
          <cell r="GI65">
            <v>100</v>
          </cell>
          <cell r="GJ65" t="str">
            <v>-</v>
          </cell>
          <cell r="GK65">
            <v>100</v>
          </cell>
          <cell r="GL65">
            <v>100</v>
          </cell>
          <cell r="GM65" t="str">
            <v>-</v>
          </cell>
          <cell r="GN65">
            <v>37</v>
          </cell>
          <cell r="GO65">
            <v>4</v>
          </cell>
          <cell r="GP65">
            <v>90.2</v>
          </cell>
          <cell r="GQ65">
            <v>32</v>
          </cell>
          <cell r="GR65">
            <v>7</v>
          </cell>
          <cell r="GS65">
            <v>82.1</v>
          </cell>
          <cell r="GT65">
            <v>68</v>
          </cell>
          <cell r="GU65">
            <v>17</v>
          </cell>
          <cell r="GV65">
            <v>80</v>
          </cell>
          <cell r="GW65">
            <v>38</v>
          </cell>
          <cell r="GX65">
            <v>9</v>
          </cell>
          <cell r="GY65">
            <v>80.900000000000006</v>
          </cell>
          <cell r="GZ65">
            <v>50</v>
          </cell>
          <cell r="HA65">
            <v>8</v>
          </cell>
          <cell r="HB65">
            <v>86.2</v>
          </cell>
          <cell r="HC65">
            <v>33</v>
          </cell>
          <cell r="HD65">
            <v>9</v>
          </cell>
          <cell r="HE65">
            <v>78.599999999999994</v>
          </cell>
          <cell r="HF65">
            <v>33</v>
          </cell>
          <cell r="HG65">
            <v>7</v>
          </cell>
          <cell r="HH65">
            <v>82.5</v>
          </cell>
          <cell r="HI65">
            <v>40</v>
          </cell>
          <cell r="HJ65">
            <v>6</v>
          </cell>
          <cell r="HK65">
            <v>87</v>
          </cell>
          <cell r="HL65">
            <v>2</v>
          </cell>
          <cell r="HM65">
            <v>2</v>
          </cell>
          <cell r="HN65">
            <v>50</v>
          </cell>
          <cell r="HO65">
            <v>2</v>
          </cell>
          <cell r="HP65">
            <v>3</v>
          </cell>
          <cell r="HQ65">
            <v>40</v>
          </cell>
          <cell r="HR65">
            <v>40</v>
          </cell>
          <cell r="HS65">
            <v>40</v>
          </cell>
          <cell r="HT65" t="str">
            <v>-</v>
          </cell>
          <cell r="HU65">
            <v>1</v>
          </cell>
          <cell r="HV65">
            <v>1</v>
          </cell>
          <cell r="HW65">
            <v>100</v>
          </cell>
          <cell r="HX65">
            <v>1</v>
          </cell>
          <cell r="HY65">
            <v>1</v>
          </cell>
          <cell r="HZ65">
            <v>50</v>
          </cell>
          <cell r="IA65">
            <v>2</v>
          </cell>
          <cell r="IB65">
            <v>1</v>
          </cell>
          <cell r="IC65">
            <v>66.7</v>
          </cell>
          <cell r="ID65">
            <v>1</v>
          </cell>
          <cell r="IE65">
            <v>1</v>
          </cell>
          <cell r="IF65">
            <v>100</v>
          </cell>
          <cell r="IG65">
            <v>1</v>
          </cell>
          <cell r="IH65">
            <v>1</v>
          </cell>
          <cell r="II65">
            <v>100</v>
          </cell>
          <cell r="IJ65">
            <v>1</v>
          </cell>
          <cell r="IK65">
            <v>1</v>
          </cell>
          <cell r="IL65">
            <v>100</v>
          </cell>
          <cell r="IM65">
            <v>1</v>
          </cell>
          <cell r="IN65">
            <v>1</v>
          </cell>
          <cell r="IO65">
            <v>100</v>
          </cell>
          <cell r="IP65">
            <v>100</v>
          </cell>
          <cell r="IQ65">
            <v>100</v>
          </cell>
          <cell r="IR65" t="str">
            <v>-</v>
          </cell>
          <cell r="IS65">
            <v>100</v>
          </cell>
          <cell r="IT65">
            <v>100</v>
          </cell>
          <cell r="IU65" t="str">
            <v>-</v>
          </cell>
          <cell r="IV65">
            <v>100</v>
          </cell>
          <cell r="IW65">
            <v>100</v>
          </cell>
          <cell r="IX65" t="str">
            <v>-</v>
          </cell>
          <cell r="IY65">
            <v>100</v>
          </cell>
          <cell r="IZ65">
            <v>100</v>
          </cell>
          <cell r="JA65" t="str">
            <v>-</v>
          </cell>
          <cell r="JB65">
            <v>100</v>
          </cell>
          <cell r="JC65">
            <v>1</v>
          </cell>
          <cell r="JD65">
            <v>0</v>
          </cell>
          <cell r="JE65">
            <v>1</v>
          </cell>
          <cell r="JF65">
            <v>1</v>
          </cell>
          <cell r="JG65">
            <v>100</v>
          </cell>
          <cell r="JH65">
            <v>0</v>
          </cell>
          <cell r="JI65">
            <v>0</v>
          </cell>
          <cell r="JJ65" t="str">
            <v>-</v>
          </cell>
          <cell r="JK65">
            <v>0</v>
          </cell>
          <cell r="JL65">
            <v>0</v>
          </cell>
          <cell r="JM65" t="str">
            <v>-</v>
          </cell>
          <cell r="JN65">
            <v>0</v>
          </cell>
          <cell r="JO65">
            <v>0</v>
          </cell>
          <cell r="JP65" t="str">
            <v>-</v>
          </cell>
          <cell r="JQ65">
            <v>87</v>
          </cell>
          <cell r="JR65">
            <v>10</v>
          </cell>
          <cell r="JS65">
            <v>89.690721649484544</v>
          </cell>
          <cell r="JT65">
            <v>27</v>
          </cell>
          <cell r="JU65">
            <v>8</v>
          </cell>
          <cell r="JV65">
            <v>77.142857142857153</v>
          </cell>
          <cell r="JW65">
            <v>0</v>
          </cell>
          <cell r="JX65">
            <v>0</v>
          </cell>
          <cell r="JY65" t="str">
            <v>-</v>
          </cell>
          <cell r="JZ65">
            <v>8</v>
          </cell>
          <cell r="KA65">
            <v>4</v>
          </cell>
          <cell r="KB65">
            <v>66.666666666666657</v>
          </cell>
          <cell r="KC65">
            <v>0</v>
          </cell>
          <cell r="KD65">
            <v>0</v>
          </cell>
          <cell r="KE65" t="str">
            <v>-</v>
          </cell>
          <cell r="KF65">
            <v>194</v>
          </cell>
          <cell r="KG65">
            <v>39</v>
          </cell>
          <cell r="KH65">
            <v>83.261802575107296</v>
          </cell>
          <cell r="KI65">
            <v>6</v>
          </cell>
          <cell r="KJ65">
            <v>2</v>
          </cell>
          <cell r="KK65">
            <v>75</v>
          </cell>
          <cell r="KL65">
            <v>1</v>
          </cell>
          <cell r="KM65">
            <v>1</v>
          </cell>
          <cell r="KN65">
            <v>50</v>
          </cell>
        </row>
        <row r="66">
          <cell r="C66" t="str">
            <v>Borsod-Abaúj-Zemplén Megyei Rendőr-főkapitányság</v>
          </cell>
          <cell r="D66">
            <v>18</v>
          </cell>
          <cell r="E66">
            <v>3</v>
          </cell>
          <cell r="F66">
            <v>85.7</v>
          </cell>
          <cell r="G66">
            <v>30</v>
          </cell>
          <cell r="H66">
            <v>1</v>
          </cell>
          <cell r="I66">
            <v>96.8</v>
          </cell>
          <cell r="J66">
            <v>14</v>
          </cell>
          <cell r="K66">
            <v>4</v>
          </cell>
          <cell r="L66">
            <v>77.8</v>
          </cell>
          <cell r="M66">
            <v>17</v>
          </cell>
          <cell r="N66">
            <v>4</v>
          </cell>
          <cell r="O66">
            <v>81</v>
          </cell>
          <cell r="P66">
            <v>24</v>
          </cell>
          <cell r="Q66">
            <v>6</v>
          </cell>
          <cell r="R66">
            <v>80</v>
          </cell>
          <cell r="S66">
            <v>11</v>
          </cell>
          <cell r="T66">
            <v>5</v>
          </cell>
          <cell r="U66">
            <v>68.8</v>
          </cell>
          <cell r="V66">
            <v>16</v>
          </cell>
          <cell r="W66">
            <v>3</v>
          </cell>
          <cell r="X66">
            <v>84.2</v>
          </cell>
          <cell r="Y66">
            <v>12</v>
          </cell>
          <cell r="Z66">
            <v>4</v>
          </cell>
          <cell r="AA66">
            <v>75</v>
          </cell>
          <cell r="AB66">
            <v>5</v>
          </cell>
          <cell r="AC66">
            <v>1</v>
          </cell>
          <cell r="AD66">
            <v>83.3</v>
          </cell>
          <cell r="AE66">
            <v>14</v>
          </cell>
          <cell r="AF66">
            <v>1</v>
          </cell>
          <cell r="AG66">
            <v>93.3</v>
          </cell>
          <cell r="AH66">
            <v>6</v>
          </cell>
          <cell r="AI66">
            <v>1</v>
          </cell>
          <cell r="AJ66">
            <v>85.7</v>
          </cell>
          <cell r="AK66">
            <v>6</v>
          </cell>
          <cell r="AL66">
            <v>3</v>
          </cell>
          <cell r="AM66">
            <v>66.7</v>
          </cell>
          <cell r="AN66">
            <v>11</v>
          </cell>
          <cell r="AO66">
            <v>1</v>
          </cell>
          <cell r="AP66">
            <v>91.7</v>
          </cell>
          <cell r="AQ66">
            <v>6</v>
          </cell>
          <cell r="AR66">
            <v>1</v>
          </cell>
          <cell r="AS66">
            <v>85.7</v>
          </cell>
          <cell r="AT66">
            <v>5</v>
          </cell>
          <cell r="AU66">
            <v>2</v>
          </cell>
          <cell r="AV66">
            <v>71.400000000000006</v>
          </cell>
          <cell r="AW66">
            <v>7</v>
          </cell>
          <cell r="AX66">
            <v>4</v>
          </cell>
          <cell r="AY66">
            <v>63.6</v>
          </cell>
          <cell r="AZ66">
            <v>12</v>
          </cell>
          <cell r="BA66">
            <v>12</v>
          </cell>
          <cell r="BB66">
            <v>100</v>
          </cell>
          <cell r="BC66">
            <v>9</v>
          </cell>
          <cell r="BD66">
            <v>9</v>
          </cell>
          <cell r="BE66">
            <v>100</v>
          </cell>
          <cell r="BF66">
            <v>8</v>
          </cell>
          <cell r="BG66">
            <v>8</v>
          </cell>
          <cell r="BH66">
            <v>100</v>
          </cell>
          <cell r="BI66">
            <v>8</v>
          </cell>
          <cell r="BJ66">
            <v>8</v>
          </cell>
          <cell r="BK66">
            <v>100</v>
          </cell>
          <cell r="BL66">
            <v>11</v>
          </cell>
          <cell r="BM66">
            <v>1</v>
          </cell>
          <cell r="BN66">
            <v>91.7</v>
          </cell>
          <cell r="BO66">
            <v>5</v>
          </cell>
          <cell r="BP66">
            <v>1</v>
          </cell>
          <cell r="BQ66">
            <v>83.3</v>
          </cell>
          <cell r="BR66">
            <v>9</v>
          </cell>
          <cell r="BS66">
            <v>9</v>
          </cell>
          <cell r="BT66">
            <v>100</v>
          </cell>
          <cell r="BU66">
            <v>5</v>
          </cell>
          <cell r="BV66">
            <v>5</v>
          </cell>
          <cell r="BW66">
            <v>100</v>
          </cell>
          <cell r="BX66">
            <v>989</v>
          </cell>
          <cell r="BY66">
            <v>150</v>
          </cell>
          <cell r="BZ66">
            <v>86.8</v>
          </cell>
          <cell r="CA66">
            <v>902</v>
          </cell>
          <cell r="CB66">
            <v>145</v>
          </cell>
          <cell r="CC66">
            <v>86.2</v>
          </cell>
          <cell r="CD66">
            <v>877</v>
          </cell>
          <cell r="CE66">
            <v>107</v>
          </cell>
          <cell r="CF66">
            <v>89.1</v>
          </cell>
          <cell r="CG66">
            <v>889</v>
          </cell>
          <cell r="CH66">
            <v>165</v>
          </cell>
          <cell r="CI66">
            <v>84.3</v>
          </cell>
          <cell r="CJ66">
            <v>857</v>
          </cell>
          <cell r="CK66">
            <v>161</v>
          </cell>
          <cell r="CL66">
            <v>84.2</v>
          </cell>
          <cell r="CM66">
            <v>822</v>
          </cell>
          <cell r="CN66">
            <v>175</v>
          </cell>
          <cell r="CO66">
            <v>82.4</v>
          </cell>
          <cell r="CP66">
            <v>742</v>
          </cell>
          <cell r="CQ66">
            <v>151</v>
          </cell>
          <cell r="CR66">
            <v>83.1</v>
          </cell>
          <cell r="CS66">
            <v>672</v>
          </cell>
          <cell r="CT66">
            <v>122</v>
          </cell>
          <cell r="CU66">
            <v>84.6</v>
          </cell>
          <cell r="CV66">
            <v>395</v>
          </cell>
          <cell r="CW66">
            <v>103</v>
          </cell>
          <cell r="CX66">
            <v>79.3</v>
          </cell>
          <cell r="CY66">
            <v>306</v>
          </cell>
          <cell r="CZ66">
            <v>91</v>
          </cell>
          <cell r="DA66">
            <v>77.099999999999994</v>
          </cell>
          <cell r="DB66">
            <v>293</v>
          </cell>
          <cell r="DC66">
            <v>72</v>
          </cell>
          <cell r="DD66">
            <v>80.3</v>
          </cell>
          <cell r="DE66">
            <v>340</v>
          </cell>
          <cell r="DF66">
            <v>98</v>
          </cell>
          <cell r="DG66">
            <v>77.599999999999994</v>
          </cell>
          <cell r="DH66">
            <v>288</v>
          </cell>
          <cell r="DI66">
            <v>96</v>
          </cell>
          <cell r="DJ66">
            <v>75</v>
          </cell>
          <cell r="DK66">
            <v>268</v>
          </cell>
          <cell r="DL66">
            <v>129</v>
          </cell>
          <cell r="DM66">
            <v>67.5</v>
          </cell>
          <cell r="DN66">
            <v>254</v>
          </cell>
          <cell r="DO66">
            <v>97</v>
          </cell>
          <cell r="DP66">
            <v>72.400000000000006</v>
          </cell>
          <cell r="DQ66">
            <v>264</v>
          </cell>
          <cell r="DR66">
            <v>79</v>
          </cell>
          <cell r="DS66">
            <v>77</v>
          </cell>
          <cell r="DT66">
            <v>1</v>
          </cell>
          <cell r="DU66">
            <v>2</v>
          </cell>
          <cell r="DV66">
            <v>33.299999999999997</v>
          </cell>
          <cell r="DW66">
            <v>4</v>
          </cell>
          <cell r="DX66">
            <v>4</v>
          </cell>
          <cell r="DY66">
            <v>100</v>
          </cell>
          <cell r="DZ66">
            <v>100</v>
          </cell>
          <cell r="EA66">
            <v>1</v>
          </cell>
          <cell r="EB66">
            <v>0</v>
          </cell>
          <cell r="EC66">
            <v>1</v>
          </cell>
          <cell r="ED66">
            <v>1</v>
          </cell>
          <cell r="EE66">
            <v>100</v>
          </cell>
          <cell r="EF66">
            <v>4</v>
          </cell>
          <cell r="EG66">
            <v>4</v>
          </cell>
          <cell r="EH66">
            <v>100</v>
          </cell>
          <cell r="EI66">
            <v>2</v>
          </cell>
          <cell r="EJ66">
            <v>1</v>
          </cell>
          <cell r="EK66">
            <v>66.7</v>
          </cell>
          <cell r="EL66">
            <v>5</v>
          </cell>
          <cell r="EM66">
            <v>1</v>
          </cell>
          <cell r="EN66">
            <v>83.3</v>
          </cell>
          <cell r="EO66">
            <v>3</v>
          </cell>
          <cell r="EP66">
            <v>3</v>
          </cell>
          <cell r="EQ66">
            <v>100</v>
          </cell>
          <cell r="ER66">
            <v>331</v>
          </cell>
          <cell r="ES66">
            <v>65</v>
          </cell>
          <cell r="ET66">
            <v>83.6</v>
          </cell>
          <cell r="EU66">
            <v>229</v>
          </cell>
          <cell r="EV66">
            <v>83</v>
          </cell>
          <cell r="EW66">
            <v>73.400000000000006</v>
          </cell>
          <cell r="EX66">
            <v>230</v>
          </cell>
          <cell r="EY66">
            <v>116</v>
          </cell>
          <cell r="EZ66">
            <v>66.5</v>
          </cell>
          <cell r="FA66">
            <v>165</v>
          </cell>
          <cell r="FB66">
            <v>62</v>
          </cell>
          <cell r="FC66">
            <v>72.7</v>
          </cell>
          <cell r="FD66">
            <v>165</v>
          </cell>
          <cell r="FE66">
            <v>69</v>
          </cell>
          <cell r="FF66">
            <v>70.5</v>
          </cell>
          <cell r="FG66">
            <v>177</v>
          </cell>
          <cell r="FH66">
            <v>66</v>
          </cell>
          <cell r="FI66">
            <v>72.8</v>
          </cell>
          <cell r="FJ66">
            <v>180</v>
          </cell>
          <cell r="FK66">
            <v>80</v>
          </cell>
          <cell r="FL66">
            <v>69.2</v>
          </cell>
          <cell r="FM66">
            <v>127</v>
          </cell>
          <cell r="FN66">
            <v>40</v>
          </cell>
          <cell r="FO66">
            <v>76</v>
          </cell>
          <cell r="FP66">
            <v>76</v>
          </cell>
          <cell r="FQ66">
            <v>76</v>
          </cell>
          <cell r="FR66" t="str">
            <v>-</v>
          </cell>
          <cell r="FS66">
            <v>76</v>
          </cell>
          <cell r="FT66">
            <v>76</v>
          </cell>
          <cell r="FU66" t="str">
            <v>-</v>
          </cell>
          <cell r="FV66">
            <v>76</v>
          </cell>
          <cell r="FW66">
            <v>76</v>
          </cell>
          <cell r="FX66" t="str">
            <v>-</v>
          </cell>
          <cell r="FY66">
            <v>76</v>
          </cell>
          <cell r="FZ66">
            <v>76</v>
          </cell>
          <cell r="GA66" t="str">
            <v>-</v>
          </cell>
          <cell r="GB66">
            <v>76</v>
          </cell>
          <cell r="GC66">
            <v>1</v>
          </cell>
          <cell r="GD66">
            <v>0</v>
          </cell>
          <cell r="GE66">
            <v>0</v>
          </cell>
          <cell r="GF66">
            <v>0</v>
          </cell>
          <cell r="GG66" t="str">
            <v>-</v>
          </cell>
          <cell r="GH66">
            <v>0</v>
          </cell>
          <cell r="GI66">
            <v>0</v>
          </cell>
          <cell r="GJ66" t="str">
            <v>-</v>
          </cell>
          <cell r="GK66">
            <v>2</v>
          </cell>
          <cell r="GL66">
            <v>1</v>
          </cell>
          <cell r="GM66">
            <v>66.7</v>
          </cell>
          <cell r="GN66">
            <v>1136</v>
          </cell>
          <cell r="GO66">
            <v>209</v>
          </cell>
          <cell r="GP66">
            <v>84.5</v>
          </cell>
          <cell r="GQ66">
            <v>1229</v>
          </cell>
          <cell r="GR66">
            <v>229</v>
          </cell>
          <cell r="GS66">
            <v>84.3</v>
          </cell>
          <cell r="GT66">
            <v>1319</v>
          </cell>
          <cell r="GU66">
            <v>294</v>
          </cell>
          <cell r="GV66">
            <v>81.8</v>
          </cell>
          <cell r="GW66">
            <v>1405</v>
          </cell>
          <cell r="GX66">
            <v>339</v>
          </cell>
          <cell r="GY66">
            <v>80.599999999999994</v>
          </cell>
          <cell r="GZ66">
            <v>1463</v>
          </cell>
          <cell r="HA66">
            <v>371</v>
          </cell>
          <cell r="HB66">
            <v>79.8</v>
          </cell>
          <cell r="HC66">
            <v>1494</v>
          </cell>
          <cell r="HD66">
            <v>411</v>
          </cell>
          <cell r="HE66">
            <v>78.400000000000006</v>
          </cell>
          <cell r="HF66">
            <v>1246</v>
          </cell>
          <cell r="HG66">
            <v>343</v>
          </cell>
          <cell r="HH66">
            <v>78.400000000000006</v>
          </cell>
          <cell r="HI66">
            <v>1136</v>
          </cell>
          <cell r="HJ66">
            <v>309</v>
          </cell>
          <cell r="HK66">
            <v>78.599999999999994</v>
          </cell>
          <cell r="HL66">
            <v>58</v>
          </cell>
          <cell r="HM66">
            <v>34</v>
          </cell>
          <cell r="HN66">
            <v>63</v>
          </cell>
          <cell r="HO66">
            <v>49</v>
          </cell>
          <cell r="HP66">
            <v>40</v>
          </cell>
          <cell r="HQ66">
            <v>55.1</v>
          </cell>
          <cell r="HR66">
            <v>56</v>
          </cell>
          <cell r="HS66">
            <v>40</v>
          </cell>
          <cell r="HT66">
            <v>58.3</v>
          </cell>
          <cell r="HU66">
            <v>41</v>
          </cell>
          <cell r="HV66">
            <v>26</v>
          </cell>
          <cell r="HW66">
            <v>61.2</v>
          </cell>
          <cell r="HX66">
            <v>37</v>
          </cell>
          <cell r="HY66">
            <v>23</v>
          </cell>
          <cell r="HZ66">
            <v>61.7</v>
          </cell>
          <cell r="IA66">
            <v>42</v>
          </cell>
          <cell r="IB66">
            <v>28</v>
          </cell>
          <cell r="IC66">
            <v>60</v>
          </cell>
          <cell r="ID66">
            <v>29</v>
          </cell>
          <cell r="IE66">
            <v>21</v>
          </cell>
          <cell r="IF66">
            <v>58</v>
          </cell>
          <cell r="IG66">
            <v>24</v>
          </cell>
          <cell r="IH66">
            <v>23</v>
          </cell>
          <cell r="II66">
            <v>51.1</v>
          </cell>
          <cell r="IJ66">
            <v>88</v>
          </cell>
          <cell r="IK66">
            <v>7</v>
          </cell>
          <cell r="IL66">
            <v>92.6</v>
          </cell>
          <cell r="IM66">
            <v>57</v>
          </cell>
          <cell r="IN66">
            <v>12</v>
          </cell>
          <cell r="IO66">
            <v>82.6</v>
          </cell>
          <cell r="IP66">
            <v>21</v>
          </cell>
          <cell r="IQ66">
            <v>6</v>
          </cell>
          <cell r="IR66">
            <v>77.8</v>
          </cell>
          <cell r="IS66">
            <v>23</v>
          </cell>
          <cell r="IT66">
            <v>4</v>
          </cell>
          <cell r="IU66">
            <v>85.2</v>
          </cell>
          <cell r="IV66">
            <v>13</v>
          </cell>
          <cell r="IW66">
            <v>19</v>
          </cell>
          <cell r="IX66">
            <v>40.6</v>
          </cell>
          <cell r="IY66">
            <v>21</v>
          </cell>
          <cell r="IZ66">
            <v>5</v>
          </cell>
          <cell r="JA66">
            <v>80.8</v>
          </cell>
          <cell r="JB66">
            <v>41</v>
          </cell>
          <cell r="JC66">
            <v>11</v>
          </cell>
          <cell r="JD66">
            <v>78.8</v>
          </cell>
          <cell r="JE66">
            <v>67</v>
          </cell>
          <cell r="JF66">
            <v>4</v>
          </cell>
          <cell r="JG66">
            <v>94.4</v>
          </cell>
          <cell r="JH66">
            <v>80</v>
          </cell>
          <cell r="JI66">
            <v>22</v>
          </cell>
          <cell r="JJ66">
            <v>78.431372549019613</v>
          </cell>
          <cell r="JK66">
            <v>35</v>
          </cell>
          <cell r="JL66">
            <v>11</v>
          </cell>
          <cell r="JM66">
            <v>76.08695652173914</v>
          </cell>
          <cell r="JN66">
            <v>38</v>
          </cell>
          <cell r="JO66">
            <v>2</v>
          </cell>
          <cell r="JP66">
            <v>95</v>
          </cell>
          <cell r="JQ66">
            <v>3982</v>
          </cell>
          <cell r="JR66">
            <v>774</v>
          </cell>
          <cell r="JS66">
            <v>83.725820016820862</v>
          </cell>
          <cell r="JT66">
            <v>1414</v>
          </cell>
          <cell r="JU66">
            <v>499</v>
          </cell>
          <cell r="JV66">
            <v>73.915316257187669</v>
          </cell>
          <cell r="JW66">
            <v>15</v>
          </cell>
          <cell r="JX66">
            <v>2</v>
          </cell>
          <cell r="JY66">
            <v>88.235294117647058</v>
          </cell>
          <cell r="JZ66">
            <v>814</v>
          </cell>
          <cell r="KA66">
            <v>317</v>
          </cell>
          <cell r="KB66">
            <v>71.971706454465078</v>
          </cell>
          <cell r="KC66">
            <v>2</v>
          </cell>
          <cell r="KD66">
            <v>2</v>
          </cell>
          <cell r="KE66">
            <v>50</v>
          </cell>
          <cell r="KF66">
            <v>6744</v>
          </cell>
          <cell r="KG66">
            <v>1773</v>
          </cell>
          <cell r="KH66">
            <v>79.182810848890455</v>
          </cell>
          <cell r="KI66">
            <v>173</v>
          </cell>
          <cell r="KJ66">
            <v>121</v>
          </cell>
          <cell r="KK66">
            <v>58.843537414965986</v>
          </cell>
          <cell r="KL66">
            <v>165</v>
          </cell>
          <cell r="KM66">
            <v>43</v>
          </cell>
          <cell r="KN66">
            <v>79.326923076923066</v>
          </cell>
        </row>
        <row r="67">
          <cell r="C67" t="str">
            <v>Csongrád MRFK Központ</v>
          </cell>
          <cell r="D67">
            <v>5</v>
          </cell>
          <cell r="E67">
            <v>1</v>
          </cell>
          <cell r="F67">
            <v>83.3</v>
          </cell>
          <cell r="G67">
            <v>8</v>
          </cell>
          <cell r="H67">
            <v>2</v>
          </cell>
          <cell r="I67">
            <v>80</v>
          </cell>
          <cell r="J67">
            <v>4</v>
          </cell>
          <cell r="K67">
            <v>1</v>
          </cell>
          <cell r="L67">
            <v>80</v>
          </cell>
          <cell r="M67">
            <v>10</v>
          </cell>
          <cell r="N67">
            <v>10</v>
          </cell>
          <cell r="O67">
            <v>100</v>
          </cell>
          <cell r="P67">
            <v>4</v>
          </cell>
          <cell r="Q67">
            <v>4</v>
          </cell>
          <cell r="R67">
            <v>100</v>
          </cell>
          <cell r="S67">
            <v>5</v>
          </cell>
          <cell r="T67">
            <v>5</v>
          </cell>
          <cell r="U67">
            <v>100</v>
          </cell>
          <cell r="V67">
            <v>11</v>
          </cell>
          <cell r="W67">
            <v>1</v>
          </cell>
          <cell r="X67">
            <v>91.7</v>
          </cell>
          <cell r="Y67">
            <v>5</v>
          </cell>
          <cell r="Z67">
            <v>5</v>
          </cell>
          <cell r="AA67">
            <v>100</v>
          </cell>
          <cell r="AB67">
            <v>4</v>
          </cell>
          <cell r="AC67">
            <v>4</v>
          </cell>
          <cell r="AD67">
            <v>100</v>
          </cell>
          <cell r="AE67">
            <v>7</v>
          </cell>
          <cell r="AF67">
            <v>1</v>
          </cell>
          <cell r="AG67">
            <v>87.5</v>
          </cell>
          <cell r="AH67">
            <v>2</v>
          </cell>
          <cell r="AI67">
            <v>2</v>
          </cell>
          <cell r="AJ67">
            <v>100</v>
          </cell>
          <cell r="AK67">
            <v>7</v>
          </cell>
          <cell r="AL67">
            <v>7</v>
          </cell>
          <cell r="AM67">
            <v>100</v>
          </cell>
          <cell r="AN67">
            <v>2</v>
          </cell>
          <cell r="AO67">
            <v>2</v>
          </cell>
          <cell r="AP67">
            <v>100</v>
          </cell>
          <cell r="AQ67">
            <v>1</v>
          </cell>
          <cell r="AR67">
            <v>1</v>
          </cell>
          <cell r="AS67">
            <v>100</v>
          </cell>
          <cell r="AT67">
            <v>1</v>
          </cell>
          <cell r="AU67">
            <v>1</v>
          </cell>
          <cell r="AV67">
            <v>100</v>
          </cell>
          <cell r="AW67">
            <v>2</v>
          </cell>
          <cell r="AX67">
            <v>2</v>
          </cell>
          <cell r="AY67">
            <v>100</v>
          </cell>
          <cell r="AZ67">
            <v>1</v>
          </cell>
          <cell r="BA67">
            <v>1</v>
          </cell>
          <cell r="BB67">
            <v>50</v>
          </cell>
          <cell r="BC67">
            <v>50</v>
          </cell>
          <cell r="BD67">
            <v>50</v>
          </cell>
          <cell r="BE67" t="str">
            <v>-</v>
          </cell>
          <cell r="BF67">
            <v>2</v>
          </cell>
          <cell r="BG67">
            <v>2</v>
          </cell>
          <cell r="BH67">
            <v>100</v>
          </cell>
          <cell r="BI67">
            <v>3</v>
          </cell>
          <cell r="BJ67">
            <v>3</v>
          </cell>
          <cell r="BK67">
            <v>100</v>
          </cell>
          <cell r="BL67">
            <v>1</v>
          </cell>
          <cell r="BM67">
            <v>1</v>
          </cell>
          <cell r="BN67">
            <v>100</v>
          </cell>
          <cell r="BO67">
            <v>3</v>
          </cell>
          <cell r="BP67">
            <v>3</v>
          </cell>
          <cell r="BQ67">
            <v>100</v>
          </cell>
          <cell r="BR67">
            <v>7</v>
          </cell>
          <cell r="BS67">
            <v>1</v>
          </cell>
          <cell r="BT67">
            <v>87.5</v>
          </cell>
          <cell r="BU67">
            <v>3</v>
          </cell>
          <cell r="BV67">
            <v>3</v>
          </cell>
          <cell r="BW67">
            <v>100</v>
          </cell>
          <cell r="BX67">
            <v>25</v>
          </cell>
          <cell r="BY67">
            <v>2</v>
          </cell>
          <cell r="BZ67">
            <v>92.6</v>
          </cell>
          <cell r="CA67">
            <v>28</v>
          </cell>
          <cell r="CB67">
            <v>2</v>
          </cell>
          <cell r="CC67">
            <v>93.3</v>
          </cell>
          <cell r="CD67">
            <v>46</v>
          </cell>
          <cell r="CE67">
            <v>9</v>
          </cell>
          <cell r="CF67">
            <v>83.6</v>
          </cell>
          <cell r="CG67">
            <v>36</v>
          </cell>
          <cell r="CH67">
            <v>5</v>
          </cell>
          <cell r="CI67">
            <v>87.8</v>
          </cell>
          <cell r="CJ67">
            <v>24</v>
          </cell>
          <cell r="CK67">
            <v>24</v>
          </cell>
          <cell r="CL67">
            <v>100</v>
          </cell>
          <cell r="CM67">
            <v>19</v>
          </cell>
          <cell r="CN67">
            <v>1</v>
          </cell>
          <cell r="CO67">
            <v>95</v>
          </cell>
          <cell r="CP67">
            <v>17</v>
          </cell>
          <cell r="CQ67">
            <v>3</v>
          </cell>
          <cell r="CR67">
            <v>85</v>
          </cell>
          <cell r="CS67">
            <v>16</v>
          </cell>
          <cell r="CT67">
            <v>2</v>
          </cell>
          <cell r="CU67">
            <v>88.9</v>
          </cell>
          <cell r="CV67">
            <v>22</v>
          </cell>
          <cell r="CW67">
            <v>2</v>
          </cell>
          <cell r="CX67">
            <v>91.7</v>
          </cell>
          <cell r="CY67">
            <v>24</v>
          </cell>
          <cell r="CZ67">
            <v>2</v>
          </cell>
          <cell r="DA67">
            <v>92.3</v>
          </cell>
          <cell r="DB67">
            <v>26</v>
          </cell>
          <cell r="DC67">
            <v>7</v>
          </cell>
          <cell r="DD67">
            <v>78.8</v>
          </cell>
          <cell r="DE67">
            <v>27</v>
          </cell>
          <cell r="DF67">
            <v>5</v>
          </cell>
          <cell r="DG67">
            <v>84.4</v>
          </cell>
          <cell r="DH67">
            <v>19</v>
          </cell>
          <cell r="DI67">
            <v>19</v>
          </cell>
          <cell r="DJ67">
            <v>100</v>
          </cell>
          <cell r="DK67">
            <v>10</v>
          </cell>
          <cell r="DL67">
            <v>1</v>
          </cell>
          <cell r="DM67">
            <v>90.9</v>
          </cell>
          <cell r="DN67">
            <v>13</v>
          </cell>
          <cell r="DO67">
            <v>3</v>
          </cell>
          <cell r="DP67">
            <v>81.3</v>
          </cell>
          <cell r="DQ67">
            <v>13</v>
          </cell>
          <cell r="DR67">
            <v>1</v>
          </cell>
          <cell r="DS67">
            <v>92.9</v>
          </cell>
          <cell r="DT67">
            <v>1</v>
          </cell>
          <cell r="DU67">
            <v>1</v>
          </cell>
          <cell r="DV67">
            <v>50</v>
          </cell>
          <cell r="DW67">
            <v>4</v>
          </cell>
          <cell r="DX67">
            <v>4</v>
          </cell>
          <cell r="DY67">
            <v>100</v>
          </cell>
          <cell r="DZ67">
            <v>1</v>
          </cell>
          <cell r="EA67">
            <v>1</v>
          </cell>
          <cell r="EB67">
            <v>50</v>
          </cell>
          <cell r="EC67">
            <v>4</v>
          </cell>
          <cell r="ED67">
            <v>4</v>
          </cell>
          <cell r="EE67">
            <v>100</v>
          </cell>
          <cell r="EF67">
            <v>1</v>
          </cell>
          <cell r="EG67">
            <v>1</v>
          </cell>
          <cell r="EH67">
            <v>100</v>
          </cell>
          <cell r="EI67">
            <v>1</v>
          </cell>
          <cell r="EJ67">
            <v>1</v>
          </cell>
          <cell r="EK67">
            <v>100</v>
          </cell>
          <cell r="EL67">
            <v>2</v>
          </cell>
          <cell r="EM67">
            <v>2</v>
          </cell>
          <cell r="EN67">
            <v>100</v>
          </cell>
          <cell r="EO67">
            <v>2</v>
          </cell>
          <cell r="EP67">
            <v>2</v>
          </cell>
          <cell r="EQ67">
            <v>100</v>
          </cell>
          <cell r="ER67">
            <v>1</v>
          </cell>
          <cell r="ES67">
            <v>1</v>
          </cell>
          <cell r="ET67">
            <v>100</v>
          </cell>
          <cell r="EU67">
            <v>2</v>
          </cell>
          <cell r="EV67">
            <v>2</v>
          </cell>
          <cell r="EW67">
            <v>100</v>
          </cell>
          <cell r="EX67">
            <v>8</v>
          </cell>
          <cell r="EY67">
            <v>2</v>
          </cell>
          <cell r="EZ67">
            <v>80</v>
          </cell>
          <cell r="FA67">
            <v>13</v>
          </cell>
          <cell r="FB67">
            <v>2</v>
          </cell>
          <cell r="FC67">
            <v>86.7</v>
          </cell>
          <cell r="FD67">
            <v>3</v>
          </cell>
          <cell r="FE67">
            <v>3</v>
          </cell>
          <cell r="FF67">
            <v>100</v>
          </cell>
          <cell r="FG67">
            <v>3</v>
          </cell>
          <cell r="FH67">
            <v>2</v>
          </cell>
          <cell r="FI67">
            <v>60</v>
          </cell>
          <cell r="FJ67">
            <v>2</v>
          </cell>
          <cell r="FK67">
            <v>2</v>
          </cell>
          <cell r="FL67">
            <v>100</v>
          </cell>
          <cell r="FM67">
            <v>3</v>
          </cell>
          <cell r="FN67">
            <v>1</v>
          </cell>
          <cell r="FO67">
            <v>75</v>
          </cell>
          <cell r="FP67">
            <v>27</v>
          </cell>
          <cell r="FQ67">
            <v>3</v>
          </cell>
          <cell r="FR67">
            <v>90</v>
          </cell>
          <cell r="FS67">
            <v>35</v>
          </cell>
          <cell r="FT67">
            <v>35</v>
          </cell>
          <cell r="FU67">
            <v>100</v>
          </cell>
          <cell r="FV67">
            <v>57</v>
          </cell>
          <cell r="FW67">
            <v>2</v>
          </cell>
          <cell r="FX67">
            <v>96.6</v>
          </cell>
          <cell r="FY67">
            <v>62</v>
          </cell>
          <cell r="FZ67">
            <v>62</v>
          </cell>
          <cell r="GA67">
            <v>100</v>
          </cell>
          <cell r="GB67">
            <v>115</v>
          </cell>
          <cell r="GC67">
            <v>115</v>
          </cell>
          <cell r="GD67">
            <v>100</v>
          </cell>
          <cell r="GE67">
            <v>160</v>
          </cell>
          <cell r="GF67">
            <v>15</v>
          </cell>
          <cell r="GG67">
            <v>91.4</v>
          </cell>
          <cell r="GH67">
            <v>63</v>
          </cell>
          <cell r="GI67">
            <v>14</v>
          </cell>
          <cell r="GJ67">
            <v>81.8</v>
          </cell>
          <cell r="GK67">
            <v>32</v>
          </cell>
          <cell r="GL67">
            <v>3</v>
          </cell>
          <cell r="GM67">
            <v>91.4</v>
          </cell>
          <cell r="GN67">
            <v>5</v>
          </cell>
          <cell r="GO67">
            <v>5</v>
          </cell>
          <cell r="GP67">
            <v>100</v>
          </cell>
          <cell r="GQ67">
            <v>11</v>
          </cell>
          <cell r="GR67">
            <v>2</v>
          </cell>
          <cell r="GS67">
            <v>84.6</v>
          </cell>
          <cell r="GT67">
            <v>29</v>
          </cell>
          <cell r="GU67">
            <v>5</v>
          </cell>
          <cell r="GV67">
            <v>85.3</v>
          </cell>
          <cell r="GW67">
            <v>12</v>
          </cell>
          <cell r="GX67">
            <v>2</v>
          </cell>
          <cell r="GY67">
            <v>85.7</v>
          </cell>
          <cell r="GZ67">
            <v>8</v>
          </cell>
          <cell r="HA67">
            <v>1</v>
          </cell>
          <cell r="HB67">
            <v>88.9</v>
          </cell>
          <cell r="HC67">
            <v>13</v>
          </cell>
          <cell r="HD67">
            <v>4</v>
          </cell>
          <cell r="HE67">
            <v>76.5</v>
          </cell>
          <cell r="HF67">
            <v>5</v>
          </cell>
          <cell r="HG67">
            <v>5</v>
          </cell>
          <cell r="HH67">
            <v>100</v>
          </cell>
          <cell r="HI67">
            <v>8</v>
          </cell>
          <cell r="HJ67">
            <v>1</v>
          </cell>
          <cell r="HK67">
            <v>88.9</v>
          </cell>
          <cell r="HL67">
            <v>2</v>
          </cell>
          <cell r="HM67">
            <v>1</v>
          </cell>
          <cell r="HN67">
            <v>66.7</v>
          </cell>
          <cell r="HO67">
            <v>1</v>
          </cell>
          <cell r="HP67">
            <v>1</v>
          </cell>
          <cell r="HQ67">
            <v>50</v>
          </cell>
          <cell r="HR67">
            <v>1</v>
          </cell>
          <cell r="HS67">
            <v>1</v>
          </cell>
          <cell r="HT67">
            <v>50</v>
          </cell>
          <cell r="HU67">
            <v>3</v>
          </cell>
          <cell r="HV67">
            <v>3</v>
          </cell>
          <cell r="HW67">
            <v>100</v>
          </cell>
          <cell r="HX67">
            <v>1</v>
          </cell>
          <cell r="HY67">
            <v>1</v>
          </cell>
          <cell r="HZ67">
            <v>100</v>
          </cell>
          <cell r="IA67">
            <v>100</v>
          </cell>
          <cell r="IB67">
            <v>100</v>
          </cell>
          <cell r="IC67" t="str">
            <v>-</v>
          </cell>
          <cell r="ID67">
            <v>1</v>
          </cell>
          <cell r="IE67">
            <v>3</v>
          </cell>
          <cell r="IF67">
            <v>25</v>
          </cell>
          <cell r="IG67">
            <v>1</v>
          </cell>
          <cell r="IH67">
            <v>1</v>
          </cell>
          <cell r="II67">
            <v>100</v>
          </cell>
          <cell r="IJ67">
            <v>1</v>
          </cell>
          <cell r="IK67">
            <v>1</v>
          </cell>
          <cell r="IL67">
            <v>100</v>
          </cell>
          <cell r="IM67">
            <v>2</v>
          </cell>
          <cell r="IN67">
            <v>2</v>
          </cell>
          <cell r="IO67">
            <v>100</v>
          </cell>
          <cell r="IP67">
            <v>100</v>
          </cell>
          <cell r="IQ67">
            <v>100</v>
          </cell>
          <cell r="IR67" t="str">
            <v>-</v>
          </cell>
          <cell r="IS67">
            <v>2</v>
          </cell>
          <cell r="IT67">
            <v>2</v>
          </cell>
          <cell r="IU67">
            <v>100</v>
          </cell>
          <cell r="IV67">
            <v>1</v>
          </cell>
          <cell r="IW67">
            <v>1</v>
          </cell>
          <cell r="IX67">
            <v>100</v>
          </cell>
          <cell r="IY67">
            <v>1</v>
          </cell>
          <cell r="IZ67">
            <v>1</v>
          </cell>
          <cell r="JA67">
            <v>100</v>
          </cell>
          <cell r="JB67">
            <v>4</v>
          </cell>
          <cell r="JC67">
            <v>4</v>
          </cell>
          <cell r="JD67">
            <v>100</v>
          </cell>
          <cell r="JE67">
            <v>4</v>
          </cell>
          <cell r="JF67">
            <v>4</v>
          </cell>
          <cell r="JG67">
            <v>100</v>
          </cell>
          <cell r="JH67">
            <v>35</v>
          </cell>
          <cell r="JI67">
            <v>1</v>
          </cell>
          <cell r="JJ67">
            <v>97.222222222222214</v>
          </cell>
          <cell r="JK67">
            <v>13</v>
          </cell>
          <cell r="JL67">
            <v>0</v>
          </cell>
          <cell r="JM67">
            <v>100</v>
          </cell>
          <cell r="JN67">
            <v>17</v>
          </cell>
          <cell r="JO67">
            <v>1</v>
          </cell>
          <cell r="JP67">
            <v>94.444444444444443</v>
          </cell>
          <cell r="JQ67">
            <v>112</v>
          </cell>
          <cell r="JR67">
            <v>11</v>
          </cell>
          <cell r="JS67">
            <v>91.056910569105682</v>
          </cell>
          <cell r="JT67">
            <v>82</v>
          </cell>
          <cell r="JU67">
            <v>10</v>
          </cell>
          <cell r="JV67">
            <v>89.130434782608688</v>
          </cell>
          <cell r="JW67">
            <v>10</v>
          </cell>
          <cell r="JX67">
            <v>0</v>
          </cell>
          <cell r="JY67">
            <v>100</v>
          </cell>
          <cell r="JZ67">
            <v>24</v>
          </cell>
          <cell r="KA67">
            <v>5</v>
          </cell>
          <cell r="KB67">
            <v>82.758620689655174</v>
          </cell>
          <cell r="KC67">
            <v>432</v>
          </cell>
          <cell r="KD67">
            <v>32</v>
          </cell>
          <cell r="KE67">
            <v>93.103448275862064</v>
          </cell>
          <cell r="KF67">
            <v>46</v>
          </cell>
          <cell r="KG67">
            <v>8</v>
          </cell>
          <cell r="KH67">
            <v>85.18518518518519</v>
          </cell>
          <cell r="KI67">
            <v>6</v>
          </cell>
          <cell r="KJ67">
            <v>3</v>
          </cell>
          <cell r="KK67">
            <v>66.666666666666657</v>
          </cell>
          <cell r="KL67">
            <v>12</v>
          </cell>
          <cell r="KM67">
            <v>0</v>
          </cell>
          <cell r="KN67">
            <v>100</v>
          </cell>
        </row>
        <row r="68">
          <cell r="C68" t="str">
            <v>Szegedi Rendőrkapitányság</v>
          </cell>
          <cell r="D68">
            <v>100</v>
          </cell>
          <cell r="E68">
            <v>100</v>
          </cell>
          <cell r="F68" t="str">
            <v>-</v>
          </cell>
          <cell r="G68">
            <v>100</v>
          </cell>
          <cell r="H68">
            <v>100</v>
          </cell>
          <cell r="I68" t="str">
            <v>-</v>
          </cell>
          <cell r="J68">
            <v>100</v>
          </cell>
          <cell r="K68">
            <v>100</v>
          </cell>
          <cell r="L68" t="str">
            <v>-</v>
          </cell>
          <cell r="M68">
            <v>100</v>
          </cell>
          <cell r="N68">
            <v>100</v>
          </cell>
          <cell r="O68" t="str">
            <v>-</v>
          </cell>
          <cell r="P68">
            <v>100</v>
          </cell>
          <cell r="Q68">
            <v>100</v>
          </cell>
          <cell r="R68" t="str">
            <v>-</v>
          </cell>
          <cell r="S68">
            <v>100</v>
          </cell>
          <cell r="T68">
            <v>100</v>
          </cell>
          <cell r="U68" t="str">
            <v>-</v>
          </cell>
          <cell r="V68">
            <v>100</v>
          </cell>
          <cell r="W68">
            <v>100</v>
          </cell>
          <cell r="X68" t="str">
            <v>-</v>
          </cell>
          <cell r="Y68">
            <v>100</v>
          </cell>
          <cell r="Z68">
            <v>100</v>
          </cell>
          <cell r="AA68" t="str">
            <v>-</v>
          </cell>
          <cell r="AB68">
            <v>100</v>
          </cell>
          <cell r="AC68">
            <v>100</v>
          </cell>
          <cell r="AD68" t="str">
            <v>-</v>
          </cell>
          <cell r="AE68">
            <v>100</v>
          </cell>
          <cell r="AF68">
            <v>100</v>
          </cell>
          <cell r="AG68" t="str">
            <v>-</v>
          </cell>
          <cell r="AH68">
            <v>100</v>
          </cell>
          <cell r="AI68">
            <v>100</v>
          </cell>
          <cell r="AJ68" t="str">
            <v>-</v>
          </cell>
          <cell r="AK68">
            <v>100</v>
          </cell>
          <cell r="AL68">
            <v>100</v>
          </cell>
          <cell r="AM68" t="str">
            <v>-</v>
          </cell>
          <cell r="AN68">
            <v>100</v>
          </cell>
          <cell r="AO68">
            <v>100</v>
          </cell>
          <cell r="AP68" t="str">
            <v>-</v>
          </cell>
          <cell r="AQ68">
            <v>100</v>
          </cell>
          <cell r="AR68">
            <v>100</v>
          </cell>
          <cell r="AS68" t="str">
            <v>-</v>
          </cell>
          <cell r="AT68">
            <v>100</v>
          </cell>
          <cell r="AU68">
            <v>100</v>
          </cell>
          <cell r="AV68" t="str">
            <v>-</v>
          </cell>
          <cell r="AW68">
            <v>100</v>
          </cell>
          <cell r="AX68">
            <v>100</v>
          </cell>
          <cell r="AY68" t="str">
            <v>-</v>
          </cell>
          <cell r="AZ68">
            <v>100</v>
          </cell>
          <cell r="BA68">
            <v>100</v>
          </cell>
          <cell r="BB68" t="str">
            <v>-</v>
          </cell>
          <cell r="BC68">
            <v>100</v>
          </cell>
          <cell r="BD68">
            <v>100</v>
          </cell>
          <cell r="BE68" t="str">
            <v>-</v>
          </cell>
          <cell r="BF68">
            <v>100</v>
          </cell>
          <cell r="BG68">
            <v>100</v>
          </cell>
          <cell r="BH68" t="str">
            <v>-</v>
          </cell>
          <cell r="BI68">
            <v>100</v>
          </cell>
          <cell r="BJ68">
            <v>100</v>
          </cell>
          <cell r="BK68" t="str">
            <v>-</v>
          </cell>
          <cell r="BL68">
            <v>100</v>
          </cell>
          <cell r="BM68">
            <v>100</v>
          </cell>
          <cell r="BN68" t="str">
            <v>-</v>
          </cell>
          <cell r="BO68">
            <v>100</v>
          </cell>
          <cell r="BP68">
            <v>100</v>
          </cell>
          <cell r="BQ68" t="str">
            <v>-</v>
          </cell>
          <cell r="BR68">
            <v>100</v>
          </cell>
          <cell r="BS68">
            <v>100</v>
          </cell>
          <cell r="BT68" t="str">
            <v>-</v>
          </cell>
          <cell r="BU68">
            <v>100</v>
          </cell>
          <cell r="BV68">
            <v>100</v>
          </cell>
          <cell r="BW68" t="str">
            <v>-</v>
          </cell>
          <cell r="BX68">
            <v>180</v>
          </cell>
          <cell r="BY68">
            <v>67</v>
          </cell>
          <cell r="BZ68">
            <v>72.900000000000006</v>
          </cell>
          <cell r="CA68">
            <v>202</v>
          </cell>
          <cell r="CB68">
            <v>60</v>
          </cell>
          <cell r="CC68">
            <v>77.099999999999994</v>
          </cell>
          <cell r="CD68">
            <v>153</v>
          </cell>
          <cell r="CE68">
            <v>63</v>
          </cell>
          <cell r="CF68">
            <v>70.8</v>
          </cell>
          <cell r="CG68">
            <v>162</v>
          </cell>
          <cell r="CH68">
            <v>40</v>
          </cell>
          <cell r="CI68">
            <v>80.2</v>
          </cell>
          <cell r="CJ68">
            <v>182</v>
          </cell>
          <cell r="CK68">
            <v>34</v>
          </cell>
          <cell r="CL68">
            <v>84.3</v>
          </cell>
          <cell r="CM68">
            <v>169</v>
          </cell>
          <cell r="CN68">
            <v>64</v>
          </cell>
          <cell r="CO68">
            <v>72.5</v>
          </cell>
          <cell r="CP68">
            <v>126</v>
          </cell>
          <cell r="CQ68">
            <v>42</v>
          </cell>
          <cell r="CR68">
            <v>75</v>
          </cell>
          <cell r="CS68">
            <v>142</v>
          </cell>
          <cell r="CT68">
            <v>38</v>
          </cell>
          <cell r="CU68">
            <v>78.900000000000006</v>
          </cell>
          <cell r="CV68">
            <v>96</v>
          </cell>
          <cell r="CW68">
            <v>52</v>
          </cell>
          <cell r="CX68">
            <v>64.900000000000006</v>
          </cell>
          <cell r="CY68">
            <v>97</v>
          </cell>
          <cell r="CZ68">
            <v>51</v>
          </cell>
          <cell r="DA68">
            <v>65.5</v>
          </cell>
          <cell r="DB68">
            <v>68</v>
          </cell>
          <cell r="DC68">
            <v>52</v>
          </cell>
          <cell r="DD68">
            <v>56.7</v>
          </cell>
          <cell r="DE68">
            <v>85</v>
          </cell>
          <cell r="DF68">
            <v>34</v>
          </cell>
          <cell r="DG68">
            <v>71.400000000000006</v>
          </cell>
          <cell r="DH68">
            <v>82</v>
          </cell>
          <cell r="DI68">
            <v>32</v>
          </cell>
          <cell r="DJ68">
            <v>71.900000000000006</v>
          </cell>
          <cell r="DK68">
            <v>80</v>
          </cell>
          <cell r="DL68">
            <v>53</v>
          </cell>
          <cell r="DM68">
            <v>60.2</v>
          </cell>
          <cell r="DN68">
            <v>59</v>
          </cell>
          <cell r="DO68">
            <v>31</v>
          </cell>
          <cell r="DP68">
            <v>65.599999999999994</v>
          </cell>
          <cell r="DQ68">
            <v>64</v>
          </cell>
          <cell r="DR68">
            <v>27</v>
          </cell>
          <cell r="DS68">
            <v>70.3</v>
          </cell>
          <cell r="DT68">
            <v>70.29998779296875</v>
          </cell>
          <cell r="DU68">
            <v>70.29998779296875</v>
          </cell>
          <cell r="DV68" t="str">
            <v>-</v>
          </cell>
          <cell r="DW68">
            <v>70.29998779296875</v>
          </cell>
          <cell r="DX68">
            <v>70.29998779296875</v>
          </cell>
          <cell r="DY68" t="str">
            <v>-</v>
          </cell>
          <cell r="DZ68">
            <v>70.29998779296875</v>
          </cell>
          <cell r="EA68">
            <v>70.29998779296875</v>
          </cell>
          <cell r="EB68" t="str">
            <v>-</v>
          </cell>
          <cell r="EC68">
            <v>70.29998779296875</v>
          </cell>
          <cell r="ED68">
            <v>70.29998779296875</v>
          </cell>
          <cell r="EE68" t="str">
            <v>-</v>
          </cell>
          <cell r="EF68">
            <v>70.29998779296875</v>
          </cell>
          <cell r="EG68">
            <v>70.29998779296875</v>
          </cell>
          <cell r="EH68" t="str">
            <v>-</v>
          </cell>
          <cell r="EI68">
            <v>70.29998779296875</v>
          </cell>
          <cell r="EJ68">
            <v>70.29998779296875</v>
          </cell>
          <cell r="EK68" t="str">
            <v>-</v>
          </cell>
          <cell r="EL68">
            <v>70.29998779296875</v>
          </cell>
          <cell r="EM68">
            <v>70.29998779296875</v>
          </cell>
          <cell r="EN68" t="str">
            <v>-</v>
          </cell>
          <cell r="EO68">
            <v>70.29998779296875</v>
          </cell>
          <cell r="EP68">
            <v>70.29998779296875</v>
          </cell>
          <cell r="EQ68" t="str">
            <v>-</v>
          </cell>
          <cell r="ER68">
            <v>19</v>
          </cell>
          <cell r="ES68">
            <v>24</v>
          </cell>
          <cell r="ET68">
            <v>44.2</v>
          </cell>
          <cell r="EU68">
            <v>53</v>
          </cell>
          <cell r="EV68">
            <v>25</v>
          </cell>
          <cell r="EW68">
            <v>67.900000000000006</v>
          </cell>
          <cell r="EX68">
            <v>34</v>
          </cell>
          <cell r="EY68">
            <v>19</v>
          </cell>
          <cell r="EZ68">
            <v>64.2</v>
          </cell>
          <cell r="FA68">
            <v>34</v>
          </cell>
          <cell r="FB68">
            <v>29</v>
          </cell>
          <cell r="FC68">
            <v>54</v>
          </cell>
          <cell r="FD68">
            <v>31</v>
          </cell>
          <cell r="FE68">
            <v>9</v>
          </cell>
          <cell r="FF68">
            <v>77.5</v>
          </cell>
          <cell r="FG68">
            <v>44</v>
          </cell>
          <cell r="FH68">
            <v>18</v>
          </cell>
          <cell r="FI68">
            <v>71</v>
          </cell>
          <cell r="FJ68">
            <v>15</v>
          </cell>
          <cell r="FK68">
            <v>25</v>
          </cell>
          <cell r="FL68">
            <v>37.5</v>
          </cell>
          <cell r="FM68">
            <v>22</v>
          </cell>
          <cell r="FN68">
            <v>14</v>
          </cell>
          <cell r="FO68">
            <v>61.1</v>
          </cell>
          <cell r="FP68">
            <v>61.0999755859375</v>
          </cell>
          <cell r="FQ68">
            <v>61.0999755859375</v>
          </cell>
          <cell r="FR68" t="str">
            <v>-</v>
          </cell>
          <cell r="FS68">
            <v>61.0999755859375</v>
          </cell>
          <cell r="FT68">
            <v>61.0999755859375</v>
          </cell>
          <cell r="FU68" t="str">
            <v>-</v>
          </cell>
          <cell r="FV68">
            <v>61.0999755859375</v>
          </cell>
          <cell r="FW68">
            <v>61.0999755859375</v>
          </cell>
          <cell r="FX68" t="str">
            <v>-</v>
          </cell>
          <cell r="FY68">
            <v>61.0999755859375</v>
          </cell>
          <cell r="FZ68">
            <v>61.0999755859375</v>
          </cell>
          <cell r="GA68" t="str">
            <v>-</v>
          </cell>
          <cell r="GB68">
            <v>61.0999755859375</v>
          </cell>
          <cell r="GC68">
            <v>61.0999755859375</v>
          </cell>
          <cell r="GD68" t="str">
            <v>-</v>
          </cell>
          <cell r="GE68">
            <v>1</v>
          </cell>
          <cell r="GF68">
            <v>1</v>
          </cell>
          <cell r="GG68">
            <v>100</v>
          </cell>
          <cell r="GH68">
            <v>100</v>
          </cell>
          <cell r="GI68">
            <v>100</v>
          </cell>
          <cell r="GJ68" t="str">
            <v>-</v>
          </cell>
          <cell r="GK68">
            <v>100</v>
          </cell>
          <cell r="GL68">
            <v>100</v>
          </cell>
          <cell r="GM68" t="str">
            <v>-</v>
          </cell>
          <cell r="GN68">
            <v>206</v>
          </cell>
          <cell r="GO68">
            <v>68</v>
          </cell>
          <cell r="GP68">
            <v>75.2</v>
          </cell>
          <cell r="GQ68">
            <v>266</v>
          </cell>
          <cell r="GR68">
            <v>84</v>
          </cell>
          <cell r="GS68">
            <v>76</v>
          </cell>
          <cell r="GT68">
            <v>256</v>
          </cell>
          <cell r="GU68">
            <v>107</v>
          </cell>
          <cell r="GV68">
            <v>70.5</v>
          </cell>
          <cell r="GW68">
            <v>248</v>
          </cell>
          <cell r="GX68">
            <v>73</v>
          </cell>
          <cell r="GY68">
            <v>77.3</v>
          </cell>
          <cell r="GZ68">
            <v>227</v>
          </cell>
          <cell r="HA68">
            <v>77</v>
          </cell>
          <cell r="HB68">
            <v>74.7</v>
          </cell>
          <cell r="HC68">
            <v>159</v>
          </cell>
          <cell r="HD68">
            <v>50</v>
          </cell>
          <cell r="HE68">
            <v>76.099999999999994</v>
          </cell>
          <cell r="HF68">
            <v>175</v>
          </cell>
          <cell r="HG68">
            <v>58</v>
          </cell>
          <cell r="HH68">
            <v>75.099999999999994</v>
          </cell>
          <cell r="HI68">
            <v>169</v>
          </cell>
          <cell r="HJ68">
            <v>52</v>
          </cell>
          <cell r="HK68">
            <v>76.5</v>
          </cell>
          <cell r="HL68">
            <v>24</v>
          </cell>
          <cell r="HM68">
            <v>22</v>
          </cell>
          <cell r="HN68">
            <v>52.2</v>
          </cell>
          <cell r="HO68">
            <v>13</v>
          </cell>
          <cell r="HP68">
            <v>23</v>
          </cell>
          <cell r="HQ68">
            <v>36.1</v>
          </cell>
          <cell r="HR68">
            <v>12</v>
          </cell>
          <cell r="HS68">
            <v>19</v>
          </cell>
          <cell r="HT68">
            <v>38.700000000000003</v>
          </cell>
          <cell r="HU68">
            <v>16</v>
          </cell>
          <cell r="HV68">
            <v>13</v>
          </cell>
          <cell r="HW68">
            <v>55.2</v>
          </cell>
          <cell r="HX68">
            <v>16</v>
          </cell>
          <cell r="HY68">
            <v>10</v>
          </cell>
          <cell r="HZ68">
            <v>61.5</v>
          </cell>
          <cell r="IA68">
            <v>13</v>
          </cell>
          <cell r="IB68">
            <v>13</v>
          </cell>
          <cell r="IC68">
            <v>50</v>
          </cell>
          <cell r="ID68">
            <v>3</v>
          </cell>
          <cell r="IE68">
            <v>14</v>
          </cell>
          <cell r="IF68">
            <v>17.600000000000001</v>
          </cell>
          <cell r="IG68">
            <v>9</v>
          </cell>
          <cell r="IH68">
            <v>6</v>
          </cell>
          <cell r="II68">
            <v>60</v>
          </cell>
          <cell r="IJ68">
            <v>17</v>
          </cell>
          <cell r="IK68">
            <v>5</v>
          </cell>
          <cell r="IL68">
            <v>77.3</v>
          </cell>
          <cell r="IM68">
            <v>11</v>
          </cell>
          <cell r="IN68">
            <v>8</v>
          </cell>
          <cell r="IO68">
            <v>57.9</v>
          </cell>
          <cell r="IP68">
            <v>9</v>
          </cell>
          <cell r="IQ68">
            <v>4</v>
          </cell>
          <cell r="IR68">
            <v>69.2</v>
          </cell>
          <cell r="IS68">
            <v>69.199951171875</v>
          </cell>
          <cell r="IT68">
            <v>3</v>
          </cell>
          <cell r="IU68">
            <v>0</v>
          </cell>
          <cell r="IV68">
            <v>5</v>
          </cell>
          <cell r="IW68">
            <v>5</v>
          </cell>
          <cell r="IX68">
            <v>50</v>
          </cell>
          <cell r="IY68">
            <v>4</v>
          </cell>
          <cell r="IZ68">
            <v>4</v>
          </cell>
          <cell r="JA68">
            <v>50</v>
          </cell>
          <cell r="JB68">
            <v>9</v>
          </cell>
          <cell r="JC68">
            <v>3</v>
          </cell>
          <cell r="JD68">
            <v>75</v>
          </cell>
          <cell r="JE68">
            <v>3</v>
          </cell>
          <cell r="JF68">
            <v>3</v>
          </cell>
          <cell r="JG68">
            <v>100</v>
          </cell>
          <cell r="JH68">
            <v>0</v>
          </cell>
          <cell r="JI68">
            <v>0</v>
          </cell>
          <cell r="JJ68" t="str">
            <v>-</v>
          </cell>
          <cell r="JK68">
            <v>0</v>
          </cell>
          <cell r="JL68">
            <v>0</v>
          </cell>
          <cell r="JM68" t="str">
            <v>-</v>
          </cell>
          <cell r="JN68">
            <v>0</v>
          </cell>
          <cell r="JO68">
            <v>0</v>
          </cell>
          <cell r="JP68" t="str">
            <v>-</v>
          </cell>
          <cell r="JQ68">
            <v>781</v>
          </cell>
          <cell r="JR68">
            <v>218</v>
          </cell>
          <cell r="JS68">
            <v>78.178178178178186</v>
          </cell>
          <cell r="JT68">
            <v>370</v>
          </cell>
          <cell r="JU68">
            <v>177</v>
          </cell>
          <cell r="JV68">
            <v>67.641681901279711</v>
          </cell>
          <cell r="JW68">
            <v>0</v>
          </cell>
          <cell r="JX68">
            <v>0</v>
          </cell>
          <cell r="JY68" t="str">
            <v>-</v>
          </cell>
          <cell r="JZ68">
            <v>146</v>
          </cell>
          <cell r="KA68">
            <v>95</v>
          </cell>
          <cell r="KB68">
            <v>60.580912863070537</v>
          </cell>
          <cell r="KC68">
            <v>1</v>
          </cell>
          <cell r="KD68">
            <v>0</v>
          </cell>
          <cell r="KE68">
            <v>100</v>
          </cell>
          <cell r="KF68">
            <v>978</v>
          </cell>
          <cell r="KG68">
            <v>310</v>
          </cell>
          <cell r="KH68">
            <v>75.931677018633536</v>
          </cell>
          <cell r="KI68">
            <v>57</v>
          </cell>
          <cell r="KJ68">
            <v>56</v>
          </cell>
          <cell r="KK68">
            <v>50.442477876106196</v>
          </cell>
          <cell r="KL68">
            <v>21</v>
          </cell>
          <cell r="KM68">
            <v>15</v>
          </cell>
          <cell r="KN68">
            <v>58.333333333333336</v>
          </cell>
        </row>
        <row r="69">
          <cell r="C69" t="str">
            <v>Csongrádi Rendőrkapitányság</v>
          </cell>
          <cell r="D69">
            <v>58.33331298828125</v>
          </cell>
          <cell r="E69">
            <v>58.33331298828125</v>
          </cell>
          <cell r="F69" t="str">
            <v>-</v>
          </cell>
          <cell r="G69">
            <v>58.33331298828125</v>
          </cell>
          <cell r="H69">
            <v>58.33331298828125</v>
          </cell>
          <cell r="I69" t="str">
            <v>-</v>
          </cell>
          <cell r="J69">
            <v>58.33331298828125</v>
          </cell>
          <cell r="K69">
            <v>58.33331298828125</v>
          </cell>
          <cell r="L69" t="str">
            <v>-</v>
          </cell>
          <cell r="M69">
            <v>58.33331298828125</v>
          </cell>
          <cell r="N69">
            <v>58.33331298828125</v>
          </cell>
          <cell r="O69" t="str">
            <v>-</v>
          </cell>
          <cell r="P69">
            <v>58.33331298828125</v>
          </cell>
          <cell r="Q69">
            <v>58.33331298828125</v>
          </cell>
          <cell r="R69" t="str">
            <v>-</v>
          </cell>
          <cell r="S69">
            <v>58.33331298828125</v>
          </cell>
          <cell r="T69">
            <v>58.33331298828125</v>
          </cell>
          <cell r="U69" t="str">
            <v>-</v>
          </cell>
          <cell r="V69">
            <v>58.33331298828125</v>
          </cell>
          <cell r="W69">
            <v>58.33331298828125</v>
          </cell>
          <cell r="X69" t="str">
            <v>-</v>
          </cell>
          <cell r="Y69">
            <v>58.33331298828125</v>
          </cell>
          <cell r="Z69">
            <v>58.33331298828125</v>
          </cell>
          <cell r="AA69" t="str">
            <v>-</v>
          </cell>
          <cell r="AB69">
            <v>58.33331298828125</v>
          </cell>
          <cell r="AC69">
            <v>58.33331298828125</v>
          </cell>
          <cell r="AD69" t="str">
            <v>-</v>
          </cell>
          <cell r="AE69">
            <v>58.33331298828125</v>
          </cell>
          <cell r="AF69">
            <v>58.33331298828125</v>
          </cell>
          <cell r="AG69" t="str">
            <v>-</v>
          </cell>
          <cell r="AH69">
            <v>58.33331298828125</v>
          </cell>
          <cell r="AI69">
            <v>58.33331298828125</v>
          </cell>
          <cell r="AJ69" t="str">
            <v>-</v>
          </cell>
          <cell r="AK69">
            <v>58.33331298828125</v>
          </cell>
          <cell r="AL69">
            <v>58.33331298828125</v>
          </cell>
          <cell r="AM69" t="str">
            <v>-</v>
          </cell>
          <cell r="AN69">
            <v>58.33331298828125</v>
          </cell>
          <cell r="AO69">
            <v>58.33331298828125</v>
          </cell>
          <cell r="AP69" t="str">
            <v>-</v>
          </cell>
          <cell r="AQ69">
            <v>58.33331298828125</v>
          </cell>
          <cell r="AR69">
            <v>58.33331298828125</v>
          </cell>
          <cell r="AS69" t="str">
            <v>-</v>
          </cell>
          <cell r="AT69">
            <v>58.33331298828125</v>
          </cell>
          <cell r="AU69">
            <v>58.33331298828125</v>
          </cell>
          <cell r="AV69" t="str">
            <v>-</v>
          </cell>
          <cell r="AW69">
            <v>58.33331298828125</v>
          </cell>
          <cell r="AX69">
            <v>58.33331298828125</v>
          </cell>
          <cell r="AY69" t="str">
            <v>-</v>
          </cell>
          <cell r="AZ69">
            <v>58.33331298828125</v>
          </cell>
          <cell r="BA69">
            <v>58.33331298828125</v>
          </cell>
          <cell r="BB69" t="str">
            <v>-</v>
          </cell>
          <cell r="BC69">
            <v>58.33331298828125</v>
          </cell>
          <cell r="BD69">
            <v>58.33331298828125</v>
          </cell>
          <cell r="BE69" t="str">
            <v>-</v>
          </cell>
          <cell r="BF69">
            <v>58.33331298828125</v>
          </cell>
          <cell r="BG69">
            <v>58.33331298828125</v>
          </cell>
          <cell r="BH69" t="str">
            <v>-</v>
          </cell>
          <cell r="BI69">
            <v>58.33331298828125</v>
          </cell>
          <cell r="BJ69">
            <v>58.33331298828125</v>
          </cell>
          <cell r="BK69" t="str">
            <v>-</v>
          </cell>
          <cell r="BL69">
            <v>58.33331298828125</v>
          </cell>
          <cell r="BM69">
            <v>58.33331298828125</v>
          </cell>
          <cell r="BN69" t="str">
            <v>-</v>
          </cell>
          <cell r="BO69">
            <v>58.33331298828125</v>
          </cell>
          <cell r="BP69">
            <v>58.33331298828125</v>
          </cell>
          <cell r="BQ69" t="str">
            <v>-</v>
          </cell>
          <cell r="BR69">
            <v>58.33331298828125</v>
          </cell>
          <cell r="BS69">
            <v>58.33331298828125</v>
          </cell>
          <cell r="BT69" t="str">
            <v>-</v>
          </cell>
          <cell r="BU69">
            <v>58.33331298828125</v>
          </cell>
          <cell r="BV69">
            <v>58.33331298828125</v>
          </cell>
          <cell r="BW69" t="str">
            <v>-</v>
          </cell>
          <cell r="BX69">
            <v>29</v>
          </cell>
          <cell r="BY69">
            <v>6</v>
          </cell>
          <cell r="BZ69">
            <v>82.9</v>
          </cell>
          <cell r="CA69">
            <v>33</v>
          </cell>
          <cell r="CB69">
            <v>7</v>
          </cell>
          <cell r="CC69">
            <v>82.5</v>
          </cell>
          <cell r="CD69">
            <v>16</v>
          </cell>
          <cell r="CE69">
            <v>3</v>
          </cell>
          <cell r="CF69">
            <v>84.2</v>
          </cell>
          <cell r="CG69">
            <v>20</v>
          </cell>
          <cell r="CH69">
            <v>1</v>
          </cell>
          <cell r="CI69">
            <v>95.2</v>
          </cell>
          <cell r="CJ69">
            <v>17</v>
          </cell>
          <cell r="CK69">
            <v>2</v>
          </cell>
          <cell r="CL69">
            <v>89.5</v>
          </cell>
          <cell r="CM69">
            <v>10</v>
          </cell>
          <cell r="CN69">
            <v>3</v>
          </cell>
          <cell r="CO69">
            <v>76.900000000000006</v>
          </cell>
          <cell r="CP69">
            <v>12</v>
          </cell>
          <cell r="CQ69">
            <v>3</v>
          </cell>
          <cell r="CR69">
            <v>80</v>
          </cell>
          <cell r="CS69">
            <v>5</v>
          </cell>
          <cell r="CT69">
            <v>1</v>
          </cell>
          <cell r="CU69">
            <v>83.3</v>
          </cell>
          <cell r="CV69">
            <v>7</v>
          </cell>
          <cell r="CW69">
            <v>5</v>
          </cell>
          <cell r="CX69">
            <v>58.3</v>
          </cell>
          <cell r="CY69">
            <v>12</v>
          </cell>
          <cell r="CZ69">
            <v>7</v>
          </cell>
          <cell r="DA69">
            <v>63.2</v>
          </cell>
          <cell r="DB69">
            <v>8</v>
          </cell>
          <cell r="DC69">
            <v>3</v>
          </cell>
          <cell r="DD69">
            <v>72.7</v>
          </cell>
          <cell r="DE69">
            <v>8</v>
          </cell>
          <cell r="DF69">
            <v>8</v>
          </cell>
          <cell r="DG69">
            <v>100</v>
          </cell>
          <cell r="DH69">
            <v>8</v>
          </cell>
          <cell r="DI69">
            <v>2</v>
          </cell>
          <cell r="DJ69">
            <v>80</v>
          </cell>
          <cell r="DK69">
            <v>7</v>
          </cell>
          <cell r="DL69">
            <v>3</v>
          </cell>
          <cell r="DM69">
            <v>70</v>
          </cell>
          <cell r="DN69">
            <v>7</v>
          </cell>
          <cell r="DO69">
            <v>2</v>
          </cell>
          <cell r="DP69">
            <v>77.8</v>
          </cell>
          <cell r="DQ69">
            <v>77.79998779296875</v>
          </cell>
          <cell r="DR69">
            <v>1</v>
          </cell>
          <cell r="DS69">
            <v>0</v>
          </cell>
          <cell r="DT69">
            <v>0</v>
          </cell>
          <cell r="DU69">
            <v>0</v>
          </cell>
          <cell r="DV69" t="str">
            <v>-</v>
          </cell>
          <cell r="DW69">
            <v>0</v>
          </cell>
          <cell r="DX69">
            <v>0</v>
          </cell>
          <cell r="DY69" t="str">
            <v>-</v>
          </cell>
          <cell r="DZ69">
            <v>0</v>
          </cell>
          <cell r="EA69">
            <v>0</v>
          </cell>
          <cell r="EB69" t="str">
            <v>-</v>
          </cell>
          <cell r="EC69">
            <v>0</v>
          </cell>
          <cell r="ED69">
            <v>0</v>
          </cell>
          <cell r="EE69" t="str">
            <v>-</v>
          </cell>
          <cell r="EF69">
            <v>0</v>
          </cell>
          <cell r="EG69">
            <v>0</v>
          </cell>
          <cell r="EH69" t="str">
            <v>-</v>
          </cell>
          <cell r="EI69">
            <v>0</v>
          </cell>
          <cell r="EJ69">
            <v>0</v>
          </cell>
          <cell r="EK69" t="str">
            <v>-</v>
          </cell>
          <cell r="EL69">
            <v>0</v>
          </cell>
          <cell r="EM69">
            <v>0</v>
          </cell>
          <cell r="EN69" t="str">
            <v>-</v>
          </cell>
          <cell r="EO69">
            <v>0</v>
          </cell>
          <cell r="EP69">
            <v>0</v>
          </cell>
          <cell r="EQ69" t="str">
            <v>-</v>
          </cell>
          <cell r="ER69">
            <v>34</v>
          </cell>
          <cell r="ES69">
            <v>4</v>
          </cell>
          <cell r="ET69">
            <v>89.5</v>
          </cell>
          <cell r="EU69">
            <v>3</v>
          </cell>
          <cell r="EV69">
            <v>3</v>
          </cell>
          <cell r="EW69">
            <v>100</v>
          </cell>
          <cell r="EX69">
            <v>11</v>
          </cell>
          <cell r="EY69">
            <v>11</v>
          </cell>
          <cell r="EZ69">
            <v>100</v>
          </cell>
          <cell r="FA69">
            <v>2</v>
          </cell>
          <cell r="FB69">
            <v>2</v>
          </cell>
          <cell r="FC69">
            <v>50</v>
          </cell>
          <cell r="FD69">
            <v>1</v>
          </cell>
          <cell r="FE69">
            <v>1</v>
          </cell>
          <cell r="FF69">
            <v>50</v>
          </cell>
          <cell r="FG69">
            <v>4</v>
          </cell>
          <cell r="FH69">
            <v>1</v>
          </cell>
          <cell r="FI69">
            <v>80</v>
          </cell>
          <cell r="FJ69">
            <v>80</v>
          </cell>
          <cell r="FK69">
            <v>1</v>
          </cell>
          <cell r="FL69">
            <v>0</v>
          </cell>
          <cell r="FM69">
            <v>1</v>
          </cell>
          <cell r="FN69">
            <v>1</v>
          </cell>
          <cell r="FO69">
            <v>100</v>
          </cell>
          <cell r="FP69">
            <v>100</v>
          </cell>
          <cell r="FQ69">
            <v>100</v>
          </cell>
          <cell r="FR69" t="str">
            <v>-</v>
          </cell>
          <cell r="FS69">
            <v>100</v>
          </cell>
          <cell r="FT69">
            <v>100</v>
          </cell>
          <cell r="FU69" t="str">
            <v>-</v>
          </cell>
          <cell r="FV69">
            <v>100</v>
          </cell>
          <cell r="FW69">
            <v>100</v>
          </cell>
          <cell r="FX69" t="str">
            <v>-</v>
          </cell>
          <cell r="FY69">
            <v>100</v>
          </cell>
          <cell r="FZ69">
            <v>100</v>
          </cell>
          <cell r="GA69" t="str">
            <v>-</v>
          </cell>
          <cell r="GB69">
            <v>100</v>
          </cell>
          <cell r="GC69">
            <v>100</v>
          </cell>
          <cell r="GD69" t="str">
            <v>-</v>
          </cell>
          <cell r="GE69">
            <v>100</v>
          </cell>
          <cell r="GF69">
            <v>100</v>
          </cell>
          <cell r="GG69" t="str">
            <v>-</v>
          </cell>
          <cell r="GH69">
            <v>100</v>
          </cell>
          <cell r="GI69">
            <v>100</v>
          </cell>
          <cell r="GJ69" t="str">
            <v>-</v>
          </cell>
          <cell r="GK69">
            <v>100</v>
          </cell>
          <cell r="GL69">
            <v>100</v>
          </cell>
          <cell r="GM69" t="str">
            <v>-</v>
          </cell>
          <cell r="GN69">
            <v>35</v>
          </cell>
          <cell r="GO69">
            <v>8</v>
          </cell>
          <cell r="GP69">
            <v>81.400000000000006</v>
          </cell>
          <cell r="GQ69">
            <v>25</v>
          </cell>
          <cell r="GR69">
            <v>4</v>
          </cell>
          <cell r="GS69">
            <v>86.2</v>
          </cell>
          <cell r="GT69">
            <v>21</v>
          </cell>
          <cell r="GU69">
            <v>5</v>
          </cell>
          <cell r="GV69">
            <v>80.8</v>
          </cell>
          <cell r="GW69">
            <v>31</v>
          </cell>
          <cell r="GX69">
            <v>9</v>
          </cell>
          <cell r="GY69">
            <v>77.5</v>
          </cell>
          <cell r="GZ69">
            <v>25</v>
          </cell>
          <cell r="HA69">
            <v>2</v>
          </cell>
          <cell r="HB69">
            <v>92.6</v>
          </cell>
          <cell r="HC69">
            <v>29</v>
          </cell>
          <cell r="HD69">
            <v>5</v>
          </cell>
          <cell r="HE69">
            <v>85.3</v>
          </cell>
          <cell r="HF69">
            <v>21</v>
          </cell>
          <cell r="HG69">
            <v>3</v>
          </cell>
          <cell r="HH69">
            <v>87.5</v>
          </cell>
          <cell r="HI69">
            <v>17</v>
          </cell>
          <cell r="HJ69">
            <v>1</v>
          </cell>
          <cell r="HK69">
            <v>94.4</v>
          </cell>
          <cell r="HL69">
            <v>4</v>
          </cell>
          <cell r="HM69">
            <v>1</v>
          </cell>
          <cell r="HN69">
            <v>80</v>
          </cell>
          <cell r="HO69">
            <v>80</v>
          </cell>
          <cell r="HP69">
            <v>80</v>
          </cell>
          <cell r="HQ69" t="str">
            <v>-</v>
          </cell>
          <cell r="HR69">
            <v>80</v>
          </cell>
          <cell r="HS69">
            <v>1</v>
          </cell>
          <cell r="HT69">
            <v>0</v>
          </cell>
          <cell r="HU69">
            <v>4</v>
          </cell>
          <cell r="HV69">
            <v>1</v>
          </cell>
          <cell r="HW69">
            <v>80</v>
          </cell>
          <cell r="HX69">
            <v>1</v>
          </cell>
          <cell r="HY69">
            <v>1</v>
          </cell>
          <cell r="HZ69">
            <v>50</v>
          </cell>
          <cell r="IA69">
            <v>50</v>
          </cell>
          <cell r="IB69">
            <v>2</v>
          </cell>
          <cell r="IC69">
            <v>0</v>
          </cell>
          <cell r="ID69">
            <v>0</v>
          </cell>
          <cell r="IE69">
            <v>0</v>
          </cell>
          <cell r="IF69" t="str">
            <v>-</v>
          </cell>
          <cell r="IG69">
            <v>0</v>
          </cell>
          <cell r="IH69">
            <v>0</v>
          </cell>
          <cell r="II69" t="str">
            <v>-</v>
          </cell>
          <cell r="IJ69">
            <v>4</v>
          </cell>
          <cell r="IK69">
            <v>1</v>
          </cell>
          <cell r="IL69">
            <v>80</v>
          </cell>
          <cell r="IM69">
            <v>80</v>
          </cell>
          <cell r="IN69">
            <v>80</v>
          </cell>
          <cell r="IO69" t="str">
            <v>-</v>
          </cell>
          <cell r="IP69">
            <v>80</v>
          </cell>
          <cell r="IQ69">
            <v>80</v>
          </cell>
          <cell r="IR69" t="str">
            <v>-</v>
          </cell>
          <cell r="IS69">
            <v>3</v>
          </cell>
          <cell r="IT69">
            <v>3</v>
          </cell>
          <cell r="IU69">
            <v>100</v>
          </cell>
          <cell r="IV69">
            <v>1</v>
          </cell>
          <cell r="IW69">
            <v>1</v>
          </cell>
          <cell r="IX69">
            <v>100</v>
          </cell>
          <cell r="IY69">
            <v>100</v>
          </cell>
          <cell r="IZ69">
            <v>100</v>
          </cell>
          <cell r="JA69" t="str">
            <v>-</v>
          </cell>
          <cell r="JB69">
            <v>100</v>
          </cell>
          <cell r="JC69">
            <v>100</v>
          </cell>
          <cell r="JD69" t="str">
            <v>-</v>
          </cell>
          <cell r="JE69">
            <v>100</v>
          </cell>
          <cell r="JF69">
            <v>100</v>
          </cell>
          <cell r="JG69" t="str">
            <v>-</v>
          </cell>
          <cell r="JH69">
            <v>0</v>
          </cell>
          <cell r="JI69">
            <v>0</v>
          </cell>
          <cell r="JJ69" t="str">
            <v>-</v>
          </cell>
          <cell r="JK69">
            <v>0</v>
          </cell>
          <cell r="JL69">
            <v>0</v>
          </cell>
          <cell r="JM69" t="str">
            <v>-</v>
          </cell>
          <cell r="JN69">
            <v>0</v>
          </cell>
          <cell r="JO69">
            <v>0</v>
          </cell>
          <cell r="JP69" t="str">
            <v>-</v>
          </cell>
          <cell r="JQ69">
            <v>64</v>
          </cell>
          <cell r="JR69">
            <v>10</v>
          </cell>
          <cell r="JS69">
            <v>86.486486486486484</v>
          </cell>
          <cell r="JT69">
            <v>30</v>
          </cell>
          <cell r="JU69">
            <v>8</v>
          </cell>
          <cell r="JV69">
            <v>78.94736842105263</v>
          </cell>
          <cell r="JW69">
            <v>0</v>
          </cell>
          <cell r="JX69">
            <v>0</v>
          </cell>
          <cell r="JY69" t="str">
            <v>-</v>
          </cell>
          <cell r="JZ69">
            <v>8</v>
          </cell>
          <cell r="KA69">
            <v>5</v>
          </cell>
          <cell r="KB69">
            <v>61.53846153846154</v>
          </cell>
          <cell r="KC69">
            <v>0</v>
          </cell>
          <cell r="KD69">
            <v>0</v>
          </cell>
          <cell r="KE69" t="str">
            <v>-</v>
          </cell>
          <cell r="KF69">
            <v>123</v>
          </cell>
          <cell r="KG69">
            <v>20</v>
          </cell>
          <cell r="KH69">
            <v>86.013986013986013</v>
          </cell>
          <cell r="KI69">
            <v>5</v>
          </cell>
          <cell r="KJ69">
            <v>4</v>
          </cell>
          <cell r="KK69">
            <v>55.555555555555557</v>
          </cell>
          <cell r="KL69">
            <v>4</v>
          </cell>
          <cell r="KM69">
            <v>0</v>
          </cell>
          <cell r="KN69">
            <v>100</v>
          </cell>
        </row>
        <row r="70">
          <cell r="C70" t="str">
            <v>Hódmezővásárhelyi Rendőrkapitányság</v>
          </cell>
          <cell r="D70">
            <v>100</v>
          </cell>
          <cell r="E70">
            <v>100</v>
          </cell>
          <cell r="F70" t="str">
            <v>-</v>
          </cell>
          <cell r="G70">
            <v>100</v>
          </cell>
          <cell r="H70">
            <v>100</v>
          </cell>
          <cell r="I70" t="str">
            <v>-</v>
          </cell>
          <cell r="J70">
            <v>100</v>
          </cell>
          <cell r="K70">
            <v>100</v>
          </cell>
          <cell r="L70" t="str">
            <v>-</v>
          </cell>
          <cell r="M70">
            <v>100</v>
          </cell>
          <cell r="N70">
            <v>100</v>
          </cell>
          <cell r="O70" t="str">
            <v>-</v>
          </cell>
          <cell r="P70">
            <v>100</v>
          </cell>
          <cell r="Q70">
            <v>100</v>
          </cell>
          <cell r="R70" t="str">
            <v>-</v>
          </cell>
          <cell r="S70">
            <v>100</v>
          </cell>
          <cell r="T70">
            <v>100</v>
          </cell>
          <cell r="U70" t="str">
            <v>-</v>
          </cell>
          <cell r="V70">
            <v>100</v>
          </cell>
          <cell r="W70">
            <v>100</v>
          </cell>
          <cell r="X70" t="str">
            <v>-</v>
          </cell>
          <cell r="Y70">
            <v>100</v>
          </cell>
          <cell r="Z70">
            <v>100</v>
          </cell>
          <cell r="AA70" t="str">
            <v>-</v>
          </cell>
          <cell r="AB70">
            <v>100</v>
          </cell>
          <cell r="AC70">
            <v>100</v>
          </cell>
          <cell r="AD70" t="str">
            <v>-</v>
          </cell>
          <cell r="AE70">
            <v>100</v>
          </cell>
          <cell r="AF70">
            <v>100</v>
          </cell>
          <cell r="AG70" t="str">
            <v>-</v>
          </cell>
          <cell r="AH70">
            <v>100</v>
          </cell>
          <cell r="AI70">
            <v>100</v>
          </cell>
          <cell r="AJ70" t="str">
            <v>-</v>
          </cell>
          <cell r="AK70">
            <v>100</v>
          </cell>
          <cell r="AL70">
            <v>100</v>
          </cell>
          <cell r="AM70" t="str">
            <v>-</v>
          </cell>
          <cell r="AN70">
            <v>100</v>
          </cell>
          <cell r="AO70">
            <v>100</v>
          </cell>
          <cell r="AP70" t="str">
            <v>-</v>
          </cell>
          <cell r="AQ70">
            <v>100</v>
          </cell>
          <cell r="AR70">
            <v>100</v>
          </cell>
          <cell r="AS70" t="str">
            <v>-</v>
          </cell>
          <cell r="AT70">
            <v>100</v>
          </cell>
          <cell r="AU70">
            <v>100</v>
          </cell>
          <cell r="AV70" t="str">
            <v>-</v>
          </cell>
          <cell r="AW70">
            <v>100</v>
          </cell>
          <cell r="AX70">
            <v>100</v>
          </cell>
          <cell r="AY70" t="str">
            <v>-</v>
          </cell>
          <cell r="AZ70">
            <v>100</v>
          </cell>
          <cell r="BA70">
            <v>100</v>
          </cell>
          <cell r="BB70" t="str">
            <v>-</v>
          </cell>
          <cell r="BC70">
            <v>100</v>
          </cell>
          <cell r="BD70">
            <v>100</v>
          </cell>
          <cell r="BE70" t="str">
            <v>-</v>
          </cell>
          <cell r="BF70">
            <v>100</v>
          </cell>
          <cell r="BG70">
            <v>100</v>
          </cell>
          <cell r="BH70" t="str">
            <v>-</v>
          </cell>
          <cell r="BI70">
            <v>100</v>
          </cell>
          <cell r="BJ70">
            <v>100</v>
          </cell>
          <cell r="BK70" t="str">
            <v>-</v>
          </cell>
          <cell r="BL70">
            <v>100</v>
          </cell>
          <cell r="BM70">
            <v>100</v>
          </cell>
          <cell r="BN70" t="str">
            <v>-</v>
          </cell>
          <cell r="BO70">
            <v>100</v>
          </cell>
          <cell r="BP70">
            <v>100</v>
          </cell>
          <cell r="BQ70" t="str">
            <v>-</v>
          </cell>
          <cell r="BR70">
            <v>100</v>
          </cell>
          <cell r="BS70">
            <v>100</v>
          </cell>
          <cell r="BT70" t="str">
            <v>-</v>
          </cell>
          <cell r="BU70">
            <v>100</v>
          </cell>
          <cell r="BV70">
            <v>100</v>
          </cell>
          <cell r="BW70" t="str">
            <v>-</v>
          </cell>
          <cell r="BX70">
            <v>77</v>
          </cell>
          <cell r="BY70">
            <v>6</v>
          </cell>
          <cell r="BZ70">
            <v>92.8</v>
          </cell>
          <cell r="CA70">
            <v>69</v>
          </cell>
          <cell r="CB70">
            <v>6</v>
          </cell>
          <cell r="CC70">
            <v>92</v>
          </cell>
          <cell r="CD70">
            <v>51</v>
          </cell>
          <cell r="CE70">
            <v>7</v>
          </cell>
          <cell r="CF70">
            <v>87.9</v>
          </cell>
          <cell r="CG70">
            <v>72</v>
          </cell>
          <cell r="CH70">
            <v>6</v>
          </cell>
          <cell r="CI70">
            <v>92.3</v>
          </cell>
          <cell r="CJ70">
            <v>48</v>
          </cell>
          <cell r="CK70">
            <v>9</v>
          </cell>
          <cell r="CL70">
            <v>84.2</v>
          </cell>
          <cell r="CM70">
            <v>42</v>
          </cell>
          <cell r="CN70">
            <v>6</v>
          </cell>
          <cell r="CO70">
            <v>87.5</v>
          </cell>
          <cell r="CP70">
            <v>47</v>
          </cell>
          <cell r="CQ70">
            <v>4</v>
          </cell>
          <cell r="CR70">
            <v>92.2</v>
          </cell>
          <cell r="CS70">
            <v>58</v>
          </cell>
          <cell r="CT70">
            <v>3</v>
          </cell>
          <cell r="CU70">
            <v>95.1</v>
          </cell>
          <cell r="CV70">
            <v>36</v>
          </cell>
          <cell r="CW70">
            <v>2</v>
          </cell>
          <cell r="CX70">
            <v>94.7</v>
          </cell>
          <cell r="CY70">
            <v>14</v>
          </cell>
          <cell r="CZ70">
            <v>5</v>
          </cell>
          <cell r="DA70">
            <v>73.7</v>
          </cell>
          <cell r="DB70">
            <v>7</v>
          </cell>
          <cell r="DC70">
            <v>5</v>
          </cell>
          <cell r="DD70">
            <v>58.3</v>
          </cell>
          <cell r="DE70">
            <v>14</v>
          </cell>
          <cell r="DF70">
            <v>2</v>
          </cell>
          <cell r="DG70">
            <v>87.5</v>
          </cell>
          <cell r="DH70">
            <v>15</v>
          </cell>
          <cell r="DI70">
            <v>2</v>
          </cell>
          <cell r="DJ70">
            <v>88.2</v>
          </cell>
          <cell r="DK70">
            <v>7</v>
          </cell>
          <cell r="DL70">
            <v>1</v>
          </cell>
          <cell r="DM70">
            <v>87.5</v>
          </cell>
          <cell r="DN70">
            <v>13</v>
          </cell>
          <cell r="DO70">
            <v>2</v>
          </cell>
          <cell r="DP70">
            <v>86.7</v>
          </cell>
          <cell r="DQ70">
            <v>21</v>
          </cell>
          <cell r="DR70">
            <v>2</v>
          </cell>
          <cell r="DS70">
            <v>91.3</v>
          </cell>
          <cell r="DT70">
            <v>91.29998779296875</v>
          </cell>
          <cell r="DU70">
            <v>91.29998779296875</v>
          </cell>
          <cell r="DV70" t="str">
            <v>-</v>
          </cell>
          <cell r="DW70">
            <v>91.29998779296875</v>
          </cell>
          <cell r="DX70">
            <v>91.29998779296875</v>
          </cell>
          <cell r="DY70" t="str">
            <v>-</v>
          </cell>
          <cell r="DZ70">
            <v>91.29998779296875</v>
          </cell>
          <cell r="EA70">
            <v>91.29998779296875</v>
          </cell>
          <cell r="EB70" t="str">
            <v>-</v>
          </cell>
          <cell r="EC70">
            <v>91.29998779296875</v>
          </cell>
          <cell r="ED70">
            <v>91.29998779296875</v>
          </cell>
          <cell r="EE70" t="str">
            <v>-</v>
          </cell>
          <cell r="EF70">
            <v>91.29998779296875</v>
          </cell>
          <cell r="EG70">
            <v>91.29998779296875</v>
          </cell>
          <cell r="EH70" t="str">
            <v>-</v>
          </cell>
          <cell r="EI70">
            <v>91.29998779296875</v>
          </cell>
          <cell r="EJ70">
            <v>91.29998779296875</v>
          </cell>
          <cell r="EK70" t="str">
            <v>-</v>
          </cell>
          <cell r="EL70">
            <v>91.29998779296875</v>
          </cell>
          <cell r="EM70">
            <v>91.29998779296875</v>
          </cell>
          <cell r="EN70" t="str">
            <v>-</v>
          </cell>
          <cell r="EO70">
            <v>91.29998779296875</v>
          </cell>
          <cell r="EP70">
            <v>91.29998779296875</v>
          </cell>
          <cell r="EQ70" t="str">
            <v>-</v>
          </cell>
          <cell r="ER70">
            <v>11</v>
          </cell>
          <cell r="ES70">
            <v>1</v>
          </cell>
          <cell r="ET70">
            <v>91.7</v>
          </cell>
          <cell r="EU70">
            <v>6</v>
          </cell>
          <cell r="EV70">
            <v>3</v>
          </cell>
          <cell r="EW70">
            <v>66.7</v>
          </cell>
          <cell r="EX70">
            <v>9</v>
          </cell>
          <cell r="EY70">
            <v>8</v>
          </cell>
          <cell r="EZ70">
            <v>52.9</v>
          </cell>
          <cell r="FA70">
            <v>7</v>
          </cell>
          <cell r="FB70">
            <v>3</v>
          </cell>
          <cell r="FC70">
            <v>70</v>
          </cell>
          <cell r="FD70">
            <v>7</v>
          </cell>
          <cell r="FE70">
            <v>5</v>
          </cell>
          <cell r="FF70">
            <v>58.3</v>
          </cell>
          <cell r="FG70">
            <v>58.29998779296875</v>
          </cell>
          <cell r="FH70">
            <v>3</v>
          </cell>
          <cell r="FI70">
            <v>0</v>
          </cell>
          <cell r="FJ70">
            <v>13</v>
          </cell>
          <cell r="FK70">
            <v>13</v>
          </cell>
          <cell r="FL70">
            <v>100</v>
          </cell>
          <cell r="FM70">
            <v>12</v>
          </cell>
          <cell r="FN70">
            <v>12</v>
          </cell>
          <cell r="FO70">
            <v>100</v>
          </cell>
          <cell r="FP70">
            <v>100</v>
          </cell>
          <cell r="FQ70">
            <v>100</v>
          </cell>
          <cell r="FR70" t="str">
            <v>-</v>
          </cell>
          <cell r="FS70">
            <v>100</v>
          </cell>
          <cell r="FT70">
            <v>100</v>
          </cell>
          <cell r="FU70" t="str">
            <v>-</v>
          </cell>
          <cell r="FV70">
            <v>100</v>
          </cell>
          <cell r="FW70">
            <v>100</v>
          </cell>
          <cell r="FX70" t="str">
            <v>-</v>
          </cell>
          <cell r="FY70">
            <v>100</v>
          </cell>
          <cell r="FZ70">
            <v>100</v>
          </cell>
          <cell r="GA70" t="str">
            <v>-</v>
          </cell>
          <cell r="GB70">
            <v>100</v>
          </cell>
          <cell r="GC70">
            <v>100</v>
          </cell>
          <cell r="GD70" t="str">
            <v>-</v>
          </cell>
          <cell r="GE70">
            <v>100</v>
          </cell>
          <cell r="GF70">
            <v>100</v>
          </cell>
          <cell r="GG70" t="str">
            <v>-</v>
          </cell>
          <cell r="GH70">
            <v>100</v>
          </cell>
          <cell r="GI70">
            <v>100</v>
          </cell>
          <cell r="GJ70" t="str">
            <v>-</v>
          </cell>
          <cell r="GK70">
            <v>100</v>
          </cell>
          <cell r="GL70">
            <v>100</v>
          </cell>
          <cell r="GM70" t="str">
            <v>-</v>
          </cell>
          <cell r="GN70">
            <v>81</v>
          </cell>
          <cell r="GO70">
            <v>20</v>
          </cell>
          <cell r="GP70">
            <v>80.2</v>
          </cell>
          <cell r="GQ70">
            <v>95</v>
          </cell>
          <cell r="GR70">
            <v>19</v>
          </cell>
          <cell r="GS70">
            <v>83.3</v>
          </cell>
          <cell r="GT70">
            <v>80</v>
          </cell>
          <cell r="GU70">
            <v>23</v>
          </cell>
          <cell r="GV70">
            <v>77.7</v>
          </cell>
          <cell r="GW70">
            <v>90</v>
          </cell>
          <cell r="GX70">
            <v>16</v>
          </cell>
          <cell r="GY70">
            <v>84.9</v>
          </cell>
          <cell r="GZ70">
            <v>47</v>
          </cell>
          <cell r="HA70">
            <v>9</v>
          </cell>
          <cell r="HB70">
            <v>83.9</v>
          </cell>
          <cell r="HC70">
            <v>73</v>
          </cell>
          <cell r="HD70">
            <v>6</v>
          </cell>
          <cell r="HE70">
            <v>92.4</v>
          </cell>
          <cell r="HF70">
            <v>63</v>
          </cell>
          <cell r="HG70">
            <v>13</v>
          </cell>
          <cell r="HH70">
            <v>82.9</v>
          </cell>
          <cell r="HI70">
            <v>77</v>
          </cell>
          <cell r="HJ70">
            <v>8</v>
          </cell>
          <cell r="HK70">
            <v>90.6</v>
          </cell>
          <cell r="HL70">
            <v>3</v>
          </cell>
          <cell r="HM70">
            <v>3</v>
          </cell>
          <cell r="HN70">
            <v>50</v>
          </cell>
          <cell r="HO70">
            <v>5</v>
          </cell>
          <cell r="HP70">
            <v>5</v>
          </cell>
          <cell r="HQ70">
            <v>50</v>
          </cell>
          <cell r="HR70">
            <v>4</v>
          </cell>
          <cell r="HS70">
            <v>2</v>
          </cell>
          <cell r="HT70">
            <v>66.7</v>
          </cell>
          <cell r="HU70">
            <v>66.699951171875</v>
          </cell>
          <cell r="HV70">
            <v>66.699951171875</v>
          </cell>
          <cell r="HW70" t="str">
            <v>-</v>
          </cell>
          <cell r="HX70">
            <v>3</v>
          </cell>
          <cell r="HY70">
            <v>3</v>
          </cell>
          <cell r="HZ70">
            <v>100</v>
          </cell>
          <cell r="IA70">
            <v>5</v>
          </cell>
          <cell r="IB70">
            <v>1</v>
          </cell>
          <cell r="IC70">
            <v>83.3</v>
          </cell>
          <cell r="ID70">
            <v>3</v>
          </cell>
          <cell r="IE70">
            <v>2</v>
          </cell>
          <cell r="IF70">
            <v>60</v>
          </cell>
          <cell r="IG70">
            <v>2</v>
          </cell>
          <cell r="IH70">
            <v>1</v>
          </cell>
          <cell r="II70">
            <v>66.7</v>
          </cell>
          <cell r="IJ70">
            <v>2</v>
          </cell>
          <cell r="IK70">
            <v>1</v>
          </cell>
          <cell r="IL70">
            <v>66.7</v>
          </cell>
          <cell r="IM70">
            <v>3</v>
          </cell>
          <cell r="IN70">
            <v>3</v>
          </cell>
          <cell r="IO70">
            <v>100</v>
          </cell>
          <cell r="IP70">
            <v>1</v>
          </cell>
          <cell r="IQ70">
            <v>1</v>
          </cell>
          <cell r="IR70">
            <v>100</v>
          </cell>
          <cell r="IS70">
            <v>2</v>
          </cell>
          <cell r="IT70">
            <v>1</v>
          </cell>
          <cell r="IU70">
            <v>66.7</v>
          </cell>
          <cell r="IV70">
            <v>1</v>
          </cell>
          <cell r="IW70">
            <v>1</v>
          </cell>
          <cell r="IX70">
            <v>100</v>
          </cell>
          <cell r="IY70">
            <v>2</v>
          </cell>
          <cell r="IZ70">
            <v>2</v>
          </cell>
          <cell r="JA70">
            <v>100</v>
          </cell>
          <cell r="JB70">
            <v>3</v>
          </cell>
          <cell r="JC70">
            <v>2</v>
          </cell>
          <cell r="JD70">
            <v>60</v>
          </cell>
          <cell r="JE70">
            <v>5</v>
          </cell>
          <cell r="JF70">
            <v>1</v>
          </cell>
          <cell r="JG70">
            <v>83.3</v>
          </cell>
          <cell r="JH70">
            <v>0</v>
          </cell>
          <cell r="JI70">
            <v>0</v>
          </cell>
          <cell r="JJ70" t="str">
            <v>-</v>
          </cell>
          <cell r="JK70">
            <v>0</v>
          </cell>
          <cell r="JL70">
            <v>0</v>
          </cell>
          <cell r="JM70" t="str">
            <v>-</v>
          </cell>
          <cell r="JN70">
            <v>0</v>
          </cell>
          <cell r="JO70">
            <v>0</v>
          </cell>
          <cell r="JP70" t="str">
            <v>-</v>
          </cell>
          <cell r="JQ70">
            <v>267</v>
          </cell>
          <cell r="JR70">
            <v>28</v>
          </cell>
          <cell r="JS70">
            <v>90.508474576271198</v>
          </cell>
          <cell r="JT70">
            <v>70</v>
          </cell>
          <cell r="JU70">
            <v>9</v>
          </cell>
          <cell r="JV70">
            <v>88.60759493670885</v>
          </cell>
          <cell r="JW70">
            <v>0</v>
          </cell>
          <cell r="JX70">
            <v>0</v>
          </cell>
          <cell r="JY70" t="str">
            <v>-</v>
          </cell>
          <cell r="JZ70">
            <v>39</v>
          </cell>
          <cell r="KA70">
            <v>11</v>
          </cell>
          <cell r="KB70">
            <v>78</v>
          </cell>
          <cell r="KC70">
            <v>0</v>
          </cell>
          <cell r="KD70">
            <v>0</v>
          </cell>
          <cell r="KE70" t="str">
            <v>-</v>
          </cell>
          <cell r="KF70">
            <v>350</v>
          </cell>
          <cell r="KG70">
            <v>52</v>
          </cell>
          <cell r="KH70">
            <v>87.06467661691542</v>
          </cell>
          <cell r="KI70">
            <v>13</v>
          </cell>
          <cell r="KJ70">
            <v>4</v>
          </cell>
          <cell r="KK70">
            <v>76.470588235294116</v>
          </cell>
          <cell r="KL70">
            <v>13</v>
          </cell>
          <cell r="KM70">
            <v>4</v>
          </cell>
          <cell r="KN70">
            <v>76.470588235294116</v>
          </cell>
        </row>
        <row r="71">
          <cell r="C71" t="str">
            <v>Makói Rendőrkapitányság</v>
          </cell>
          <cell r="D71">
            <v>76.4705810546875</v>
          </cell>
          <cell r="E71">
            <v>76.4705810546875</v>
          </cell>
          <cell r="F71" t="str">
            <v>-</v>
          </cell>
          <cell r="G71">
            <v>76.4705810546875</v>
          </cell>
          <cell r="H71">
            <v>76.4705810546875</v>
          </cell>
          <cell r="I71" t="str">
            <v>-</v>
          </cell>
          <cell r="J71">
            <v>76.4705810546875</v>
          </cell>
          <cell r="K71">
            <v>76.4705810546875</v>
          </cell>
          <cell r="L71" t="str">
            <v>-</v>
          </cell>
          <cell r="M71">
            <v>76.4705810546875</v>
          </cell>
          <cell r="N71">
            <v>76.4705810546875</v>
          </cell>
          <cell r="O71" t="str">
            <v>-</v>
          </cell>
          <cell r="P71">
            <v>76.4705810546875</v>
          </cell>
          <cell r="Q71">
            <v>76.4705810546875</v>
          </cell>
          <cell r="R71" t="str">
            <v>-</v>
          </cell>
          <cell r="S71">
            <v>76.4705810546875</v>
          </cell>
          <cell r="T71">
            <v>76.4705810546875</v>
          </cell>
          <cell r="U71" t="str">
            <v>-</v>
          </cell>
          <cell r="V71">
            <v>76.4705810546875</v>
          </cell>
          <cell r="W71">
            <v>76.4705810546875</v>
          </cell>
          <cell r="X71" t="str">
            <v>-</v>
          </cell>
          <cell r="Y71">
            <v>76.4705810546875</v>
          </cell>
          <cell r="Z71">
            <v>76.4705810546875</v>
          </cell>
          <cell r="AA71" t="str">
            <v>-</v>
          </cell>
          <cell r="AB71">
            <v>76.4705810546875</v>
          </cell>
          <cell r="AC71">
            <v>76.4705810546875</v>
          </cell>
          <cell r="AD71" t="str">
            <v>-</v>
          </cell>
          <cell r="AE71">
            <v>76.4705810546875</v>
          </cell>
          <cell r="AF71">
            <v>76.4705810546875</v>
          </cell>
          <cell r="AG71" t="str">
            <v>-</v>
          </cell>
          <cell r="AH71">
            <v>76.4705810546875</v>
          </cell>
          <cell r="AI71">
            <v>76.4705810546875</v>
          </cell>
          <cell r="AJ71" t="str">
            <v>-</v>
          </cell>
          <cell r="AK71">
            <v>76.4705810546875</v>
          </cell>
          <cell r="AL71">
            <v>76.4705810546875</v>
          </cell>
          <cell r="AM71" t="str">
            <v>-</v>
          </cell>
          <cell r="AN71">
            <v>76.4705810546875</v>
          </cell>
          <cell r="AO71">
            <v>76.4705810546875</v>
          </cell>
          <cell r="AP71" t="str">
            <v>-</v>
          </cell>
          <cell r="AQ71">
            <v>76.4705810546875</v>
          </cell>
          <cell r="AR71">
            <v>76.4705810546875</v>
          </cell>
          <cell r="AS71" t="str">
            <v>-</v>
          </cell>
          <cell r="AT71">
            <v>76.4705810546875</v>
          </cell>
          <cell r="AU71">
            <v>76.4705810546875</v>
          </cell>
          <cell r="AV71" t="str">
            <v>-</v>
          </cell>
          <cell r="AW71">
            <v>76.4705810546875</v>
          </cell>
          <cell r="AX71">
            <v>76.4705810546875</v>
          </cell>
          <cell r="AY71" t="str">
            <v>-</v>
          </cell>
          <cell r="AZ71">
            <v>76.4705810546875</v>
          </cell>
          <cell r="BA71">
            <v>76.4705810546875</v>
          </cell>
          <cell r="BB71" t="str">
            <v>-</v>
          </cell>
          <cell r="BC71">
            <v>76.4705810546875</v>
          </cell>
          <cell r="BD71">
            <v>76.4705810546875</v>
          </cell>
          <cell r="BE71" t="str">
            <v>-</v>
          </cell>
          <cell r="BF71">
            <v>76.4705810546875</v>
          </cell>
          <cell r="BG71">
            <v>76.4705810546875</v>
          </cell>
          <cell r="BH71" t="str">
            <v>-</v>
          </cell>
          <cell r="BI71">
            <v>76.4705810546875</v>
          </cell>
          <cell r="BJ71">
            <v>76.4705810546875</v>
          </cell>
          <cell r="BK71" t="str">
            <v>-</v>
          </cell>
          <cell r="BL71">
            <v>76.4705810546875</v>
          </cell>
          <cell r="BM71">
            <v>76.4705810546875</v>
          </cell>
          <cell r="BN71" t="str">
            <v>-</v>
          </cell>
          <cell r="BO71">
            <v>76.4705810546875</v>
          </cell>
          <cell r="BP71">
            <v>76.4705810546875</v>
          </cell>
          <cell r="BQ71" t="str">
            <v>-</v>
          </cell>
          <cell r="BR71">
            <v>76.4705810546875</v>
          </cell>
          <cell r="BS71">
            <v>76.4705810546875</v>
          </cell>
          <cell r="BT71" t="str">
            <v>-</v>
          </cell>
          <cell r="BU71">
            <v>76.4705810546875</v>
          </cell>
          <cell r="BV71">
            <v>76.4705810546875</v>
          </cell>
          <cell r="BW71" t="str">
            <v>-</v>
          </cell>
          <cell r="BX71">
            <v>54</v>
          </cell>
          <cell r="BY71">
            <v>5</v>
          </cell>
          <cell r="BZ71">
            <v>91.5</v>
          </cell>
          <cell r="CA71">
            <v>57</v>
          </cell>
          <cell r="CB71">
            <v>13</v>
          </cell>
          <cell r="CC71">
            <v>81.400000000000006</v>
          </cell>
          <cell r="CD71">
            <v>52</v>
          </cell>
          <cell r="CE71">
            <v>2</v>
          </cell>
          <cell r="CF71">
            <v>96.3</v>
          </cell>
          <cell r="CG71">
            <v>56</v>
          </cell>
          <cell r="CH71">
            <v>4</v>
          </cell>
          <cell r="CI71">
            <v>93.3</v>
          </cell>
          <cell r="CJ71">
            <v>38</v>
          </cell>
          <cell r="CK71">
            <v>5</v>
          </cell>
          <cell r="CL71">
            <v>88.4</v>
          </cell>
          <cell r="CM71">
            <v>56</v>
          </cell>
          <cell r="CN71">
            <v>4</v>
          </cell>
          <cell r="CO71">
            <v>93.3</v>
          </cell>
          <cell r="CP71">
            <v>53</v>
          </cell>
          <cell r="CQ71">
            <v>1</v>
          </cell>
          <cell r="CR71">
            <v>98.1</v>
          </cell>
          <cell r="CS71">
            <v>36</v>
          </cell>
          <cell r="CT71">
            <v>1</v>
          </cell>
          <cell r="CU71">
            <v>97.3</v>
          </cell>
          <cell r="CV71">
            <v>19</v>
          </cell>
          <cell r="CW71">
            <v>4</v>
          </cell>
          <cell r="CX71">
            <v>82.6</v>
          </cell>
          <cell r="CY71">
            <v>17</v>
          </cell>
          <cell r="CZ71">
            <v>10</v>
          </cell>
          <cell r="DA71">
            <v>63</v>
          </cell>
          <cell r="DB71">
            <v>11</v>
          </cell>
          <cell r="DC71">
            <v>2</v>
          </cell>
          <cell r="DD71">
            <v>84.6</v>
          </cell>
          <cell r="DE71">
            <v>15</v>
          </cell>
          <cell r="DF71">
            <v>2</v>
          </cell>
          <cell r="DG71">
            <v>88.2</v>
          </cell>
          <cell r="DH71">
            <v>12</v>
          </cell>
          <cell r="DI71">
            <v>2</v>
          </cell>
          <cell r="DJ71">
            <v>85.7</v>
          </cell>
          <cell r="DK71">
            <v>26</v>
          </cell>
          <cell r="DL71">
            <v>2</v>
          </cell>
          <cell r="DM71">
            <v>92.9</v>
          </cell>
          <cell r="DN71">
            <v>27</v>
          </cell>
          <cell r="DO71">
            <v>1</v>
          </cell>
          <cell r="DP71">
            <v>96.4</v>
          </cell>
          <cell r="DQ71">
            <v>13</v>
          </cell>
          <cell r="DR71">
            <v>1</v>
          </cell>
          <cell r="DS71">
            <v>92.9</v>
          </cell>
          <cell r="DT71">
            <v>92.89996337890625</v>
          </cell>
          <cell r="DU71">
            <v>92.89996337890625</v>
          </cell>
          <cell r="DV71" t="str">
            <v>-</v>
          </cell>
          <cell r="DW71">
            <v>92.89996337890625</v>
          </cell>
          <cell r="DX71">
            <v>92.89996337890625</v>
          </cell>
          <cell r="DY71" t="str">
            <v>-</v>
          </cell>
          <cell r="DZ71">
            <v>92.89996337890625</v>
          </cell>
          <cell r="EA71">
            <v>92.89996337890625</v>
          </cell>
          <cell r="EB71" t="str">
            <v>-</v>
          </cell>
          <cell r="EC71">
            <v>92.89996337890625</v>
          </cell>
          <cell r="ED71">
            <v>92.89996337890625</v>
          </cell>
          <cell r="EE71" t="str">
            <v>-</v>
          </cell>
          <cell r="EF71">
            <v>92.89996337890625</v>
          </cell>
          <cell r="EG71">
            <v>92.89996337890625</v>
          </cell>
          <cell r="EH71" t="str">
            <v>-</v>
          </cell>
          <cell r="EI71">
            <v>92.89996337890625</v>
          </cell>
          <cell r="EJ71">
            <v>92.89996337890625</v>
          </cell>
          <cell r="EK71" t="str">
            <v>-</v>
          </cell>
          <cell r="EL71">
            <v>92.89996337890625</v>
          </cell>
          <cell r="EM71">
            <v>92.89996337890625</v>
          </cell>
          <cell r="EN71" t="str">
            <v>-</v>
          </cell>
          <cell r="EO71">
            <v>92.89996337890625</v>
          </cell>
          <cell r="EP71">
            <v>92.89996337890625</v>
          </cell>
          <cell r="EQ71" t="str">
            <v>-</v>
          </cell>
          <cell r="ER71">
            <v>9</v>
          </cell>
          <cell r="ES71">
            <v>3</v>
          </cell>
          <cell r="ET71">
            <v>75</v>
          </cell>
          <cell r="EU71">
            <v>11</v>
          </cell>
          <cell r="EV71">
            <v>5</v>
          </cell>
          <cell r="EW71">
            <v>68.8</v>
          </cell>
          <cell r="EX71">
            <v>17</v>
          </cell>
          <cell r="EY71">
            <v>1</v>
          </cell>
          <cell r="EZ71">
            <v>94.4</v>
          </cell>
          <cell r="FA71">
            <v>13</v>
          </cell>
          <cell r="FB71">
            <v>1</v>
          </cell>
          <cell r="FC71">
            <v>92.9</v>
          </cell>
          <cell r="FD71">
            <v>8</v>
          </cell>
          <cell r="FE71">
            <v>1</v>
          </cell>
          <cell r="FF71">
            <v>88.9</v>
          </cell>
          <cell r="FG71">
            <v>12</v>
          </cell>
          <cell r="FH71">
            <v>2</v>
          </cell>
          <cell r="FI71">
            <v>85.7</v>
          </cell>
          <cell r="FJ71">
            <v>15</v>
          </cell>
          <cell r="FK71">
            <v>15</v>
          </cell>
          <cell r="FL71">
            <v>100</v>
          </cell>
          <cell r="FM71">
            <v>15</v>
          </cell>
          <cell r="FN71">
            <v>15</v>
          </cell>
          <cell r="FO71">
            <v>100</v>
          </cell>
          <cell r="FP71">
            <v>7</v>
          </cell>
          <cell r="FQ71">
            <v>7</v>
          </cell>
          <cell r="FR71">
            <v>100</v>
          </cell>
          <cell r="FS71">
            <v>5</v>
          </cell>
          <cell r="FT71">
            <v>1</v>
          </cell>
          <cell r="FU71">
            <v>83.3</v>
          </cell>
          <cell r="FV71">
            <v>3</v>
          </cell>
          <cell r="FW71">
            <v>3</v>
          </cell>
          <cell r="FX71">
            <v>100</v>
          </cell>
          <cell r="FY71">
            <v>1</v>
          </cell>
          <cell r="FZ71">
            <v>1</v>
          </cell>
          <cell r="GA71">
            <v>100</v>
          </cell>
          <cell r="GB71">
            <v>100</v>
          </cell>
          <cell r="GC71">
            <v>100</v>
          </cell>
          <cell r="GD71" t="str">
            <v>-</v>
          </cell>
          <cell r="GE71">
            <v>100</v>
          </cell>
          <cell r="GF71">
            <v>100</v>
          </cell>
          <cell r="GG71" t="str">
            <v>-</v>
          </cell>
          <cell r="GH71">
            <v>100</v>
          </cell>
          <cell r="GI71">
            <v>100</v>
          </cell>
          <cell r="GJ71" t="str">
            <v>-</v>
          </cell>
          <cell r="GK71">
            <v>100</v>
          </cell>
          <cell r="GL71">
            <v>100</v>
          </cell>
          <cell r="GM71" t="str">
            <v>-</v>
          </cell>
          <cell r="GN71">
            <v>61</v>
          </cell>
          <cell r="GO71">
            <v>4</v>
          </cell>
          <cell r="GP71">
            <v>93.8</v>
          </cell>
          <cell r="GQ71">
            <v>60</v>
          </cell>
          <cell r="GR71">
            <v>7</v>
          </cell>
          <cell r="GS71">
            <v>89.6</v>
          </cell>
          <cell r="GT71">
            <v>64</v>
          </cell>
          <cell r="GU71">
            <v>10</v>
          </cell>
          <cell r="GV71">
            <v>86.5</v>
          </cell>
          <cell r="GW71">
            <v>51</v>
          </cell>
          <cell r="GX71">
            <v>2</v>
          </cell>
          <cell r="GY71">
            <v>96.2</v>
          </cell>
          <cell r="GZ71">
            <v>49</v>
          </cell>
          <cell r="HA71">
            <v>10</v>
          </cell>
          <cell r="HB71">
            <v>83.1</v>
          </cell>
          <cell r="HC71">
            <v>53</v>
          </cell>
          <cell r="HD71">
            <v>7</v>
          </cell>
          <cell r="HE71">
            <v>88.3</v>
          </cell>
          <cell r="HF71">
            <v>50</v>
          </cell>
          <cell r="HG71">
            <v>2</v>
          </cell>
          <cell r="HH71">
            <v>96.2</v>
          </cell>
          <cell r="HI71">
            <v>42</v>
          </cell>
          <cell r="HJ71">
            <v>8</v>
          </cell>
          <cell r="HK71">
            <v>84</v>
          </cell>
          <cell r="HL71">
            <v>9</v>
          </cell>
          <cell r="HM71">
            <v>1</v>
          </cell>
          <cell r="HN71">
            <v>90</v>
          </cell>
          <cell r="HO71">
            <v>5</v>
          </cell>
          <cell r="HP71">
            <v>2</v>
          </cell>
          <cell r="HQ71">
            <v>71.400000000000006</v>
          </cell>
          <cell r="HR71">
            <v>3</v>
          </cell>
          <cell r="HS71">
            <v>3</v>
          </cell>
          <cell r="HT71">
            <v>50</v>
          </cell>
          <cell r="HU71">
            <v>1</v>
          </cell>
          <cell r="HV71">
            <v>2</v>
          </cell>
          <cell r="HW71">
            <v>33.299999999999997</v>
          </cell>
          <cell r="HX71">
            <v>1</v>
          </cell>
          <cell r="HY71">
            <v>2</v>
          </cell>
          <cell r="HZ71">
            <v>33.299999999999997</v>
          </cell>
          <cell r="IA71">
            <v>2</v>
          </cell>
          <cell r="IB71">
            <v>1</v>
          </cell>
          <cell r="IC71">
            <v>66.7</v>
          </cell>
          <cell r="ID71">
            <v>5</v>
          </cell>
          <cell r="IE71">
            <v>1</v>
          </cell>
          <cell r="IF71">
            <v>83.3</v>
          </cell>
          <cell r="IG71">
            <v>2</v>
          </cell>
          <cell r="IH71">
            <v>2</v>
          </cell>
          <cell r="II71">
            <v>50</v>
          </cell>
          <cell r="IJ71">
            <v>5</v>
          </cell>
          <cell r="IK71">
            <v>2</v>
          </cell>
          <cell r="IL71">
            <v>71.400000000000006</v>
          </cell>
          <cell r="IM71">
            <v>7</v>
          </cell>
          <cell r="IN71">
            <v>7</v>
          </cell>
          <cell r="IO71">
            <v>100</v>
          </cell>
          <cell r="IP71">
            <v>100</v>
          </cell>
          <cell r="IQ71">
            <v>100</v>
          </cell>
          <cell r="IR71" t="str">
            <v>-</v>
          </cell>
          <cell r="IS71">
            <v>100</v>
          </cell>
          <cell r="IT71">
            <v>100</v>
          </cell>
          <cell r="IU71" t="str">
            <v>-</v>
          </cell>
          <cell r="IV71">
            <v>3</v>
          </cell>
          <cell r="IW71">
            <v>3</v>
          </cell>
          <cell r="IX71">
            <v>100</v>
          </cell>
          <cell r="IY71">
            <v>1</v>
          </cell>
          <cell r="IZ71">
            <v>1</v>
          </cell>
          <cell r="JA71">
            <v>100</v>
          </cell>
          <cell r="JB71">
            <v>100</v>
          </cell>
          <cell r="JC71">
            <v>100</v>
          </cell>
          <cell r="JD71" t="str">
            <v>-</v>
          </cell>
          <cell r="JE71">
            <v>100</v>
          </cell>
          <cell r="JF71">
            <v>100</v>
          </cell>
          <cell r="JG71" t="str">
            <v>-</v>
          </cell>
          <cell r="JH71">
            <v>0</v>
          </cell>
          <cell r="JI71">
            <v>0</v>
          </cell>
          <cell r="JJ71" t="str">
            <v>-</v>
          </cell>
          <cell r="JK71">
            <v>0</v>
          </cell>
          <cell r="JL71">
            <v>0</v>
          </cell>
          <cell r="JM71" t="str">
            <v>-</v>
          </cell>
          <cell r="JN71">
            <v>0</v>
          </cell>
          <cell r="JO71">
            <v>0</v>
          </cell>
          <cell r="JP71" t="str">
            <v>-</v>
          </cell>
          <cell r="JQ71">
            <v>239</v>
          </cell>
          <cell r="JR71">
            <v>15</v>
          </cell>
          <cell r="JS71">
            <v>94.094488188976371</v>
          </cell>
          <cell r="JT71">
            <v>93</v>
          </cell>
          <cell r="JU71">
            <v>8</v>
          </cell>
          <cell r="JV71">
            <v>92.079207920792086</v>
          </cell>
          <cell r="JW71">
            <v>0</v>
          </cell>
          <cell r="JX71">
            <v>0</v>
          </cell>
          <cell r="JY71" t="str">
            <v>-</v>
          </cell>
          <cell r="JZ71">
            <v>63</v>
          </cell>
          <cell r="KA71">
            <v>4</v>
          </cell>
          <cell r="KB71">
            <v>94.029850746268664</v>
          </cell>
          <cell r="KC71">
            <v>1</v>
          </cell>
          <cell r="KD71">
            <v>0</v>
          </cell>
          <cell r="KE71">
            <v>100</v>
          </cell>
          <cell r="KF71">
            <v>245</v>
          </cell>
          <cell r="KG71">
            <v>29</v>
          </cell>
          <cell r="KH71">
            <v>89.416058394160586</v>
          </cell>
          <cell r="KI71">
            <v>11</v>
          </cell>
          <cell r="KJ71">
            <v>8</v>
          </cell>
          <cell r="KK71">
            <v>57.894736842105267</v>
          </cell>
          <cell r="KL71">
            <v>4</v>
          </cell>
          <cell r="KM71">
            <v>0</v>
          </cell>
          <cell r="KN71">
            <v>100</v>
          </cell>
        </row>
        <row r="72">
          <cell r="C72" t="str">
            <v>Szentesi Rendőrkapitányság</v>
          </cell>
          <cell r="D72">
            <v>100</v>
          </cell>
          <cell r="E72">
            <v>100</v>
          </cell>
          <cell r="F72" t="str">
            <v>-</v>
          </cell>
          <cell r="G72">
            <v>100</v>
          </cell>
          <cell r="H72">
            <v>100</v>
          </cell>
          <cell r="I72" t="str">
            <v>-</v>
          </cell>
          <cell r="J72">
            <v>100</v>
          </cell>
          <cell r="K72">
            <v>100</v>
          </cell>
          <cell r="L72" t="str">
            <v>-</v>
          </cell>
          <cell r="M72">
            <v>100</v>
          </cell>
          <cell r="N72">
            <v>100</v>
          </cell>
          <cell r="O72" t="str">
            <v>-</v>
          </cell>
          <cell r="P72">
            <v>100</v>
          </cell>
          <cell r="Q72">
            <v>100</v>
          </cell>
          <cell r="R72" t="str">
            <v>-</v>
          </cell>
          <cell r="S72">
            <v>100</v>
          </cell>
          <cell r="T72">
            <v>100</v>
          </cell>
          <cell r="U72" t="str">
            <v>-</v>
          </cell>
          <cell r="V72">
            <v>100</v>
          </cell>
          <cell r="W72">
            <v>100</v>
          </cell>
          <cell r="X72" t="str">
            <v>-</v>
          </cell>
          <cell r="Y72">
            <v>100</v>
          </cell>
          <cell r="Z72">
            <v>100</v>
          </cell>
          <cell r="AA72" t="str">
            <v>-</v>
          </cell>
          <cell r="AB72">
            <v>100</v>
          </cell>
          <cell r="AC72">
            <v>100</v>
          </cell>
          <cell r="AD72" t="str">
            <v>-</v>
          </cell>
          <cell r="AE72">
            <v>100</v>
          </cell>
          <cell r="AF72">
            <v>100</v>
          </cell>
          <cell r="AG72" t="str">
            <v>-</v>
          </cell>
          <cell r="AH72">
            <v>100</v>
          </cell>
          <cell r="AI72">
            <v>100</v>
          </cell>
          <cell r="AJ72" t="str">
            <v>-</v>
          </cell>
          <cell r="AK72">
            <v>100</v>
          </cell>
          <cell r="AL72">
            <v>100</v>
          </cell>
          <cell r="AM72" t="str">
            <v>-</v>
          </cell>
          <cell r="AN72">
            <v>100</v>
          </cell>
          <cell r="AO72">
            <v>100</v>
          </cell>
          <cell r="AP72" t="str">
            <v>-</v>
          </cell>
          <cell r="AQ72">
            <v>100</v>
          </cell>
          <cell r="AR72">
            <v>100</v>
          </cell>
          <cell r="AS72" t="str">
            <v>-</v>
          </cell>
          <cell r="AT72">
            <v>100</v>
          </cell>
          <cell r="AU72">
            <v>100</v>
          </cell>
          <cell r="AV72" t="str">
            <v>-</v>
          </cell>
          <cell r="AW72">
            <v>100</v>
          </cell>
          <cell r="AX72">
            <v>100</v>
          </cell>
          <cell r="AY72" t="str">
            <v>-</v>
          </cell>
          <cell r="AZ72">
            <v>100</v>
          </cell>
          <cell r="BA72">
            <v>100</v>
          </cell>
          <cell r="BB72" t="str">
            <v>-</v>
          </cell>
          <cell r="BC72">
            <v>100</v>
          </cell>
          <cell r="BD72">
            <v>100</v>
          </cell>
          <cell r="BE72" t="str">
            <v>-</v>
          </cell>
          <cell r="BF72">
            <v>100</v>
          </cell>
          <cell r="BG72">
            <v>100</v>
          </cell>
          <cell r="BH72" t="str">
            <v>-</v>
          </cell>
          <cell r="BI72">
            <v>100</v>
          </cell>
          <cell r="BJ72">
            <v>100</v>
          </cell>
          <cell r="BK72" t="str">
            <v>-</v>
          </cell>
          <cell r="BL72">
            <v>100</v>
          </cell>
          <cell r="BM72">
            <v>100</v>
          </cell>
          <cell r="BN72" t="str">
            <v>-</v>
          </cell>
          <cell r="BO72">
            <v>100</v>
          </cell>
          <cell r="BP72">
            <v>100</v>
          </cell>
          <cell r="BQ72" t="str">
            <v>-</v>
          </cell>
          <cell r="BR72">
            <v>100</v>
          </cell>
          <cell r="BS72">
            <v>100</v>
          </cell>
          <cell r="BT72" t="str">
            <v>-</v>
          </cell>
          <cell r="BU72">
            <v>100</v>
          </cell>
          <cell r="BV72">
            <v>100</v>
          </cell>
          <cell r="BW72" t="str">
            <v>-</v>
          </cell>
          <cell r="BX72">
            <v>38</v>
          </cell>
          <cell r="BY72">
            <v>6</v>
          </cell>
          <cell r="BZ72">
            <v>86.4</v>
          </cell>
          <cell r="CA72">
            <v>37</v>
          </cell>
          <cell r="CB72">
            <v>2</v>
          </cell>
          <cell r="CC72">
            <v>94.9</v>
          </cell>
          <cell r="CD72">
            <v>51</v>
          </cell>
          <cell r="CE72">
            <v>3</v>
          </cell>
          <cell r="CF72">
            <v>94.4</v>
          </cell>
          <cell r="CG72">
            <v>48</v>
          </cell>
          <cell r="CH72">
            <v>9</v>
          </cell>
          <cell r="CI72">
            <v>84.2</v>
          </cell>
          <cell r="CJ72">
            <v>35</v>
          </cell>
          <cell r="CK72">
            <v>3</v>
          </cell>
          <cell r="CL72">
            <v>92.1</v>
          </cell>
          <cell r="CM72">
            <v>49</v>
          </cell>
          <cell r="CN72">
            <v>4</v>
          </cell>
          <cell r="CO72">
            <v>92.5</v>
          </cell>
          <cell r="CP72">
            <v>34</v>
          </cell>
          <cell r="CQ72">
            <v>6</v>
          </cell>
          <cell r="CR72">
            <v>85</v>
          </cell>
          <cell r="CS72">
            <v>17</v>
          </cell>
          <cell r="CT72">
            <v>7</v>
          </cell>
          <cell r="CU72">
            <v>70.8</v>
          </cell>
          <cell r="CV72">
            <v>19</v>
          </cell>
          <cell r="CW72">
            <v>4</v>
          </cell>
          <cell r="CX72">
            <v>82.6</v>
          </cell>
          <cell r="CY72">
            <v>16</v>
          </cell>
          <cell r="CZ72">
            <v>1</v>
          </cell>
          <cell r="DA72">
            <v>94.1</v>
          </cell>
          <cell r="DB72">
            <v>18</v>
          </cell>
          <cell r="DC72">
            <v>1</v>
          </cell>
          <cell r="DD72">
            <v>94.7</v>
          </cell>
          <cell r="DE72">
            <v>19</v>
          </cell>
          <cell r="DF72">
            <v>3</v>
          </cell>
          <cell r="DG72">
            <v>86.4</v>
          </cell>
          <cell r="DH72">
            <v>7</v>
          </cell>
          <cell r="DI72">
            <v>3</v>
          </cell>
          <cell r="DJ72">
            <v>70</v>
          </cell>
          <cell r="DK72">
            <v>10</v>
          </cell>
          <cell r="DL72">
            <v>3</v>
          </cell>
          <cell r="DM72">
            <v>76.900000000000006</v>
          </cell>
          <cell r="DN72">
            <v>16</v>
          </cell>
          <cell r="DO72">
            <v>4</v>
          </cell>
          <cell r="DP72">
            <v>80</v>
          </cell>
          <cell r="DQ72">
            <v>12</v>
          </cell>
          <cell r="DR72">
            <v>3</v>
          </cell>
          <cell r="DS72">
            <v>80</v>
          </cell>
          <cell r="DT72">
            <v>80</v>
          </cell>
          <cell r="DU72">
            <v>80</v>
          </cell>
          <cell r="DV72" t="str">
            <v>-</v>
          </cell>
          <cell r="DW72">
            <v>80</v>
          </cell>
          <cell r="DX72">
            <v>80</v>
          </cell>
          <cell r="DY72" t="str">
            <v>-</v>
          </cell>
          <cell r="DZ72">
            <v>80</v>
          </cell>
          <cell r="EA72">
            <v>80</v>
          </cell>
          <cell r="EB72" t="str">
            <v>-</v>
          </cell>
          <cell r="EC72">
            <v>80</v>
          </cell>
          <cell r="ED72">
            <v>80</v>
          </cell>
          <cell r="EE72" t="str">
            <v>-</v>
          </cell>
          <cell r="EF72">
            <v>80</v>
          </cell>
          <cell r="EG72">
            <v>80</v>
          </cell>
          <cell r="EH72" t="str">
            <v>-</v>
          </cell>
          <cell r="EI72">
            <v>80</v>
          </cell>
          <cell r="EJ72">
            <v>80</v>
          </cell>
          <cell r="EK72" t="str">
            <v>-</v>
          </cell>
          <cell r="EL72">
            <v>80</v>
          </cell>
          <cell r="EM72">
            <v>80</v>
          </cell>
          <cell r="EN72" t="str">
            <v>-</v>
          </cell>
          <cell r="EO72">
            <v>80</v>
          </cell>
          <cell r="EP72">
            <v>80</v>
          </cell>
          <cell r="EQ72" t="str">
            <v>-</v>
          </cell>
          <cell r="ER72">
            <v>14</v>
          </cell>
          <cell r="ES72">
            <v>2</v>
          </cell>
          <cell r="ET72">
            <v>87.5</v>
          </cell>
          <cell r="EU72">
            <v>15</v>
          </cell>
          <cell r="EV72">
            <v>3</v>
          </cell>
          <cell r="EW72">
            <v>83.3</v>
          </cell>
          <cell r="EX72">
            <v>7</v>
          </cell>
          <cell r="EY72">
            <v>3</v>
          </cell>
          <cell r="EZ72">
            <v>70</v>
          </cell>
          <cell r="FA72">
            <v>7</v>
          </cell>
          <cell r="FB72">
            <v>1</v>
          </cell>
          <cell r="FC72">
            <v>87.5</v>
          </cell>
          <cell r="FD72">
            <v>4</v>
          </cell>
          <cell r="FE72">
            <v>1</v>
          </cell>
          <cell r="FF72">
            <v>80</v>
          </cell>
          <cell r="FG72">
            <v>4</v>
          </cell>
          <cell r="FH72">
            <v>4</v>
          </cell>
          <cell r="FI72">
            <v>100</v>
          </cell>
          <cell r="FJ72">
            <v>9</v>
          </cell>
          <cell r="FK72">
            <v>9</v>
          </cell>
          <cell r="FL72">
            <v>100</v>
          </cell>
          <cell r="FM72">
            <v>5</v>
          </cell>
          <cell r="FN72">
            <v>1</v>
          </cell>
          <cell r="FO72">
            <v>83.3</v>
          </cell>
          <cell r="FP72">
            <v>83.29998779296875</v>
          </cell>
          <cell r="FQ72">
            <v>83.29998779296875</v>
          </cell>
          <cell r="FR72" t="str">
            <v>-</v>
          </cell>
          <cell r="FS72">
            <v>83.29998779296875</v>
          </cell>
          <cell r="FT72">
            <v>83.29998779296875</v>
          </cell>
          <cell r="FU72" t="str">
            <v>-</v>
          </cell>
          <cell r="FV72">
            <v>83.29998779296875</v>
          </cell>
          <cell r="FW72">
            <v>83.29998779296875</v>
          </cell>
          <cell r="FX72" t="str">
            <v>-</v>
          </cell>
          <cell r="FY72">
            <v>83.29998779296875</v>
          </cell>
          <cell r="FZ72">
            <v>83.29998779296875</v>
          </cell>
          <cell r="GA72" t="str">
            <v>-</v>
          </cell>
          <cell r="GB72">
            <v>83.29998779296875</v>
          </cell>
          <cell r="GC72">
            <v>83.29998779296875</v>
          </cell>
          <cell r="GD72" t="str">
            <v>-</v>
          </cell>
          <cell r="GE72">
            <v>83.29998779296875</v>
          </cell>
          <cell r="GF72">
            <v>83.29998779296875</v>
          </cell>
          <cell r="GG72" t="str">
            <v>-</v>
          </cell>
          <cell r="GH72">
            <v>83.29998779296875</v>
          </cell>
          <cell r="GI72">
            <v>83.29998779296875</v>
          </cell>
          <cell r="GJ72" t="str">
            <v>-</v>
          </cell>
          <cell r="GK72">
            <v>83.29998779296875</v>
          </cell>
          <cell r="GL72">
            <v>83.29998779296875</v>
          </cell>
          <cell r="GM72" t="str">
            <v>-</v>
          </cell>
          <cell r="GN72">
            <v>16</v>
          </cell>
          <cell r="GO72">
            <v>2</v>
          </cell>
          <cell r="GP72">
            <v>88.9</v>
          </cell>
          <cell r="GQ72">
            <v>39</v>
          </cell>
          <cell r="GR72">
            <v>6</v>
          </cell>
          <cell r="GS72">
            <v>86.7</v>
          </cell>
          <cell r="GT72">
            <v>49</v>
          </cell>
          <cell r="GU72">
            <v>4</v>
          </cell>
          <cell r="GV72">
            <v>92.5</v>
          </cell>
          <cell r="GW72">
            <v>53</v>
          </cell>
          <cell r="GX72">
            <v>4</v>
          </cell>
          <cell r="GY72">
            <v>93</v>
          </cell>
          <cell r="GZ72">
            <v>39</v>
          </cell>
          <cell r="HA72">
            <v>5</v>
          </cell>
          <cell r="HB72">
            <v>88.6</v>
          </cell>
          <cell r="HC72">
            <v>53</v>
          </cell>
          <cell r="HD72">
            <v>3</v>
          </cell>
          <cell r="HE72">
            <v>94.6</v>
          </cell>
          <cell r="HF72">
            <v>37</v>
          </cell>
          <cell r="HG72">
            <v>3</v>
          </cell>
          <cell r="HH72">
            <v>92.5</v>
          </cell>
          <cell r="HI72">
            <v>21</v>
          </cell>
          <cell r="HJ72">
            <v>6</v>
          </cell>
          <cell r="HK72">
            <v>77.8</v>
          </cell>
          <cell r="HL72">
            <v>3</v>
          </cell>
          <cell r="HM72">
            <v>3</v>
          </cell>
          <cell r="HN72">
            <v>100</v>
          </cell>
          <cell r="HO72">
            <v>3</v>
          </cell>
          <cell r="HP72">
            <v>2</v>
          </cell>
          <cell r="HQ72">
            <v>60</v>
          </cell>
          <cell r="HR72">
            <v>1</v>
          </cell>
          <cell r="HS72">
            <v>1</v>
          </cell>
          <cell r="HT72">
            <v>50</v>
          </cell>
          <cell r="HU72">
            <v>4</v>
          </cell>
          <cell r="HV72">
            <v>4</v>
          </cell>
          <cell r="HW72">
            <v>100</v>
          </cell>
          <cell r="HX72">
            <v>1</v>
          </cell>
          <cell r="HY72">
            <v>1</v>
          </cell>
          <cell r="HZ72">
            <v>50</v>
          </cell>
          <cell r="IA72">
            <v>3</v>
          </cell>
          <cell r="IB72">
            <v>3</v>
          </cell>
          <cell r="IC72">
            <v>100</v>
          </cell>
          <cell r="ID72">
            <v>1</v>
          </cell>
          <cell r="IE72">
            <v>1</v>
          </cell>
          <cell r="IF72">
            <v>100</v>
          </cell>
          <cell r="IG72">
            <v>100</v>
          </cell>
          <cell r="IH72">
            <v>100</v>
          </cell>
          <cell r="II72" t="str">
            <v>-</v>
          </cell>
          <cell r="IJ72">
            <v>100</v>
          </cell>
          <cell r="IK72">
            <v>100</v>
          </cell>
          <cell r="IL72" t="str">
            <v>-</v>
          </cell>
          <cell r="IM72">
            <v>100</v>
          </cell>
          <cell r="IN72">
            <v>100</v>
          </cell>
          <cell r="IO72" t="str">
            <v>-</v>
          </cell>
          <cell r="IP72">
            <v>1</v>
          </cell>
          <cell r="IQ72">
            <v>1</v>
          </cell>
          <cell r="IR72">
            <v>100</v>
          </cell>
          <cell r="IS72">
            <v>100</v>
          </cell>
          <cell r="IT72">
            <v>100</v>
          </cell>
          <cell r="IU72" t="str">
            <v>-</v>
          </cell>
          <cell r="IV72">
            <v>1</v>
          </cell>
          <cell r="IW72">
            <v>1</v>
          </cell>
          <cell r="IX72">
            <v>100</v>
          </cell>
          <cell r="IY72">
            <v>2</v>
          </cell>
          <cell r="IZ72">
            <v>2</v>
          </cell>
          <cell r="JA72">
            <v>100</v>
          </cell>
          <cell r="JB72">
            <v>5</v>
          </cell>
          <cell r="JC72">
            <v>3</v>
          </cell>
          <cell r="JD72">
            <v>62.5</v>
          </cell>
          <cell r="JE72">
            <v>9</v>
          </cell>
          <cell r="JF72">
            <v>9</v>
          </cell>
          <cell r="JG72">
            <v>100</v>
          </cell>
          <cell r="JH72">
            <v>0</v>
          </cell>
          <cell r="JI72">
            <v>0</v>
          </cell>
          <cell r="JJ72" t="str">
            <v>-</v>
          </cell>
          <cell r="JK72">
            <v>0</v>
          </cell>
          <cell r="JL72">
            <v>0</v>
          </cell>
          <cell r="JM72" t="str">
            <v>-</v>
          </cell>
          <cell r="JN72">
            <v>0</v>
          </cell>
          <cell r="JO72">
            <v>0</v>
          </cell>
          <cell r="JP72" t="str">
            <v>-</v>
          </cell>
          <cell r="JQ72">
            <v>183</v>
          </cell>
          <cell r="JR72">
            <v>29</v>
          </cell>
          <cell r="JS72">
            <v>86.320754716981128</v>
          </cell>
          <cell r="JT72">
            <v>64</v>
          </cell>
          <cell r="JU72">
            <v>16</v>
          </cell>
          <cell r="JV72">
            <v>80</v>
          </cell>
          <cell r="JW72">
            <v>0</v>
          </cell>
          <cell r="JX72">
            <v>0</v>
          </cell>
          <cell r="JY72" t="str">
            <v>-</v>
          </cell>
          <cell r="JZ72">
            <v>29</v>
          </cell>
          <cell r="KA72">
            <v>3</v>
          </cell>
          <cell r="KB72">
            <v>90.625</v>
          </cell>
          <cell r="KC72">
            <v>0</v>
          </cell>
          <cell r="KD72">
            <v>0</v>
          </cell>
          <cell r="KE72" t="str">
            <v>-</v>
          </cell>
          <cell r="KF72">
            <v>203</v>
          </cell>
          <cell r="KG72">
            <v>21</v>
          </cell>
          <cell r="KH72">
            <v>90.625</v>
          </cell>
          <cell r="KI72">
            <v>9</v>
          </cell>
          <cell r="KJ72">
            <v>1</v>
          </cell>
          <cell r="KK72">
            <v>90</v>
          </cell>
          <cell r="KL72">
            <v>17</v>
          </cell>
          <cell r="KM72">
            <v>3</v>
          </cell>
          <cell r="KN72">
            <v>85</v>
          </cell>
        </row>
        <row r="73">
          <cell r="C73" t="str">
            <v>Kisteleki Rendőrkapitányság</v>
          </cell>
          <cell r="D73">
            <v>85</v>
          </cell>
          <cell r="E73">
            <v>85</v>
          </cell>
          <cell r="F73" t="str">
            <v>-</v>
          </cell>
          <cell r="G73">
            <v>85</v>
          </cell>
          <cell r="H73">
            <v>85</v>
          </cell>
          <cell r="I73" t="str">
            <v>-</v>
          </cell>
          <cell r="J73">
            <v>85</v>
          </cell>
          <cell r="K73">
            <v>85</v>
          </cell>
          <cell r="L73" t="str">
            <v>-</v>
          </cell>
          <cell r="M73">
            <v>85</v>
          </cell>
          <cell r="N73">
            <v>85</v>
          </cell>
          <cell r="O73" t="str">
            <v>-</v>
          </cell>
          <cell r="P73">
            <v>85</v>
          </cell>
          <cell r="Q73">
            <v>85</v>
          </cell>
          <cell r="R73" t="str">
            <v>-</v>
          </cell>
          <cell r="S73">
            <v>85</v>
          </cell>
          <cell r="T73">
            <v>85</v>
          </cell>
          <cell r="U73" t="str">
            <v>-</v>
          </cell>
          <cell r="V73">
            <v>85</v>
          </cell>
          <cell r="W73">
            <v>85</v>
          </cell>
          <cell r="X73" t="str">
            <v>-</v>
          </cell>
          <cell r="Y73">
            <v>85</v>
          </cell>
          <cell r="Z73">
            <v>85</v>
          </cell>
          <cell r="AA73" t="str">
            <v>-</v>
          </cell>
          <cell r="AB73">
            <v>85</v>
          </cell>
          <cell r="AC73">
            <v>85</v>
          </cell>
          <cell r="AD73" t="str">
            <v>-</v>
          </cell>
          <cell r="AE73">
            <v>85</v>
          </cell>
          <cell r="AF73">
            <v>85</v>
          </cell>
          <cell r="AG73" t="str">
            <v>-</v>
          </cell>
          <cell r="AH73">
            <v>85</v>
          </cell>
          <cell r="AI73">
            <v>85</v>
          </cell>
          <cell r="AJ73" t="str">
            <v>-</v>
          </cell>
          <cell r="AK73">
            <v>85</v>
          </cell>
          <cell r="AL73">
            <v>85</v>
          </cell>
          <cell r="AM73" t="str">
            <v>-</v>
          </cell>
          <cell r="AN73">
            <v>85</v>
          </cell>
          <cell r="AO73">
            <v>85</v>
          </cell>
          <cell r="AP73" t="str">
            <v>-</v>
          </cell>
          <cell r="AQ73">
            <v>85</v>
          </cell>
          <cell r="AR73">
            <v>85</v>
          </cell>
          <cell r="AS73" t="str">
            <v>-</v>
          </cell>
          <cell r="AT73">
            <v>85</v>
          </cell>
          <cell r="AU73">
            <v>85</v>
          </cell>
          <cell r="AV73" t="str">
            <v>-</v>
          </cell>
          <cell r="AW73">
            <v>85</v>
          </cell>
          <cell r="AX73">
            <v>85</v>
          </cell>
          <cell r="AY73" t="str">
            <v>-</v>
          </cell>
          <cell r="AZ73">
            <v>85</v>
          </cell>
          <cell r="BA73">
            <v>85</v>
          </cell>
          <cell r="BB73" t="str">
            <v>-</v>
          </cell>
          <cell r="BC73">
            <v>85</v>
          </cell>
          <cell r="BD73">
            <v>85</v>
          </cell>
          <cell r="BE73" t="str">
            <v>-</v>
          </cell>
          <cell r="BF73">
            <v>85</v>
          </cell>
          <cell r="BG73">
            <v>85</v>
          </cell>
          <cell r="BH73" t="str">
            <v>-</v>
          </cell>
          <cell r="BI73">
            <v>85</v>
          </cell>
          <cell r="BJ73">
            <v>85</v>
          </cell>
          <cell r="BK73" t="str">
            <v>-</v>
          </cell>
          <cell r="BL73">
            <v>85</v>
          </cell>
          <cell r="BM73">
            <v>85</v>
          </cell>
          <cell r="BN73" t="str">
            <v>-</v>
          </cell>
          <cell r="BO73">
            <v>85</v>
          </cell>
          <cell r="BP73">
            <v>85</v>
          </cell>
          <cell r="BQ73" t="str">
            <v>-</v>
          </cell>
          <cell r="BR73">
            <v>85</v>
          </cell>
          <cell r="BS73">
            <v>85</v>
          </cell>
          <cell r="BT73" t="str">
            <v>-</v>
          </cell>
          <cell r="BU73">
            <v>85</v>
          </cell>
          <cell r="BV73">
            <v>85</v>
          </cell>
          <cell r="BW73" t="str">
            <v>-</v>
          </cell>
          <cell r="BX73">
            <v>15</v>
          </cell>
          <cell r="BY73">
            <v>1</v>
          </cell>
          <cell r="BZ73">
            <v>93.8</v>
          </cell>
          <cell r="CA73">
            <v>11</v>
          </cell>
          <cell r="CB73">
            <v>4</v>
          </cell>
          <cell r="CC73">
            <v>73.3</v>
          </cell>
          <cell r="CD73">
            <v>11</v>
          </cell>
          <cell r="CE73">
            <v>2</v>
          </cell>
          <cell r="CF73">
            <v>84.6</v>
          </cell>
          <cell r="CG73">
            <v>15</v>
          </cell>
          <cell r="CH73">
            <v>4</v>
          </cell>
          <cell r="CI73">
            <v>78.900000000000006</v>
          </cell>
          <cell r="CJ73">
            <v>11</v>
          </cell>
          <cell r="CK73">
            <v>4</v>
          </cell>
          <cell r="CL73">
            <v>73.3</v>
          </cell>
          <cell r="CM73">
            <v>10</v>
          </cell>
          <cell r="CN73">
            <v>6</v>
          </cell>
          <cell r="CO73">
            <v>62.5</v>
          </cell>
          <cell r="CP73">
            <v>9</v>
          </cell>
          <cell r="CQ73">
            <v>3</v>
          </cell>
          <cell r="CR73">
            <v>75</v>
          </cell>
          <cell r="CS73">
            <v>23</v>
          </cell>
          <cell r="CT73">
            <v>3</v>
          </cell>
          <cell r="CU73">
            <v>88.5</v>
          </cell>
          <cell r="CV73">
            <v>4</v>
          </cell>
          <cell r="CW73">
            <v>1</v>
          </cell>
          <cell r="CX73">
            <v>80</v>
          </cell>
          <cell r="CY73">
            <v>9</v>
          </cell>
          <cell r="CZ73">
            <v>2</v>
          </cell>
          <cell r="DA73">
            <v>81.8</v>
          </cell>
          <cell r="DB73">
            <v>4</v>
          </cell>
          <cell r="DC73">
            <v>2</v>
          </cell>
          <cell r="DD73">
            <v>66.7</v>
          </cell>
          <cell r="DE73">
            <v>8</v>
          </cell>
          <cell r="DF73">
            <v>1</v>
          </cell>
          <cell r="DG73">
            <v>88.9</v>
          </cell>
          <cell r="DH73">
            <v>3</v>
          </cell>
          <cell r="DI73">
            <v>4</v>
          </cell>
          <cell r="DJ73">
            <v>42.9</v>
          </cell>
          <cell r="DK73">
            <v>5</v>
          </cell>
          <cell r="DL73">
            <v>4</v>
          </cell>
          <cell r="DM73">
            <v>55.6</v>
          </cell>
          <cell r="DN73">
            <v>3</v>
          </cell>
          <cell r="DO73">
            <v>2</v>
          </cell>
          <cell r="DP73">
            <v>60</v>
          </cell>
          <cell r="DQ73">
            <v>14</v>
          </cell>
          <cell r="DR73">
            <v>2</v>
          </cell>
          <cell r="DS73">
            <v>87.5</v>
          </cell>
          <cell r="DT73">
            <v>87.5</v>
          </cell>
          <cell r="DU73">
            <v>87.5</v>
          </cell>
          <cell r="DV73" t="str">
            <v>-</v>
          </cell>
          <cell r="DW73">
            <v>87.5</v>
          </cell>
          <cell r="DX73">
            <v>87.5</v>
          </cell>
          <cell r="DY73" t="str">
            <v>-</v>
          </cell>
          <cell r="DZ73">
            <v>87.5</v>
          </cell>
          <cell r="EA73">
            <v>87.5</v>
          </cell>
          <cell r="EB73" t="str">
            <v>-</v>
          </cell>
          <cell r="EC73">
            <v>87.5</v>
          </cell>
          <cell r="ED73">
            <v>87.5</v>
          </cell>
          <cell r="EE73" t="str">
            <v>-</v>
          </cell>
          <cell r="EF73">
            <v>87.5</v>
          </cell>
          <cell r="EG73">
            <v>87.5</v>
          </cell>
          <cell r="EH73" t="str">
            <v>-</v>
          </cell>
          <cell r="EI73">
            <v>87.5</v>
          </cell>
          <cell r="EJ73">
            <v>87.5</v>
          </cell>
          <cell r="EK73" t="str">
            <v>-</v>
          </cell>
          <cell r="EL73">
            <v>87.5</v>
          </cell>
          <cell r="EM73">
            <v>87.5</v>
          </cell>
          <cell r="EN73" t="str">
            <v>-</v>
          </cell>
          <cell r="EO73">
            <v>87.5</v>
          </cell>
          <cell r="EP73">
            <v>87.5</v>
          </cell>
          <cell r="EQ73" t="str">
            <v>-</v>
          </cell>
          <cell r="ER73">
            <v>5</v>
          </cell>
          <cell r="ES73">
            <v>2</v>
          </cell>
          <cell r="ET73">
            <v>71.400000000000006</v>
          </cell>
          <cell r="EU73">
            <v>6</v>
          </cell>
          <cell r="EV73">
            <v>4</v>
          </cell>
          <cell r="EW73">
            <v>60</v>
          </cell>
          <cell r="EX73">
            <v>4</v>
          </cell>
          <cell r="EY73">
            <v>4</v>
          </cell>
          <cell r="EZ73">
            <v>100</v>
          </cell>
          <cell r="FA73">
            <v>10</v>
          </cell>
          <cell r="FB73">
            <v>10</v>
          </cell>
          <cell r="FC73">
            <v>100</v>
          </cell>
          <cell r="FD73">
            <v>2</v>
          </cell>
          <cell r="FE73">
            <v>2</v>
          </cell>
          <cell r="FF73">
            <v>100</v>
          </cell>
          <cell r="FG73">
            <v>5</v>
          </cell>
          <cell r="FH73">
            <v>2</v>
          </cell>
          <cell r="FI73">
            <v>71.400000000000006</v>
          </cell>
          <cell r="FJ73">
            <v>5</v>
          </cell>
          <cell r="FK73">
            <v>3</v>
          </cell>
          <cell r="FL73">
            <v>62.5</v>
          </cell>
          <cell r="FM73">
            <v>62.5</v>
          </cell>
          <cell r="FN73">
            <v>1</v>
          </cell>
          <cell r="FO73">
            <v>0</v>
          </cell>
          <cell r="FP73">
            <v>1</v>
          </cell>
          <cell r="FQ73">
            <v>1</v>
          </cell>
          <cell r="FR73">
            <v>100</v>
          </cell>
          <cell r="FS73">
            <v>100</v>
          </cell>
          <cell r="FT73">
            <v>100</v>
          </cell>
          <cell r="FU73" t="str">
            <v>-</v>
          </cell>
          <cell r="FV73">
            <v>100</v>
          </cell>
          <cell r="FW73">
            <v>100</v>
          </cell>
          <cell r="FX73" t="str">
            <v>-</v>
          </cell>
          <cell r="FY73">
            <v>100</v>
          </cell>
          <cell r="FZ73">
            <v>100</v>
          </cell>
          <cell r="GA73" t="str">
            <v>-</v>
          </cell>
          <cell r="GB73">
            <v>100</v>
          </cell>
          <cell r="GC73">
            <v>100</v>
          </cell>
          <cell r="GD73" t="str">
            <v>-</v>
          </cell>
          <cell r="GE73">
            <v>100</v>
          </cell>
          <cell r="GF73">
            <v>100</v>
          </cell>
          <cell r="GG73" t="str">
            <v>-</v>
          </cell>
          <cell r="GH73">
            <v>100</v>
          </cell>
          <cell r="GI73">
            <v>100</v>
          </cell>
          <cell r="GJ73" t="str">
            <v>-</v>
          </cell>
          <cell r="GK73">
            <v>100</v>
          </cell>
          <cell r="GL73">
            <v>100</v>
          </cell>
          <cell r="GM73" t="str">
            <v>-</v>
          </cell>
          <cell r="GN73">
            <v>9</v>
          </cell>
          <cell r="GO73">
            <v>9</v>
          </cell>
          <cell r="GP73">
            <v>100</v>
          </cell>
          <cell r="GQ73">
            <v>14</v>
          </cell>
          <cell r="GR73">
            <v>1</v>
          </cell>
          <cell r="GS73">
            <v>93.3</v>
          </cell>
          <cell r="GT73">
            <v>15</v>
          </cell>
          <cell r="GU73">
            <v>15</v>
          </cell>
          <cell r="GV73">
            <v>100</v>
          </cell>
          <cell r="GW73">
            <v>13</v>
          </cell>
          <cell r="GX73">
            <v>4</v>
          </cell>
          <cell r="GY73">
            <v>76.5</v>
          </cell>
          <cell r="GZ73">
            <v>14</v>
          </cell>
          <cell r="HA73">
            <v>2</v>
          </cell>
          <cell r="HB73">
            <v>87.5</v>
          </cell>
          <cell r="HC73">
            <v>13</v>
          </cell>
          <cell r="HD73">
            <v>6</v>
          </cell>
          <cell r="HE73">
            <v>68.400000000000006</v>
          </cell>
          <cell r="HF73">
            <v>15</v>
          </cell>
          <cell r="HG73">
            <v>1</v>
          </cell>
          <cell r="HH73">
            <v>93.8</v>
          </cell>
          <cell r="HI73">
            <v>13</v>
          </cell>
          <cell r="HJ73">
            <v>2</v>
          </cell>
          <cell r="HK73">
            <v>86.7</v>
          </cell>
          <cell r="HL73">
            <v>86.699951171875</v>
          </cell>
          <cell r="HM73">
            <v>86.699951171875</v>
          </cell>
          <cell r="HN73" t="str">
            <v>-</v>
          </cell>
          <cell r="HO73">
            <v>2</v>
          </cell>
          <cell r="HP73">
            <v>2</v>
          </cell>
          <cell r="HQ73">
            <v>100</v>
          </cell>
          <cell r="HR73">
            <v>2</v>
          </cell>
          <cell r="HS73">
            <v>2</v>
          </cell>
          <cell r="HT73">
            <v>50</v>
          </cell>
          <cell r="HU73">
            <v>50</v>
          </cell>
          <cell r="HV73">
            <v>2</v>
          </cell>
          <cell r="HW73">
            <v>0</v>
          </cell>
          <cell r="HX73">
            <v>1</v>
          </cell>
          <cell r="HY73">
            <v>1</v>
          </cell>
          <cell r="HZ73">
            <v>100</v>
          </cell>
          <cell r="IA73">
            <v>1</v>
          </cell>
          <cell r="IB73">
            <v>1</v>
          </cell>
          <cell r="IC73">
            <v>100</v>
          </cell>
          <cell r="ID73">
            <v>100</v>
          </cell>
          <cell r="IE73">
            <v>1</v>
          </cell>
          <cell r="IF73">
            <v>0</v>
          </cell>
          <cell r="IG73">
            <v>3</v>
          </cell>
          <cell r="IH73">
            <v>3</v>
          </cell>
          <cell r="II73">
            <v>100</v>
          </cell>
          <cell r="IJ73">
            <v>1</v>
          </cell>
          <cell r="IK73">
            <v>1</v>
          </cell>
          <cell r="IL73">
            <v>100</v>
          </cell>
          <cell r="IM73">
            <v>4</v>
          </cell>
          <cell r="IN73">
            <v>4</v>
          </cell>
          <cell r="IO73">
            <v>100</v>
          </cell>
          <cell r="IP73">
            <v>100</v>
          </cell>
          <cell r="IQ73">
            <v>100</v>
          </cell>
          <cell r="IR73" t="str">
            <v>-</v>
          </cell>
          <cell r="IS73">
            <v>1</v>
          </cell>
          <cell r="IT73">
            <v>1</v>
          </cell>
          <cell r="IU73">
            <v>50</v>
          </cell>
          <cell r="IV73">
            <v>1</v>
          </cell>
          <cell r="IW73">
            <v>1</v>
          </cell>
          <cell r="IX73">
            <v>100</v>
          </cell>
          <cell r="IY73">
            <v>100</v>
          </cell>
          <cell r="IZ73">
            <v>2</v>
          </cell>
          <cell r="JA73">
            <v>0</v>
          </cell>
          <cell r="JB73">
            <v>0</v>
          </cell>
          <cell r="JC73">
            <v>0</v>
          </cell>
          <cell r="JD73" t="str">
            <v>-</v>
          </cell>
          <cell r="JE73">
            <v>0</v>
          </cell>
          <cell r="JF73">
            <v>2</v>
          </cell>
          <cell r="JG73">
            <v>0</v>
          </cell>
          <cell r="JH73">
            <v>0</v>
          </cell>
          <cell r="JI73">
            <v>0</v>
          </cell>
          <cell r="JJ73" t="str">
            <v>-</v>
          </cell>
          <cell r="JK73">
            <v>0</v>
          </cell>
          <cell r="JL73">
            <v>0</v>
          </cell>
          <cell r="JM73" t="str">
            <v>-</v>
          </cell>
          <cell r="JN73">
            <v>0</v>
          </cell>
          <cell r="JO73">
            <v>0</v>
          </cell>
          <cell r="JP73" t="str">
            <v>-</v>
          </cell>
          <cell r="JQ73">
            <v>68</v>
          </cell>
          <cell r="JR73">
            <v>20</v>
          </cell>
          <cell r="JS73">
            <v>77.272727272727266</v>
          </cell>
          <cell r="JT73">
            <v>33</v>
          </cell>
          <cell r="JU73">
            <v>13</v>
          </cell>
          <cell r="JV73">
            <v>71.739130434782609</v>
          </cell>
          <cell r="JW73">
            <v>0</v>
          </cell>
          <cell r="JX73">
            <v>0</v>
          </cell>
          <cell r="JY73" t="str">
            <v>-</v>
          </cell>
          <cell r="JZ73">
            <v>22</v>
          </cell>
          <cell r="KA73">
            <v>6</v>
          </cell>
          <cell r="KB73">
            <v>78.571428571428569</v>
          </cell>
          <cell r="KC73">
            <v>0</v>
          </cell>
          <cell r="KD73">
            <v>0</v>
          </cell>
          <cell r="KE73" t="str">
            <v>-</v>
          </cell>
          <cell r="KF73">
            <v>68</v>
          </cell>
          <cell r="KG73">
            <v>15</v>
          </cell>
          <cell r="KH73">
            <v>81.92771084337349</v>
          </cell>
          <cell r="KI73">
            <v>5</v>
          </cell>
          <cell r="KJ73">
            <v>3</v>
          </cell>
          <cell r="KK73">
            <v>62.5</v>
          </cell>
          <cell r="KL73">
            <v>2</v>
          </cell>
          <cell r="KM73">
            <v>5</v>
          </cell>
          <cell r="KN73">
            <v>28.571428571428569</v>
          </cell>
        </row>
        <row r="74">
          <cell r="C74" t="str">
            <v>Csongrád Megyei Rendőr-főkapitányság</v>
          </cell>
          <cell r="D74">
            <v>5</v>
          </cell>
          <cell r="E74">
            <v>1</v>
          </cell>
          <cell r="F74">
            <v>83.3</v>
          </cell>
          <cell r="G74">
            <v>8</v>
          </cell>
          <cell r="H74">
            <v>2</v>
          </cell>
          <cell r="I74">
            <v>80</v>
          </cell>
          <cell r="J74">
            <v>4</v>
          </cell>
          <cell r="K74">
            <v>1</v>
          </cell>
          <cell r="L74">
            <v>80</v>
          </cell>
          <cell r="M74">
            <v>10</v>
          </cell>
          <cell r="N74">
            <v>10</v>
          </cell>
          <cell r="O74">
            <v>100</v>
          </cell>
          <cell r="P74">
            <v>4</v>
          </cell>
          <cell r="Q74">
            <v>4</v>
          </cell>
          <cell r="R74">
            <v>100</v>
          </cell>
          <cell r="S74">
            <v>5</v>
          </cell>
          <cell r="T74">
            <v>5</v>
          </cell>
          <cell r="U74">
            <v>100</v>
          </cell>
          <cell r="V74">
            <v>11</v>
          </cell>
          <cell r="W74">
            <v>1</v>
          </cell>
          <cell r="X74">
            <v>91.7</v>
          </cell>
          <cell r="Y74">
            <v>5</v>
          </cell>
          <cell r="Z74">
            <v>5</v>
          </cell>
          <cell r="AA74">
            <v>100</v>
          </cell>
          <cell r="AB74">
            <v>4</v>
          </cell>
          <cell r="AC74">
            <v>4</v>
          </cell>
          <cell r="AD74">
            <v>100</v>
          </cell>
          <cell r="AE74">
            <v>7</v>
          </cell>
          <cell r="AF74">
            <v>1</v>
          </cell>
          <cell r="AG74">
            <v>87.5</v>
          </cell>
          <cell r="AH74">
            <v>2</v>
          </cell>
          <cell r="AI74">
            <v>2</v>
          </cell>
          <cell r="AJ74">
            <v>100</v>
          </cell>
          <cell r="AK74">
            <v>7</v>
          </cell>
          <cell r="AL74">
            <v>7</v>
          </cell>
          <cell r="AM74">
            <v>100</v>
          </cell>
          <cell r="AN74">
            <v>2</v>
          </cell>
          <cell r="AO74">
            <v>2</v>
          </cell>
          <cell r="AP74">
            <v>100</v>
          </cell>
          <cell r="AQ74">
            <v>1</v>
          </cell>
          <cell r="AR74">
            <v>1</v>
          </cell>
          <cell r="AS74">
            <v>100</v>
          </cell>
          <cell r="AT74">
            <v>1</v>
          </cell>
          <cell r="AU74">
            <v>1</v>
          </cell>
          <cell r="AV74">
            <v>100</v>
          </cell>
          <cell r="AW74">
            <v>2</v>
          </cell>
          <cell r="AX74">
            <v>2</v>
          </cell>
          <cell r="AY74">
            <v>100</v>
          </cell>
          <cell r="AZ74">
            <v>1</v>
          </cell>
          <cell r="BA74">
            <v>1</v>
          </cell>
          <cell r="BB74">
            <v>50</v>
          </cell>
          <cell r="BC74">
            <v>50</v>
          </cell>
          <cell r="BD74">
            <v>50</v>
          </cell>
          <cell r="BE74" t="str">
            <v>-</v>
          </cell>
          <cell r="BF74">
            <v>2</v>
          </cell>
          <cell r="BG74">
            <v>2</v>
          </cell>
          <cell r="BH74">
            <v>100</v>
          </cell>
          <cell r="BI74">
            <v>3</v>
          </cell>
          <cell r="BJ74">
            <v>3</v>
          </cell>
          <cell r="BK74">
            <v>100</v>
          </cell>
          <cell r="BL74">
            <v>1</v>
          </cell>
          <cell r="BM74">
            <v>1</v>
          </cell>
          <cell r="BN74">
            <v>100</v>
          </cell>
          <cell r="BO74">
            <v>3</v>
          </cell>
          <cell r="BP74">
            <v>3</v>
          </cell>
          <cell r="BQ74">
            <v>100</v>
          </cell>
          <cell r="BR74">
            <v>7</v>
          </cell>
          <cell r="BS74">
            <v>1</v>
          </cell>
          <cell r="BT74">
            <v>87.5</v>
          </cell>
          <cell r="BU74">
            <v>3</v>
          </cell>
          <cell r="BV74">
            <v>3</v>
          </cell>
          <cell r="BW74">
            <v>100</v>
          </cell>
          <cell r="BX74">
            <v>418</v>
          </cell>
          <cell r="BY74">
            <v>93</v>
          </cell>
          <cell r="BZ74">
            <v>81.8</v>
          </cell>
          <cell r="CA74">
            <v>437</v>
          </cell>
          <cell r="CB74">
            <v>94</v>
          </cell>
          <cell r="CC74">
            <v>82.3</v>
          </cell>
          <cell r="CD74">
            <v>380</v>
          </cell>
          <cell r="CE74">
            <v>89</v>
          </cell>
          <cell r="CF74">
            <v>81</v>
          </cell>
          <cell r="CG74">
            <v>409</v>
          </cell>
          <cell r="CH74">
            <v>69</v>
          </cell>
          <cell r="CI74">
            <v>85.6</v>
          </cell>
          <cell r="CJ74">
            <v>355</v>
          </cell>
          <cell r="CK74">
            <v>57</v>
          </cell>
          <cell r="CL74">
            <v>86.2</v>
          </cell>
          <cell r="CM74">
            <v>355</v>
          </cell>
          <cell r="CN74">
            <v>88</v>
          </cell>
          <cell r="CO74">
            <v>80.099999999999994</v>
          </cell>
          <cell r="CP74">
            <v>298</v>
          </cell>
          <cell r="CQ74">
            <v>62</v>
          </cell>
          <cell r="CR74">
            <v>82.8</v>
          </cell>
          <cell r="CS74">
            <v>297</v>
          </cell>
          <cell r="CT74">
            <v>55</v>
          </cell>
          <cell r="CU74">
            <v>84.4</v>
          </cell>
          <cell r="CV74">
            <v>203</v>
          </cell>
          <cell r="CW74">
            <v>70</v>
          </cell>
          <cell r="CX74">
            <v>74.400000000000006</v>
          </cell>
          <cell r="CY74">
            <v>189</v>
          </cell>
          <cell r="CZ74">
            <v>78</v>
          </cell>
          <cell r="DA74">
            <v>70.8</v>
          </cell>
          <cell r="DB74">
            <v>142</v>
          </cell>
          <cell r="DC74">
            <v>72</v>
          </cell>
          <cell r="DD74">
            <v>66.400000000000006</v>
          </cell>
          <cell r="DE74">
            <v>176</v>
          </cell>
          <cell r="DF74">
            <v>47</v>
          </cell>
          <cell r="DG74">
            <v>78.900000000000006</v>
          </cell>
          <cell r="DH74">
            <v>146</v>
          </cell>
          <cell r="DI74">
            <v>45</v>
          </cell>
          <cell r="DJ74">
            <v>76.400000000000006</v>
          </cell>
          <cell r="DK74">
            <v>145</v>
          </cell>
          <cell r="DL74">
            <v>67</v>
          </cell>
          <cell r="DM74">
            <v>68.400000000000006</v>
          </cell>
          <cell r="DN74">
            <v>138</v>
          </cell>
          <cell r="DO74">
            <v>45</v>
          </cell>
          <cell r="DP74">
            <v>75.400000000000006</v>
          </cell>
          <cell r="DQ74">
            <v>137</v>
          </cell>
          <cell r="DR74">
            <v>37</v>
          </cell>
          <cell r="DS74">
            <v>78.7</v>
          </cell>
          <cell r="DT74">
            <v>1</v>
          </cell>
          <cell r="DU74">
            <v>1</v>
          </cell>
          <cell r="DV74">
            <v>50</v>
          </cell>
          <cell r="DW74">
            <v>4</v>
          </cell>
          <cell r="DX74">
            <v>4</v>
          </cell>
          <cell r="DY74">
            <v>100</v>
          </cell>
          <cell r="DZ74">
            <v>1</v>
          </cell>
          <cell r="EA74">
            <v>1</v>
          </cell>
          <cell r="EB74">
            <v>50</v>
          </cell>
          <cell r="EC74">
            <v>4</v>
          </cell>
          <cell r="ED74">
            <v>4</v>
          </cell>
          <cell r="EE74">
            <v>100</v>
          </cell>
          <cell r="EF74">
            <v>1</v>
          </cell>
          <cell r="EG74">
            <v>1</v>
          </cell>
          <cell r="EH74">
            <v>100</v>
          </cell>
          <cell r="EI74">
            <v>1</v>
          </cell>
          <cell r="EJ74">
            <v>1</v>
          </cell>
          <cell r="EK74">
            <v>100</v>
          </cell>
          <cell r="EL74">
            <v>2</v>
          </cell>
          <cell r="EM74">
            <v>2</v>
          </cell>
          <cell r="EN74">
            <v>100</v>
          </cell>
          <cell r="EO74">
            <v>2</v>
          </cell>
          <cell r="EP74">
            <v>2</v>
          </cell>
          <cell r="EQ74">
            <v>100</v>
          </cell>
          <cell r="ER74">
            <v>93</v>
          </cell>
          <cell r="ES74">
            <v>36</v>
          </cell>
          <cell r="ET74">
            <v>72.099999999999994</v>
          </cell>
          <cell r="EU74">
            <v>96</v>
          </cell>
          <cell r="EV74">
            <v>40</v>
          </cell>
          <cell r="EW74">
            <v>70.599999999999994</v>
          </cell>
          <cell r="EX74">
            <v>90</v>
          </cell>
          <cell r="EY74">
            <v>33</v>
          </cell>
          <cell r="EZ74">
            <v>73.2</v>
          </cell>
          <cell r="FA74">
            <v>86</v>
          </cell>
          <cell r="FB74">
            <v>38</v>
          </cell>
          <cell r="FC74">
            <v>69.400000000000006</v>
          </cell>
          <cell r="FD74">
            <v>56</v>
          </cell>
          <cell r="FE74">
            <v>17</v>
          </cell>
          <cell r="FF74">
            <v>76.7</v>
          </cell>
          <cell r="FG74">
            <v>72</v>
          </cell>
          <cell r="FH74">
            <v>28</v>
          </cell>
          <cell r="FI74">
            <v>72</v>
          </cell>
          <cell r="FJ74">
            <v>59</v>
          </cell>
          <cell r="FK74">
            <v>29</v>
          </cell>
          <cell r="FL74">
            <v>67</v>
          </cell>
          <cell r="FM74">
            <v>58</v>
          </cell>
          <cell r="FN74">
            <v>17</v>
          </cell>
          <cell r="FO74">
            <v>77.3</v>
          </cell>
          <cell r="FP74">
            <v>35</v>
          </cell>
          <cell r="FQ74">
            <v>3</v>
          </cell>
          <cell r="FR74">
            <v>92.1</v>
          </cell>
          <cell r="FS74">
            <v>40</v>
          </cell>
          <cell r="FT74">
            <v>1</v>
          </cell>
          <cell r="FU74">
            <v>97.6</v>
          </cell>
          <cell r="FV74">
            <v>60</v>
          </cell>
          <cell r="FW74">
            <v>2</v>
          </cell>
          <cell r="FX74">
            <v>96.8</v>
          </cell>
          <cell r="FY74">
            <v>63</v>
          </cell>
          <cell r="FZ74">
            <v>63</v>
          </cell>
          <cell r="GA74">
            <v>100</v>
          </cell>
          <cell r="GB74">
            <v>115</v>
          </cell>
          <cell r="GC74">
            <v>115</v>
          </cell>
          <cell r="GD74">
            <v>100</v>
          </cell>
          <cell r="GE74">
            <v>161</v>
          </cell>
          <cell r="GF74">
            <v>15</v>
          </cell>
          <cell r="GG74">
            <v>91.5</v>
          </cell>
          <cell r="GH74">
            <v>63</v>
          </cell>
          <cell r="GI74">
            <v>14</v>
          </cell>
          <cell r="GJ74">
            <v>81.8</v>
          </cell>
          <cell r="GK74">
            <v>32</v>
          </cell>
          <cell r="GL74">
            <v>3</v>
          </cell>
          <cell r="GM74">
            <v>91.4</v>
          </cell>
          <cell r="GN74">
            <v>413</v>
          </cell>
          <cell r="GO74">
            <v>102</v>
          </cell>
          <cell r="GP74">
            <v>80.2</v>
          </cell>
          <cell r="GQ74">
            <v>510</v>
          </cell>
          <cell r="GR74">
            <v>123</v>
          </cell>
          <cell r="GS74">
            <v>80.599999999999994</v>
          </cell>
          <cell r="GT74">
            <v>514</v>
          </cell>
          <cell r="GU74">
            <v>154</v>
          </cell>
          <cell r="GV74">
            <v>76.900000000000006</v>
          </cell>
          <cell r="GW74">
            <v>498</v>
          </cell>
          <cell r="GX74">
            <v>110</v>
          </cell>
          <cell r="GY74">
            <v>81.900000000000006</v>
          </cell>
          <cell r="GZ74">
            <v>409</v>
          </cell>
          <cell r="HA74">
            <v>106</v>
          </cell>
          <cell r="HB74">
            <v>79.400000000000006</v>
          </cell>
          <cell r="HC74">
            <v>393</v>
          </cell>
          <cell r="HD74">
            <v>81</v>
          </cell>
          <cell r="HE74">
            <v>82.9</v>
          </cell>
          <cell r="HF74">
            <v>366</v>
          </cell>
          <cell r="HG74">
            <v>80</v>
          </cell>
          <cell r="HH74">
            <v>82.1</v>
          </cell>
          <cell r="HI74">
            <v>347</v>
          </cell>
          <cell r="HJ74">
            <v>78</v>
          </cell>
          <cell r="HK74">
            <v>81.599999999999994</v>
          </cell>
          <cell r="HL74">
            <v>45</v>
          </cell>
          <cell r="HM74">
            <v>28</v>
          </cell>
          <cell r="HN74">
            <v>61.6</v>
          </cell>
          <cell r="HO74">
            <v>29</v>
          </cell>
          <cell r="HP74">
            <v>33</v>
          </cell>
          <cell r="HQ74">
            <v>46.8</v>
          </cell>
          <cell r="HR74">
            <v>23</v>
          </cell>
          <cell r="HS74">
            <v>29</v>
          </cell>
          <cell r="HT74">
            <v>44.2</v>
          </cell>
          <cell r="HU74">
            <v>28</v>
          </cell>
          <cell r="HV74">
            <v>18</v>
          </cell>
          <cell r="HW74">
            <v>60.9</v>
          </cell>
          <cell r="HX74">
            <v>24</v>
          </cell>
          <cell r="HY74">
            <v>14</v>
          </cell>
          <cell r="HZ74">
            <v>63.2</v>
          </cell>
          <cell r="IA74">
            <v>24</v>
          </cell>
          <cell r="IB74">
            <v>17</v>
          </cell>
          <cell r="IC74">
            <v>58.5</v>
          </cell>
          <cell r="ID74">
            <v>13</v>
          </cell>
          <cell r="IE74">
            <v>21</v>
          </cell>
          <cell r="IF74">
            <v>38.200000000000003</v>
          </cell>
          <cell r="IG74">
            <v>17</v>
          </cell>
          <cell r="IH74">
            <v>9</v>
          </cell>
          <cell r="II74">
            <v>65.400000000000006</v>
          </cell>
          <cell r="IJ74">
            <v>30</v>
          </cell>
          <cell r="IK74">
            <v>9</v>
          </cell>
          <cell r="IL74">
            <v>76.900000000000006</v>
          </cell>
          <cell r="IM74">
            <v>27</v>
          </cell>
          <cell r="IN74">
            <v>8</v>
          </cell>
          <cell r="IO74">
            <v>77.099999999999994</v>
          </cell>
          <cell r="IP74">
            <v>11</v>
          </cell>
          <cell r="IQ74">
            <v>4</v>
          </cell>
          <cell r="IR74">
            <v>73.3</v>
          </cell>
          <cell r="IS74">
            <v>8</v>
          </cell>
          <cell r="IT74">
            <v>5</v>
          </cell>
          <cell r="IU74">
            <v>61.5</v>
          </cell>
          <cell r="IV74">
            <v>13</v>
          </cell>
          <cell r="IW74">
            <v>5</v>
          </cell>
          <cell r="IX74">
            <v>72.2</v>
          </cell>
          <cell r="IY74">
            <v>10</v>
          </cell>
          <cell r="IZ74">
            <v>6</v>
          </cell>
          <cell r="JA74">
            <v>62.5</v>
          </cell>
          <cell r="JB74">
            <v>21</v>
          </cell>
          <cell r="JC74">
            <v>8</v>
          </cell>
          <cell r="JD74">
            <v>72.400000000000006</v>
          </cell>
          <cell r="JE74">
            <v>21</v>
          </cell>
          <cell r="JF74">
            <v>3</v>
          </cell>
          <cell r="JG74">
            <v>87.5</v>
          </cell>
          <cell r="JH74">
            <v>35</v>
          </cell>
          <cell r="JI74">
            <v>1</v>
          </cell>
          <cell r="JJ74">
            <v>97.222222222222214</v>
          </cell>
          <cell r="JK74">
            <v>13</v>
          </cell>
          <cell r="JL74">
            <v>0</v>
          </cell>
          <cell r="JM74">
            <v>100</v>
          </cell>
          <cell r="JN74">
            <v>17</v>
          </cell>
          <cell r="JO74">
            <v>1</v>
          </cell>
          <cell r="JP74">
            <v>94.444444444444443</v>
          </cell>
          <cell r="JQ74">
            <v>1714</v>
          </cell>
          <cell r="JR74">
            <v>331</v>
          </cell>
          <cell r="JS74">
            <v>83.814180929095343</v>
          </cell>
          <cell r="JT74">
            <v>742</v>
          </cell>
          <cell r="JU74">
            <v>241</v>
          </cell>
          <cell r="JV74">
            <v>75.48321464903357</v>
          </cell>
          <cell r="JW74">
            <v>10</v>
          </cell>
          <cell r="JX74">
            <v>0</v>
          </cell>
          <cell r="JY74">
            <v>100</v>
          </cell>
          <cell r="JZ74">
            <v>331</v>
          </cell>
          <cell r="KA74">
            <v>129</v>
          </cell>
          <cell r="KB74">
            <v>71.956521739130437</v>
          </cell>
          <cell r="KC74">
            <v>434</v>
          </cell>
          <cell r="KD74">
            <v>32</v>
          </cell>
          <cell r="KE74">
            <v>93.133047210300418</v>
          </cell>
          <cell r="KF74">
            <v>2013</v>
          </cell>
          <cell r="KG74">
            <v>455</v>
          </cell>
          <cell r="KH74">
            <v>81.56401944894651</v>
          </cell>
          <cell r="KI74">
            <v>106</v>
          </cell>
          <cell r="KJ74">
            <v>79</v>
          </cell>
          <cell r="KK74">
            <v>57.297297297297298</v>
          </cell>
          <cell r="KL74">
            <v>73</v>
          </cell>
          <cell r="KM74">
            <v>27</v>
          </cell>
          <cell r="KN74">
            <v>73</v>
          </cell>
        </row>
        <row r="75">
          <cell r="C75" t="str">
            <v>Fejér MRFK Központ</v>
          </cell>
          <cell r="D75">
            <v>8</v>
          </cell>
          <cell r="E75">
            <v>1</v>
          </cell>
          <cell r="F75">
            <v>88.9</v>
          </cell>
          <cell r="G75">
            <v>13</v>
          </cell>
          <cell r="H75">
            <v>1</v>
          </cell>
          <cell r="I75">
            <v>92.9</v>
          </cell>
          <cell r="J75">
            <v>7</v>
          </cell>
          <cell r="K75">
            <v>1</v>
          </cell>
          <cell r="L75">
            <v>87.5</v>
          </cell>
          <cell r="M75">
            <v>8</v>
          </cell>
          <cell r="N75">
            <v>1</v>
          </cell>
          <cell r="O75">
            <v>88.9</v>
          </cell>
          <cell r="P75">
            <v>13</v>
          </cell>
          <cell r="Q75">
            <v>2</v>
          </cell>
          <cell r="R75">
            <v>86.7</v>
          </cell>
          <cell r="S75">
            <v>8</v>
          </cell>
          <cell r="T75">
            <v>2</v>
          </cell>
          <cell r="U75">
            <v>80</v>
          </cell>
          <cell r="V75">
            <v>4</v>
          </cell>
          <cell r="W75">
            <v>1</v>
          </cell>
          <cell r="X75">
            <v>80</v>
          </cell>
          <cell r="Y75">
            <v>6</v>
          </cell>
          <cell r="Z75">
            <v>6</v>
          </cell>
          <cell r="AA75">
            <v>100</v>
          </cell>
          <cell r="AB75">
            <v>2</v>
          </cell>
          <cell r="AC75">
            <v>1</v>
          </cell>
          <cell r="AD75">
            <v>66.7</v>
          </cell>
          <cell r="AE75">
            <v>6</v>
          </cell>
          <cell r="AF75">
            <v>6</v>
          </cell>
          <cell r="AG75">
            <v>100</v>
          </cell>
          <cell r="AH75">
            <v>4</v>
          </cell>
          <cell r="AI75">
            <v>4</v>
          </cell>
          <cell r="AJ75">
            <v>100</v>
          </cell>
          <cell r="AK75">
            <v>5</v>
          </cell>
          <cell r="AL75">
            <v>1</v>
          </cell>
          <cell r="AM75">
            <v>83.3</v>
          </cell>
          <cell r="AN75">
            <v>7</v>
          </cell>
          <cell r="AO75">
            <v>2</v>
          </cell>
          <cell r="AP75">
            <v>77.8</v>
          </cell>
          <cell r="AQ75">
            <v>2</v>
          </cell>
          <cell r="AR75">
            <v>2</v>
          </cell>
          <cell r="AS75">
            <v>100</v>
          </cell>
          <cell r="AT75">
            <v>4</v>
          </cell>
          <cell r="AU75">
            <v>4</v>
          </cell>
          <cell r="AV75">
            <v>100</v>
          </cell>
          <cell r="AW75">
            <v>4</v>
          </cell>
          <cell r="AX75">
            <v>4</v>
          </cell>
          <cell r="AY75">
            <v>100</v>
          </cell>
          <cell r="AZ75">
            <v>4</v>
          </cell>
          <cell r="BA75">
            <v>4</v>
          </cell>
          <cell r="BB75">
            <v>100</v>
          </cell>
          <cell r="BC75">
            <v>6</v>
          </cell>
          <cell r="BD75">
            <v>1</v>
          </cell>
          <cell r="BE75">
            <v>85.7</v>
          </cell>
          <cell r="BF75">
            <v>3</v>
          </cell>
          <cell r="BG75">
            <v>3</v>
          </cell>
          <cell r="BH75">
            <v>100</v>
          </cell>
          <cell r="BI75">
            <v>3</v>
          </cell>
          <cell r="BJ75">
            <v>3</v>
          </cell>
          <cell r="BK75">
            <v>100</v>
          </cell>
          <cell r="BL75">
            <v>4</v>
          </cell>
          <cell r="BM75">
            <v>4</v>
          </cell>
          <cell r="BN75">
            <v>100</v>
          </cell>
          <cell r="BO75">
            <v>4</v>
          </cell>
          <cell r="BP75">
            <v>1</v>
          </cell>
          <cell r="BQ75">
            <v>80</v>
          </cell>
          <cell r="BR75">
            <v>80</v>
          </cell>
          <cell r="BS75">
            <v>1</v>
          </cell>
          <cell r="BT75">
            <v>0</v>
          </cell>
          <cell r="BU75">
            <v>1</v>
          </cell>
          <cell r="BV75">
            <v>1</v>
          </cell>
          <cell r="BW75">
            <v>100</v>
          </cell>
          <cell r="BX75">
            <v>8</v>
          </cell>
          <cell r="BY75">
            <v>5</v>
          </cell>
          <cell r="BZ75">
            <v>61.5</v>
          </cell>
          <cell r="CA75">
            <v>8</v>
          </cell>
          <cell r="CB75">
            <v>1</v>
          </cell>
          <cell r="CC75">
            <v>88.9</v>
          </cell>
          <cell r="CD75">
            <v>4</v>
          </cell>
          <cell r="CE75">
            <v>2</v>
          </cell>
          <cell r="CF75">
            <v>66.7</v>
          </cell>
          <cell r="CG75">
            <v>7</v>
          </cell>
          <cell r="CH75">
            <v>1</v>
          </cell>
          <cell r="CI75">
            <v>87.5</v>
          </cell>
          <cell r="CJ75">
            <v>15</v>
          </cell>
          <cell r="CK75">
            <v>3</v>
          </cell>
          <cell r="CL75">
            <v>83.3</v>
          </cell>
          <cell r="CM75">
            <v>5</v>
          </cell>
          <cell r="CN75">
            <v>3</v>
          </cell>
          <cell r="CO75">
            <v>62.5</v>
          </cell>
          <cell r="CP75">
            <v>9</v>
          </cell>
          <cell r="CQ75">
            <v>1</v>
          </cell>
          <cell r="CR75">
            <v>90</v>
          </cell>
          <cell r="CS75">
            <v>2</v>
          </cell>
          <cell r="CT75">
            <v>2</v>
          </cell>
          <cell r="CU75">
            <v>100</v>
          </cell>
          <cell r="CV75">
            <v>8</v>
          </cell>
          <cell r="CW75">
            <v>2</v>
          </cell>
          <cell r="CX75">
            <v>80</v>
          </cell>
          <cell r="CY75">
            <v>7</v>
          </cell>
          <cell r="CZ75">
            <v>1</v>
          </cell>
          <cell r="DA75">
            <v>87.5</v>
          </cell>
          <cell r="DB75">
            <v>3</v>
          </cell>
          <cell r="DC75">
            <v>1</v>
          </cell>
          <cell r="DD75">
            <v>75</v>
          </cell>
          <cell r="DE75">
            <v>6</v>
          </cell>
          <cell r="DF75">
            <v>1</v>
          </cell>
          <cell r="DG75">
            <v>85.7</v>
          </cell>
          <cell r="DH75">
            <v>14</v>
          </cell>
          <cell r="DI75">
            <v>3</v>
          </cell>
          <cell r="DJ75">
            <v>82.4</v>
          </cell>
          <cell r="DK75">
            <v>5</v>
          </cell>
          <cell r="DL75">
            <v>3</v>
          </cell>
          <cell r="DM75">
            <v>62.5</v>
          </cell>
          <cell r="DN75">
            <v>9</v>
          </cell>
          <cell r="DO75">
            <v>1</v>
          </cell>
          <cell r="DP75">
            <v>90</v>
          </cell>
          <cell r="DQ75">
            <v>2</v>
          </cell>
          <cell r="DR75">
            <v>2</v>
          </cell>
          <cell r="DS75">
            <v>100</v>
          </cell>
          <cell r="DT75">
            <v>1</v>
          </cell>
          <cell r="DU75">
            <v>1</v>
          </cell>
          <cell r="DV75">
            <v>100</v>
          </cell>
          <cell r="DW75">
            <v>2</v>
          </cell>
          <cell r="DX75">
            <v>2</v>
          </cell>
          <cell r="DY75">
            <v>100</v>
          </cell>
          <cell r="DZ75">
            <v>100</v>
          </cell>
          <cell r="EA75">
            <v>100</v>
          </cell>
          <cell r="EB75" t="str">
            <v>-</v>
          </cell>
          <cell r="EC75">
            <v>2</v>
          </cell>
          <cell r="ED75">
            <v>2</v>
          </cell>
          <cell r="EE75">
            <v>100</v>
          </cell>
          <cell r="EF75">
            <v>3</v>
          </cell>
          <cell r="EG75">
            <v>3</v>
          </cell>
          <cell r="EH75">
            <v>100</v>
          </cell>
          <cell r="EI75">
            <v>100</v>
          </cell>
          <cell r="EJ75">
            <v>100</v>
          </cell>
          <cell r="EK75" t="str">
            <v>-</v>
          </cell>
          <cell r="EL75">
            <v>2</v>
          </cell>
          <cell r="EM75">
            <v>2</v>
          </cell>
          <cell r="EN75">
            <v>100</v>
          </cell>
          <cell r="EO75">
            <v>1</v>
          </cell>
          <cell r="EP75">
            <v>1</v>
          </cell>
          <cell r="EQ75">
            <v>100</v>
          </cell>
          <cell r="ER75">
            <v>1</v>
          </cell>
          <cell r="ES75">
            <v>1</v>
          </cell>
          <cell r="ET75">
            <v>100</v>
          </cell>
          <cell r="EU75">
            <v>100</v>
          </cell>
          <cell r="EV75">
            <v>100</v>
          </cell>
          <cell r="EW75" t="str">
            <v>-</v>
          </cell>
          <cell r="EX75">
            <v>100</v>
          </cell>
          <cell r="EY75">
            <v>100</v>
          </cell>
          <cell r="EZ75" t="str">
            <v>-</v>
          </cell>
          <cell r="FA75">
            <v>1</v>
          </cell>
          <cell r="FB75">
            <v>1</v>
          </cell>
          <cell r="FC75">
            <v>100</v>
          </cell>
          <cell r="FD75">
            <v>100</v>
          </cell>
          <cell r="FE75">
            <v>100</v>
          </cell>
          <cell r="FF75" t="str">
            <v>-</v>
          </cell>
          <cell r="FG75">
            <v>100</v>
          </cell>
          <cell r="FH75">
            <v>100</v>
          </cell>
          <cell r="FI75" t="str">
            <v>-</v>
          </cell>
          <cell r="FJ75">
            <v>100</v>
          </cell>
          <cell r="FK75">
            <v>100</v>
          </cell>
          <cell r="FL75" t="str">
            <v>-</v>
          </cell>
          <cell r="FM75">
            <v>100</v>
          </cell>
          <cell r="FN75">
            <v>100</v>
          </cell>
          <cell r="FO75" t="str">
            <v>-</v>
          </cell>
          <cell r="FP75">
            <v>100</v>
          </cell>
          <cell r="FQ75">
            <v>100</v>
          </cell>
          <cell r="FR75" t="str">
            <v>-</v>
          </cell>
          <cell r="FS75">
            <v>100</v>
          </cell>
          <cell r="FT75">
            <v>100</v>
          </cell>
          <cell r="FU75" t="str">
            <v>-</v>
          </cell>
          <cell r="FV75">
            <v>100</v>
          </cell>
          <cell r="FW75">
            <v>100</v>
          </cell>
          <cell r="FX75" t="str">
            <v>-</v>
          </cell>
          <cell r="FY75">
            <v>100</v>
          </cell>
          <cell r="FZ75">
            <v>100</v>
          </cell>
          <cell r="GA75" t="str">
            <v>-</v>
          </cell>
          <cell r="GB75">
            <v>100</v>
          </cell>
          <cell r="GC75">
            <v>100</v>
          </cell>
          <cell r="GD75" t="str">
            <v>-</v>
          </cell>
          <cell r="GE75">
            <v>18</v>
          </cell>
          <cell r="GF75">
            <v>1</v>
          </cell>
          <cell r="GG75">
            <v>94.7</v>
          </cell>
          <cell r="GH75">
            <v>2</v>
          </cell>
          <cell r="GI75">
            <v>1</v>
          </cell>
          <cell r="GJ75">
            <v>66.7</v>
          </cell>
          <cell r="GK75">
            <v>6</v>
          </cell>
          <cell r="GL75">
            <v>6</v>
          </cell>
          <cell r="GM75">
            <v>100</v>
          </cell>
          <cell r="GN75">
            <v>100</v>
          </cell>
          <cell r="GO75">
            <v>100</v>
          </cell>
          <cell r="GP75" t="str">
            <v>-</v>
          </cell>
          <cell r="GQ75">
            <v>1</v>
          </cell>
          <cell r="GR75">
            <v>1</v>
          </cell>
          <cell r="GS75">
            <v>100</v>
          </cell>
          <cell r="GT75">
            <v>100</v>
          </cell>
          <cell r="GU75">
            <v>100</v>
          </cell>
          <cell r="GV75" t="str">
            <v>-</v>
          </cell>
          <cell r="GW75">
            <v>100</v>
          </cell>
          <cell r="GX75">
            <v>100</v>
          </cell>
          <cell r="GY75" t="str">
            <v>-</v>
          </cell>
          <cell r="GZ75">
            <v>1</v>
          </cell>
          <cell r="HA75">
            <v>1</v>
          </cell>
          <cell r="HB75">
            <v>100</v>
          </cell>
          <cell r="HC75">
            <v>100</v>
          </cell>
          <cell r="HD75">
            <v>1</v>
          </cell>
          <cell r="HE75">
            <v>0</v>
          </cell>
          <cell r="HF75">
            <v>2</v>
          </cell>
          <cell r="HG75">
            <v>2</v>
          </cell>
          <cell r="HH75">
            <v>100</v>
          </cell>
          <cell r="HI75">
            <v>100</v>
          </cell>
          <cell r="HJ75">
            <v>100</v>
          </cell>
          <cell r="HK75" t="str">
            <v>-</v>
          </cell>
          <cell r="HL75">
            <v>100</v>
          </cell>
          <cell r="HM75">
            <v>1</v>
          </cell>
          <cell r="HN75">
            <v>0</v>
          </cell>
          <cell r="HO75">
            <v>0</v>
          </cell>
          <cell r="HP75">
            <v>0</v>
          </cell>
          <cell r="HQ75" t="str">
            <v>-</v>
          </cell>
          <cell r="HR75">
            <v>0</v>
          </cell>
          <cell r="HS75">
            <v>0</v>
          </cell>
          <cell r="HT75" t="str">
            <v>-</v>
          </cell>
          <cell r="HU75">
            <v>0</v>
          </cell>
          <cell r="HV75">
            <v>0</v>
          </cell>
          <cell r="HW75" t="str">
            <v>-</v>
          </cell>
          <cell r="HX75">
            <v>1</v>
          </cell>
          <cell r="HY75">
            <v>1</v>
          </cell>
          <cell r="HZ75">
            <v>50</v>
          </cell>
          <cell r="IA75">
            <v>1</v>
          </cell>
          <cell r="IB75">
            <v>2</v>
          </cell>
          <cell r="IC75">
            <v>33.299999999999997</v>
          </cell>
          <cell r="ID75">
            <v>33.29998779296875</v>
          </cell>
          <cell r="IE75">
            <v>33.29998779296875</v>
          </cell>
          <cell r="IF75" t="str">
            <v>-</v>
          </cell>
          <cell r="IG75">
            <v>33.29998779296875</v>
          </cell>
          <cell r="IH75">
            <v>33.29998779296875</v>
          </cell>
          <cell r="II75" t="str">
            <v>-</v>
          </cell>
          <cell r="IJ75">
            <v>5</v>
          </cell>
          <cell r="IK75">
            <v>1</v>
          </cell>
          <cell r="IL75">
            <v>83.3</v>
          </cell>
          <cell r="IM75">
            <v>3</v>
          </cell>
          <cell r="IN75">
            <v>1</v>
          </cell>
          <cell r="IO75">
            <v>75</v>
          </cell>
          <cell r="IP75">
            <v>75</v>
          </cell>
          <cell r="IQ75">
            <v>75</v>
          </cell>
          <cell r="IR75" t="str">
            <v>-</v>
          </cell>
          <cell r="IS75">
            <v>75</v>
          </cell>
          <cell r="IT75">
            <v>75</v>
          </cell>
          <cell r="IU75" t="str">
            <v>-</v>
          </cell>
          <cell r="IV75">
            <v>28</v>
          </cell>
          <cell r="IW75">
            <v>3</v>
          </cell>
          <cell r="IX75">
            <v>90.3</v>
          </cell>
          <cell r="IY75">
            <v>4</v>
          </cell>
          <cell r="IZ75">
            <v>4</v>
          </cell>
          <cell r="JA75">
            <v>100</v>
          </cell>
          <cell r="JB75">
            <v>100</v>
          </cell>
          <cell r="JC75">
            <v>100</v>
          </cell>
          <cell r="JD75" t="str">
            <v>-</v>
          </cell>
          <cell r="JE75">
            <v>2</v>
          </cell>
          <cell r="JF75">
            <v>2</v>
          </cell>
          <cell r="JG75">
            <v>100</v>
          </cell>
          <cell r="JH75">
            <v>39</v>
          </cell>
          <cell r="JI75">
            <v>6</v>
          </cell>
          <cell r="JJ75">
            <v>86.666666666666671</v>
          </cell>
          <cell r="JK75">
            <v>22</v>
          </cell>
          <cell r="JL75">
            <v>3</v>
          </cell>
          <cell r="JM75">
            <v>88</v>
          </cell>
          <cell r="JN75">
            <v>12</v>
          </cell>
          <cell r="JO75">
            <v>2</v>
          </cell>
          <cell r="JP75">
            <v>85.714285714285708</v>
          </cell>
          <cell r="JQ75">
            <v>38</v>
          </cell>
          <cell r="JR75">
            <v>8</v>
          </cell>
          <cell r="JS75">
            <v>82.608695652173907</v>
          </cell>
          <cell r="JT75">
            <v>36</v>
          </cell>
          <cell r="JU75">
            <v>8</v>
          </cell>
          <cell r="JV75">
            <v>81.818181818181827</v>
          </cell>
          <cell r="JW75">
            <v>8</v>
          </cell>
          <cell r="JX75">
            <v>0</v>
          </cell>
          <cell r="JY75">
            <v>100</v>
          </cell>
          <cell r="JZ75">
            <v>1</v>
          </cell>
          <cell r="KA75">
            <v>0</v>
          </cell>
          <cell r="KB75">
            <v>100</v>
          </cell>
          <cell r="KC75">
            <v>26</v>
          </cell>
          <cell r="KD75">
            <v>2</v>
          </cell>
          <cell r="KE75">
            <v>92.857142857142861</v>
          </cell>
          <cell r="KF75">
            <v>3</v>
          </cell>
          <cell r="KG75">
            <v>1</v>
          </cell>
          <cell r="KH75">
            <v>75</v>
          </cell>
          <cell r="KI75">
            <v>2</v>
          </cell>
          <cell r="KJ75">
            <v>3</v>
          </cell>
          <cell r="KK75">
            <v>40</v>
          </cell>
          <cell r="KL75">
            <v>34</v>
          </cell>
          <cell r="KM75">
            <v>3</v>
          </cell>
          <cell r="KN75">
            <v>91.891891891891902</v>
          </cell>
        </row>
        <row r="76">
          <cell r="C76" t="str">
            <v>Székesfehérvári Rendőrkapitányság</v>
          </cell>
          <cell r="D76">
            <v>91.891845703125</v>
          </cell>
          <cell r="E76">
            <v>91.891845703125</v>
          </cell>
          <cell r="F76" t="str">
            <v>-</v>
          </cell>
          <cell r="G76">
            <v>91.891845703125</v>
          </cell>
          <cell r="H76">
            <v>91.891845703125</v>
          </cell>
          <cell r="I76" t="str">
            <v>-</v>
          </cell>
          <cell r="J76">
            <v>91.891845703125</v>
          </cell>
          <cell r="K76">
            <v>91.891845703125</v>
          </cell>
          <cell r="L76" t="str">
            <v>-</v>
          </cell>
          <cell r="M76">
            <v>91.891845703125</v>
          </cell>
          <cell r="N76">
            <v>91.891845703125</v>
          </cell>
          <cell r="O76" t="str">
            <v>-</v>
          </cell>
          <cell r="P76">
            <v>91.891845703125</v>
          </cell>
          <cell r="Q76">
            <v>91.891845703125</v>
          </cell>
          <cell r="R76" t="str">
            <v>-</v>
          </cell>
          <cell r="S76">
            <v>1</v>
          </cell>
          <cell r="T76">
            <v>1</v>
          </cell>
          <cell r="U76">
            <v>100</v>
          </cell>
          <cell r="V76">
            <v>100</v>
          </cell>
          <cell r="W76">
            <v>100</v>
          </cell>
          <cell r="X76" t="str">
            <v>-</v>
          </cell>
          <cell r="Y76">
            <v>100</v>
          </cell>
          <cell r="Z76">
            <v>100</v>
          </cell>
          <cell r="AA76" t="str">
            <v>-</v>
          </cell>
          <cell r="AB76">
            <v>100</v>
          </cell>
          <cell r="AC76">
            <v>100</v>
          </cell>
          <cell r="AD76" t="str">
            <v>-</v>
          </cell>
          <cell r="AE76">
            <v>100</v>
          </cell>
          <cell r="AF76">
            <v>100</v>
          </cell>
          <cell r="AG76" t="str">
            <v>-</v>
          </cell>
          <cell r="AH76">
            <v>100</v>
          </cell>
          <cell r="AI76">
            <v>100</v>
          </cell>
          <cell r="AJ76" t="str">
            <v>-</v>
          </cell>
          <cell r="AK76">
            <v>100</v>
          </cell>
          <cell r="AL76">
            <v>100</v>
          </cell>
          <cell r="AM76" t="str">
            <v>-</v>
          </cell>
          <cell r="AN76">
            <v>100</v>
          </cell>
          <cell r="AO76">
            <v>100</v>
          </cell>
          <cell r="AP76" t="str">
            <v>-</v>
          </cell>
          <cell r="AQ76">
            <v>100</v>
          </cell>
          <cell r="AR76">
            <v>100</v>
          </cell>
          <cell r="AS76" t="str">
            <v>-</v>
          </cell>
          <cell r="AT76">
            <v>100</v>
          </cell>
          <cell r="AU76">
            <v>100</v>
          </cell>
          <cell r="AV76" t="str">
            <v>-</v>
          </cell>
          <cell r="AW76">
            <v>100</v>
          </cell>
          <cell r="AX76">
            <v>100</v>
          </cell>
          <cell r="AY76" t="str">
            <v>-</v>
          </cell>
          <cell r="AZ76">
            <v>100</v>
          </cell>
          <cell r="BA76">
            <v>100</v>
          </cell>
          <cell r="BB76" t="str">
            <v>-</v>
          </cell>
          <cell r="BC76">
            <v>100</v>
          </cell>
          <cell r="BD76">
            <v>100</v>
          </cell>
          <cell r="BE76" t="str">
            <v>-</v>
          </cell>
          <cell r="BF76">
            <v>100</v>
          </cell>
          <cell r="BG76">
            <v>100</v>
          </cell>
          <cell r="BH76" t="str">
            <v>-</v>
          </cell>
          <cell r="BI76">
            <v>100</v>
          </cell>
          <cell r="BJ76">
            <v>100</v>
          </cell>
          <cell r="BK76" t="str">
            <v>-</v>
          </cell>
          <cell r="BL76">
            <v>100</v>
          </cell>
          <cell r="BM76">
            <v>100</v>
          </cell>
          <cell r="BN76" t="str">
            <v>-</v>
          </cell>
          <cell r="BO76">
            <v>100</v>
          </cell>
          <cell r="BP76">
            <v>100</v>
          </cell>
          <cell r="BQ76" t="str">
            <v>-</v>
          </cell>
          <cell r="BR76">
            <v>100</v>
          </cell>
          <cell r="BS76">
            <v>100</v>
          </cell>
          <cell r="BT76" t="str">
            <v>-</v>
          </cell>
          <cell r="BU76">
            <v>100</v>
          </cell>
          <cell r="BV76">
            <v>100</v>
          </cell>
          <cell r="BW76" t="str">
            <v>-</v>
          </cell>
          <cell r="BX76">
            <v>205</v>
          </cell>
          <cell r="BY76">
            <v>73</v>
          </cell>
          <cell r="BZ76">
            <v>73.7</v>
          </cell>
          <cell r="CA76">
            <v>163</v>
          </cell>
          <cell r="CB76">
            <v>73</v>
          </cell>
          <cell r="CC76">
            <v>69.099999999999994</v>
          </cell>
          <cell r="CD76">
            <v>140</v>
          </cell>
          <cell r="CE76">
            <v>105</v>
          </cell>
          <cell r="CF76">
            <v>57.1</v>
          </cell>
          <cell r="CG76">
            <v>139</v>
          </cell>
          <cell r="CH76">
            <v>82</v>
          </cell>
          <cell r="CI76">
            <v>62.9</v>
          </cell>
          <cell r="CJ76">
            <v>137</v>
          </cell>
          <cell r="CK76">
            <v>55</v>
          </cell>
          <cell r="CL76">
            <v>71.400000000000006</v>
          </cell>
          <cell r="CM76">
            <v>125</v>
          </cell>
          <cell r="CN76">
            <v>51</v>
          </cell>
          <cell r="CO76">
            <v>71</v>
          </cell>
          <cell r="CP76">
            <v>153</v>
          </cell>
          <cell r="CQ76">
            <v>48</v>
          </cell>
          <cell r="CR76">
            <v>76.099999999999994</v>
          </cell>
          <cell r="CS76">
            <v>96</v>
          </cell>
          <cell r="CT76">
            <v>19</v>
          </cell>
          <cell r="CU76">
            <v>83.5</v>
          </cell>
          <cell r="CV76">
            <v>79</v>
          </cell>
          <cell r="CW76">
            <v>53</v>
          </cell>
          <cell r="CX76">
            <v>59.8</v>
          </cell>
          <cell r="CY76">
            <v>104</v>
          </cell>
          <cell r="CZ76">
            <v>50</v>
          </cell>
          <cell r="DA76">
            <v>67.5</v>
          </cell>
          <cell r="DB76">
            <v>86</v>
          </cell>
          <cell r="DC76">
            <v>79</v>
          </cell>
          <cell r="DD76">
            <v>52.1</v>
          </cell>
          <cell r="DE76">
            <v>90</v>
          </cell>
          <cell r="DF76">
            <v>67</v>
          </cell>
          <cell r="DG76">
            <v>57.3</v>
          </cell>
          <cell r="DH76">
            <v>82</v>
          </cell>
          <cell r="DI76">
            <v>53</v>
          </cell>
          <cell r="DJ76">
            <v>60.7</v>
          </cell>
          <cell r="DK76">
            <v>95</v>
          </cell>
          <cell r="DL76">
            <v>40</v>
          </cell>
          <cell r="DM76">
            <v>70.400000000000006</v>
          </cell>
          <cell r="DN76">
            <v>98</v>
          </cell>
          <cell r="DO76">
            <v>40</v>
          </cell>
          <cell r="DP76">
            <v>71</v>
          </cell>
          <cell r="DQ76">
            <v>58</v>
          </cell>
          <cell r="DR76">
            <v>17</v>
          </cell>
          <cell r="DS76">
            <v>77.3</v>
          </cell>
          <cell r="DT76">
            <v>77.29998779296875</v>
          </cell>
          <cell r="DU76">
            <v>77.29998779296875</v>
          </cell>
          <cell r="DV76" t="str">
            <v>-</v>
          </cell>
          <cell r="DW76">
            <v>77.29998779296875</v>
          </cell>
          <cell r="DX76">
            <v>77.29998779296875</v>
          </cell>
          <cell r="DY76" t="str">
            <v>-</v>
          </cell>
          <cell r="DZ76">
            <v>77.29998779296875</v>
          </cell>
          <cell r="EA76">
            <v>77.29998779296875</v>
          </cell>
          <cell r="EB76" t="str">
            <v>-</v>
          </cell>
          <cell r="EC76">
            <v>77.29998779296875</v>
          </cell>
          <cell r="ED76">
            <v>77.29998779296875</v>
          </cell>
          <cell r="EE76" t="str">
            <v>-</v>
          </cell>
          <cell r="EF76">
            <v>77.29998779296875</v>
          </cell>
          <cell r="EG76">
            <v>77.29998779296875</v>
          </cell>
          <cell r="EH76" t="str">
            <v>-</v>
          </cell>
          <cell r="EI76">
            <v>77.29998779296875</v>
          </cell>
          <cell r="EJ76">
            <v>77.29998779296875</v>
          </cell>
          <cell r="EK76" t="str">
            <v>-</v>
          </cell>
          <cell r="EL76">
            <v>77.29998779296875</v>
          </cell>
          <cell r="EM76">
            <v>77.29998779296875</v>
          </cell>
          <cell r="EN76" t="str">
            <v>-</v>
          </cell>
          <cell r="EO76">
            <v>77.29998779296875</v>
          </cell>
          <cell r="EP76">
            <v>77.29998779296875</v>
          </cell>
          <cell r="EQ76" t="str">
            <v>-</v>
          </cell>
          <cell r="ER76">
            <v>27</v>
          </cell>
          <cell r="ES76">
            <v>6</v>
          </cell>
          <cell r="ET76">
            <v>81.8</v>
          </cell>
          <cell r="EU76">
            <v>35</v>
          </cell>
          <cell r="EV76">
            <v>11</v>
          </cell>
          <cell r="EW76">
            <v>76.099999999999994</v>
          </cell>
          <cell r="EX76">
            <v>18</v>
          </cell>
          <cell r="EY76">
            <v>9</v>
          </cell>
          <cell r="EZ76">
            <v>66.7</v>
          </cell>
          <cell r="FA76">
            <v>9</v>
          </cell>
          <cell r="FB76">
            <v>10</v>
          </cell>
          <cell r="FC76">
            <v>47.4</v>
          </cell>
          <cell r="FD76">
            <v>10</v>
          </cell>
          <cell r="FE76">
            <v>1</v>
          </cell>
          <cell r="FF76">
            <v>90.9</v>
          </cell>
          <cell r="FG76">
            <v>20</v>
          </cell>
          <cell r="FH76">
            <v>9</v>
          </cell>
          <cell r="FI76">
            <v>69</v>
          </cell>
          <cell r="FJ76">
            <v>6</v>
          </cell>
          <cell r="FK76">
            <v>2</v>
          </cell>
          <cell r="FL76">
            <v>75</v>
          </cell>
          <cell r="FM76">
            <v>11</v>
          </cell>
          <cell r="FN76">
            <v>2</v>
          </cell>
          <cell r="FO76">
            <v>84.6</v>
          </cell>
          <cell r="FP76">
            <v>84.5999755859375</v>
          </cell>
          <cell r="FQ76">
            <v>84.5999755859375</v>
          </cell>
          <cell r="FR76" t="str">
            <v>-</v>
          </cell>
          <cell r="FS76">
            <v>84.5999755859375</v>
          </cell>
          <cell r="FT76">
            <v>84.5999755859375</v>
          </cell>
          <cell r="FU76" t="str">
            <v>-</v>
          </cell>
          <cell r="FV76">
            <v>84.5999755859375</v>
          </cell>
          <cell r="FW76">
            <v>84.5999755859375</v>
          </cell>
          <cell r="FX76" t="str">
            <v>-</v>
          </cell>
          <cell r="FY76">
            <v>84.5999755859375</v>
          </cell>
          <cell r="FZ76">
            <v>84.5999755859375</v>
          </cell>
          <cell r="GA76" t="str">
            <v>-</v>
          </cell>
          <cell r="GB76">
            <v>84.5999755859375</v>
          </cell>
          <cell r="GC76">
            <v>84.5999755859375</v>
          </cell>
          <cell r="GD76" t="str">
            <v>-</v>
          </cell>
          <cell r="GE76">
            <v>84.5999755859375</v>
          </cell>
          <cell r="GF76">
            <v>84.5999755859375</v>
          </cell>
          <cell r="GG76" t="str">
            <v>-</v>
          </cell>
          <cell r="GH76">
            <v>84.5999755859375</v>
          </cell>
          <cell r="GI76">
            <v>84.5999755859375</v>
          </cell>
          <cell r="GJ76" t="str">
            <v>-</v>
          </cell>
          <cell r="GK76">
            <v>84.5999755859375</v>
          </cell>
          <cell r="GL76">
            <v>84.5999755859375</v>
          </cell>
          <cell r="GM76" t="str">
            <v>-</v>
          </cell>
          <cell r="GN76">
            <v>150</v>
          </cell>
          <cell r="GO76">
            <v>75</v>
          </cell>
          <cell r="GP76">
            <v>66.7</v>
          </cell>
          <cell r="GQ76">
            <v>117</v>
          </cell>
          <cell r="GR76">
            <v>93</v>
          </cell>
          <cell r="GS76">
            <v>55.7</v>
          </cell>
          <cell r="GT76">
            <v>127</v>
          </cell>
          <cell r="GU76">
            <v>106</v>
          </cell>
          <cell r="GV76">
            <v>54.5</v>
          </cell>
          <cell r="GW76">
            <v>86</v>
          </cell>
          <cell r="GX76">
            <v>70</v>
          </cell>
          <cell r="GY76">
            <v>55.1</v>
          </cell>
          <cell r="GZ76">
            <v>128</v>
          </cell>
          <cell r="HA76">
            <v>45</v>
          </cell>
          <cell r="HB76">
            <v>74</v>
          </cell>
          <cell r="HC76">
            <v>72</v>
          </cell>
          <cell r="HD76">
            <v>33</v>
          </cell>
          <cell r="HE76">
            <v>68.599999999999994</v>
          </cell>
          <cell r="HF76">
            <v>101</v>
          </cell>
          <cell r="HG76">
            <v>19</v>
          </cell>
          <cell r="HH76">
            <v>84.2</v>
          </cell>
          <cell r="HI76">
            <v>75</v>
          </cell>
          <cell r="HJ76">
            <v>15</v>
          </cell>
          <cell r="HK76">
            <v>83.3</v>
          </cell>
          <cell r="HL76">
            <v>12</v>
          </cell>
          <cell r="HM76">
            <v>29</v>
          </cell>
          <cell r="HN76">
            <v>29.3</v>
          </cell>
          <cell r="HO76">
            <v>9</v>
          </cell>
          <cell r="HP76">
            <v>21</v>
          </cell>
          <cell r="HQ76">
            <v>30</v>
          </cell>
          <cell r="HR76">
            <v>6</v>
          </cell>
          <cell r="HS76">
            <v>17</v>
          </cell>
          <cell r="HT76">
            <v>26.1</v>
          </cell>
          <cell r="HU76">
            <v>7</v>
          </cell>
          <cell r="HV76">
            <v>6</v>
          </cell>
          <cell r="HW76">
            <v>53.8</v>
          </cell>
          <cell r="HX76">
            <v>8</v>
          </cell>
          <cell r="HY76">
            <v>4</v>
          </cell>
          <cell r="HZ76">
            <v>66.7</v>
          </cell>
          <cell r="IA76">
            <v>2</v>
          </cell>
          <cell r="IB76">
            <v>2</v>
          </cell>
          <cell r="IC76">
            <v>50</v>
          </cell>
          <cell r="ID76">
            <v>4</v>
          </cell>
          <cell r="IE76">
            <v>2</v>
          </cell>
          <cell r="IF76">
            <v>66.7</v>
          </cell>
          <cell r="IG76">
            <v>66.699951171875</v>
          </cell>
          <cell r="IH76">
            <v>1</v>
          </cell>
          <cell r="II76">
            <v>0</v>
          </cell>
          <cell r="IJ76">
            <v>5</v>
          </cell>
          <cell r="IK76">
            <v>2</v>
          </cell>
          <cell r="IL76">
            <v>71.400000000000006</v>
          </cell>
          <cell r="IM76">
            <v>10</v>
          </cell>
          <cell r="IN76">
            <v>5</v>
          </cell>
          <cell r="IO76">
            <v>66.7</v>
          </cell>
          <cell r="IP76">
            <v>2</v>
          </cell>
          <cell r="IQ76">
            <v>3</v>
          </cell>
          <cell r="IR76">
            <v>40</v>
          </cell>
          <cell r="IS76">
            <v>12</v>
          </cell>
          <cell r="IT76">
            <v>8</v>
          </cell>
          <cell r="IU76">
            <v>60</v>
          </cell>
          <cell r="IV76">
            <v>3</v>
          </cell>
          <cell r="IW76">
            <v>1</v>
          </cell>
          <cell r="IX76">
            <v>75</v>
          </cell>
          <cell r="IY76">
            <v>10</v>
          </cell>
          <cell r="IZ76">
            <v>1</v>
          </cell>
          <cell r="JA76">
            <v>90.9</v>
          </cell>
          <cell r="JB76">
            <v>8</v>
          </cell>
          <cell r="JC76">
            <v>8</v>
          </cell>
          <cell r="JD76">
            <v>100</v>
          </cell>
          <cell r="JE76">
            <v>6</v>
          </cell>
          <cell r="JF76">
            <v>6</v>
          </cell>
          <cell r="JG76">
            <v>100</v>
          </cell>
          <cell r="JH76">
            <v>1</v>
          </cell>
          <cell r="JI76">
            <v>0</v>
          </cell>
          <cell r="JJ76">
            <v>100</v>
          </cell>
          <cell r="JK76">
            <v>0</v>
          </cell>
          <cell r="JL76">
            <v>0</v>
          </cell>
          <cell r="JM76" t="str">
            <v>-</v>
          </cell>
          <cell r="JN76">
            <v>0</v>
          </cell>
          <cell r="JO76">
            <v>0</v>
          </cell>
          <cell r="JP76" t="str">
            <v>-</v>
          </cell>
          <cell r="JQ76">
            <v>650</v>
          </cell>
          <cell r="JR76">
            <v>255</v>
          </cell>
          <cell r="JS76">
            <v>71.823204419889507</v>
          </cell>
          <cell r="JT76">
            <v>423</v>
          </cell>
          <cell r="JU76">
            <v>217</v>
          </cell>
          <cell r="JV76">
            <v>66.09375</v>
          </cell>
          <cell r="JW76">
            <v>0</v>
          </cell>
          <cell r="JX76">
            <v>0</v>
          </cell>
          <cell r="JY76" t="str">
            <v>-</v>
          </cell>
          <cell r="JZ76">
            <v>56</v>
          </cell>
          <cell r="KA76">
            <v>24</v>
          </cell>
          <cell r="KB76">
            <v>70</v>
          </cell>
          <cell r="KC76">
            <v>0</v>
          </cell>
          <cell r="KD76">
            <v>0</v>
          </cell>
          <cell r="KE76" t="str">
            <v>-</v>
          </cell>
          <cell r="KF76">
            <v>462</v>
          </cell>
          <cell r="KG76">
            <v>182</v>
          </cell>
          <cell r="KH76">
            <v>71.739130434782609</v>
          </cell>
          <cell r="KI76">
            <v>21</v>
          </cell>
          <cell r="KJ76">
            <v>15</v>
          </cell>
          <cell r="KK76">
            <v>58.333333333333336</v>
          </cell>
          <cell r="KL76">
            <v>39</v>
          </cell>
          <cell r="KM76">
            <v>10</v>
          </cell>
          <cell r="KN76">
            <v>79.591836734693871</v>
          </cell>
        </row>
        <row r="77">
          <cell r="C77" t="str">
            <v>Bicskei Rendőrkapitányság</v>
          </cell>
          <cell r="D77">
            <v>79.591796875</v>
          </cell>
          <cell r="E77">
            <v>79.591796875</v>
          </cell>
          <cell r="F77" t="str">
            <v>-</v>
          </cell>
          <cell r="G77">
            <v>79.591796875</v>
          </cell>
          <cell r="H77">
            <v>79.591796875</v>
          </cell>
          <cell r="I77" t="str">
            <v>-</v>
          </cell>
          <cell r="J77">
            <v>79.591796875</v>
          </cell>
          <cell r="K77">
            <v>79.591796875</v>
          </cell>
          <cell r="L77" t="str">
            <v>-</v>
          </cell>
          <cell r="M77">
            <v>79.591796875</v>
          </cell>
          <cell r="N77">
            <v>79.591796875</v>
          </cell>
          <cell r="O77" t="str">
            <v>-</v>
          </cell>
          <cell r="P77">
            <v>79.591796875</v>
          </cell>
          <cell r="Q77">
            <v>79.591796875</v>
          </cell>
          <cell r="R77" t="str">
            <v>-</v>
          </cell>
          <cell r="S77">
            <v>79.591796875</v>
          </cell>
          <cell r="T77">
            <v>79.591796875</v>
          </cell>
          <cell r="U77" t="str">
            <v>-</v>
          </cell>
          <cell r="V77">
            <v>79.591796875</v>
          </cell>
          <cell r="W77">
            <v>79.591796875</v>
          </cell>
          <cell r="X77" t="str">
            <v>-</v>
          </cell>
          <cell r="Y77">
            <v>79.591796875</v>
          </cell>
          <cell r="Z77">
            <v>79.591796875</v>
          </cell>
          <cell r="AA77" t="str">
            <v>-</v>
          </cell>
          <cell r="AB77">
            <v>79.591796875</v>
          </cell>
          <cell r="AC77">
            <v>79.591796875</v>
          </cell>
          <cell r="AD77" t="str">
            <v>-</v>
          </cell>
          <cell r="AE77">
            <v>79.591796875</v>
          </cell>
          <cell r="AF77">
            <v>79.591796875</v>
          </cell>
          <cell r="AG77" t="str">
            <v>-</v>
          </cell>
          <cell r="AH77">
            <v>79.591796875</v>
          </cell>
          <cell r="AI77">
            <v>79.591796875</v>
          </cell>
          <cell r="AJ77" t="str">
            <v>-</v>
          </cell>
          <cell r="AK77">
            <v>79.591796875</v>
          </cell>
          <cell r="AL77">
            <v>79.591796875</v>
          </cell>
          <cell r="AM77" t="str">
            <v>-</v>
          </cell>
          <cell r="AN77">
            <v>79.591796875</v>
          </cell>
          <cell r="AO77">
            <v>79.591796875</v>
          </cell>
          <cell r="AP77" t="str">
            <v>-</v>
          </cell>
          <cell r="AQ77">
            <v>79.591796875</v>
          </cell>
          <cell r="AR77">
            <v>79.591796875</v>
          </cell>
          <cell r="AS77" t="str">
            <v>-</v>
          </cell>
          <cell r="AT77">
            <v>79.591796875</v>
          </cell>
          <cell r="AU77">
            <v>79.591796875</v>
          </cell>
          <cell r="AV77" t="str">
            <v>-</v>
          </cell>
          <cell r="AW77">
            <v>79.591796875</v>
          </cell>
          <cell r="AX77">
            <v>79.591796875</v>
          </cell>
          <cell r="AY77" t="str">
            <v>-</v>
          </cell>
          <cell r="AZ77">
            <v>79.591796875</v>
          </cell>
          <cell r="BA77">
            <v>79.591796875</v>
          </cell>
          <cell r="BB77" t="str">
            <v>-</v>
          </cell>
          <cell r="BC77">
            <v>79.591796875</v>
          </cell>
          <cell r="BD77">
            <v>79.591796875</v>
          </cell>
          <cell r="BE77" t="str">
            <v>-</v>
          </cell>
          <cell r="BF77">
            <v>79.591796875</v>
          </cell>
          <cell r="BG77">
            <v>79.591796875</v>
          </cell>
          <cell r="BH77" t="str">
            <v>-</v>
          </cell>
          <cell r="BI77">
            <v>79.591796875</v>
          </cell>
          <cell r="BJ77">
            <v>79.591796875</v>
          </cell>
          <cell r="BK77" t="str">
            <v>-</v>
          </cell>
          <cell r="BL77">
            <v>79.591796875</v>
          </cell>
          <cell r="BM77">
            <v>79.591796875</v>
          </cell>
          <cell r="BN77" t="str">
            <v>-</v>
          </cell>
          <cell r="BO77">
            <v>79.591796875</v>
          </cell>
          <cell r="BP77">
            <v>79.591796875</v>
          </cell>
          <cell r="BQ77" t="str">
            <v>-</v>
          </cell>
          <cell r="BR77">
            <v>79.591796875</v>
          </cell>
          <cell r="BS77">
            <v>79.591796875</v>
          </cell>
          <cell r="BT77" t="str">
            <v>-</v>
          </cell>
          <cell r="BU77">
            <v>79.591796875</v>
          </cell>
          <cell r="BV77">
            <v>79.591796875</v>
          </cell>
          <cell r="BW77" t="str">
            <v>-</v>
          </cell>
          <cell r="BX77">
            <v>91</v>
          </cell>
          <cell r="BY77">
            <v>11</v>
          </cell>
          <cell r="BZ77">
            <v>89.2</v>
          </cell>
          <cell r="CA77">
            <v>49</v>
          </cell>
          <cell r="CB77">
            <v>9</v>
          </cell>
          <cell r="CC77">
            <v>84.5</v>
          </cell>
          <cell r="CD77">
            <v>28</v>
          </cell>
          <cell r="CE77">
            <v>15</v>
          </cell>
          <cell r="CF77">
            <v>65.099999999999994</v>
          </cell>
          <cell r="CG77">
            <v>59</v>
          </cell>
          <cell r="CH77">
            <v>12</v>
          </cell>
          <cell r="CI77">
            <v>83.1</v>
          </cell>
          <cell r="CJ77">
            <v>230</v>
          </cell>
          <cell r="CK77">
            <v>3</v>
          </cell>
          <cell r="CL77">
            <v>98.7</v>
          </cell>
          <cell r="CM77">
            <v>45</v>
          </cell>
          <cell r="CN77">
            <v>4</v>
          </cell>
          <cell r="CO77">
            <v>91.8</v>
          </cell>
          <cell r="CP77">
            <v>19</v>
          </cell>
          <cell r="CQ77">
            <v>3</v>
          </cell>
          <cell r="CR77">
            <v>86.4</v>
          </cell>
          <cell r="CS77">
            <v>27</v>
          </cell>
          <cell r="CT77">
            <v>5</v>
          </cell>
          <cell r="CU77">
            <v>84.4</v>
          </cell>
          <cell r="CV77">
            <v>28</v>
          </cell>
          <cell r="CW77">
            <v>11</v>
          </cell>
          <cell r="CX77">
            <v>71.8</v>
          </cell>
          <cell r="CY77">
            <v>40</v>
          </cell>
          <cell r="CZ77">
            <v>8</v>
          </cell>
          <cell r="DA77">
            <v>83.3</v>
          </cell>
          <cell r="DB77">
            <v>17</v>
          </cell>
          <cell r="DC77">
            <v>13</v>
          </cell>
          <cell r="DD77">
            <v>56.7</v>
          </cell>
          <cell r="DE77">
            <v>23</v>
          </cell>
          <cell r="DF77">
            <v>11</v>
          </cell>
          <cell r="DG77">
            <v>67.599999999999994</v>
          </cell>
          <cell r="DH77">
            <v>19</v>
          </cell>
          <cell r="DI77">
            <v>3</v>
          </cell>
          <cell r="DJ77">
            <v>86.4</v>
          </cell>
          <cell r="DK77">
            <v>15</v>
          </cell>
          <cell r="DL77">
            <v>3</v>
          </cell>
          <cell r="DM77">
            <v>83.3</v>
          </cell>
          <cell r="DN77">
            <v>11</v>
          </cell>
          <cell r="DO77">
            <v>3</v>
          </cell>
          <cell r="DP77">
            <v>78.599999999999994</v>
          </cell>
          <cell r="DQ77">
            <v>8</v>
          </cell>
          <cell r="DR77">
            <v>4</v>
          </cell>
          <cell r="DS77">
            <v>66.7</v>
          </cell>
          <cell r="DT77">
            <v>66.699951171875</v>
          </cell>
          <cell r="DU77">
            <v>66.699951171875</v>
          </cell>
          <cell r="DV77" t="str">
            <v>-</v>
          </cell>
          <cell r="DW77">
            <v>66.699951171875</v>
          </cell>
          <cell r="DX77">
            <v>66.699951171875</v>
          </cell>
          <cell r="DY77" t="str">
            <v>-</v>
          </cell>
          <cell r="DZ77">
            <v>66.699951171875</v>
          </cell>
          <cell r="EA77">
            <v>66.699951171875</v>
          </cell>
          <cell r="EB77" t="str">
            <v>-</v>
          </cell>
          <cell r="EC77">
            <v>66.699951171875</v>
          </cell>
          <cell r="ED77">
            <v>66.699951171875</v>
          </cell>
          <cell r="EE77" t="str">
            <v>-</v>
          </cell>
          <cell r="EF77">
            <v>66.699951171875</v>
          </cell>
          <cell r="EG77">
            <v>66.699951171875</v>
          </cell>
          <cell r="EH77" t="str">
            <v>-</v>
          </cell>
          <cell r="EI77">
            <v>66.699951171875</v>
          </cell>
          <cell r="EJ77">
            <v>66.699951171875</v>
          </cell>
          <cell r="EK77" t="str">
            <v>-</v>
          </cell>
          <cell r="EL77">
            <v>66.699951171875</v>
          </cell>
          <cell r="EM77">
            <v>66.699951171875</v>
          </cell>
          <cell r="EN77" t="str">
            <v>-</v>
          </cell>
          <cell r="EO77">
            <v>66.699951171875</v>
          </cell>
          <cell r="EP77">
            <v>66.699951171875</v>
          </cell>
          <cell r="EQ77" t="str">
            <v>-</v>
          </cell>
          <cell r="ER77">
            <v>2</v>
          </cell>
          <cell r="ES77">
            <v>2</v>
          </cell>
          <cell r="ET77">
            <v>100</v>
          </cell>
          <cell r="EU77">
            <v>1</v>
          </cell>
          <cell r="EV77">
            <v>3</v>
          </cell>
          <cell r="EW77">
            <v>25</v>
          </cell>
          <cell r="EX77">
            <v>2</v>
          </cell>
          <cell r="EY77">
            <v>1</v>
          </cell>
          <cell r="EZ77">
            <v>66.7</v>
          </cell>
          <cell r="FA77">
            <v>1</v>
          </cell>
          <cell r="FB77">
            <v>1</v>
          </cell>
          <cell r="FC77">
            <v>100</v>
          </cell>
          <cell r="FD77">
            <v>100</v>
          </cell>
          <cell r="FE77">
            <v>100</v>
          </cell>
          <cell r="FF77" t="str">
            <v>-</v>
          </cell>
          <cell r="FG77">
            <v>2</v>
          </cell>
          <cell r="FH77">
            <v>2</v>
          </cell>
          <cell r="FI77">
            <v>100</v>
          </cell>
          <cell r="FJ77">
            <v>3</v>
          </cell>
          <cell r="FK77">
            <v>3</v>
          </cell>
          <cell r="FL77">
            <v>50</v>
          </cell>
          <cell r="FM77">
            <v>6</v>
          </cell>
          <cell r="FN77">
            <v>6</v>
          </cell>
          <cell r="FO77">
            <v>100</v>
          </cell>
          <cell r="FP77">
            <v>100</v>
          </cell>
          <cell r="FQ77">
            <v>100</v>
          </cell>
          <cell r="FR77" t="str">
            <v>-</v>
          </cell>
          <cell r="FS77">
            <v>100</v>
          </cell>
          <cell r="FT77">
            <v>100</v>
          </cell>
          <cell r="FU77" t="str">
            <v>-</v>
          </cell>
          <cell r="FV77">
            <v>100</v>
          </cell>
          <cell r="FW77">
            <v>100</v>
          </cell>
          <cell r="FX77" t="str">
            <v>-</v>
          </cell>
          <cell r="FY77">
            <v>100</v>
          </cell>
          <cell r="FZ77">
            <v>100</v>
          </cell>
          <cell r="GA77" t="str">
            <v>-</v>
          </cell>
          <cell r="GB77">
            <v>100</v>
          </cell>
          <cell r="GC77">
            <v>100</v>
          </cell>
          <cell r="GD77" t="str">
            <v>-</v>
          </cell>
          <cell r="GE77">
            <v>3</v>
          </cell>
          <cell r="GF77">
            <v>3</v>
          </cell>
          <cell r="GG77">
            <v>100</v>
          </cell>
          <cell r="GH77">
            <v>100</v>
          </cell>
          <cell r="GI77">
            <v>100</v>
          </cell>
          <cell r="GJ77" t="str">
            <v>-</v>
          </cell>
          <cell r="GK77">
            <v>100</v>
          </cell>
          <cell r="GL77">
            <v>100</v>
          </cell>
          <cell r="GM77" t="str">
            <v>-</v>
          </cell>
          <cell r="GN77">
            <v>14</v>
          </cell>
          <cell r="GO77">
            <v>4</v>
          </cell>
          <cell r="GP77">
            <v>77.8</v>
          </cell>
          <cell r="GQ77">
            <v>12</v>
          </cell>
          <cell r="GR77">
            <v>14</v>
          </cell>
          <cell r="GS77">
            <v>46.2</v>
          </cell>
          <cell r="GT77">
            <v>20</v>
          </cell>
          <cell r="GU77">
            <v>18</v>
          </cell>
          <cell r="GV77">
            <v>52.6</v>
          </cell>
          <cell r="GW77">
            <v>51</v>
          </cell>
          <cell r="GX77">
            <v>4</v>
          </cell>
          <cell r="GY77">
            <v>92.7</v>
          </cell>
          <cell r="GZ77">
            <v>116</v>
          </cell>
          <cell r="HA77">
            <v>4</v>
          </cell>
          <cell r="HB77">
            <v>96.7</v>
          </cell>
          <cell r="HC77">
            <v>92</v>
          </cell>
          <cell r="HD77">
            <v>6</v>
          </cell>
          <cell r="HE77">
            <v>93.9</v>
          </cell>
          <cell r="HF77">
            <v>23</v>
          </cell>
          <cell r="HG77">
            <v>7</v>
          </cell>
          <cell r="HH77">
            <v>76.7</v>
          </cell>
          <cell r="HI77">
            <v>47</v>
          </cell>
          <cell r="HJ77">
            <v>8</v>
          </cell>
          <cell r="HK77">
            <v>85.5</v>
          </cell>
          <cell r="HL77">
            <v>85.5</v>
          </cell>
          <cell r="HM77">
            <v>85.5</v>
          </cell>
          <cell r="HN77" t="str">
            <v>-</v>
          </cell>
          <cell r="HO77">
            <v>1</v>
          </cell>
          <cell r="HP77">
            <v>1</v>
          </cell>
          <cell r="HQ77">
            <v>50</v>
          </cell>
          <cell r="HR77">
            <v>1</v>
          </cell>
          <cell r="HS77">
            <v>2</v>
          </cell>
          <cell r="HT77">
            <v>33.299999999999997</v>
          </cell>
          <cell r="HU77">
            <v>33.29998779296875</v>
          </cell>
          <cell r="HV77">
            <v>33.29998779296875</v>
          </cell>
          <cell r="HW77" t="str">
            <v>-</v>
          </cell>
          <cell r="HX77">
            <v>33.29998779296875</v>
          </cell>
          <cell r="HY77">
            <v>33.29998779296875</v>
          </cell>
          <cell r="HZ77" t="str">
            <v>-</v>
          </cell>
          <cell r="IA77">
            <v>1</v>
          </cell>
          <cell r="IB77">
            <v>2</v>
          </cell>
          <cell r="IC77">
            <v>33.299999999999997</v>
          </cell>
          <cell r="ID77">
            <v>2</v>
          </cell>
          <cell r="IE77">
            <v>2</v>
          </cell>
          <cell r="IF77">
            <v>100</v>
          </cell>
          <cell r="IG77">
            <v>100</v>
          </cell>
          <cell r="IH77">
            <v>2</v>
          </cell>
          <cell r="II77">
            <v>0</v>
          </cell>
          <cell r="IJ77">
            <v>1</v>
          </cell>
          <cell r="IK77">
            <v>1</v>
          </cell>
          <cell r="IL77">
            <v>100</v>
          </cell>
          <cell r="IM77">
            <v>1</v>
          </cell>
          <cell r="IN77">
            <v>1</v>
          </cell>
          <cell r="IO77">
            <v>50</v>
          </cell>
          <cell r="IP77">
            <v>2</v>
          </cell>
          <cell r="IQ77">
            <v>2</v>
          </cell>
          <cell r="IR77">
            <v>100</v>
          </cell>
          <cell r="IS77">
            <v>100</v>
          </cell>
          <cell r="IT77">
            <v>100</v>
          </cell>
          <cell r="IU77" t="str">
            <v>-</v>
          </cell>
          <cell r="IV77">
            <v>100</v>
          </cell>
          <cell r="IW77">
            <v>100</v>
          </cell>
          <cell r="IX77" t="str">
            <v>-</v>
          </cell>
          <cell r="IY77">
            <v>100</v>
          </cell>
          <cell r="IZ77">
            <v>100</v>
          </cell>
          <cell r="JA77" t="str">
            <v>-</v>
          </cell>
          <cell r="JB77">
            <v>1</v>
          </cell>
          <cell r="JC77">
            <v>1</v>
          </cell>
          <cell r="JD77">
            <v>100</v>
          </cell>
          <cell r="JE77">
            <v>100</v>
          </cell>
          <cell r="JF77">
            <v>100</v>
          </cell>
          <cell r="JG77" t="str">
            <v>-</v>
          </cell>
          <cell r="JH77">
            <v>0</v>
          </cell>
          <cell r="JI77">
            <v>0</v>
          </cell>
          <cell r="JJ77" t="str">
            <v>-</v>
          </cell>
          <cell r="JK77">
            <v>0</v>
          </cell>
          <cell r="JL77">
            <v>0</v>
          </cell>
          <cell r="JM77" t="str">
            <v>-</v>
          </cell>
          <cell r="JN77">
            <v>0</v>
          </cell>
          <cell r="JO77">
            <v>0</v>
          </cell>
          <cell r="JP77" t="str">
            <v>-</v>
          </cell>
          <cell r="JQ77">
            <v>380</v>
          </cell>
          <cell r="JR77">
            <v>27</v>
          </cell>
          <cell r="JS77">
            <v>93.366093366093367</v>
          </cell>
          <cell r="JT77">
            <v>76</v>
          </cell>
          <cell r="JU77">
            <v>24</v>
          </cell>
          <cell r="JV77">
            <v>76</v>
          </cell>
          <cell r="JW77">
            <v>0</v>
          </cell>
          <cell r="JX77">
            <v>0</v>
          </cell>
          <cell r="JY77" t="str">
            <v>-</v>
          </cell>
          <cell r="JZ77">
            <v>12</v>
          </cell>
          <cell r="KA77">
            <v>3</v>
          </cell>
          <cell r="KB77">
            <v>80</v>
          </cell>
          <cell r="KC77">
            <v>3</v>
          </cell>
          <cell r="KD77">
            <v>0</v>
          </cell>
          <cell r="KE77">
            <v>100</v>
          </cell>
          <cell r="KF77">
            <v>329</v>
          </cell>
          <cell r="KG77">
            <v>29</v>
          </cell>
          <cell r="KH77">
            <v>91.899441340782118</v>
          </cell>
          <cell r="KI77">
            <v>3</v>
          </cell>
          <cell r="KJ77">
            <v>4</v>
          </cell>
          <cell r="KK77">
            <v>42.857142857142854</v>
          </cell>
          <cell r="KL77">
            <v>1</v>
          </cell>
          <cell r="KM77">
            <v>0</v>
          </cell>
          <cell r="KN77">
            <v>100</v>
          </cell>
        </row>
        <row r="78">
          <cell r="C78" t="str">
            <v>Dunaújvárosi Rendőrkapitányság</v>
          </cell>
          <cell r="D78">
            <v>100</v>
          </cell>
          <cell r="E78">
            <v>100</v>
          </cell>
          <cell r="F78" t="str">
            <v>-</v>
          </cell>
          <cell r="G78">
            <v>100</v>
          </cell>
          <cell r="H78">
            <v>100</v>
          </cell>
          <cell r="I78" t="str">
            <v>-</v>
          </cell>
          <cell r="J78">
            <v>100</v>
          </cell>
          <cell r="K78">
            <v>100</v>
          </cell>
          <cell r="L78" t="str">
            <v>-</v>
          </cell>
          <cell r="M78">
            <v>100</v>
          </cell>
          <cell r="N78">
            <v>100</v>
          </cell>
          <cell r="O78" t="str">
            <v>-</v>
          </cell>
          <cell r="P78">
            <v>100</v>
          </cell>
          <cell r="Q78">
            <v>100</v>
          </cell>
          <cell r="R78" t="str">
            <v>-</v>
          </cell>
          <cell r="S78">
            <v>100</v>
          </cell>
          <cell r="T78">
            <v>100</v>
          </cell>
          <cell r="U78" t="str">
            <v>-</v>
          </cell>
          <cell r="V78">
            <v>100</v>
          </cell>
          <cell r="W78">
            <v>100</v>
          </cell>
          <cell r="X78" t="str">
            <v>-</v>
          </cell>
          <cell r="Y78">
            <v>100</v>
          </cell>
          <cell r="Z78">
            <v>100</v>
          </cell>
          <cell r="AA78" t="str">
            <v>-</v>
          </cell>
          <cell r="AB78">
            <v>100</v>
          </cell>
          <cell r="AC78">
            <v>100</v>
          </cell>
          <cell r="AD78" t="str">
            <v>-</v>
          </cell>
          <cell r="AE78">
            <v>100</v>
          </cell>
          <cell r="AF78">
            <v>100</v>
          </cell>
          <cell r="AG78" t="str">
            <v>-</v>
          </cell>
          <cell r="AH78">
            <v>100</v>
          </cell>
          <cell r="AI78">
            <v>100</v>
          </cell>
          <cell r="AJ78" t="str">
            <v>-</v>
          </cell>
          <cell r="AK78">
            <v>100</v>
          </cell>
          <cell r="AL78">
            <v>100</v>
          </cell>
          <cell r="AM78" t="str">
            <v>-</v>
          </cell>
          <cell r="AN78">
            <v>100</v>
          </cell>
          <cell r="AO78">
            <v>100</v>
          </cell>
          <cell r="AP78" t="str">
            <v>-</v>
          </cell>
          <cell r="AQ78">
            <v>100</v>
          </cell>
          <cell r="AR78">
            <v>100</v>
          </cell>
          <cell r="AS78" t="str">
            <v>-</v>
          </cell>
          <cell r="AT78">
            <v>100</v>
          </cell>
          <cell r="AU78">
            <v>100</v>
          </cell>
          <cell r="AV78" t="str">
            <v>-</v>
          </cell>
          <cell r="AW78">
            <v>100</v>
          </cell>
          <cell r="AX78">
            <v>100</v>
          </cell>
          <cell r="AY78" t="str">
            <v>-</v>
          </cell>
          <cell r="AZ78">
            <v>100</v>
          </cell>
          <cell r="BA78">
            <v>100</v>
          </cell>
          <cell r="BB78" t="str">
            <v>-</v>
          </cell>
          <cell r="BC78">
            <v>100</v>
          </cell>
          <cell r="BD78">
            <v>100</v>
          </cell>
          <cell r="BE78" t="str">
            <v>-</v>
          </cell>
          <cell r="BF78">
            <v>100</v>
          </cell>
          <cell r="BG78">
            <v>100</v>
          </cell>
          <cell r="BH78" t="str">
            <v>-</v>
          </cell>
          <cell r="BI78">
            <v>100</v>
          </cell>
          <cell r="BJ78">
            <v>100</v>
          </cell>
          <cell r="BK78" t="str">
            <v>-</v>
          </cell>
          <cell r="BL78">
            <v>100</v>
          </cell>
          <cell r="BM78">
            <v>100</v>
          </cell>
          <cell r="BN78" t="str">
            <v>-</v>
          </cell>
          <cell r="BO78">
            <v>100</v>
          </cell>
          <cell r="BP78">
            <v>100</v>
          </cell>
          <cell r="BQ78" t="str">
            <v>-</v>
          </cell>
          <cell r="BR78">
            <v>100</v>
          </cell>
          <cell r="BS78">
            <v>100</v>
          </cell>
          <cell r="BT78" t="str">
            <v>-</v>
          </cell>
          <cell r="BU78">
            <v>100</v>
          </cell>
          <cell r="BV78">
            <v>100</v>
          </cell>
          <cell r="BW78" t="str">
            <v>-</v>
          </cell>
          <cell r="BX78">
            <v>266</v>
          </cell>
          <cell r="BY78">
            <v>51</v>
          </cell>
          <cell r="BZ78">
            <v>83.9</v>
          </cell>
          <cell r="CA78">
            <v>1399</v>
          </cell>
          <cell r="CB78">
            <v>59</v>
          </cell>
          <cell r="CC78">
            <v>96</v>
          </cell>
          <cell r="CD78">
            <v>1084</v>
          </cell>
          <cell r="CE78">
            <v>67</v>
          </cell>
          <cell r="CF78">
            <v>94.2</v>
          </cell>
          <cell r="CG78">
            <v>205</v>
          </cell>
          <cell r="CH78">
            <v>61</v>
          </cell>
          <cell r="CI78">
            <v>77.099999999999994</v>
          </cell>
          <cell r="CJ78">
            <v>255</v>
          </cell>
          <cell r="CK78">
            <v>54</v>
          </cell>
          <cell r="CL78">
            <v>82.5</v>
          </cell>
          <cell r="CM78">
            <v>94</v>
          </cell>
          <cell r="CN78">
            <v>20</v>
          </cell>
          <cell r="CO78">
            <v>82.5</v>
          </cell>
          <cell r="CP78">
            <v>123</v>
          </cell>
          <cell r="CQ78">
            <v>14</v>
          </cell>
          <cell r="CR78">
            <v>89.8</v>
          </cell>
          <cell r="CS78">
            <v>110</v>
          </cell>
          <cell r="CT78">
            <v>14</v>
          </cell>
          <cell r="CU78">
            <v>88.7</v>
          </cell>
          <cell r="CV78">
            <v>60</v>
          </cell>
          <cell r="CW78">
            <v>38</v>
          </cell>
          <cell r="CX78">
            <v>61.2</v>
          </cell>
          <cell r="CY78">
            <v>33</v>
          </cell>
          <cell r="CZ78">
            <v>50</v>
          </cell>
          <cell r="DA78">
            <v>39.799999999999997</v>
          </cell>
          <cell r="DB78">
            <v>50</v>
          </cell>
          <cell r="DC78">
            <v>47</v>
          </cell>
          <cell r="DD78">
            <v>51.5</v>
          </cell>
          <cell r="DE78">
            <v>130</v>
          </cell>
          <cell r="DF78">
            <v>48</v>
          </cell>
          <cell r="DG78">
            <v>73</v>
          </cell>
          <cell r="DH78">
            <v>33</v>
          </cell>
          <cell r="DI78">
            <v>37</v>
          </cell>
          <cell r="DJ78">
            <v>47.1</v>
          </cell>
          <cell r="DK78">
            <v>38</v>
          </cell>
          <cell r="DL78">
            <v>17</v>
          </cell>
          <cell r="DM78">
            <v>69.099999999999994</v>
          </cell>
          <cell r="DN78">
            <v>37</v>
          </cell>
          <cell r="DO78">
            <v>12</v>
          </cell>
          <cell r="DP78">
            <v>75.5</v>
          </cell>
          <cell r="DQ78">
            <v>24</v>
          </cell>
          <cell r="DR78">
            <v>13</v>
          </cell>
          <cell r="DS78">
            <v>64.900000000000006</v>
          </cell>
          <cell r="DT78">
            <v>1</v>
          </cell>
          <cell r="DU78">
            <v>1</v>
          </cell>
          <cell r="DV78">
            <v>100</v>
          </cell>
          <cell r="DW78">
            <v>100</v>
          </cell>
          <cell r="DX78">
            <v>100</v>
          </cell>
          <cell r="DY78" t="str">
            <v>-</v>
          </cell>
          <cell r="DZ78">
            <v>100</v>
          </cell>
          <cell r="EA78">
            <v>100</v>
          </cell>
          <cell r="EB78" t="str">
            <v>-</v>
          </cell>
          <cell r="EC78">
            <v>100</v>
          </cell>
          <cell r="ED78">
            <v>100</v>
          </cell>
          <cell r="EE78" t="str">
            <v>-</v>
          </cell>
          <cell r="EF78">
            <v>100</v>
          </cell>
          <cell r="EG78">
            <v>100</v>
          </cell>
          <cell r="EH78" t="str">
            <v>-</v>
          </cell>
          <cell r="EI78">
            <v>100</v>
          </cell>
          <cell r="EJ78">
            <v>100</v>
          </cell>
          <cell r="EK78" t="str">
            <v>-</v>
          </cell>
          <cell r="EL78">
            <v>100</v>
          </cell>
          <cell r="EM78">
            <v>100</v>
          </cell>
          <cell r="EN78" t="str">
            <v>-</v>
          </cell>
          <cell r="EO78">
            <v>100</v>
          </cell>
          <cell r="EP78">
            <v>100</v>
          </cell>
          <cell r="EQ78" t="str">
            <v>-</v>
          </cell>
          <cell r="ER78">
            <v>17</v>
          </cell>
          <cell r="ES78">
            <v>3</v>
          </cell>
          <cell r="ET78">
            <v>85</v>
          </cell>
          <cell r="EU78">
            <v>5</v>
          </cell>
          <cell r="EV78">
            <v>7</v>
          </cell>
          <cell r="EW78">
            <v>41.7</v>
          </cell>
          <cell r="EX78">
            <v>8</v>
          </cell>
          <cell r="EY78">
            <v>10</v>
          </cell>
          <cell r="EZ78">
            <v>44.4</v>
          </cell>
          <cell r="FA78">
            <v>3</v>
          </cell>
          <cell r="FB78">
            <v>4</v>
          </cell>
          <cell r="FC78">
            <v>42.9</v>
          </cell>
          <cell r="FD78">
            <v>5</v>
          </cell>
          <cell r="FE78">
            <v>5</v>
          </cell>
          <cell r="FF78">
            <v>50</v>
          </cell>
          <cell r="FG78">
            <v>4</v>
          </cell>
          <cell r="FH78">
            <v>4</v>
          </cell>
          <cell r="FI78">
            <v>50</v>
          </cell>
          <cell r="FJ78">
            <v>2</v>
          </cell>
          <cell r="FK78">
            <v>2</v>
          </cell>
          <cell r="FL78">
            <v>100</v>
          </cell>
          <cell r="FM78">
            <v>6</v>
          </cell>
          <cell r="FN78">
            <v>6</v>
          </cell>
          <cell r="FO78">
            <v>100</v>
          </cell>
          <cell r="FP78">
            <v>100</v>
          </cell>
          <cell r="FQ78">
            <v>100</v>
          </cell>
          <cell r="FR78" t="str">
            <v>-</v>
          </cell>
          <cell r="FS78">
            <v>100</v>
          </cell>
          <cell r="FT78">
            <v>100</v>
          </cell>
          <cell r="FU78" t="str">
            <v>-</v>
          </cell>
          <cell r="FV78">
            <v>100</v>
          </cell>
          <cell r="FW78">
            <v>100</v>
          </cell>
          <cell r="FX78" t="str">
            <v>-</v>
          </cell>
          <cell r="FY78">
            <v>100</v>
          </cell>
          <cell r="FZ78">
            <v>100</v>
          </cell>
          <cell r="GA78" t="str">
            <v>-</v>
          </cell>
          <cell r="GB78">
            <v>100</v>
          </cell>
          <cell r="GC78">
            <v>100</v>
          </cell>
          <cell r="GD78" t="str">
            <v>-</v>
          </cell>
          <cell r="GE78">
            <v>100</v>
          </cell>
          <cell r="GF78">
            <v>100</v>
          </cell>
          <cell r="GG78" t="str">
            <v>-</v>
          </cell>
          <cell r="GH78">
            <v>100</v>
          </cell>
          <cell r="GI78">
            <v>100</v>
          </cell>
          <cell r="GJ78" t="str">
            <v>-</v>
          </cell>
          <cell r="GK78">
            <v>100</v>
          </cell>
          <cell r="GL78">
            <v>100</v>
          </cell>
          <cell r="GM78" t="str">
            <v>-</v>
          </cell>
          <cell r="GN78">
            <v>1381</v>
          </cell>
          <cell r="GO78">
            <v>46</v>
          </cell>
          <cell r="GP78">
            <v>96.8</v>
          </cell>
          <cell r="GQ78">
            <v>889</v>
          </cell>
          <cell r="GR78">
            <v>64</v>
          </cell>
          <cell r="GS78">
            <v>93.3</v>
          </cell>
          <cell r="GT78">
            <v>256</v>
          </cell>
          <cell r="GU78">
            <v>76</v>
          </cell>
          <cell r="GV78">
            <v>77.099999999999994</v>
          </cell>
          <cell r="GW78">
            <v>66</v>
          </cell>
          <cell r="GX78">
            <v>78</v>
          </cell>
          <cell r="GY78">
            <v>45.8</v>
          </cell>
          <cell r="GZ78">
            <v>239</v>
          </cell>
          <cell r="HA78">
            <v>47</v>
          </cell>
          <cell r="HB78">
            <v>83.6</v>
          </cell>
          <cell r="HC78">
            <v>30</v>
          </cell>
          <cell r="HD78">
            <v>12</v>
          </cell>
          <cell r="HE78">
            <v>71.400000000000006</v>
          </cell>
          <cell r="HF78">
            <v>27</v>
          </cell>
          <cell r="HG78">
            <v>8</v>
          </cell>
          <cell r="HH78">
            <v>77.099999999999994</v>
          </cell>
          <cell r="HI78">
            <v>26</v>
          </cell>
          <cell r="HJ78">
            <v>5</v>
          </cell>
          <cell r="HK78">
            <v>83.9</v>
          </cell>
          <cell r="HL78">
            <v>2</v>
          </cell>
          <cell r="HM78">
            <v>12</v>
          </cell>
          <cell r="HN78">
            <v>14.3</v>
          </cell>
          <cell r="HO78">
            <v>14.299995422363281</v>
          </cell>
          <cell r="HP78">
            <v>16</v>
          </cell>
          <cell r="HQ78">
            <v>0</v>
          </cell>
          <cell r="HR78">
            <v>3</v>
          </cell>
          <cell r="HS78">
            <v>21</v>
          </cell>
          <cell r="HT78">
            <v>12.5</v>
          </cell>
          <cell r="HU78">
            <v>2</v>
          </cell>
          <cell r="HV78">
            <v>6</v>
          </cell>
          <cell r="HW78">
            <v>25</v>
          </cell>
          <cell r="HX78">
            <v>1</v>
          </cell>
          <cell r="HY78">
            <v>6</v>
          </cell>
          <cell r="HZ78">
            <v>14.3</v>
          </cell>
          <cell r="IA78">
            <v>2</v>
          </cell>
          <cell r="IB78">
            <v>2</v>
          </cell>
          <cell r="IC78">
            <v>100</v>
          </cell>
          <cell r="ID78">
            <v>2</v>
          </cell>
          <cell r="IE78">
            <v>2</v>
          </cell>
          <cell r="IF78">
            <v>100</v>
          </cell>
          <cell r="IG78">
            <v>2</v>
          </cell>
          <cell r="IH78">
            <v>2</v>
          </cell>
          <cell r="II78">
            <v>100</v>
          </cell>
          <cell r="IJ78">
            <v>1</v>
          </cell>
          <cell r="IK78">
            <v>3</v>
          </cell>
          <cell r="IL78">
            <v>25</v>
          </cell>
          <cell r="IM78">
            <v>2</v>
          </cell>
          <cell r="IN78">
            <v>1</v>
          </cell>
          <cell r="IO78">
            <v>66.7</v>
          </cell>
          <cell r="IP78">
            <v>2</v>
          </cell>
          <cell r="IQ78">
            <v>2</v>
          </cell>
          <cell r="IR78">
            <v>50</v>
          </cell>
          <cell r="IS78">
            <v>2</v>
          </cell>
          <cell r="IT78">
            <v>4</v>
          </cell>
          <cell r="IU78">
            <v>33.299999999999997</v>
          </cell>
          <cell r="IV78">
            <v>7</v>
          </cell>
          <cell r="IW78">
            <v>7</v>
          </cell>
          <cell r="IX78">
            <v>100</v>
          </cell>
          <cell r="IY78">
            <v>8</v>
          </cell>
          <cell r="IZ78">
            <v>3</v>
          </cell>
          <cell r="JA78">
            <v>72.7</v>
          </cell>
          <cell r="JB78">
            <v>3</v>
          </cell>
          <cell r="JC78">
            <v>3</v>
          </cell>
          <cell r="JD78">
            <v>100</v>
          </cell>
          <cell r="JE78">
            <v>2</v>
          </cell>
          <cell r="JF78">
            <v>2</v>
          </cell>
          <cell r="JG78">
            <v>100</v>
          </cell>
          <cell r="JH78">
            <v>0</v>
          </cell>
          <cell r="JI78">
            <v>0</v>
          </cell>
          <cell r="JJ78" t="str">
            <v>-</v>
          </cell>
          <cell r="JK78">
            <v>0</v>
          </cell>
          <cell r="JL78">
            <v>0</v>
          </cell>
          <cell r="JM78" t="str">
            <v>-</v>
          </cell>
          <cell r="JN78">
            <v>0</v>
          </cell>
          <cell r="JO78">
            <v>0</v>
          </cell>
          <cell r="JP78" t="str">
            <v>-</v>
          </cell>
          <cell r="JQ78">
            <v>787</v>
          </cell>
          <cell r="JR78">
            <v>163</v>
          </cell>
          <cell r="JS78">
            <v>82.84210526315789</v>
          </cell>
          <cell r="JT78">
            <v>262</v>
          </cell>
          <cell r="JU78">
            <v>127</v>
          </cell>
          <cell r="JV78">
            <v>67.352185089974299</v>
          </cell>
          <cell r="JW78">
            <v>0</v>
          </cell>
          <cell r="JX78">
            <v>0</v>
          </cell>
          <cell r="JY78" t="str">
            <v>-</v>
          </cell>
          <cell r="JZ78">
            <v>20</v>
          </cell>
          <cell r="KA78">
            <v>13</v>
          </cell>
          <cell r="KB78">
            <v>60.606060606060609</v>
          </cell>
          <cell r="KC78">
            <v>0</v>
          </cell>
          <cell r="KD78">
            <v>0</v>
          </cell>
          <cell r="KE78" t="str">
            <v>-</v>
          </cell>
          <cell r="KF78">
            <v>388</v>
          </cell>
          <cell r="KG78">
            <v>150</v>
          </cell>
          <cell r="KH78">
            <v>72.118959107806688</v>
          </cell>
          <cell r="KI78">
            <v>9</v>
          </cell>
          <cell r="KJ78">
            <v>12</v>
          </cell>
          <cell r="KK78">
            <v>42.857142857142854</v>
          </cell>
          <cell r="KL78">
            <v>22</v>
          </cell>
          <cell r="KM78">
            <v>7</v>
          </cell>
          <cell r="KN78">
            <v>75.862068965517238</v>
          </cell>
        </row>
        <row r="79">
          <cell r="C79" t="str">
            <v>Móri Rendőrkapitányság</v>
          </cell>
          <cell r="D79">
            <v>75.862060546875</v>
          </cell>
          <cell r="E79">
            <v>75.862060546875</v>
          </cell>
          <cell r="F79" t="str">
            <v>-</v>
          </cell>
          <cell r="G79">
            <v>75.862060546875</v>
          </cell>
          <cell r="H79">
            <v>75.862060546875</v>
          </cell>
          <cell r="I79" t="str">
            <v>-</v>
          </cell>
          <cell r="J79">
            <v>75.862060546875</v>
          </cell>
          <cell r="K79">
            <v>75.862060546875</v>
          </cell>
          <cell r="L79" t="str">
            <v>-</v>
          </cell>
          <cell r="M79">
            <v>75.862060546875</v>
          </cell>
          <cell r="N79">
            <v>75.862060546875</v>
          </cell>
          <cell r="O79" t="str">
            <v>-</v>
          </cell>
          <cell r="P79">
            <v>75.862060546875</v>
          </cell>
          <cell r="Q79">
            <v>75.862060546875</v>
          </cell>
          <cell r="R79" t="str">
            <v>-</v>
          </cell>
          <cell r="S79">
            <v>75.862060546875</v>
          </cell>
          <cell r="T79">
            <v>75.862060546875</v>
          </cell>
          <cell r="U79" t="str">
            <v>-</v>
          </cell>
          <cell r="V79">
            <v>75.862060546875</v>
          </cell>
          <cell r="W79">
            <v>75.862060546875</v>
          </cell>
          <cell r="X79" t="str">
            <v>-</v>
          </cell>
          <cell r="Y79">
            <v>75.862060546875</v>
          </cell>
          <cell r="Z79">
            <v>75.862060546875</v>
          </cell>
          <cell r="AA79" t="str">
            <v>-</v>
          </cell>
          <cell r="AB79">
            <v>75.862060546875</v>
          </cell>
          <cell r="AC79">
            <v>75.862060546875</v>
          </cell>
          <cell r="AD79" t="str">
            <v>-</v>
          </cell>
          <cell r="AE79">
            <v>75.862060546875</v>
          </cell>
          <cell r="AF79">
            <v>75.862060546875</v>
          </cell>
          <cell r="AG79" t="str">
            <v>-</v>
          </cell>
          <cell r="AH79">
            <v>75.862060546875</v>
          </cell>
          <cell r="AI79">
            <v>75.862060546875</v>
          </cell>
          <cell r="AJ79" t="str">
            <v>-</v>
          </cell>
          <cell r="AK79">
            <v>75.862060546875</v>
          </cell>
          <cell r="AL79">
            <v>75.862060546875</v>
          </cell>
          <cell r="AM79" t="str">
            <v>-</v>
          </cell>
          <cell r="AN79">
            <v>75.862060546875</v>
          </cell>
          <cell r="AO79">
            <v>75.862060546875</v>
          </cell>
          <cell r="AP79" t="str">
            <v>-</v>
          </cell>
          <cell r="AQ79">
            <v>75.862060546875</v>
          </cell>
          <cell r="AR79">
            <v>75.862060546875</v>
          </cell>
          <cell r="AS79" t="str">
            <v>-</v>
          </cell>
          <cell r="AT79">
            <v>75.862060546875</v>
          </cell>
          <cell r="AU79">
            <v>75.862060546875</v>
          </cell>
          <cell r="AV79" t="str">
            <v>-</v>
          </cell>
          <cell r="AW79">
            <v>75.862060546875</v>
          </cell>
          <cell r="AX79">
            <v>75.862060546875</v>
          </cell>
          <cell r="AY79" t="str">
            <v>-</v>
          </cell>
          <cell r="AZ79">
            <v>75.862060546875</v>
          </cell>
          <cell r="BA79">
            <v>75.862060546875</v>
          </cell>
          <cell r="BB79" t="str">
            <v>-</v>
          </cell>
          <cell r="BC79">
            <v>75.862060546875</v>
          </cell>
          <cell r="BD79">
            <v>75.862060546875</v>
          </cell>
          <cell r="BE79" t="str">
            <v>-</v>
          </cell>
          <cell r="BF79">
            <v>75.862060546875</v>
          </cell>
          <cell r="BG79">
            <v>75.862060546875</v>
          </cell>
          <cell r="BH79" t="str">
            <v>-</v>
          </cell>
          <cell r="BI79">
            <v>75.862060546875</v>
          </cell>
          <cell r="BJ79">
            <v>75.862060546875</v>
          </cell>
          <cell r="BK79" t="str">
            <v>-</v>
          </cell>
          <cell r="BL79">
            <v>75.862060546875</v>
          </cell>
          <cell r="BM79">
            <v>75.862060546875</v>
          </cell>
          <cell r="BN79" t="str">
            <v>-</v>
          </cell>
          <cell r="BO79">
            <v>75.862060546875</v>
          </cell>
          <cell r="BP79">
            <v>75.862060546875</v>
          </cell>
          <cell r="BQ79" t="str">
            <v>-</v>
          </cell>
          <cell r="BR79">
            <v>75.862060546875</v>
          </cell>
          <cell r="BS79">
            <v>75.862060546875</v>
          </cell>
          <cell r="BT79" t="str">
            <v>-</v>
          </cell>
          <cell r="BU79">
            <v>75.862060546875</v>
          </cell>
          <cell r="BV79">
            <v>75.862060546875</v>
          </cell>
          <cell r="BW79" t="str">
            <v>-</v>
          </cell>
          <cell r="BX79">
            <v>14</v>
          </cell>
          <cell r="BY79">
            <v>3</v>
          </cell>
          <cell r="BZ79">
            <v>82.4</v>
          </cell>
          <cell r="CA79">
            <v>22</v>
          </cell>
          <cell r="CB79">
            <v>6</v>
          </cell>
          <cell r="CC79">
            <v>78.599999999999994</v>
          </cell>
          <cell r="CD79">
            <v>24</v>
          </cell>
          <cell r="CE79">
            <v>12</v>
          </cell>
          <cell r="CF79">
            <v>66.7</v>
          </cell>
          <cell r="CG79">
            <v>23</v>
          </cell>
          <cell r="CH79">
            <v>6</v>
          </cell>
          <cell r="CI79">
            <v>79.3</v>
          </cell>
          <cell r="CJ79">
            <v>23</v>
          </cell>
          <cell r="CK79">
            <v>5</v>
          </cell>
          <cell r="CL79">
            <v>82.1</v>
          </cell>
          <cell r="CM79">
            <v>10</v>
          </cell>
          <cell r="CN79">
            <v>1</v>
          </cell>
          <cell r="CO79">
            <v>90.9</v>
          </cell>
          <cell r="CP79">
            <v>28</v>
          </cell>
          <cell r="CQ79">
            <v>2</v>
          </cell>
          <cell r="CR79">
            <v>93.3</v>
          </cell>
          <cell r="CS79">
            <v>26</v>
          </cell>
          <cell r="CT79">
            <v>1</v>
          </cell>
          <cell r="CU79">
            <v>96.3</v>
          </cell>
          <cell r="CV79">
            <v>10</v>
          </cell>
          <cell r="CW79">
            <v>10</v>
          </cell>
          <cell r="CX79">
            <v>100</v>
          </cell>
          <cell r="CY79">
            <v>6</v>
          </cell>
          <cell r="CZ79">
            <v>5</v>
          </cell>
          <cell r="DA79">
            <v>54.5</v>
          </cell>
          <cell r="DB79">
            <v>10</v>
          </cell>
          <cell r="DC79">
            <v>10</v>
          </cell>
          <cell r="DD79">
            <v>50</v>
          </cell>
          <cell r="DE79">
            <v>14</v>
          </cell>
          <cell r="DF79">
            <v>4</v>
          </cell>
          <cell r="DG79">
            <v>77.8</v>
          </cell>
          <cell r="DH79">
            <v>12</v>
          </cell>
          <cell r="DI79">
            <v>3</v>
          </cell>
          <cell r="DJ79">
            <v>80</v>
          </cell>
          <cell r="DK79">
            <v>10</v>
          </cell>
          <cell r="DL79">
            <v>1</v>
          </cell>
          <cell r="DM79">
            <v>90.9</v>
          </cell>
          <cell r="DN79">
            <v>9</v>
          </cell>
          <cell r="DO79">
            <v>1</v>
          </cell>
          <cell r="DP79">
            <v>90</v>
          </cell>
          <cell r="DQ79">
            <v>5</v>
          </cell>
          <cell r="DR79">
            <v>5</v>
          </cell>
          <cell r="DS79">
            <v>100</v>
          </cell>
          <cell r="DT79">
            <v>100</v>
          </cell>
          <cell r="DU79">
            <v>100</v>
          </cell>
          <cell r="DV79" t="str">
            <v>-</v>
          </cell>
          <cell r="DW79">
            <v>100</v>
          </cell>
          <cell r="DX79">
            <v>100</v>
          </cell>
          <cell r="DY79" t="str">
            <v>-</v>
          </cell>
          <cell r="DZ79">
            <v>100</v>
          </cell>
          <cell r="EA79">
            <v>100</v>
          </cell>
          <cell r="EB79" t="str">
            <v>-</v>
          </cell>
          <cell r="EC79">
            <v>100</v>
          </cell>
          <cell r="ED79">
            <v>100</v>
          </cell>
          <cell r="EE79" t="str">
            <v>-</v>
          </cell>
          <cell r="EF79">
            <v>100</v>
          </cell>
          <cell r="EG79">
            <v>100</v>
          </cell>
          <cell r="EH79" t="str">
            <v>-</v>
          </cell>
          <cell r="EI79">
            <v>100</v>
          </cell>
          <cell r="EJ79">
            <v>100</v>
          </cell>
          <cell r="EK79" t="str">
            <v>-</v>
          </cell>
          <cell r="EL79">
            <v>100</v>
          </cell>
          <cell r="EM79">
            <v>100</v>
          </cell>
          <cell r="EN79" t="str">
            <v>-</v>
          </cell>
          <cell r="EO79">
            <v>100</v>
          </cell>
          <cell r="EP79">
            <v>100</v>
          </cell>
          <cell r="EQ79" t="str">
            <v>-</v>
          </cell>
          <cell r="ER79">
            <v>4</v>
          </cell>
          <cell r="ES79">
            <v>4</v>
          </cell>
          <cell r="ET79">
            <v>100</v>
          </cell>
          <cell r="EU79">
            <v>14</v>
          </cell>
          <cell r="EV79">
            <v>14</v>
          </cell>
          <cell r="EW79">
            <v>100</v>
          </cell>
          <cell r="EX79">
            <v>100</v>
          </cell>
          <cell r="EY79">
            <v>6</v>
          </cell>
          <cell r="EZ79">
            <v>0</v>
          </cell>
          <cell r="FA79">
            <v>0</v>
          </cell>
          <cell r="FB79">
            <v>1</v>
          </cell>
          <cell r="FC79">
            <v>0</v>
          </cell>
          <cell r="FD79">
            <v>0</v>
          </cell>
          <cell r="FE79">
            <v>2</v>
          </cell>
          <cell r="FF79">
            <v>0</v>
          </cell>
          <cell r="FG79">
            <v>10</v>
          </cell>
          <cell r="FH79">
            <v>10</v>
          </cell>
          <cell r="FI79">
            <v>100</v>
          </cell>
          <cell r="FJ79">
            <v>1</v>
          </cell>
          <cell r="FK79">
            <v>1</v>
          </cell>
          <cell r="FL79">
            <v>100</v>
          </cell>
          <cell r="FM79">
            <v>2</v>
          </cell>
          <cell r="FN79">
            <v>1</v>
          </cell>
          <cell r="FO79">
            <v>66.7</v>
          </cell>
          <cell r="FP79">
            <v>66.699951171875</v>
          </cell>
          <cell r="FQ79">
            <v>66.699951171875</v>
          </cell>
          <cell r="FR79" t="str">
            <v>-</v>
          </cell>
          <cell r="FS79">
            <v>66.699951171875</v>
          </cell>
          <cell r="FT79">
            <v>66.699951171875</v>
          </cell>
          <cell r="FU79" t="str">
            <v>-</v>
          </cell>
          <cell r="FV79">
            <v>66.699951171875</v>
          </cell>
          <cell r="FW79">
            <v>66.699951171875</v>
          </cell>
          <cell r="FX79" t="str">
            <v>-</v>
          </cell>
          <cell r="FY79">
            <v>66.699951171875</v>
          </cell>
          <cell r="FZ79">
            <v>66.699951171875</v>
          </cell>
          <cell r="GA79" t="str">
            <v>-</v>
          </cell>
          <cell r="GB79">
            <v>66.699951171875</v>
          </cell>
          <cell r="GC79">
            <v>66.699951171875</v>
          </cell>
          <cell r="GD79" t="str">
            <v>-</v>
          </cell>
          <cell r="GE79">
            <v>66.699951171875</v>
          </cell>
          <cell r="GF79">
            <v>66.699951171875</v>
          </cell>
          <cell r="GG79" t="str">
            <v>-</v>
          </cell>
          <cell r="GH79">
            <v>66.699951171875</v>
          </cell>
          <cell r="GI79">
            <v>66.699951171875</v>
          </cell>
          <cell r="GJ79" t="str">
            <v>-</v>
          </cell>
          <cell r="GK79">
            <v>66.699951171875</v>
          </cell>
          <cell r="GL79">
            <v>66.699951171875</v>
          </cell>
          <cell r="GM79" t="str">
            <v>-</v>
          </cell>
          <cell r="GN79">
            <v>13</v>
          </cell>
          <cell r="GO79">
            <v>5</v>
          </cell>
          <cell r="GP79">
            <v>72.2</v>
          </cell>
          <cell r="GQ79">
            <v>30</v>
          </cell>
          <cell r="GR79">
            <v>7</v>
          </cell>
          <cell r="GS79">
            <v>81.099999999999994</v>
          </cell>
          <cell r="GT79">
            <v>32</v>
          </cell>
          <cell r="GU79">
            <v>8</v>
          </cell>
          <cell r="GV79">
            <v>80</v>
          </cell>
          <cell r="GW79">
            <v>9</v>
          </cell>
          <cell r="GX79">
            <v>6</v>
          </cell>
          <cell r="GY79">
            <v>60</v>
          </cell>
          <cell r="GZ79">
            <v>16</v>
          </cell>
          <cell r="HA79">
            <v>6</v>
          </cell>
          <cell r="HB79">
            <v>72.7</v>
          </cell>
          <cell r="HC79">
            <v>7</v>
          </cell>
          <cell r="HD79">
            <v>7</v>
          </cell>
          <cell r="HE79">
            <v>100</v>
          </cell>
          <cell r="HF79">
            <v>9</v>
          </cell>
          <cell r="HG79">
            <v>1</v>
          </cell>
          <cell r="HH79">
            <v>90</v>
          </cell>
          <cell r="HI79">
            <v>10</v>
          </cell>
          <cell r="HJ79">
            <v>10</v>
          </cell>
          <cell r="HK79">
            <v>100</v>
          </cell>
          <cell r="HL79">
            <v>2</v>
          </cell>
          <cell r="HM79">
            <v>2</v>
          </cell>
          <cell r="HN79">
            <v>50</v>
          </cell>
          <cell r="HO79">
            <v>1</v>
          </cell>
          <cell r="HP79">
            <v>2</v>
          </cell>
          <cell r="HQ79">
            <v>33.299999999999997</v>
          </cell>
          <cell r="HR79">
            <v>1</v>
          </cell>
          <cell r="HS79">
            <v>3</v>
          </cell>
          <cell r="HT79">
            <v>25</v>
          </cell>
          <cell r="HU79">
            <v>25</v>
          </cell>
          <cell r="HV79">
            <v>25</v>
          </cell>
          <cell r="HW79" t="str">
            <v>-</v>
          </cell>
          <cell r="HX79">
            <v>25</v>
          </cell>
          <cell r="HY79">
            <v>1</v>
          </cell>
          <cell r="HZ79">
            <v>0</v>
          </cell>
          <cell r="IA79">
            <v>1</v>
          </cell>
          <cell r="IB79">
            <v>1</v>
          </cell>
          <cell r="IC79">
            <v>50</v>
          </cell>
          <cell r="ID79">
            <v>1</v>
          </cell>
          <cell r="IE79">
            <v>1</v>
          </cell>
          <cell r="IF79">
            <v>100</v>
          </cell>
          <cell r="IG79">
            <v>100</v>
          </cell>
          <cell r="IH79">
            <v>100</v>
          </cell>
          <cell r="II79" t="str">
            <v>-</v>
          </cell>
          <cell r="IJ79">
            <v>100</v>
          </cell>
          <cell r="IK79">
            <v>1</v>
          </cell>
          <cell r="IL79">
            <v>0</v>
          </cell>
          <cell r="IM79">
            <v>3</v>
          </cell>
          <cell r="IN79">
            <v>3</v>
          </cell>
          <cell r="IO79">
            <v>100</v>
          </cell>
          <cell r="IP79">
            <v>100</v>
          </cell>
          <cell r="IQ79">
            <v>100</v>
          </cell>
          <cell r="IR79" t="str">
            <v>-</v>
          </cell>
          <cell r="IS79">
            <v>100</v>
          </cell>
          <cell r="IT79">
            <v>100</v>
          </cell>
          <cell r="IU79" t="str">
            <v>-</v>
          </cell>
          <cell r="IV79">
            <v>100</v>
          </cell>
          <cell r="IW79">
            <v>100</v>
          </cell>
          <cell r="IX79" t="str">
            <v>-</v>
          </cell>
          <cell r="IY79">
            <v>2</v>
          </cell>
          <cell r="IZ79">
            <v>2</v>
          </cell>
          <cell r="JA79">
            <v>100</v>
          </cell>
          <cell r="JB79">
            <v>100</v>
          </cell>
          <cell r="JC79">
            <v>1</v>
          </cell>
          <cell r="JD79">
            <v>0</v>
          </cell>
          <cell r="JE79">
            <v>4</v>
          </cell>
          <cell r="JF79">
            <v>4</v>
          </cell>
          <cell r="JG79">
            <v>100</v>
          </cell>
          <cell r="JH79">
            <v>0</v>
          </cell>
          <cell r="JI79">
            <v>0</v>
          </cell>
          <cell r="JJ79" t="str">
            <v>-</v>
          </cell>
          <cell r="JK79">
            <v>0</v>
          </cell>
          <cell r="JL79">
            <v>0</v>
          </cell>
          <cell r="JM79" t="str">
            <v>-</v>
          </cell>
          <cell r="JN79">
            <v>0</v>
          </cell>
          <cell r="JO79">
            <v>0</v>
          </cell>
          <cell r="JP79" t="str">
            <v>-</v>
          </cell>
          <cell r="JQ79">
            <v>110</v>
          </cell>
          <cell r="JR79">
            <v>15</v>
          </cell>
          <cell r="JS79">
            <v>88</v>
          </cell>
          <cell r="JT79">
            <v>50</v>
          </cell>
          <cell r="JU79">
            <v>9</v>
          </cell>
          <cell r="JV79">
            <v>84.745762711864401</v>
          </cell>
          <cell r="JW79">
            <v>0</v>
          </cell>
          <cell r="JX79">
            <v>0</v>
          </cell>
          <cell r="JY79" t="str">
            <v>-</v>
          </cell>
          <cell r="JZ79">
            <v>13</v>
          </cell>
          <cell r="KA79">
            <v>4</v>
          </cell>
          <cell r="KB79">
            <v>76.470588235294116</v>
          </cell>
          <cell r="KC79">
            <v>0</v>
          </cell>
          <cell r="KD79">
            <v>0</v>
          </cell>
          <cell r="KE79" t="str">
            <v>-</v>
          </cell>
          <cell r="KF79">
            <v>51</v>
          </cell>
          <cell r="KG79">
            <v>13</v>
          </cell>
          <cell r="KH79">
            <v>79.6875</v>
          </cell>
          <cell r="KI79">
            <v>2</v>
          </cell>
          <cell r="KJ79">
            <v>2</v>
          </cell>
          <cell r="KK79">
            <v>50</v>
          </cell>
          <cell r="KL79">
            <v>6</v>
          </cell>
          <cell r="KM79">
            <v>1</v>
          </cell>
          <cell r="KN79">
            <v>85.714285714285708</v>
          </cell>
        </row>
        <row r="80">
          <cell r="C80" t="str">
            <v>Sárbogárdi Rendőrkapitányság</v>
          </cell>
          <cell r="D80">
            <v>85.7142333984375</v>
          </cell>
          <cell r="E80">
            <v>85.7142333984375</v>
          </cell>
          <cell r="F80" t="str">
            <v>-</v>
          </cell>
          <cell r="G80">
            <v>85.7142333984375</v>
          </cell>
          <cell r="H80">
            <v>85.7142333984375</v>
          </cell>
          <cell r="I80" t="str">
            <v>-</v>
          </cell>
          <cell r="J80">
            <v>85.7142333984375</v>
          </cell>
          <cell r="K80">
            <v>85.7142333984375</v>
          </cell>
          <cell r="L80" t="str">
            <v>-</v>
          </cell>
          <cell r="M80">
            <v>85.7142333984375</v>
          </cell>
          <cell r="N80">
            <v>85.7142333984375</v>
          </cell>
          <cell r="O80" t="str">
            <v>-</v>
          </cell>
          <cell r="P80">
            <v>85.7142333984375</v>
          </cell>
          <cell r="Q80">
            <v>85.7142333984375</v>
          </cell>
          <cell r="R80" t="str">
            <v>-</v>
          </cell>
          <cell r="S80">
            <v>85.7142333984375</v>
          </cell>
          <cell r="T80">
            <v>85.7142333984375</v>
          </cell>
          <cell r="U80" t="str">
            <v>-</v>
          </cell>
          <cell r="V80">
            <v>85.7142333984375</v>
          </cell>
          <cell r="W80">
            <v>85.7142333984375</v>
          </cell>
          <cell r="X80" t="str">
            <v>-</v>
          </cell>
          <cell r="Y80">
            <v>85.7142333984375</v>
          </cell>
          <cell r="Z80">
            <v>85.7142333984375</v>
          </cell>
          <cell r="AA80" t="str">
            <v>-</v>
          </cell>
          <cell r="AB80">
            <v>85.7142333984375</v>
          </cell>
          <cell r="AC80">
            <v>85.7142333984375</v>
          </cell>
          <cell r="AD80" t="str">
            <v>-</v>
          </cell>
          <cell r="AE80">
            <v>85.7142333984375</v>
          </cell>
          <cell r="AF80">
            <v>85.7142333984375</v>
          </cell>
          <cell r="AG80" t="str">
            <v>-</v>
          </cell>
          <cell r="AH80">
            <v>85.7142333984375</v>
          </cell>
          <cell r="AI80">
            <v>85.7142333984375</v>
          </cell>
          <cell r="AJ80" t="str">
            <v>-</v>
          </cell>
          <cell r="AK80">
            <v>85.7142333984375</v>
          </cell>
          <cell r="AL80">
            <v>85.7142333984375</v>
          </cell>
          <cell r="AM80" t="str">
            <v>-</v>
          </cell>
          <cell r="AN80">
            <v>85.7142333984375</v>
          </cell>
          <cell r="AO80">
            <v>85.7142333984375</v>
          </cell>
          <cell r="AP80" t="str">
            <v>-</v>
          </cell>
          <cell r="AQ80">
            <v>85.7142333984375</v>
          </cell>
          <cell r="AR80">
            <v>85.7142333984375</v>
          </cell>
          <cell r="AS80" t="str">
            <v>-</v>
          </cell>
          <cell r="AT80">
            <v>85.7142333984375</v>
          </cell>
          <cell r="AU80">
            <v>85.7142333984375</v>
          </cell>
          <cell r="AV80" t="str">
            <v>-</v>
          </cell>
          <cell r="AW80">
            <v>85.7142333984375</v>
          </cell>
          <cell r="AX80">
            <v>85.7142333984375</v>
          </cell>
          <cell r="AY80" t="str">
            <v>-</v>
          </cell>
          <cell r="AZ80">
            <v>85.7142333984375</v>
          </cell>
          <cell r="BA80">
            <v>85.7142333984375</v>
          </cell>
          <cell r="BB80" t="str">
            <v>-</v>
          </cell>
          <cell r="BC80">
            <v>85.7142333984375</v>
          </cell>
          <cell r="BD80">
            <v>85.7142333984375</v>
          </cell>
          <cell r="BE80" t="str">
            <v>-</v>
          </cell>
          <cell r="BF80">
            <v>85.7142333984375</v>
          </cell>
          <cell r="BG80">
            <v>85.7142333984375</v>
          </cell>
          <cell r="BH80" t="str">
            <v>-</v>
          </cell>
          <cell r="BI80">
            <v>85.7142333984375</v>
          </cell>
          <cell r="BJ80">
            <v>85.7142333984375</v>
          </cell>
          <cell r="BK80" t="str">
            <v>-</v>
          </cell>
          <cell r="BL80">
            <v>85.7142333984375</v>
          </cell>
          <cell r="BM80">
            <v>85.7142333984375</v>
          </cell>
          <cell r="BN80" t="str">
            <v>-</v>
          </cell>
          <cell r="BO80">
            <v>85.7142333984375</v>
          </cell>
          <cell r="BP80">
            <v>85.7142333984375</v>
          </cell>
          <cell r="BQ80" t="str">
            <v>-</v>
          </cell>
          <cell r="BR80">
            <v>85.7142333984375</v>
          </cell>
          <cell r="BS80">
            <v>85.7142333984375</v>
          </cell>
          <cell r="BT80" t="str">
            <v>-</v>
          </cell>
          <cell r="BU80">
            <v>85.7142333984375</v>
          </cell>
          <cell r="BV80">
            <v>85.7142333984375</v>
          </cell>
          <cell r="BW80" t="str">
            <v>-</v>
          </cell>
          <cell r="BX80">
            <v>139</v>
          </cell>
          <cell r="BY80">
            <v>17</v>
          </cell>
          <cell r="BZ80">
            <v>89.1</v>
          </cell>
          <cell r="CA80">
            <v>68</v>
          </cell>
          <cell r="CB80">
            <v>19</v>
          </cell>
          <cell r="CC80">
            <v>78.2</v>
          </cell>
          <cell r="CD80">
            <v>102</v>
          </cell>
          <cell r="CE80">
            <v>11</v>
          </cell>
          <cell r="CF80">
            <v>90.3</v>
          </cell>
          <cell r="CG80">
            <v>90</v>
          </cell>
          <cell r="CH80">
            <v>13</v>
          </cell>
          <cell r="CI80">
            <v>87.4</v>
          </cell>
          <cell r="CJ80">
            <v>78</v>
          </cell>
          <cell r="CK80">
            <v>12</v>
          </cell>
          <cell r="CL80">
            <v>86.7</v>
          </cell>
          <cell r="CM80">
            <v>66</v>
          </cell>
          <cell r="CN80">
            <v>13</v>
          </cell>
          <cell r="CO80">
            <v>83.5</v>
          </cell>
          <cell r="CP80">
            <v>70</v>
          </cell>
          <cell r="CQ80">
            <v>13</v>
          </cell>
          <cell r="CR80">
            <v>84.3</v>
          </cell>
          <cell r="CS80">
            <v>45</v>
          </cell>
          <cell r="CT80">
            <v>4</v>
          </cell>
          <cell r="CU80">
            <v>91.8</v>
          </cell>
          <cell r="CV80">
            <v>15</v>
          </cell>
          <cell r="CW80">
            <v>11</v>
          </cell>
          <cell r="CX80">
            <v>57.7</v>
          </cell>
          <cell r="CY80">
            <v>13</v>
          </cell>
          <cell r="CZ80">
            <v>6</v>
          </cell>
          <cell r="DA80">
            <v>68.400000000000006</v>
          </cell>
          <cell r="DB80">
            <v>12</v>
          </cell>
          <cell r="DC80">
            <v>7</v>
          </cell>
          <cell r="DD80">
            <v>63.2</v>
          </cell>
          <cell r="DE80">
            <v>17</v>
          </cell>
          <cell r="DF80">
            <v>8</v>
          </cell>
          <cell r="DG80">
            <v>68</v>
          </cell>
          <cell r="DH80">
            <v>10</v>
          </cell>
          <cell r="DI80">
            <v>7</v>
          </cell>
          <cell r="DJ80">
            <v>58.8</v>
          </cell>
          <cell r="DK80">
            <v>15</v>
          </cell>
          <cell r="DL80">
            <v>11</v>
          </cell>
          <cell r="DM80">
            <v>57.7</v>
          </cell>
          <cell r="DN80">
            <v>18</v>
          </cell>
          <cell r="DO80">
            <v>11</v>
          </cell>
          <cell r="DP80">
            <v>62.1</v>
          </cell>
          <cell r="DQ80">
            <v>10</v>
          </cell>
          <cell r="DR80">
            <v>3</v>
          </cell>
          <cell r="DS80">
            <v>76.900000000000006</v>
          </cell>
          <cell r="DT80">
            <v>76.89996337890625</v>
          </cell>
          <cell r="DU80">
            <v>76.89996337890625</v>
          </cell>
          <cell r="DV80" t="str">
            <v>-</v>
          </cell>
          <cell r="DW80">
            <v>76.89996337890625</v>
          </cell>
          <cell r="DX80">
            <v>76.89996337890625</v>
          </cell>
          <cell r="DY80" t="str">
            <v>-</v>
          </cell>
          <cell r="DZ80">
            <v>76.89996337890625</v>
          </cell>
          <cell r="EA80">
            <v>76.89996337890625</v>
          </cell>
          <cell r="EB80" t="str">
            <v>-</v>
          </cell>
          <cell r="EC80">
            <v>76.89996337890625</v>
          </cell>
          <cell r="ED80">
            <v>76.89996337890625</v>
          </cell>
          <cell r="EE80" t="str">
            <v>-</v>
          </cell>
          <cell r="EF80">
            <v>76.89996337890625</v>
          </cell>
          <cell r="EG80">
            <v>76.89996337890625</v>
          </cell>
          <cell r="EH80" t="str">
            <v>-</v>
          </cell>
          <cell r="EI80">
            <v>76.89996337890625</v>
          </cell>
          <cell r="EJ80">
            <v>76.89996337890625</v>
          </cell>
          <cell r="EK80" t="str">
            <v>-</v>
          </cell>
          <cell r="EL80">
            <v>76.89996337890625</v>
          </cell>
          <cell r="EM80">
            <v>76.89996337890625</v>
          </cell>
          <cell r="EN80" t="str">
            <v>-</v>
          </cell>
          <cell r="EO80">
            <v>76.89996337890625</v>
          </cell>
          <cell r="EP80">
            <v>76.89996337890625</v>
          </cell>
          <cell r="EQ80" t="str">
            <v>-</v>
          </cell>
          <cell r="ER80">
            <v>5</v>
          </cell>
          <cell r="ES80">
            <v>1</v>
          </cell>
          <cell r="ET80">
            <v>83.3</v>
          </cell>
          <cell r="EU80">
            <v>83.29998779296875</v>
          </cell>
          <cell r="EV80">
            <v>1</v>
          </cell>
          <cell r="EW80">
            <v>0</v>
          </cell>
          <cell r="EX80">
            <v>15</v>
          </cell>
          <cell r="EY80">
            <v>2</v>
          </cell>
          <cell r="EZ80">
            <v>88.2</v>
          </cell>
          <cell r="FA80">
            <v>20</v>
          </cell>
          <cell r="FB80">
            <v>3</v>
          </cell>
          <cell r="FC80">
            <v>87</v>
          </cell>
          <cell r="FD80">
            <v>7</v>
          </cell>
          <cell r="FE80">
            <v>3</v>
          </cell>
          <cell r="FF80">
            <v>70</v>
          </cell>
          <cell r="FG80">
            <v>15</v>
          </cell>
          <cell r="FH80">
            <v>2</v>
          </cell>
          <cell r="FI80">
            <v>88.2</v>
          </cell>
          <cell r="FJ80">
            <v>7</v>
          </cell>
          <cell r="FK80">
            <v>2</v>
          </cell>
          <cell r="FL80">
            <v>77.8</v>
          </cell>
          <cell r="FM80">
            <v>8</v>
          </cell>
          <cell r="FN80">
            <v>8</v>
          </cell>
          <cell r="FO80">
            <v>100</v>
          </cell>
          <cell r="FP80">
            <v>100</v>
          </cell>
          <cell r="FQ80">
            <v>100</v>
          </cell>
          <cell r="FR80" t="str">
            <v>-</v>
          </cell>
          <cell r="FS80">
            <v>100</v>
          </cell>
          <cell r="FT80">
            <v>100</v>
          </cell>
          <cell r="FU80" t="str">
            <v>-</v>
          </cell>
          <cell r="FV80">
            <v>100</v>
          </cell>
          <cell r="FW80">
            <v>100</v>
          </cell>
          <cell r="FX80" t="str">
            <v>-</v>
          </cell>
          <cell r="FY80">
            <v>100</v>
          </cell>
          <cell r="FZ80">
            <v>100</v>
          </cell>
          <cell r="GA80" t="str">
            <v>-</v>
          </cell>
          <cell r="GB80">
            <v>100</v>
          </cell>
          <cell r="GC80">
            <v>100</v>
          </cell>
          <cell r="GD80" t="str">
            <v>-</v>
          </cell>
          <cell r="GE80">
            <v>100</v>
          </cell>
          <cell r="GF80">
            <v>100</v>
          </cell>
          <cell r="GG80" t="str">
            <v>-</v>
          </cell>
          <cell r="GH80">
            <v>100</v>
          </cell>
          <cell r="GI80">
            <v>100</v>
          </cell>
          <cell r="GJ80" t="str">
            <v>-</v>
          </cell>
          <cell r="GK80">
            <v>100</v>
          </cell>
          <cell r="GL80">
            <v>100</v>
          </cell>
          <cell r="GM80" t="str">
            <v>-</v>
          </cell>
          <cell r="GN80">
            <v>271</v>
          </cell>
          <cell r="GO80">
            <v>15</v>
          </cell>
          <cell r="GP80">
            <v>94.8</v>
          </cell>
          <cell r="GQ80">
            <v>51</v>
          </cell>
          <cell r="GR80">
            <v>17</v>
          </cell>
          <cell r="GS80">
            <v>75</v>
          </cell>
          <cell r="GT80">
            <v>47</v>
          </cell>
          <cell r="GU80">
            <v>15</v>
          </cell>
          <cell r="GV80">
            <v>75.8</v>
          </cell>
          <cell r="GW80">
            <v>24</v>
          </cell>
          <cell r="GX80">
            <v>15</v>
          </cell>
          <cell r="GY80">
            <v>61.5</v>
          </cell>
          <cell r="GZ80">
            <v>33</v>
          </cell>
          <cell r="HA80">
            <v>9</v>
          </cell>
          <cell r="HB80">
            <v>78.599999999999994</v>
          </cell>
          <cell r="HC80">
            <v>39</v>
          </cell>
          <cell r="HD80">
            <v>13</v>
          </cell>
          <cell r="HE80">
            <v>75</v>
          </cell>
          <cell r="HF80">
            <v>52</v>
          </cell>
          <cell r="HG80">
            <v>13</v>
          </cell>
          <cell r="HH80">
            <v>80</v>
          </cell>
          <cell r="HI80">
            <v>28</v>
          </cell>
          <cell r="HJ80">
            <v>8</v>
          </cell>
          <cell r="HK80">
            <v>77.8</v>
          </cell>
          <cell r="HL80">
            <v>2</v>
          </cell>
          <cell r="HM80">
            <v>2</v>
          </cell>
          <cell r="HN80">
            <v>100</v>
          </cell>
          <cell r="HO80">
            <v>3</v>
          </cell>
          <cell r="HP80">
            <v>4</v>
          </cell>
          <cell r="HQ80">
            <v>42.9</v>
          </cell>
          <cell r="HR80">
            <v>1</v>
          </cell>
          <cell r="HS80">
            <v>1</v>
          </cell>
          <cell r="HT80">
            <v>50</v>
          </cell>
          <cell r="HU80">
            <v>50</v>
          </cell>
          <cell r="HV80">
            <v>4</v>
          </cell>
          <cell r="HW80">
            <v>0</v>
          </cell>
          <cell r="HX80">
            <v>2</v>
          </cell>
          <cell r="HY80">
            <v>1</v>
          </cell>
          <cell r="HZ80">
            <v>66.7</v>
          </cell>
          <cell r="IA80">
            <v>1</v>
          </cell>
          <cell r="IB80">
            <v>1</v>
          </cell>
          <cell r="IC80">
            <v>100</v>
          </cell>
          <cell r="ID80">
            <v>100</v>
          </cell>
          <cell r="IE80">
            <v>100</v>
          </cell>
          <cell r="IF80" t="str">
            <v>-</v>
          </cell>
          <cell r="IG80">
            <v>100</v>
          </cell>
          <cell r="IH80">
            <v>100</v>
          </cell>
          <cell r="II80" t="str">
            <v>-</v>
          </cell>
          <cell r="IJ80">
            <v>100</v>
          </cell>
          <cell r="IK80">
            <v>100</v>
          </cell>
          <cell r="IL80" t="str">
            <v>-</v>
          </cell>
          <cell r="IM80">
            <v>100</v>
          </cell>
          <cell r="IN80">
            <v>100</v>
          </cell>
          <cell r="IO80" t="str">
            <v>-</v>
          </cell>
          <cell r="IP80">
            <v>100</v>
          </cell>
          <cell r="IQ80">
            <v>100</v>
          </cell>
          <cell r="IR80" t="str">
            <v>-</v>
          </cell>
          <cell r="IS80">
            <v>100</v>
          </cell>
          <cell r="IT80">
            <v>100</v>
          </cell>
          <cell r="IU80" t="str">
            <v>-</v>
          </cell>
          <cell r="IV80">
            <v>100</v>
          </cell>
          <cell r="IW80">
            <v>100</v>
          </cell>
          <cell r="IX80" t="str">
            <v>-</v>
          </cell>
          <cell r="IY80">
            <v>100</v>
          </cell>
          <cell r="IZ80">
            <v>100</v>
          </cell>
          <cell r="JA80" t="str">
            <v>-</v>
          </cell>
          <cell r="JB80">
            <v>8</v>
          </cell>
          <cell r="JC80">
            <v>8</v>
          </cell>
          <cell r="JD80">
            <v>100</v>
          </cell>
          <cell r="JE80">
            <v>6</v>
          </cell>
          <cell r="JF80">
            <v>6</v>
          </cell>
          <cell r="JG80">
            <v>100</v>
          </cell>
          <cell r="JH80">
            <v>0</v>
          </cell>
          <cell r="JI80">
            <v>0</v>
          </cell>
          <cell r="JJ80" t="str">
            <v>-</v>
          </cell>
          <cell r="JK80">
            <v>0</v>
          </cell>
          <cell r="JL80">
            <v>0</v>
          </cell>
          <cell r="JM80" t="str">
            <v>-</v>
          </cell>
          <cell r="JN80">
            <v>0</v>
          </cell>
          <cell r="JO80">
            <v>0</v>
          </cell>
          <cell r="JP80" t="str">
            <v>-</v>
          </cell>
          <cell r="JQ80">
            <v>349</v>
          </cell>
          <cell r="JR80">
            <v>55</v>
          </cell>
          <cell r="JS80">
            <v>86.386138613861391</v>
          </cell>
          <cell r="JT80">
            <v>70</v>
          </cell>
          <cell r="JU80">
            <v>40</v>
          </cell>
          <cell r="JV80">
            <v>63.636363636363633</v>
          </cell>
          <cell r="JW80">
            <v>0</v>
          </cell>
          <cell r="JX80">
            <v>0</v>
          </cell>
          <cell r="JY80" t="str">
            <v>-</v>
          </cell>
          <cell r="JZ80">
            <v>57</v>
          </cell>
          <cell r="KA80">
            <v>10</v>
          </cell>
          <cell r="KB80">
            <v>85.074626865671647</v>
          </cell>
          <cell r="KC80">
            <v>0</v>
          </cell>
          <cell r="KD80">
            <v>0</v>
          </cell>
          <cell r="KE80" t="str">
            <v>-</v>
          </cell>
          <cell r="KF80">
            <v>176</v>
          </cell>
          <cell r="KG80">
            <v>58</v>
          </cell>
          <cell r="KH80">
            <v>75.213675213675216</v>
          </cell>
          <cell r="KI80">
            <v>3</v>
          </cell>
          <cell r="KJ80">
            <v>5</v>
          </cell>
          <cell r="KK80">
            <v>37.5</v>
          </cell>
          <cell r="KL80">
            <v>14</v>
          </cell>
          <cell r="KM80">
            <v>0</v>
          </cell>
          <cell r="KN80">
            <v>100</v>
          </cell>
        </row>
        <row r="81">
          <cell r="C81" t="str">
            <v>Gárdonyi Rendőrkapitányság</v>
          </cell>
          <cell r="D81">
            <v>100</v>
          </cell>
          <cell r="E81">
            <v>100</v>
          </cell>
          <cell r="F81" t="str">
            <v>-</v>
          </cell>
          <cell r="G81">
            <v>1</v>
          </cell>
          <cell r="H81">
            <v>1</v>
          </cell>
          <cell r="I81">
            <v>100</v>
          </cell>
          <cell r="J81">
            <v>100</v>
          </cell>
          <cell r="K81">
            <v>100</v>
          </cell>
          <cell r="L81" t="str">
            <v>-</v>
          </cell>
          <cell r="M81">
            <v>1</v>
          </cell>
          <cell r="N81">
            <v>1</v>
          </cell>
          <cell r="O81">
            <v>100</v>
          </cell>
          <cell r="P81">
            <v>100</v>
          </cell>
          <cell r="Q81">
            <v>100</v>
          </cell>
          <cell r="R81" t="str">
            <v>-</v>
          </cell>
          <cell r="S81">
            <v>100</v>
          </cell>
          <cell r="T81">
            <v>100</v>
          </cell>
          <cell r="U81" t="str">
            <v>-</v>
          </cell>
          <cell r="V81">
            <v>100</v>
          </cell>
          <cell r="W81">
            <v>100</v>
          </cell>
          <cell r="X81" t="str">
            <v>-</v>
          </cell>
          <cell r="Y81">
            <v>100</v>
          </cell>
          <cell r="Z81">
            <v>100</v>
          </cell>
          <cell r="AA81" t="str">
            <v>-</v>
          </cell>
          <cell r="AB81">
            <v>100</v>
          </cell>
          <cell r="AC81">
            <v>100</v>
          </cell>
          <cell r="AD81" t="str">
            <v>-</v>
          </cell>
          <cell r="AE81">
            <v>100</v>
          </cell>
          <cell r="AF81">
            <v>100</v>
          </cell>
          <cell r="AG81" t="str">
            <v>-</v>
          </cell>
          <cell r="AH81">
            <v>100</v>
          </cell>
          <cell r="AI81">
            <v>100</v>
          </cell>
          <cell r="AJ81" t="str">
            <v>-</v>
          </cell>
          <cell r="AK81">
            <v>100</v>
          </cell>
          <cell r="AL81">
            <v>100</v>
          </cell>
          <cell r="AM81" t="str">
            <v>-</v>
          </cell>
          <cell r="AN81">
            <v>100</v>
          </cell>
          <cell r="AO81">
            <v>100</v>
          </cell>
          <cell r="AP81" t="str">
            <v>-</v>
          </cell>
          <cell r="AQ81">
            <v>100</v>
          </cell>
          <cell r="AR81">
            <v>100</v>
          </cell>
          <cell r="AS81" t="str">
            <v>-</v>
          </cell>
          <cell r="AT81">
            <v>100</v>
          </cell>
          <cell r="AU81">
            <v>100</v>
          </cell>
          <cell r="AV81" t="str">
            <v>-</v>
          </cell>
          <cell r="AW81">
            <v>100</v>
          </cell>
          <cell r="AX81">
            <v>100</v>
          </cell>
          <cell r="AY81" t="str">
            <v>-</v>
          </cell>
          <cell r="AZ81">
            <v>100</v>
          </cell>
          <cell r="BA81">
            <v>100</v>
          </cell>
          <cell r="BB81" t="str">
            <v>-</v>
          </cell>
          <cell r="BC81">
            <v>1</v>
          </cell>
          <cell r="BD81">
            <v>1</v>
          </cell>
          <cell r="BE81">
            <v>100</v>
          </cell>
          <cell r="BF81">
            <v>100</v>
          </cell>
          <cell r="BG81">
            <v>100</v>
          </cell>
          <cell r="BH81" t="str">
            <v>-</v>
          </cell>
          <cell r="BI81">
            <v>1</v>
          </cell>
          <cell r="BJ81">
            <v>1</v>
          </cell>
          <cell r="BK81">
            <v>100</v>
          </cell>
          <cell r="BL81">
            <v>100</v>
          </cell>
          <cell r="BM81">
            <v>100</v>
          </cell>
          <cell r="BN81" t="str">
            <v>-</v>
          </cell>
          <cell r="BO81">
            <v>100</v>
          </cell>
          <cell r="BP81">
            <v>100</v>
          </cell>
          <cell r="BQ81" t="str">
            <v>-</v>
          </cell>
          <cell r="BR81">
            <v>100</v>
          </cell>
          <cell r="BS81">
            <v>100</v>
          </cell>
          <cell r="BT81" t="str">
            <v>-</v>
          </cell>
          <cell r="BU81">
            <v>100</v>
          </cell>
          <cell r="BV81">
            <v>100</v>
          </cell>
          <cell r="BW81" t="str">
            <v>-</v>
          </cell>
          <cell r="BX81">
            <v>310</v>
          </cell>
          <cell r="BY81">
            <v>12</v>
          </cell>
          <cell r="BZ81">
            <v>96.3</v>
          </cell>
          <cell r="CA81">
            <v>189</v>
          </cell>
          <cell r="CB81">
            <v>10</v>
          </cell>
          <cell r="CC81">
            <v>95</v>
          </cell>
          <cell r="CD81">
            <v>320</v>
          </cell>
          <cell r="CE81">
            <v>11</v>
          </cell>
          <cell r="CF81">
            <v>96.7</v>
          </cell>
          <cell r="CG81">
            <v>17</v>
          </cell>
          <cell r="CH81">
            <v>9</v>
          </cell>
          <cell r="CI81">
            <v>65.400000000000006</v>
          </cell>
          <cell r="CJ81">
            <v>16</v>
          </cell>
          <cell r="CK81">
            <v>11</v>
          </cell>
          <cell r="CL81">
            <v>59.3</v>
          </cell>
          <cell r="CM81">
            <v>23</v>
          </cell>
          <cell r="CN81">
            <v>7</v>
          </cell>
          <cell r="CO81">
            <v>76.7</v>
          </cell>
          <cell r="CP81">
            <v>40</v>
          </cell>
          <cell r="CQ81">
            <v>10</v>
          </cell>
          <cell r="CR81">
            <v>80</v>
          </cell>
          <cell r="CS81">
            <v>39</v>
          </cell>
          <cell r="CT81">
            <v>8</v>
          </cell>
          <cell r="CU81">
            <v>83</v>
          </cell>
          <cell r="CV81">
            <v>21</v>
          </cell>
          <cell r="CW81">
            <v>8</v>
          </cell>
          <cell r="CX81">
            <v>72.400000000000006</v>
          </cell>
          <cell r="CY81">
            <v>17</v>
          </cell>
          <cell r="CZ81">
            <v>8</v>
          </cell>
          <cell r="DA81">
            <v>68</v>
          </cell>
          <cell r="DB81">
            <v>21</v>
          </cell>
          <cell r="DC81">
            <v>6</v>
          </cell>
          <cell r="DD81">
            <v>77.8</v>
          </cell>
          <cell r="DE81">
            <v>14</v>
          </cell>
          <cell r="DF81">
            <v>8</v>
          </cell>
          <cell r="DG81">
            <v>63.6</v>
          </cell>
          <cell r="DH81">
            <v>15</v>
          </cell>
          <cell r="DI81">
            <v>10</v>
          </cell>
          <cell r="DJ81">
            <v>60</v>
          </cell>
          <cell r="DK81">
            <v>13</v>
          </cell>
          <cell r="DL81">
            <v>5</v>
          </cell>
          <cell r="DM81">
            <v>72.2</v>
          </cell>
          <cell r="DN81">
            <v>21</v>
          </cell>
          <cell r="DO81">
            <v>6</v>
          </cell>
          <cell r="DP81">
            <v>77.8</v>
          </cell>
          <cell r="DQ81">
            <v>27</v>
          </cell>
          <cell r="DR81">
            <v>7</v>
          </cell>
          <cell r="DS81">
            <v>79.400000000000006</v>
          </cell>
          <cell r="DT81">
            <v>79.39996337890625</v>
          </cell>
          <cell r="DU81">
            <v>79.39996337890625</v>
          </cell>
          <cell r="DV81" t="str">
            <v>-</v>
          </cell>
          <cell r="DW81">
            <v>79.39996337890625</v>
          </cell>
          <cell r="DX81">
            <v>79.39996337890625</v>
          </cell>
          <cell r="DY81" t="str">
            <v>-</v>
          </cell>
          <cell r="DZ81">
            <v>79.39996337890625</v>
          </cell>
          <cell r="EA81">
            <v>79.39996337890625</v>
          </cell>
          <cell r="EB81" t="str">
            <v>-</v>
          </cell>
          <cell r="EC81">
            <v>79.39996337890625</v>
          </cell>
          <cell r="ED81">
            <v>79.39996337890625</v>
          </cell>
          <cell r="EE81" t="str">
            <v>-</v>
          </cell>
          <cell r="EF81">
            <v>79.39996337890625</v>
          </cell>
          <cell r="EG81">
            <v>79.39996337890625</v>
          </cell>
          <cell r="EH81" t="str">
            <v>-</v>
          </cell>
          <cell r="EI81">
            <v>79.39996337890625</v>
          </cell>
          <cell r="EJ81">
            <v>79.39996337890625</v>
          </cell>
          <cell r="EK81" t="str">
            <v>-</v>
          </cell>
          <cell r="EL81">
            <v>79.39996337890625</v>
          </cell>
          <cell r="EM81">
            <v>79.39996337890625</v>
          </cell>
          <cell r="EN81" t="str">
            <v>-</v>
          </cell>
          <cell r="EO81">
            <v>79.39996337890625</v>
          </cell>
          <cell r="EP81">
            <v>79.39996337890625</v>
          </cell>
          <cell r="EQ81" t="str">
            <v>-</v>
          </cell>
          <cell r="ER81">
            <v>3</v>
          </cell>
          <cell r="ES81">
            <v>1</v>
          </cell>
          <cell r="ET81">
            <v>75</v>
          </cell>
          <cell r="EU81">
            <v>1</v>
          </cell>
          <cell r="EV81">
            <v>1</v>
          </cell>
          <cell r="EW81">
            <v>100</v>
          </cell>
          <cell r="EX81">
            <v>2</v>
          </cell>
          <cell r="EY81">
            <v>1</v>
          </cell>
          <cell r="EZ81">
            <v>66.7</v>
          </cell>
          <cell r="FA81">
            <v>66.699951171875</v>
          </cell>
          <cell r="FB81">
            <v>1</v>
          </cell>
          <cell r="FC81">
            <v>0</v>
          </cell>
          <cell r="FD81">
            <v>0</v>
          </cell>
          <cell r="FE81">
            <v>2</v>
          </cell>
          <cell r="FF81">
            <v>0</v>
          </cell>
          <cell r="FG81">
            <v>1</v>
          </cell>
          <cell r="FH81">
            <v>1</v>
          </cell>
          <cell r="FI81">
            <v>100</v>
          </cell>
          <cell r="FJ81">
            <v>1</v>
          </cell>
          <cell r="FK81">
            <v>1</v>
          </cell>
          <cell r="FL81">
            <v>100</v>
          </cell>
          <cell r="FM81">
            <v>3</v>
          </cell>
          <cell r="FN81">
            <v>3</v>
          </cell>
          <cell r="FO81">
            <v>100</v>
          </cell>
          <cell r="FP81">
            <v>100</v>
          </cell>
          <cell r="FQ81">
            <v>100</v>
          </cell>
          <cell r="FR81" t="str">
            <v>-</v>
          </cell>
          <cell r="FS81">
            <v>100</v>
          </cell>
          <cell r="FT81">
            <v>100</v>
          </cell>
          <cell r="FU81" t="str">
            <v>-</v>
          </cell>
          <cell r="FV81">
            <v>100</v>
          </cell>
          <cell r="FW81">
            <v>100</v>
          </cell>
          <cell r="FX81" t="str">
            <v>-</v>
          </cell>
          <cell r="FY81">
            <v>100</v>
          </cell>
          <cell r="FZ81">
            <v>100</v>
          </cell>
          <cell r="GA81" t="str">
            <v>-</v>
          </cell>
          <cell r="GB81">
            <v>100</v>
          </cell>
          <cell r="GC81">
            <v>100</v>
          </cell>
          <cell r="GD81" t="str">
            <v>-</v>
          </cell>
          <cell r="GE81">
            <v>1</v>
          </cell>
          <cell r="GF81">
            <v>1</v>
          </cell>
          <cell r="GG81">
            <v>100</v>
          </cell>
          <cell r="GH81">
            <v>100</v>
          </cell>
          <cell r="GI81">
            <v>100</v>
          </cell>
          <cell r="GJ81" t="str">
            <v>-</v>
          </cell>
          <cell r="GK81">
            <v>1</v>
          </cell>
          <cell r="GL81">
            <v>1</v>
          </cell>
          <cell r="GM81">
            <v>100</v>
          </cell>
          <cell r="GN81">
            <v>233</v>
          </cell>
          <cell r="GO81">
            <v>7</v>
          </cell>
          <cell r="GP81">
            <v>97.1</v>
          </cell>
          <cell r="GQ81">
            <v>175</v>
          </cell>
          <cell r="GR81">
            <v>8</v>
          </cell>
          <cell r="GS81">
            <v>95.6</v>
          </cell>
          <cell r="GT81">
            <v>300</v>
          </cell>
          <cell r="GU81">
            <v>12</v>
          </cell>
          <cell r="GV81">
            <v>96.2</v>
          </cell>
          <cell r="GW81">
            <v>9</v>
          </cell>
          <cell r="GX81">
            <v>5</v>
          </cell>
          <cell r="GY81">
            <v>64.3</v>
          </cell>
          <cell r="GZ81">
            <v>186</v>
          </cell>
          <cell r="HA81">
            <v>7</v>
          </cell>
          <cell r="HB81">
            <v>96.4</v>
          </cell>
          <cell r="HC81">
            <v>19</v>
          </cell>
          <cell r="HD81">
            <v>1</v>
          </cell>
          <cell r="HE81">
            <v>95</v>
          </cell>
          <cell r="HF81">
            <v>32</v>
          </cell>
          <cell r="HG81">
            <v>4</v>
          </cell>
          <cell r="HH81">
            <v>88.9</v>
          </cell>
          <cell r="HI81">
            <v>26</v>
          </cell>
          <cell r="HJ81">
            <v>4</v>
          </cell>
          <cell r="HK81">
            <v>86.7</v>
          </cell>
          <cell r="HL81">
            <v>86.699951171875</v>
          </cell>
          <cell r="HM81">
            <v>2</v>
          </cell>
          <cell r="HN81">
            <v>0</v>
          </cell>
          <cell r="HO81">
            <v>3</v>
          </cell>
          <cell r="HP81">
            <v>1</v>
          </cell>
          <cell r="HQ81">
            <v>75</v>
          </cell>
          <cell r="HR81">
            <v>75</v>
          </cell>
          <cell r="HS81">
            <v>4</v>
          </cell>
          <cell r="HT81">
            <v>0</v>
          </cell>
          <cell r="HU81">
            <v>0</v>
          </cell>
          <cell r="HV81">
            <v>0</v>
          </cell>
          <cell r="HW81" t="str">
            <v>-</v>
          </cell>
          <cell r="HX81">
            <v>0</v>
          </cell>
          <cell r="HY81">
            <v>1</v>
          </cell>
          <cell r="HZ81">
            <v>0</v>
          </cell>
          <cell r="IA81">
            <v>0</v>
          </cell>
          <cell r="IB81">
            <v>0</v>
          </cell>
          <cell r="IC81" t="str">
            <v>-</v>
          </cell>
          <cell r="ID81">
            <v>2</v>
          </cell>
          <cell r="IE81">
            <v>2</v>
          </cell>
          <cell r="IF81">
            <v>100</v>
          </cell>
          <cell r="IG81">
            <v>1</v>
          </cell>
          <cell r="IH81">
            <v>1</v>
          </cell>
          <cell r="II81">
            <v>50</v>
          </cell>
          <cell r="IJ81">
            <v>1</v>
          </cell>
          <cell r="IK81">
            <v>1</v>
          </cell>
          <cell r="IL81">
            <v>100</v>
          </cell>
          <cell r="IM81">
            <v>1</v>
          </cell>
          <cell r="IN81">
            <v>1</v>
          </cell>
          <cell r="IO81">
            <v>100</v>
          </cell>
          <cell r="IP81">
            <v>1</v>
          </cell>
          <cell r="IQ81">
            <v>1</v>
          </cell>
          <cell r="IR81">
            <v>100</v>
          </cell>
          <cell r="IS81">
            <v>1</v>
          </cell>
          <cell r="IT81">
            <v>1</v>
          </cell>
          <cell r="IU81">
            <v>100</v>
          </cell>
          <cell r="IV81">
            <v>1</v>
          </cell>
          <cell r="IW81">
            <v>1</v>
          </cell>
          <cell r="IX81">
            <v>100</v>
          </cell>
          <cell r="IY81">
            <v>3</v>
          </cell>
          <cell r="IZ81">
            <v>3</v>
          </cell>
          <cell r="JA81">
            <v>100</v>
          </cell>
          <cell r="JB81">
            <v>100</v>
          </cell>
          <cell r="JC81">
            <v>100</v>
          </cell>
          <cell r="JD81" t="str">
            <v>-</v>
          </cell>
          <cell r="JE81">
            <v>3</v>
          </cell>
          <cell r="JF81">
            <v>3</v>
          </cell>
          <cell r="JG81">
            <v>100</v>
          </cell>
          <cell r="JH81">
            <v>1</v>
          </cell>
          <cell r="JI81">
            <v>0</v>
          </cell>
          <cell r="JJ81">
            <v>100</v>
          </cell>
          <cell r="JK81">
            <v>0</v>
          </cell>
          <cell r="JL81">
            <v>0</v>
          </cell>
          <cell r="JM81" t="str">
            <v>-</v>
          </cell>
          <cell r="JN81">
            <v>1</v>
          </cell>
          <cell r="JO81">
            <v>0</v>
          </cell>
          <cell r="JP81">
            <v>100</v>
          </cell>
          <cell r="JQ81">
            <v>135</v>
          </cell>
          <cell r="JR81">
            <v>45</v>
          </cell>
          <cell r="JS81">
            <v>75</v>
          </cell>
          <cell r="JT81">
            <v>90</v>
          </cell>
          <cell r="JU81">
            <v>36</v>
          </cell>
          <cell r="JV81">
            <v>71.428571428571431</v>
          </cell>
          <cell r="JW81">
            <v>0</v>
          </cell>
          <cell r="JX81">
            <v>0</v>
          </cell>
          <cell r="JY81" t="str">
            <v>-</v>
          </cell>
          <cell r="JZ81">
            <v>5</v>
          </cell>
          <cell r="KA81">
            <v>3</v>
          </cell>
          <cell r="KB81">
            <v>62.5</v>
          </cell>
          <cell r="KC81">
            <v>2</v>
          </cell>
          <cell r="KD81">
            <v>0</v>
          </cell>
          <cell r="KE81">
            <v>100</v>
          </cell>
          <cell r="KF81">
            <v>272</v>
          </cell>
          <cell r="KG81">
            <v>21</v>
          </cell>
          <cell r="KH81">
            <v>92.832764505119457</v>
          </cell>
          <cell r="KI81">
            <v>3</v>
          </cell>
          <cell r="KJ81">
            <v>2</v>
          </cell>
          <cell r="KK81">
            <v>60</v>
          </cell>
          <cell r="KL81">
            <v>8</v>
          </cell>
          <cell r="KM81">
            <v>0</v>
          </cell>
          <cell r="KN81">
            <v>100</v>
          </cell>
        </row>
        <row r="82">
          <cell r="C82" t="str">
            <v>Fejér Megyei Rendőr-főkapitányság</v>
          </cell>
          <cell r="D82">
            <v>8</v>
          </cell>
          <cell r="E82">
            <v>1</v>
          </cell>
          <cell r="F82">
            <v>88.9</v>
          </cell>
          <cell r="G82">
            <v>14</v>
          </cell>
          <cell r="H82">
            <v>1</v>
          </cell>
          <cell r="I82">
            <v>93.3</v>
          </cell>
          <cell r="J82">
            <v>7</v>
          </cell>
          <cell r="K82">
            <v>1</v>
          </cell>
          <cell r="L82">
            <v>87.5</v>
          </cell>
          <cell r="M82">
            <v>9</v>
          </cell>
          <cell r="N82">
            <v>1</v>
          </cell>
          <cell r="O82">
            <v>90</v>
          </cell>
          <cell r="P82">
            <v>13</v>
          </cell>
          <cell r="Q82">
            <v>2</v>
          </cell>
          <cell r="R82">
            <v>86.7</v>
          </cell>
          <cell r="S82">
            <v>9</v>
          </cell>
          <cell r="T82">
            <v>2</v>
          </cell>
          <cell r="U82">
            <v>81.8</v>
          </cell>
          <cell r="V82">
            <v>4</v>
          </cell>
          <cell r="W82">
            <v>1</v>
          </cell>
          <cell r="X82">
            <v>80</v>
          </cell>
          <cell r="Y82">
            <v>6</v>
          </cell>
          <cell r="Z82">
            <v>6</v>
          </cell>
          <cell r="AA82">
            <v>100</v>
          </cell>
          <cell r="AB82">
            <v>2</v>
          </cell>
          <cell r="AC82">
            <v>1</v>
          </cell>
          <cell r="AD82">
            <v>66.7</v>
          </cell>
          <cell r="AE82">
            <v>6</v>
          </cell>
          <cell r="AF82">
            <v>6</v>
          </cell>
          <cell r="AG82">
            <v>100</v>
          </cell>
          <cell r="AH82">
            <v>4</v>
          </cell>
          <cell r="AI82">
            <v>4</v>
          </cell>
          <cell r="AJ82">
            <v>100</v>
          </cell>
          <cell r="AK82">
            <v>5</v>
          </cell>
          <cell r="AL82">
            <v>1</v>
          </cell>
          <cell r="AM82">
            <v>83.3</v>
          </cell>
          <cell r="AN82">
            <v>7</v>
          </cell>
          <cell r="AO82">
            <v>2</v>
          </cell>
          <cell r="AP82">
            <v>77.8</v>
          </cell>
          <cell r="AQ82">
            <v>2</v>
          </cell>
          <cell r="AR82">
            <v>2</v>
          </cell>
          <cell r="AS82">
            <v>100</v>
          </cell>
          <cell r="AT82">
            <v>4</v>
          </cell>
          <cell r="AU82">
            <v>4</v>
          </cell>
          <cell r="AV82">
            <v>100</v>
          </cell>
          <cell r="AW82">
            <v>4</v>
          </cell>
          <cell r="AX82">
            <v>4</v>
          </cell>
          <cell r="AY82">
            <v>100</v>
          </cell>
          <cell r="AZ82">
            <v>4</v>
          </cell>
          <cell r="BA82">
            <v>4</v>
          </cell>
          <cell r="BB82">
            <v>100</v>
          </cell>
          <cell r="BC82">
            <v>7</v>
          </cell>
          <cell r="BD82">
            <v>1</v>
          </cell>
          <cell r="BE82">
            <v>87.5</v>
          </cell>
          <cell r="BF82">
            <v>3</v>
          </cell>
          <cell r="BG82">
            <v>3</v>
          </cell>
          <cell r="BH82">
            <v>100</v>
          </cell>
          <cell r="BI82">
            <v>4</v>
          </cell>
          <cell r="BJ82">
            <v>4</v>
          </cell>
          <cell r="BK82">
            <v>100</v>
          </cell>
          <cell r="BL82">
            <v>4</v>
          </cell>
          <cell r="BM82">
            <v>4</v>
          </cell>
          <cell r="BN82">
            <v>100</v>
          </cell>
          <cell r="BO82">
            <v>4</v>
          </cell>
          <cell r="BP82">
            <v>1</v>
          </cell>
          <cell r="BQ82">
            <v>80</v>
          </cell>
          <cell r="BR82">
            <v>80</v>
          </cell>
          <cell r="BS82">
            <v>1</v>
          </cell>
          <cell r="BT82">
            <v>0</v>
          </cell>
          <cell r="BU82">
            <v>1</v>
          </cell>
          <cell r="BV82">
            <v>1</v>
          </cell>
          <cell r="BW82">
            <v>100</v>
          </cell>
          <cell r="BX82">
            <v>1033</v>
          </cell>
          <cell r="BY82">
            <v>172</v>
          </cell>
          <cell r="BZ82">
            <v>85.7</v>
          </cell>
          <cell r="CA82">
            <v>1898</v>
          </cell>
          <cell r="CB82">
            <v>177</v>
          </cell>
          <cell r="CC82">
            <v>91.5</v>
          </cell>
          <cell r="CD82">
            <v>1702</v>
          </cell>
          <cell r="CE82">
            <v>223</v>
          </cell>
          <cell r="CF82">
            <v>88.4</v>
          </cell>
          <cell r="CG82">
            <v>540</v>
          </cell>
          <cell r="CH82">
            <v>184</v>
          </cell>
          <cell r="CI82">
            <v>74.599999999999994</v>
          </cell>
          <cell r="CJ82">
            <v>754</v>
          </cell>
          <cell r="CK82">
            <v>143</v>
          </cell>
          <cell r="CL82">
            <v>84.1</v>
          </cell>
          <cell r="CM82">
            <v>368</v>
          </cell>
          <cell r="CN82">
            <v>99</v>
          </cell>
          <cell r="CO82">
            <v>78.8</v>
          </cell>
          <cell r="CP82">
            <v>442</v>
          </cell>
          <cell r="CQ82">
            <v>91</v>
          </cell>
          <cell r="CR82">
            <v>82.9</v>
          </cell>
          <cell r="CS82">
            <v>345</v>
          </cell>
          <cell r="CT82">
            <v>51</v>
          </cell>
          <cell r="CU82">
            <v>87.1</v>
          </cell>
          <cell r="CV82">
            <v>221</v>
          </cell>
          <cell r="CW82">
            <v>123</v>
          </cell>
          <cell r="CX82">
            <v>64.2</v>
          </cell>
          <cell r="CY82">
            <v>220</v>
          </cell>
          <cell r="CZ82">
            <v>128</v>
          </cell>
          <cell r="DA82">
            <v>63.2</v>
          </cell>
          <cell r="DB82">
            <v>199</v>
          </cell>
          <cell r="DC82">
            <v>163</v>
          </cell>
          <cell r="DD82">
            <v>55</v>
          </cell>
          <cell r="DE82">
            <v>294</v>
          </cell>
          <cell r="DF82">
            <v>147</v>
          </cell>
          <cell r="DG82">
            <v>66.7</v>
          </cell>
          <cell r="DH82">
            <v>185</v>
          </cell>
          <cell r="DI82">
            <v>116</v>
          </cell>
          <cell r="DJ82">
            <v>61.5</v>
          </cell>
          <cell r="DK82">
            <v>191</v>
          </cell>
          <cell r="DL82">
            <v>80</v>
          </cell>
          <cell r="DM82">
            <v>70.5</v>
          </cell>
          <cell r="DN82">
            <v>203</v>
          </cell>
          <cell r="DO82">
            <v>74</v>
          </cell>
          <cell r="DP82">
            <v>73.3</v>
          </cell>
          <cell r="DQ82">
            <v>134</v>
          </cell>
          <cell r="DR82">
            <v>44</v>
          </cell>
          <cell r="DS82">
            <v>75.3</v>
          </cell>
          <cell r="DT82">
            <v>2</v>
          </cell>
          <cell r="DU82">
            <v>2</v>
          </cell>
          <cell r="DV82">
            <v>100</v>
          </cell>
          <cell r="DW82">
            <v>2</v>
          </cell>
          <cell r="DX82">
            <v>2</v>
          </cell>
          <cell r="DY82">
            <v>100</v>
          </cell>
          <cell r="DZ82">
            <v>100</v>
          </cell>
          <cell r="EA82">
            <v>100</v>
          </cell>
          <cell r="EB82" t="str">
            <v>-</v>
          </cell>
          <cell r="EC82">
            <v>2</v>
          </cell>
          <cell r="ED82">
            <v>2</v>
          </cell>
          <cell r="EE82">
            <v>100</v>
          </cell>
          <cell r="EF82">
            <v>3</v>
          </cell>
          <cell r="EG82">
            <v>3</v>
          </cell>
          <cell r="EH82">
            <v>100</v>
          </cell>
          <cell r="EI82">
            <v>100</v>
          </cell>
          <cell r="EJ82">
            <v>100</v>
          </cell>
          <cell r="EK82" t="str">
            <v>-</v>
          </cell>
          <cell r="EL82">
            <v>2</v>
          </cell>
          <cell r="EM82">
            <v>2</v>
          </cell>
          <cell r="EN82">
            <v>100</v>
          </cell>
          <cell r="EO82">
            <v>1</v>
          </cell>
          <cell r="EP82">
            <v>1</v>
          </cell>
          <cell r="EQ82">
            <v>100</v>
          </cell>
          <cell r="ER82">
            <v>59</v>
          </cell>
          <cell r="ES82">
            <v>11</v>
          </cell>
          <cell r="ET82">
            <v>84.3</v>
          </cell>
          <cell r="EU82">
            <v>56</v>
          </cell>
          <cell r="EV82">
            <v>22</v>
          </cell>
          <cell r="EW82">
            <v>71.8</v>
          </cell>
          <cell r="EX82">
            <v>45</v>
          </cell>
          <cell r="EY82">
            <v>29</v>
          </cell>
          <cell r="EZ82">
            <v>60.8</v>
          </cell>
          <cell r="FA82">
            <v>34</v>
          </cell>
          <cell r="FB82">
            <v>19</v>
          </cell>
          <cell r="FC82">
            <v>64.2</v>
          </cell>
          <cell r="FD82">
            <v>22</v>
          </cell>
          <cell r="FE82">
            <v>13</v>
          </cell>
          <cell r="FF82">
            <v>62.9</v>
          </cell>
          <cell r="FG82">
            <v>52</v>
          </cell>
          <cell r="FH82">
            <v>15</v>
          </cell>
          <cell r="FI82">
            <v>77.599999999999994</v>
          </cell>
          <cell r="FJ82">
            <v>20</v>
          </cell>
          <cell r="FK82">
            <v>7</v>
          </cell>
          <cell r="FL82">
            <v>74.099999999999994</v>
          </cell>
          <cell r="FM82">
            <v>36</v>
          </cell>
          <cell r="FN82">
            <v>3</v>
          </cell>
          <cell r="FO82">
            <v>92.3</v>
          </cell>
          <cell r="FP82">
            <v>92.29998779296875</v>
          </cell>
          <cell r="FQ82">
            <v>92.29998779296875</v>
          </cell>
          <cell r="FR82" t="str">
            <v>-</v>
          </cell>
          <cell r="FS82">
            <v>92.29998779296875</v>
          </cell>
          <cell r="FT82">
            <v>92.29998779296875</v>
          </cell>
          <cell r="FU82" t="str">
            <v>-</v>
          </cell>
          <cell r="FV82">
            <v>92.29998779296875</v>
          </cell>
          <cell r="FW82">
            <v>92.29998779296875</v>
          </cell>
          <cell r="FX82" t="str">
            <v>-</v>
          </cell>
          <cell r="FY82">
            <v>92.29998779296875</v>
          </cell>
          <cell r="FZ82">
            <v>92.29998779296875</v>
          </cell>
          <cell r="GA82" t="str">
            <v>-</v>
          </cell>
          <cell r="GB82">
            <v>92.29998779296875</v>
          </cell>
          <cell r="GC82">
            <v>92.29998779296875</v>
          </cell>
          <cell r="GD82" t="str">
            <v>-</v>
          </cell>
          <cell r="GE82">
            <v>22</v>
          </cell>
          <cell r="GF82">
            <v>1</v>
          </cell>
          <cell r="GG82">
            <v>95.7</v>
          </cell>
          <cell r="GH82">
            <v>2</v>
          </cell>
          <cell r="GI82">
            <v>1</v>
          </cell>
          <cell r="GJ82">
            <v>66.7</v>
          </cell>
          <cell r="GK82">
            <v>7</v>
          </cell>
          <cell r="GL82">
            <v>7</v>
          </cell>
          <cell r="GM82">
            <v>100</v>
          </cell>
          <cell r="GN82">
            <v>2062</v>
          </cell>
          <cell r="GO82">
            <v>152</v>
          </cell>
          <cell r="GP82">
            <v>93.1</v>
          </cell>
          <cell r="GQ82">
            <v>1275</v>
          </cell>
          <cell r="GR82">
            <v>203</v>
          </cell>
          <cell r="GS82">
            <v>86.3</v>
          </cell>
          <cell r="GT82">
            <v>782</v>
          </cell>
          <cell r="GU82">
            <v>235</v>
          </cell>
          <cell r="GV82">
            <v>76.900000000000006</v>
          </cell>
          <cell r="GW82">
            <v>245</v>
          </cell>
          <cell r="GX82">
            <v>178</v>
          </cell>
          <cell r="GY82">
            <v>57.9</v>
          </cell>
          <cell r="GZ82">
            <v>719</v>
          </cell>
          <cell r="HA82">
            <v>118</v>
          </cell>
          <cell r="HB82">
            <v>85.9</v>
          </cell>
          <cell r="HC82">
            <v>259</v>
          </cell>
          <cell r="HD82">
            <v>66</v>
          </cell>
          <cell r="HE82">
            <v>79.7</v>
          </cell>
          <cell r="HF82">
            <v>246</v>
          </cell>
          <cell r="HG82">
            <v>52</v>
          </cell>
          <cell r="HH82">
            <v>82.6</v>
          </cell>
          <cell r="HI82">
            <v>212</v>
          </cell>
          <cell r="HJ82">
            <v>40</v>
          </cell>
          <cell r="HK82">
            <v>84.1</v>
          </cell>
          <cell r="HL82">
            <v>18</v>
          </cell>
          <cell r="HM82">
            <v>46</v>
          </cell>
          <cell r="HN82">
            <v>28.1</v>
          </cell>
          <cell r="HO82">
            <v>17</v>
          </cell>
          <cell r="HP82">
            <v>45</v>
          </cell>
          <cell r="HQ82">
            <v>27.4</v>
          </cell>
          <cell r="HR82">
            <v>12</v>
          </cell>
          <cell r="HS82">
            <v>48</v>
          </cell>
          <cell r="HT82">
            <v>20</v>
          </cell>
          <cell r="HU82">
            <v>9</v>
          </cell>
          <cell r="HV82">
            <v>16</v>
          </cell>
          <cell r="HW82">
            <v>36</v>
          </cell>
          <cell r="HX82">
            <v>12</v>
          </cell>
          <cell r="HY82">
            <v>14</v>
          </cell>
          <cell r="HZ82">
            <v>46.2</v>
          </cell>
          <cell r="IA82">
            <v>8</v>
          </cell>
          <cell r="IB82">
            <v>7</v>
          </cell>
          <cell r="IC82">
            <v>53.3</v>
          </cell>
          <cell r="ID82">
            <v>11</v>
          </cell>
          <cell r="IE82">
            <v>2</v>
          </cell>
          <cell r="IF82">
            <v>84.6</v>
          </cell>
          <cell r="IG82">
            <v>3</v>
          </cell>
          <cell r="IH82">
            <v>4</v>
          </cell>
          <cell r="II82">
            <v>42.9</v>
          </cell>
          <cell r="IJ82">
            <v>13</v>
          </cell>
          <cell r="IK82">
            <v>7</v>
          </cell>
          <cell r="IL82">
            <v>65</v>
          </cell>
          <cell r="IM82">
            <v>20</v>
          </cell>
          <cell r="IN82">
            <v>8</v>
          </cell>
          <cell r="IO82">
            <v>71.400000000000006</v>
          </cell>
          <cell r="IP82">
            <v>7</v>
          </cell>
          <cell r="IQ82">
            <v>5</v>
          </cell>
          <cell r="IR82">
            <v>58.3</v>
          </cell>
          <cell r="IS82">
            <v>15</v>
          </cell>
          <cell r="IT82">
            <v>12</v>
          </cell>
          <cell r="IU82">
            <v>55.6</v>
          </cell>
          <cell r="IV82">
            <v>39</v>
          </cell>
          <cell r="IW82">
            <v>4</v>
          </cell>
          <cell r="IX82">
            <v>90.7</v>
          </cell>
          <cell r="IY82">
            <v>27</v>
          </cell>
          <cell r="IZ82">
            <v>4</v>
          </cell>
          <cell r="JA82">
            <v>87.1</v>
          </cell>
          <cell r="JB82">
            <v>20</v>
          </cell>
          <cell r="JC82">
            <v>1</v>
          </cell>
          <cell r="JD82">
            <v>95.2</v>
          </cell>
          <cell r="JE82">
            <v>23</v>
          </cell>
          <cell r="JF82">
            <v>23</v>
          </cell>
          <cell r="JG82">
            <v>100</v>
          </cell>
          <cell r="JH82">
            <v>41</v>
          </cell>
          <cell r="JI82">
            <v>6</v>
          </cell>
          <cell r="JJ82">
            <v>87.2340425531915</v>
          </cell>
          <cell r="JK82">
            <v>22</v>
          </cell>
          <cell r="JL82">
            <v>3</v>
          </cell>
          <cell r="JM82">
            <v>88</v>
          </cell>
          <cell r="JN82">
            <v>13</v>
          </cell>
          <cell r="JO82">
            <v>2</v>
          </cell>
          <cell r="JP82">
            <v>86.666666666666671</v>
          </cell>
          <cell r="JQ82">
            <v>2449</v>
          </cell>
          <cell r="JR82">
            <v>568</v>
          </cell>
          <cell r="JS82">
            <v>81.173351010938021</v>
          </cell>
          <cell r="JT82">
            <v>1007</v>
          </cell>
          <cell r="JU82">
            <v>461</v>
          </cell>
          <cell r="JV82">
            <v>68.596730245231612</v>
          </cell>
          <cell r="JW82">
            <v>8</v>
          </cell>
          <cell r="JX82">
            <v>0</v>
          </cell>
          <cell r="JY82">
            <v>100</v>
          </cell>
          <cell r="JZ82">
            <v>164</v>
          </cell>
          <cell r="KA82">
            <v>57</v>
          </cell>
          <cell r="KB82">
            <v>74.208144796380097</v>
          </cell>
          <cell r="KC82">
            <v>31</v>
          </cell>
          <cell r="KD82">
            <v>2</v>
          </cell>
          <cell r="KE82">
            <v>93.939393939393938</v>
          </cell>
          <cell r="KF82">
            <v>1681</v>
          </cell>
          <cell r="KG82">
            <v>454</v>
          </cell>
          <cell r="KH82">
            <v>78.735362997658072</v>
          </cell>
          <cell r="KI82">
            <v>43</v>
          </cell>
          <cell r="KJ82">
            <v>43</v>
          </cell>
          <cell r="KK82">
            <v>50</v>
          </cell>
          <cell r="KL82">
            <v>124</v>
          </cell>
          <cell r="KM82">
            <v>21</v>
          </cell>
          <cell r="KN82">
            <v>85.517241379310349</v>
          </cell>
        </row>
        <row r="83">
          <cell r="C83" t="str">
            <v>Győr-Moson-Sopron MRFK Központ</v>
          </cell>
          <cell r="D83">
            <v>10</v>
          </cell>
          <cell r="E83">
            <v>10</v>
          </cell>
          <cell r="F83">
            <v>100</v>
          </cell>
          <cell r="G83">
            <v>7</v>
          </cell>
          <cell r="H83">
            <v>7</v>
          </cell>
          <cell r="I83">
            <v>100</v>
          </cell>
          <cell r="J83">
            <v>10</v>
          </cell>
          <cell r="K83">
            <v>1</v>
          </cell>
          <cell r="L83">
            <v>90.9</v>
          </cell>
          <cell r="M83">
            <v>10</v>
          </cell>
          <cell r="N83">
            <v>10</v>
          </cell>
          <cell r="O83">
            <v>100</v>
          </cell>
          <cell r="P83">
            <v>4</v>
          </cell>
          <cell r="Q83">
            <v>4</v>
          </cell>
          <cell r="R83">
            <v>100</v>
          </cell>
          <cell r="S83">
            <v>9</v>
          </cell>
          <cell r="T83">
            <v>9</v>
          </cell>
          <cell r="U83">
            <v>100</v>
          </cell>
          <cell r="V83">
            <v>6</v>
          </cell>
          <cell r="W83">
            <v>6</v>
          </cell>
          <cell r="X83">
            <v>100</v>
          </cell>
          <cell r="Y83">
            <v>7</v>
          </cell>
          <cell r="Z83">
            <v>7</v>
          </cell>
          <cell r="AA83">
            <v>100</v>
          </cell>
          <cell r="AB83">
            <v>2</v>
          </cell>
          <cell r="AC83">
            <v>2</v>
          </cell>
          <cell r="AD83">
            <v>100</v>
          </cell>
          <cell r="AE83">
            <v>1</v>
          </cell>
          <cell r="AF83">
            <v>1</v>
          </cell>
          <cell r="AG83">
            <v>100</v>
          </cell>
          <cell r="AH83">
            <v>5</v>
          </cell>
          <cell r="AI83">
            <v>5</v>
          </cell>
          <cell r="AJ83">
            <v>100</v>
          </cell>
          <cell r="AK83">
            <v>6</v>
          </cell>
          <cell r="AL83">
            <v>6</v>
          </cell>
          <cell r="AM83">
            <v>100</v>
          </cell>
          <cell r="AN83">
            <v>2</v>
          </cell>
          <cell r="AO83">
            <v>2</v>
          </cell>
          <cell r="AP83">
            <v>100</v>
          </cell>
          <cell r="AQ83">
            <v>5</v>
          </cell>
          <cell r="AR83">
            <v>5</v>
          </cell>
          <cell r="AS83">
            <v>100</v>
          </cell>
          <cell r="AT83">
            <v>1</v>
          </cell>
          <cell r="AU83">
            <v>1</v>
          </cell>
          <cell r="AV83">
            <v>100</v>
          </cell>
          <cell r="AW83">
            <v>6</v>
          </cell>
          <cell r="AX83">
            <v>6</v>
          </cell>
          <cell r="AY83">
            <v>100</v>
          </cell>
          <cell r="AZ83">
            <v>6</v>
          </cell>
          <cell r="BA83">
            <v>6</v>
          </cell>
          <cell r="BB83">
            <v>100</v>
          </cell>
          <cell r="BC83">
            <v>6</v>
          </cell>
          <cell r="BD83">
            <v>6</v>
          </cell>
          <cell r="BE83">
            <v>100</v>
          </cell>
          <cell r="BF83">
            <v>5</v>
          </cell>
          <cell r="BG83">
            <v>1</v>
          </cell>
          <cell r="BH83">
            <v>83.3</v>
          </cell>
          <cell r="BI83">
            <v>1</v>
          </cell>
          <cell r="BJ83">
            <v>1</v>
          </cell>
          <cell r="BK83">
            <v>100</v>
          </cell>
          <cell r="BL83">
            <v>1</v>
          </cell>
          <cell r="BM83">
            <v>1</v>
          </cell>
          <cell r="BN83">
            <v>100</v>
          </cell>
          <cell r="BO83">
            <v>3</v>
          </cell>
          <cell r="BP83">
            <v>3</v>
          </cell>
          <cell r="BQ83">
            <v>100</v>
          </cell>
          <cell r="BR83">
            <v>3</v>
          </cell>
          <cell r="BS83">
            <v>3</v>
          </cell>
          <cell r="BT83">
            <v>100</v>
          </cell>
          <cell r="BU83">
            <v>1</v>
          </cell>
          <cell r="BV83">
            <v>1</v>
          </cell>
          <cell r="BW83">
            <v>100</v>
          </cell>
          <cell r="BX83">
            <v>35</v>
          </cell>
          <cell r="BY83">
            <v>1</v>
          </cell>
          <cell r="BZ83">
            <v>97.2</v>
          </cell>
          <cell r="CA83">
            <v>16</v>
          </cell>
          <cell r="CB83">
            <v>1</v>
          </cell>
          <cell r="CC83">
            <v>94.1</v>
          </cell>
          <cell r="CD83">
            <v>13</v>
          </cell>
          <cell r="CE83">
            <v>2</v>
          </cell>
          <cell r="CF83">
            <v>86.7</v>
          </cell>
          <cell r="CG83">
            <v>16</v>
          </cell>
          <cell r="CH83">
            <v>16</v>
          </cell>
          <cell r="CI83">
            <v>100</v>
          </cell>
          <cell r="CJ83">
            <v>13</v>
          </cell>
          <cell r="CK83">
            <v>1</v>
          </cell>
          <cell r="CL83">
            <v>92.9</v>
          </cell>
          <cell r="CM83">
            <v>14</v>
          </cell>
          <cell r="CN83">
            <v>2</v>
          </cell>
          <cell r="CO83">
            <v>87.5</v>
          </cell>
          <cell r="CP83">
            <v>16</v>
          </cell>
          <cell r="CQ83">
            <v>1</v>
          </cell>
          <cell r="CR83">
            <v>94.1</v>
          </cell>
          <cell r="CS83">
            <v>32</v>
          </cell>
          <cell r="CT83">
            <v>1</v>
          </cell>
          <cell r="CU83">
            <v>97</v>
          </cell>
          <cell r="CV83">
            <v>28</v>
          </cell>
          <cell r="CW83">
            <v>1</v>
          </cell>
          <cell r="CX83">
            <v>96.6</v>
          </cell>
          <cell r="CY83">
            <v>13</v>
          </cell>
          <cell r="CZ83">
            <v>1</v>
          </cell>
          <cell r="DA83">
            <v>92.9</v>
          </cell>
          <cell r="DB83">
            <v>13</v>
          </cell>
          <cell r="DC83">
            <v>2</v>
          </cell>
          <cell r="DD83">
            <v>86.7</v>
          </cell>
          <cell r="DE83">
            <v>15</v>
          </cell>
          <cell r="DF83">
            <v>15</v>
          </cell>
          <cell r="DG83">
            <v>100</v>
          </cell>
          <cell r="DH83">
            <v>11</v>
          </cell>
          <cell r="DI83">
            <v>1</v>
          </cell>
          <cell r="DJ83">
            <v>91.7</v>
          </cell>
          <cell r="DK83">
            <v>12</v>
          </cell>
          <cell r="DL83">
            <v>2</v>
          </cell>
          <cell r="DM83">
            <v>85.7</v>
          </cell>
          <cell r="DN83">
            <v>16</v>
          </cell>
          <cell r="DO83">
            <v>1</v>
          </cell>
          <cell r="DP83">
            <v>94.1</v>
          </cell>
          <cell r="DQ83">
            <v>28</v>
          </cell>
          <cell r="DR83">
            <v>1</v>
          </cell>
          <cell r="DS83">
            <v>96.6</v>
          </cell>
          <cell r="DT83">
            <v>96.5999755859375</v>
          </cell>
          <cell r="DU83">
            <v>96.5999755859375</v>
          </cell>
          <cell r="DV83" t="str">
            <v>-</v>
          </cell>
          <cell r="DW83">
            <v>1</v>
          </cell>
          <cell r="DX83">
            <v>1</v>
          </cell>
          <cell r="DY83">
            <v>100</v>
          </cell>
          <cell r="DZ83">
            <v>100</v>
          </cell>
          <cell r="EA83">
            <v>1</v>
          </cell>
          <cell r="EB83">
            <v>0</v>
          </cell>
          <cell r="EC83">
            <v>1</v>
          </cell>
          <cell r="ED83">
            <v>1</v>
          </cell>
          <cell r="EE83">
            <v>100</v>
          </cell>
          <cell r="EF83">
            <v>100</v>
          </cell>
          <cell r="EG83">
            <v>100</v>
          </cell>
          <cell r="EH83" t="str">
            <v>-</v>
          </cell>
          <cell r="EI83">
            <v>100</v>
          </cell>
          <cell r="EJ83">
            <v>100</v>
          </cell>
          <cell r="EK83" t="str">
            <v>-</v>
          </cell>
          <cell r="EL83">
            <v>100</v>
          </cell>
          <cell r="EM83">
            <v>100</v>
          </cell>
          <cell r="EN83" t="str">
            <v>-</v>
          </cell>
          <cell r="EO83">
            <v>100</v>
          </cell>
          <cell r="EP83">
            <v>100</v>
          </cell>
          <cell r="EQ83" t="str">
            <v>-</v>
          </cell>
          <cell r="ER83">
            <v>20</v>
          </cell>
          <cell r="ES83">
            <v>20</v>
          </cell>
          <cell r="ET83">
            <v>100</v>
          </cell>
          <cell r="EU83">
            <v>100</v>
          </cell>
          <cell r="EV83">
            <v>100</v>
          </cell>
          <cell r="EW83" t="str">
            <v>-</v>
          </cell>
          <cell r="EX83">
            <v>2</v>
          </cell>
          <cell r="EY83">
            <v>2</v>
          </cell>
          <cell r="EZ83">
            <v>100</v>
          </cell>
          <cell r="FA83">
            <v>100</v>
          </cell>
          <cell r="FB83">
            <v>100</v>
          </cell>
          <cell r="FC83" t="str">
            <v>-</v>
          </cell>
          <cell r="FD83">
            <v>5</v>
          </cell>
          <cell r="FE83">
            <v>5</v>
          </cell>
          <cell r="FF83">
            <v>100</v>
          </cell>
          <cell r="FG83">
            <v>100</v>
          </cell>
          <cell r="FH83">
            <v>100</v>
          </cell>
          <cell r="FI83" t="str">
            <v>-</v>
          </cell>
          <cell r="FJ83">
            <v>100</v>
          </cell>
          <cell r="FK83">
            <v>100</v>
          </cell>
          <cell r="FL83" t="str">
            <v>-</v>
          </cell>
          <cell r="FM83">
            <v>2</v>
          </cell>
          <cell r="FN83">
            <v>2</v>
          </cell>
          <cell r="FO83">
            <v>100</v>
          </cell>
          <cell r="FP83">
            <v>25</v>
          </cell>
          <cell r="FQ83">
            <v>2</v>
          </cell>
          <cell r="FR83">
            <v>92.6</v>
          </cell>
          <cell r="FS83">
            <v>21</v>
          </cell>
          <cell r="FT83">
            <v>1</v>
          </cell>
          <cell r="FU83">
            <v>95.5</v>
          </cell>
          <cell r="FV83">
            <v>13</v>
          </cell>
          <cell r="FW83">
            <v>3</v>
          </cell>
          <cell r="FX83">
            <v>81.3</v>
          </cell>
          <cell r="FY83">
            <v>58</v>
          </cell>
          <cell r="FZ83">
            <v>3</v>
          </cell>
          <cell r="GA83">
            <v>95.1</v>
          </cell>
          <cell r="GB83">
            <v>61</v>
          </cell>
          <cell r="GC83">
            <v>8</v>
          </cell>
          <cell r="GD83">
            <v>88.4</v>
          </cell>
          <cell r="GE83">
            <v>91</v>
          </cell>
          <cell r="GF83">
            <v>11</v>
          </cell>
          <cell r="GG83">
            <v>89.2</v>
          </cell>
          <cell r="GH83">
            <v>46</v>
          </cell>
          <cell r="GI83">
            <v>5</v>
          </cell>
          <cell r="GJ83">
            <v>90.2</v>
          </cell>
          <cell r="GK83">
            <v>12</v>
          </cell>
          <cell r="GL83">
            <v>12</v>
          </cell>
          <cell r="GM83">
            <v>100</v>
          </cell>
          <cell r="GN83">
            <v>3</v>
          </cell>
          <cell r="GO83">
            <v>3</v>
          </cell>
          <cell r="GP83">
            <v>100</v>
          </cell>
          <cell r="GQ83">
            <v>100</v>
          </cell>
          <cell r="GR83">
            <v>100</v>
          </cell>
          <cell r="GS83" t="str">
            <v>-</v>
          </cell>
          <cell r="GT83">
            <v>3</v>
          </cell>
          <cell r="GU83">
            <v>3</v>
          </cell>
          <cell r="GV83">
            <v>100</v>
          </cell>
          <cell r="GW83">
            <v>100</v>
          </cell>
          <cell r="GX83">
            <v>100</v>
          </cell>
          <cell r="GY83" t="str">
            <v>-</v>
          </cell>
          <cell r="GZ83">
            <v>3</v>
          </cell>
          <cell r="HA83">
            <v>3</v>
          </cell>
          <cell r="HB83">
            <v>100</v>
          </cell>
          <cell r="HC83">
            <v>3</v>
          </cell>
          <cell r="HD83">
            <v>3</v>
          </cell>
          <cell r="HE83">
            <v>100</v>
          </cell>
          <cell r="HF83">
            <v>100</v>
          </cell>
          <cell r="HG83">
            <v>100</v>
          </cell>
          <cell r="HH83" t="str">
            <v>-</v>
          </cell>
          <cell r="HI83">
            <v>1</v>
          </cell>
          <cell r="HJ83">
            <v>1</v>
          </cell>
          <cell r="HK83">
            <v>100</v>
          </cell>
          <cell r="HL83">
            <v>2</v>
          </cell>
          <cell r="HM83">
            <v>2</v>
          </cell>
          <cell r="HN83">
            <v>100</v>
          </cell>
          <cell r="HO83">
            <v>100</v>
          </cell>
          <cell r="HP83">
            <v>100</v>
          </cell>
          <cell r="HQ83" t="str">
            <v>-</v>
          </cell>
          <cell r="HR83">
            <v>100</v>
          </cell>
          <cell r="HS83">
            <v>1</v>
          </cell>
          <cell r="HT83">
            <v>0</v>
          </cell>
          <cell r="HU83">
            <v>2</v>
          </cell>
          <cell r="HV83">
            <v>2</v>
          </cell>
          <cell r="HW83">
            <v>100</v>
          </cell>
          <cell r="HX83">
            <v>100</v>
          </cell>
          <cell r="HY83">
            <v>100</v>
          </cell>
          <cell r="HZ83" t="str">
            <v>-</v>
          </cell>
          <cell r="IA83">
            <v>100</v>
          </cell>
          <cell r="IB83">
            <v>100</v>
          </cell>
          <cell r="IC83" t="str">
            <v>-</v>
          </cell>
          <cell r="ID83">
            <v>1</v>
          </cell>
          <cell r="IE83">
            <v>1</v>
          </cell>
          <cell r="IF83">
            <v>100</v>
          </cell>
          <cell r="IG83">
            <v>100</v>
          </cell>
          <cell r="IH83">
            <v>100</v>
          </cell>
          <cell r="II83" t="str">
            <v>-</v>
          </cell>
          <cell r="IJ83">
            <v>1</v>
          </cell>
          <cell r="IK83">
            <v>1</v>
          </cell>
          <cell r="IL83">
            <v>100</v>
          </cell>
          <cell r="IM83">
            <v>9</v>
          </cell>
          <cell r="IN83">
            <v>9</v>
          </cell>
          <cell r="IO83">
            <v>100</v>
          </cell>
          <cell r="IP83">
            <v>4</v>
          </cell>
          <cell r="IQ83">
            <v>4</v>
          </cell>
          <cell r="IR83">
            <v>100</v>
          </cell>
          <cell r="IS83">
            <v>3</v>
          </cell>
          <cell r="IT83">
            <v>3</v>
          </cell>
          <cell r="IU83">
            <v>100</v>
          </cell>
          <cell r="IV83">
            <v>1</v>
          </cell>
          <cell r="IW83">
            <v>1</v>
          </cell>
          <cell r="IX83">
            <v>100</v>
          </cell>
          <cell r="IY83">
            <v>9</v>
          </cell>
          <cell r="IZ83">
            <v>1</v>
          </cell>
          <cell r="JA83">
            <v>90</v>
          </cell>
          <cell r="JB83">
            <v>10</v>
          </cell>
          <cell r="JC83">
            <v>10</v>
          </cell>
          <cell r="JD83">
            <v>100</v>
          </cell>
          <cell r="JE83">
            <v>5</v>
          </cell>
          <cell r="JF83">
            <v>5</v>
          </cell>
          <cell r="JG83">
            <v>100</v>
          </cell>
          <cell r="JH83">
            <v>36</v>
          </cell>
          <cell r="JI83">
            <v>0</v>
          </cell>
          <cell r="JJ83">
            <v>100</v>
          </cell>
          <cell r="JK83">
            <v>20</v>
          </cell>
          <cell r="JL83">
            <v>0</v>
          </cell>
          <cell r="JM83">
            <v>100</v>
          </cell>
          <cell r="JN83">
            <v>9</v>
          </cell>
          <cell r="JO83">
            <v>0</v>
          </cell>
          <cell r="JP83">
            <v>100</v>
          </cell>
          <cell r="JQ83">
            <v>91</v>
          </cell>
          <cell r="JR83">
            <v>5</v>
          </cell>
          <cell r="JS83">
            <v>94.791666666666657</v>
          </cell>
          <cell r="JT83">
            <v>82</v>
          </cell>
          <cell r="JU83">
            <v>5</v>
          </cell>
          <cell r="JV83">
            <v>94.252873563218387</v>
          </cell>
          <cell r="JW83">
            <v>1</v>
          </cell>
          <cell r="JX83">
            <v>0</v>
          </cell>
          <cell r="JY83">
            <v>100</v>
          </cell>
          <cell r="JZ83">
            <v>7</v>
          </cell>
          <cell r="KA83">
            <v>0</v>
          </cell>
          <cell r="KB83">
            <v>100</v>
          </cell>
          <cell r="KC83">
            <v>268</v>
          </cell>
          <cell r="KD83">
            <v>27</v>
          </cell>
          <cell r="KE83">
            <v>90.847457627118644</v>
          </cell>
          <cell r="KF83">
            <v>7</v>
          </cell>
          <cell r="KG83">
            <v>0</v>
          </cell>
          <cell r="KH83">
            <v>100</v>
          </cell>
          <cell r="KI83">
            <v>3</v>
          </cell>
          <cell r="KJ83">
            <v>0</v>
          </cell>
          <cell r="KK83">
            <v>100</v>
          </cell>
          <cell r="KL83">
            <v>28</v>
          </cell>
          <cell r="KM83">
            <v>1</v>
          </cell>
          <cell r="KN83">
            <v>96.551724137931032</v>
          </cell>
        </row>
        <row r="84">
          <cell r="C84" t="str">
            <v>Győri Rendőrkapitányság</v>
          </cell>
          <cell r="D84">
            <v>96.55169677734375</v>
          </cell>
          <cell r="E84">
            <v>96.55169677734375</v>
          </cell>
          <cell r="F84" t="str">
            <v>-</v>
          </cell>
          <cell r="G84">
            <v>96.55169677734375</v>
          </cell>
          <cell r="H84">
            <v>96.55169677734375</v>
          </cell>
          <cell r="I84" t="str">
            <v>-</v>
          </cell>
          <cell r="J84">
            <v>96.55169677734375</v>
          </cell>
          <cell r="K84">
            <v>96.55169677734375</v>
          </cell>
          <cell r="L84" t="str">
            <v>-</v>
          </cell>
          <cell r="M84">
            <v>96.55169677734375</v>
          </cell>
          <cell r="N84">
            <v>96.55169677734375</v>
          </cell>
          <cell r="O84" t="str">
            <v>-</v>
          </cell>
          <cell r="P84">
            <v>96.55169677734375</v>
          </cell>
          <cell r="Q84">
            <v>96.55169677734375</v>
          </cell>
          <cell r="R84" t="str">
            <v>-</v>
          </cell>
          <cell r="S84">
            <v>96.55169677734375</v>
          </cell>
          <cell r="T84">
            <v>96.55169677734375</v>
          </cell>
          <cell r="U84" t="str">
            <v>-</v>
          </cell>
          <cell r="V84">
            <v>96.55169677734375</v>
          </cell>
          <cell r="W84">
            <v>96.55169677734375</v>
          </cell>
          <cell r="X84" t="str">
            <v>-</v>
          </cell>
          <cell r="Y84">
            <v>96.55169677734375</v>
          </cell>
          <cell r="Z84">
            <v>96.55169677734375</v>
          </cell>
          <cell r="AA84" t="str">
            <v>-</v>
          </cell>
          <cell r="AB84">
            <v>96.55169677734375</v>
          </cell>
          <cell r="AC84">
            <v>96.55169677734375</v>
          </cell>
          <cell r="AD84" t="str">
            <v>-</v>
          </cell>
          <cell r="AE84">
            <v>96.55169677734375</v>
          </cell>
          <cell r="AF84">
            <v>96.55169677734375</v>
          </cell>
          <cell r="AG84" t="str">
            <v>-</v>
          </cell>
          <cell r="AH84">
            <v>96.55169677734375</v>
          </cell>
          <cell r="AI84">
            <v>96.55169677734375</v>
          </cell>
          <cell r="AJ84" t="str">
            <v>-</v>
          </cell>
          <cell r="AK84">
            <v>96.55169677734375</v>
          </cell>
          <cell r="AL84">
            <v>96.55169677734375</v>
          </cell>
          <cell r="AM84" t="str">
            <v>-</v>
          </cell>
          <cell r="AN84">
            <v>96.55169677734375</v>
          </cell>
          <cell r="AO84">
            <v>96.55169677734375</v>
          </cell>
          <cell r="AP84" t="str">
            <v>-</v>
          </cell>
          <cell r="AQ84">
            <v>96.55169677734375</v>
          </cell>
          <cell r="AR84">
            <v>96.55169677734375</v>
          </cell>
          <cell r="AS84" t="str">
            <v>-</v>
          </cell>
          <cell r="AT84">
            <v>96.55169677734375</v>
          </cell>
          <cell r="AU84">
            <v>96.55169677734375</v>
          </cell>
          <cell r="AV84" t="str">
            <v>-</v>
          </cell>
          <cell r="AW84">
            <v>96.55169677734375</v>
          </cell>
          <cell r="AX84">
            <v>96.55169677734375</v>
          </cell>
          <cell r="AY84" t="str">
            <v>-</v>
          </cell>
          <cell r="AZ84">
            <v>96.55169677734375</v>
          </cell>
          <cell r="BA84">
            <v>96.55169677734375</v>
          </cell>
          <cell r="BB84" t="str">
            <v>-</v>
          </cell>
          <cell r="BC84">
            <v>96.55169677734375</v>
          </cell>
          <cell r="BD84">
            <v>96.55169677734375</v>
          </cell>
          <cell r="BE84" t="str">
            <v>-</v>
          </cell>
          <cell r="BF84">
            <v>96.55169677734375</v>
          </cell>
          <cell r="BG84">
            <v>96.55169677734375</v>
          </cell>
          <cell r="BH84" t="str">
            <v>-</v>
          </cell>
          <cell r="BI84">
            <v>96.55169677734375</v>
          </cell>
          <cell r="BJ84">
            <v>96.55169677734375</v>
          </cell>
          <cell r="BK84" t="str">
            <v>-</v>
          </cell>
          <cell r="BL84">
            <v>96.55169677734375</v>
          </cell>
          <cell r="BM84">
            <v>96.55169677734375</v>
          </cell>
          <cell r="BN84" t="str">
            <v>-</v>
          </cell>
          <cell r="BO84">
            <v>96.55169677734375</v>
          </cell>
          <cell r="BP84">
            <v>96.55169677734375</v>
          </cell>
          <cell r="BQ84" t="str">
            <v>-</v>
          </cell>
          <cell r="BR84">
            <v>96.55169677734375</v>
          </cell>
          <cell r="BS84">
            <v>96.55169677734375</v>
          </cell>
          <cell r="BT84" t="str">
            <v>-</v>
          </cell>
          <cell r="BU84">
            <v>96.55169677734375</v>
          </cell>
          <cell r="BV84">
            <v>96.55169677734375</v>
          </cell>
          <cell r="BW84" t="str">
            <v>-</v>
          </cell>
          <cell r="BX84">
            <v>220</v>
          </cell>
          <cell r="BY84">
            <v>48</v>
          </cell>
          <cell r="BZ84">
            <v>82.1</v>
          </cell>
          <cell r="CA84">
            <v>201</v>
          </cell>
          <cell r="CB84">
            <v>55</v>
          </cell>
          <cell r="CC84">
            <v>78.5</v>
          </cell>
          <cell r="CD84">
            <v>208</v>
          </cell>
          <cell r="CE84">
            <v>46</v>
          </cell>
          <cell r="CF84">
            <v>81.900000000000006</v>
          </cell>
          <cell r="CG84">
            <v>184</v>
          </cell>
          <cell r="CH84">
            <v>54</v>
          </cell>
          <cell r="CI84">
            <v>77.3</v>
          </cell>
          <cell r="CJ84">
            <v>159</v>
          </cell>
          <cell r="CK84">
            <v>64</v>
          </cell>
          <cell r="CL84">
            <v>71.3</v>
          </cell>
          <cell r="CM84">
            <v>124</v>
          </cell>
          <cell r="CN84">
            <v>49</v>
          </cell>
          <cell r="CO84">
            <v>71.7</v>
          </cell>
          <cell r="CP84">
            <v>162</v>
          </cell>
          <cell r="CQ84">
            <v>47</v>
          </cell>
          <cell r="CR84">
            <v>77.5</v>
          </cell>
          <cell r="CS84">
            <v>181</v>
          </cell>
          <cell r="CT84">
            <v>47</v>
          </cell>
          <cell r="CU84">
            <v>79.400000000000006</v>
          </cell>
          <cell r="CV84">
            <v>130</v>
          </cell>
          <cell r="CW84">
            <v>40</v>
          </cell>
          <cell r="CX84">
            <v>76.5</v>
          </cell>
          <cell r="CY84">
            <v>100</v>
          </cell>
          <cell r="CZ84">
            <v>45</v>
          </cell>
          <cell r="DA84">
            <v>69</v>
          </cell>
          <cell r="DB84">
            <v>132</v>
          </cell>
          <cell r="DC84">
            <v>40</v>
          </cell>
          <cell r="DD84">
            <v>76.7</v>
          </cell>
          <cell r="DE84">
            <v>97</v>
          </cell>
          <cell r="DF84">
            <v>40</v>
          </cell>
          <cell r="DG84">
            <v>70.8</v>
          </cell>
          <cell r="DH84">
            <v>104</v>
          </cell>
          <cell r="DI84">
            <v>46</v>
          </cell>
          <cell r="DJ84">
            <v>69.3</v>
          </cell>
          <cell r="DK84">
            <v>79</v>
          </cell>
          <cell r="DL84">
            <v>40</v>
          </cell>
          <cell r="DM84">
            <v>66.400000000000006</v>
          </cell>
          <cell r="DN84">
            <v>92</v>
          </cell>
          <cell r="DO84">
            <v>44</v>
          </cell>
          <cell r="DP84">
            <v>67.599999999999994</v>
          </cell>
          <cell r="DQ84">
            <v>111</v>
          </cell>
          <cell r="DR84">
            <v>37</v>
          </cell>
          <cell r="DS84">
            <v>75</v>
          </cell>
          <cell r="DT84">
            <v>75</v>
          </cell>
          <cell r="DU84">
            <v>75</v>
          </cell>
          <cell r="DV84" t="str">
            <v>-</v>
          </cell>
          <cell r="DW84">
            <v>75</v>
          </cell>
          <cell r="DX84">
            <v>75</v>
          </cell>
          <cell r="DY84" t="str">
            <v>-</v>
          </cell>
          <cell r="DZ84">
            <v>75</v>
          </cell>
          <cell r="EA84">
            <v>75</v>
          </cell>
          <cell r="EB84" t="str">
            <v>-</v>
          </cell>
          <cell r="EC84">
            <v>75</v>
          </cell>
          <cell r="ED84">
            <v>75</v>
          </cell>
          <cell r="EE84" t="str">
            <v>-</v>
          </cell>
          <cell r="EF84">
            <v>75</v>
          </cell>
          <cell r="EG84">
            <v>75</v>
          </cell>
          <cell r="EH84" t="str">
            <v>-</v>
          </cell>
          <cell r="EI84">
            <v>75</v>
          </cell>
          <cell r="EJ84">
            <v>75</v>
          </cell>
          <cell r="EK84" t="str">
            <v>-</v>
          </cell>
          <cell r="EL84">
            <v>75</v>
          </cell>
          <cell r="EM84">
            <v>75</v>
          </cell>
          <cell r="EN84" t="str">
            <v>-</v>
          </cell>
          <cell r="EO84">
            <v>75</v>
          </cell>
          <cell r="EP84">
            <v>75</v>
          </cell>
          <cell r="EQ84" t="str">
            <v>-</v>
          </cell>
          <cell r="ER84">
            <v>47</v>
          </cell>
          <cell r="ES84">
            <v>9</v>
          </cell>
          <cell r="ET84">
            <v>83.9</v>
          </cell>
          <cell r="EU84">
            <v>44</v>
          </cell>
          <cell r="EV84">
            <v>8</v>
          </cell>
          <cell r="EW84">
            <v>84.6</v>
          </cell>
          <cell r="EX84">
            <v>27</v>
          </cell>
          <cell r="EY84">
            <v>6</v>
          </cell>
          <cell r="EZ84">
            <v>81.8</v>
          </cell>
          <cell r="FA84">
            <v>27</v>
          </cell>
          <cell r="FB84">
            <v>18</v>
          </cell>
          <cell r="FC84">
            <v>60</v>
          </cell>
          <cell r="FD84">
            <v>12</v>
          </cell>
          <cell r="FE84">
            <v>8</v>
          </cell>
          <cell r="FF84">
            <v>60</v>
          </cell>
          <cell r="FG84">
            <v>9</v>
          </cell>
          <cell r="FH84">
            <v>5</v>
          </cell>
          <cell r="FI84">
            <v>64.3</v>
          </cell>
          <cell r="FJ84">
            <v>23</v>
          </cell>
          <cell r="FK84">
            <v>5</v>
          </cell>
          <cell r="FL84">
            <v>82.1</v>
          </cell>
          <cell r="FM84">
            <v>23</v>
          </cell>
          <cell r="FN84">
            <v>4</v>
          </cell>
          <cell r="FO84">
            <v>85.2</v>
          </cell>
          <cell r="FP84">
            <v>85.199951171875</v>
          </cell>
          <cell r="FQ84">
            <v>85.199951171875</v>
          </cell>
          <cell r="FR84" t="str">
            <v>-</v>
          </cell>
          <cell r="FS84">
            <v>85.199951171875</v>
          </cell>
          <cell r="FT84">
            <v>85.199951171875</v>
          </cell>
          <cell r="FU84" t="str">
            <v>-</v>
          </cell>
          <cell r="FV84">
            <v>85.199951171875</v>
          </cell>
          <cell r="FW84">
            <v>85.199951171875</v>
          </cell>
          <cell r="FX84" t="str">
            <v>-</v>
          </cell>
          <cell r="FY84">
            <v>85.199951171875</v>
          </cell>
          <cell r="FZ84">
            <v>85.199951171875</v>
          </cell>
          <cell r="GA84" t="str">
            <v>-</v>
          </cell>
          <cell r="GB84">
            <v>85.199951171875</v>
          </cell>
          <cell r="GC84">
            <v>85.199951171875</v>
          </cell>
          <cell r="GD84" t="str">
            <v>-</v>
          </cell>
          <cell r="GE84">
            <v>85.199951171875</v>
          </cell>
          <cell r="GF84">
            <v>85.199951171875</v>
          </cell>
          <cell r="GG84" t="str">
            <v>-</v>
          </cell>
          <cell r="GH84">
            <v>85.199951171875</v>
          </cell>
          <cell r="GI84">
            <v>85.199951171875</v>
          </cell>
          <cell r="GJ84" t="str">
            <v>-</v>
          </cell>
          <cell r="GK84">
            <v>85.199951171875</v>
          </cell>
          <cell r="GL84">
            <v>85.199951171875</v>
          </cell>
          <cell r="GM84" t="str">
            <v>-</v>
          </cell>
          <cell r="GN84">
            <v>115</v>
          </cell>
          <cell r="GO84">
            <v>27</v>
          </cell>
          <cell r="GP84">
            <v>81</v>
          </cell>
          <cell r="GQ84">
            <v>116</v>
          </cell>
          <cell r="GR84">
            <v>25</v>
          </cell>
          <cell r="GS84">
            <v>82.3</v>
          </cell>
          <cell r="GT84">
            <v>95</v>
          </cell>
          <cell r="GU84">
            <v>46</v>
          </cell>
          <cell r="GV84">
            <v>67.400000000000006</v>
          </cell>
          <cell r="GW84">
            <v>104</v>
          </cell>
          <cell r="GX84">
            <v>30</v>
          </cell>
          <cell r="GY84">
            <v>77.599999999999994</v>
          </cell>
          <cell r="GZ84">
            <v>57</v>
          </cell>
          <cell r="HA84">
            <v>38</v>
          </cell>
          <cell r="HB84">
            <v>60</v>
          </cell>
          <cell r="HC84">
            <v>86</v>
          </cell>
          <cell r="HD84">
            <v>38</v>
          </cell>
          <cell r="HE84">
            <v>69.400000000000006</v>
          </cell>
          <cell r="HF84">
            <v>127</v>
          </cell>
          <cell r="HG84">
            <v>21</v>
          </cell>
          <cell r="HH84">
            <v>85.8</v>
          </cell>
          <cell r="HI84">
            <v>117</v>
          </cell>
          <cell r="HJ84">
            <v>31</v>
          </cell>
          <cell r="HK84">
            <v>79.099999999999994</v>
          </cell>
          <cell r="HL84">
            <v>15</v>
          </cell>
          <cell r="HM84">
            <v>22</v>
          </cell>
          <cell r="HN84">
            <v>40.5</v>
          </cell>
          <cell r="HO84">
            <v>13</v>
          </cell>
          <cell r="HP84">
            <v>11</v>
          </cell>
          <cell r="HQ84">
            <v>54.2</v>
          </cell>
          <cell r="HR84">
            <v>12</v>
          </cell>
          <cell r="HS84">
            <v>7</v>
          </cell>
          <cell r="HT84">
            <v>63.2</v>
          </cell>
          <cell r="HU84">
            <v>13</v>
          </cell>
          <cell r="HV84">
            <v>10</v>
          </cell>
          <cell r="HW84">
            <v>56.5</v>
          </cell>
          <cell r="HX84">
            <v>4</v>
          </cell>
          <cell r="HY84">
            <v>2</v>
          </cell>
          <cell r="HZ84">
            <v>66.7</v>
          </cell>
          <cell r="IA84">
            <v>9</v>
          </cell>
          <cell r="IB84">
            <v>2</v>
          </cell>
          <cell r="IC84">
            <v>81.8</v>
          </cell>
          <cell r="ID84">
            <v>9</v>
          </cell>
          <cell r="IE84">
            <v>5</v>
          </cell>
          <cell r="IF84">
            <v>64.3</v>
          </cell>
          <cell r="IG84">
            <v>13</v>
          </cell>
          <cell r="IH84">
            <v>5</v>
          </cell>
          <cell r="II84">
            <v>72.2</v>
          </cell>
          <cell r="IJ84">
            <v>10</v>
          </cell>
          <cell r="IK84">
            <v>2</v>
          </cell>
          <cell r="IL84">
            <v>83.3</v>
          </cell>
          <cell r="IM84">
            <v>9</v>
          </cell>
          <cell r="IN84">
            <v>2</v>
          </cell>
          <cell r="IO84">
            <v>81.8</v>
          </cell>
          <cell r="IP84">
            <v>6</v>
          </cell>
          <cell r="IQ84">
            <v>1</v>
          </cell>
          <cell r="IR84">
            <v>85.7</v>
          </cell>
          <cell r="IS84">
            <v>13</v>
          </cell>
          <cell r="IT84">
            <v>5</v>
          </cell>
          <cell r="IU84">
            <v>72.2</v>
          </cell>
          <cell r="IV84">
            <v>10</v>
          </cell>
          <cell r="IW84">
            <v>7</v>
          </cell>
          <cell r="IX84">
            <v>58.8</v>
          </cell>
          <cell r="IY84">
            <v>14</v>
          </cell>
          <cell r="IZ84">
            <v>2</v>
          </cell>
          <cell r="JA84">
            <v>87.5</v>
          </cell>
          <cell r="JB84">
            <v>6</v>
          </cell>
          <cell r="JC84">
            <v>1</v>
          </cell>
          <cell r="JD84">
            <v>85.7</v>
          </cell>
          <cell r="JE84">
            <v>4</v>
          </cell>
          <cell r="JF84">
            <v>3</v>
          </cell>
          <cell r="JG84">
            <v>57.1</v>
          </cell>
          <cell r="JH84">
            <v>0</v>
          </cell>
          <cell r="JI84">
            <v>0</v>
          </cell>
          <cell r="JJ84" t="str">
            <v>-</v>
          </cell>
          <cell r="JK84">
            <v>0</v>
          </cell>
          <cell r="JL84">
            <v>0</v>
          </cell>
          <cell r="JM84" t="str">
            <v>-</v>
          </cell>
          <cell r="JN84">
            <v>0</v>
          </cell>
          <cell r="JO84">
            <v>0</v>
          </cell>
          <cell r="JP84" t="str">
            <v>-</v>
          </cell>
          <cell r="JQ84">
            <v>810</v>
          </cell>
          <cell r="JR84">
            <v>261</v>
          </cell>
          <cell r="JS84">
            <v>75.630252100840337</v>
          </cell>
          <cell r="JT84">
            <v>483</v>
          </cell>
          <cell r="JU84">
            <v>207</v>
          </cell>
          <cell r="JV84">
            <v>70</v>
          </cell>
          <cell r="JW84">
            <v>0</v>
          </cell>
          <cell r="JX84">
            <v>0</v>
          </cell>
          <cell r="JY84" t="str">
            <v>-</v>
          </cell>
          <cell r="JZ84">
            <v>94</v>
          </cell>
          <cell r="KA84">
            <v>40</v>
          </cell>
          <cell r="KB84">
            <v>70.149253731343293</v>
          </cell>
          <cell r="KC84">
            <v>0</v>
          </cell>
          <cell r="KD84">
            <v>0</v>
          </cell>
          <cell r="KE84" t="str">
            <v>-</v>
          </cell>
          <cell r="KF84">
            <v>491</v>
          </cell>
          <cell r="KG84">
            <v>158</v>
          </cell>
          <cell r="KH84">
            <v>75.654853620955322</v>
          </cell>
          <cell r="KI84">
            <v>48</v>
          </cell>
          <cell r="KJ84">
            <v>24</v>
          </cell>
          <cell r="KK84">
            <v>66.666666666666657</v>
          </cell>
          <cell r="KL84">
            <v>47</v>
          </cell>
          <cell r="KM84">
            <v>18</v>
          </cell>
          <cell r="KN84">
            <v>72.307692307692307</v>
          </cell>
        </row>
        <row r="85">
          <cell r="C85" t="str">
            <v>Csornai Rendőrkapitányság</v>
          </cell>
          <cell r="D85">
            <v>72.30767822265625</v>
          </cell>
          <cell r="E85">
            <v>72.30767822265625</v>
          </cell>
          <cell r="F85" t="str">
            <v>-</v>
          </cell>
          <cell r="G85">
            <v>72.30767822265625</v>
          </cell>
          <cell r="H85">
            <v>72.30767822265625</v>
          </cell>
          <cell r="I85" t="str">
            <v>-</v>
          </cell>
          <cell r="J85">
            <v>72.30767822265625</v>
          </cell>
          <cell r="K85">
            <v>72.30767822265625</v>
          </cell>
          <cell r="L85" t="str">
            <v>-</v>
          </cell>
          <cell r="M85">
            <v>72.30767822265625</v>
          </cell>
          <cell r="N85">
            <v>72.30767822265625</v>
          </cell>
          <cell r="O85" t="str">
            <v>-</v>
          </cell>
          <cell r="P85">
            <v>72.30767822265625</v>
          </cell>
          <cell r="Q85">
            <v>72.30767822265625</v>
          </cell>
          <cell r="R85" t="str">
            <v>-</v>
          </cell>
          <cell r="S85">
            <v>72.30767822265625</v>
          </cell>
          <cell r="T85">
            <v>72.30767822265625</v>
          </cell>
          <cell r="U85" t="str">
            <v>-</v>
          </cell>
          <cell r="V85">
            <v>72.30767822265625</v>
          </cell>
          <cell r="W85">
            <v>72.30767822265625</v>
          </cell>
          <cell r="X85" t="str">
            <v>-</v>
          </cell>
          <cell r="Y85">
            <v>72.30767822265625</v>
          </cell>
          <cell r="Z85">
            <v>72.30767822265625</v>
          </cell>
          <cell r="AA85" t="str">
            <v>-</v>
          </cell>
          <cell r="AB85">
            <v>72.30767822265625</v>
          </cell>
          <cell r="AC85">
            <v>72.30767822265625</v>
          </cell>
          <cell r="AD85" t="str">
            <v>-</v>
          </cell>
          <cell r="AE85">
            <v>72.30767822265625</v>
          </cell>
          <cell r="AF85">
            <v>72.30767822265625</v>
          </cell>
          <cell r="AG85" t="str">
            <v>-</v>
          </cell>
          <cell r="AH85">
            <v>72.30767822265625</v>
          </cell>
          <cell r="AI85">
            <v>72.30767822265625</v>
          </cell>
          <cell r="AJ85" t="str">
            <v>-</v>
          </cell>
          <cell r="AK85">
            <v>72.30767822265625</v>
          </cell>
          <cell r="AL85">
            <v>72.30767822265625</v>
          </cell>
          <cell r="AM85" t="str">
            <v>-</v>
          </cell>
          <cell r="AN85">
            <v>72.30767822265625</v>
          </cell>
          <cell r="AO85">
            <v>72.30767822265625</v>
          </cell>
          <cell r="AP85" t="str">
            <v>-</v>
          </cell>
          <cell r="AQ85">
            <v>72.30767822265625</v>
          </cell>
          <cell r="AR85">
            <v>72.30767822265625</v>
          </cell>
          <cell r="AS85" t="str">
            <v>-</v>
          </cell>
          <cell r="AT85">
            <v>72.30767822265625</v>
          </cell>
          <cell r="AU85">
            <v>72.30767822265625</v>
          </cell>
          <cell r="AV85" t="str">
            <v>-</v>
          </cell>
          <cell r="AW85">
            <v>72.30767822265625</v>
          </cell>
          <cell r="AX85">
            <v>72.30767822265625</v>
          </cell>
          <cell r="AY85" t="str">
            <v>-</v>
          </cell>
          <cell r="AZ85">
            <v>72.30767822265625</v>
          </cell>
          <cell r="BA85">
            <v>72.30767822265625</v>
          </cell>
          <cell r="BB85" t="str">
            <v>-</v>
          </cell>
          <cell r="BC85">
            <v>72.30767822265625</v>
          </cell>
          <cell r="BD85">
            <v>72.30767822265625</v>
          </cell>
          <cell r="BE85" t="str">
            <v>-</v>
          </cell>
          <cell r="BF85">
            <v>72.30767822265625</v>
          </cell>
          <cell r="BG85">
            <v>72.30767822265625</v>
          </cell>
          <cell r="BH85" t="str">
            <v>-</v>
          </cell>
          <cell r="BI85">
            <v>72.30767822265625</v>
          </cell>
          <cell r="BJ85">
            <v>72.30767822265625</v>
          </cell>
          <cell r="BK85" t="str">
            <v>-</v>
          </cell>
          <cell r="BL85">
            <v>72.30767822265625</v>
          </cell>
          <cell r="BM85">
            <v>72.30767822265625</v>
          </cell>
          <cell r="BN85" t="str">
            <v>-</v>
          </cell>
          <cell r="BO85">
            <v>72.30767822265625</v>
          </cell>
          <cell r="BP85">
            <v>72.30767822265625</v>
          </cell>
          <cell r="BQ85" t="str">
            <v>-</v>
          </cell>
          <cell r="BR85">
            <v>72.30767822265625</v>
          </cell>
          <cell r="BS85">
            <v>72.30767822265625</v>
          </cell>
          <cell r="BT85" t="str">
            <v>-</v>
          </cell>
          <cell r="BU85">
            <v>72.30767822265625</v>
          </cell>
          <cell r="BV85">
            <v>72.30767822265625</v>
          </cell>
          <cell r="BW85" t="str">
            <v>-</v>
          </cell>
          <cell r="BX85">
            <v>31</v>
          </cell>
          <cell r="BY85">
            <v>31</v>
          </cell>
          <cell r="BZ85">
            <v>100</v>
          </cell>
          <cell r="CA85">
            <v>37</v>
          </cell>
          <cell r="CB85">
            <v>1</v>
          </cell>
          <cell r="CC85">
            <v>97.4</v>
          </cell>
          <cell r="CD85">
            <v>41</v>
          </cell>
          <cell r="CE85">
            <v>1</v>
          </cell>
          <cell r="CF85">
            <v>97.6</v>
          </cell>
          <cell r="CG85">
            <v>33</v>
          </cell>
          <cell r="CH85">
            <v>6</v>
          </cell>
          <cell r="CI85">
            <v>84.6</v>
          </cell>
          <cell r="CJ85">
            <v>36</v>
          </cell>
          <cell r="CK85">
            <v>6</v>
          </cell>
          <cell r="CL85">
            <v>85.7</v>
          </cell>
          <cell r="CM85">
            <v>34</v>
          </cell>
          <cell r="CN85">
            <v>2</v>
          </cell>
          <cell r="CO85">
            <v>94.4</v>
          </cell>
          <cell r="CP85">
            <v>25</v>
          </cell>
          <cell r="CQ85">
            <v>6</v>
          </cell>
          <cell r="CR85">
            <v>80.599999999999994</v>
          </cell>
          <cell r="CS85">
            <v>24</v>
          </cell>
          <cell r="CT85">
            <v>1</v>
          </cell>
          <cell r="CU85">
            <v>96</v>
          </cell>
          <cell r="CV85">
            <v>15</v>
          </cell>
          <cell r="CW85">
            <v>15</v>
          </cell>
          <cell r="CX85">
            <v>100</v>
          </cell>
          <cell r="CY85">
            <v>21</v>
          </cell>
          <cell r="CZ85">
            <v>1</v>
          </cell>
          <cell r="DA85">
            <v>95.5</v>
          </cell>
          <cell r="DB85">
            <v>20</v>
          </cell>
          <cell r="DC85">
            <v>20</v>
          </cell>
          <cell r="DD85">
            <v>100</v>
          </cell>
          <cell r="DE85">
            <v>20</v>
          </cell>
          <cell r="DF85">
            <v>5</v>
          </cell>
          <cell r="DG85">
            <v>80</v>
          </cell>
          <cell r="DH85">
            <v>13</v>
          </cell>
          <cell r="DI85">
            <v>5</v>
          </cell>
          <cell r="DJ85">
            <v>72.2</v>
          </cell>
          <cell r="DK85">
            <v>21</v>
          </cell>
          <cell r="DL85">
            <v>1</v>
          </cell>
          <cell r="DM85">
            <v>95.5</v>
          </cell>
          <cell r="DN85">
            <v>9</v>
          </cell>
          <cell r="DO85">
            <v>6</v>
          </cell>
          <cell r="DP85">
            <v>60</v>
          </cell>
          <cell r="DQ85">
            <v>9</v>
          </cell>
          <cell r="DR85">
            <v>1</v>
          </cell>
          <cell r="DS85">
            <v>90</v>
          </cell>
          <cell r="DT85">
            <v>90</v>
          </cell>
          <cell r="DU85">
            <v>90</v>
          </cell>
          <cell r="DV85" t="str">
            <v>-</v>
          </cell>
          <cell r="DW85">
            <v>90</v>
          </cell>
          <cell r="DX85">
            <v>90</v>
          </cell>
          <cell r="DY85" t="str">
            <v>-</v>
          </cell>
          <cell r="DZ85">
            <v>90</v>
          </cell>
          <cell r="EA85">
            <v>90</v>
          </cell>
          <cell r="EB85" t="str">
            <v>-</v>
          </cell>
          <cell r="EC85">
            <v>90</v>
          </cell>
          <cell r="ED85">
            <v>90</v>
          </cell>
          <cell r="EE85" t="str">
            <v>-</v>
          </cell>
          <cell r="EF85">
            <v>90</v>
          </cell>
          <cell r="EG85">
            <v>90</v>
          </cell>
          <cell r="EH85" t="str">
            <v>-</v>
          </cell>
          <cell r="EI85">
            <v>90</v>
          </cell>
          <cell r="EJ85">
            <v>90</v>
          </cell>
          <cell r="EK85" t="str">
            <v>-</v>
          </cell>
          <cell r="EL85">
            <v>90</v>
          </cell>
          <cell r="EM85">
            <v>90</v>
          </cell>
          <cell r="EN85" t="str">
            <v>-</v>
          </cell>
          <cell r="EO85">
            <v>90</v>
          </cell>
          <cell r="EP85">
            <v>90</v>
          </cell>
          <cell r="EQ85" t="str">
            <v>-</v>
          </cell>
          <cell r="ER85">
            <v>4</v>
          </cell>
          <cell r="ES85">
            <v>4</v>
          </cell>
          <cell r="ET85">
            <v>100</v>
          </cell>
          <cell r="EU85">
            <v>5</v>
          </cell>
          <cell r="EV85">
            <v>2</v>
          </cell>
          <cell r="EW85">
            <v>71.400000000000006</v>
          </cell>
          <cell r="EX85">
            <v>2</v>
          </cell>
          <cell r="EY85">
            <v>2</v>
          </cell>
          <cell r="EZ85">
            <v>100</v>
          </cell>
          <cell r="FA85">
            <v>100</v>
          </cell>
          <cell r="FB85">
            <v>5</v>
          </cell>
          <cell r="FC85">
            <v>0</v>
          </cell>
          <cell r="FD85">
            <v>1</v>
          </cell>
          <cell r="FE85">
            <v>1</v>
          </cell>
          <cell r="FF85">
            <v>50</v>
          </cell>
          <cell r="FG85">
            <v>4</v>
          </cell>
          <cell r="FH85">
            <v>1</v>
          </cell>
          <cell r="FI85">
            <v>80</v>
          </cell>
          <cell r="FJ85">
            <v>5</v>
          </cell>
          <cell r="FK85">
            <v>5</v>
          </cell>
          <cell r="FL85">
            <v>100</v>
          </cell>
          <cell r="FM85">
            <v>9</v>
          </cell>
          <cell r="FN85">
            <v>1</v>
          </cell>
          <cell r="FO85">
            <v>90</v>
          </cell>
          <cell r="FP85">
            <v>90</v>
          </cell>
          <cell r="FQ85">
            <v>90</v>
          </cell>
          <cell r="FR85" t="str">
            <v>-</v>
          </cell>
          <cell r="FS85">
            <v>90</v>
          </cell>
          <cell r="FT85">
            <v>90</v>
          </cell>
          <cell r="FU85" t="str">
            <v>-</v>
          </cell>
          <cell r="FV85">
            <v>90</v>
          </cell>
          <cell r="FW85">
            <v>90</v>
          </cell>
          <cell r="FX85" t="str">
            <v>-</v>
          </cell>
          <cell r="FY85">
            <v>90</v>
          </cell>
          <cell r="FZ85">
            <v>90</v>
          </cell>
          <cell r="GA85" t="str">
            <v>-</v>
          </cell>
          <cell r="GB85">
            <v>90</v>
          </cell>
          <cell r="GC85">
            <v>90</v>
          </cell>
          <cell r="GD85" t="str">
            <v>-</v>
          </cell>
          <cell r="GE85">
            <v>90</v>
          </cell>
          <cell r="GF85">
            <v>90</v>
          </cell>
          <cell r="GG85" t="str">
            <v>-</v>
          </cell>
          <cell r="GH85">
            <v>90</v>
          </cell>
          <cell r="GI85">
            <v>90</v>
          </cell>
          <cell r="GJ85" t="str">
            <v>-</v>
          </cell>
          <cell r="GK85">
            <v>90</v>
          </cell>
          <cell r="GL85">
            <v>90</v>
          </cell>
          <cell r="GM85" t="str">
            <v>-</v>
          </cell>
          <cell r="GN85">
            <v>28</v>
          </cell>
          <cell r="GO85">
            <v>4</v>
          </cell>
          <cell r="GP85">
            <v>87.5</v>
          </cell>
          <cell r="GQ85">
            <v>37</v>
          </cell>
          <cell r="GR85">
            <v>4</v>
          </cell>
          <cell r="GS85">
            <v>90.2</v>
          </cell>
          <cell r="GT85">
            <v>47</v>
          </cell>
          <cell r="GU85">
            <v>8</v>
          </cell>
          <cell r="GV85">
            <v>85.5</v>
          </cell>
          <cell r="GW85">
            <v>24</v>
          </cell>
          <cell r="GX85">
            <v>3</v>
          </cell>
          <cell r="GY85">
            <v>88.9</v>
          </cell>
          <cell r="GZ85">
            <v>36</v>
          </cell>
          <cell r="HA85">
            <v>6</v>
          </cell>
          <cell r="HB85">
            <v>85.7</v>
          </cell>
          <cell r="HC85">
            <v>23</v>
          </cell>
          <cell r="HD85">
            <v>5</v>
          </cell>
          <cell r="HE85">
            <v>82.1</v>
          </cell>
          <cell r="HF85">
            <v>24</v>
          </cell>
          <cell r="HG85">
            <v>8</v>
          </cell>
          <cell r="HH85">
            <v>75</v>
          </cell>
          <cell r="HI85">
            <v>24</v>
          </cell>
          <cell r="HJ85">
            <v>3</v>
          </cell>
          <cell r="HK85">
            <v>88.9</v>
          </cell>
          <cell r="HL85">
            <v>1</v>
          </cell>
          <cell r="HM85">
            <v>1</v>
          </cell>
          <cell r="HN85">
            <v>50</v>
          </cell>
          <cell r="HO85">
            <v>1</v>
          </cell>
          <cell r="HP85">
            <v>1</v>
          </cell>
          <cell r="HQ85">
            <v>50</v>
          </cell>
          <cell r="HR85">
            <v>1</v>
          </cell>
          <cell r="HS85">
            <v>1</v>
          </cell>
          <cell r="HT85">
            <v>100</v>
          </cell>
          <cell r="HU85">
            <v>1</v>
          </cell>
          <cell r="HV85">
            <v>2</v>
          </cell>
          <cell r="HW85">
            <v>33.299999999999997</v>
          </cell>
          <cell r="HX85">
            <v>3</v>
          </cell>
          <cell r="HY85">
            <v>3</v>
          </cell>
          <cell r="HZ85">
            <v>100</v>
          </cell>
          <cell r="IA85">
            <v>1</v>
          </cell>
          <cell r="IB85">
            <v>1</v>
          </cell>
          <cell r="IC85">
            <v>50</v>
          </cell>
          <cell r="ID85">
            <v>50</v>
          </cell>
          <cell r="IE85">
            <v>2</v>
          </cell>
          <cell r="IF85">
            <v>0</v>
          </cell>
          <cell r="IG85">
            <v>0</v>
          </cell>
          <cell r="IH85">
            <v>0</v>
          </cell>
          <cell r="II85" t="str">
            <v>-</v>
          </cell>
          <cell r="IJ85">
            <v>1</v>
          </cell>
          <cell r="IK85">
            <v>1</v>
          </cell>
          <cell r="IL85">
            <v>100</v>
          </cell>
          <cell r="IM85">
            <v>100</v>
          </cell>
          <cell r="IN85">
            <v>100</v>
          </cell>
          <cell r="IO85" t="str">
            <v>-</v>
          </cell>
          <cell r="IP85">
            <v>3</v>
          </cell>
          <cell r="IQ85">
            <v>3</v>
          </cell>
          <cell r="IR85">
            <v>100</v>
          </cell>
          <cell r="IS85">
            <v>5</v>
          </cell>
          <cell r="IT85">
            <v>5</v>
          </cell>
          <cell r="IU85">
            <v>100</v>
          </cell>
          <cell r="IV85">
            <v>1</v>
          </cell>
          <cell r="IW85">
            <v>1</v>
          </cell>
          <cell r="IX85">
            <v>100</v>
          </cell>
          <cell r="IY85">
            <v>1</v>
          </cell>
          <cell r="IZ85">
            <v>1</v>
          </cell>
          <cell r="JA85">
            <v>100</v>
          </cell>
          <cell r="JB85">
            <v>100</v>
          </cell>
          <cell r="JC85">
            <v>100</v>
          </cell>
          <cell r="JD85" t="str">
            <v>-</v>
          </cell>
          <cell r="JE85">
            <v>1</v>
          </cell>
          <cell r="JF85">
            <v>1</v>
          </cell>
          <cell r="JG85">
            <v>50</v>
          </cell>
          <cell r="JH85">
            <v>0</v>
          </cell>
          <cell r="JI85">
            <v>0</v>
          </cell>
          <cell r="JJ85" t="str">
            <v>-</v>
          </cell>
          <cell r="JK85">
            <v>0</v>
          </cell>
          <cell r="JL85">
            <v>0</v>
          </cell>
          <cell r="JM85" t="str">
            <v>-</v>
          </cell>
          <cell r="JN85">
            <v>0</v>
          </cell>
          <cell r="JO85">
            <v>0</v>
          </cell>
          <cell r="JP85" t="str">
            <v>-</v>
          </cell>
          <cell r="JQ85">
            <v>152</v>
          </cell>
          <cell r="JR85">
            <v>21</v>
          </cell>
          <cell r="JS85">
            <v>87.861271676300575</v>
          </cell>
          <cell r="JT85">
            <v>72</v>
          </cell>
          <cell r="JU85">
            <v>18</v>
          </cell>
          <cell r="JV85">
            <v>80</v>
          </cell>
          <cell r="JW85">
            <v>0</v>
          </cell>
          <cell r="JX85">
            <v>0</v>
          </cell>
          <cell r="JY85" t="str">
            <v>-</v>
          </cell>
          <cell r="JZ85">
            <v>19</v>
          </cell>
          <cell r="KA85">
            <v>8</v>
          </cell>
          <cell r="KB85">
            <v>70.370370370370367</v>
          </cell>
          <cell r="KC85">
            <v>0</v>
          </cell>
          <cell r="KD85">
            <v>0</v>
          </cell>
          <cell r="KE85" t="str">
            <v>-</v>
          </cell>
          <cell r="KF85">
            <v>131</v>
          </cell>
          <cell r="KG85">
            <v>25</v>
          </cell>
          <cell r="KH85">
            <v>83.974358974358978</v>
          </cell>
          <cell r="KI85">
            <v>5</v>
          </cell>
          <cell r="KJ85">
            <v>5</v>
          </cell>
          <cell r="KK85">
            <v>50</v>
          </cell>
          <cell r="KL85">
            <v>8</v>
          </cell>
          <cell r="KM85">
            <v>1</v>
          </cell>
          <cell r="KN85">
            <v>88.888888888888886</v>
          </cell>
        </row>
        <row r="86">
          <cell r="C86" t="str">
            <v>Kapuvári Rendőrkapitányság</v>
          </cell>
          <cell r="D86">
            <v>88.88885498046875</v>
          </cell>
          <cell r="E86">
            <v>88.88885498046875</v>
          </cell>
          <cell r="F86" t="str">
            <v>-</v>
          </cell>
          <cell r="G86">
            <v>88.88885498046875</v>
          </cell>
          <cell r="H86">
            <v>88.88885498046875</v>
          </cell>
          <cell r="I86" t="str">
            <v>-</v>
          </cell>
          <cell r="J86">
            <v>88.88885498046875</v>
          </cell>
          <cell r="K86">
            <v>88.88885498046875</v>
          </cell>
          <cell r="L86" t="str">
            <v>-</v>
          </cell>
          <cell r="M86">
            <v>88.88885498046875</v>
          </cell>
          <cell r="N86">
            <v>88.88885498046875</v>
          </cell>
          <cell r="O86" t="str">
            <v>-</v>
          </cell>
          <cell r="P86">
            <v>88.88885498046875</v>
          </cell>
          <cell r="Q86">
            <v>88.88885498046875</v>
          </cell>
          <cell r="R86" t="str">
            <v>-</v>
          </cell>
          <cell r="S86">
            <v>88.88885498046875</v>
          </cell>
          <cell r="T86">
            <v>88.88885498046875</v>
          </cell>
          <cell r="U86" t="str">
            <v>-</v>
          </cell>
          <cell r="V86">
            <v>88.88885498046875</v>
          </cell>
          <cell r="W86">
            <v>88.88885498046875</v>
          </cell>
          <cell r="X86" t="str">
            <v>-</v>
          </cell>
          <cell r="Y86">
            <v>88.88885498046875</v>
          </cell>
          <cell r="Z86">
            <v>88.88885498046875</v>
          </cell>
          <cell r="AA86" t="str">
            <v>-</v>
          </cell>
          <cell r="AB86">
            <v>88.88885498046875</v>
          </cell>
          <cell r="AC86">
            <v>88.88885498046875</v>
          </cell>
          <cell r="AD86" t="str">
            <v>-</v>
          </cell>
          <cell r="AE86">
            <v>88.88885498046875</v>
          </cell>
          <cell r="AF86">
            <v>88.88885498046875</v>
          </cell>
          <cell r="AG86" t="str">
            <v>-</v>
          </cell>
          <cell r="AH86">
            <v>88.88885498046875</v>
          </cell>
          <cell r="AI86">
            <v>88.88885498046875</v>
          </cell>
          <cell r="AJ86" t="str">
            <v>-</v>
          </cell>
          <cell r="AK86">
            <v>88.88885498046875</v>
          </cell>
          <cell r="AL86">
            <v>88.88885498046875</v>
          </cell>
          <cell r="AM86" t="str">
            <v>-</v>
          </cell>
          <cell r="AN86">
            <v>88.88885498046875</v>
          </cell>
          <cell r="AO86">
            <v>88.88885498046875</v>
          </cell>
          <cell r="AP86" t="str">
            <v>-</v>
          </cell>
          <cell r="AQ86">
            <v>88.88885498046875</v>
          </cell>
          <cell r="AR86">
            <v>88.88885498046875</v>
          </cell>
          <cell r="AS86" t="str">
            <v>-</v>
          </cell>
          <cell r="AT86">
            <v>88.88885498046875</v>
          </cell>
          <cell r="AU86">
            <v>88.88885498046875</v>
          </cell>
          <cell r="AV86" t="str">
            <v>-</v>
          </cell>
          <cell r="AW86">
            <v>88.88885498046875</v>
          </cell>
          <cell r="AX86">
            <v>88.88885498046875</v>
          </cell>
          <cell r="AY86" t="str">
            <v>-</v>
          </cell>
          <cell r="AZ86">
            <v>88.88885498046875</v>
          </cell>
          <cell r="BA86">
            <v>88.88885498046875</v>
          </cell>
          <cell r="BB86" t="str">
            <v>-</v>
          </cell>
          <cell r="BC86">
            <v>88.88885498046875</v>
          </cell>
          <cell r="BD86">
            <v>88.88885498046875</v>
          </cell>
          <cell r="BE86" t="str">
            <v>-</v>
          </cell>
          <cell r="BF86">
            <v>88.88885498046875</v>
          </cell>
          <cell r="BG86">
            <v>88.88885498046875</v>
          </cell>
          <cell r="BH86" t="str">
            <v>-</v>
          </cell>
          <cell r="BI86">
            <v>88.88885498046875</v>
          </cell>
          <cell r="BJ86">
            <v>88.88885498046875</v>
          </cell>
          <cell r="BK86" t="str">
            <v>-</v>
          </cell>
          <cell r="BL86">
            <v>88.88885498046875</v>
          </cell>
          <cell r="BM86">
            <v>88.88885498046875</v>
          </cell>
          <cell r="BN86" t="str">
            <v>-</v>
          </cell>
          <cell r="BO86">
            <v>88.88885498046875</v>
          </cell>
          <cell r="BP86">
            <v>88.88885498046875</v>
          </cell>
          <cell r="BQ86" t="str">
            <v>-</v>
          </cell>
          <cell r="BR86">
            <v>88.88885498046875</v>
          </cell>
          <cell r="BS86">
            <v>88.88885498046875</v>
          </cell>
          <cell r="BT86" t="str">
            <v>-</v>
          </cell>
          <cell r="BU86">
            <v>88.88885498046875</v>
          </cell>
          <cell r="BV86">
            <v>88.88885498046875</v>
          </cell>
          <cell r="BW86" t="str">
            <v>-</v>
          </cell>
          <cell r="BX86">
            <v>19</v>
          </cell>
          <cell r="BY86">
            <v>2</v>
          </cell>
          <cell r="BZ86">
            <v>90.5</v>
          </cell>
          <cell r="CA86">
            <v>24</v>
          </cell>
          <cell r="CB86">
            <v>24</v>
          </cell>
          <cell r="CC86">
            <v>100</v>
          </cell>
          <cell r="CD86">
            <v>27</v>
          </cell>
          <cell r="CE86">
            <v>4</v>
          </cell>
          <cell r="CF86">
            <v>87.1</v>
          </cell>
          <cell r="CG86">
            <v>16</v>
          </cell>
          <cell r="CH86">
            <v>3</v>
          </cell>
          <cell r="CI86">
            <v>84.2</v>
          </cell>
          <cell r="CJ86">
            <v>13</v>
          </cell>
          <cell r="CK86">
            <v>9</v>
          </cell>
          <cell r="CL86">
            <v>59.1</v>
          </cell>
          <cell r="CM86">
            <v>18</v>
          </cell>
          <cell r="CN86">
            <v>2</v>
          </cell>
          <cell r="CO86">
            <v>90</v>
          </cell>
          <cell r="CP86">
            <v>20</v>
          </cell>
          <cell r="CQ86">
            <v>1</v>
          </cell>
          <cell r="CR86">
            <v>95.2</v>
          </cell>
          <cell r="CS86">
            <v>29</v>
          </cell>
          <cell r="CT86">
            <v>29</v>
          </cell>
          <cell r="CU86">
            <v>100</v>
          </cell>
          <cell r="CV86">
            <v>11</v>
          </cell>
          <cell r="CW86">
            <v>1</v>
          </cell>
          <cell r="CX86">
            <v>91.7</v>
          </cell>
          <cell r="CY86">
            <v>15</v>
          </cell>
          <cell r="CZ86">
            <v>15</v>
          </cell>
          <cell r="DA86">
            <v>100</v>
          </cell>
          <cell r="DB86">
            <v>13</v>
          </cell>
          <cell r="DC86">
            <v>4</v>
          </cell>
          <cell r="DD86">
            <v>76.5</v>
          </cell>
          <cell r="DE86">
            <v>8</v>
          </cell>
          <cell r="DF86">
            <v>3</v>
          </cell>
          <cell r="DG86">
            <v>72.7</v>
          </cell>
          <cell r="DH86">
            <v>8</v>
          </cell>
          <cell r="DI86">
            <v>6</v>
          </cell>
          <cell r="DJ86">
            <v>57.1</v>
          </cell>
          <cell r="DK86">
            <v>15</v>
          </cell>
          <cell r="DL86">
            <v>2</v>
          </cell>
          <cell r="DM86">
            <v>88.2</v>
          </cell>
          <cell r="DN86">
            <v>11</v>
          </cell>
          <cell r="DO86">
            <v>1</v>
          </cell>
          <cell r="DP86">
            <v>91.7</v>
          </cell>
          <cell r="DQ86">
            <v>13</v>
          </cell>
          <cell r="DR86">
            <v>13</v>
          </cell>
          <cell r="DS86">
            <v>100</v>
          </cell>
          <cell r="DT86">
            <v>100</v>
          </cell>
          <cell r="DU86">
            <v>100</v>
          </cell>
          <cell r="DV86" t="str">
            <v>-</v>
          </cell>
          <cell r="DW86">
            <v>100</v>
          </cell>
          <cell r="DX86">
            <v>100</v>
          </cell>
          <cell r="DY86" t="str">
            <v>-</v>
          </cell>
          <cell r="DZ86">
            <v>100</v>
          </cell>
          <cell r="EA86">
            <v>100</v>
          </cell>
          <cell r="EB86" t="str">
            <v>-</v>
          </cell>
          <cell r="EC86">
            <v>100</v>
          </cell>
          <cell r="ED86">
            <v>100</v>
          </cell>
          <cell r="EE86" t="str">
            <v>-</v>
          </cell>
          <cell r="EF86">
            <v>100</v>
          </cell>
          <cell r="EG86">
            <v>100</v>
          </cell>
          <cell r="EH86" t="str">
            <v>-</v>
          </cell>
          <cell r="EI86">
            <v>100</v>
          </cell>
          <cell r="EJ86">
            <v>100</v>
          </cell>
          <cell r="EK86" t="str">
            <v>-</v>
          </cell>
          <cell r="EL86">
            <v>100</v>
          </cell>
          <cell r="EM86">
            <v>100</v>
          </cell>
          <cell r="EN86" t="str">
            <v>-</v>
          </cell>
          <cell r="EO86">
            <v>100</v>
          </cell>
          <cell r="EP86">
            <v>100</v>
          </cell>
          <cell r="EQ86" t="str">
            <v>-</v>
          </cell>
          <cell r="ER86">
            <v>100</v>
          </cell>
          <cell r="ES86">
            <v>100</v>
          </cell>
          <cell r="ET86" t="str">
            <v>-</v>
          </cell>
          <cell r="EU86">
            <v>1</v>
          </cell>
          <cell r="EV86">
            <v>1</v>
          </cell>
          <cell r="EW86">
            <v>100</v>
          </cell>
          <cell r="EX86">
            <v>2</v>
          </cell>
          <cell r="EY86">
            <v>2</v>
          </cell>
          <cell r="EZ86">
            <v>100</v>
          </cell>
          <cell r="FA86">
            <v>5</v>
          </cell>
          <cell r="FB86">
            <v>5</v>
          </cell>
          <cell r="FC86">
            <v>100</v>
          </cell>
          <cell r="FD86">
            <v>1</v>
          </cell>
          <cell r="FE86">
            <v>1</v>
          </cell>
          <cell r="FF86">
            <v>100</v>
          </cell>
          <cell r="FG86">
            <v>1</v>
          </cell>
          <cell r="FH86">
            <v>1</v>
          </cell>
          <cell r="FI86">
            <v>100</v>
          </cell>
          <cell r="FJ86">
            <v>12</v>
          </cell>
          <cell r="FK86">
            <v>12</v>
          </cell>
          <cell r="FL86">
            <v>100</v>
          </cell>
          <cell r="FM86">
            <v>100</v>
          </cell>
          <cell r="FN86">
            <v>100</v>
          </cell>
          <cell r="FO86" t="str">
            <v>-</v>
          </cell>
          <cell r="FP86">
            <v>100</v>
          </cell>
          <cell r="FQ86">
            <v>100</v>
          </cell>
          <cell r="FR86" t="str">
            <v>-</v>
          </cell>
          <cell r="FS86">
            <v>100</v>
          </cell>
          <cell r="FT86">
            <v>100</v>
          </cell>
          <cell r="FU86" t="str">
            <v>-</v>
          </cell>
          <cell r="FV86">
            <v>100</v>
          </cell>
          <cell r="FW86">
            <v>100</v>
          </cell>
          <cell r="FX86" t="str">
            <v>-</v>
          </cell>
          <cell r="FY86">
            <v>100</v>
          </cell>
          <cell r="FZ86">
            <v>100</v>
          </cell>
          <cell r="GA86" t="str">
            <v>-</v>
          </cell>
          <cell r="GB86">
            <v>100</v>
          </cell>
          <cell r="GC86">
            <v>100</v>
          </cell>
          <cell r="GD86" t="str">
            <v>-</v>
          </cell>
          <cell r="GE86">
            <v>100</v>
          </cell>
          <cell r="GF86">
            <v>100</v>
          </cell>
          <cell r="GG86" t="str">
            <v>-</v>
          </cell>
          <cell r="GH86">
            <v>100</v>
          </cell>
          <cell r="GI86">
            <v>100</v>
          </cell>
          <cell r="GJ86" t="str">
            <v>-</v>
          </cell>
          <cell r="GK86">
            <v>100</v>
          </cell>
          <cell r="GL86">
            <v>100</v>
          </cell>
          <cell r="GM86" t="str">
            <v>-</v>
          </cell>
          <cell r="GN86">
            <v>41</v>
          </cell>
          <cell r="GO86">
            <v>3</v>
          </cell>
          <cell r="GP86">
            <v>93.2</v>
          </cell>
          <cell r="GQ86">
            <v>41</v>
          </cell>
          <cell r="GR86">
            <v>4</v>
          </cell>
          <cell r="GS86">
            <v>91.1</v>
          </cell>
          <cell r="GT86">
            <v>50</v>
          </cell>
          <cell r="GU86">
            <v>50</v>
          </cell>
          <cell r="GV86">
            <v>100</v>
          </cell>
          <cell r="GW86">
            <v>34</v>
          </cell>
          <cell r="GX86">
            <v>9</v>
          </cell>
          <cell r="GY86">
            <v>79.099999999999994</v>
          </cell>
          <cell r="GZ86">
            <v>23</v>
          </cell>
          <cell r="HA86">
            <v>9</v>
          </cell>
          <cell r="HB86">
            <v>71.900000000000006</v>
          </cell>
          <cell r="HC86">
            <v>12</v>
          </cell>
          <cell r="HD86">
            <v>12</v>
          </cell>
          <cell r="HE86">
            <v>100</v>
          </cell>
          <cell r="HF86">
            <v>16</v>
          </cell>
          <cell r="HG86">
            <v>6</v>
          </cell>
          <cell r="HH86">
            <v>72.7</v>
          </cell>
          <cell r="HI86">
            <v>20</v>
          </cell>
          <cell r="HJ86">
            <v>3</v>
          </cell>
          <cell r="HK86">
            <v>87</v>
          </cell>
          <cell r="HL86">
            <v>4</v>
          </cell>
          <cell r="HM86">
            <v>1</v>
          </cell>
          <cell r="HN86">
            <v>80</v>
          </cell>
          <cell r="HO86">
            <v>2</v>
          </cell>
          <cell r="HP86">
            <v>2</v>
          </cell>
          <cell r="HQ86">
            <v>100</v>
          </cell>
          <cell r="HR86">
            <v>1</v>
          </cell>
          <cell r="HS86">
            <v>1</v>
          </cell>
          <cell r="HT86">
            <v>50</v>
          </cell>
          <cell r="HU86">
            <v>1</v>
          </cell>
          <cell r="HV86">
            <v>1</v>
          </cell>
          <cell r="HW86">
            <v>100</v>
          </cell>
          <cell r="HX86">
            <v>1</v>
          </cell>
          <cell r="HY86">
            <v>1</v>
          </cell>
          <cell r="HZ86">
            <v>100</v>
          </cell>
          <cell r="IA86">
            <v>100</v>
          </cell>
          <cell r="IB86">
            <v>100</v>
          </cell>
          <cell r="IC86" t="str">
            <v>-</v>
          </cell>
          <cell r="ID86">
            <v>1</v>
          </cell>
          <cell r="IE86">
            <v>1</v>
          </cell>
          <cell r="IF86">
            <v>50</v>
          </cell>
          <cell r="IG86">
            <v>1</v>
          </cell>
          <cell r="IH86">
            <v>1</v>
          </cell>
          <cell r="II86">
            <v>100</v>
          </cell>
          <cell r="IJ86">
            <v>100</v>
          </cell>
          <cell r="IK86">
            <v>100</v>
          </cell>
          <cell r="IL86" t="str">
            <v>-</v>
          </cell>
          <cell r="IM86">
            <v>2</v>
          </cell>
          <cell r="IN86">
            <v>2</v>
          </cell>
          <cell r="IO86">
            <v>100</v>
          </cell>
          <cell r="IP86">
            <v>100</v>
          </cell>
          <cell r="IQ86">
            <v>100</v>
          </cell>
          <cell r="IR86" t="str">
            <v>-</v>
          </cell>
          <cell r="IS86">
            <v>1</v>
          </cell>
          <cell r="IT86">
            <v>1</v>
          </cell>
          <cell r="IU86">
            <v>100</v>
          </cell>
          <cell r="IV86">
            <v>8</v>
          </cell>
          <cell r="IW86">
            <v>8</v>
          </cell>
          <cell r="IX86">
            <v>100</v>
          </cell>
          <cell r="IY86">
            <v>2</v>
          </cell>
          <cell r="IZ86">
            <v>2</v>
          </cell>
          <cell r="JA86">
            <v>100</v>
          </cell>
          <cell r="JB86">
            <v>1</v>
          </cell>
          <cell r="JC86">
            <v>1</v>
          </cell>
          <cell r="JD86">
            <v>100</v>
          </cell>
          <cell r="JE86">
            <v>100</v>
          </cell>
          <cell r="JF86">
            <v>100</v>
          </cell>
          <cell r="JG86" t="str">
            <v>-</v>
          </cell>
          <cell r="JH86">
            <v>0</v>
          </cell>
          <cell r="JI86">
            <v>0</v>
          </cell>
          <cell r="JJ86" t="str">
            <v>-</v>
          </cell>
          <cell r="JK86">
            <v>0</v>
          </cell>
          <cell r="JL86">
            <v>0</v>
          </cell>
          <cell r="JM86" t="str">
            <v>-</v>
          </cell>
          <cell r="JN86">
            <v>0</v>
          </cell>
          <cell r="JO86">
            <v>0</v>
          </cell>
          <cell r="JP86" t="str">
            <v>-</v>
          </cell>
          <cell r="JQ86">
            <v>96</v>
          </cell>
          <cell r="JR86">
            <v>15</v>
          </cell>
          <cell r="JS86">
            <v>86.486486486486484</v>
          </cell>
          <cell r="JT86">
            <v>55</v>
          </cell>
          <cell r="JU86">
            <v>12</v>
          </cell>
          <cell r="JV86">
            <v>82.089552238805979</v>
          </cell>
          <cell r="JW86">
            <v>0</v>
          </cell>
          <cell r="JX86">
            <v>0</v>
          </cell>
          <cell r="JY86" t="str">
            <v>-</v>
          </cell>
          <cell r="JZ86">
            <v>19</v>
          </cell>
          <cell r="KA86">
            <v>0</v>
          </cell>
          <cell r="KB86">
            <v>100</v>
          </cell>
          <cell r="KC86">
            <v>0</v>
          </cell>
          <cell r="KD86">
            <v>0</v>
          </cell>
          <cell r="KE86" t="str">
            <v>-</v>
          </cell>
          <cell r="KF86">
            <v>105</v>
          </cell>
          <cell r="KG86">
            <v>27</v>
          </cell>
          <cell r="KH86">
            <v>79.545454545454547</v>
          </cell>
          <cell r="KI86">
            <v>4</v>
          </cell>
          <cell r="KJ86">
            <v>1</v>
          </cell>
          <cell r="KK86">
            <v>80</v>
          </cell>
          <cell r="KL86">
            <v>12</v>
          </cell>
          <cell r="KM86">
            <v>0</v>
          </cell>
          <cell r="KN86">
            <v>100</v>
          </cell>
        </row>
        <row r="87">
          <cell r="C87" t="str">
            <v>Mosonmagyaróvári Rendőrkapitányság</v>
          </cell>
          <cell r="D87">
            <v>100</v>
          </cell>
          <cell r="E87">
            <v>100</v>
          </cell>
          <cell r="F87" t="str">
            <v>-</v>
          </cell>
          <cell r="G87">
            <v>100</v>
          </cell>
          <cell r="H87">
            <v>100</v>
          </cell>
          <cell r="I87" t="str">
            <v>-</v>
          </cell>
          <cell r="J87">
            <v>100</v>
          </cell>
          <cell r="K87">
            <v>100</v>
          </cell>
          <cell r="L87" t="str">
            <v>-</v>
          </cell>
          <cell r="M87">
            <v>100</v>
          </cell>
          <cell r="N87">
            <v>100</v>
          </cell>
          <cell r="O87" t="str">
            <v>-</v>
          </cell>
          <cell r="P87">
            <v>100</v>
          </cell>
          <cell r="Q87">
            <v>100</v>
          </cell>
          <cell r="R87" t="str">
            <v>-</v>
          </cell>
          <cell r="S87">
            <v>100</v>
          </cell>
          <cell r="T87">
            <v>100</v>
          </cell>
          <cell r="U87" t="str">
            <v>-</v>
          </cell>
          <cell r="V87">
            <v>100</v>
          </cell>
          <cell r="W87">
            <v>100</v>
          </cell>
          <cell r="X87" t="str">
            <v>-</v>
          </cell>
          <cell r="Y87">
            <v>100</v>
          </cell>
          <cell r="Z87">
            <v>100</v>
          </cell>
          <cell r="AA87" t="str">
            <v>-</v>
          </cell>
          <cell r="AB87">
            <v>100</v>
          </cell>
          <cell r="AC87">
            <v>100</v>
          </cell>
          <cell r="AD87" t="str">
            <v>-</v>
          </cell>
          <cell r="AE87">
            <v>100</v>
          </cell>
          <cell r="AF87">
            <v>100</v>
          </cell>
          <cell r="AG87" t="str">
            <v>-</v>
          </cell>
          <cell r="AH87">
            <v>100</v>
          </cell>
          <cell r="AI87">
            <v>100</v>
          </cell>
          <cell r="AJ87" t="str">
            <v>-</v>
          </cell>
          <cell r="AK87">
            <v>100</v>
          </cell>
          <cell r="AL87">
            <v>100</v>
          </cell>
          <cell r="AM87" t="str">
            <v>-</v>
          </cell>
          <cell r="AN87">
            <v>100</v>
          </cell>
          <cell r="AO87">
            <v>100</v>
          </cell>
          <cell r="AP87" t="str">
            <v>-</v>
          </cell>
          <cell r="AQ87">
            <v>100</v>
          </cell>
          <cell r="AR87">
            <v>100</v>
          </cell>
          <cell r="AS87" t="str">
            <v>-</v>
          </cell>
          <cell r="AT87">
            <v>100</v>
          </cell>
          <cell r="AU87">
            <v>100</v>
          </cell>
          <cell r="AV87" t="str">
            <v>-</v>
          </cell>
          <cell r="AW87">
            <v>100</v>
          </cell>
          <cell r="AX87">
            <v>100</v>
          </cell>
          <cell r="AY87" t="str">
            <v>-</v>
          </cell>
          <cell r="AZ87">
            <v>100</v>
          </cell>
          <cell r="BA87">
            <v>100</v>
          </cell>
          <cell r="BB87" t="str">
            <v>-</v>
          </cell>
          <cell r="BC87">
            <v>100</v>
          </cell>
          <cell r="BD87">
            <v>100</v>
          </cell>
          <cell r="BE87" t="str">
            <v>-</v>
          </cell>
          <cell r="BF87">
            <v>100</v>
          </cell>
          <cell r="BG87">
            <v>100</v>
          </cell>
          <cell r="BH87" t="str">
            <v>-</v>
          </cell>
          <cell r="BI87">
            <v>100</v>
          </cell>
          <cell r="BJ87">
            <v>100</v>
          </cell>
          <cell r="BK87" t="str">
            <v>-</v>
          </cell>
          <cell r="BL87">
            <v>100</v>
          </cell>
          <cell r="BM87">
            <v>100</v>
          </cell>
          <cell r="BN87" t="str">
            <v>-</v>
          </cell>
          <cell r="BO87">
            <v>100</v>
          </cell>
          <cell r="BP87">
            <v>100</v>
          </cell>
          <cell r="BQ87" t="str">
            <v>-</v>
          </cell>
          <cell r="BR87">
            <v>100</v>
          </cell>
          <cell r="BS87">
            <v>100</v>
          </cell>
          <cell r="BT87" t="str">
            <v>-</v>
          </cell>
          <cell r="BU87">
            <v>100</v>
          </cell>
          <cell r="BV87">
            <v>100</v>
          </cell>
          <cell r="BW87" t="str">
            <v>-</v>
          </cell>
          <cell r="BX87">
            <v>131</v>
          </cell>
          <cell r="BY87">
            <v>13</v>
          </cell>
          <cell r="BZ87">
            <v>91</v>
          </cell>
          <cell r="CA87">
            <v>97</v>
          </cell>
          <cell r="CB87">
            <v>17</v>
          </cell>
          <cell r="CC87">
            <v>85.1</v>
          </cell>
          <cell r="CD87">
            <v>87</v>
          </cell>
          <cell r="CE87">
            <v>15</v>
          </cell>
          <cell r="CF87">
            <v>85.3</v>
          </cell>
          <cell r="CG87">
            <v>88</v>
          </cell>
          <cell r="CH87">
            <v>10</v>
          </cell>
          <cell r="CI87">
            <v>89.8</v>
          </cell>
          <cell r="CJ87">
            <v>70</v>
          </cell>
          <cell r="CK87">
            <v>15</v>
          </cell>
          <cell r="CL87">
            <v>82.4</v>
          </cell>
          <cell r="CM87">
            <v>46</v>
          </cell>
          <cell r="CN87">
            <v>9</v>
          </cell>
          <cell r="CO87">
            <v>83.6</v>
          </cell>
          <cell r="CP87">
            <v>67</v>
          </cell>
          <cell r="CQ87">
            <v>6</v>
          </cell>
          <cell r="CR87">
            <v>91.8</v>
          </cell>
          <cell r="CS87">
            <v>67</v>
          </cell>
          <cell r="CT87">
            <v>9</v>
          </cell>
          <cell r="CU87">
            <v>88.2</v>
          </cell>
          <cell r="CV87">
            <v>64</v>
          </cell>
          <cell r="CW87">
            <v>10</v>
          </cell>
          <cell r="CX87">
            <v>86.5</v>
          </cell>
          <cell r="CY87">
            <v>39</v>
          </cell>
          <cell r="CZ87">
            <v>14</v>
          </cell>
          <cell r="DA87">
            <v>73.599999999999994</v>
          </cell>
          <cell r="DB87">
            <v>50</v>
          </cell>
          <cell r="DC87">
            <v>8</v>
          </cell>
          <cell r="DD87">
            <v>86.2</v>
          </cell>
          <cell r="DE87">
            <v>36</v>
          </cell>
          <cell r="DF87">
            <v>6</v>
          </cell>
          <cell r="DG87">
            <v>85.7</v>
          </cell>
          <cell r="DH87">
            <v>37</v>
          </cell>
          <cell r="DI87">
            <v>13</v>
          </cell>
          <cell r="DJ87">
            <v>74</v>
          </cell>
          <cell r="DK87">
            <v>27</v>
          </cell>
          <cell r="DL87">
            <v>8</v>
          </cell>
          <cell r="DM87">
            <v>77.099999999999994</v>
          </cell>
          <cell r="DN87">
            <v>49</v>
          </cell>
          <cell r="DO87">
            <v>6</v>
          </cell>
          <cell r="DP87">
            <v>89.1</v>
          </cell>
          <cell r="DQ87">
            <v>40</v>
          </cell>
          <cell r="DR87">
            <v>7</v>
          </cell>
          <cell r="DS87">
            <v>85.1</v>
          </cell>
          <cell r="DT87">
            <v>85.0999755859375</v>
          </cell>
          <cell r="DU87">
            <v>85.0999755859375</v>
          </cell>
          <cell r="DV87" t="str">
            <v>-</v>
          </cell>
          <cell r="DW87">
            <v>85.0999755859375</v>
          </cell>
          <cell r="DX87">
            <v>85.0999755859375</v>
          </cell>
          <cell r="DY87" t="str">
            <v>-</v>
          </cell>
          <cell r="DZ87">
            <v>85.0999755859375</v>
          </cell>
          <cell r="EA87">
            <v>85.0999755859375</v>
          </cell>
          <cell r="EB87" t="str">
            <v>-</v>
          </cell>
          <cell r="EC87">
            <v>85.0999755859375</v>
          </cell>
          <cell r="ED87">
            <v>85.0999755859375</v>
          </cell>
          <cell r="EE87" t="str">
            <v>-</v>
          </cell>
          <cell r="EF87">
            <v>85.0999755859375</v>
          </cell>
          <cell r="EG87">
            <v>85.0999755859375</v>
          </cell>
          <cell r="EH87" t="str">
            <v>-</v>
          </cell>
          <cell r="EI87">
            <v>85.0999755859375</v>
          </cell>
          <cell r="EJ87">
            <v>85.0999755859375</v>
          </cell>
          <cell r="EK87" t="str">
            <v>-</v>
          </cell>
          <cell r="EL87">
            <v>85.0999755859375</v>
          </cell>
          <cell r="EM87">
            <v>85.0999755859375</v>
          </cell>
          <cell r="EN87" t="str">
            <v>-</v>
          </cell>
          <cell r="EO87">
            <v>85.0999755859375</v>
          </cell>
          <cell r="EP87">
            <v>85.0999755859375</v>
          </cell>
          <cell r="EQ87" t="str">
            <v>-</v>
          </cell>
          <cell r="ER87">
            <v>23</v>
          </cell>
          <cell r="ES87">
            <v>5</v>
          </cell>
          <cell r="ET87">
            <v>82.1</v>
          </cell>
          <cell r="EU87">
            <v>12</v>
          </cell>
          <cell r="EV87">
            <v>1</v>
          </cell>
          <cell r="EW87">
            <v>92.3</v>
          </cell>
          <cell r="EX87">
            <v>20</v>
          </cell>
          <cell r="EY87">
            <v>7</v>
          </cell>
          <cell r="EZ87">
            <v>74.099999999999994</v>
          </cell>
          <cell r="FA87">
            <v>9</v>
          </cell>
          <cell r="FB87">
            <v>4</v>
          </cell>
          <cell r="FC87">
            <v>69.2</v>
          </cell>
          <cell r="FD87">
            <v>7</v>
          </cell>
          <cell r="FE87">
            <v>3</v>
          </cell>
          <cell r="FF87">
            <v>70</v>
          </cell>
          <cell r="FG87">
            <v>7</v>
          </cell>
          <cell r="FH87">
            <v>4</v>
          </cell>
          <cell r="FI87">
            <v>63.6</v>
          </cell>
          <cell r="FJ87">
            <v>4</v>
          </cell>
          <cell r="FK87">
            <v>7</v>
          </cell>
          <cell r="FL87">
            <v>36.4</v>
          </cell>
          <cell r="FM87">
            <v>11</v>
          </cell>
          <cell r="FN87">
            <v>11</v>
          </cell>
          <cell r="FO87">
            <v>100</v>
          </cell>
          <cell r="FP87">
            <v>7</v>
          </cell>
          <cell r="FQ87">
            <v>7</v>
          </cell>
          <cell r="FR87">
            <v>100</v>
          </cell>
          <cell r="FS87">
            <v>2</v>
          </cell>
          <cell r="FT87">
            <v>2</v>
          </cell>
          <cell r="FU87">
            <v>100</v>
          </cell>
          <cell r="FV87">
            <v>100</v>
          </cell>
          <cell r="FW87">
            <v>100</v>
          </cell>
          <cell r="FX87" t="str">
            <v>-</v>
          </cell>
          <cell r="FY87">
            <v>100</v>
          </cell>
          <cell r="FZ87">
            <v>100</v>
          </cell>
          <cell r="GA87" t="str">
            <v>-</v>
          </cell>
          <cell r="GB87">
            <v>100</v>
          </cell>
          <cell r="GC87">
            <v>100</v>
          </cell>
          <cell r="GD87" t="str">
            <v>-</v>
          </cell>
          <cell r="GE87">
            <v>1</v>
          </cell>
          <cell r="GF87">
            <v>1</v>
          </cell>
          <cell r="GG87">
            <v>100</v>
          </cell>
          <cell r="GH87">
            <v>100</v>
          </cell>
          <cell r="GI87">
            <v>100</v>
          </cell>
          <cell r="GJ87" t="str">
            <v>-</v>
          </cell>
          <cell r="GK87">
            <v>100</v>
          </cell>
          <cell r="GL87">
            <v>100</v>
          </cell>
          <cell r="GM87" t="str">
            <v>-</v>
          </cell>
          <cell r="GN87">
            <v>94</v>
          </cell>
          <cell r="GO87">
            <v>20</v>
          </cell>
          <cell r="GP87">
            <v>82.5</v>
          </cell>
          <cell r="GQ87">
            <v>80</v>
          </cell>
          <cell r="GR87">
            <v>21</v>
          </cell>
          <cell r="GS87">
            <v>79.2</v>
          </cell>
          <cell r="GT87">
            <v>75</v>
          </cell>
          <cell r="GU87">
            <v>23</v>
          </cell>
          <cell r="GV87">
            <v>76.5</v>
          </cell>
          <cell r="GW87">
            <v>103</v>
          </cell>
          <cell r="GX87">
            <v>28</v>
          </cell>
          <cell r="GY87">
            <v>78.599999999999994</v>
          </cell>
          <cell r="GZ87">
            <v>72</v>
          </cell>
          <cell r="HA87">
            <v>32</v>
          </cell>
          <cell r="HB87">
            <v>69.2</v>
          </cell>
          <cell r="HC87">
            <v>65</v>
          </cell>
          <cell r="HD87">
            <v>23</v>
          </cell>
          <cell r="HE87">
            <v>73.900000000000006</v>
          </cell>
          <cell r="HF87">
            <v>59</v>
          </cell>
          <cell r="HG87">
            <v>10</v>
          </cell>
          <cell r="HH87">
            <v>85.5</v>
          </cell>
          <cell r="HI87">
            <v>55</v>
          </cell>
          <cell r="HJ87">
            <v>8</v>
          </cell>
          <cell r="HK87">
            <v>87.3</v>
          </cell>
          <cell r="HL87">
            <v>13</v>
          </cell>
          <cell r="HM87">
            <v>2</v>
          </cell>
          <cell r="HN87">
            <v>86.7</v>
          </cell>
          <cell r="HO87">
            <v>5</v>
          </cell>
          <cell r="HP87">
            <v>7</v>
          </cell>
          <cell r="HQ87">
            <v>41.7</v>
          </cell>
          <cell r="HR87">
            <v>7</v>
          </cell>
          <cell r="HS87">
            <v>4</v>
          </cell>
          <cell r="HT87">
            <v>63.6</v>
          </cell>
          <cell r="HU87">
            <v>6</v>
          </cell>
          <cell r="HV87">
            <v>4</v>
          </cell>
          <cell r="HW87">
            <v>60</v>
          </cell>
          <cell r="HX87">
            <v>2</v>
          </cell>
          <cell r="HY87">
            <v>2</v>
          </cell>
          <cell r="HZ87">
            <v>50</v>
          </cell>
          <cell r="IA87">
            <v>5</v>
          </cell>
          <cell r="IB87">
            <v>3</v>
          </cell>
          <cell r="IC87">
            <v>62.5</v>
          </cell>
          <cell r="ID87">
            <v>1</v>
          </cell>
          <cell r="IE87">
            <v>1</v>
          </cell>
          <cell r="IF87">
            <v>100</v>
          </cell>
          <cell r="IG87">
            <v>100</v>
          </cell>
          <cell r="IH87">
            <v>1</v>
          </cell>
          <cell r="II87">
            <v>0</v>
          </cell>
          <cell r="IJ87">
            <v>20</v>
          </cell>
          <cell r="IK87">
            <v>5</v>
          </cell>
          <cell r="IL87">
            <v>80</v>
          </cell>
          <cell r="IM87">
            <v>18</v>
          </cell>
          <cell r="IN87">
            <v>3</v>
          </cell>
          <cell r="IO87">
            <v>85.7</v>
          </cell>
          <cell r="IP87">
            <v>13</v>
          </cell>
          <cell r="IQ87">
            <v>3</v>
          </cell>
          <cell r="IR87">
            <v>81.3</v>
          </cell>
          <cell r="IS87">
            <v>3</v>
          </cell>
          <cell r="IT87">
            <v>3</v>
          </cell>
          <cell r="IU87">
            <v>100</v>
          </cell>
          <cell r="IV87">
            <v>1</v>
          </cell>
          <cell r="IW87">
            <v>2</v>
          </cell>
          <cell r="IX87">
            <v>33.299999999999997</v>
          </cell>
          <cell r="IY87">
            <v>1</v>
          </cell>
          <cell r="IZ87">
            <v>1</v>
          </cell>
          <cell r="JA87">
            <v>50</v>
          </cell>
          <cell r="JB87">
            <v>3</v>
          </cell>
          <cell r="JC87">
            <v>3</v>
          </cell>
          <cell r="JD87">
            <v>100</v>
          </cell>
          <cell r="JE87">
            <v>1</v>
          </cell>
          <cell r="JF87">
            <v>1</v>
          </cell>
          <cell r="JG87">
            <v>100</v>
          </cell>
          <cell r="JH87">
            <v>0</v>
          </cell>
          <cell r="JI87">
            <v>0</v>
          </cell>
          <cell r="JJ87" t="str">
            <v>-</v>
          </cell>
          <cell r="JK87">
            <v>0</v>
          </cell>
          <cell r="JL87">
            <v>0</v>
          </cell>
          <cell r="JM87" t="str">
            <v>-</v>
          </cell>
          <cell r="JN87">
            <v>0</v>
          </cell>
          <cell r="JO87">
            <v>0</v>
          </cell>
          <cell r="JP87" t="str">
            <v>-</v>
          </cell>
          <cell r="JQ87">
            <v>338</v>
          </cell>
          <cell r="JR87">
            <v>49</v>
          </cell>
          <cell r="JS87">
            <v>87.338501291989672</v>
          </cell>
          <cell r="JT87">
            <v>189</v>
          </cell>
          <cell r="JU87">
            <v>40</v>
          </cell>
          <cell r="JV87">
            <v>82.532751091703062</v>
          </cell>
          <cell r="JW87">
            <v>0</v>
          </cell>
          <cell r="JX87">
            <v>0</v>
          </cell>
          <cell r="JY87" t="str">
            <v>-</v>
          </cell>
          <cell r="JZ87">
            <v>38</v>
          </cell>
          <cell r="KA87">
            <v>18</v>
          </cell>
          <cell r="KB87">
            <v>67.857142857142861</v>
          </cell>
          <cell r="KC87">
            <v>1</v>
          </cell>
          <cell r="KD87">
            <v>0</v>
          </cell>
          <cell r="KE87">
            <v>100</v>
          </cell>
          <cell r="KF87">
            <v>354</v>
          </cell>
          <cell r="KG87">
            <v>101</v>
          </cell>
          <cell r="KH87">
            <v>77.80219780219781</v>
          </cell>
          <cell r="KI87">
            <v>14</v>
          </cell>
          <cell r="KJ87">
            <v>10</v>
          </cell>
          <cell r="KK87">
            <v>58.333333333333336</v>
          </cell>
          <cell r="KL87">
            <v>9</v>
          </cell>
          <cell r="KM87">
            <v>3</v>
          </cell>
          <cell r="KN87">
            <v>75</v>
          </cell>
        </row>
        <row r="88">
          <cell r="C88" t="str">
            <v>Soproni Rendőrkapitányság</v>
          </cell>
          <cell r="D88">
            <v>75</v>
          </cell>
          <cell r="E88">
            <v>75</v>
          </cell>
          <cell r="F88" t="str">
            <v>-</v>
          </cell>
          <cell r="G88">
            <v>75</v>
          </cell>
          <cell r="H88">
            <v>75</v>
          </cell>
          <cell r="I88" t="str">
            <v>-</v>
          </cell>
          <cell r="J88">
            <v>75</v>
          </cell>
          <cell r="K88">
            <v>75</v>
          </cell>
          <cell r="L88" t="str">
            <v>-</v>
          </cell>
          <cell r="M88">
            <v>75</v>
          </cell>
          <cell r="N88">
            <v>75</v>
          </cell>
          <cell r="O88" t="str">
            <v>-</v>
          </cell>
          <cell r="P88">
            <v>75</v>
          </cell>
          <cell r="Q88">
            <v>75</v>
          </cell>
          <cell r="R88" t="str">
            <v>-</v>
          </cell>
          <cell r="S88">
            <v>75</v>
          </cell>
          <cell r="T88">
            <v>75</v>
          </cell>
          <cell r="U88" t="str">
            <v>-</v>
          </cell>
          <cell r="V88">
            <v>75</v>
          </cell>
          <cell r="W88">
            <v>75</v>
          </cell>
          <cell r="X88" t="str">
            <v>-</v>
          </cell>
          <cell r="Y88">
            <v>75</v>
          </cell>
          <cell r="Z88">
            <v>75</v>
          </cell>
          <cell r="AA88" t="str">
            <v>-</v>
          </cell>
          <cell r="AB88">
            <v>75</v>
          </cell>
          <cell r="AC88">
            <v>75</v>
          </cell>
          <cell r="AD88" t="str">
            <v>-</v>
          </cell>
          <cell r="AE88">
            <v>75</v>
          </cell>
          <cell r="AF88">
            <v>75</v>
          </cell>
          <cell r="AG88" t="str">
            <v>-</v>
          </cell>
          <cell r="AH88">
            <v>75</v>
          </cell>
          <cell r="AI88">
            <v>75</v>
          </cell>
          <cell r="AJ88" t="str">
            <v>-</v>
          </cell>
          <cell r="AK88">
            <v>75</v>
          </cell>
          <cell r="AL88">
            <v>75</v>
          </cell>
          <cell r="AM88" t="str">
            <v>-</v>
          </cell>
          <cell r="AN88">
            <v>75</v>
          </cell>
          <cell r="AO88">
            <v>75</v>
          </cell>
          <cell r="AP88" t="str">
            <v>-</v>
          </cell>
          <cell r="AQ88">
            <v>75</v>
          </cell>
          <cell r="AR88">
            <v>75</v>
          </cell>
          <cell r="AS88" t="str">
            <v>-</v>
          </cell>
          <cell r="AT88">
            <v>75</v>
          </cell>
          <cell r="AU88">
            <v>75</v>
          </cell>
          <cell r="AV88" t="str">
            <v>-</v>
          </cell>
          <cell r="AW88">
            <v>75</v>
          </cell>
          <cell r="AX88">
            <v>75</v>
          </cell>
          <cell r="AY88" t="str">
            <v>-</v>
          </cell>
          <cell r="AZ88">
            <v>75</v>
          </cell>
          <cell r="BA88">
            <v>75</v>
          </cell>
          <cell r="BB88" t="str">
            <v>-</v>
          </cell>
          <cell r="BC88">
            <v>75</v>
          </cell>
          <cell r="BD88">
            <v>75</v>
          </cell>
          <cell r="BE88" t="str">
            <v>-</v>
          </cell>
          <cell r="BF88">
            <v>75</v>
          </cell>
          <cell r="BG88">
            <v>75</v>
          </cell>
          <cell r="BH88" t="str">
            <v>-</v>
          </cell>
          <cell r="BI88">
            <v>75</v>
          </cell>
          <cell r="BJ88">
            <v>75</v>
          </cell>
          <cell r="BK88" t="str">
            <v>-</v>
          </cell>
          <cell r="BL88">
            <v>75</v>
          </cell>
          <cell r="BM88">
            <v>75</v>
          </cell>
          <cell r="BN88" t="str">
            <v>-</v>
          </cell>
          <cell r="BO88">
            <v>75</v>
          </cell>
          <cell r="BP88">
            <v>75</v>
          </cell>
          <cell r="BQ88" t="str">
            <v>-</v>
          </cell>
          <cell r="BR88">
            <v>75</v>
          </cell>
          <cell r="BS88">
            <v>75</v>
          </cell>
          <cell r="BT88" t="str">
            <v>-</v>
          </cell>
          <cell r="BU88">
            <v>75</v>
          </cell>
          <cell r="BV88">
            <v>75</v>
          </cell>
          <cell r="BW88" t="str">
            <v>-</v>
          </cell>
          <cell r="BX88">
            <v>112</v>
          </cell>
          <cell r="BY88">
            <v>18</v>
          </cell>
          <cell r="BZ88">
            <v>86.2</v>
          </cell>
          <cell r="CA88">
            <v>90</v>
          </cell>
          <cell r="CB88">
            <v>14</v>
          </cell>
          <cell r="CC88">
            <v>86.5</v>
          </cell>
          <cell r="CD88">
            <v>120</v>
          </cell>
          <cell r="CE88">
            <v>19</v>
          </cell>
          <cell r="CF88">
            <v>86.3</v>
          </cell>
          <cell r="CG88">
            <v>113</v>
          </cell>
          <cell r="CH88">
            <v>41</v>
          </cell>
          <cell r="CI88">
            <v>73.400000000000006</v>
          </cell>
          <cell r="CJ88">
            <v>144</v>
          </cell>
          <cell r="CK88">
            <v>50</v>
          </cell>
          <cell r="CL88">
            <v>74.2</v>
          </cell>
          <cell r="CM88">
            <v>93</v>
          </cell>
          <cell r="CN88">
            <v>57</v>
          </cell>
          <cell r="CO88">
            <v>62</v>
          </cell>
          <cell r="CP88">
            <v>90</v>
          </cell>
          <cell r="CQ88">
            <v>26</v>
          </cell>
          <cell r="CR88">
            <v>77.599999999999994</v>
          </cell>
          <cell r="CS88">
            <v>77</v>
          </cell>
          <cell r="CT88">
            <v>31</v>
          </cell>
          <cell r="CU88">
            <v>71.3</v>
          </cell>
          <cell r="CV88">
            <v>80</v>
          </cell>
          <cell r="CW88">
            <v>17</v>
          </cell>
          <cell r="CX88">
            <v>82.5</v>
          </cell>
          <cell r="CY88">
            <v>62</v>
          </cell>
          <cell r="CZ88">
            <v>13</v>
          </cell>
          <cell r="DA88">
            <v>82.7</v>
          </cell>
          <cell r="DB88">
            <v>83</v>
          </cell>
          <cell r="DC88">
            <v>18</v>
          </cell>
          <cell r="DD88">
            <v>82.2</v>
          </cell>
          <cell r="DE88">
            <v>89</v>
          </cell>
          <cell r="DF88">
            <v>40</v>
          </cell>
          <cell r="DG88">
            <v>69</v>
          </cell>
          <cell r="DH88">
            <v>114</v>
          </cell>
          <cell r="DI88">
            <v>47</v>
          </cell>
          <cell r="DJ88">
            <v>70.8</v>
          </cell>
          <cell r="DK88">
            <v>64</v>
          </cell>
          <cell r="DL88">
            <v>53</v>
          </cell>
          <cell r="DM88">
            <v>54.7</v>
          </cell>
          <cell r="DN88">
            <v>60</v>
          </cell>
          <cell r="DO88">
            <v>22</v>
          </cell>
          <cell r="DP88">
            <v>73.2</v>
          </cell>
          <cell r="DQ88">
            <v>56</v>
          </cell>
          <cell r="DR88">
            <v>28</v>
          </cell>
          <cell r="DS88">
            <v>66.7</v>
          </cell>
          <cell r="DT88">
            <v>66.699951171875</v>
          </cell>
          <cell r="DU88">
            <v>66.699951171875</v>
          </cell>
          <cell r="DV88" t="str">
            <v>-</v>
          </cell>
          <cell r="DW88">
            <v>66.699951171875</v>
          </cell>
          <cell r="DX88">
            <v>66.699951171875</v>
          </cell>
          <cell r="DY88" t="str">
            <v>-</v>
          </cell>
          <cell r="DZ88">
            <v>66.699951171875</v>
          </cell>
          <cell r="EA88">
            <v>66.699951171875</v>
          </cell>
          <cell r="EB88" t="str">
            <v>-</v>
          </cell>
          <cell r="EC88">
            <v>66.699951171875</v>
          </cell>
          <cell r="ED88">
            <v>66.699951171875</v>
          </cell>
          <cell r="EE88" t="str">
            <v>-</v>
          </cell>
          <cell r="EF88">
            <v>66.699951171875</v>
          </cell>
          <cell r="EG88">
            <v>66.699951171875</v>
          </cell>
          <cell r="EH88" t="str">
            <v>-</v>
          </cell>
          <cell r="EI88">
            <v>66.699951171875</v>
          </cell>
          <cell r="EJ88">
            <v>66.699951171875</v>
          </cell>
          <cell r="EK88" t="str">
            <v>-</v>
          </cell>
          <cell r="EL88">
            <v>66.699951171875</v>
          </cell>
          <cell r="EM88">
            <v>66.699951171875</v>
          </cell>
          <cell r="EN88" t="str">
            <v>-</v>
          </cell>
          <cell r="EO88">
            <v>66.699951171875</v>
          </cell>
          <cell r="EP88">
            <v>66.699951171875</v>
          </cell>
          <cell r="EQ88" t="str">
            <v>-</v>
          </cell>
          <cell r="ER88">
            <v>4</v>
          </cell>
          <cell r="ES88">
            <v>1</v>
          </cell>
          <cell r="ET88">
            <v>80</v>
          </cell>
          <cell r="EU88">
            <v>1</v>
          </cell>
          <cell r="EV88">
            <v>1</v>
          </cell>
          <cell r="EW88">
            <v>50</v>
          </cell>
          <cell r="EX88">
            <v>2</v>
          </cell>
          <cell r="EY88">
            <v>1</v>
          </cell>
          <cell r="EZ88">
            <v>66.7</v>
          </cell>
          <cell r="FA88">
            <v>3</v>
          </cell>
          <cell r="FB88">
            <v>3</v>
          </cell>
          <cell r="FC88">
            <v>50</v>
          </cell>
          <cell r="FD88">
            <v>12</v>
          </cell>
          <cell r="FE88">
            <v>3</v>
          </cell>
          <cell r="FF88">
            <v>80</v>
          </cell>
          <cell r="FG88">
            <v>13</v>
          </cell>
          <cell r="FH88">
            <v>3</v>
          </cell>
          <cell r="FI88">
            <v>81.3</v>
          </cell>
          <cell r="FJ88">
            <v>3</v>
          </cell>
          <cell r="FK88">
            <v>11</v>
          </cell>
          <cell r="FL88">
            <v>21.4</v>
          </cell>
          <cell r="FM88">
            <v>3</v>
          </cell>
          <cell r="FN88">
            <v>1</v>
          </cell>
          <cell r="FO88">
            <v>75</v>
          </cell>
          <cell r="FP88">
            <v>6</v>
          </cell>
          <cell r="FQ88">
            <v>6</v>
          </cell>
          <cell r="FR88">
            <v>100</v>
          </cell>
          <cell r="FS88">
            <v>1</v>
          </cell>
          <cell r="FT88">
            <v>1</v>
          </cell>
          <cell r="FU88">
            <v>100</v>
          </cell>
          <cell r="FV88">
            <v>1</v>
          </cell>
          <cell r="FW88">
            <v>1</v>
          </cell>
          <cell r="FX88">
            <v>100</v>
          </cell>
          <cell r="FY88">
            <v>100</v>
          </cell>
          <cell r="FZ88">
            <v>100</v>
          </cell>
          <cell r="GA88" t="str">
            <v>-</v>
          </cell>
          <cell r="GB88">
            <v>100</v>
          </cell>
          <cell r="GC88">
            <v>100</v>
          </cell>
          <cell r="GD88" t="str">
            <v>-</v>
          </cell>
          <cell r="GE88">
            <v>100</v>
          </cell>
          <cell r="GF88">
            <v>1</v>
          </cell>
          <cell r="GG88">
            <v>0</v>
          </cell>
          <cell r="GH88">
            <v>0</v>
          </cell>
          <cell r="GI88">
            <v>0</v>
          </cell>
          <cell r="GJ88" t="str">
            <v>-</v>
          </cell>
          <cell r="GK88">
            <v>0</v>
          </cell>
          <cell r="GL88">
            <v>0</v>
          </cell>
          <cell r="GM88" t="str">
            <v>-</v>
          </cell>
          <cell r="GN88">
            <v>102</v>
          </cell>
          <cell r="GO88">
            <v>34</v>
          </cell>
          <cell r="GP88">
            <v>75</v>
          </cell>
          <cell r="GQ88">
            <v>96</v>
          </cell>
          <cell r="GR88">
            <v>24</v>
          </cell>
          <cell r="GS88">
            <v>80</v>
          </cell>
          <cell r="GT88">
            <v>103</v>
          </cell>
          <cell r="GU88">
            <v>64</v>
          </cell>
          <cell r="GV88">
            <v>61.7</v>
          </cell>
          <cell r="GW88">
            <v>102</v>
          </cell>
          <cell r="GX88">
            <v>68</v>
          </cell>
          <cell r="GY88">
            <v>60</v>
          </cell>
          <cell r="GZ88">
            <v>96</v>
          </cell>
          <cell r="HA88">
            <v>55</v>
          </cell>
          <cell r="HB88">
            <v>63.6</v>
          </cell>
          <cell r="HC88">
            <v>76</v>
          </cell>
          <cell r="HD88">
            <v>46</v>
          </cell>
          <cell r="HE88">
            <v>62.3</v>
          </cell>
          <cell r="HF88">
            <v>79</v>
          </cell>
          <cell r="HG88">
            <v>35</v>
          </cell>
          <cell r="HH88">
            <v>69.3</v>
          </cell>
          <cell r="HI88">
            <v>72</v>
          </cell>
          <cell r="HJ88">
            <v>35</v>
          </cell>
          <cell r="HK88">
            <v>67.3</v>
          </cell>
          <cell r="HL88">
            <v>1</v>
          </cell>
          <cell r="HM88">
            <v>2</v>
          </cell>
          <cell r="HN88">
            <v>33.299999999999997</v>
          </cell>
          <cell r="HO88">
            <v>5</v>
          </cell>
          <cell r="HP88">
            <v>2</v>
          </cell>
          <cell r="HQ88">
            <v>71.400000000000006</v>
          </cell>
          <cell r="HR88">
            <v>7</v>
          </cell>
          <cell r="HS88">
            <v>5</v>
          </cell>
          <cell r="HT88">
            <v>58.3</v>
          </cell>
          <cell r="HU88">
            <v>2</v>
          </cell>
          <cell r="HV88">
            <v>1</v>
          </cell>
          <cell r="HW88">
            <v>66.7</v>
          </cell>
          <cell r="HX88">
            <v>3</v>
          </cell>
          <cell r="HY88">
            <v>4</v>
          </cell>
          <cell r="HZ88">
            <v>42.9</v>
          </cell>
          <cell r="IA88">
            <v>3</v>
          </cell>
          <cell r="IB88">
            <v>2</v>
          </cell>
          <cell r="IC88">
            <v>60</v>
          </cell>
          <cell r="ID88">
            <v>4</v>
          </cell>
          <cell r="IE88">
            <v>1</v>
          </cell>
          <cell r="IF88">
            <v>80</v>
          </cell>
          <cell r="IG88">
            <v>80</v>
          </cell>
          <cell r="IH88">
            <v>1</v>
          </cell>
          <cell r="II88">
            <v>0</v>
          </cell>
          <cell r="IJ88">
            <v>6</v>
          </cell>
          <cell r="IK88">
            <v>3</v>
          </cell>
          <cell r="IL88">
            <v>66.7</v>
          </cell>
          <cell r="IM88">
            <v>6</v>
          </cell>
          <cell r="IN88">
            <v>2</v>
          </cell>
          <cell r="IO88">
            <v>75</v>
          </cell>
          <cell r="IP88">
            <v>8</v>
          </cell>
          <cell r="IQ88">
            <v>1</v>
          </cell>
          <cell r="IR88">
            <v>88.9</v>
          </cell>
          <cell r="IS88">
            <v>9</v>
          </cell>
          <cell r="IT88">
            <v>2</v>
          </cell>
          <cell r="IU88">
            <v>81.8</v>
          </cell>
          <cell r="IV88">
            <v>5</v>
          </cell>
          <cell r="IW88">
            <v>4</v>
          </cell>
          <cell r="IX88">
            <v>55.6</v>
          </cell>
          <cell r="IY88">
            <v>8</v>
          </cell>
          <cell r="IZ88">
            <v>2</v>
          </cell>
          <cell r="JA88">
            <v>80</v>
          </cell>
          <cell r="JB88">
            <v>4</v>
          </cell>
          <cell r="JC88">
            <v>4</v>
          </cell>
          <cell r="JD88">
            <v>100</v>
          </cell>
          <cell r="JE88">
            <v>8</v>
          </cell>
          <cell r="JF88">
            <v>1</v>
          </cell>
          <cell r="JG88">
            <v>88.9</v>
          </cell>
          <cell r="JH88">
            <v>0</v>
          </cell>
          <cell r="JI88">
            <v>0</v>
          </cell>
          <cell r="JJ88" t="str">
            <v>-</v>
          </cell>
          <cell r="JK88">
            <v>0</v>
          </cell>
          <cell r="JL88">
            <v>0</v>
          </cell>
          <cell r="JM88" t="str">
            <v>-</v>
          </cell>
          <cell r="JN88">
            <v>0</v>
          </cell>
          <cell r="JO88">
            <v>0</v>
          </cell>
          <cell r="JP88" t="str">
            <v>-</v>
          </cell>
          <cell r="JQ88">
            <v>517</v>
          </cell>
          <cell r="JR88">
            <v>205</v>
          </cell>
          <cell r="JS88">
            <v>71.606648199445985</v>
          </cell>
          <cell r="JT88">
            <v>383</v>
          </cell>
          <cell r="JU88">
            <v>190</v>
          </cell>
          <cell r="JV88">
            <v>66.841186736474683</v>
          </cell>
          <cell r="JW88">
            <v>0</v>
          </cell>
          <cell r="JX88">
            <v>0</v>
          </cell>
          <cell r="JY88" t="str">
            <v>-</v>
          </cell>
          <cell r="JZ88">
            <v>34</v>
          </cell>
          <cell r="KA88">
            <v>21</v>
          </cell>
          <cell r="KB88">
            <v>61.818181818181813</v>
          </cell>
          <cell r="KC88">
            <v>0</v>
          </cell>
          <cell r="KD88">
            <v>1</v>
          </cell>
          <cell r="KE88">
            <v>0</v>
          </cell>
          <cell r="KF88">
            <v>425</v>
          </cell>
          <cell r="KG88">
            <v>239</v>
          </cell>
          <cell r="KH88">
            <v>64.006024096385545</v>
          </cell>
          <cell r="KI88">
            <v>12</v>
          </cell>
          <cell r="KJ88">
            <v>9</v>
          </cell>
          <cell r="KK88">
            <v>57.142857142857139</v>
          </cell>
          <cell r="KL88">
            <v>34</v>
          </cell>
          <cell r="KM88">
            <v>9</v>
          </cell>
          <cell r="KN88">
            <v>79.069767441860463</v>
          </cell>
        </row>
        <row r="89">
          <cell r="C89" t="str">
            <v>Győr-Moson-Sopron Megyei Rendőr-főkapitányság</v>
          </cell>
          <cell r="D89">
            <v>10</v>
          </cell>
          <cell r="E89">
            <v>10</v>
          </cell>
          <cell r="F89">
            <v>100</v>
          </cell>
          <cell r="G89">
            <v>7</v>
          </cell>
          <cell r="H89">
            <v>7</v>
          </cell>
          <cell r="I89">
            <v>100</v>
          </cell>
          <cell r="J89">
            <v>10</v>
          </cell>
          <cell r="K89">
            <v>1</v>
          </cell>
          <cell r="L89">
            <v>90.9</v>
          </cell>
          <cell r="M89">
            <v>10</v>
          </cell>
          <cell r="N89">
            <v>10</v>
          </cell>
          <cell r="O89">
            <v>100</v>
          </cell>
          <cell r="P89">
            <v>4</v>
          </cell>
          <cell r="Q89">
            <v>4</v>
          </cell>
          <cell r="R89">
            <v>100</v>
          </cell>
          <cell r="S89">
            <v>9</v>
          </cell>
          <cell r="T89">
            <v>9</v>
          </cell>
          <cell r="U89">
            <v>100</v>
          </cell>
          <cell r="V89">
            <v>6</v>
          </cell>
          <cell r="W89">
            <v>6</v>
          </cell>
          <cell r="X89">
            <v>100</v>
          </cell>
          <cell r="Y89">
            <v>7</v>
          </cell>
          <cell r="Z89">
            <v>7</v>
          </cell>
          <cell r="AA89">
            <v>100</v>
          </cell>
          <cell r="AB89">
            <v>2</v>
          </cell>
          <cell r="AC89">
            <v>2</v>
          </cell>
          <cell r="AD89">
            <v>100</v>
          </cell>
          <cell r="AE89">
            <v>1</v>
          </cell>
          <cell r="AF89">
            <v>1</v>
          </cell>
          <cell r="AG89">
            <v>100</v>
          </cell>
          <cell r="AH89">
            <v>5</v>
          </cell>
          <cell r="AI89">
            <v>5</v>
          </cell>
          <cell r="AJ89">
            <v>100</v>
          </cell>
          <cell r="AK89">
            <v>6</v>
          </cell>
          <cell r="AL89">
            <v>6</v>
          </cell>
          <cell r="AM89">
            <v>100</v>
          </cell>
          <cell r="AN89">
            <v>2</v>
          </cell>
          <cell r="AO89">
            <v>2</v>
          </cell>
          <cell r="AP89">
            <v>100</v>
          </cell>
          <cell r="AQ89">
            <v>5</v>
          </cell>
          <cell r="AR89">
            <v>5</v>
          </cell>
          <cell r="AS89">
            <v>100</v>
          </cell>
          <cell r="AT89">
            <v>1</v>
          </cell>
          <cell r="AU89">
            <v>1</v>
          </cell>
          <cell r="AV89">
            <v>100</v>
          </cell>
          <cell r="AW89">
            <v>6</v>
          </cell>
          <cell r="AX89">
            <v>6</v>
          </cell>
          <cell r="AY89">
            <v>100</v>
          </cell>
          <cell r="AZ89">
            <v>6</v>
          </cell>
          <cell r="BA89">
            <v>6</v>
          </cell>
          <cell r="BB89">
            <v>100</v>
          </cell>
          <cell r="BC89">
            <v>6</v>
          </cell>
          <cell r="BD89">
            <v>6</v>
          </cell>
          <cell r="BE89">
            <v>100</v>
          </cell>
          <cell r="BF89">
            <v>5</v>
          </cell>
          <cell r="BG89">
            <v>1</v>
          </cell>
          <cell r="BH89">
            <v>83.3</v>
          </cell>
          <cell r="BI89">
            <v>1</v>
          </cell>
          <cell r="BJ89">
            <v>1</v>
          </cell>
          <cell r="BK89">
            <v>100</v>
          </cell>
          <cell r="BL89">
            <v>1</v>
          </cell>
          <cell r="BM89">
            <v>1</v>
          </cell>
          <cell r="BN89">
            <v>100</v>
          </cell>
          <cell r="BO89">
            <v>3</v>
          </cell>
          <cell r="BP89">
            <v>3</v>
          </cell>
          <cell r="BQ89">
            <v>100</v>
          </cell>
          <cell r="BR89">
            <v>3</v>
          </cell>
          <cell r="BS89">
            <v>3</v>
          </cell>
          <cell r="BT89">
            <v>100</v>
          </cell>
          <cell r="BU89">
            <v>1</v>
          </cell>
          <cell r="BV89">
            <v>1</v>
          </cell>
          <cell r="BW89">
            <v>100</v>
          </cell>
          <cell r="BX89">
            <v>548</v>
          </cell>
          <cell r="BY89">
            <v>82</v>
          </cell>
          <cell r="BZ89">
            <v>87</v>
          </cell>
          <cell r="CA89">
            <v>465</v>
          </cell>
          <cell r="CB89">
            <v>88</v>
          </cell>
          <cell r="CC89">
            <v>84.1</v>
          </cell>
          <cell r="CD89">
            <v>496</v>
          </cell>
          <cell r="CE89">
            <v>87</v>
          </cell>
          <cell r="CF89">
            <v>85.1</v>
          </cell>
          <cell r="CG89">
            <v>450</v>
          </cell>
          <cell r="CH89">
            <v>114</v>
          </cell>
          <cell r="CI89">
            <v>79.8</v>
          </cell>
          <cell r="CJ89">
            <v>435</v>
          </cell>
          <cell r="CK89">
            <v>145</v>
          </cell>
          <cell r="CL89">
            <v>75</v>
          </cell>
          <cell r="CM89">
            <v>329</v>
          </cell>
          <cell r="CN89">
            <v>121</v>
          </cell>
          <cell r="CO89">
            <v>73.099999999999994</v>
          </cell>
          <cell r="CP89">
            <v>380</v>
          </cell>
          <cell r="CQ89">
            <v>87</v>
          </cell>
          <cell r="CR89">
            <v>81.400000000000006</v>
          </cell>
          <cell r="CS89">
            <v>410</v>
          </cell>
          <cell r="CT89">
            <v>89</v>
          </cell>
          <cell r="CU89">
            <v>82.2</v>
          </cell>
          <cell r="CV89">
            <v>328</v>
          </cell>
          <cell r="CW89">
            <v>69</v>
          </cell>
          <cell r="CX89">
            <v>82.6</v>
          </cell>
          <cell r="CY89">
            <v>250</v>
          </cell>
          <cell r="CZ89">
            <v>74</v>
          </cell>
          <cell r="DA89">
            <v>77.2</v>
          </cell>
          <cell r="DB89">
            <v>311</v>
          </cell>
          <cell r="DC89">
            <v>72</v>
          </cell>
          <cell r="DD89">
            <v>81.2</v>
          </cell>
          <cell r="DE89">
            <v>265</v>
          </cell>
          <cell r="DF89">
            <v>94</v>
          </cell>
          <cell r="DG89">
            <v>73.8</v>
          </cell>
          <cell r="DH89">
            <v>287</v>
          </cell>
          <cell r="DI89">
            <v>118</v>
          </cell>
          <cell r="DJ89">
            <v>70.900000000000006</v>
          </cell>
          <cell r="DK89">
            <v>218</v>
          </cell>
          <cell r="DL89">
            <v>106</v>
          </cell>
          <cell r="DM89">
            <v>67.3</v>
          </cell>
          <cell r="DN89">
            <v>237</v>
          </cell>
          <cell r="DO89">
            <v>80</v>
          </cell>
          <cell r="DP89">
            <v>74.8</v>
          </cell>
          <cell r="DQ89">
            <v>257</v>
          </cell>
          <cell r="DR89">
            <v>74</v>
          </cell>
          <cell r="DS89">
            <v>77.599999999999994</v>
          </cell>
          <cell r="DT89">
            <v>77.5999755859375</v>
          </cell>
          <cell r="DU89">
            <v>77.5999755859375</v>
          </cell>
          <cell r="DV89" t="str">
            <v>-</v>
          </cell>
          <cell r="DW89">
            <v>1</v>
          </cell>
          <cell r="DX89">
            <v>1</v>
          </cell>
          <cell r="DY89">
            <v>100</v>
          </cell>
          <cell r="DZ89">
            <v>100</v>
          </cell>
          <cell r="EA89">
            <v>1</v>
          </cell>
          <cell r="EB89">
            <v>0</v>
          </cell>
          <cell r="EC89">
            <v>1</v>
          </cell>
          <cell r="ED89">
            <v>1</v>
          </cell>
          <cell r="EE89">
            <v>100</v>
          </cell>
          <cell r="EF89">
            <v>100</v>
          </cell>
          <cell r="EG89">
            <v>100</v>
          </cell>
          <cell r="EH89" t="str">
            <v>-</v>
          </cell>
          <cell r="EI89">
            <v>100</v>
          </cell>
          <cell r="EJ89">
            <v>100</v>
          </cell>
          <cell r="EK89" t="str">
            <v>-</v>
          </cell>
          <cell r="EL89">
            <v>100</v>
          </cell>
          <cell r="EM89">
            <v>100</v>
          </cell>
          <cell r="EN89" t="str">
            <v>-</v>
          </cell>
          <cell r="EO89">
            <v>100</v>
          </cell>
          <cell r="EP89">
            <v>100</v>
          </cell>
          <cell r="EQ89" t="str">
            <v>-</v>
          </cell>
          <cell r="ER89">
            <v>98</v>
          </cell>
          <cell r="ES89">
            <v>15</v>
          </cell>
          <cell r="ET89">
            <v>86.7</v>
          </cell>
          <cell r="EU89">
            <v>63</v>
          </cell>
          <cell r="EV89">
            <v>12</v>
          </cell>
          <cell r="EW89">
            <v>84</v>
          </cell>
          <cell r="EX89">
            <v>55</v>
          </cell>
          <cell r="EY89">
            <v>14</v>
          </cell>
          <cell r="EZ89">
            <v>79.7</v>
          </cell>
          <cell r="FA89">
            <v>44</v>
          </cell>
          <cell r="FB89">
            <v>30</v>
          </cell>
          <cell r="FC89">
            <v>59.5</v>
          </cell>
          <cell r="FD89">
            <v>38</v>
          </cell>
          <cell r="FE89">
            <v>15</v>
          </cell>
          <cell r="FF89">
            <v>71.7</v>
          </cell>
          <cell r="FG89">
            <v>34</v>
          </cell>
          <cell r="FH89">
            <v>13</v>
          </cell>
          <cell r="FI89">
            <v>72.3</v>
          </cell>
          <cell r="FJ89">
            <v>47</v>
          </cell>
          <cell r="FK89">
            <v>23</v>
          </cell>
          <cell r="FL89">
            <v>67.099999999999994</v>
          </cell>
          <cell r="FM89">
            <v>48</v>
          </cell>
          <cell r="FN89">
            <v>6</v>
          </cell>
          <cell r="FO89">
            <v>88.9</v>
          </cell>
          <cell r="FP89">
            <v>38</v>
          </cell>
          <cell r="FQ89">
            <v>2</v>
          </cell>
          <cell r="FR89">
            <v>95</v>
          </cell>
          <cell r="FS89">
            <v>24</v>
          </cell>
          <cell r="FT89">
            <v>1</v>
          </cell>
          <cell r="FU89">
            <v>96</v>
          </cell>
          <cell r="FV89">
            <v>14</v>
          </cell>
          <cell r="FW89">
            <v>3</v>
          </cell>
          <cell r="FX89">
            <v>82.4</v>
          </cell>
          <cell r="FY89">
            <v>58</v>
          </cell>
          <cell r="FZ89">
            <v>3</v>
          </cell>
          <cell r="GA89">
            <v>95.1</v>
          </cell>
          <cell r="GB89">
            <v>61</v>
          </cell>
          <cell r="GC89">
            <v>8</v>
          </cell>
          <cell r="GD89">
            <v>88.4</v>
          </cell>
          <cell r="GE89">
            <v>92</v>
          </cell>
          <cell r="GF89">
            <v>12</v>
          </cell>
          <cell r="GG89">
            <v>88.5</v>
          </cell>
          <cell r="GH89">
            <v>46</v>
          </cell>
          <cell r="GI89">
            <v>5</v>
          </cell>
          <cell r="GJ89">
            <v>90.2</v>
          </cell>
          <cell r="GK89">
            <v>12</v>
          </cell>
          <cell r="GL89">
            <v>12</v>
          </cell>
          <cell r="GM89">
            <v>100</v>
          </cell>
          <cell r="GN89">
            <v>383</v>
          </cell>
          <cell r="GO89">
            <v>88</v>
          </cell>
          <cell r="GP89">
            <v>81.3</v>
          </cell>
          <cell r="GQ89">
            <v>370</v>
          </cell>
          <cell r="GR89">
            <v>78</v>
          </cell>
          <cell r="GS89">
            <v>82.6</v>
          </cell>
          <cell r="GT89">
            <v>373</v>
          </cell>
          <cell r="GU89">
            <v>141</v>
          </cell>
          <cell r="GV89">
            <v>72.599999999999994</v>
          </cell>
          <cell r="GW89">
            <v>367</v>
          </cell>
          <cell r="GX89">
            <v>138</v>
          </cell>
          <cell r="GY89">
            <v>72.7</v>
          </cell>
          <cell r="GZ89">
            <v>287</v>
          </cell>
          <cell r="HA89">
            <v>140</v>
          </cell>
          <cell r="HB89">
            <v>67.2</v>
          </cell>
          <cell r="HC89">
            <v>265</v>
          </cell>
          <cell r="HD89">
            <v>112</v>
          </cell>
          <cell r="HE89">
            <v>70.3</v>
          </cell>
          <cell r="HF89">
            <v>305</v>
          </cell>
          <cell r="HG89">
            <v>80</v>
          </cell>
          <cell r="HH89">
            <v>79.2</v>
          </cell>
          <cell r="HI89">
            <v>289</v>
          </cell>
          <cell r="HJ89">
            <v>80</v>
          </cell>
          <cell r="HK89">
            <v>78.3</v>
          </cell>
          <cell r="HL89">
            <v>36</v>
          </cell>
          <cell r="HM89">
            <v>28</v>
          </cell>
          <cell r="HN89">
            <v>56.3</v>
          </cell>
          <cell r="HO89">
            <v>26</v>
          </cell>
          <cell r="HP89">
            <v>21</v>
          </cell>
          <cell r="HQ89">
            <v>55.3</v>
          </cell>
          <cell r="HR89">
            <v>28</v>
          </cell>
          <cell r="HS89">
            <v>18</v>
          </cell>
          <cell r="HT89">
            <v>60.9</v>
          </cell>
          <cell r="HU89">
            <v>25</v>
          </cell>
          <cell r="HV89">
            <v>17</v>
          </cell>
          <cell r="HW89">
            <v>59.5</v>
          </cell>
          <cell r="HX89">
            <v>13</v>
          </cell>
          <cell r="HY89">
            <v>8</v>
          </cell>
          <cell r="HZ89">
            <v>61.9</v>
          </cell>
          <cell r="IA89">
            <v>18</v>
          </cell>
          <cell r="IB89">
            <v>8</v>
          </cell>
          <cell r="IC89">
            <v>69.2</v>
          </cell>
          <cell r="ID89">
            <v>16</v>
          </cell>
          <cell r="IE89">
            <v>9</v>
          </cell>
          <cell r="IF89">
            <v>64</v>
          </cell>
          <cell r="IG89">
            <v>14</v>
          </cell>
          <cell r="IH89">
            <v>7</v>
          </cell>
          <cell r="II89">
            <v>66.7</v>
          </cell>
          <cell r="IJ89">
            <v>38</v>
          </cell>
          <cell r="IK89">
            <v>10</v>
          </cell>
          <cell r="IL89">
            <v>79.2</v>
          </cell>
          <cell r="IM89">
            <v>44</v>
          </cell>
          <cell r="IN89">
            <v>7</v>
          </cell>
          <cell r="IO89">
            <v>86.3</v>
          </cell>
          <cell r="IP89">
            <v>34</v>
          </cell>
          <cell r="IQ89">
            <v>5</v>
          </cell>
          <cell r="IR89">
            <v>87.2</v>
          </cell>
          <cell r="IS89">
            <v>34</v>
          </cell>
          <cell r="IT89">
            <v>7</v>
          </cell>
          <cell r="IU89">
            <v>82.9</v>
          </cell>
          <cell r="IV89">
            <v>26</v>
          </cell>
          <cell r="IW89">
            <v>13</v>
          </cell>
          <cell r="IX89">
            <v>66.7</v>
          </cell>
          <cell r="IY89">
            <v>35</v>
          </cell>
          <cell r="IZ89">
            <v>6</v>
          </cell>
          <cell r="JA89">
            <v>85.4</v>
          </cell>
          <cell r="JB89">
            <v>24</v>
          </cell>
          <cell r="JC89">
            <v>1</v>
          </cell>
          <cell r="JD89">
            <v>96</v>
          </cell>
          <cell r="JE89">
            <v>19</v>
          </cell>
          <cell r="JF89">
            <v>5</v>
          </cell>
          <cell r="JG89">
            <v>79.2</v>
          </cell>
          <cell r="JH89">
            <v>36</v>
          </cell>
          <cell r="JI89">
            <v>0</v>
          </cell>
          <cell r="JJ89">
            <v>100</v>
          </cell>
          <cell r="JK89">
            <v>20</v>
          </cell>
          <cell r="JL89">
            <v>0</v>
          </cell>
          <cell r="JM89">
            <v>100</v>
          </cell>
          <cell r="JN89">
            <v>9</v>
          </cell>
          <cell r="JO89">
            <v>0</v>
          </cell>
          <cell r="JP89">
            <v>100</v>
          </cell>
          <cell r="JQ89">
            <v>2004</v>
          </cell>
          <cell r="JR89">
            <v>556</v>
          </cell>
          <cell r="JS89">
            <v>78.28125</v>
          </cell>
          <cell r="JT89">
            <v>1264</v>
          </cell>
          <cell r="JU89">
            <v>472</v>
          </cell>
          <cell r="JV89">
            <v>72.811059907834093</v>
          </cell>
          <cell r="JW89">
            <v>1</v>
          </cell>
          <cell r="JX89">
            <v>0</v>
          </cell>
          <cell r="JY89">
            <v>100</v>
          </cell>
          <cell r="JZ89">
            <v>211</v>
          </cell>
          <cell r="KA89">
            <v>87</v>
          </cell>
          <cell r="KB89">
            <v>70.805369127516784</v>
          </cell>
          <cell r="KC89">
            <v>269</v>
          </cell>
          <cell r="KD89">
            <v>28</v>
          </cell>
          <cell r="KE89">
            <v>90.572390572390574</v>
          </cell>
          <cell r="KF89">
            <v>1513</v>
          </cell>
          <cell r="KG89">
            <v>550</v>
          </cell>
          <cell r="KH89">
            <v>73.339796412990793</v>
          </cell>
          <cell r="KI89">
            <v>86</v>
          </cell>
          <cell r="KJ89">
            <v>49</v>
          </cell>
          <cell r="KK89">
            <v>63.703703703703709</v>
          </cell>
          <cell r="KL89">
            <v>138</v>
          </cell>
          <cell r="KM89">
            <v>32</v>
          </cell>
          <cell r="KN89">
            <v>81.17647058823529</v>
          </cell>
        </row>
        <row r="90">
          <cell r="C90" t="str">
            <v>Hajdú-Bihar MRFK Központ</v>
          </cell>
          <cell r="D90">
            <v>16</v>
          </cell>
          <cell r="E90">
            <v>16</v>
          </cell>
          <cell r="F90">
            <v>100</v>
          </cell>
          <cell r="G90">
            <v>14</v>
          </cell>
          <cell r="H90">
            <v>2</v>
          </cell>
          <cell r="I90">
            <v>87.5</v>
          </cell>
          <cell r="J90">
            <v>12</v>
          </cell>
          <cell r="K90">
            <v>12</v>
          </cell>
          <cell r="L90">
            <v>100</v>
          </cell>
          <cell r="M90">
            <v>9</v>
          </cell>
          <cell r="N90">
            <v>9</v>
          </cell>
          <cell r="O90">
            <v>100</v>
          </cell>
          <cell r="P90">
            <v>16</v>
          </cell>
          <cell r="Q90">
            <v>1</v>
          </cell>
          <cell r="R90">
            <v>94.1</v>
          </cell>
          <cell r="S90">
            <v>10</v>
          </cell>
          <cell r="T90">
            <v>10</v>
          </cell>
          <cell r="U90">
            <v>100</v>
          </cell>
          <cell r="V90">
            <v>14</v>
          </cell>
          <cell r="W90">
            <v>1</v>
          </cell>
          <cell r="X90">
            <v>93.3</v>
          </cell>
          <cell r="Y90">
            <v>10</v>
          </cell>
          <cell r="Z90">
            <v>10</v>
          </cell>
          <cell r="AA90">
            <v>100</v>
          </cell>
          <cell r="AB90">
            <v>4</v>
          </cell>
          <cell r="AC90">
            <v>4</v>
          </cell>
          <cell r="AD90">
            <v>100</v>
          </cell>
          <cell r="AE90">
            <v>9</v>
          </cell>
          <cell r="AF90">
            <v>2</v>
          </cell>
          <cell r="AG90">
            <v>81.8</v>
          </cell>
          <cell r="AH90">
            <v>6</v>
          </cell>
          <cell r="AI90">
            <v>6</v>
          </cell>
          <cell r="AJ90">
            <v>100</v>
          </cell>
          <cell r="AK90">
            <v>3</v>
          </cell>
          <cell r="AL90">
            <v>3</v>
          </cell>
          <cell r="AM90">
            <v>100</v>
          </cell>
          <cell r="AN90">
            <v>9</v>
          </cell>
          <cell r="AO90">
            <v>9</v>
          </cell>
          <cell r="AP90">
            <v>100</v>
          </cell>
          <cell r="AQ90">
            <v>4</v>
          </cell>
          <cell r="AR90">
            <v>4</v>
          </cell>
          <cell r="AS90">
            <v>100</v>
          </cell>
          <cell r="AT90">
            <v>5</v>
          </cell>
          <cell r="AU90">
            <v>1</v>
          </cell>
          <cell r="AV90">
            <v>83.3</v>
          </cell>
          <cell r="AW90">
            <v>4</v>
          </cell>
          <cell r="AX90">
            <v>4</v>
          </cell>
          <cell r="AY90">
            <v>100</v>
          </cell>
          <cell r="AZ90">
            <v>10</v>
          </cell>
          <cell r="BA90">
            <v>10</v>
          </cell>
          <cell r="BB90">
            <v>100</v>
          </cell>
          <cell r="BC90">
            <v>4</v>
          </cell>
          <cell r="BD90">
            <v>4</v>
          </cell>
          <cell r="BE90">
            <v>100</v>
          </cell>
          <cell r="BF90">
            <v>5</v>
          </cell>
          <cell r="BG90">
            <v>5</v>
          </cell>
          <cell r="BH90">
            <v>100</v>
          </cell>
          <cell r="BI90">
            <v>5</v>
          </cell>
          <cell r="BJ90">
            <v>5</v>
          </cell>
          <cell r="BK90">
            <v>100</v>
          </cell>
          <cell r="BL90">
            <v>7</v>
          </cell>
          <cell r="BM90">
            <v>1</v>
          </cell>
          <cell r="BN90">
            <v>87.5</v>
          </cell>
          <cell r="BO90">
            <v>5</v>
          </cell>
          <cell r="BP90">
            <v>5</v>
          </cell>
          <cell r="BQ90">
            <v>100</v>
          </cell>
          <cell r="BR90">
            <v>8</v>
          </cell>
          <cell r="BS90">
            <v>8</v>
          </cell>
          <cell r="BT90">
            <v>100</v>
          </cell>
          <cell r="BU90">
            <v>6</v>
          </cell>
          <cell r="BV90">
            <v>6</v>
          </cell>
          <cell r="BW90">
            <v>100</v>
          </cell>
          <cell r="BX90">
            <v>18</v>
          </cell>
          <cell r="BY90">
            <v>4</v>
          </cell>
          <cell r="BZ90">
            <v>81.8</v>
          </cell>
          <cell r="CA90">
            <v>19</v>
          </cell>
          <cell r="CB90">
            <v>7</v>
          </cell>
          <cell r="CC90">
            <v>73.099999999999994</v>
          </cell>
          <cell r="CD90">
            <v>31</v>
          </cell>
          <cell r="CE90">
            <v>5</v>
          </cell>
          <cell r="CF90">
            <v>86.1</v>
          </cell>
          <cell r="CG90">
            <v>27</v>
          </cell>
          <cell r="CH90">
            <v>4</v>
          </cell>
          <cell r="CI90">
            <v>87.1</v>
          </cell>
          <cell r="CJ90">
            <v>19</v>
          </cell>
          <cell r="CK90">
            <v>7</v>
          </cell>
          <cell r="CL90">
            <v>73.099999999999994</v>
          </cell>
          <cell r="CM90">
            <v>25</v>
          </cell>
          <cell r="CN90">
            <v>5</v>
          </cell>
          <cell r="CO90">
            <v>83.3</v>
          </cell>
          <cell r="CP90">
            <v>28</v>
          </cell>
          <cell r="CQ90">
            <v>3</v>
          </cell>
          <cell r="CR90">
            <v>90.3</v>
          </cell>
          <cell r="CS90">
            <v>15</v>
          </cell>
          <cell r="CT90">
            <v>15</v>
          </cell>
          <cell r="CU90">
            <v>100</v>
          </cell>
          <cell r="CV90">
            <v>17</v>
          </cell>
          <cell r="CW90">
            <v>4</v>
          </cell>
          <cell r="CX90">
            <v>81</v>
          </cell>
          <cell r="CY90">
            <v>17</v>
          </cell>
          <cell r="CZ90">
            <v>7</v>
          </cell>
          <cell r="DA90">
            <v>70.8</v>
          </cell>
          <cell r="DB90">
            <v>29</v>
          </cell>
          <cell r="DC90">
            <v>4</v>
          </cell>
          <cell r="DD90">
            <v>87.9</v>
          </cell>
          <cell r="DE90">
            <v>25</v>
          </cell>
          <cell r="DF90">
            <v>4</v>
          </cell>
          <cell r="DG90">
            <v>86.2</v>
          </cell>
          <cell r="DH90">
            <v>16</v>
          </cell>
          <cell r="DI90">
            <v>5</v>
          </cell>
          <cell r="DJ90">
            <v>76.2</v>
          </cell>
          <cell r="DK90">
            <v>25</v>
          </cell>
          <cell r="DL90">
            <v>5</v>
          </cell>
          <cell r="DM90">
            <v>83.3</v>
          </cell>
          <cell r="DN90">
            <v>26</v>
          </cell>
          <cell r="DO90">
            <v>3</v>
          </cell>
          <cell r="DP90">
            <v>89.7</v>
          </cell>
          <cell r="DQ90">
            <v>13</v>
          </cell>
          <cell r="DR90">
            <v>13</v>
          </cell>
          <cell r="DS90">
            <v>100</v>
          </cell>
          <cell r="DT90">
            <v>1</v>
          </cell>
          <cell r="DU90">
            <v>2</v>
          </cell>
          <cell r="DV90">
            <v>33.299999999999997</v>
          </cell>
          <cell r="DW90">
            <v>1</v>
          </cell>
          <cell r="DX90">
            <v>1</v>
          </cell>
          <cell r="DY90">
            <v>100</v>
          </cell>
          <cell r="DZ90">
            <v>2</v>
          </cell>
          <cell r="EA90">
            <v>2</v>
          </cell>
          <cell r="EB90">
            <v>50</v>
          </cell>
          <cell r="EC90">
            <v>1</v>
          </cell>
          <cell r="ED90">
            <v>1</v>
          </cell>
          <cell r="EE90">
            <v>50</v>
          </cell>
          <cell r="EF90">
            <v>1</v>
          </cell>
          <cell r="EG90">
            <v>1</v>
          </cell>
          <cell r="EH90">
            <v>50</v>
          </cell>
          <cell r="EI90">
            <v>1</v>
          </cell>
          <cell r="EJ90">
            <v>1</v>
          </cell>
          <cell r="EK90">
            <v>100</v>
          </cell>
          <cell r="EL90">
            <v>1</v>
          </cell>
          <cell r="EM90">
            <v>1</v>
          </cell>
          <cell r="EN90">
            <v>100</v>
          </cell>
          <cell r="EO90">
            <v>100</v>
          </cell>
          <cell r="EP90">
            <v>100</v>
          </cell>
          <cell r="EQ90" t="str">
            <v>-</v>
          </cell>
          <cell r="ER90">
            <v>7</v>
          </cell>
          <cell r="ES90">
            <v>7</v>
          </cell>
          <cell r="ET90">
            <v>100</v>
          </cell>
          <cell r="EU90">
            <v>7</v>
          </cell>
          <cell r="EV90">
            <v>7</v>
          </cell>
          <cell r="EW90">
            <v>100</v>
          </cell>
          <cell r="EX90">
            <v>4</v>
          </cell>
          <cell r="EY90">
            <v>1</v>
          </cell>
          <cell r="EZ90">
            <v>80</v>
          </cell>
          <cell r="FA90">
            <v>80</v>
          </cell>
          <cell r="FB90">
            <v>80</v>
          </cell>
          <cell r="FC90" t="str">
            <v>-</v>
          </cell>
          <cell r="FD90">
            <v>6</v>
          </cell>
          <cell r="FE90">
            <v>6</v>
          </cell>
          <cell r="FF90">
            <v>100</v>
          </cell>
          <cell r="FG90">
            <v>24</v>
          </cell>
          <cell r="FH90">
            <v>24</v>
          </cell>
          <cell r="FI90">
            <v>100</v>
          </cell>
          <cell r="FJ90">
            <v>12</v>
          </cell>
          <cell r="FK90">
            <v>12</v>
          </cell>
          <cell r="FL90">
            <v>100</v>
          </cell>
          <cell r="FM90">
            <v>4</v>
          </cell>
          <cell r="FN90">
            <v>7</v>
          </cell>
          <cell r="FO90">
            <v>36.4</v>
          </cell>
          <cell r="FP90">
            <v>7</v>
          </cell>
          <cell r="FQ90">
            <v>1</v>
          </cell>
          <cell r="FR90">
            <v>87.5</v>
          </cell>
          <cell r="FS90">
            <v>2</v>
          </cell>
          <cell r="FT90">
            <v>2</v>
          </cell>
          <cell r="FU90">
            <v>50</v>
          </cell>
          <cell r="FV90">
            <v>5</v>
          </cell>
          <cell r="FW90">
            <v>2</v>
          </cell>
          <cell r="FX90">
            <v>71.400000000000006</v>
          </cell>
          <cell r="FY90">
            <v>5</v>
          </cell>
          <cell r="FZ90">
            <v>1</v>
          </cell>
          <cell r="GA90">
            <v>83.3</v>
          </cell>
          <cell r="GB90">
            <v>2</v>
          </cell>
          <cell r="GC90">
            <v>2</v>
          </cell>
          <cell r="GD90">
            <v>100</v>
          </cell>
          <cell r="GE90">
            <v>9</v>
          </cell>
          <cell r="GF90">
            <v>3</v>
          </cell>
          <cell r="GG90">
            <v>75</v>
          </cell>
          <cell r="GH90">
            <v>75</v>
          </cell>
          <cell r="GI90">
            <v>75</v>
          </cell>
          <cell r="GJ90" t="str">
            <v>-</v>
          </cell>
          <cell r="GK90">
            <v>1</v>
          </cell>
          <cell r="GL90">
            <v>1</v>
          </cell>
          <cell r="GM90">
            <v>100</v>
          </cell>
          <cell r="GN90">
            <v>3</v>
          </cell>
          <cell r="GO90">
            <v>3</v>
          </cell>
          <cell r="GP90">
            <v>100</v>
          </cell>
          <cell r="GQ90">
            <v>3</v>
          </cell>
          <cell r="GR90">
            <v>3</v>
          </cell>
          <cell r="GS90">
            <v>100</v>
          </cell>
          <cell r="GT90">
            <v>7</v>
          </cell>
          <cell r="GU90">
            <v>7</v>
          </cell>
          <cell r="GV90">
            <v>100</v>
          </cell>
          <cell r="GW90">
            <v>3</v>
          </cell>
          <cell r="GX90">
            <v>3</v>
          </cell>
          <cell r="GY90">
            <v>100</v>
          </cell>
          <cell r="GZ90">
            <v>2</v>
          </cell>
          <cell r="HA90">
            <v>2</v>
          </cell>
          <cell r="HB90">
            <v>50</v>
          </cell>
          <cell r="HC90">
            <v>2</v>
          </cell>
          <cell r="HD90">
            <v>3</v>
          </cell>
          <cell r="HE90">
            <v>40</v>
          </cell>
          <cell r="HF90">
            <v>3</v>
          </cell>
          <cell r="HG90">
            <v>3</v>
          </cell>
          <cell r="HH90">
            <v>100</v>
          </cell>
          <cell r="HI90">
            <v>2</v>
          </cell>
          <cell r="HJ90">
            <v>1</v>
          </cell>
          <cell r="HK90">
            <v>66.7</v>
          </cell>
          <cell r="HL90">
            <v>1</v>
          </cell>
          <cell r="HM90">
            <v>1</v>
          </cell>
          <cell r="HN90">
            <v>100</v>
          </cell>
          <cell r="HO90">
            <v>100</v>
          </cell>
          <cell r="HP90">
            <v>100</v>
          </cell>
          <cell r="HQ90" t="str">
            <v>-</v>
          </cell>
          <cell r="HR90">
            <v>100</v>
          </cell>
          <cell r="HS90">
            <v>100</v>
          </cell>
          <cell r="HT90" t="str">
            <v>-</v>
          </cell>
          <cell r="HU90">
            <v>100</v>
          </cell>
          <cell r="HV90">
            <v>1</v>
          </cell>
          <cell r="HW90">
            <v>0</v>
          </cell>
          <cell r="HX90">
            <v>0</v>
          </cell>
          <cell r="HY90">
            <v>0</v>
          </cell>
          <cell r="HZ90" t="str">
            <v>-</v>
          </cell>
          <cell r="IA90">
            <v>0</v>
          </cell>
          <cell r="IB90">
            <v>0</v>
          </cell>
          <cell r="IC90" t="str">
            <v>-</v>
          </cell>
          <cell r="ID90">
            <v>0</v>
          </cell>
          <cell r="IE90">
            <v>0</v>
          </cell>
          <cell r="IF90" t="str">
            <v>-</v>
          </cell>
          <cell r="IG90">
            <v>0</v>
          </cell>
          <cell r="IH90">
            <v>0</v>
          </cell>
          <cell r="II90" t="str">
            <v>-</v>
          </cell>
          <cell r="IJ90">
            <v>24</v>
          </cell>
          <cell r="IK90">
            <v>2</v>
          </cell>
          <cell r="IL90">
            <v>92.3</v>
          </cell>
          <cell r="IM90">
            <v>21</v>
          </cell>
          <cell r="IN90">
            <v>1</v>
          </cell>
          <cell r="IO90">
            <v>95.5</v>
          </cell>
          <cell r="IP90">
            <v>34</v>
          </cell>
          <cell r="IQ90">
            <v>34</v>
          </cell>
          <cell r="IR90">
            <v>100</v>
          </cell>
          <cell r="IS90">
            <v>16</v>
          </cell>
          <cell r="IT90">
            <v>1</v>
          </cell>
          <cell r="IU90">
            <v>94.1</v>
          </cell>
          <cell r="IV90">
            <v>15</v>
          </cell>
          <cell r="IW90">
            <v>1</v>
          </cell>
          <cell r="IX90">
            <v>93.8</v>
          </cell>
          <cell r="IY90">
            <v>19</v>
          </cell>
          <cell r="IZ90">
            <v>1</v>
          </cell>
          <cell r="JA90">
            <v>95</v>
          </cell>
          <cell r="JB90">
            <v>10</v>
          </cell>
          <cell r="JC90">
            <v>10</v>
          </cell>
          <cell r="JD90">
            <v>100</v>
          </cell>
          <cell r="JE90">
            <v>18</v>
          </cell>
          <cell r="JF90">
            <v>2</v>
          </cell>
          <cell r="JG90">
            <v>90</v>
          </cell>
          <cell r="JH90">
            <v>59</v>
          </cell>
          <cell r="JI90">
            <v>2</v>
          </cell>
          <cell r="JJ90">
            <v>96.721311475409834</v>
          </cell>
          <cell r="JK90">
            <v>25</v>
          </cell>
          <cell r="JL90">
            <v>1</v>
          </cell>
          <cell r="JM90">
            <v>96.15384615384616</v>
          </cell>
          <cell r="JN90">
            <v>31</v>
          </cell>
          <cell r="JO90">
            <v>1</v>
          </cell>
          <cell r="JP90">
            <v>96.875</v>
          </cell>
          <cell r="JQ90">
            <v>114</v>
          </cell>
          <cell r="JR90">
            <v>19</v>
          </cell>
          <cell r="JS90">
            <v>85.714285714285708</v>
          </cell>
          <cell r="JT90">
            <v>105</v>
          </cell>
          <cell r="JU90">
            <v>17</v>
          </cell>
          <cell r="JV90">
            <v>86.065573770491795</v>
          </cell>
          <cell r="JW90">
            <v>4</v>
          </cell>
          <cell r="JX90">
            <v>2</v>
          </cell>
          <cell r="JY90">
            <v>66.666666666666657</v>
          </cell>
          <cell r="JZ90">
            <v>46</v>
          </cell>
          <cell r="KA90">
            <v>7</v>
          </cell>
          <cell r="KB90">
            <v>86.79245283018868</v>
          </cell>
          <cell r="KC90">
            <v>17</v>
          </cell>
          <cell r="KD90">
            <v>4</v>
          </cell>
          <cell r="KE90">
            <v>80.952380952380949</v>
          </cell>
          <cell r="KF90">
            <v>12</v>
          </cell>
          <cell r="KG90">
            <v>6</v>
          </cell>
          <cell r="KH90">
            <v>66.666666666666657</v>
          </cell>
          <cell r="KI90">
            <v>0</v>
          </cell>
          <cell r="KJ90">
            <v>1</v>
          </cell>
          <cell r="KK90">
            <v>0</v>
          </cell>
          <cell r="KL90">
            <v>78</v>
          </cell>
          <cell r="KM90">
            <v>5</v>
          </cell>
          <cell r="KN90">
            <v>93.975903614457835</v>
          </cell>
        </row>
        <row r="91">
          <cell r="C91" t="str">
            <v>Debreceni Rendőrkapitányság</v>
          </cell>
          <cell r="D91">
            <v>93.97589111328125</v>
          </cell>
          <cell r="E91">
            <v>93.97589111328125</v>
          </cell>
          <cell r="F91" t="str">
            <v>-</v>
          </cell>
          <cell r="G91">
            <v>93.97589111328125</v>
          </cell>
          <cell r="H91">
            <v>93.97589111328125</v>
          </cell>
          <cell r="I91" t="str">
            <v>-</v>
          </cell>
          <cell r="J91">
            <v>93.97589111328125</v>
          </cell>
          <cell r="K91">
            <v>93.97589111328125</v>
          </cell>
          <cell r="L91" t="str">
            <v>-</v>
          </cell>
          <cell r="M91">
            <v>93.97589111328125</v>
          </cell>
          <cell r="N91">
            <v>93.97589111328125</v>
          </cell>
          <cell r="O91" t="str">
            <v>-</v>
          </cell>
          <cell r="P91">
            <v>93.97589111328125</v>
          </cell>
          <cell r="Q91">
            <v>93.97589111328125</v>
          </cell>
          <cell r="R91" t="str">
            <v>-</v>
          </cell>
          <cell r="S91">
            <v>93.97589111328125</v>
          </cell>
          <cell r="T91">
            <v>93.97589111328125</v>
          </cell>
          <cell r="U91" t="str">
            <v>-</v>
          </cell>
          <cell r="V91">
            <v>93.97589111328125</v>
          </cell>
          <cell r="W91">
            <v>93.97589111328125</v>
          </cell>
          <cell r="X91" t="str">
            <v>-</v>
          </cell>
          <cell r="Y91">
            <v>93.97589111328125</v>
          </cell>
          <cell r="Z91">
            <v>93.97589111328125</v>
          </cell>
          <cell r="AA91" t="str">
            <v>-</v>
          </cell>
          <cell r="AB91">
            <v>93.97589111328125</v>
          </cell>
          <cell r="AC91">
            <v>93.97589111328125</v>
          </cell>
          <cell r="AD91" t="str">
            <v>-</v>
          </cell>
          <cell r="AE91">
            <v>93.97589111328125</v>
          </cell>
          <cell r="AF91">
            <v>93.97589111328125</v>
          </cell>
          <cell r="AG91" t="str">
            <v>-</v>
          </cell>
          <cell r="AH91">
            <v>93.97589111328125</v>
          </cell>
          <cell r="AI91">
            <v>93.97589111328125</v>
          </cell>
          <cell r="AJ91" t="str">
            <v>-</v>
          </cell>
          <cell r="AK91">
            <v>93.97589111328125</v>
          </cell>
          <cell r="AL91">
            <v>93.97589111328125</v>
          </cell>
          <cell r="AM91" t="str">
            <v>-</v>
          </cell>
          <cell r="AN91">
            <v>93.97589111328125</v>
          </cell>
          <cell r="AO91">
            <v>93.97589111328125</v>
          </cell>
          <cell r="AP91" t="str">
            <v>-</v>
          </cell>
          <cell r="AQ91">
            <v>93.97589111328125</v>
          </cell>
          <cell r="AR91">
            <v>93.97589111328125</v>
          </cell>
          <cell r="AS91" t="str">
            <v>-</v>
          </cell>
          <cell r="AT91">
            <v>93.97589111328125</v>
          </cell>
          <cell r="AU91">
            <v>93.97589111328125</v>
          </cell>
          <cell r="AV91" t="str">
            <v>-</v>
          </cell>
          <cell r="AW91">
            <v>93.97589111328125</v>
          </cell>
          <cell r="AX91">
            <v>93.97589111328125</v>
          </cell>
          <cell r="AY91" t="str">
            <v>-</v>
          </cell>
          <cell r="AZ91">
            <v>93.97589111328125</v>
          </cell>
          <cell r="BA91">
            <v>93.97589111328125</v>
          </cell>
          <cell r="BB91" t="str">
            <v>-</v>
          </cell>
          <cell r="BC91">
            <v>93.97589111328125</v>
          </cell>
          <cell r="BD91">
            <v>93.97589111328125</v>
          </cell>
          <cell r="BE91" t="str">
            <v>-</v>
          </cell>
          <cell r="BF91">
            <v>93.97589111328125</v>
          </cell>
          <cell r="BG91">
            <v>93.97589111328125</v>
          </cell>
          <cell r="BH91" t="str">
            <v>-</v>
          </cell>
          <cell r="BI91">
            <v>93.97589111328125</v>
          </cell>
          <cell r="BJ91">
            <v>93.97589111328125</v>
          </cell>
          <cell r="BK91" t="str">
            <v>-</v>
          </cell>
          <cell r="BL91">
            <v>93.97589111328125</v>
          </cell>
          <cell r="BM91">
            <v>93.97589111328125</v>
          </cell>
          <cell r="BN91" t="str">
            <v>-</v>
          </cell>
          <cell r="BO91">
            <v>93.97589111328125</v>
          </cell>
          <cell r="BP91">
            <v>93.97589111328125</v>
          </cell>
          <cell r="BQ91" t="str">
            <v>-</v>
          </cell>
          <cell r="BR91">
            <v>93.97589111328125</v>
          </cell>
          <cell r="BS91">
            <v>93.97589111328125</v>
          </cell>
          <cell r="BT91" t="str">
            <v>-</v>
          </cell>
          <cell r="BU91">
            <v>93.97589111328125</v>
          </cell>
          <cell r="BV91">
            <v>93.97589111328125</v>
          </cell>
          <cell r="BW91" t="str">
            <v>-</v>
          </cell>
          <cell r="BX91">
            <v>394</v>
          </cell>
          <cell r="BY91">
            <v>95</v>
          </cell>
          <cell r="BZ91">
            <v>80.599999999999994</v>
          </cell>
          <cell r="CA91">
            <v>374</v>
          </cell>
          <cell r="CB91">
            <v>140</v>
          </cell>
          <cell r="CC91">
            <v>72.8</v>
          </cell>
          <cell r="CD91">
            <v>331</v>
          </cell>
          <cell r="CE91">
            <v>108</v>
          </cell>
          <cell r="CF91">
            <v>75.400000000000006</v>
          </cell>
          <cell r="CG91">
            <v>333</v>
          </cell>
          <cell r="CH91">
            <v>96</v>
          </cell>
          <cell r="CI91">
            <v>77.599999999999994</v>
          </cell>
          <cell r="CJ91">
            <v>283</v>
          </cell>
          <cell r="CK91">
            <v>72</v>
          </cell>
          <cell r="CL91">
            <v>79.7</v>
          </cell>
          <cell r="CM91">
            <v>201</v>
          </cell>
          <cell r="CN91">
            <v>93</v>
          </cell>
          <cell r="CO91">
            <v>68.400000000000006</v>
          </cell>
          <cell r="CP91">
            <v>213</v>
          </cell>
          <cell r="CQ91">
            <v>87</v>
          </cell>
          <cell r="CR91">
            <v>71</v>
          </cell>
          <cell r="CS91">
            <v>227</v>
          </cell>
          <cell r="CT91">
            <v>60</v>
          </cell>
          <cell r="CU91">
            <v>79.099999999999994</v>
          </cell>
          <cell r="CV91">
            <v>301</v>
          </cell>
          <cell r="CW91">
            <v>83</v>
          </cell>
          <cell r="CX91">
            <v>78.400000000000006</v>
          </cell>
          <cell r="CY91">
            <v>297</v>
          </cell>
          <cell r="CZ91">
            <v>129</v>
          </cell>
          <cell r="DA91">
            <v>69.7</v>
          </cell>
          <cell r="DB91">
            <v>226</v>
          </cell>
          <cell r="DC91">
            <v>94</v>
          </cell>
          <cell r="DD91">
            <v>70.599999999999994</v>
          </cell>
          <cell r="DE91">
            <v>262</v>
          </cell>
          <cell r="DF91">
            <v>88</v>
          </cell>
          <cell r="DG91">
            <v>74.900000000000006</v>
          </cell>
          <cell r="DH91">
            <v>227</v>
          </cell>
          <cell r="DI91">
            <v>70</v>
          </cell>
          <cell r="DJ91">
            <v>76.400000000000006</v>
          </cell>
          <cell r="DK91">
            <v>144</v>
          </cell>
          <cell r="DL91">
            <v>81</v>
          </cell>
          <cell r="DM91">
            <v>64</v>
          </cell>
          <cell r="DN91">
            <v>159</v>
          </cell>
          <cell r="DO91">
            <v>78</v>
          </cell>
          <cell r="DP91">
            <v>67.099999999999994</v>
          </cell>
          <cell r="DQ91">
            <v>173</v>
          </cell>
          <cell r="DR91">
            <v>51</v>
          </cell>
          <cell r="DS91">
            <v>77.2</v>
          </cell>
          <cell r="DT91">
            <v>77.199951171875</v>
          </cell>
          <cell r="DU91">
            <v>77.199951171875</v>
          </cell>
          <cell r="DV91" t="str">
            <v>-</v>
          </cell>
          <cell r="DW91">
            <v>77.199951171875</v>
          </cell>
          <cell r="DX91">
            <v>77.199951171875</v>
          </cell>
          <cell r="DY91" t="str">
            <v>-</v>
          </cell>
          <cell r="DZ91">
            <v>77.199951171875</v>
          </cell>
          <cell r="EA91">
            <v>77.199951171875</v>
          </cell>
          <cell r="EB91" t="str">
            <v>-</v>
          </cell>
          <cell r="EC91">
            <v>77.199951171875</v>
          </cell>
          <cell r="ED91">
            <v>77.199951171875</v>
          </cell>
          <cell r="EE91" t="str">
            <v>-</v>
          </cell>
          <cell r="EF91">
            <v>77.199951171875</v>
          </cell>
          <cell r="EG91">
            <v>77.199951171875</v>
          </cell>
          <cell r="EH91" t="str">
            <v>-</v>
          </cell>
          <cell r="EI91">
            <v>77.199951171875</v>
          </cell>
          <cell r="EJ91">
            <v>77.199951171875</v>
          </cell>
          <cell r="EK91" t="str">
            <v>-</v>
          </cell>
          <cell r="EL91">
            <v>77.199951171875</v>
          </cell>
          <cell r="EM91">
            <v>77.199951171875</v>
          </cell>
          <cell r="EN91" t="str">
            <v>-</v>
          </cell>
          <cell r="EO91">
            <v>77.199951171875</v>
          </cell>
          <cell r="EP91">
            <v>77.199951171875</v>
          </cell>
          <cell r="EQ91" t="str">
            <v>-</v>
          </cell>
          <cell r="ER91">
            <v>21</v>
          </cell>
          <cell r="ES91">
            <v>19</v>
          </cell>
          <cell r="ET91">
            <v>52.5</v>
          </cell>
          <cell r="EU91">
            <v>27</v>
          </cell>
          <cell r="EV91">
            <v>9</v>
          </cell>
          <cell r="EW91">
            <v>75</v>
          </cell>
          <cell r="EX91">
            <v>17</v>
          </cell>
          <cell r="EY91">
            <v>13</v>
          </cell>
          <cell r="EZ91">
            <v>56.7</v>
          </cell>
          <cell r="FA91">
            <v>24</v>
          </cell>
          <cell r="FB91">
            <v>15</v>
          </cell>
          <cell r="FC91">
            <v>61.5</v>
          </cell>
          <cell r="FD91">
            <v>14</v>
          </cell>
          <cell r="FE91">
            <v>14</v>
          </cell>
          <cell r="FF91">
            <v>50</v>
          </cell>
          <cell r="FG91">
            <v>14</v>
          </cell>
          <cell r="FH91">
            <v>10</v>
          </cell>
          <cell r="FI91">
            <v>58.3</v>
          </cell>
          <cell r="FJ91">
            <v>23</v>
          </cell>
          <cell r="FK91">
            <v>10</v>
          </cell>
          <cell r="FL91">
            <v>69.7</v>
          </cell>
          <cell r="FM91">
            <v>10</v>
          </cell>
          <cell r="FN91">
            <v>3</v>
          </cell>
          <cell r="FO91">
            <v>76.900000000000006</v>
          </cell>
          <cell r="FP91">
            <v>76.89996337890625</v>
          </cell>
          <cell r="FQ91">
            <v>76.89996337890625</v>
          </cell>
          <cell r="FR91" t="str">
            <v>-</v>
          </cell>
          <cell r="FS91">
            <v>76.89996337890625</v>
          </cell>
          <cell r="FT91">
            <v>76.89996337890625</v>
          </cell>
          <cell r="FU91" t="str">
            <v>-</v>
          </cell>
          <cell r="FV91">
            <v>76.89996337890625</v>
          </cell>
          <cell r="FW91">
            <v>76.89996337890625</v>
          </cell>
          <cell r="FX91" t="str">
            <v>-</v>
          </cell>
          <cell r="FY91">
            <v>76.89996337890625</v>
          </cell>
          <cell r="FZ91">
            <v>76.89996337890625</v>
          </cell>
          <cell r="GA91" t="str">
            <v>-</v>
          </cell>
          <cell r="GB91">
            <v>76.89996337890625</v>
          </cell>
          <cell r="GC91">
            <v>76.89996337890625</v>
          </cell>
          <cell r="GD91" t="str">
            <v>-</v>
          </cell>
          <cell r="GE91">
            <v>76.89996337890625</v>
          </cell>
          <cell r="GF91">
            <v>76.89996337890625</v>
          </cell>
          <cell r="GG91" t="str">
            <v>-</v>
          </cell>
          <cell r="GH91">
            <v>76.89996337890625</v>
          </cell>
          <cell r="GI91">
            <v>76.89996337890625</v>
          </cell>
          <cell r="GJ91" t="str">
            <v>-</v>
          </cell>
          <cell r="GK91">
            <v>76.89996337890625</v>
          </cell>
          <cell r="GL91">
            <v>76.89996337890625</v>
          </cell>
          <cell r="GM91" t="str">
            <v>-</v>
          </cell>
          <cell r="GN91">
            <v>293</v>
          </cell>
          <cell r="GO91">
            <v>114</v>
          </cell>
          <cell r="GP91">
            <v>72</v>
          </cell>
          <cell r="GQ91">
            <v>343</v>
          </cell>
          <cell r="GR91">
            <v>135</v>
          </cell>
          <cell r="GS91">
            <v>71.8</v>
          </cell>
          <cell r="GT91">
            <v>259</v>
          </cell>
          <cell r="GU91">
            <v>148</v>
          </cell>
          <cell r="GV91">
            <v>63.6</v>
          </cell>
          <cell r="GW91">
            <v>322</v>
          </cell>
          <cell r="GX91">
            <v>109</v>
          </cell>
          <cell r="GY91">
            <v>74.7</v>
          </cell>
          <cell r="GZ91">
            <v>304</v>
          </cell>
          <cell r="HA91">
            <v>82</v>
          </cell>
          <cell r="HB91">
            <v>78.8</v>
          </cell>
          <cell r="HC91">
            <v>217</v>
          </cell>
          <cell r="HD91">
            <v>77</v>
          </cell>
          <cell r="HE91">
            <v>73.8</v>
          </cell>
          <cell r="HF91">
            <v>190</v>
          </cell>
          <cell r="HG91">
            <v>53</v>
          </cell>
          <cell r="HH91">
            <v>78.2</v>
          </cell>
          <cell r="HI91">
            <v>167</v>
          </cell>
          <cell r="HJ91">
            <v>38</v>
          </cell>
          <cell r="HK91">
            <v>81.5</v>
          </cell>
          <cell r="HL91">
            <v>18</v>
          </cell>
          <cell r="HM91">
            <v>6</v>
          </cell>
          <cell r="HN91">
            <v>75</v>
          </cell>
          <cell r="HO91">
            <v>13</v>
          </cell>
          <cell r="HP91">
            <v>22</v>
          </cell>
          <cell r="HQ91">
            <v>37.1</v>
          </cell>
          <cell r="HR91">
            <v>14</v>
          </cell>
          <cell r="HS91">
            <v>12</v>
          </cell>
          <cell r="HT91">
            <v>53.8</v>
          </cell>
          <cell r="HU91">
            <v>6</v>
          </cell>
          <cell r="HV91">
            <v>6</v>
          </cell>
          <cell r="HW91">
            <v>50</v>
          </cell>
          <cell r="HX91">
            <v>4</v>
          </cell>
          <cell r="HY91">
            <v>2</v>
          </cell>
          <cell r="HZ91">
            <v>66.7</v>
          </cell>
          <cell r="IA91">
            <v>13</v>
          </cell>
          <cell r="IB91">
            <v>3</v>
          </cell>
          <cell r="IC91">
            <v>81.3</v>
          </cell>
          <cell r="ID91">
            <v>7</v>
          </cell>
          <cell r="IE91">
            <v>3</v>
          </cell>
          <cell r="IF91">
            <v>70</v>
          </cell>
          <cell r="IG91">
            <v>6</v>
          </cell>
          <cell r="IH91">
            <v>4</v>
          </cell>
          <cell r="II91">
            <v>60</v>
          </cell>
          <cell r="IJ91">
            <v>4</v>
          </cell>
          <cell r="IK91">
            <v>4</v>
          </cell>
          <cell r="IL91">
            <v>100</v>
          </cell>
          <cell r="IM91">
            <v>1</v>
          </cell>
          <cell r="IN91">
            <v>2</v>
          </cell>
          <cell r="IO91">
            <v>33.299999999999997</v>
          </cell>
          <cell r="IP91">
            <v>1</v>
          </cell>
          <cell r="IQ91">
            <v>3</v>
          </cell>
          <cell r="IR91">
            <v>25</v>
          </cell>
          <cell r="IS91">
            <v>2</v>
          </cell>
          <cell r="IT91">
            <v>3</v>
          </cell>
          <cell r="IU91">
            <v>40</v>
          </cell>
          <cell r="IV91">
            <v>40</v>
          </cell>
          <cell r="IW91">
            <v>4</v>
          </cell>
          <cell r="IX91">
            <v>0</v>
          </cell>
          <cell r="IY91">
            <v>3</v>
          </cell>
          <cell r="IZ91">
            <v>3</v>
          </cell>
          <cell r="JA91">
            <v>50</v>
          </cell>
          <cell r="JB91">
            <v>50</v>
          </cell>
          <cell r="JC91">
            <v>2</v>
          </cell>
          <cell r="JD91">
            <v>0</v>
          </cell>
          <cell r="JE91">
            <v>11</v>
          </cell>
          <cell r="JF91">
            <v>1</v>
          </cell>
          <cell r="JG91">
            <v>91.7</v>
          </cell>
          <cell r="JH91">
            <v>0</v>
          </cell>
          <cell r="JI91">
            <v>0</v>
          </cell>
          <cell r="JJ91" t="str">
            <v>-</v>
          </cell>
          <cell r="JK91">
            <v>0</v>
          </cell>
          <cell r="JL91">
            <v>0</v>
          </cell>
          <cell r="JM91" t="str">
            <v>-</v>
          </cell>
          <cell r="JN91">
            <v>0</v>
          </cell>
          <cell r="JO91">
            <v>0</v>
          </cell>
          <cell r="JP91" t="str">
            <v>-</v>
          </cell>
          <cell r="JQ91">
            <v>1257</v>
          </cell>
          <cell r="JR91">
            <v>408</v>
          </cell>
          <cell r="JS91">
            <v>75.49549549549549</v>
          </cell>
          <cell r="JT91">
            <v>965</v>
          </cell>
          <cell r="JU91">
            <v>368</v>
          </cell>
          <cell r="JV91">
            <v>72.393098274568644</v>
          </cell>
          <cell r="JW91">
            <v>0</v>
          </cell>
          <cell r="JX91">
            <v>0</v>
          </cell>
          <cell r="JY91" t="str">
            <v>-</v>
          </cell>
          <cell r="JZ91">
            <v>85</v>
          </cell>
          <cell r="KA91">
            <v>52</v>
          </cell>
          <cell r="KB91">
            <v>62.043795620437962</v>
          </cell>
          <cell r="KC91">
            <v>0</v>
          </cell>
          <cell r="KD91">
            <v>0</v>
          </cell>
          <cell r="KE91" t="str">
            <v>-</v>
          </cell>
          <cell r="KF91">
            <v>1200</v>
          </cell>
          <cell r="KG91">
            <v>359</v>
          </cell>
          <cell r="KH91">
            <v>76.97241821680565</v>
          </cell>
          <cell r="KI91">
            <v>36</v>
          </cell>
          <cell r="KJ91">
            <v>18</v>
          </cell>
          <cell r="KK91">
            <v>66.666666666666657</v>
          </cell>
          <cell r="KL91">
            <v>16</v>
          </cell>
          <cell r="KM91">
            <v>13</v>
          </cell>
          <cell r="KN91">
            <v>55.172413793103445</v>
          </cell>
        </row>
        <row r="92">
          <cell r="C92" t="str">
            <v>Berettyóújfalui Rendőrkapitányság</v>
          </cell>
          <cell r="D92">
            <v>55.172393798828125</v>
          </cell>
          <cell r="E92">
            <v>55.172393798828125</v>
          </cell>
          <cell r="F92" t="str">
            <v>-</v>
          </cell>
          <cell r="G92">
            <v>55.172393798828125</v>
          </cell>
          <cell r="H92">
            <v>1</v>
          </cell>
          <cell r="I92">
            <v>0</v>
          </cell>
          <cell r="J92">
            <v>0</v>
          </cell>
          <cell r="K92">
            <v>0</v>
          </cell>
          <cell r="L92" t="str">
            <v>-</v>
          </cell>
          <cell r="M92">
            <v>0</v>
          </cell>
          <cell r="N92">
            <v>0</v>
          </cell>
          <cell r="O92" t="str">
            <v>-</v>
          </cell>
          <cell r="P92">
            <v>0</v>
          </cell>
          <cell r="Q92">
            <v>0</v>
          </cell>
          <cell r="R92" t="str">
            <v>-</v>
          </cell>
          <cell r="S92">
            <v>0</v>
          </cell>
          <cell r="T92">
            <v>0</v>
          </cell>
          <cell r="U92" t="str">
            <v>-</v>
          </cell>
          <cell r="V92">
            <v>0</v>
          </cell>
          <cell r="W92">
            <v>0</v>
          </cell>
          <cell r="X92" t="str">
            <v>-</v>
          </cell>
          <cell r="Y92">
            <v>0</v>
          </cell>
          <cell r="Z92">
            <v>0</v>
          </cell>
          <cell r="AA92" t="str">
            <v>-</v>
          </cell>
          <cell r="AB92">
            <v>0</v>
          </cell>
          <cell r="AC92">
            <v>0</v>
          </cell>
          <cell r="AD92" t="str">
            <v>-</v>
          </cell>
          <cell r="AE92">
            <v>0</v>
          </cell>
          <cell r="AF92">
            <v>0</v>
          </cell>
          <cell r="AG92" t="str">
            <v>-</v>
          </cell>
          <cell r="AH92">
            <v>0</v>
          </cell>
          <cell r="AI92">
            <v>0</v>
          </cell>
          <cell r="AJ92" t="str">
            <v>-</v>
          </cell>
          <cell r="AK92">
            <v>0</v>
          </cell>
          <cell r="AL92">
            <v>0</v>
          </cell>
          <cell r="AM92" t="str">
            <v>-</v>
          </cell>
          <cell r="AN92">
            <v>0</v>
          </cell>
          <cell r="AO92">
            <v>0</v>
          </cell>
          <cell r="AP92" t="str">
            <v>-</v>
          </cell>
          <cell r="AQ92">
            <v>0</v>
          </cell>
          <cell r="AR92">
            <v>0</v>
          </cell>
          <cell r="AS92" t="str">
            <v>-</v>
          </cell>
          <cell r="AT92">
            <v>0</v>
          </cell>
          <cell r="AU92">
            <v>0</v>
          </cell>
          <cell r="AV92" t="str">
            <v>-</v>
          </cell>
          <cell r="AW92">
            <v>0</v>
          </cell>
          <cell r="AX92">
            <v>0</v>
          </cell>
          <cell r="AY92" t="str">
            <v>-</v>
          </cell>
          <cell r="AZ92">
            <v>0</v>
          </cell>
          <cell r="BA92">
            <v>0</v>
          </cell>
          <cell r="BB92" t="str">
            <v>-</v>
          </cell>
          <cell r="BC92">
            <v>0</v>
          </cell>
          <cell r="BD92">
            <v>1</v>
          </cell>
          <cell r="BE92">
            <v>0</v>
          </cell>
          <cell r="BF92">
            <v>0</v>
          </cell>
          <cell r="BG92">
            <v>0</v>
          </cell>
          <cell r="BH92" t="str">
            <v>-</v>
          </cell>
          <cell r="BI92">
            <v>0</v>
          </cell>
          <cell r="BJ92">
            <v>0</v>
          </cell>
          <cell r="BK92" t="str">
            <v>-</v>
          </cell>
          <cell r="BL92">
            <v>0</v>
          </cell>
          <cell r="BM92">
            <v>0</v>
          </cell>
          <cell r="BN92" t="str">
            <v>-</v>
          </cell>
          <cell r="BO92">
            <v>0</v>
          </cell>
          <cell r="BP92">
            <v>0</v>
          </cell>
          <cell r="BQ92" t="str">
            <v>-</v>
          </cell>
          <cell r="BR92">
            <v>0</v>
          </cell>
          <cell r="BS92">
            <v>0</v>
          </cell>
          <cell r="BT92" t="str">
            <v>-</v>
          </cell>
          <cell r="BU92">
            <v>0</v>
          </cell>
          <cell r="BV92">
            <v>0</v>
          </cell>
          <cell r="BW92" t="str">
            <v>-</v>
          </cell>
          <cell r="BX92">
            <v>223</v>
          </cell>
          <cell r="BY92">
            <v>47</v>
          </cell>
          <cell r="BZ92">
            <v>82.6</v>
          </cell>
          <cell r="CA92">
            <v>172</v>
          </cell>
          <cell r="CB92">
            <v>35</v>
          </cell>
          <cell r="CC92">
            <v>83.1</v>
          </cell>
          <cell r="CD92">
            <v>164</v>
          </cell>
          <cell r="CE92">
            <v>35</v>
          </cell>
          <cell r="CF92">
            <v>82.4</v>
          </cell>
          <cell r="CG92">
            <v>156</v>
          </cell>
          <cell r="CH92">
            <v>36</v>
          </cell>
          <cell r="CI92">
            <v>81.3</v>
          </cell>
          <cell r="CJ92">
            <v>143</v>
          </cell>
          <cell r="CK92">
            <v>24</v>
          </cell>
          <cell r="CL92">
            <v>85.6</v>
          </cell>
          <cell r="CM92">
            <v>169</v>
          </cell>
          <cell r="CN92">
            <v>35</v>
          </cell>
          <cell r="CO92">
            <v>82.8</v>
          </cell>
          <cell r="CP92">
            <v>140</v>
          </cell>
          <cell r="CQ92">
            <v>26</v>
          </cell>
          <cell r="CR92">
            <v>84.3</v>
          </cell>
          <cell r="CS92">
            <v>124</v>
          </cell>
          <cell r="CT92">
            <v>14</v>
          </cell>
          <cell r="CU92">
            <v>89.9</v>
          </cell>
          <cell r="CV92">
            <v>180</v>
          </cell>
          <cell r="CW92">
            <v>42</v>
          </cell>
          <cell r="CX92">
            <v>81.099999999999994</v>
          </cell>
          <cell r="CY92">
            <v>132</v>
          </cell>
          <cell r="CZ92">
            <v>29</v>
          </cell>
          <cell r="DA92">
            <v>82</v>
          </cell>
          <cell r="DB92">
            <v>128</v>
          </cell>
          <cell r="DC92">
            <v>30</v>
          </cell>
          <cell r="DD92">
            <v>81</v>
          </cell>
          <cell r="DE92">
            <v>120</v>
          </cell>
          <cell r="DF92">
            <v>29</v>
          </cell>
          <cell r="DG92">
            <v>80.5</v>
          </cell>
          <cell r="DH92">
            <v>105</v>
          </cell>
          <cell r="DI92">
            <v>21</v>
          </cell>
          <cell r="DJ92">
            <v>83.3</v>
          </cell>
          <cell r="DK92">
            <v>111</v>
          </cell>
          <cell r="DL92">
            <v>33</v>
          </cell>
          <cell r="DM92">
            <v>77.099999999999994</v>
          </cell>
          <cell r="DN92">
            <v>88</v>
          </cell>
          <cell r="DO92">
            <v>20</v>
          </cell>
          <cell r="DP92">
            <v>81.5</v>
          </cell>
          <cell r="DQ92">
            <v>82</v>
          </cell>
          <cell r="DR92">
            <v>14</v>
          </cell>
          <cell r="DS92">
            <v>85.4</v>
          </cell>
          <cell r="DT92">
            <v>85.39996337890625</v>
          </cell>
          <cell r="DU92">
            <v>85.39996337890625</v>
          </cell>
          <cell r="DV92" t="str">
            <v>-</v>
          </cell>
          <cell r="DW92">
            <v>85.39996337890625</v>
          </cell>
          <cell r="DX92">
            <v>85.39996337890625</v>
          </cell>
          <cell r="DY92" t="str">
            <v>-</v>
          </cell>
          <cell r="DZ92">
            <v>85.39996337890625</v>
          </cell>
          <cell r="EA92">
            <v>85.39996337890625</v>
          </cell>
          <cell r="EB92" t="str">
            <v>-</v>
          </cell>
          <cell r="EC92">
            <v>85.39996337890625</v>
          </cell>
          <cell r="ED92">
            <v>85.39996337890625</v>
          </cell>
          <cell r="EE92" t="str">
            <v>-</v>
          </cell>
          <cell r="EF92">
            <v>85.39996337890625</v>
          </cell>
          <cell r="EG92">
            <v>85.39996337890625</v>
          </cell>
          <cell r="EH92" t="str">
            <v>-</v>
          </cell>
          <cell r="EI92">
            <v>85.39996337890625</v>
          </cell>
          <cell r="EJ92">
            <v>85.39996337890625</v>
          </cell>
          <cell r="EK92" t="str">
            <v>-</v>
          </cell>
          <cell r="EL92">
            <v>85.39996337890625</v>
          </cell>
          <cell r="EM92">
            <v>85.39996337890625</v>
          </cell>
          <cell r="EN92" t="str">
            <v>-</v>
          </cell>
          <cell r="EO92">
            <v>85.39996337890625</v>
          </cell>
          <cell r="EP92">
            <v>85.39996337890625</v>
          </cell>
          <cell r="EQ92" t="str">
            <v>-</v>
          </cell>
          <cell r="ER92">
            <v>9</v>
          </cell>
          <cell r="ES92">
            <v>2</v>
          </cell>
          <cell r="ET92">
            <v>81.8</v>
          </cell>
          <cell r="EU92">
            <v>12</v>
          </cell>
          <cell r="EV92">
            <v>10</v>
          </cell>
          <cell r="EW92">
            <v>54.5</v>
          </cell>
          <cell r="EX92">
            <v>19</v>
          </cell>
          <cell r="EY92">
            <v>2</v>
          </cell>
          <cell r="EZ92">
            <v>90.5</v>
          </cell>
          <cell r="FA92">
            <v>24</v>
          </cell>
          <cell r="FB92">
            <v>3</v>
          </cell>
          <cell r="FC92">
            <v>88.9</v>
          </cell>
          <cell r="FD92">
            <v>13</v>
          </cell>
          <cell r="FE92">
            <v>6</v>
          </cell>
          <cell r="FF92">
            <v>68.400000000000006</v>
          </cell>
          <cell r="FG92">
            <v>5</v>
          </cell>
          <cell r="FH92">
            <v>6</v>
          </cell>
          <cell r="FI92">
            <v>45.5</v>
          </cell>
          <cell r="FJ92">
            <v>15</v>
          </cell>
          <cell r="FK92">
            <v>7</v>
          </cell>
          <cell r="FL92">
            <v>68.2</v>
          </cell>
          <cell r="FM92">
            <v>13</v>
          </cell>
          <cell r="FN92">
            <v>2</v>
          </cell>
          <cell r="FO92">
            <v>86.7</v>
          </cell>
          <cell r="FP92">
            <v>86.699951171875</v>
          </cell>
          <cell r="FQ92">
            <v>86.699951171875</v>
          </cell>
          <cell r="FR92" t="str">
            <v>-</v>
          </cell>
          <cell r="FS92">
            <v>86.699951171875</v>
          </cell>
          <cell r="FT92">
            <v>86.699951171875</v>
          </cell>
          <cell r="FU92" t="str">
            <v>-</v>
          </cell>
          <cell r="FV92">
            <v>86.699951171875</v>
          </cell>
          <cell r="FW92">
            <v>86.699951171875</v>
          </cell>
          <cell r="FX92" t="str">
            <v>-</v>
          </cell>
          <cell r="FY92">
            <v>86.699951171875</v>
          </cell>
          <cell r="FZ92">
            <v>86.699951171875</v>
          </cell>
          <cell r="GA92" t="str">
            <v>-</v>
          </cell>
          <cell r="GB92">
            <v>86.699951171875</v>
          </cell>
          <cell r="GC92">
            <v>86.699951171875</v>
          </cell>
          <cell r="GD92" t="str">
            <v>-</v>
          </cell>
          <cell r="GE92">
            <v>86.699951171875</v>
          </cell>
          <cell r="GF92">
            <v>86.699951171875</v>
          </cell>
          <cell r="GG92" t="str">
            <v>-</v>
          </cell>
          <cell r="GH92">
            <v>86.699951171875</v>
          </cell>
          <cell r="GI92">
            <v>86.699951171875</v>
          </cell>
          <cell r="GJ92" t="str">
            <v>-</v>
          </cell>
          <cell r="GK92">
            <v>86.699951171875</v>
          </cell>
          <cell r="GL92">
            <v>86.699951171875</v>
          </cell>
          <cell r="GM92" t="str">
            <v>-</v>
          </cell>
          <cell r="GN92">
            <v>120</v>
          </cell>
          <cell r="GO92">
            <v>17</v>
          </cell>
          <cell r="GP92">
            <v>87.6</v>
          </cell>
          <cell r="GQ92">
            <v>118</v>
          </cell>
          <cell r="GR92">
            <v>17</v>
          </cell>
          <cell r="GS92">
            <v>87.4</v>
          </cell>
          <cell r="GT92">
            <v>110</v>
          </cell>
          <cell r="GU92">
            <v>19</v>
          </cell>
          <cell r="GV92">
            <v>85.3</v>
          </cell>
          <cell r="GW92">
            <v>126</v>
          </cell>
          <cell r="GX92">
            <v>26</v>
          </cell>
          <cell r="GY92">
            <v>82.9</v>
          </cell>
          <cell r="GZ92">
            <v>121</v>
          </cell>
          <cell r="HA92">
            <v>16</v>
          </cell>
          <cell r="HB92">
            <v>88.3</v>
          </cell>
          <cell r="HC92">
            <v>161</v>
          </cell>
          <cell r="HD92">
            <v>21</v>
          </cell>
          <cell r="HE92">
            <v>88.5</v>
          </cell>
          <cell r="HF92">
            <v>123</v>
          </cell>
          <cell r="HG92">
            <v>16</v>
          </cell>
          <cell r="HH92">
            <v>88.5</v>
          </cell>
          <cell r="HI92">
            <v>90</v>
          </cell>
          <cell r="HJ92">
            <v>13</v>
          </cell>
          <cell r="HK92">
            <v>87.4</v>
          </cell>
          <cell r="HL92">
            <v>7</v>
          </cell>
          <cell r="HM92">
            <v>1</v>
          </cell>
          <cell r="HN92">
            <v>87.5</v>
          </cell>
          <cell r="HO92">
            <v>1</v>
          </cell>
          <cell r="HP92">
            <v>2</v>
          </cell>
          <cell r="HQ92">
            <v>33.299999999999997</v>
          </cell>
          <cell r="HR92">
            <v>2</v>
          </cell>
          <cell r="HS92">
            <v>1</v>
          </cell>
          <cell r="HT92">
            <v>66.7</v>
          </cell>
          <cell r="HU92">
            <v>4</v>
          </cell>
          <cell r="HV92">
            <v>8</v>
          </cell>
          <cell r="HW92">
            <v>33.299999999999997</v>
          </cell>
          <cell r="HX92">
            <v>6</v>
          </cell>
          <cell r="HY92">
            <v>3</v>
          </cell>
          <cell r="HZ92">
            <v>66.7</v>
          </cell>
          <cell r="IA92">
            <v>4</v>
          </cell>
          <cell r="IB92">
            <v>1</v>
          </cell>
          <cell r="IC92">
            <v>80</v>
          </cell>
          <cell r="ID92">
            <v>6</v>
          </cell>
          <cell r="IE92">
            <v>3</v>
          </cell>
          <cell r="IF92">
            <v>66.7</v>
          </cell>
          <cell r="IG92">
            <v>66.699951171875</v>
          </cell>
          <cell r="IH92">
            <v>1</v>
          </cell>
          <cell r="II92">
            <v>0</v>
          </cell>
          <cell r="IJ92">
            <v>2</v>
          </cell>
          <cell r="IK92">
            <v>1</v>
          </cell>
          <cell r="IL92">
            <v>66.7</v>
          </cell>
          <cell r="IM92">
            <v>3</v>
          </cell>
          <cell r="IN92">
            <v>3</v>
          </cell>
          <cell r="IO92">
            <v>100</v>
          </cell>
          <cell r="IP92">
            <v>2</v>
          </cell>
          <cell r="IQ92">
            <v>2</v>
          </cell>
          <cell r="IR92">
            <v>50</v>
          </cell>
          <cell r="IS92">
            <v>1</v>
          </cell>
          <cell r="IT92">
            <v>3</v>
          </cell>
          <cell r="IU92">
            <v>25</v>
          </cell>
          <cell r="IV92">
            <v>25</v>
          </cell>
          <cell r="IW92">
            <v>1</v>
          </cell>
          <cell r="IX92">
            <v>0</v>
          </cell>
          <cell r="IY92">
            <v>1</v>
          </cell>
          <cell r="IZ92">
            <v>1</v>
          </cell>
          <cell r="JA92">
            <v>50</v>
          </cell>
          <cell r="JB92">
            <v>50</v>
          </cell>
          <cell r="JC92">
            <v>50</v>
          </cell>
          <cell r="JD92" t="str">
            <v>-</v>
          </cell>
          <cell r="JE92">
            <v>50</v>
          </cell>
          <cell r="JF92">
            <v>2</v>
          </cell>
          <cell r="JG92">
            <v>0</v>
          </cell>
          <cell r="JH92">
            <v>0</v>
          </cell>
          <cell r="JI92">
            <v>0</v>
          </cell>
          <cell r="JJ92" t="str">
            <v>-</v>
          </cell>
          <cell r="JK92">
            <v>0</v>
          </cell>
          <cell r="JL92">
            <v>0</v>
          </cell>
          <cell r="JM92" t="str">
            <v>-</v>
          </cell>
          <cell r="JN92">
            <v>0</v>
          </cell>
          <cell r="JO92">
            <v>0</v>
          </cell>
          <cell r="JP92" t="str">
            <v>-</v>
          </cell>
          <cell r="JQ92">
            <v>732</v>
          </cell>
          <cell r="JR92">
            <v>135</v>
          </cell>
          <cell r="JS92">
            <v>84.429065743944633</v>
          </cell>
          <cell r="JT92">
            <v>506</v>
          </cell>
          <cell r="JU92">
            <v>117</v>
          </cell>
          <cell r="JV92">
            <v>81.219903691813798</v>
          </cell>
          <cell r="JW92">
            <v>0</v>
          </cell>
          <cell r="JX92">
            <v>0</v>
          </cell>
          <cell r="JY92" t="str">
            <v>-</v>
          </cell>
          <cell r="JZ92">
            <v>70</v>
          </cell>
          <cell r="KA92">
            <v>24</v>
          </cell>
          <cell r="KB92">
            <v>74.468085106382972</v>
          </cell>
          <cell r="KC92">
            <v>0</v>
          </cell>
          <cell r="KD92">
            <v>0</v>
          </cell>
          <cell r="KE92" t="str">
            <v>-</v>
          </cell>
          <cell r="KF92">
            <v>621</v>
          </cell>
          <cell r="KG92">
            <v>92</v>
          </cell>
          <cell r="KH92">
            <v>87.096774193548384</v>
          </cell>
          <cell r="KI92">
            <v>20</v>
          </cell>
          <cell r="KJ92">
            <v>16</v>
          </cell>
          <cell r="KK92">
            <v>55.555555555555557</v>
          </cell>
          <cell r="KL92">
            <v>2</v>
          </cell>
          <cell r="KM92">
            <v>7</v>
          </cell>
          <cell r="KN92">
            <v>22.222222222222221</v>
          </cell>
        </row>
        <row r="93">
          <cell r="C93" t="str">
            <v>Hajdúhadházi Rendőrkapitányság</v>
          </cell>
          <cell r="D93">
            <v>22.222213745117188</v>
          </cell>
          <cell r="E93">
            <v>22.222213745117188</v>
          </cell>
          <cell r="F93" t="str">
            <v>-</v>
          </cell>
          <cell r="G93">
            <v>22.222213745117188</v>
          </cell>
          <cell r="H93">
            <v>22.222213745117188</v>
          </cell>
          <cell r="I93" t="str">
            <v>-</v>
          </cell>
          <cell r="J93">
            <v>22.222213745117188</v>
          </cell>
          <cell r="K93">
            <v>22.222213745117188</v>
          </cell>
          <cell r="L93" t="str">
            <v>-</v>
          </cell>
          <cell r="M93">
            <v>22.222213745117188</v>
          </cell>
          <cell r="N93">
            <v>22.222213745117188</v>
          </cell>
          <cell r="O93" t="str">
            <v>-</v>
          </cell>
          <cell r="P93">
            <v>22.222213745117188</v>
          </cell>
          <cell r="Q93">
            <v>22.222213745117188</v>
          </cell>
          <cell r="R93" t="str">
            <v>-</v>
          </cell>
          <cell r="S93">
            <v>22.222213745117188</v>
          </cell>
          <cell r="T93">
            <v>22.222213745117188</v>
          </cell>
          <cell r="U93" t="str">
            <v>-</v>
          </cell>
          <cell r="V93">
            <v>22.222213745117188</v>
          </cell>
          <cell r="W93">
            <v>22.222213745117188</v>
          </cell>
          <cell r="X93" t="str">
            <v>-</v>
          </cell>
          <cell r="Y93">
            <v>22.222213745117188</v>
          </cell>
          <cell r="Z93">
            <v>22.222213745117188</v>
          </cell>
          <cell r="AA93" t="str">
            <v>-</v>
          </cell>
          <cell r="AB93">
            <v>22.222213745117188</v>
          </cell>
          <cell r="AC93">
            <v>22.222213745117188</v>
          </cell>
          <cell r="AD93" t="str">
            <v>-</v>
          </cell>
          <cell r="AE93">
            <v>22.222213745117188</v>
          </cell>
          <cell r="AF93">
            <v>22.222213745117188</v>
          </cell>
          <cell r="AG93" t="str">
            <v>-</v>
          </cell>
          <cell r="AH93">
            <v>22.222213745117188</v>
          </cell>
          <cell r="AI93">
            <v>22.222213745117188</v>
          </cell>
          <cell r="AJ93" t="str">
            <v>-</v>
          </cell>
          <cell r="AK93">
            <v>22.222213745117188</v>
          </cell>
          <cell r="AL93">
            <v>22.222213745117188</v>
          </cell>
          <cell r="AM93" t="str">
            <v>-</v>
          </cell>
          <cell r="AN93">
            <v>22.222213745117188</v>
          </cell>
          <cell r="AO93">
            <v>22.222213745117188</v>
          </cell>
          <cell r="AP93" t="str">
            <v>-</v>
          </cell>
          <cell r="AQ93">
            <v>22.222213745117188</v>
          </cell>
          <cell r="AR93">
            <v>22.222213745117188</v>
          </cell>
          <cell r="AS93" t="str">
            <v>-</v>
          </cell>
          <cell r="AT93">
            <v>22.222213745117188</v>
          </cell>
          <cell r="AU93">
            <v>22.222213745117188</v>
          </cell>
          <cell r="AV93" t="str">
            <v>-</v>
          </cell>
          <cell r="AW93">
            <v>22.222213745117188</v>
          </cell>
          <cell r="AX93">
            <v>22.222213745117188</v>
          </cell>
          <cell r="AY93" t="str">
            <v>-</v>
          </cell>
          <cell r="AZ93">
            <v>22.222213745117188</v>
          </cell>
          <cell r="BA93">
            <v>22.222213745117188</v>
          </cell>
          <cell r="BB93" t="str">
            <v>-</v>
          </cell>
          <cell r="BC93">
            <v>22.222213745117188</v>
          </cell>
          <cell r="BD93">
            <v>22.222213745117188</v>
          </cell>
          <cell r="BE93" t="str">
            <v>-</v>
          </cell>
          <cell r="BF93">
            <v>22.222213745117188</v>
          </cell>
          <cell r="BG93">
            <v>22.222213745117188</v>
          </cell>
          <cell r="BH93" t="str">
            <v>-</v>
          </cell>
          <cell r="BI93">
            <v>22.222213745117188</v>
          </cell>
          <cell r="BJ93">
            <v>22.222213745117188</v>
          </cell>
          <cell r="BK93" t="str">
            <v>-</v>
          </cell>
          <cell r="BL93">
            <v>22.222213745117188</v>
          </cell>
          <cell r="BM93">
            <v>22.222213745117188</v>
          </cell>
          <cell r="BN93" t="str">
            <v>-</v>
          </cell>
          <cell r="BO93">
            <v>22.222213745117188</v>
          </cell>
          <cell r="BP93">
            <v>22.222213745117188</v>
          </cell>
          <cell r="BQ93" t="str">
            <v>-</v>
          </cell>
          <cell r="BR93">
            <v>22.222213745117188</v>
          </cell>
          <cell r="BS93">
            <v>22.222213745117188</v>
          </cell>
          <cell r="BT93" t="str">
            <v>-</v>
          </cell>
          <cell r="BU93">
            <v>22.222213745117188</v>
          </cell>
          <cell r="BV93">
            <v>22.222213745117188</v>
          </cell>
          <cell r="BW93" t="str">
            <v>-</v>
          </cell>
          <cell r="BX93">
            <v>168</v>
          </cell>
          <cell r="BY93">
            <v>32</v>
          </cell>
          <cell r="BZ93">
            <v>84</v>
          </cell>
          <cell r="CA93">
            <v>154</v>
          </cell>
          <cell r="CB93">
            <v>52</v>
          </cell>
          <cell r="CC93">
            <v>74.8</v>
          </cell>
          <cell r="CD93">
            <v>146</v>
          </cell>
          <cell r="CE93">
            <v>42</v>
          </cell>
          <cell r="CF93">
            <v>77.7</v>
          </cell>
          <cell r="CG93">
            <v>132</v>
          </cell>
          <cell r="CH93">
            <v>29</v>
          </cell>
          <cell r="CI93">
            <v>82</v>
          </cell>
          <cell r="CJ93">
            <v>175</v>
          </cell>
          <cell r="CK93">
            <v>17</v>
          </cell>
          <cell r="CL93">
            <v>91.1</v>
          </cell>
          <cell r="CM93">
            <v>119</v>
          </cell>
          <cell r="CN93">
            <v>3</v>
          </cell>
          <cell r="CO93">
            <v>97.5</v>
          </cell>
          <cell r="CP93">
            <v>67</v>
          </cell>
          <cell r="CQ93">
            <v>10</v>
          </cell>
          <cell r="CR93">
            <v>87</v>
          </cell>
          <cell r="CS93">
            <v>61</v>
          </cell>
          <cell r="CT93">
            <v>7</v>
          </cell>
          <cell r="CU93">
            <v>89.7</v>
          </cell>
          <cell r="CV93">
            <v>126</v>
          </cell>
          <cell r="CW93">
            <v>30</v>
          </cell>
          <cell r="CX93">
            <v>80.8</v>
          </cell>
          <cell r="CY93">
            <v>111</v>
          </cell>
          <cell r="CZ93">
            <v>49</v>
          </cell>
          <cell r="DA93">
            <v>69.400000000000006</v>
          </cell>
          <cell r="DB93">
            <v>110</v>
          </cell>
          <cell r="DC93">
            <v>33</v>
          </cell>
          <cell r="DD93">
            <v>76.900000000000006</v>
          </cell>
          <cell r="DE93">
            <v>107</v>
          </cell>
          <cell r="DF93">
            <v>27</v>
          </cell>
          <cell r="DG93">
            <v>79.900000000000006</v>
          </cell>
          <cell r="DH93">
            <v>132</v>
          </cell>
          <cell r="DI93">
            <v>13</v>
          </cell>
          <cell r="DJ93">
            <v>91</v>
          </cell>
          <cell r="DK93">
            <v>96</v>
          </cell>
          <cell r="DL93">
            <v>3</v>
          </cell>
          <cell r="DM93">
            <v>97</v>
          </cell>
          <cell r="DN93">
            <v>54</v>
          </cell>
          <cell r="DO93">
            <v>8</v>
          </cell>
          <cell r="DP93">
            <v>87.1</v>
          </cell>
          <cell r="DQ93">
            <v>49</v>
          </cell>
          <cell r="DR93">
            <v>4</v>
          </cell>
          <cell r="DS93">
            <v>92.5</v>
          </cell>
          <cell r="DT93">
            <v>92.5</v>
          </cell>
          <cell r="DU93">
            <v>92.5</v>
          </cell>
          <cell r="DV93" t="str">
            <v>-</v>
          </cell>
          <cell r="DW93">
            <v>92.5</v>
          </cell>
          <cell r="DX93">
            <v>92.5</v>
          </cell>
          <cell r="DY93" t="str">
            <v>-</v>
          </cell>
          <cell r="DZ93">
            <v>92.5</v>
          </cell>
          <cell r="EA93">
            <v>92.5</v>
          </cell>
          <cell r="EB93" t="str">
            <v>-</v>
          </cell>
          <cell r="EC93">
            <v>92.5</v>
          </cell>
          <cell r="ED93">
            <v>92.5</v>
          </cell>
          <cell r="EE93" t="str">
            <v>-</v>
          </cell>
          <cell r="EF93">
            <v>92.5</v>
          </cell>
          <cell r="EG93">
            <v>92.5</v>
          </cell>
          <cell r="EH93" t="str">
            <v>-</v>
          </cell>
          <cell r="EI93">
            <v>92.5</v>
          </cell>
          <cell r="EJ93">
            <v>92.5</v>
          </cell>
          <cell r="EK93" t="str">
            <v>-</v>
          </cell>
          <cell r="EL93">
            <v>92.5</v>
          </cell>
          <cell r="EM93">
            <v>92.5</v>
          </cell>
          <cell r="EN93" t="str">
            <v>-</v>
          </cell>
          <cell r="EO93">
            <v>92.5</v>
          </cell>
          <cell r="EP93">
            <v>92.5</v>
          </cell>
          <cell r="EQ93" t="str">
            <v>-</v>
          </cell>
          <cell r="ER93">
            <v>19</v>
          </cell>
          <cell r="ES93">
            <v>19</v>
          </cell>
          <cell r="ET93">
            <v>100</v>
          </cell>
          <cell r="EU93">
            <v>22</v>
          </cell>
          <cell r="EV93">
            <v>8</v>
          </cell>
          <cell r="EW93">
            <v>73.3</v>
          </cell>
          <cell r="EX93">
            <v>18</v>
          </cell>
          <cell r="EY93">
            <v>9</v>
          </cell>
          <cell r="EZ93">
            <v>66.7</v>
          </cell>
          <cell r="FA93">
            <v>17</v>
          </cell>
          <cell r="FB93">
            <v>4</v>
          </cell>
          <cell r="FC93">
            <v>81</v>
          </cell>
          <cell r="FD93">
            <v>47</v>
          </cell>
          <cell r="FE93">
            <v>4</v>
          </cell>
          <cell r="FF93">
            <v>92.2</v>
          </cell>
          <cell r="FG93">
            <v>17</v>
          </cell>
          <cell r="FH93">
            <v>8</v>
          </cell>
          <cell r="FI93">
            <v>68</v>
          </cell>
          <cell r="FJ93">
            <v>12</v>
          </cell>
          <cell r="FK93">
            <v>1</v>
          </cell>
          <cell r="FL93">
            <v>92.3</v>
          </cell>
          <cell r="FM93">
            <v>17</v>
          </cell>
          <cell r="FN93">
            <v>2</v>
          </cell>
          <cell r="FO93">
            <v>89.5</v>
          </cell>
          <cell r="FP93">
            <v>89.5</v>
          </cell>
          <cell r="FQ93">
            <v>89.5</v>
          </cell>
          <cell r="FR93" t="str">
            <v>-</v>
          </cell>
          <cell r="FS93">
            <v>89.5</v>
          </cell>
          <cell r="FT93">
            <v>89.5</v>
          </cell>
          <cell r="FU93" t="str">
            <v>-</v>
          </cell>
          <cell r="FV93">
            <v>89.5</v>
          </cell>
          <cell r="FW93">
            <v>89.5</v>
          </cell>
          <cell r="FX93" t="str">
            <v>-</v>
          </cell>
          <cell r="FY93">
            <v>89.5</v>
          </cell>
          <cell r="FZ93">
            <v>89.5</v>
          </cell>
          <cell r="GA93" t="str">
            <v>-</v>
          </cell>
          <cell r="GB93">
            <v>89.5</v>
          </cell>
          <cell r="GC93">
            <v>89.5</v>
          </cell>
          <cell r="GD93" t="str">
            <v>-</v>
          </cell>
          <cell r="GE93">
            <v>89.5</v>
          </cell>
          <cell r="GF93">
            <v>89.5</v>
          </cell>
          <cell r="GG93" t="str">
            <v>-</v>
          </cell>
          <cell r="GH93">
            <v>89.5</v>
          </cell>
          <cell r="GI93">
            <v>89.5</v>
          </cell>
          <cell r="GJ93" t="str">
            <v>-</v>
          </cell>
          <cell r="GK93">
            <v>89.5</v>
          </cell>
          <cell r="GL93">
            <v>89.5</v>
          </cell>
          <cell r="GM93" t="str">
            <v>-</v>
          </cell>
          <cell r="GN93">
            <v>108</v>
          </cell>
          <cell r="GO93">
            <v>42</v>
          </cell>
          <cell r="GP93">
            <v>72</v>
          </cell>
          <cell r="GQ93">
            <v>86</v>
          </cell>
          <cell r="GR93">
            <v>38</v>
          </cell>
          <cell r="GS93">
            <v>69.400000000000006</v>
          </cell>
          <cell r="GT93">
            <v>88</v>
          </cell>
          <cell r="GU93">
            <v>44</v>
          </cell>
          <cell r="GV93">
            <v>66.7</v>
          </cell>
          <cell r="GW93">
            <v>93</v>
          </cell>
          <cell r="GX93">
            <v>29</v>
          </cell>
          <cell r="GY93">
            <v>76.2</v>
          </cell>
          <cell r="GZ93">
            <v>144</v>
          </cell>
          <cell r="HA93">
            <v>27</v>
          </cell>
          <cell r="HB93">
            <v>84.2</v>
          </cell>
          <cell r="HC93">
            <v>87</v>
          </cell>
          <cell r="HD93">
            <v>7</v>
          </cell>
          <cell r="HE93">
            <v>92.6</v>
          </cell>
          <cell r="HF93">
            <v>39</v>
          </cell>
          <cell r="HG93">
            <v>1</v>
          </cell>
          <cell r="HH93">
            <v>97.5</v>
          </cell>
          <cell r="HI93">
            <v>37</v>
          </cell>
          <cell r="HJ93">
            <v>1</v>
          </cell>
          <cell r="HK93">
            <v>97.4</v>
          </cell>
          <cell r="HL93">
            <v>2</v>
          </cell>
          <cell r="HM93">
            <v>6</v>
          </cell>
          <cell r="HN93">
            <v>25</v>
          </cell>
          <cell r="HO93">
            <v>3</v>
          </cell>
          <cell r="HP93">
            <v>1</v>
          </cell>
          <cell r="HQ93">
            <v>75</v>
          </cell>
          <cell r="HR93">
            <v>75</v>
          </cell>
          <cell r="HS93">
            <v>2</v>
          </cell>
          <cell r="HT93">
            <v>0</v>
          </cell>
          <cell r="HU93">
            <v>2</v>
          </cell>
          <cell r="HV93">
            <v>1</v>
          </cell>
          <cell r="HW93">
            <v>66.7</v>
          </cell>
          <cell r="HX93">
            <v>1</v>
          </cell>
          <cell r="HY93">
            <v>1</v>
          </cell>
          <cell r="HZ93">
            <v>100</v>
          </cell>
          <cell r="IA93">
            <v>2</v>
          </cell>
          <cell r="IB93">
            <v>1</v>
          </cell>
          <cell r="IC93">
            <v>66.7</v>
          </cell>
          <cell r="ID93">
            <v>1</v>
          </cell>
          <cell r="IE93">
            <v>1</v>
          </cell>
          <cell r="IF93">
            <v>100</v>
          </cell>
          <cell r="IG93">
            <v>2</v>
          </cell>
          <cell r="IH93">
            <v>2</v>
          </cell>
          <cell r="II93">
            <v>100</v>
          </cell>
          <cell r="IJ93">
            <v>2</v>
          </cell>
          <cell r="IK93">
            <v>2</v>
          </cell>
          <cell r="IL93">
            <v>100</v>
          </cell>
          <cell r="IM93">
            <v>100</v>
          </cell>
          <cell r="IN93">
            <v>100</v>
          </cell>
          <cell r="IO93" t="str">
            <v>-</v>
          </cell>
          <cell r="IP93">
            <v>100</v>
          </cell>
          <cell r="IQ93">
            <v>100</v>
          </cell>
          <cell r="IR93" t="str">
            <v>-</v>
          </cell>
          <cell r="IS93">
            <v>1</v>
          </cell>
          <cell r="IT93">
            <v>1</v>
          </cell>
          <cell r="IU93">
            <v>50</v>
          </cell>
          <cell r="IV93">
            <v>50</v>
          </cell>
          <cell r="IW93">
            <v>50</v>
          </cell>
          <cell r="IX93" t="str">
            <v>-</v>
          </cell>
          <cell r="IY93">
            <v>50</v>
          </cell>
          <cell r="IZ93">
            <v>50</v>
          </cell>
          <cell r="JA93" t="str">
            <v>-</v>
          </cell>
          <cell r="JB93">
            <v>50</v>
          </cell>
          <cell r="JC93">
            <v>50</v>
          </cell>
          <cell r="JD93" t="str">
            <v>-</v>
          </cell>
          <cell r="JE93">
            <v>2</v>
          </cell>
          <cell r="JF93">
            <v>2</v>
          </cell>
          <cell r="JG93">
            <v>100</v>
          </cell>
          <cell r="JH93">
            <v>0</v>
          </cell>
          <cell r="JI93">
            <v>0</v>
          </cell>
          <cell r="JJ93" t="str">
            <v>-</v>
          </cell>
          <cell r="JK93">
            <v>0</v>
          </cell>
          <cell r="JL93">
            <v>0</v>
          </cell>
          <cell r="JM93" t="str">
            <v>-</v>
          </cell>
          <cell r="JN93">
            <v>0</v>
          </cell>
          <cell r="JO93">
            <v>0</v>
          </cell>
          <cell r="JP93" t="str">
            <v>-</v>
          </cell>
          <cell r="JQ93">
            <v>554</v>
          </cell>
          <cell r="JR93">
            <v>66</v>
          </cell>
          <cell r="JS93">
            <v>89.354838709677423</v>
          </cell>
          <cell r="JT93">
            <v>438</v>
          </cell>
          <cell r="JU93">
            <v>55</v>
          </cell>
          <cell r="JV93">
            <v>88.843813387423936</v>
          </cell>
          <cell r="JW93">
            <v>0</v>
          </cell>
          <cell r="JX93">
            <v>0</v>
          </cell>
          <cell r="JY93" t="str">
            <v>-</v>
          </cell>
          <cell r="JZ93">
            <v>110</v>
          </cell>
          <cell r="KA93">
            <v>19</v>
          </cell>
          <cell r="KB93">
            <v>85.271317829457359</v>
          </cell>
          <cell r="KC93">
            <v>0</v>
          </cell>
          <cell r="KD93">
            <v>0</v>
          </cell>
          <cell r="KE93" t="str">
            <v>-</v>
          </cell>
          <cell r="KF93">
            <v>400</v>
          </cell>
          <cell r="KG93">
            <v>65</v>
          </cell>
          <cell r="KH93">
            <v>86.021505376344081</v>
          </cell>
          <cell r="KI93">
            <v>8</v>
          </cell>
          <cell r="KJ93">
            <v>2</v>
          </cell>
          <cell r="KK93">
            <v>80</v>
          </cell>
          <cell r="KL93">
            <v>3</v>
          </cell>
          <cell r="KM93">
            <v>1</v>
          </cell>
          <cell r="KN93">
            <v>75</v>
          </cell>
        </row>
        <row r="94">
          <cell r="C94" t="str">
            <v>Hajdúböszörményi Rendőrkapitányság</v>
          </cell>
          <cell r="D94">
            <v>75</v>
          </cell>
          <cell r="E94">
            <v>75</v>
          </cell>
          <cell r="F94" t="str">
            <v>-</v>
          </cell>
          <cell r="G94">
            <v>75</v>
          </cell>
          <cell r="H94">
            <v>75</v>
          </cell>
          <cell r="I94" t="str">
            <v>-</v>
          </cell>
          <cell r="J94">
            <v>75</v>
          </cell>
          <cell r="K94">
            <v>75</v>
          </cell>
          <cell r="L94" t="str">
            <v>-</v>
          </cell>
          <cell r="M94">
            <v>75</v>
          </cell>
          <cell r="N94">
            <v>75</v>
          </cell>
          <cell r="O94" t="str">
            <v>-</v>
          </cell>
          <cell r="P94">
            <v>75</v>
          </cell>
          <cell r="Q94">
            <v>75</v>
          </cell>
          <cell r="R94" t="str">
            <v>-</v>
          </cell>
          <cell r="S94">
            <v>75</v>
          </cell>
          <cell r="T94">
            <v>75</v>
          </cell>
          <cell r="U94" t="str">
            <v>-</v>
          </cell>
          <cell r="V94">
            <v>75</v>
          </cell>
          <cell r="W94">
            <v>75</v>
          </cell>
          <cell r="X94" t="str">
            <v>-</v>
          </cell>
          <cell r="Y94">
            <v>75</v>
          </cell>
          <cell r="Z94">
            <v>75</v>
          </cell>
          <cell r="AA94" t="str">
            <v>-</v>
          </cell>
          <cell r="AB94">
            <v>75</v>
          </cell>
          <cell r="AC94">
            <v>75</v>
          </cell>
          <cell r="AD94" t="str">
            <v>-</v>
          </cell>
          <cell r="AE94">
            <v>75</v>
          </cell>
          <cell r="AF94">
            <v>75</v>
          </cell>
          <cell r="AG94" t="str">
            <v>-</v>
          </cell>
          <cell r="AH94">
            <v>75</v>
          </cell>
          <cell r="AI94">
            <v>75</v>
          </cell>
          <cell r="AJ94" t="str">
            <v>-</v>
          </cell>
          <cell r="AK94">
            <v>75</v>
          </cell>
          <cell r="AL94">
            <v>75</v>
          </cell>
          <cell r="AM94" t="str">
            <v>-</v>
          </cell>
          <cell r="AN94">
            <v>75</v>
          </cell>
          <cell r="AO94">
            <v>75</v>
          </cell>
          <cell r="AP94" t="str">
            <v>-</v>
          </cell>
          <cell r="AQ94">
            <v>75</v>
          </cell>
          <cell r="AR94">
            <v>75</v>
          </cell>
          <cell r="AS94" t="str">
            <v>-</v>
          </cell>
          <cell r="AT94">
            <v>75</v>
          </cell>
          <cell r="AU94">
            <v>75</v>
          </cell>
          <cell r="AV94" t="str">
            <v>-</v>
          </cell>
          <cell r="AW94">
            <v>75</v>
          </cell>
          <cell r="AX94">
            <v>75</v>
          </cell>
          <cell r="AY94" t="str">
            <v>-</v>
          </cell>
          <cell r="AZ94">
            <v>75</v>
          </cell>
          <cell r="BA94">
            <v>75</v>
          </cell>
          <cell r="BB94" t="str">
            <v>-</v>
          </cell>
          <cell r="BC94">
            <v>75</v>
          </cell>
          <cell r="BD94">
            <v>75</v>
          </cell>
          <cell r="BE94" t="str">
            <v>-</v>
          </cell>
          <cell r="BF94">
            <v>75</v>
          </cell>
          <cell r="BG94">
            <v>75</v>
          </cell>
          <cell r="BH94" t="str">
            <v>-</v>
          </cell>
          <cell r="BI94">
            <v>75</v>
          </cell>
          <cell r="BJ94">
            <v>75</v>
          </cell>
          <cell r="BK94" t="str">
            <v>-</v>
          </cell>
          <cell r="BL94">
            <v>75</v>
          </cell>
          <cell r="BM94">
            <v>75</v>
          </cell>
          <cell r="BN94" t="str">
            <v>-</v>
          </cell>
          <cell r="BO94">
            <v>75</v>
          </cell>
          <cell r="BP94">
            <v>75</v>
          </cell>
          <cell r="BQ94" t="str">
            <v>-</v>
          </cell>
          <cell r="BR94">
            <v>75</v>
          </cell>
          <cell r="BS94">
            <v>75</v>
          </cell>
          <cell r="BT94" t="str">
            <v>-</v>
          </cell>
          <cell r="BU94">
            <v>75</v>
          </cell>
          <cell r="BV94">
            <v>75</v>
          </cell>
          <cell r="BW94" t="str">
            <v>-</v>
          </cell>
          <cell r="BX94">
            <v>74</v>
          </cell>
          <cell r="BY94">
            <v>15</v>
          </cell>
          <cell r="BZ94">
            <v>83.1</v>
          </cell>
          <cell r="CA94">
            <v>81</v>
          </cell>
          <cell r="CB94">
            <v>19</v>
          </cell>
          <cell r="CC94">
            <v>81</v>
          </cell>
          <cell r="CD94">
            <v>61</v>
          </cell>
          <cell r="CE94">
            <v>17</v>
          </cell>
          <cell r="CF94">
            <v>78.2</v>
          </cell>
          <cell r="CG94">
            <v>74</v>
          </cell>
          <cell r="CH94">
            <v>17</v>
          </cell>
          <cell r="CI94">
            <v>81.3</v>
          </cell>
          <cell r="CJ94">
            <v>73</v>
          </cell>
          <cell r="CK94">
            <v>10</v>
          </cell>
          <cell r="CL94">
            <v>88</v>
          </cell>
          <cell r="CM94">
            <v>66</v>
          </cell>
          <cell r="CN94">
            <v>12</v>
          </cell>
          <cell r="CO94">
            <v>84.6</v>
          </cell>
          <cell r="CP94">
            <v>79</v>
          </cell>
          <cell r="CQ94">
            <v>8</v>
          </cell>
          <cell r="CR94">
            <v>90.8</v>
          </cell>
          <cell r="CS94">
            <v>61</v>
          </cell>
          <cell r="CT94">
            <v>10</v>
          </cell>
          <cell r="CU94">
            <v>85.9</v>
          </cell>
          <cell r="CV94">
            <v>53</v>
          </cell>
          <cell r="CW94">
            <v>11</v>
          </cell>
          <cell r="CX94">
            <v>82.8</v>
          </cell>
          <cell r="CY94">
            <v>55</v>
          </cell>
          <cell r="CZ94">
            <v>11</v>
          </cell>
          <cell r="DA94">
            <v>83.3</v>
          </cell>
          <cell r="DB94">
            <v>38</v>
          </cell>
          <cell r="DC94">
            <v>14</v>
          </cell>
          <cell r="DD94">
            <v>73.099999999999994</v>
          </cell>
          <cell r="DE94">
            <v>57</v>
          </cell>
          <cell r="DF94">
            <v>14</v>
          </cell>
          <cell r="DG94">
            <v>80.3</v>
          </cell>
          <cell r="DH94">
            <v>48</v>
          </cell>
          <cell r="DI94">
            <v>9</v>
          </cell>
          <cell r="DJ94">
            <v>84.2</v>
          </cell>
          <cell r="DK94">
            <v>45</v>
          </cell>
          <cell r="DL94">
            <v>12</v>
          </cell>
          <cell r="DM94">
            <v>78.900000000000006</v>
          </cell>
          <cell r="DN94">
            <v>58</v>
          </cell>
          <cell r="DO94">
            <v>5</v>
          </cell>
          <cell r="DP94">
            <v>92.1</v>
          </cell>
          <cell r="DQ94">
            <v>50</v>
          </cell>
          <cell r="DR94">
            <v>8</v>
          </cell>
          <cell r="DS94">
            <v>86.2</v>
          </cell>
          <cell r="DT94">
            <v>86.199951171875</v>
          </cell>
          <cell r="DU94">
            <v>86.199951171875</v>
          </cell>
          <cell r="DV94" t="str">
            <v>-</v>
          </cell>
          <cell r="DW94">
            <v>86.199951171875</v>
          </cell>
          <cell r="DX94">
            <v>86.199951171875</v>
          </cell>
          <cell r="DY94" t="str">
            <v>-</v>
          </cell>
          <cell r="DZ94">
            <v>86.199951171875</v>
          </cell>
          <cell r="EA94">
            <v>86.199951171875</v>
          </cell>
          <cell r="EB94" t="str">
            <v>-</v>
          </cell>
          <cell r="EC94">
            <v>86.199951171875</v>
          </cell>
          <cell r="ED94">
            <v>86.199951171875</v>
          </cell>
          <cell r="EE94" t="str">
            <v>-</v>
          </cell>
          <cell r="EF94">
            <v>86.199951171875</v>
          </cell>
          <cell r="EG94">
            <v>86.199951171875</v>
          </cell>
          <cell r="EH94" t="str">
            <v>-</v>
          </cell>
          <cell r="EI94">
            <v>86.199951171875</v>
          </cell>
          <cell r="EJ94">
            <v>86.199951171875</v>
          </cell>
          <cell r="EK94" t="str">
            <v>-</v>
          </cell>
          <cell r="EL94">
            <v>86.199951171875</v>
          </cell>
          <cell r="EM94">
            <v>86.199951171875</v>
          </cell>
          <cell r="EN94" t="str">
            <v>-</v>
          </cell>
          <cell r="EO94">
            <v>86.199951171875</v>
          </cell>
          <cell r="EP94">
            <v>86.199951171875</v>
          </cell>
          <cell r="EQ94" t="str">
            <v>-</v>
          </cell>
          <cell r="ER94">
            <v>16</v>
          </cell>
          <cell r="ES94">
            <v>1</v>
          </cell>
          <cell r="ET94">
            <v>94.1</v>
          </cell>
          <cell r="EU94">
            <v>1</v>
          </cell>
          <cell r="EV94">
            <v>3</v>
          </cell>
          <cell r="EW94">
            <v>25</v>
          </cell>
          <cell r="EX94">
            <v>11</v>
          </cell>
          <cell r="EY94">
            <v>11</v>
          </cell>
          <cell r="EZ94">
            <v>100</v>
          </cell>
          <cell r="FA94">
            <v>4</v>
          </cell>
          <cell r="FB94">
            <v>4</v>
          </cell>
          <cell r="FC94">
            <v>100</v>
          </cell>
          <cell r="FD94">
            <v>3</v>
          </cell>
          <cell r="FE94">
            <v>3</v>
          </cell>
          <cell r="FF94">
            <v>100</v>
          </cell>
          <cell r="FG94">
            <v>1</v>
          </cell>
          <cell r="FH94">
            <v>1</v>
          </cell>
          <cell r="FI94">
            <v>100</v>
          </cell>
          <cell r="FJ94">
            <v>2</v>
          </cell>
          <cell r="FK94">
            <v>2</v>
          </cell>
          <cell r="FL94">
            <v>100</v>
          </cell>
          <cell r="FM94">
            <v>100</v>
          </cell>
          <cell r="FN94">
            <v>100</v>
          </cell>
          <cell r="FO94" t="str">
            <v>-</v>
          </cell>
          <cell r="FP94">
            <v>100</v>
          </cell>
          <cell r="FQ94">
            <v>100</v>
          </cell>
          <cell r="FR94" t="str">
            <v>-</v>
          </cell>
          <cell r="FS94">
            <v>100</v>
          </cell>
          <cell r="FT94">
            <v>100</v>
          </cell>
          <cell r="FU94" t="str">
            <v>-</v>
          </cell>
          <cell r="FV94">
            <v>100</v>
          </cell>
          <cell r="FW94">
            <v>100</v>
          </cell>
          <cell r="FX94" t="str">
            <v>-</v>
          </cell>
          <cell r="FY94">
            <v>100</v>
          </cell>
          <cell r="FZ94">
            <v>100</v>
          </cell>
          <cell r="GA94" t="str">
            <v>-</v>
          </cell>
          <cell r="GB94">
            <v>100</v>
          </cell>
          <cell r="GC94">
            <v>100</v>
          </cell>
          <cell r="GD94" t="str">
            <v>-</v>
          </cell>
          <cell r="GE94">
            <v>100</v>
          </cell>
          <cell r="GF94">
            <v>100</v>
          </cell>
          <cell r="GG94" t="str">
            <v>-</v>
          </cell>
          <cell r="GH94">
            <v>100</v>
          </cell>
          <cell r="GI94">
            <v>100</v>
          </cell>
          <cell r="GJ94" t="str">
            <v>-</v>
          </cell>
          <cell r="GK94">
            <v>100</v>
          </cell>
          <cell r="GL94">
            <v>100</v>
          </cell>
          <cell r="GM94" t="str">
            <v>-</v>
          </cell>
          <cell r="GN94">
            <v>34</v>
          </cell>
          <cell r="GO94">
            <v>8</v>
          </cell>
          <cell r="GP94">
            <v>81</v>
          </cell>
          <cell r="GQ94">
            <v>47</v>
          </cell>
          <cell r="GR94">
            <v>10</v>
          </cell>
          <cell r="GS94">
            <v>82.5</v>
          </cell>
          <cell r="GT94">
            <v>43</v>
          </cell>
          <cell r="GU94">
            <v>11</v>
          </cell>
          <cell r="GV94">
            <v>79.599999999999994</v>
          </cell>
          <cell r="GW94">
            <v>47</v>
          </cell>
          <cell r="GX94">
            <v>13</v>
          </cell>
          <cell r="GY94">
            <v>78.3</v>
          </cell>
          <cell r="GZ94">
            <v>65</v>
          </cell>
          <cell r="HA94">
            <v>13</v>
          </cell>
          <cell r="HB94">
            <v>83.3</v>
          </cell>
          <cell r="HC94">
            <v>60</v>
          </cell>
          <cell r="HD94">
            <v>6</v>
          </cell>
          <cell r="HE94">
            <v>90.9</v>
          </cell>
          <cell r="HF94">
            <v>61</v>
          </cell>
          <cell r="HG94">
            <v>8</v>
          </cell>
          <cell r="HH94">
            <v>88.4</v>
          </cell>
          <cell r="HI94">
            <v>51</v>
          </cell>
          <cell r="HJ94">
            <v>6</v>
          </cell>
          <cell r="HK94">
            <v>89.5</v>
          </cell>
          <cell r="HL94">
            <v>1</v>
          </cell>
          <cell r="HM94">
            <v>2</v>
          </cell>
          <cell r="HN94">
            <v>33.299999999999997</v>
          </cell>
          <cell r="HO94">
            <v>33.29998779296875</v>
          </cell>
          <cell r="HP94">
            <v>33.29998779296875</v>
          </cell>
          <cell r="HQ94" t="str">
            <v>-</v>
          </cell>
          <cell r="HR94">
            <v>1</v>
          </cell>
          <cell r="HS94">
            <v>1</v>
          </cell>
          <cell r="HT94">
            <v>100</v>
          </cell>
          <cell r="HU94">
            <v>1</v>
          </cell>
          <cell r="HV94">
            <v>1</v>
          </cell>
          <cell r="HW94">
            <v>100</v>
          </cell>
          <cell r="HX94">
            <v>100</v>
          </cell>
          <cell r="HY94">
            <v>100</v>
          </cell>
          <cell r="HZ94" t="str">
            <v>-</v>
          </cell>
          <cell r="IA94">
            <v>1</v>
          </cell>
          <cell r="IB94">
            <v>1</v>
          </cell>
          <cell r="IC94">
            <v>100</v>
          </cell>
          <cell r="ID94">
            <v>1</v>
          </cell>
          <cell r="IE94">
            <v>1</v>
          </cell>
          <cell r="IF94">
            <v>100</v>
          </cell>
          <cell r="IG94">
            <v>1</v>
          </cell>
          <cell r="IH94">
            <v>1</v>
          </cell>
          <cell r="II94">
            <v>100</v>
          </cell>
          <cell r="IJ94">
            <v>1</v>
          </cell>
          <cell r="IK94">
            <v>1</v>
          </cell>
          <cell r="IL94">
            <v>100</v>
          </cell>
          <cell r="IM94">
            <v>100</v>
          </cell>
          <cell r="IN94">
            <v>100</v>
          </cell>
          <cell r="IO94" t="str">
            <v>-</v>
          </cell>
          <cell r="IP94">
            <v>100</v>
          </cell>
          <cell r="IQ94">
            <v>1</v>
          </cell>
          <cell r="IR94">
            <v>0</v>
          </cell>
          <cell r="IS94">
            <v>0</v>
          </cell>
          <cell r="IT94">
            <v>0</v>
          </cell>
          <cell r="IU94" t="str">
            <v>-</v>
          </cell>
          <cell r="IV94">
            <v>1</v>
          </cell>
          <cell r="IW94">
            <v>1</v>
          </cell>
          <cell r="IX94">
            <v>50</v>
          </cell>
          <cell r="IY94">
            <v>50</v>
          </cell>
          <cell r="IZ94">
            <v>50</v>
          </cell>
          <cell r="JA94" t="str">
            <v>-</v>
          </cell>
          <cell r="JB94">
            <v>50</v>
          </cell>
          <cell r="JC94">
            <v>50</v>
          </cell>
          <cell r="JD94" t="str">
            <v>-</v>
          </cell>
          <cell r="JE94">
            <v>50</v>
          </cell>
          <cell r="JF94">
            <v>50</v>
          </cell>
          <cell r="JG94" t="str">
            <v>-</v>
          </cell>
          <cell r="JH94">
            <v>0</v>
          </cell>
          <cell r="JI94">
            <v>0</v>
          </cell>
          <cell r="JJ94" t="str">
            <v>-</v>
          </cell>
          <cell r="JK94">
            <v>0</v>
          </cell>
          <cell r="JL94">
            <v>0</v>
          </cell>
          <cell r="JM94" t="str">
            <v>-</v>
          </cell>
          <cell r="JN94">
            <v>0</v>
          </cell>
          <cell r="JO94">
            <v>0</v>
          </cell>
          <cell r="JP94" t="str">
            <v>-</v>
          </cell>
          <cell r="JQ94">
            <v>353</v>
          </cell>
          <cell r="JR94">
            <v>57</v>
          </cell>
          <cell r="JS94">
            <v>86.097560975609753</v>
          </cell>
          <cell r="JT94">
            <v>258</v>
          </cell>
          <cell r="JU94">
            <v>48</v>
          </cell>
          <cell r="JV94">
            <v>84.313725490196077</v>
          </cell>
          <cell r="JW94">
            <v>0</v>
          </cell>
          <cell r="JX94">
            <v>0</v>
          </cell>
          <cell r="JY94" t="str">
            <v>-</v>
          </cell>
          <cell r="JZ94">
            <v>10</v>
          </cell>
          <cell r="KA94">
            <v>0</v>
          </cell>
          <cell r="KB94">
            <v>100</v>
          </cell>
          <cell r="KC94">
            <v>0</v>
          </cell>
          <cell r="KD94">
            <v>0</v>
          </cell>
          <cell r="KE94" t="str">
            <v>-</v>
          </cell>
          <cell r="KF94">
            <v>284</v>
          </cell>
          <cell r="KG94">
            <v>46</v>
          </cell>
          <cell r="KH94">
            <v>86.060606060606062</v>
          </cell>
          <cell r="KI94">
            <v>4</v>
          </cell>
          <cell r="KJ94">
            <v>0</v>
          </cell>
          <cell r="KK94">
            <v>100</v>
          </cell>
          <cell r="KL94">
            <v>1</v>
          </cell>
          <cell r="KM94">
            <v>1</v>
          </cell>
          <cell r="KN94">
            <v>50</v>
          </cell>
        </row>
        <row r="95">
          <cell r="C95" t="str">
            <v>Hajdúszoboszlói Rendőrkapitányság</v>
          </cell>
          <cell r="D95">
            <v>50</v>
          </cell>
          <cell r="E95">
            <v>50</v>
          </cell>
          <cell r="F95" t="str">
            <v>-</v>
          </cell>
          <cell r="G95">
            <v>50</v>
          </cell>
          <cell r="H95">
            <v>50</v>
          </cell>
          <cell r="I95" t="str">
            <v>-</v>
          </cell>
          <cell r="J95">
            <v>50</v>
          </cell>
          <cell r="K95">
            <v>50</v>
          </cell>
          <cell r="L95" t="str">
            <v>-</v>
          </cell>
          <cell r="M95">
            <v>50</v>
          </cell>
          <cell r="N95">
            <v>50</v>
          </cell>
          <cell r="O95" t="str">
            <v>-</v>
          </cell>
          <cell r="P95">
            <v>50</v>
          </cell>
          <cell r="Q95">
            <v>50</v>
          </cell>
          <cell r="R95" t="str">
            <v>-</v>
          </cell>
          <cell r="S95">
            <v>50</v>
          </cell>
          <cell r="T95">
            <v>50</v>
          </cell>
          <cell r="U95" t="str">
            <v>-</v>
          </cell>
          <cell r="V95">
            <v>50</v>
          </cell>
          <cell r="W95">
            <v>50</v>
          </cell>
          <cell r="X95" t="str">
            <v>-</v>
          </cell>
          <cell r="Y95">
            <v>50</v>
          </cell>
          <cell r="Z95">
            <v>50</v>
          </cell>
          <cell r="AA95" t="str">
            <v>-</v>
          </cell>
          <cell r="AB95">
            <v>50</v>
          </cell>
          <cell r="AC95">
            <v>50</v>
          </cell>
          <cell r="AD95" t="str">
            <v>-</v>
          </cell>
          <cell r="AE95">
            <v>50</v>
          </cell>
          <cell r="AF95">
            <v>50</v>
          </cell>
          <cell r="AG95" t="str">
            <v>-</v>
          </cell>
          <cell r="AH95">
            <v>50</v>
          </cell>
          <cell r="AI95">
            <v>50</v>
          </cell>
          <cell r="AJ95" t="str">
            <v>-</v>
          </cell>
          <cell r="AK95">
            <v>50</v>
          </cell>
          <cell r="AL95">
            <v>50</v>
          </cell>
          <cell r="AM95" t="str">
            <v>-</v>
          </cell>
          <cell r="AN95">
            <v>50</v>
          </cell>
          <cell r="AO95">
            <v>50</v>
          </cell>
          <cell r="AP95" t="str">
            <v>-</v>
          </cell>
          <cell r="AQ95">
            <v>50</v>
          </cell>
          <cell r="AR95">
            <v>50</v>
          </cell>
          <cell r="AS95" t="str">
            <v>-</v>
          </cell>
          <cell r="AT95">
            <v>50</v>
          </cell>
          <cell r="AU95">
            <v>50</v>
          </cell>
          <cell r="AV95" t="str">
            <v>-</v>
          </cell>
          <cell r="AW95">
            <v>50</v>
          </cell>
          <cell r="AX95">
            <v>50</v>
          </cell>
          <cell r="AY95" t="str">
            <v>-</v>
          </cell>
          <cell r="AZ95">
            <v>50</v>
          </cell>
          <cell r="BA95">
            <v>50</v>
          </cell>
          <cell r="BB95" t="str">
            <v>-</v>
          </cell>
          <cell r="BC95">
            <v>50</v>
          </cell>
          <cell r="BD95">
            <v>50</v>
          </cell>
          <cell r="BE95" t="str">
            <v>-</v>
          </cell>
          <cell r="BF95">
            <v>50</v>
          </cell>
          <cell r="BG95">
            <v>50</v>
          </cell>
          <cell r="BH95" t="str">
            <v>-</v>
          </cell>
          <cell r="BI95">
            <v>50</v>
          </cell>
          <cell r="BJ95">
            <v>50</v>
          </cell>
          <cell r="BK95" t="str">
            <v>-</v>
          </cell>
          <cell r="BL95">
            <v>50</v>
          </cell>
          <cell r="BM95">
            <v>50</v>
          </cell>
          <cell r="BN95" t="str">
            <v>-</v>
          </cell>
          <cell r="BO95">
            <v>50</v>
          </cell>
          <cell r="BP95">
            <v>50</v>
          </cell>
          <cell r="BQ95" t="str">
            <v>-</v>
          </cell>
          <cell r="BR95">
            <v>50</v>
          </cell>
          <cell r="BS95">
            <v>50</v>
          </cell>
          <cell r="BT95" t="str">
            <v>-</v>
          </cell>
          <cell r="BU95">
            <v>50</v>
          </cell>
          <cell r="BV95">
            <v>50</v>
          </cell>
          <cell r="BW95" t="str">
            <v>-</v>
          </cell>
          <cell r="BX95">
            <v>83</v>
          </cell>
          <cell r="BY95">
            <v>13</v>
          </cell>
          <cell r="BZ95">
            <v>86.5</v>
          </cell>
          <cell r="CA95">
            <v>81</v>
          </cell>
          <cell r="CB95">
            <v>18</v>
          </cell>
          <cell r="CC95">
            <v>81.8</v>
          </cell>
          <cell r="CD95">
            <v>98</v>
          </cell>
          <cell r="CE95">
            <v>9</v>
          </cell>
          <cell r="CF95">
            <v>91.6</v>
          </cell>
          <cell r="CG95">
            <v>89</v>
          </cell>
          <cell r="CH95">
            <v>12</v>
          </cell>
          <cell r="CI95">
            <v>88.1</v>
          </cell>
          <cell r="CJ95">
            <v>101</v>
          </cell>
          <cell r="CK95">
            <v>14</v>
          </cell>
          <cell r="CL95">
            <v>87.8</v>
          </cell>
          <cell r="CM95">
            <v>88</v>
          </cell>
          <cell r="CN95">
            <v>27</v>
          </cell>
          <cell r="CO95">
            <v>76.5</v>
          </cell>
          <cell r="CP95">
            <v>52</v>
          </cell>
          <cell r="CQ95">
            <v>8</v>
          </cell>
          <cell r="CR95">
            <v>86.7</v>
          </cell>
          <cell r="CS95">
            <v>53</v>
          </cell>
          <cell r="CT95">
            <v>6</v>
          </cell>
          <cell r="CU95">
            <v>89.8</v>
          </cell>
          <cell r="CV95">
            <v>74</v>
          </cell>
          <cell r="CW95">
            <v>11</v>
          </cell>
          <cell r="CX95">
            <v>87.1</v>
          </cell>
          <cell r="CY95">
            <v>60</v>
          </cell>
          <cell r="CZ95">
            <v>14</v>
          </cell>
          <cell r="DA95">
            <v>81.099999999999994</v>
          </cell>
          <cell r="DB95">
            <v>44</v>
          </cell>
          <cell r="DC95">
            <v>9</v>
          </cell>
          <cell r="DD95">
            <v>83</v>
          </cell>
          <cell r="DE95">
            <v>46</v>
          </cell>
          <cell r="DF95">
            <v>11</v>
          </cell>
          <cell r="DG95">
            <v>80.7</v>
          </cell>
          <cell r="DH95">
            <v>38</v>
          </cell>
          <cell r="DI95">
            <v>12</v>
          </cell>
          <cell r="DJ95">
            <v>76</v>
          </cell>
          <cell r="DK95">
            <v>57</v>
          </cell>
          <cell r="DL95">
            <v>19</v>
          </cell>
          <cell r="DM95">
            <v>75</v>
          </cell>
          <cell r="DN95">
            <v>33</v>
          </cell>
          <cell r="DO95">
            <v>8</v>
          </cell>
          <cell r="DP95">
            <v>80.5</v>
          </cell>
          <cell r="DQ95">
            <v>34</v>
          </cell>
          <cell r="DR95">
            <v>4</v>
          </cell>
          <cell r="DS95">
            <v>89.5</v>
          </cell>
          <cell r="DT95">
            <v>89.5</v>
          </cell>
          <cell r="DU95">
            <v>89.5</v>
          </cell>
          <cell r="DV95" t="str">
            <v>-</v>
          </cell>
          <cell r="DW95">
            <v>89.5</v>
          </cell>
          <cell r="DX95">
            <v>89.5</v>
          </cell>
          <cell r="DY95" t="str">
            <v>-</v>
          </cell>
          <cell r="DZ95">
            <v>89.5</v>
          </cell>
          <cell r="EA95">
            <v>89.5</v>
          </cell>
          <cell r="EB95" t="str">
            <v>-</v>
          </cell>
          <cell r="EC95">
            <v>89.5</v>
          </cell>
          <cell r="ED95">
            <v>89.5</v>
          </cell>
          <cell r="EE95" t="str">
            <v>-</v>
          </cell>
          <cell r="EF95">
            <v>89.5</v>
          </cell>
          <cell r="EG95">
            <v>89.5</v>
          </cell>
          <cell r="EH95" t="str">
            <v>-</v>
          </cell>
          <cell r="EI95">
            <v>89.5</v>
          </cell>
          <cell r="EJ95">
            <v>89.5</v>
          </cell>
          <cell r="EK95" t="str">
            <v>-</v>
          </cell>
          <cell r="EL95">
            <v>89.5</v>
          </cell>
          <cell r="EM95">
            <v>89.5</v>
          </cell>
          <cell r="EN95" t="str">
            <v>-</v>
          </cell>
          <cell r="EO95">
            <v>89.5</v>
          </cell>
          <cell r="EP95">
            <v>89.5</v>
          </cell>
          <cell r="EQ95" t="str">
            <v>-</v>
          </cell>
          <cell r="ER95">
            <v>1</v>
          </cell>
          <cell r="ES95">
            <v>1</v>
          </cell>
          <cell r="ET95">
            <v>50</v>
          </cell>
          <cell r="EU95">
            <v>50</v>
          </cell>
          <cell r="EV95">
            <v>50</v>
          </cell>
          <cell r="EW95" t="str">
            <v>-</v>
          </cell>
          <cell r="EX95">
            <v>5</v>
          </cell>
          <cell r="EY95">
            <v>1</v>
          </cell>
          <cell r="EZ95">
            <v>83.3</v>
          </cell>
          <cell r="FA95">
            <v>4</v>
          </cell>
          <cell r="FB95">
            <v>1</v>
          </cell>
          <cell r="FC95">
            <v>80</v>
          </cell>
          <cell r="FD95">
            <v>8</v>
          </cell>
          <cell r="FE95">
            <v>1</v>
          </cell>
          <cell r="FF95">
            <v>88.9</v>
          </cell>
          <cell r="FG95">
            <v>88.89996337890625</v>
          </cell>
          <cell r="FH95">
            <v>88.89996337890625</v>
          </cell>
          <cell r="FI95" t="str">
            <v>-</v>
          </cell>
          <cell r="FJ95">
            <v>1</v>
          </cell>
          <cell r="FK95">
            <v>1</v>
          </cell>
          <cell r="FL95">
            <v>100</v>
          </cell>
          <cell r="FM95">
            <v>1</v>
          </cell>
          <cell r="FN95">
            <v>1</v>
          </cell>
          <cell r="FO95">
            <v>100</v>
          </cell>
          <cell r="FP95">
            <v>100</v>
          </cell>
          <cell r="FQ95">
            <v>100</v>
          </cell>
          <cell r="FR95" t="str">
            <v>-</v>
          </cell>
          <cell r="FS95">
            <v>100</v>
          </cell>
          <cell r="FT95">
            <v>100</v>
          </cell>
          <cell r="FU95" t="str">
            <v>-</v>
          </cell>
          <cell r="FV95">
            <v>100</v>
          </cell>
          <cell r="FW95">
            <v>100</v>
          </cell>
          <cell r="FX95" t="str">
            <v>-</v>
          </cell>
          <cell r="FY95">
            <v>100</v>
          </cell>
          <cell r="FZ95">
            <v>100</v>
          </cell>
          <cell r="GA95" t="str">
            <v>-</v>
          </cell>
          <cell r="GB95">
            <v>100</v>
          </cell>
          <cell r="GC95">
            <v>100</v>
          </cell>
          <cell r="GD95" t="str">
            <v>-</v>
          </cell>
          <cell r="GE95">
            <v>100</v>
          </cell>
          <cell r="GF95">
            <v>100</v>
          </cell>
          <cell r="GG95" t="str">
            <v>-</v>
          </cell>
          <cell r="GH95">
            <v>100</v>
          </cell>
          <cell r="GI95">
            <v>100</v>
          </cell>
          <cell r="GJ95" t="str">
            <v>-</v>
          </cell>
          <cell r="GK95">
            <v>100</v>
          </cell>
          <cell r="GL95">
            <v>100</v>
          </cell>
          <cell r="GM95" t="str">
            <v>-</v>
          </cell>
          <cell r="GN95">
            <v>28</v>
          </cell>
          <cell r="GO95">
            <v>8</v>
          </cell>
          <cell r="GP95">
            <v>77.8</v>
          </cell>
          <cell r="GQ95">
            <v>38</v>
          </cell>
          <cell r="GR95">
            <v>2</v>
          </cell>
          <cell r="GS95">
            <v>95</v>
          </cell>
          <cell r="GT95">
            <v>40</v>
          </cell>
          <cell r="GU95">
            <v>5</v>
          </cell>
          <cell r="GV95">
            <v>88.9</v>
          </cell>
          <cell r="GW95">
            <v>66</v>
          </cell>
          <cell r="GX95">
            <v>19</v>
          </cell>
          <cell r="GY95">
            <v>77.599999999999994</v>
          </cell>
          <cell r="GZ95">
            <v>44</v>
          </cell>
          <cell r="HA95">
            <v>10</v>
          </cell>
          <cell r="HB95">
            <v>81.5</v>
          </cell>
          <cell r="HC95">
            <v>33</v>
          </cell>
          <cell r="HD95">
            <v>4</v>
          </cell>
          <cell r="HE95">
            <v>89.2</v>
          </cell>
          <cell r="HF95">
            <v>27</v>
          </cell>
          <cell r="HG95">
            <v>5</v>
          </cell>
          <cell r="HH95">
            <v>84.4</v>
          </cell>
          <cell r="HI95">
            <v>22</v>
          </cell>
          <cell r="HJ95">
            <v>22</v>
          </cell>
          <cell r="HK95">
            <v>100</v>
          </cell>
          <cell r="HL95">
            <v>2</v>
          </cell>
          <cell r="HM95">
            <v>2</v>
          </cell>
          <cell r="HN95">
            <v>100</v>
          </cell>
          <cell r="HO95">
            <v>3</v>
          </cell>
          <cell r="HP95">
            <v>4</v>
          </cell>
          <cell r="HQ95">
            <v>42.9</v>
          </cell>
          <cell r="HR95">
            <v>4</v>
          </cell>
          <cell r="HS95">
            <v>4</v>
          </cell>
          <cell r="HT95">
            <v>100</v>
          </cell>
          <cell r="HU95">
            <v>100</v>
          </cell>
          <cell r="HV95">
            <v>3</v>
          </cell>
          <cell r="HW95">
            <v>0</v>
          </cell>
          <cell r="HX95">
            <v>1</v>
          </cell>
          <cell r="HY95">
            <v>1</v>
          </cell>
          <cell r="HZ95">
            <v>50</v>
          </cell>
          <cell r="IA95">
            <v>3</v>
          </cell>
          <cell r="IB95">
            <v>3</v>
          </cell>
          <cell r="IC95">
            <v>100</v>
          </cell>
          <cell r="ID95">
            <v>1</v>
          </cell>
          <cell r="IE95">
            <v>1</v>
          </cell>
          <cell r="IF95">
            <v>100</v>
          </cell>
          <cell r="IG95">
            <v>1</v>
          </cell>
          <cell r="IH95">
            <v>1</v>
          </cell>
          <cell r="II95">
            <v>100</v>
          </cell>
          <cell r="IJ95">
            <v>100</v>
          </cell>
          <cell r="IK95">
            <v>100</v>
          </cell>
          <cell r="IL95" t="str">
            <v>-</v>
          </cell>
          <cell r="IM95">
            <v>1</v>
          </cell>
          <cell r="IN95">
            <v>1</v>
          </cell>
          <cell r="IO95">
            <v>100</v>
          </cell>
          <cell r="IP95">
            <v>100</v>
          </cell>
          <cell r="IQ95">
            <v>100</v>
          </cell>
          <cell r="IR95" t="str">
            <v>-</v>
          </cell>
          <cell r="IS95">
            <v>100</v>
          </cell>
          <cell r="IT95">
            <v>100</v>
          </cell>
          <cell r="IU95" t="str">
            <v>-</v>
          </cell>
          <cell r="IV95">
            <v>100</v>
          </cell>
          <cell r="IW95">
            <v>100</v>
          </cell>
          <cell r="IX95" t="str">
            <v>-</v>
          </cell>
          <cell r="IY95">
            <v>100</v>
          </cell>
          <cell r="IZ95">
            <v>100</v>
          </cell>
          <cell r="JA95" t="str">
            <v>-</v>
          </cell>
          <cell r="JB95">
            <v>1</v>
          </cell>
          <cell r="JC95">
            <v>1</v>
          </cell>
          <cell r="JD95">
            <v>100</v>
          </cell>
          <cell r="JE95">
            <v>100</v>
          </cell>
          <cell r="JF95">
            <v>100</v>
          </cell>
          <cell r="JG95" t="str">
            <v>-</v>
          </cell>
          <cell r="JH95">
            <v>0</v>
          </cell>
          <cell r="JI95">
            <v>0</v>
          </cell>
          <cell r="JJ95" t="str">
            <v>-</v>
          </cell>
          <cell r="JK95">
            <v>0</v>
          </cell>
          <cell r="JL95">
            <v>0</v>
          </cell>
          <cell r="JM95" t="str">
            <v>-</v>
          </cell>
          <cell r="JN95">
            <v>0</v>
          </cell>
          <cell r="JO95">
            <v>0</v>
          </cell>
          <cell r="JP95" t="str">
            <v>-</v>
          </cell>
          <cell r="JQ95">
            <v>383</v>
          </cell>
          <cell r="JR95">
            <v>67</v>
          </cell>
          <cell r="JS95">
            <v>85.111111111111114</v>
          </cell>
          <cell r="JT95">
            <v>208</v>
          </cell>
          <cell r="JU95">
            <v>54</v>
          </cell>
          <cell r="JV95">
            <v>79.389312977099237</v>
          </cell>
          <cell r="JW95">
            <v>0</v>
          </cell>
          <cell r="JX95">
            <v>0</v>
          </cell>
          <cell r="JY95" t="str">
            <v>-</v>
          </cell>
          <cell r="JZ95">
            <v>14</v>
          </cell>
          <cell r="KA95">
            <v>2</v>
          </cell>
          <cell r="KB95">
            <v>87.5</v>
          </cell>
          <cell r="KC95">
            <v>0</v>
          </cell>
          <cell r="KD95">
            <v>0</v>
          </cell>
          <cell r="KE95" t="str">
            <v>-</v>
          </cell>
          <cell r="KF95">
            <v>192</v>
          </cell>
          <cell r="KG95">
            <v>38</v>
          </cell>
          <cell r="KH95">
            <v>83.478260869565219</v>
          </cell>
          <cell r="KI95">
            <v>6</v>
          </cell>
          <cell r="KJ95">
            <v>4</v>
          </cell>
          <cell r="KK95">
            <v>60</v>
          </cell>
          <cell r="KL95">
            <v>1</v>
          </cell>
          <cell r="KM95">
            <v>0</v>
          </cell>
          <cell r="KN95">
            <v>100</v>
          </cell>
        </row>
        <row r="96">
          <cell r="C96" t="str">
            <v>Hajdúnánási Rendőrkapitányság</v>
          </cell>
          <cell r="D96">
            <v>100</v>
          </cell>
          <cell r="E96">
            <v>100</v>
          </cell>
          <cell r="F96" t="str">
            <v>-</v>
          </cell>
          <cell r="G96">
            <v>100</v>
          </cell>
          <cell r="H96">
            <v>100</v>
          </cell>
          <cell r="I96" t="str">
            <v>-</v>
          </cell>
          <cell r="J96">
            <v>100</v>
          </cell>
          <cell r="K96">
            <v>100</v>
          </cell>
          <cell r="L96" t="str">
            <v>-</v>
          </cell>
          <cell r="M96">
            <v>1</v>
          </cell>
          <cell r="N96">
            <v>1</v>
          </cell>
          <cell r="O96">
            <v>100</v>
          </cell>
          <cell r="P96">
            <v>100</v>
          </cell>
          <cell r="Q96">
            <v>100</v>
          </cell>
          <cell r="R96" t="str">
            <v>-</v>
          </cell>
          <cell r="S96">
            <v>100</v>
          </cell>
          <cell r="T96">
            <v>100</v>
          </cell>
          <cell r="U96" t="str">
            <v>-</v>
          </cell>
          <cell r="V96">
            <v>100</v>
          </cell>
          <cell r="W96">
            <v>100</v>
          </cell>
          <cell r="X96" t="str">
            <v>-</v>
          </cell>
          <cell r="Y96">
            <v>100</v>
          </cell>
          <cell r="Z96">
            <v>100</v>
          </cell>
          <cell r="AA96" t="str">
            <v>-</v>
          </cell>
          <cell r="AB96">
            <v>100</v>
          </cell>
          <cell r="AC96">
            <v>100</v>
          </cell>
          <cell r="AD96" t="str">
            <v>-</v>
          </cell>
          <cell r="AE96">
            <v>100</v>
          </cell>
          <cell r="AF96">
            <v>100</v>
          </cell>
          <cell r="AG96" t="str">
            <v>-</v>
          </cell>
          <cell r="AH96">
            <v>100</v>
          </cell>
          <cell r="AI96">
            <v>100</v>
          </cell>
          <cell r="AJ96" t="str">
            <v>-</v>
          </cell>
          <cell r="AK96">
            <v>100</v>
          </cell>
          <cell r="AL96">
            <v>100</v>
          </cell>
          <cell r="AM96" t="str">
            <v>-</v>
          </cell>
          <cell r="AN96">
            <v>100</v>
          </cell>
          <cell r="AO96">
            <v>100</v>
          </cell>
          <cell r="AP96" t="str">
            <v>-</v>
          </cell>
          <cell r="AQ96">
            <v>100</v>
          </cell>
          <cell r="AR96">
            <v>100</v>
          </cell>
          <cell r="AS96" t="str">
            <v>-</v>
          </cell>
          <cell r="AT96">
            <v>100</v>
          </cell>
          <cell r="AU96">
            <v>100</v>
          </cell>
          <cell r="AV96" t="str">
            <v>-</v>
          </cell>
          <cell r="AW96">
            <v>100</v>
          </cell>
          <cell r="AX96">
            <v>100</v>
          </cell>
          <cell r="AY96" t="str">
            <v>-</v>
          </cell>
          <cell r="AZ96">
            <v>100</v>
          </cell>
          <cell r="BA96">
            <v>100</v>
          </cell>
          <cell r="BB96" t="str">
            <v>-</v>
          </cell>
          <cell r="BC96">
            <v>100</v>
          </cell>
          <cell r="BD96">
            <v>100</v>
          </cell>
          <cell r="BE96" t="str">
            <v>-</v>
          </cell>
          <cell r="BF96">
            <v>100</v>
          </cell>
          <cell r="BG96">
            <v>100</v>
          </cell>
          <cell r="BH96" t="str">
            <v>-</v>
          </cell>
          <cell r="BI96">
            <v>1</v>
          </cell>
          <cell r="BJ96">
            <v>1</v>
          </cell>
          <cell r="BK96">
            <v>100</v>
          </cell>
          <cell r="BL96">
            <v>100</v>
          </cell>
          <cell r="BM96">
            <v>100</v>
          </cell>
          <cell r="BN96" t="str">
            <v>-</v>
          </cell>
          <cell r="BO96">
            <v>100</v>
          </cell>
          <cell r="BP96">
            <v>100</v>
          </cell>
          <cell r="BQ96" t="str">
            <v>-</v>
          </cell>
          <cell r="BR96">
            <v>100</v>
          </cell>
          <cell r="BS96">
            <v>100</v>
          </cell>
          <cell r="BT96" t="str">
            <v>-</v>
          </cell>
          <cell r="BU96">
            <v>100</v>
          </cell>
          <cell r="BV96">
            <v>100</v>
          </cell>
          <cell r="BW96" t="str">
            <v>-</v>
          </cell>
          <cell r="BX96">
            <v>87</v>
          </cell>
          <cell r="BY96">
            <v>17</v>
          </cell>
          <cell r="BZ96">
            <v>83.7</v>
          </cell>
          <cell r="CA96">
            <v>77</v>
          </cell>
          <cell r="CB96">
            <v>16</v>
          </cell>
          <cell r="CC96">
            <v>82.8</v>
          </cell>
          <cell r="CD96">
            <v>70</v>
          </cell>
          <cell r="CE96">
            <v>15</v>
          </cell>
          <cell r="CF96">
            <v>82.4</v>
          </cell>
          <cell r="CG96">
            <v>112</v>
          </cell>
          <cell r="CH96">
            <v>17</v>
          </cell>
          <cell r="CI96">
            <v>86.8</v>
          </cell>
          <cell r="CJ96">
            <v>112</v>
          </cell>
          <cell r="CK96">
            <v>20</v>
          </cell>
          <cell r="CL96">
            <v>84.8</v>
          </cell>
          <cell r="CM96">
            <v>64</v>
          </cell>
          <cell r="CN96">
            <v>8</v>
          </cell>
          <cell r="CO96">
            <v>88.9</v>
          </cell>
          <cell r="CP96">
            <v>54</v>
          </cell>
          <cell r="CQ96">
            <v>6</v>
          </cell>
          <cell r="CR96">
            <v>90</v>
          </cell>
          <cell r="CS96">
            <v>45</v>
          </cell>
          <cell r="CT96">
            <v>1</v>
          </cell>
          <cell r="CU96">
            <v>97.8</v>
          </cell>
          <cell r="CV96">
            <v>62</v>
          </cell>
          <cell r="CW96">
            <v>16</v>
          </cell>
          <cell r="CX96">
            <v>79.5</v>
          </cell>
          <cell r="CY96">
            <v>51</v>
          </cell>
          <cell r="CZ96">
            <v>15</v>
          </cell>
          <cell r="DA96">
            <v>77.3</v>
          </cell>
          <cell r="DB96">
            <v>30</v>
          </cell>
          <cell r="DC96">
            <v>15</v>
          </cell>
          <cell r="DD96">
            <v>66.7</v>
          </cell>
          <cell r="DE96">
            <v>63</v>
          </cell>
          <cell r="DF96">
            <v>13</v>
          </cell>
          <cell r="DG96">
            <v>82.9</v>
          </cell>
          <cell r="DH96">
            <v>63</v>
          </cell>
          <cell r="DI96">
            <v>18</v>
          </cell>
          <cell r="DJ96">
            <v>77.8</v>
          </cell>
          <cell r="DK96">
            <v>38</v>
          </cell>
          <cell r="DL96">
            <v>6</v>
          </cell>
          <cell r="DM96">
            <v>86.4</v>
          </cell>
          <cell r="DN96">
            <v>36</v>
          </cell>
          <cell r="DO96">
            <v>3</v>
          </cell>
          <cell r="DP96">
            <v>92.3</v>
          </cell>
          <cell r="DQ96">
            <v>30</v>
          </cell>
          <cell r="DR96">
            <v>30</v>
          </cell>
          <cell r="DS96">
            <v>100</v>
          </cell>
          <cell r="DT96">
            <v>100</v>
          </cell>
          <cell r="DU96">
            <v>100</v>
          </cell>
          <cell r="DV96" t="str">
            <v>-</v>
          </cell>
          <cell r="DW96">
            <v>100</v>
          </cell>
          <cell r="DX96">
            <v>100</v>
          </cell>
          <cell r="DY96" t="str">
            <v>-</v>
          </cell>
          <cell r="DZ96">
            <v>100</v>
          </cell>
          <cell r="EA96">
            <v>100</v>
          </cell>
          <cell r="EB96" t="str">
            <v>-</v>
          </cell>
          <cell r="EC96">
            <v>100</v>
          </cell>
          <cell r="ED96">
            <v>100</v>
          </cell>
          <cell r="EE96" t="str">
            <v>-</v>
          </cell>
          <cell r="EF96">
            <v>100</v>
          </cell>
          <cell r="EG96">
            <v>100</v>
          </cell>
          <cell r="EH96" t="str">
            <v>-</v>
          </cell>
          <cell r="EI96">
            <v>100</v>
          </cell>
          <cell r="EJ96">
            <v>100</v>
          </cell>
          <cell r="EK96" t="str">
            <v>-</v>
          </cell>
          <cell r="EL96">
            <v>100</v>
          </cell>
          <cell r="EM96">
            <v>100</v>
          </cell>
          <cell r="EN96" t="str">
            <v>-</v>
          </cell>
          <cell r="EO96">
            <v>100</v>
          </cell>
          <cell r="EP96">
            <v>100</v>
          </cell>
          <cell r="EQ96" t="str">
            <v>-</v>
          </cell>
          <cell r="ER96">
            <v>2</v>
          </cell>
          <cell r="ES96">
            <v>5</v>
          </cell>
          <cell r="ET96">
            <v>28.6</v>
          </cell>
          <cell r="EU96">
            <v>5</v>
          </cell>
          <cell r="EV96">
            <v>7</v>
          </cell>
          <cell r="EW96">
            <v>41.7</v>
          </cell>
          <cell r="EX96">
            <v>6</v>
          </cell>
          <cell r="EY96">
            <v>4</v>
          </cell>
          <cell r="EZ96">
            <v>60</v>
          </cell>
          <cell r="FA96">
            <v>1</v>
          </cell>
          <cell r="FB96">
            <v>5</v>
          </cell>
          <cell r="FC96">
            <v>16.7</v>
          </cell>
          <cell r="FD96">
            <v>2</v>
          </cell>
          <cell r="FE96">
            <v>3</v>
          </cell>
          <cell r="FF96">
            <v>40</v>
          </cell>
          <cell r="FG96">
            <v>8</v>
          </cell>
          <cell r="FH96">
            <v>8</v>
          </cell>
          <cell r="FI96">
            <v>100</v>
          </cell>
          <cell r="FJ96">
            <v>2</v>
          </cell>
          <cell r="FK96">
            <v>7</v>
          </cell>
          <cell r="FL96">
            <v>22.2</v>
          </cell>
          <cell r="FM96">
            <v>3</v>
          </cell>
          <cell r="FN96">
            <v>3</v>
          </cell>
          <cell r="FO96">
            <v>100</v>
          </cell>
          <cell r="FP96">
            <v>100</v>
          </cell>
          <cell r="FQ96">
            <v>100</v>
          </cell>
          <cell r="FR96" t="str">
            <v>-</v>
          </cell>
          <cell r="FS96">
            <v>100</v>
          </cell>
          <cell r="FT96">
            <v>100</v>
          </cell>
          <cell r="FU96" t="str">
            <v>-</v>
          </cell>
          <cell r="FV96">
            <v>100</v>
          </cell>
          <cell r="FW96">
            <v>100</v>
          </cell>
          <cell r="FX96" t="str">
            <v>-</v>
          </cell>
          <cell r="FY96">
            <v>100</v>
          </cell>
          <cell r="FZ96">
            <v>100</v>
          </cell>
          <cell r="GA96" t="str">
            <v>-</v>
          </cell>
          <cell r="GB96">
            <v>100</v>
          </cell>
          <cell r="GC96">
            <v>100</v>
          </cell>
          <cell r="GD96" t="str">
            <v>-</v>
          </cell>
          <cell r="GE96">
            <v>100</v>
          </cell>
          <cell r="GF96">
            <v>100</v>
          </cell>
          <cell r="GG96" t="str">
            <v>-</v>
          </cell>
          <cell r="GH96">
            <v>100</v>
          </cell>
          <cell r="GI96">
            <v>100</v>
          </cell>
          <cell r="GJ96" t="str">
            <v>-</v>
          </cell>
          <cell r="GK96">
            <v>100</v>
          </cell>
          <cell r="GL96">
            <v>100</v>
          </cell>
          <cell r="GM96" t="str">
            <v>-</v>
          </cell>
          <cell r="GN96">
            <v>58</v>
          </cell>
          <cell r="GO96">
            <v>18</v>
          </cell>
          <cell r="GP96">
            <v>76.3</v>
          </cell>
          <cell r="GQ96">
            <v>51</v>
          </cell>
          <cell r="GR96">
            <v>15</v>
          </cell>
          <cell r="GS96">
            <v>77.3</v>
          </cell>
          <cell r="GT96">
            <v>54</v>
          </cell>
          <cell r="GU96">
            <v>22</v>
          </cell>
          <cell r="GV96">
            <v>71.099999999999994</v>
          </cell>
          <cell r="GW96">
            <v>75</v>
          </cell>
          <cell r="GX96">
            <v>17</v>
          </cell>
          <cell r="GY96">
            <v>81.5</v>
          </cell>
          <cell r="GZ96">
            <v>76</v>
          </cell>
          <cell r="HA96">
            <v>26</v>
          </cell>
          <cell r="HB96">
            <v>74.5</v>
          </cell>
          <cell r="HC96">
            <v>64</v>
          </cell>
          <cell r="HD96">
            <v>9</v>
          </cell>
          <cell r="HE96">
            <v>87.7</v>
          </cell>
          <cell r="HF96">
            <v>36</v>
          </cell>
          <cell r="HG96">
            <v>3</v>
          </cell>
          <cell r="HH96">
            <v>92.3</v>
          </cell>
          <cell r="HI96">
            <v>48</v>
          </cell>
          <cell r="HJ96">
            <v>2</v>
          </cell>
          <cell r="HK96">
            <v>96</v>
          </cell>
          <cell r="HL96">
            <v>2</v>
          </cell>
          <cell r="HM96">
            <v>3</v>
          </cell>
          <cell r="HN96">
            <v>40</v>
          </cell>
          <cell r="HO96">
            <v>1</v>
          </cell>
          <cell r="HP96">
            <v>1</v>
          </cell>
          <cell r="HQ96">
            <v>100</v>
          </cell>
          <cell r="HR96">
            <v>2</v>
          </cell>
          <cell r="HS96">
            <v>1</v>
          </cell>
          <cell r="HT96">
            <v>66.7</v>
          </cell>
          <cell r="HU96">
            <v>1</v>
          </cell>
          <cell r="HV96">
            <v>1</v>
          </cell>
          <cell r="HW96">
            <v>100</v>
          </cell>
          <cell r="HX96">
            <v>3</v>
          </cell>
          <cell r="HY96">
            <v>2</v>
          </cell>
          <cell r="HZ96">
            <v>60</v>
          </cell>
          <cell r="IA96">
            <v>1</v>
          </cell>
          <cell r="IB96">
            <v>1</v>
          </cell>
          <cell r="IC96">
            <v>100</v>
          </cell>
          <cell r="ID96">
            <v>100</v>
          </cell>
          <cell r="IE96">
            <v>100</v>
          </cell>
          <cell r="IF96" t="str">
            <v>-</v>
          </cell>
          <cell r="IG96">
            <v>100</v>
          </cell>
          <cell r="IH96">
            <v>100</v>
          </cell>
          <cell r="II96" t="str">
            <v>-</v>
          </cell>
          <cell r="IJ96">
            <v>1</v>
          </cell>
          <cell r="IK96">
            <v>1</v>
          </cell>
          <cell r="IL96">
            <v>100</v>
          </cell>
          <cell r="IM96">
            <v>100</v>
          </cell>
          <cell r="IN96">
            <v>100</v>
          </cell>
          <cell r="IO96" t="str">
            <v>-</v>
          </cell>
          <cell r="IP96">
            <v>100</v>
          </cell>
          <cell r="IQ96">
            <v>100</v>
          </cell>
          <cell r="IR96" t="str">
            <v>-</v>
          </cell>
          <cell r="IS96">
            <v>100</v>
          </cell>
          <cell r="IT96">
            <v>1</v>
          </cell>
          <cell r="IU96">
            <v>0</v>
          </cell>
          <cell r="IV96">
            <v>1</v>
          </cell>
          <cell r="IW96">
            <v>1</v>
          </cell>
          <cell r="IX96">
            <v>100</v>
          </cell>
          <cell r="IY96">
            <v>100</v>
          </cell>
          <cell r="IZ96">
            <v>100</v>
          </cell>
          <cell r="JA96" t="str">
            <v>-</v>
          </cell>
          <cell r="JB96">
            <v>100</v>
          </cell>
          <cell r="JC96">
            <v>100</v>
          </cell>
          <cell r="JD96" t="str">
            <v>-</v>
          </cell>
          <cell r="JE96">
            <v>100</v>
          </cell>
          <cell r="JF96">
            <v>100</v>
          </cell>
          <cell r="JG96" t="str">
            <v>-</v>
          </cell>
          <cell r="JH96">
            <v>1</v>
          </cell>
          <cell r="JI96">
            <v>0</v>
          </cell>
          <cell r="JJ96">
            <v>100</v>
          </cell>
          <cell r="JK96">
            <v>0</v>
          </cell>
          <cell r="JL96">
            <v>0</v>
          </cell>
          <cell r="JM96" t="str">
            <v>-</v>
          </cell>
          <cell r="JN96">
            <v>1</v>
          </cell>
          <cell r="JO96">
            <v>0</v>
          </cell>
          <cell r="JP96">
            <v>100</v>
          </cell>
          <cell r="JQ96">
            <v>387</v>
          </cell>
          <cell r="JR96">
            <v>52</v>
          </cell>
          <cell r="JS96">
            <v>88.154897494305246</v>
          </cell>
          <cell r="JT96">
            <v>230</v>
          </cell>
          <cell r="JU96">
            <v>40</v>
          </cell>
          <cell r="JV96">
            <v>85.18518518518519</v>
          </cell>
          <cell r="JW96">
            <v>0</v>
          </cell>
          <cell r="JX96">
            <v>0</v>
          </cell>
          <cell r="JY96" t="str">
            <v>-</v>
          </cell>
          <cell r="JZ96">
            <v>16</v>
          </cell>
          <cell r="KA96">
            <v>15</v>
          </cell>
          <cell r="KB96">
            <v>51.612903225806448</v>
          </cell>
          <cell r="KC96">
            <v>0</v>
          </cell>
          <cell r="KD96">
            <v>0</v>
          </cell>
          <cell r="KE96" t="str">
            <v>-</v>
          </cell>
          <cell r="KF96">
            <v>299</v>
          </cell>
          <cell r="KG96">
            <v>57</v>
          </cell>
          <cell r="KH96">
            <v>83.988764044943821</v>
          </cell>
          <cell r="KI96">
            <v>5</v>
          </cell>
          <cell r="KJ96">
            <v>2</v>
          </cell>
          <cell r="KK96">
            <v>71.428571428571431</v>
          </cell>
          <cell r="KL96">
            <v>1</v>
          </cell>
          <cell r="KM96">
            <v>1</v>
          </cell>
          <cell r="KN96">
            <v>50</v>
          </cell>
        </row>
        <row r="97">
          <cell r="C97" t="str">
            <v>Püspökladányi Rendőrkapitányság</v>
          </cell>
          <cell r="D97">
            <v>50</v>
          </cell>
          <cell r="E97">
            <v>50</v>
          </cell>
          <cell r="F97" t="str">
            <v>-</v>
          </cell>
          <cell r="G97">
            <v>50</v>
          </cell>
          <cell r="H97">
            <v>50</v>
          </cell>
          <cell r="I97" t="str">
            <v>-</v>
          </cell>
          <cell r="J97">
            <v>50</v>
          </cell>
          <cell r="K97">
            <v>50</v>
          </cell>
          <cell r="L97" t="str">
            <v>-</v>
          </cell>
          <cell r="M97">
            <v>50</v>
          </cell>
          <cell r="N97">
            <v>50</v>
          </cell>
          <cell r="O97" t="str">
            <v>-</v>
          </cell>
          <cell r="P97">
            <v>50</v>
          </cell>
          <cell r="Q97">
            <v>50</v>
          </cell>
          <cell r="R97" t="str">
            <v>-</v>
          </cell>
          <cell r="S97">
            <v>50</v>
          </cell>
          <cell r="T97">
            <v>50</v>
          </cell>
          <cell r="U97" t="str">
            <v>-</v>
          </cell>
          <cell r="V97">
            <v>50</v>
          </cell>
          <cell r="W97">
            <v>50</v>
          </cell>
          <cell r="X97" t="str">
            <v>-</v>
          </cell>
          <cell r="Y97">
            <v>50</v>
          </cell>
          <cell r="Z97">
            <v>50</v>
          </cell>
          <cell r="AA97" t="str">
            <v>-</v>
          </cell>
          <cell r="AB97">
            <v>50</v>
          </cell>
          <cell r="AC97">
            <v>50</v>
          </cell>
          <cell r="AD97" t="str">
            <v>-</v>
          </cell>
          <cell r="AE97">
            <v>50</v>
          </cell>
          <cell r="AF97">
            <v>50</v>
          </cell>
          <cell r="AG97" t="str">
            <v>-</v>
          </cell>
          <cell r="AH97">
            <v>50</v>
          </cell>
          <cell r="AI97">
            <v>50</v>
          </cell>
          <cell r="AJ97" t="str">
            <v>-</v>
          </cell>
          <cell r="AK97">
            <v>50</v>
          </cell>
          <cell r="AL97">
            <v>50</v>
          </cell>
          <cell r="AM97" t="str">
            <v>-</v>
          </cell>
          <cell r="AN97">
            <v>50</v>
          </cell>
          <cell r="AO97">
            <v>50</v>
          </cell>
          <cell r="AP97" t="str">
            <v>-</v>
          </cell>
          <cell r="AQ97">
            <v>50</v>
          </cell>
          <cell r="AR97">
            <v>50</v>
          </cell>
          <cell r="AS97" t="str">
            <v>-</v>
          </cell>
          <cell r="AT97">
            <v>50</v>
          </cell>
          <cell r="AU97">
            <v>50</v>
          </cell>
          <cell r="AV97" t="str">
            <v>-</v>
          </cell>
          <cell r="AW97">
            <v>50</v>
          </cell>
          <cell r="AX97">
            <v>50</v>
          </cell>
          <cell r="AY97" t="str">
            <v>-</v>
          </cell>
          <cell r="AZ97">
            <v>50</v>
          </cell>
          <cell r="BA97">
            <v>50</v>
          </cell>
          <cell r="BB97" t="str">
            <v>-</v>
          </cell>
          <cell r="BC97">
            <v>50</v>
          </cell>
          <cell r="BD97">
            <v>50</v>
          </cell>
          <cell r="BE97" t="str">
            <v>-</v>
          </cell>
          <cell r="BF97">
            <v>50</v>
          </cell>
          <cell r="BG97">
            <v>50</v>
          </cell>
          <cell r="BH97" t="str">
            <v>-</v>
          </cell>
          <cell r="BI97">
            <v>50</v>
          </cell>
          <cell r="BJ97">
            <v>50</v>
          </cell>
          <cell r="BK97" t="str">
            <v>-</v>
          </cell>
          <cell r="BL97">
            <v>50</v>
          </cell>
          <cell r="BM97">
            <v>50</v>
          </cell>
          <cell r="BN97" t="str">
            <v>-</v>
          </cell>
          <cell r="BO97">
            <v>50</v>
          </cell>
          <cell r="BP97">
            <v>50</v>
          </cell>
          <cell r="BQ97" t="str">
            <v>-</v>
          </cell>
          <cell r="BR97">
            <v>50</v>
          </cell>
          <cell r="BS97">
            <v>50</v>
          </cell>
          <cell r="BT97" t="str">
            <v>-</v>
          </cell>
          <cell r="BU97">
            <v>50</v>
          </cell>
          <cell r="BV97">
            <v>50</v>
          </cell>
          <cell r="BW97" t="str">
            <v>-</v>
          </cell>
          <cell r="BX97">
            <v>81</v>
          </cell>
          <cell r="BY97">
            <v>19</v>
          </cell>
          <cell r="BZ97">
            <v>81</v>
          </cell>
          <cell r="CA97">
            <v>98</v>
          </cell>
          <cell r="CB97">
            <v>19</v>
          </cell>
          <cell r="CC97">
            <v>83.8</v>
          </cell>
          <cell r="CD97">
            <v>90</v>
          </cell>
          <cell r="CE97">
            <v>15</v>
          </cell>
          <cell r="CF97">
            <v>85.7</v>
          </cell>
          <cell r="CG97">
            <v>77</v>
          </cell>
          <cell r="CH97">
            <v>17</v>
          </cell>
          <cell r="CI97">
            <v>81.900000000000006</v>
          </cell>
          <cell r="CJ97">
            <v>58</v>
          </cell>
          <cell r="CK97">
            <v>6</v>
          </cell>
          <cell r="CL97">
            <v>90.6</v>
          </cell>
          <cell r="CM97">
            <v>57</v>
          </cell>
          <cell r="CN97">
            <v>6</v>
          </cell>
          <cell r="CO97">
            <v>90.5</v>
          </cell>
          <cell r="CP97">
            <v>52</v>
          </cell>
          <cell r="CQ97">
            <v>7</v>
          </cell>
          <cell r="CR97">
            <v>88.1</v>
          </cell>
          <cell r="CS97">
            <v>38</v>
          </cell>
          <cell r="CT97">
            <v>3</v>
          </cell>
          <cell r="CU97">
            <v>92.7</v>
          </cell>
          <cell r="CV97">
            <v>64</v>
          </cell>
          <cell r="CW97">
            <v>18</v>
          </cell>
          <cell r="CX97">
            <v>78</v>
          </cell>
          <cell r="CY97">
            <v>71</v>
          </cell>
          <cell r="CZ97">
            <v>17</v>
          </cell>
          <cell r="DA97">
            <v>80.7</v>
          </cell>
          <cell r="DB97">
            <v>70</v>
          </cell>
          <cell r="DC97">
            <v>15</v>
          </cell>
          <cell r="DD97">
            <v>82.4</v>
          </cell>
          <cell r="DE97">
            <v>56</v>
          </cell>
          <cell r="DF97">
            <v>14</v>
          </cell>
          <cell r="DG97">
            <v>80</v>
          </cell>
          <cell r="DH97">
            <v>45</v>
          </cell>
          <cell r="DI97">
            <v>5</v>
          </cell>
          <cell r="DJ97">
            <v>90</v>
          </cell>
          <cell r="DK97">
            <v>53</v>
          </cell>
          <cell r="DL97">
            <v>6</v>
          </cell>
          <cell r="DM97">
            <v>89.8</v>
          </cell>
          <cell r="DN97">
            <v>41</v>
          </cell>
          <cell r="DO97">
            <v>5</v>
          </cell>
          <cell r="DP97">
            <v>89.1</v>
          </cell>
          <cell r="DQ97">
            <v>29</v>
          </cell>
          <cell r="DR97">
            <v>3</v>
          </cell>
          <cell r="DS97">
            <v>90.6</v>
          </cell>
          <cell r="DT97">
            <v>90.5999755859375</v>
          </cell>
          <cell r="DU97">
            <v>90.5999755859375</v>
          </cell>
          <cell r="DV97" t="str">
            <v>-</v>
          </cell>
          <cell r="DW97">
            <v>90.5999755859375</v>
          </cell>
          <cell r="DX97">
            <v>90.5999755859375</v>
          </cell>
          <cell r="DY97" t="str">
            <v>-</v>
          </cell>
          <cell r="DZ97">
            <v>90.5999755859375</v>
          </cell>
          <cell r="EA97">
            <v>90.5999755859375</v>
          </cell>
          <cell r="EB97" t="str">
            <v>-</v>
          </cell>
          <cell r="EC97">
            <v>90.5999755859375</v>
          </cell>
          <cell r="ED97">
            <v>90.5999755859375</v>
          </cell>
          <cell r="EE97" t="str">
            <v>-</v>
          </cell>
          <cell r="EF97">
            <v>90.5999755859375</v>
          </cell>
          <cell r="EG97">
            <v>90.5999755859375</v>
          </cell>
          <cell r="EH97" t="str">
            <v>-</v>
          </cell>
          <cell r="EI97">
            <v>90.5999755859375</v>
          </cell>
          <cell r="EJ97">
            <v>90.5999755859375</v>
          </cell>
          <cell r="EK97" t="str">
            <v>-</v>
          </cell>
          <cell r="EL97">
            <v>90.5999755859375</v>
          </cell>
          <cell r="EM97">
            <v>90.5999755859375</v>
          </cell>
          <cell r="EN97" t="str">
            <v>-</v>
          </cell>
          <cell r="EO97">
            <v>90.5999755859375</v>
          </cell>
          <cell r="EP97">
            <v>90.5999755859375</v>
          </cell>
          <cell r="EQ97" t="str">
            <v>-</v>
          </cell>
          <cell r="ER97">
            <v>1</v>
          </cell>
          <cell r="ES97">
            <v>1</v>
          </cell>
          <cell r="ET97">
            <v>100</v>
          </cell>
          <cell r="EU97">
            <v>7</v>
          </cell>
          <cell r="EV97">
            <v>10</v>
          </cell>
          <cell r="EW97">
            <v>41.2</v>
          </cell>
          <cell r="EX97">
            <v>41.199981689453125</v>
          </cell>
          <cell r="EY97">
            <v>41.199981689453125</v>
          </cell>
          <cell r="EZ97" t="str">
            <v>-</v>
          </cell>
          <cell r="FA97">
            <v>7</v>
          </cell>
          <cell r="FB97">
            <v>6</v>
          </cell>
          <cell r="FC97">
            <v>53.8</v>
          </cell>
          <cell r="FD97">
            <v>2</v>
          </cell>
          <cell r="FE97">
            <v>2</v>
          </cell>
          <cell r="FF97">
            <v>100</v>
          </cell>
          <cell r="FG97">
            <v>2</v>
          </cell>
          <cell r="FH97">
            <v>2</v>
          </cell>
          <cell r="FI97">
            <v>50</v>
          </cell>
          <cell r="FJ97">
            <v>50</v>
          </cell>
          <cell r="FK97">
            <v>50</v>
          </cell>
          <cell r="FL97" t="str">
            <v>-</v>
          </cell>
          <cell r="FM97">
            <v>2</v>
          </cell>
          <cell r="FN97">
            <v>2</v>
          </cell>
          <cell r="FO97">
            <v>100</v>
          </cell>
          <cell r="FP97">
            <v>100</v>
          </cell>
          <cell r="FQ97">
            <v>100</v>
          </cell>
          <cell r="FR97" t="str">
            <v>-</v>
          </cell>
          <cell r="FS97">
            <v>100</v>
          </cell>
          <cell r="FT97">
            <v>100</v>
          </cell>
          <cell r="FU97" t="str">
            <v>-</v>
          </cell>
          <cell r="FV97">
            <v>100</v>
          </cell>
          <cell r="FW97">
            <v>100</v>
          </cell>
          <cell r="FX97" t="str">
            <v>-</v>
          </cell>
          <cell r="FY97">
            <v>100</v>
          </cell>
          <cell r="FZ97">
            <v>100</v>
          </cell>
          <cell r="GA97" t="str">
            <v>-</v>
          </cell>
          <cell r="GB97">
            <v>100</v>
          </cell>
          <cell r="GC97">
            <v>100</v>
          </cell>
          <cell r="GD97" t="str">
            <v>-</v>
          </cell>
          <cell r="GE97">
            <v>100</v>
          </cell>
          <cell r="GF97">
            <v>100</v>
          </cell>
          <cell r="GG97" t="str">
            <v>-</v>
          </cell>
          <cell r="GH97">
            <v>100</v>
          </cell>
          <cell r="GI97">
            <v>100</v>
          </cell>
          <cell r="GJ97" t="str">
            <v>-</v>
          </cell>
          <cell r="GK97">
            <v>100</v>
          </cell>
          <cell r="GL97">
            <v>100</v>
          </cell>
          <cell r="GM97" t="str">
            <v>-</v>
          </cell>
          <cell r="GN97">
            <v>51</v>
          </cell>
          <cell r="GO97">
            <v>18</v>
          </cell>
          <cell r="GP97">
            <v>73.900000000000006</v>
          </cell>
          <cell r="GQ97">
            <v>43</v>
          </cell>
          <cell r="GR97">
            <v>11</v>
          </cell>
          <cell r="GS97">
            <v>79.599999999999994</v>
          </cell>
          <cell r="GT97">
            <v>42</v>
          </cell>
          <cell r="GU97">
            <v>7</v>
          </cell>
          <cell r="GV97">
            <v>85.7</v>
          </cell>
          <cell r="GW97">
            <v>54</v>
          </cell>
          <cell r="GX97">
            <v>13</v>
          </cell>
          <cell r="GY97">
            <v>80.599999999999994</v>
          </cell>
          <cell r="GZ97">
            <v>44</v>
          </cell>
          <cell r="HA97">
            <v>6</v>
          </cell>
          <cell r="HB97">
            <v>88</v>
          </cell>
          <cell r="HC97">
            <v>36</v>
          </cell>
          <cell r="HD97">
            <v>3</v>
          </cell>
          <cell r="HE97">
            <v>92.3</v>
          </cell>
          <cell r="HF97">
            <v>40</v>
          </cell>
          <cell r="HG97">
            <v>5</v>
          </cell>
          <cell r="HH97">
            <v>88.9</v>
          </cell>
          <cell r="HI97">
            <v>23</v>
          </cell>
          <cell r="HJ97">
            <v>3</v>
          </cell>
          <cell r="HK97">
            <v>88.5</v>
          </cell>
          <cell r="HL97">
            <v>6</v>
          </cell>
          <cell r="HM97">
            <v>2</v>
          </cell>
          <cell r="HN97">
            <v>75</v>
          </cell>
          <cell r="HO97">
            <v>1</v>
          </cell>
          <cell r="HP97">
            <v>2</v>
          </cell>
          <cell r="HQ97">
            <v>33.299999999999997</v>
          </cell>
          <cell r="HR97">
            <v>33.29998779296875</v>
          </cell>
          <cell r="HS97">
            <v>2</v>
          </cell>
          <cell r="HT97">
            <v>0</v>
          </cell>
          <cell r="HU97">
            <v>3</v>
          </cell>
          <cell r="HV97">
            <v>1</v>
          </cell>
          <cell r="HW97">
            <v>75</v>
          </cell>
          <cell r="HX97">
            <v>75</v>
          </cell>
          <cell r="HY97">
            <v>1</v>
          </cell>
          <cell r="HZ97">
            <v>0</v>
          </cell>
          <cell r="IA97">
            <v>2</v>
          </cell>
          <cell r="IB97">
            <v>1</v>
          </cell>
          <cell r="IC97">
            <v>66.7</v>
          </cell>
          <cell r="ID97">
            <v>1</v>
          </cell>
          <cell r="IE97">
            <v>1</v>
          </cell>
          <cell r="IF97">
            <v>100</v>
          </cell>
          <cell r="IG97">
            <v>100</v>
          </cell>
          <cell r="IH97">
            <v>100</v>
          </cell>
          <cell r="II97" t="str">
            <v>-</v>
          </cell>
          <cell r="IJ97">
            <v>100</v>
          </cell>
          <cell r="IK97">
            <v>100</v>
          </cell>
          <cell r="IL97" t="str">
            <v>-</v>
          </cell>
          <cell r="IM97">
            <v>100</v>
          </cell>
          <cell r="IN97">
            <v>1</v>
          </cell>
          <cell r="IO97">
            <v>0</v>
          </cell>
          <cell r="IP97">
            <v>0</v>
          </cell>
          <cell r="IQ97">
            <v>1</v>
          </cell>
          <cell r="IR97">
            <v>0</v>
          </cell>
          <cell r="IS97">
            <v>1</v>
          </cell>
          <cell r="IT97">
            <v>1</v>
          </cell>
          <cell r="IU97">
            <v>100</v>
          </cell>
          <cell r="IV97">
            <v>100</v>
          </cell>
          <cell r="IW97">
            <v>5</v>
          </cell>
          <cell r="IX97">
            <v>0</v>
          </cell>
          <cell r="IY97">
            <v>0</v>
          </cell>
          <cell r="IZ97">
            <v>1</v>
          </cell>
          <cell r="JA97">
            <v>0</v>
          </cell>
          <cell r="JB97">
            <v>1</v>
          </cell>
          <cell r="JC97">
            <v>1</v>
          </cell>
          <cell r="JD97">
            <v>100</v>
          </cell>
          <cell r="JE97">
            <v>1</v>
          </cell>
          <cell r="JF97">
            <v>1</v>
          </cell>
          <cell r="JG97">
            <v>100</v>
          </cell>
          <cell r="JH97">
            <v>0</v>
          </cell>
          <cell r="JI97">
            <v>0</v>
          </cell>
          <cell r="JJ97" t="str">
            <v>-</v>
          </cell>
          <cell r="JK97">
            <v>0</v>
          </cell>
          <cell r="JL97">
            <v>0</v>
          </cell>
          <cell r="JM97" t="str">
            <v>-</v>
          </cell>
          <cell r="JN97">
            <v>0</v>
          </cell>
          <cell r="JO97">
            <v>0</v>
          </cell>
          <cell r="JP97" t="str">
            <v>-</v>
          </cell>
          <cell r="JQ97">
            <v>282</v>
          </cell>
          <cell r="JR97">
            <v>39</v>
          </cell>
          <cell r="JS97">
            <v>87.850467289719631</v>
          </cell>
          <cell r="JT97">
            <v>224</v>
          </cell>
          <cell r="JU97">
            <v>33</v>
          </cell>
          <cell r="JV97">
            <v>87.159533073929964</v>
          </cell>
          <cell r="JW97">
            <v>0</v>
          </cell>
          <cell r="JX97">
            <v>0</v>
          </cell>
          <cell r="JY97" t="str">
            <v>-</v>
          </cell>
          <cell r="JZ97">
            <v>13</v>
          </cell>
          <cell r="KA97">
            <v>8</v>
          </cell>
          <cell r="KB97">
            <v>61.904761904761905</v>
          </cell>
          <cell r="KC97">
            <v>0</v>
          </cell>
          <cell r="KD97">
            <v>0</v>
          </cell>
          <cell r="KE97" t="str">
            <v>-</v>
          </cell>
          <cell r="KF97">
            <v>197</v>
          </cell>
          <cell r="KG97">
            <v>30</v>
          </cell>
          <cell r="KH97">
            <v>86.784140969162991</v>
          </cell>
          <cell r="KI97">
            <v>6</v>
          </cell>
          <cell r="KJ97">
            <v>3</v>
          </cell>
          <cell r="KK97">
            <v>66.666666666666657</v>
          </cell>
          <cell r="KL97">
            <v>3</v>
          </cell>
          <cell r="KM97">
            <v>6</v>
          </cell>
          <cell r="KN97">
            <v>33.333333333333329</v>
          </cell>
        </row>
        <row r="98">
          <cell r="C98" t="str">
            <v>Balmazújvárosi Rendőrkapitányság</v>
          </cell>
          <cell r="D98">
            <v>33.33331298828125</v>
          </cell>
          <cell r="E98">
            <v>33.33331298828125</v>
          </cell>
          <cell r="F98" t="str">
            <v>-</v>
          </cell>
          <cell r="G98">
            <v>33.33331298828125</v>
          </cell>
          <cell r="H98">
            <v>33.33331298828125</v>
          </cell>
          <cell r="I98" t="str">
            <v>-</v>
          </cell>
          <cell r="J98">
            <v>33.33331298828125</v>
          </cell>
          <cell r="K98">
            <v>33.33331298828125</v>
          </cell>
          <cell r="L98" t="str">
            <v>-</v>
          </cell>
          <cell r="M98">
            <v>33.33331298828125</v>
          </cell>
          <cell r="N98">
            <v>33.33331298828125</v>
          </cell>
          <cell r="O98" t="str">
            <v>-</v>
          </cell>
          <cell r="P98">
            <v>33.33331298828125</v>
          </cell>
          <cell r="Q98">
            <v>33.33331298828125</v>
          </cell>
          <cell r="R98" t="str">
            <v>-</v>
          </cell>
          <cell r="S98">
            <v>33.33331298828125</v>
          </cell>
          <cell r="T98">
            <v>33.33331298828125</v>
          </cell>
          <cell r="U98" t="str">
            <v>-</v>
          </cell>
          <cell r="V98">
            <v>33.33331298828125</v>
          </cell>
          <cell r="W98">
            <v>33.33331298828125</v>
          </cell>
          <cell r="X98" t="str">
            <v>-</v>
          </cell>
          <cell r="Y98">
            <v>33.33331298828125</v>
          </cell>
          <cell r="Z98">
            <v>33.33331298828125</v>
          </cell>
          <cell r="AA98" t="str">
            <v>-</v>
          </cell>
          <cell r="AB98">
            <v>33.33331298828125</v>
          </cell>
          <cell r="AC98">
            <v>33.33331298828125</v>
          </cell>
          <cell r="AD98" t="str">
            <v>-</v>
          </cell>
          <cell r="AE98">
            <v>33.33331298828125</v>
          </cell>
          <cell r="AF98">
            <v>33.33331298828125</v>
          </cell>
          <cell r="AG98" t="str">
            <v>-</v>
          </cell>
          <cell r="AH98">
            <v>33.33331298828125</v>
          </cell>
          <cell r="AI98">
            <v>33.33331298828125</v>
          </cell>
          <cell r="AJ98" t="str">
            <v>-</v>
          </cell>
          <cell r="AK98">
            <v>33.33331298828125</v>
          </cell>
          <cell r="AL98">
            <v>33.33331298828125</v>
          </cell>
          <cell r="AM98" t="str">
            <v>-</v>
          </cell>
          <cell r="AN98">
            <v>33.33331298828125</v>
          </cell>
          <cell r="AO98">
            <v>33.33331298828125</v>
          </cell>
          <cell r="AP98" t="str">
            <v>-</v>
          </cell>
          <cell r="AQ98">
            <v>33.33331298828125</v>
          </cell>
          <cell r="AR98">
            <v>33.33331298828125</v>
          </cell>
          <cell r="AS98" t="str">
            <v>-</v>
          </cell>
          <cell r="AT98">
            <v>33.33331298828125</v>
          </cell>
          <cell r="AU98">
            <v>33.33331298828125</v>
          </cell>
          <cell r="AV98" t="str">
            <v>-</v>
          </cell>
          <cell r="AW98">
            <v>33.33331298828125</v>
          </cell>
          <cell r="AX98">
            <v>33.33331298828125</v>
          </cell>
          <cell r="AY98" t="str">
            <v>-</v>
          </cell>
          <cell r="AZ98">
            <v>33.33331298828125</v>
          </cell>
          <cell r="BA98">
            <v>33.33331298828125</v>
          </cell>
          <cell r="BB98" t="str">
            <v>-</v>
          </cell>
          <cell r="BC98">
            <v>33.33331298828125</v>
          </cell>
          <cell r="BD98">
            <v>33.33331298828125</v>
          </cell>
          <cell r="BE98" t="str">
            <v>-</v>
          </cell>
          <cell r="BF98">
            <v>33.33331298828125</v>
          </cell>
          <cell r="BG98">
            <v>33.33331298828125</v>
          </cell>
          <cell r="BH98" t="str">
            <v>-</v>
          </cell>
          <cell r="BI98">
            <v>33.33331298828125</v>
          </cell>
          <cell r="BJ98">
            <v>33.33331298828125</v>
          </cell>
          <cell r="BK98" t="str">
            <v>-</v>
          </cell>
          <cell r="BL98">
            <v>33.33331298828125</v>
          </cell>
          <cell r="BM98">
            <v>33.33331298828125</v>
          </cell>
          <cell r="BN98" t="str">
            <v>-</v>
          </cell>
          <cell r="BO98">
            <v>33.33331298828125</v>
          </cell>
          <cell r="BP98">
            <v>33.33331298828125</v>
          </cell>
          <cell r="BQ98" t="str">
            <v>-</v>
          </cell>
          <cell r="BR98">
            <v>33.33331298828125</v>
          </cell>
          <cell r="BS98">
            <v>33.33331298828125</v>
          </cell>
          <cell r="BT98" t="str">
            <v>-</v>
          </cell>
          <cell r="BU98">
            <v>33.33331298828125</v>
          </cell>
          <cell r="BV98">
            <v>33.33331298828125</v>
          </cell>
          <cell r="BW98" t="str">
            <v>-</v>
          </cell>
          <cell r="BX98">
            <v>49</v>
          </cell>
          <cell r="BY98">
            <v>8</v>
          </cell>
          <cell r="BZ98">
            <v>86</v>
          </cell>
          <cell r="CA98">
            <v>67</v>
          </cell>
          <cell r="CB98">
            <v>11</v>
          </cell>
          <cell r="CC98">
            <v>85.9</v>
          </cell>
          <cell r="CD98">
            <v>56</v>
          </cell>
          <cell r="CE98">
            <v>9</v>
          </cell>
          <cell r="CF98">
            <v>86.2</v>
          </cell>
          <cell r="CG98">
            <v>81</v>
          </cell>
          <cell r="CH98">
            <v>13</v>
          </cell>
          <cell r="CI98">
            <v>86.2</v>
          </cell>
          <cell r="CJ98">
            <v>62</v>
          </cell>
          <cell r="CK98">
            <v>11</v>
          </cell>
          <cell r="CL98">
            <v>84.9</v>
          </cell>
          <cell r="CM98">
            <v>53</v>
          </cell>
          <cell r="CN98">
            <v>9</v>
          </cell>
          <cell r="CO98">
            <v>85.5</v>
          </cell>
          <cell r="CP98">
            <v>35</v>
          </cell>
          <cell r="CQ98">
            <v>4</v>
          </cell>
          <cell r="CR98">
            <v>89.7</v>
          </cell>
          <cell r="CS98">
            <v>30</v>
          </cell>
          <cell r="CT98">
            <v>6</v>
          </cell>
          <cell r="CU98">
            <v>83.3</v>
          </cell>
          <cell r="CV98">
            <v>42</v>
          </cell>
          <cell r="CW98">
            <v>7</v>
          </cell>
          <cell r="CX98">
            <v>85.7</v>
          </cell>
          <cell r="CY98">
            <v>51</v>
          </cell>
          <cell r="CZ98">
            <v>10</v>
          </cell>
          <cell r="DA98">
            <v>83.6</v>
          </cell>
          <cell r="DB98">
            <v>43</v>
          </cell>
          <cell r="DC98">
            <v>7</v>
          </cell>
          <cell r="DD98">
            <v>86</v>
          </cell>
          <cell r="DE98">
            <v>71</v>
          </cell>
          <cell r="DF98">
            <v>10</v>
          </cell>
          <cell r="DG98">
            <v>87.7</v>
          </cell>
          <cell r="DH98">
            <v>55</v>
          </cell>
          <cell r="DI98">
            <v>10</v>
          </cell>
          <cell r="DJ98">
            <v>84.6</v>
          </cell>
          <cell r="DK98">
            <v>42</v>
          </cell>
          <cell r="DL98">
            <v>9</v>
          </cell>
          <cell r="DM98">
            <v>82.4</v>
          </cell>
          <cell r="DN98">
            <v>31</v>
          </cell>
          <cell r="DO98">
            <v>4</v>
          </cell>
          <cell r="DP98">
            <v>88.6</v>
          </cell>
          <cell r="DQ98">
            <v>26</v>
          </cell>
          <cell r="DR98">
            <v>6</v>
          </cell>
          <cell r="DS98">
            <v>81.3</v>
          </cell>
          <cell r="DT98">
            <v>81.29998779296875</v>
          </cell>
          <cell r="DU98">
            <v>81.29998779296875</v>
          </cell>
          <cell r="DV98" t="str">
            <v>-</v>
          </cell>
          <cell r="DW98">
            <v>81.29998779296875</v>
          </cell>
          <cell r="DX98">
            <v>81.29998779296875</v>
          </cell>
          <cell r="DY98" t="str">
            <v>-</v>
          </cell>
          <cell r="DZ98">
            <v>81.29998779296875</v>
          </cell>
          <cell r="EA98">
            <v>81.29998779296875</v>
          </cell>
          <cell r="EB98" t="str">
            <v>-</v>
          </cell>
          <cell r="EC98">
            <v>81.29998779296875</v>
          </cell>
          <cell r="ED98">
            <v>81.29998779296875</v>
          </cell>
          <cell r="EE98" t="str">
            <v>-</v>
          </cell>
          <cell r="EF98">
            <v>81.29998779296875</v>
          </cell>
          <cell r="EG98">
            <v>81.29998779296875</v>
          </cell>
          <cell r="EH98" t="str">
            <v>-</v>
          </cell>
          <cell r="EI98">
            <v>81.29998779296875</v>
          </cell>
          <cell r="EJ98">
            <v>81.29998779296875</v>
          </cell>
          <cell r="EK98" t="str">
            <v>-</v>
          </cell>
          <cell r="EL98">
            <v>81.29998779296875</v>
          </cell>
          <cell r="EM98">
            <v>81.29998779296875</v>
          </cell>
          <cell r="EN98" t="str">
            <v>-</v>
          </cell>
          <cell r="EO98">
            <v>81.29998779296875</v>
          </cell>
          <cell r="EP98">
            <v>81.29998779296875</v>
          </cell>
          <cell r="EQ98" t="str">
            <v>-</v>
          </cell>
          <cell r="ER98">
            <v>11</v>
          </cell>
          <cell r="ES98">
            <v>11</v>
          </cell>
          <cell r="ET98">
            <v>100</v>
          </cell>
          <cell r="EU98">
            <v>14</v>
          </cell>
          <cell r="EV98">
            <v>4</v>
          </cell>
          <cell r="EW98">
            <v>77.8</v>
          </cell>
          <cell r="EX98">
            <v>3</v>
          </cell>
          <cell r="EY98">
            <v>1</v>
          </cell>
          <cell r="EZ98">
            <v>75</v>
          </cell>
          <cell r="FA98">
            <v>6</v>
          </cell>
          <cell r="FB98">
            <v>4</v>
          </cell>
          <cell r="FC98">
            <v>60</v>
          </cell>
          <cell r="FD98">
            <v>6</v>
          </cell>
          <cell r="FE98">
            <v>3</v>
          </cell>
          <cell r="FF98">
            <v>66.7</v>
          </cell>
          <cell r="FG98">
            <v>14</v>
          </cell>
          <cell r="FH98">
            <v>6</v>
          </cell>
          <cell r="FI98">
            <v>70</v>
          </cell>
          <cell r="FJ98">
            <v>70</v>
          </cell>
          <cell r="FK98">
            <v>1</v>
          </cell>
          <cell r="FL98">
            <v>0</v>
          </cell>
          <cell r="FM98">
            <v>3</v>
          </cell>
          <cell r="FN98">
            <v>1</v>
          </cell>
          <cell r="FO98">
            <v>75</v>
          </cell>
          <cell r="FP98">
            <v>75</v>
          </cell>
          <cell r="FQ98">
            <v>75</v>
          </cell>
          <cell r="FR98" t="str">
            <v>-</v>
          </cell>
          <cell r="FS98">
            <v>75</v>
          </cell>
          <cell r="FT98">
            <v>75</v>
          </cell>
          <cell r="FU98" t="str">
            <v>-</v>
          </cell>
          <cell r="FV98">
            <v>75</v>
          </cell>
          <cell r="FW98">
            <v>75</v>
          </cell>
          <cell r="FX98" t="str">
            <v>-</v>
          </cell>
          <cell r="FY98">
            <v>75</v>
          </cell>
          <cell r="FZ98">
            <v>75</v>
          </cell>
          <cell r="GA98" t="str">
            <v>-</v>
          </cell>
          <cell r="GB98">
            <v>75</v>
          </cell>
          <cell r="GC98">
            <v>75</v>
          </cell>
          <cell r="GD98" t="str">
            <v>-</v>
          </cell>
          <cell r="GE98">
            <v>75</v>
          </cell>
          <cell r="GF98">
            <v>75</v>
          </cell>
          <cell r="GG98" t="str">
            <v>-</v>
          </cell>
          <cell r="GH98">
            <v>75</v>
          </cell>
          <cell r="GI98">
            <v>75</v>
          </cell>
          <cell r="GJ98" t="str">
            <v>-</v>
          </cell>
          <cell r="GK98">
            <v>75</v>
          </cell>
          <cell r="GL98">
            <v>75</v>
          </cell>
          <cell r="GM98" t="str">
            <v>-</v>
          </cell>
          <cell r="GN98">
            <v>60</v>
          </cell>
          <cell r="GO98">
            <v>6</v>
          </cell>
          <cell r="GP98">
            <v>90.9</v>
          </cell>
          <cell r="GQ98">
            <v>40</v>
          </cell>
          <cell r="GR98">
            <v>7</v>
          </cell>
          <cell r="GS98">
            <v>85.1</v>
          </cell>
          <cell r="GT98">
            <v>22</v>
          </cell>
          <cell r="GU98">
            <v>10</v>
          </cell>
          <cell r="GV98">
            <v>68.8</v>
          </cell>
          <cell r="GW98">
            <v>61</v>
          </cell>
          <cell r="GX98">
            <v>14</v>
          </cell>
          <cell r="GY98">
            <v>81.3</v>
          </cell>
          <cell r="GZ98">
            <v>43</v>
          </cell>
          <cell r="HA98">
            <v>11</v>
          </cell>
          <cell r="HB98">
            <v>79.599999999999994</v>
          </cell>
          <cell r="HC98">
            <v>43</v>
          </cell>
          <cell r="HD98">
            <v>17</v>
          </cell>
          <cell r="HE98">
            <v>71.7</v>
          </cell>
          <cell r="HF98">
            <v>37</v>
          </cell>
          <cell r="HG98">
            <v>4</v>
          </cell>
          <cell r="HH98">
            <v>90.2</v>
          </cell>
          <cell r="HI98">
            <v>22</v>
          </cell>
          <cell r="HJ98">
            <v>6</v>
          </cell>
          <cell r="HK98">
            <v>78.599999999999994</v>
          </cell>
          <cell r="HL98">
            <v>3</v>
          </cell>
          <cell r="HM98">
            <v>4</v>
          </cell>
          <cell r="HN98">
            <v>42.9</v>
          </cell>
          <cell r="HO98">
            <v>2</v>
          </cell>
          <cell r="HP98">
            <v>2</v>
          </cell>
          <cell r="HQ98">
            <v>50</v>
          </cell>
          <cell r="HR98">
            <v>2</v>
          </cell>
          <cell r="HS98">
            <v>2</v>
          </cell>
          <cell r="HT98">
            <v>50</v>
          </cell>
          <cell r="HU98">
            <v>2</v>
          </cell>
          <cell r="HV98">
            <v>2</v>
          </cell>
          <cell r="HW98">
            <v>50</v>
          </cell>
          <cell r="HX98">
            <v>5</v>
          </cell>
          <cell r="HY98">
            <v>1</v>
          </cell>
          <cell r="HZ98">
            <v>83.3</v>
          </cell>
          <cell r="IA98">
            <v>83.29998779296875</v>
          </cell>
          <cell r="IB98">
            <v>1</v>
          </cell>
          <cell r="IC98">
            <v>0</v>
          </cell>
          <cell r="ID98">
            <v>3</v>
          </cell>
          <cell r="IE98">
            <v>3</v>
          </cell>
          <cell r="IF98">
            <v>100</v>
          </cell>
          <cell r="IG98">
            <v>2</v>
          </cell>
          <cell r="IH98">
            <v>2</v>
          </cell>
          <cell r="II98">
            <v>50</v>
          </cell>
          <cell r="IJ98">
            <v>1</v>
          </cell>
          <cell r="IK98">
            <v>1</v>
          </cell>
          <cell r="IL98">
            <v>100</v>
          </cell>
          <cell r="IM98">
            <v>100</v>
          </cell>
          <cell r="IN98">
            <v>1</v>
          </cell>
          <cell r="IO98">
            <v>0</v>
          </cell>
          <cell r="IP98">
            <v>0</v>
          </cell>
          <cell r="IQ98">
            <v>1</v>
          </cell>
          <cell r="IR98">
            <v>0</v>
          </cell>
          <cell r="IS98">
            <v>0</v>
          </cell>
          <cell r="IT98">
            <v>0</v>
          </cell>
          <cell r="IU98" t="str">
            <v>-</v>
          </cell>
          <cell r="IV98">
            <v>1</v>
          </cell>
          <cell r="IW98">
            <v>1</v>
          </cell>
          <cell r="IX98">
            <v>50</v>
          </cell>
          <cell r="IY98">
            <v>50</v>
          </cell>
          <cell r="IZ98">
            <v>50</v>
          </cell>
          <cell r="JA98" t="str">
            <v>-</v>
          </cell>
          <cell r="JB98">
            <v>1</v>
          </cell>
          <cell r="JC98">
            <v>1</v>
          </cell>
          <cell r="JD98">
            <v>100</v>
          </cell>
          <cell r="JE98">
            <v>100</v>
          </cell>
          <cell r="JF98">
            <v>1</v>
          </cell>
          <cell r="JG98">
            <v>0</v>
          </cell>
          <cell r="JH98">
            <v>0</v>
          </cell>
          <cell r="JI98">
            <v>0</v>
          </cell>
          <cell r="JJ98" t="str">
            <v>-</v>
          </cell>
          <cell r="JK98">
            <v>0</v>
          </cell>
          <cell r="JL98">
            <v>0</v>
          </cell>
          <cell r="JM98" t="str">
            <v>-</v>
          </cell>
          <cell r="JN98">
            <v>0</v>
          </cell>
          <cell r="JO98">
            <v>0</v>
          </cell>
          <cell r="JP98" t="str">
            <v>-</v>
          </cell>
          <cell r="JQ98">
            <v>261</v>
          </cell>
          <cell r="JR98">
            <v>43</v>
          </cell>
          <cell r="JS98">
            <v>85.85526315789474</v>
          </cell>
          <cell r="JT98">
            <v>225</v>
          </cell>
          <cell r="JU98">
            <v>39</v>
          </cell>
          <cell r="JV98">
            <v>85.227272727272734</v>
          </cell>
          <cell r="JW98">
            <v>0</v>
          </cell>
          <cell r="JX98">
            <v>0</v>
          </cell>
          <cell r="JY98" t="str">
            <v>-</v>
          </cell>
          <cell r="JZ98">
            <v>29</v>
          </cell>
          <cell r="KA98">
            <v>15</v>
          </cell>
          <cell r="KB98">
            <v>65.909090909090907</v>
          </cell>
          <cell r="KC98">
            <v>0</v>
          </cell>
          <cell r="KD98">
            <v>0</v>
          </cell>
          <cell r="KE98" t="str">
            <v>-</v>
          </cell>
          <cell r="KF98">
            <v>206</v>
          </cell>
          <cell r="KG98">
            <v>52</v>
          </cell>
          <cell r="KH98">
            <v>79.84496124031007</v>
          </cell>
          <cell r="KI98">
            <v>12</v>
          </cell>
          <cell r="KJ98">
            <v>6</v>
          </cell>
          <cell r="KK98">
            <v>66.666666666666657</v>
          </cell>
          <cell r="KL98">
            <v>2</v>
          </cell>
          <cell r="KM98">
            <v>2</v>
          </cell>
          <cell r="KN98">
            <v>50</v>
          </cell>
        </row>
        <row r="99">
          <cell r="C99" t="str">
            <v>Hajdú-Bihar Megyei Rendőr-főkapitányság</v>
          </cell>
          <cell r="D99">
            <v>16</v>
          </cell>
          <cell r="E99">
            <v>16</v>
          </cell>
          <cell r="F99">
            <v>100</v>
          </cell>
          <cell r="G99">
            <v>14</v>
          </cell>
          <cell r="H99">
            <v>3</v>
          </cell>
          <cell r="I99">
            <v>82.4</v>
          </cell>
          <cell r="J99">
            <v>12</v>
          </cell>
          <cell r="K99">
            <v>12</v>
          </cell>
          <cell r="L99">
            <v>100</v>
          </cell>
          <cell r="M99">
            <v>10</v>
          </cell>
          <cell r="N99">
            <v>10</v>
          </cell>
          <cell r="O99">
            <v>100</v>
          </cell>
          <cell r="P99">
            <v>16</v>
          </cell>
          <cell r="Q99">
            <v>1</v>
          </cell>
          <cell r="R99">
            <v>94.1</v>
          </cell>
          <cell r="S99">
            <v>10</v>
          </cell>
          <cell r="T99">
            <v>10</v>
          </cell>
          <cell r="U99">
            <v>100</v>
          </cell>
          <cell r="V99">
            <v>14</v>
          </cell>
          <cell r="W99">
            <v>1</v>
          </cell>
          <cell r="X99">
            <v>93.3</v>
          </cell>
          <cell r="Y99">
            <v>10</v>
          </cell>
          <cell r="Z99">
            <v>10</v>
          </cell>
          <cell r="AA99">
            <v>100</v>
          </cell>
          <cell r="AB99">
            <v>4</v>
          </cell>
          <cell r="AC99">
            <v>4</v>
          </cell>
          <cell r="AD99">
            <v>100</v>
          </cell>
          <cell r="AE99">
            <v>9</v>
          </cell>
          <cell r="AF99">
            <v>2</v>
          </cell>
          <cell r="AG99">
            <v>81.8</v>
          </cell>
          <cell r="AH99">
            <v>6</v>
          </cell>
          <cell r="AI99">
            <v>6</v>
          </cell>
          <cell r="AJ99">
            <v>100</v>
          </cell>
          <cell r="AK99">
            <v>3</v>
          </cell>
          <cell r="AL99">
            <v>3</v>
          </cell>
          <cell r="AM99">
            <v>100</v>
          </cell>
          <cell r="AN99">
            <v>9</v>
          </cell>
          <cell r="AO99">
            <v>9</v>
          </cell>
          <cell r="AP99">
            <v>100</v>
          </cell>
          <cell r="AQ99">
            <v>4</v>
          </cell>
          <cell r="AR99">
            <v>4</v>
          </cell>
          <cell r="AS99">
            <v>100</v>
          </cell>
          <cell r="AT99">
            <v>5</v>
          </cell>
          <cell r="AU99">
            <v>1</v>
          </cell>
          <cell r="AV99">
            <v>83.3</v>
          </cell>
          <cell r="AW99">
            <v>4</v>
          </cell>
          <cell r="AX99">
            <v>4</v>
          </cell>
          <cell r="AY99">
            <v>100</v>
          </cell>
          <cell r="AZ99">
            <v>10</v>
          </cell>
          <cell r="BA99">
            <v>10</v>
          </cell>
          <cell r="BB99">
            <v>100</v>
          </cell>
          <cell r="BC99">
            <v>4</v>
          </cell>
          <cell r="BD99">
            <v>1</v>
          </cell>
          <cell r="BE99">
            <v>80</v>
          </cell>
          <cell r="BF99">
            <v>5</v>
          </cell>
          <cell r="BG99">
            <v>5</v>
          </cell>
          <cell r="BH99">
            <v>100</v>
          </cell>
          <cell r="BI99">
            <v>6</v>
          </cell>
          <cell r="BJ99">
            <v>6</v>
          </cell>
          <cell r="BK99">
            <v>100</v>
          </cell>
          <cell r="BL99">
            <v>7</v>
          </cell>
          <cell r="BM99">
            <v>1</v>
          </cell>
          <cell r="BN99">
            <v>87.5</v>
          </cell>
          <cell r="BO99">
            <v>5</v>
          </cell>
          <cell r="BP99">
            <v>5</v>
          </cell>
          <cell r="BQ99">
            <v>100</v>
          </cell>
          <cell r="BR99">
            <v>8</v>
          </cell>
          <cell r="BS99">
            <v>8</v>
          </cell>
          <cell r="BT99">
            <v>100</v>
          </cell>
          <cell r="BU99">
            <v>6</v>
          </cell>
          <cell r="BV99">
            <v>6</v>
          </cell>
          <cell r="BW99">
            <v>100</v>
          </cell>
          <cell r="BX99">
            <v>1177</v>
          </cell>
          <cell r="BY99">
            <v>250</v>
          </cell>
          <cell r="BZ99">
            <v>82.5</v>
          </cell>
          <cell r="CA99">
            <v>1123</v>
          </cell>
          <cell r="CB99">
            <v>317</v>
          </cell>
          <cell r="CC99">
            <v>78</v>
          </cell>
          <cell r="CD99">
            <v>1047</v>
          </cell>
          <cell r="CE99">
            <v>255</v>
          </cell>
          <cell r="CF99">
            <v>80.400000000000006</v>
          </cell>
          <cell r="CG99">
            <v>1081</v>
          </cell>
          <cell r="CH99">
            <v>241</v>
          </cell>
          <cell r="CI99">
            <v>81.8</v>
          </cell>
          <cell r="CJ99">
            <v>1026</v>
          </cell>
          <cell r="CK99">
            <v>181</v>
          </cell>
          <cell r="CL99">
            <v>85</v>
          </cell>
          <cell r="CM99">
            <v>842</v>
          </cell>
          <cell r="CN99">
            <v>198</v>
          </cell>
          <cell r="CO99">
            <v>81</v>
          </cell>
          <cell r="CP99">
            <v>720</v>
          </cell>
          <cell r="CQ99">
            <v>159</v>
          </cell>
          <cell r="CR99">
            <v>81.900000000000006</v>
          </cell>
          <cell r="CS99">
            <v>654</v>
          </cell>
          <cell r="CT99">
            <v>107</v>
          </cell>
          <cell r="CU99">
            <v>85.9</v>
          </cell>
          <cell r="CV99">
            <v>919</v>
          </cell>
          <cell r="CW99">
            <v>222</v>
          </cell>
          <cell r="CX99">
            <v>80.5</v>
          </cell>
          <cell r="CY99">
            <v>845</v>
          </cell>
          <cell r="CZ99">
            <v>281</v>
          </cell>
          <cell r="DA99">
            <v>75</v>
          </cell>
          <cell r="DB99">
            <v>718</v>
          </cell>
          <cell r="DC99">
            <v>221</v>
          </cell>
          <cell r="DD99">
            <v>76.5</v>
          </cell>
          <cell r="DE99">
            <v>807</v>
          </cell>
          <cell r="DF99">
            <v>210</v>
          </cell>
          <cell r="DG99">
            <v>79.400000000000006</v>
          </cell>
          <cell r="DH99">
            <v>729</v>
          </cell>
          <cell r="DI99">
            <v>163</v>
          </cell>
          <cell r="DJ99">
            <v>81.7</v>
          </cell>
          <cell r="DK99">
            <v>611</v>
          </cell>
          <cell r="DL99">
            <v>174</v>
          </cell>
          <cell r="DM99">
            <v>77.8</v>
          </cell>
          <cell r="DN99">
            <v>526</v>
          </cell>
          <cell r="DO99">
            <v>134</v>
          </cell>
          <cell r="DP99">
            <v>79.7</v>
          </cell>
          <cell r="DQ99">
            <v>486</v>
          </cell>
          <cell r="DR99">
            <v>90</v>
          </cell>
          <cell r="DS99">
            <v>84.4</v>
          </cell>
          <cell r="DT99">
            <v>1</v>
          </cell>
          <cell r="DU99">
            <v>2</v>
          </cell>
          <cell r="DV99">
            <v>33.299999999999997</v>
          </cell>
          <cell r="DW99">
            <v>1</v>
          </cell>
          <cell r="DX99">
            <v>1</v>
          </cell>
          <cell r="DY99">
            <v>100</v>
          </cell>
          <cell r="DZ99">
            <v>2</v>
          </cell>
          <cell r="EA99">
            <v>2</v>
          </cell>
          <cell r="EB99">
            <v>50</v>
          </cell>
          <cell r="EC99">
            <v>1</v>
          </cell>
          <cell r="ED99">
            <v>1</v>
          </cell>
          <cell r="EE99">
            <v>50</v>
          </cell>
          <cell r="EF99">
            <v>1</v>
          </cell>
          <cell r="EG99">
            <v>1</v>
          </cell>
          <cell r="EH99">
            <v>50</v>
          </cell>
          <cell r="EI99">
            <v>1</v>
          </cell>
          <cell r="EJ99">
            <v>1</v>
          </cell>
          <cell r="EK99">
            <v>100</v>
          </cell>
          <cell r="EL99">
            <v>1</v>
          </cell>
          <cell r="EM99">
            <v>1</v>
          </cell>
          <cell r="EN99">
            <v>100</v>
          </cell>
          <cell r="EO99">
            <v>100</v>
          </cell>
          <cell r="EP99">
            <v>100</v>
          </cell>
          <cell r="EQ99" t="str">
            <v>-</v>
          </cell>
          <cell r="ER99">
            <v>87</v>
          </cell>
          <cell r="ES99">
            <v>28</v>
          </cell>
          <cell r="ET99">
            <v>75.7</v>
          </cell>
          <cell r="EU99">
            <v>95</v>
          </cell>
          <cell r="EV99">
            <v>51</v>
          </cell>
          <cell r="EW99">
            <v>65.099999999999994</v>
          </cell>
          <cell r="EX99">
            <v>83</v>
          </cell>
          <cell r="EY99">
            <v>31</v>
          </cell>
          <cell r="EZ99">
            <v>72.8</v>
          </cell>
          <cell r="FA99">
            <v>87</v>
          </cell>
          <cell r="FB99">
            <v>38</v>
          </cell>
          <cell r="FC99">
            <v>69.599999999999994</v>
          </cell>
          <cell r="FD99">
            <v>101</v>
          </cell>
          <cell r="FE99">
            <v>31</v>
          </cell>
          <cell r="FF99">
            <v>76.5</v>
          </cell>
          <cell r="FG99">
            <v>85</v>
          </cell>
          <cell r="FH99">
            <v>32</v>
          </cell>
          <cell r="FI99">
            <v>72.599999999999994</v>
          </cell>
          <cell r="FJ99">
            <v>67</v>
          </cell>
          <cell r="FK99">
            <v>26</v>
          </cell>
          <cell r="FL99">
            <v>72</v>
          </cell>
          <cell r="FM99">
            <v>53</v>
          </cell>
          <cell r="FN99">
            <v>15</v>
          </cell>
          <cell r="FO99">
            <v>77.900000000000006</v>
          </cell>
          <cell r="FP99">
            <v>7</v>
          </cell>
          <cell r="FQ99">
            <v>1</v>
          </cell>
          <cell r="FR99">
            <v>87.5</v>
          </cell>
          <cell r="FS99">
            <v>2</v>
          </cell>
          <cell r="FT99">
            <v>2</v>
          </cell>
          <cell r="FU99">
            <v>50</v>
          </cell>
          <cell r="FV99">
            <v>5</v>
          </cell>
          <cell r="FW99">
            <v>2</v>
          </cell>
          <cell r="FX99">
            <v>71.400000000000006</v>
          </cell>
          <cell r="FY99">
            <v>5</v>
          </cell>
          <cell r="FZ99">
            <v>1</v>
          </cell>
          <cell r="GA99">
            <v>83.3</v>
          </cell>
          <cell r="GB99">
            <v>2</v>
          </cell>
          <cell r="GC99">
            <v>2</v>
          </cell>
          <cell r="GD99">
            <v>100</v>
          </cell>
          <cell r="GE99">
            <v>9</v>
          </cell>
          <cell r="GF99">
            <v>3</v>
          </cell>
          <cell r="GG99">
            <v>75</v>
          </cell>
          <cell r="GH99">
            <v>75</v>
          </cell>
          <cell r="GI99">
            <v>75</v>
          </cell>
          <cell r="GJ99" t="str">
            <v>-</v>
          </cell>
          <cell r="GK99">
            <v>1</v>
          </cell>
          <cell r="GL99">
            <v>1</v>
          </cell>
          <cell r="GM99">
            <v>100</v>
          </cell>
          <cell r="GN99">
            <v>755</v>
          </cell>
          <cell r="GO99">
            <v>231</v>
          </cell>
          <cell r="GP99">
            <v>76.599999999999994</v>
          </cell>
          <cell r="GQ99">
            <v>769</v>
          </cell>
          <cell r="GR99">
            <v>235</v>
          </cell>
          <cell r="GS99">
            <v>76.599999999999994</v>
          </cell>
          <cell r="GT99">
            <v>665</v>
          </cell>
          <cell r="GU99">
            <v>266</v>
          </cell>
          <cell r="GV99">
            <v>71.400000000000006</v>
          </cell>
          <cell r="GW99">
            <v>847</v>
          </cell>
          <cell r="GX99">
            <v>240</v>
          </cell>
          <cell r="GY99">
            <v>77.900000000000006</v>
          </cell>
          <cell r="GZ99">
            <v>843</v>
          </cell>
          <cell r="HA99">
            <v>193</v>
          </cell>
          <cell r="HB99">
            <v>81.400000000000006</v>
          </cell>
          <cell r="HC99">
            <v>703</v>
          </cell>
          <cell r="HD99">
            <v>147</v>
          </cell>
          <cell r="HE99">
            <v>82.7</v>
          </cell>
          <cell r="HF99">
            <v>556</v>
          </cell>
          <cell r="HG99">
            <v>95</v>
          </cell>
          <cell r="HH99">
            <v>85.4</v>
          </cell>
          <cell r="HI99">
            <v>462</v>
          </cell>
          <cell r="HJ99">
            <v>70</v>
          </cell>
          <cell r="HK99">
            <v>86.8</v>
          </cell>
          <cell r="HL99">
            <v>42</v>
          </cell>
          <cell r="HM99">
            <v>24</v>
          </cell>
          <cell r="HN99">
            <v>63.6</v>
          </cell>
          <cell r="HO99">
            <v>24</v>
          </cell>
          <cell r="HP99">
            <v>33</v>
          </cell>
          <cell r="HQ99">
            <v>42.1</v>
          </cell>
          <cell r="HR99">
            <v>25</v>
          </cell>
          <cell r="HS99">
            <v>20</v>
          </cell>
          <cell r="HT99">
            <v>55.6</v>
          </cell>
          <cell r="HU99">
            <v>19</v>
          </cell>
          <cell r="HV99">
            <v>22</v>
          </cell>
          <cell r="HW99">
            <v>46.3</v>
          </cell>
          <cell r="HX99">
            <v>20</v>
          </cell>
          <cell r="HY99">
            <v>10</v>
          </cell>
          <cell r="HZ99">
            <v>66.7</v>
          </cell>
          <cell r="IA99">
            <v>26</v>
          </cell>
          <cell r="IB99">
            <v>7</v>
          </cell>
          <cell r="IC99">
            <v>78.8</v>
          </cell>
          <cell r="ID99">
            <v>20</v>
          </cell>
          <cell r="IE99">
            <v>6</v>
          </cell>
          <cell r="IF99">
            <v>76.900000000000006</v>
          </cell>
          <cell r="IG99">
            <v>12</v>
          </cell>
          <cell r="IH99">
            <v>7</v>
          </cell>
          <cell r="II99">
            <v>63.2</v>
          </cell>
          <cell r="IJ99">
            <v>35</v>
          </cell>
          <cell r="IK99">
            <v>3</v>
          </cell>
          <cell r="IL99">
            <v>92.1</v>
          </cell>
          <cell r="IM99">
            <v>26</v>
          </cell>
          <cell r="IN99">
            <v>5</v>
          </cell>
          <cell r="IO99">
            <v>83.9</v>
          </cell>
          <cell r="IP99">
            <v>37</v>
          </cell>
          <cell r="IQ99">
            <v>8</v>
          </cell>
          <cell r="IR99">
            <v>82.2</v>
          </cell>
          <cell r="IS99">
            <v>21</v>
          </cell>
          <cell r="IT99">
            <v>9</v>
          </cell>
          <cell r="IU99">
            <v>70</v>
          </cell>
          <cell r="IV99">
            <v>18</v>
          </cell>
          <cell r="IW99">
            <v>13</v>
          </cell>
          <cell r="IX99">
            <v>58.1</v>
          </cell>
          <cell r="IY99">
            <v>23</v>
          </cell>
          <cell r="IZ99">
            <v>6</v>
          </cell>
          <cell r="JA99">
            <v>79.3</v>
          </cell>
          <cell r="JB99">
            <v>13</v>
          </cell>
          <cell r="JC99">
            <v>2</v>
          </cell>
          <cell r="JD99">
            <v>86.7</v>
          </cell>
          <cell r="JE99">
            <v>32</v>
          </cell>
          <cell r="JF99">
            <v>6</v>
          </cell>
          <cell r="JG99">
            <v>84.2</v>
          </cell>
          <cell r="JH99">
            <v>60</v>
          </cell>
          <cell r="JI99">
            <v>2</v>
          </cell>
          <cell r="JJ99">
            <v>96.774193548387103</v>
          </cell>
          <cell r="JK99">
            <v>25</v>
          </cell>
          <cell r="JL99">
            <v>1</v>
          </cell>
          <cell r="JM99">
            <v>96.15384615384616</v>
          </cell>
          <cell r="JN99">
            <v>32</v>
          </cell>
          <cell r="JO99">
            <v>1</v>
          </cell>
          <cell r="JP99">
            <v>96.969696969696969</v>
          </cell>
          <cell r="JQ99">
            <v>4323</v>
          </cell>
          <cell r="JR99">
            <v>886</v>
          </cell>
          <cell r="JS99">
            <v>82.990977154924167</v>
          </cell>
          <cell r="JT99">
            <v>3159</v>
          </cell>
          <cell r="JU99">
            <v>771</v>
          </cell>
          <cell r="JV99">
            <v>80.381679389312978</v>
          </cell>
          <cell r="JW99">
            <v>4</v>
          </cell>
          <cell r="JX99">
            <v>2</v>
          </cell>
          <cell r="JY99">
            <v>66.666666666666657</v>
          </cell>
          <cell r="JZ99">
            <v>393</v>
          </cell>
          <cell r="KA99">
            <v>142</v>
          </cell>
          <cell r="KB99">
            <v>73.45794392523365</v>
          </cell>
          <cell r="KC99">
            <v>17</v>
          </cell>
          <cell r="KD99">
            <v>4</v>
          </cell>
          <cell r="KE99">
            <v>80.952380952380949</v>
          </cell>
          <cell r="KF99">
            <v>3411</v>
          </cell>
          <cell r="KG99">
            <v>745</v>
          </cell>
          <cell r="KH99">
            <v>82.074109720885474</v>
          </cell>
          <cell r="KI99">
            <v>97</v>
          </cell>
          <cell r="KJ99">
            <v>52</v>
          </cell>
          <cell r="KK99">
            <v>65.100671140939596</v>
          </cell>
          <cell r="KL99">
            <v>107</v>
          </cell>
          <cell r="KM99">
            <v>36</v>
          </cell>
          <cell r="KN99">
            <v>74.825174825174827</v>
          </cell>
        </row>
        <row r="100">
          <cell r="C100" t="str">
            <v>Heves MRFK Központ</v>
          </cell>
          <cell r="D100">
            <v>5</v>
          </cell>
          <cell r="E100">
            <v>2</v>
          </cell>
          <cell r="F100">
            <v>71.400000000000006</v>
          </cell>
          <cell r="G100">
            <v>5</v>
          </cell>
          <cell r="H100">
            <v>3</v>
          </cell>
          <cell r="I100">
            <v>62.5</v>
          </cell>
          <cell r="J100">
            <v>7</v>
          </cell>
          <cell r="K100">
            <v>7</v>
          </cell>
          <cell r="L100">
            <v>100</v>
          </cell>
          <cell r="M100">
            <v>7</v>
          </cell>
          <cell r="N100">
            <v>7</v>
          </cell>
          <cell r="O100">
            <v>100</v>
          </cell>
          <cell r="P100">
            <v>6</v>
          </cell>
          <cell r="Q100">
            <v>6</v>
          </cell>
          <cell r="R100">
            <v>100</v>
          </cell>
          <cell r="S100">
            <v>8</v>
          </cell>
          <cell r="T100">
            <v>8</v>
          </cell>
          <cell r="U100">
            <v>100</v>
          </cell>
          <cell r="V100">
            <v>11</v>
          </cell>
          <cell r="W100">
            <v>1</v>
          </cell>
          <cell r="X100">
            <v>91.7</v>
          </cell>
          <cell r="Y100">
            <v>10</v>
          </cell>
          <cell r="Z100">
            <v>1</v>
          </cell>
          <cell r="AA100">
            <v>90.9</v>
          </cell>
          <cell r="AB100">
            <v>90.89996337890625</v>
          </cell>
          <cell r="AC100">
            <v>1</v>
          </cell>
          <cell r="AD100">
            <v>0</v>
          </cell>
          <cell r="AE100">
            <v>1</v>
          </cell>
          <cell r="AF100">
            <v>3</v>
          </cell>
          <cell r="AG100">
            <v>25</v>
          </cell>
          <cell r="AH100">
            <v>2</v>
          </cell>
          <cell r="AI100">
            <v>2</v>
          </cell>
          <cell r="AJ100">
            <v>100</v>
          </cell>
          <cell r="AK100">
            <v>3</v>
          </cell>
          <cell r="AL100">
            <v>3</v>
          </cell>
          <cell r="AM100">
            <v>100</v>
          </cell>
          <cell r="AN100">
            <v>5</v>
          </cell>
          <cell r="AO100">
            <v>5</v>
          </cell>
          <cell r="AP100">
            <v>100</v>
          </cell>
          <cell r="AQ100">
            <v>5</v>
          </cell>
          <cell r="AR100">
            <v>5</v>
          </cell>
          <cell r="AS100">
            <v>100</v>
          </cell>
          <cell r="AT100">
            <v>8</v>
          </cell>
          <cell r="AU100">
            <v>1</v>
          </cell>
          <cell r="AV100">
            <v>88.9</v>
          </cell>
          <cell r="AW100">
            <v>1</v>
          </cell>
          <cell r="AX100">
            <v>1</v>
          </cell>
          <cell r="AY100">
            <v>100</v>
          </cell>
          <cell r="AZ100">
            <v>2</v>
          </cell>
          <cell r="BA100">
            <v>1</v>
          </cell>
          <cell r="BB100">
            <v>66.7</v>
          </cell>
          <cell r="BC100">
            <v>2</v>
          </cell>
          <cell r="BD100">
            <v>2</v>
          </cell>
          <cell r="BE100">
            <v>100</v>
          </cell>
          <cell r="BF100">
            <v>5</v>
          </cell>
          <cell r="BG100">
            <v>5</v>
          </cell>
          <cell r="BH100">
            <v>100</v>
          </cell>
          <cell r="BI100">
            <v>3</v>
          </cell>
          <cell r="BJ100">
            <v>3</v>
          </cell>
          <cell r="BK100">
            <v>100</v>
          </cell>
          <cell r="BL100">
            <v>1</v>
          </cell>
          <cell r="BM100">
            <v>1</v>
          </cell>
          <cell r="BN100">
            <v>100</v>
          </cell>
          <cell r="BO100">
            <v>2</v>
          </cell>
          <cell r="BP100">
            <v>2</v>
          </cell>
          <cell r="BQ100">
            <v>100</v>
          </cell>
          <cell r="BR100">
            <v>2</v>
          </cell>
          <cell r="BS100">
            <v>2</v>
          </cell>
          <cell r="BT100">
            <v>100</v>
          </cell>
          <cell r="BU100">
            <v>5</v>
          </cell>
          <cell r="BV100">
            <v>5</v>
          </cell>
          <cell r="BW100">
            <v>100</v>
          </cell>
          <cell r="BX100">
            <v>22</v>
          </cell>
          <cell r="BY100">
            <v>2</v>
          </cell>
          <cell r="BZ100">
            <v>91.7</v>
          </cell>
          <cell r="CA100">
            <v>13</v>
          </cell>
          <cell r="CB100">
            <v>4</v>
          </cell>
          <cell r="CC100">
            <v>76.5</v>
          </cell>
          <cell r="CD100">
            <v>16</v>
          </cell>
          <cell r="CE100">
            <v>5</v>
          </cell>
          <cell r="CF100">
            <v>76.2</v>
          </cell>
          <cell r="CG100">
            <v>24</v>
          </cell>
          <cell r="CH100">
            <v>1</v>
          </cell>
          <cell r="CI100">
            <v>96</v>
          </cell>
          <cell r="CJ100">
            <v>11</v>
          </cell>
          <cell r="CK100">
            <v>1</v>
          </cell>
          <cell r="CL100">
            <v>91.7</v>
          </cell>
          <cell r="CM100">
            <v>9</v>
          </cell>
          <cell r="CN100">
            <v>2</v>
          </cell>
          <cell r="CO100">
            <v>81.8</v>
          </cell>
          <cell r="CP100">
            <v>13</v>
          </cell>
          <cell r="CQ100">
            <v>3</v>
          </cell>
          <cell r="CR100">
            <v>81.3</v>
          </cell>
          <cell r="CS100">
            <v>15</v>
          </cell>
          <cell r="CT100">
            <v>15</v>
          </cell>
          <cell r="CU100">
            <v>100</v>
          </cell>
          <cell r="CV100">
            <v>14</v>
          </cell>
          <cell r="CW100">
            <v>2</v>
          </cell>
          <cell r="CX100">
            <v>87.5</v>
          </cell>
          <cell r="CY100">
            <v>11</v>
          </cell>
          <cell r="CZ100">
            <v>4</v>
          </cell>
          <cell r="DA100">
            <v>73.3</v>
          </cell>
          <cell r="DB100">
            <v>15</v>
          </cell>
          <cell r="DC100">
            <v>5</v>
          </cell>
          <cell r="DD100">
            <v>75</v>
          </cell>
          <cell r="DE100">
            <v>19</v>
          </cell>
          <cell r="DF100">
            <v>1</v>
          </cell>
          <cell r="DG100">
            <v>95</v>
          </cell>
          <cell r="DH100">
            <v>9</v>
          </cell>
          <cell r="DI100">
            <v>1</v>
          </cell>
          <cell r="DJ100">
            <v>90</v>
          </cell>
          <cell r="DK100">
            <v>6</v>
          </cell>
          <cell r="DL100">
            <v>1</v>
          </cell>
          <cell r="DM100">
            <v>85.7</v>
          </cell>
          <cell r="DN100">
            <v>10</v>
          </cell>
          <cell r="DO100">
            <v>2</v>
          </cell>
          <cell r="DP100">
            <v>83.3</v>
          </cell>
          <cell r="DQ100">
            <v>10</v>
          </cell>
          <cell r="DR100">
            <v>10</v>
          </cell>
          <cell r="DS100">
            <v>100</v>
          </cell>
          <cell r="DT100">
            <v>100</v>
          </cell>
          <cell r="DU100">
            <v>100</v>
          </cell>
          <cell r="DV100" t="str">
            <v>-</v>
          </cell>
          <cell r="DW100">
            <v>1</v>
          </cell>
          <cell r="DX100">
            <v>1</v>
          </cell>
          <cell r="DY100">
            <v>100</v>
          </cell>
          <cell r="DZ100">
            <v>100</v>
          </cell>
          <cell r="EA100">
            <v>100</v>
          </cell>
          <cell r="EB100" t="str">
            <v>-</v>
          </cell>
          <cell r="EC100">
            <v>100</v>
          </cell>
          <cell r="ED100">
            <v>100</v>
          </cell>
          <cell r="EE100" t="str">
            <v>-</v>
          </cell>
          <cell r="EF100">
            <v>100</v>
          </cell>
          <cell r="EG100">
            <v>100</v>
          </cell>
          <cell r="EH100" t="str">
            <v>-</v>
          </cell>
          <cell r="EI100">
            <v>100</v>
          </cell>
          <cell r="EJ100">
            <v>100</v>
          </cell>
          <cell r="EK100" t="str">
            <v>-</v>
          </cell>
          <cell r="EL100">
            <v>100</v>
          </cell>
          <cell r="EM100">
            <v>1</v>
          </cell>
          <cell r="EN100">
            <v>0</v>
          </cell>
          <cell r="EO100">
            <v>1</v>
          </cell>
          <cell r="EP100">
            <v>1</v>
          </cell>
          <cell r="EQ100">
            <v>100</v>
          </cell>
          <cell r="ER100">
            <v>5</v>
          </cell>
          <cell r="ES100">
            <v>1</v>
          </cell>
          <cell r="ET100">
            <v>83.3</v>
          </cell>
          <cell r="EU100">
            <v>83.29998779296875</v>
          </cell>
          <cell r="EV100">
            <v>83.29998779296875</v>
          </cell>
          <cell r="EW100" t="str">
            <v>-</v>
          </cell>
          <cell r="EX100">
            <v>2</v>
          </cell>
          <cell r="EY100">
            <v>2</v>
          </cell>
          <cell r="EZ100">
            <v>100</v>
          </cell>
          <cell r="FA100">
            <v>6</v>
          </cell>
          <cell r="FB100">
            <v>1</v>
          </cell>
          <cell r="FC100">
            <v>85.7</v>
          </cell>
          <cell r="FD100">
            <v>2</v>
          </cell>
          <cell r="FE100">
            <v>2</v>
          </cell>
          <cell r="FF100">
            <v>100</v>
          </cell>
          <cell r="FG100">
            <v>1</v>
          </cell>
          <cell r="FH100">
            <v>1</v>
          </cell>
          <cell r="FI100">
            <v>100</v>
          </cell>
          <cell r="FJ100">
            <v>3</v>
          </cell>
          <cell r="FK100">
            <v>3</v>
          </cell>
          <cell r="FL100">
            <v>100</v>
          </cell>
          <cell r="FM100">
            <v>2</v>
          </cell>
          <cell r="FN100">
            <v>1</v>
          </cell>
          <cell r="FO100">
            <v>66.7</v>
          </cell>
          <cell r="FP100">
            <v>66.699951171875</v>
          </cell>
          <cell r="FQ100">
            <v>66.699951171875</v>
          </cell>
          <cell r="FR100" t="str">
            <v>-</v>
          </cell>
          <cell r="FS100">
            <v>66.699951171875</v>
          </cell>
          <cell r="FT100">
            <v>66.699951171875</v>
          </cell>
          <cell r="FU100" t="str">
            <v>-</v>
          </cell>
          <cell r="FV100">
            <v>66.699951171875</v>
          </cell>
          <cell r="FW100">
            <v>66.699951171875</v>
          </cell>
          <cell r="FX100" t="str">
            <v>-</v>
          </cell>
          <cell r="FY100">
            <v>1</v>
          </cell>
          <cell r="FZ100">
            <v>1</v>
          </cell>
          <cell r="GA100">
            <v>100</v>
          </cell>
          <cell r="GB100">
            <v>100</v>
          </cell>
          <cell r="GC100">
            <v>100</v>
          </cell>
          <cell r="GD100" t="str">
            <v>-</v>
          </cell>
          <cell r="GE100">
            <v>100</v>
          </cell>
          <cell r="GF100">
            <v>100</v>
          </cell>
          <cell r="GG100" t="str">
            <v>-</v>
          </cell>
          <cell r="GH100">
            <v>100</v>
          </cell>
          <cell r="GI100">
            <v>100</v>
          </cell>
          <cell r="GJ100" t="str">
            <v>-</v>
          </cell>
          <cell r="GK100">
            <v>100</v>
          </cell>
          <cell r="GL100">
            <v>100</v>
          </cell>
          <cell r="GM100" t="str">
            <v>-</v>
          </cell>
          <cell r="GN100">
            <v>18</v>
          </cell>
          <cell r="GO100">
            <v>2</v>
          </cell>
          <cell r="GP100">
            <v>90</v>
          </cell>
          <cell r="GQ100">
            <v>5</v>
          </cell>
          <cell r="GR100">
            <v>1</v>
          </cell>
          <cell r="GS100">
            <v>83.3</v>
          </cell>
          <cell r="GT100">
            <v>3</v>
          </cell>
          <cell r="GU100">
            <v>1</v>
          </cell>
          <cell r="GV100">
            <v>75</v>
          </cell>
          <cell r="GW100">
            <v>5</v>
          </cell>
          <cell r="GX100">
            <v>2</v>
          </cell>
          <cell r="GY100">
            <v>71.400000000000006</v>
          </cell>
          <cell r="GZ100">
            <v>4</v>
          </cell>
          <cell r="HA100">
            <v>4</v>
          </cell>
          <cell r="HB100">
            <v>100</v>
          </cell>
          <cell r="HC100">
            <v>1</v>
          </cell>
          <cell r="HD100">
            <v>1</v>
          </cell>
          <cell r="HE100">
            <v>100</v>
          </cell>
          <cell r="HF100">
            <v>3</v>
          </cell>
          <cell r="HG100">
            <v>1</v>
          </cell>
          <cell r="HH100">
            <v>75</v>
          </cell>
          <cell r="HI100">
            <v>1</v>
          </cell>
          <cell r="HJ100">
            <v>1</v>
          </cell>
          <cell r="HK100">
            <v>100</v>
          </cell>
          <cell r="HL100">
            <v>100</v>
          </cell>
          <cell r="HM100">
            <v>100</v>
          </cell>
          <cell r="HN100" t="str">
            <v>-</v>
          </cell>
          <cell r="HO100">
            <v>2</v>
          </cell>
          <cell r="HP100">
            <v>2</v>
          </cell>
          <cell r="HQ100">
            <v>100</v>
          </cell>
          <cell r="HR100">
            <v>1</v>
          </cell>
          <cell r="HS100">
            <v>1</v>
          </cell>
          <cell r="HT100">
            <v>100</v>
          </cell>
          <cell r="HU100">
            <v>2</v>
          </cell>
          <cell r="HV100">
            <v>2</v>
          </cell>
          <cell r="HW100">
            <v>100</v>
          </cell>
          <cell r="HX100">
            <v>2</v>
          </cell>
          <cell r="HY100">
            <v>2</v>
          </cell>
          <cell r="HZ100">
            <v>100</v>
          </cell>
          <cell r="IA100">
            <v>100</v>
          </cell>
          <cell r="IB100">
            <v>100</v>
          </cell>
          <cell r="IC100" t="str">
            <v>-</v>
          </cell>
          <cell r="ID100">
            <v>100</v>
          </cell>
          <cell r="IE100">
            <v>100</v>
          </cell>
          <cell r="IF100" t="str">
            <v>-</v>
          </cell>
          <cell r="IG100">
            <v>100</v>
          </cell>
          <cell r="IH100">
            <v>100</v>
          </cell>
          <cell r="II100" t="str">
            <v>-</v>
          </cell>
          <cell r="IJ100">
            <v>1</v>
          </cell>
          <cell r="IK100">
            <v>1</v>
          </cell>
          <cell r="IL100">
            <v>100</v>
          </cell>
          <cell r="IM100">
            <v>4</v>
          </cell>
          <cell r="IN100">
            <v>4</v>
          </cell>
          <cell r="IO100">
            <v>100</v>
          </cell>
          <cell r="IP100">
            <v>1</v>
          </cell>
          <cell r="IQ100">
            <v>1</v>
          </cell>
          <cell r="IR100">
            <v>100</v>
          </cell>
          <cell r="IS100">
            <v>1</v>
          </cell>
          <cell r="IT100">
            <v>1</v>
          </cell>
          <cell r="IU100">
            <v>100</v>
          </cell>
          <cell r="IV100">
            <v>100</v>
          </cell>
          <cell r="IW100">
            <v>100</v>
          </cell>
          <cell r="IX100" t="str">
            <v>-</v>
          </cell>
          <cell r="IY100">
            <v>1</v>
          </cell>
          <cell r="IZ100">
            <v>1</v>
          </cell>
          <cell r="JA100">
            <v>100</v>
          </cell>
          <cell r="JB100">
            <v>5</v>
          </cell>
          <cell r="JC100">
            <v>5</v>
          </cell>
          <cell r="JD100">
            <v>100</v>
          </cell>
          <cell r="JE100">
            <v>1</v>
          </cell>
          <cell r="JF100">
            <v>1</v>
          </cell>
          <cell r="JG100">
            <v>100</v>
          </cell>
          <cell r="JH100">
            <v>42</v>
          </cell>
          <cell r="JI100">
            <v>2</v>
          </cell>
          <cell r="JJ100">
            <v>95.454545454545453</v>
          </cell>
          <cell r="JK100">
            <v>22</v>
          </cell>
          <cell r="JL100">
            <v>1</v>
          </cell>
          <cell r="JM100">
            <v>95.652173913043484</v>
          </cell>
          <cell r="JN100">
            <v>13</v>
          </cell>
          <cell r="JO100">
            <v>0</v>
          </cell>
          <cell r="JP100">
            <v>100</v>
          </cell>
          <cell r="JQ100">
            <v>72</v>
          </cell>
          <cell r="JR100">
            <v>7</v>
          </cell>
          <cell r="JS100">
            <v>91.139240506329116</v>
          </cell>
          <cell r="JT100">
            <v>54</v>
          </cell>
          <cell r="JU100">
            <v>5</v>
          </cell>
          <cell r="JV100">
            <v>91.525423728813564</v>
          </cell>
          <cell r="JW100">
            <v>1</v>
          </cell>
          <cell r="JX100">
            <v>1</v>
          </cell>
          <cell r="JY100">
            <v>50</v>
          </cell>
          <cell r="JZ100">
            <v>14</v>
          </cell>
          <cell r="KA100">
            <v>2</v>
          </cell>
          <cell r="KB100">
            <v>87.5</v>
          </cell>
          <cell r="KC100">
            <v>1</v>
          </cell>
          <cell r="KD100">
            <v>0</v>
          </cell>
          <cell r="KE100">
            <v>100</v>
          </cell>
          <cell r="KF100">
            <v>14</v>
          </cell>
          <cell r="KG100">
            <v>3</v>
          </cell>
          <cell r="KH100">
            <v>82.35294117647058</v>
          </cell>
          <cell r="KI100">
            <v>4</v>
          </cell>
          <cell r="KJ100">
            <v>0</v>
          </cell>
          <cell r="KK100">
            <v>100</v>
          </cell>
          <cell r="KL100">
            <v>8</v>
          </cell>
          <cell r="KM100">
            <v>0</v>
          </cell>
          <cell r="KN100">
            <v>100</v>
          </cell>
        </row>
        <row r="101">
          <cell r="C101" t="str">
            <v>Egri Rendőrkapitányság</v>
          </cell>
          <cell r="D101">
            <v>100</v>
          </cell>
          <cell r="E101">
            <v>100</v>
          </cell>
          <cell r="F101" t="str">
            <v>-</v>
          </cell>
          <cell r="G101">
            <v>100</v>
          </cell>
          <cell r="H101">
            <v>100</v>
          </cell>
          <cell r="I101" t="str">
            <v>-</v>
          </cell>
          <cell r="J101">
            <v>100</v>
          </cell>
          <cell r="K101">
            <v>100</v>
          </cell>
          <cell r="L101" t="str">
            <v>-</v>
          </cell>
          <cell r="M101">
            <v>100</v>
          </cell>
          <cell r="N101">
            <v>100</v>
          </cell>
          <cell r="O101" t="str">
            <v>-</v>
          </cell>
          <cell r="P101">
            <v>100</v>
          </cell>
          <cell r="Q101">
            <v>100</v>
          </cell>
          <cell r="R101" t="str">
            <v>-</v>
          </cell>
          <cell r="S101">
            <v>100</v>
          </cell>
          <cell r="T101">
            <v>100</v>
          </cell>
          <cell r="U101" t="str">
            <v>-</v>
          </cell>
          <cell r="V101">
            <v>100</v>
          </cell>
          <cell r="W101">
            <v>100</v>
          </cell>
          <cell r="X101" t="str">
            <v>-</v>
          </cell>
          <cell r="Y101">
            <v>100</v>
          </cell>
          <cell r="Z101">
            <v>100</v>
          </cell>
          <cell r="AA101" t="str">
            <v>-</v>
          </cell>
          <cell r="AB101">
            <v>100</v>
          </cell>
          <cell r="AC101">
            <v>100</v>
          </cell>
          <cell r="AD101" t="str">
            <v>-</v>
          </cell>
          <cell r="AE101">
            <v>100</v>
          </cell>
          <cell r="AF101">
            <v>100</v>
          </cell>
          <cell r="AG101" t="str">
            <v>-</v>
          </cell>
          <cell r="AH101">
            <v>100</v>
          </cell>
          <cell r="AI101">
            <v>100</v>
          </cell>
          <cell r="AJ101" t="str">
            <v>-</v>
          </cell>
          <cell r="AK101">
            <v>100</v>
          </cell>
          <cell r="AL101">
            <v>100</v>
          </cell>
          <cell r="AM101" t="str">
            <v>-</v>
          </cell>
          <cell r="AN101">
            <v>100</v>
          </cell>
          <cell r="AO101">
            <v>100</v>
          </cell>
          <cell r="AP101" t="str">
            <v>-</v>
          </cell>
          <cell r="AQ101">
            <v>100</v>
          </cell>
          <cell r="AR101">
            <v>100</v>
          </cell>
          <cell r="AS101" t="str">
            <v>-</v>
          </cell>
          <cell r="AT101">
            <v>100</v>
          </cell>
          <cell r="AU101">
            <v>100</v>
          </cell>
          <cell r="AV101" t="str">
            <v>-</v>
          </cell>
          <cell r="AW101">
            <v>100</v>
          </cell>
          <cell r="AX101">
            <v>100</v>
          </cell>
          <cell r="AY101" t="str">
            <v>-</v>
          </cell>
          <cell r="AZ101">
            <v>100</v>
          </cell>
          <cell r="BA101">
            <v>100</v>
          </cell>
          <cell r="BB101" t="str">
            <v>-</v>
          </cell>
          <cell r="BC101">
            <v>100</v>
          </cell>
          <cell r="BD101">
            <v>100</v>
          </cell>
          <cell r="BE101" t="str">
            <v>-</v>
          </cell>
          <cell r="BF101">
            <v>100</v>
          </cell>
          <cell r="BG101">
            <v>100</v>
          </cell>
          <cell r="BH101" t="str">
            <v>-</v>
          </cell>
          <cell r="BI101">
            <v>100</v>
          </cell>
          <cell r="BJ101">
            <v>100</v>
          </cell>
          <cell r="BK101" t="str">
            <v>-</v>
          </cell>
          <cell r="BL101">
            <v>100</v>
          </cell>
          <cell r="BM101">
            <v>100</v>
          </cell>
          <cell r="BN101" t="str">
            <v>-</v>
          </cell>
          <cell r="BO101">
            <v>100</v>
          </cell>
          <cell r="BP101">
            <v>100</v>
          </cell>
          <cell r="BQ101" t="str">
            <v>-</v>
          </cell>
          <cell r="BR101">
            <v>100</v>
          </cell>
          <cell r="BS101">
            <v>100</v>
          </cell>
          <cell r="BT101" t="str">
            <v>-</v>
          </cell>
          <cell r="BU101">
            <v>100</v>
          </cell>
          <cell r="BV101">
            <v>100</v>
          </cell>
          <cell r="BW101" t="str">
            <v>-</v>
          </cell>
          <cell r="BX101">
            <v>119</v>
          </cell>
          <cell r="BY101">
            <v>39</v>
          </cell>
          <cell r="BZ101">
            <v>75.3</v>
          </cell>
          <cell r="CA101">
            <v>138</v>
          </cell>
          <cell r="CB101">
            <v>34</v>
          </cell>
          <cell r="CC101">
            <v>80.2</v>
          </cell>
          <cell r="CD101">
            <v>90</v>
          </cell>
          <cell r="CE101">
            <v>35</v>
          </cell>
          <cell r="CF101">
            <v>72</v>
          </cell>
          <cell r="CG101">
            <v>126</v>
          </cell>
          <cell r="CH101">
            <v>26</v>
          </cell>
          <cell r="CI101">
            <v>82.9</v>
          </cell>
          <cell r="CJ101">
            <v>121</v>
          </cell>
          <cell r="CK101">
            <v>27</v>
          </cell>
          <cell r="CL101">
            <v>81.8</v>
          </cell>
          <cell r="CM101">
            <v>143</v>
          </cell>
          <cell r="CN101">
            <v>40</v>
          </cell>
          <cell r="CO101">
            <v>78.099999999999994</v>
          </cell>
          <cell r="CP101">
            <v>95</v>
          </cell>
          <cell r="CQ101">
            <v>19</v>
          </cell>
          <cell r="CR101">
            <v>83.3</v>
          </cell>
          <cell r="CS101">
            <v>89</v>
          </cell>
          <cell r="CT101">
            <v>37</v>
          </cell>
          <cell r="CU101">
            <v>70.599999999999994</v>
          </cell>
          <cell r="CV101">
            <v>40</v>
          </cell>
          <cell r="CW101">
            <v>28</v>
          </cell>
          <cell r="CX101">
            <v>58.8</v>
          </cell>
          <cell r="CY101">
            <v>48</v>
          </cell>
          <cell r="CZ101">
            <v>26</v>
          </cell>
          <cell r="DA101">
            <v>64.900000000000006</v>
          </cell>
          <cell r="DB101">
            <v>33</v>
          </cell>
          <cell r="DC101">
            <v>20</v>
          </cell>
          <cell r="DD101">
            <v>62.3</v>
          </cell>
          <cell r="DE101">
            <v>52</v>
          </cell>
          <cell r="DF101">
            <v>22</v>
          </cell>
          <cell r="DG101">
            <v>70.3</v>
          </cell>
          <cell r="DH101">
            <v>48</v>
          </cell>
          <cell r="DI101">
            <v>17</v>
          </cell>
          <cell r="DJ101">
            <v>73.8</v>
          </cell>
          <cell r="DK101">
            <v>60</v>
          </cell>
          <cell r="DL101">
            <v>26</v>
          </cell>
          <cell r="DM101">
            <v>69.8</v>
          </cell>
          <cell r="DN101">
            <v>41</v>
          </cell>
          <cell r="DO101">
            <v>14</v>
          </cell>
          <cell r="DP101">
            <v>74.5</v>
          </cell>
          <cell r="DQ101">
            <v>42</v>
          </cell>
          <cell r="DR101">
            <v>14</v>
          </cell>
          <cell r="DS101">
            <v>75</v>
          </cell>
          <cell r="DT101">
            <v>75</v>
          </cell>
          <cell r="DU101">
            <v>75</v>
          </cell>
          <cell r="DV101" t="str">
            <v>-</v>
          </cell>
          <cell r="DW101">
            <v>75</v>
          </cell>
          <cell r="DX101">
            <v>75</v>
          </cell>
          <cell r="DY101" t="str">
            <v>-</v>
          </cell>
          <cell r="DZ101">
            <v>75</v>
          </cell>
          <cell r="EA101">
            <v>75</v>
          </cell>
          <cell r="EB101" t="str">
            <v>-</v>
          </cell>
          <cell r="EC101">
            <v>75</v>
          </cell>
          <cell r="ED101">
            <v>75</v>
          </cell>
          <cell r="EE101" t="str">
            <v>-</v>
          </cell>
          <cell r="EF101">
            <v>75</v>
          </cell>
          <cell r="EG101">
            <v>75</v>
          </cell>
          <cell r="EH101" t="str">
            <v>-</v>
          </cell>
          <cell r="EI101">
            <v>75</v>
          </cell>
          <cell r="EJ101">
            <v>75</v>
          </cell>
          <cell r="EK101" t="str">
            <v>-</v>
          </cell>
          <cell r="EL101">
            <v>75</v>
          </cell>
          <cell r="EM101">
            <v>75</v>
          </cell>
          <cell r="EN101" t="str">
            <v>-</v>
          </cell>
          <cell r="EO101">
            <v>75</v>
          </cell>
          <cell r="EP101">
            <v>75</v>
          </cell>
          <cell r="EQ101" t="str">
            <v>-</v>
          </cell>
          <cell r="ER101">
            <v>10</v>
          </cell>
          <cell r="ES101">
            <v>5</v>
          </cell>
          <cell r="ET101">
            <v>66.7</v>
          </cell>
          <cell r="EU101">
            <v>8</v>
          </cell>
          <cell r="EV101">
            <v>5</v>
          </cell>
          <cell r="EW101">
            <v>61.5</v>
          </cell>
          <cell r="EX101">
            <v>13</v>
          </cell>
          <cell r="EY101">
            <v>8</v>
          </cell>
          <cell r="EZ101">
            <v>61.9</v>
          </cell>
          <cell r="FA101">
            <v>12</v>
          </cell>
          <cell r="FB101">
            <v>7</v>
          </cell>
          <cell r="FC101">
            <v>63.2</v>
          </cell>
          <cell r="FD101">
            <v>22</v>
          </cell>
          <cell r="FE101">
            <v>9</v>
          </cell>
          <cell r="FF101">
            <v>71</v>
          </cell>
          <cell r="FG101">
            <v>18</v>
          </cell>
          <cell r="FH101">
            <v>8</v>
          </cell>
          <cell r="FI101">
            <v>69.2</v>
          </cell>
          <cell r="FJ101">
            <v>5</v>
          </cell>
          <cell r="FK101">
            <v>6</v>
          </cell>
          <cell r="FL101">
            <v>45.5</v>
          </cell>
          <cell r="FM101">
            <v>4</v>
          </cell>
          <cell r="FN101">
            <v>5</v>
          </cell>
          <cell r="FO101">
            <v>44.4</v>
          </cell>
          <cell r="FP101">
            <v>44.399993896484375</v>
          </cell>
          <cell r="FQ101">
            <v>44.399993896484375</v>
          </cell>
          <cell r="FR101" t="str">
            <v>-</v>
          </cell>
          <cell r="FS101">
            <v>44.399993896484375</v>
          </cell>
          <cell r="FT101">
            <v>44.399993896484375</v>
          </cell>
          <cell r="FU101" t="str">
            <v>-</v>
          </cell>
          <cell r="FV101">
            <v>44.399993896484375</v>
          </cell>
          <cell r="FW101">
            <v>44.399993896484375</v>
          </cell>
          <cell r="FX101" t="str">
            <v>-</v>
          </cell>
          <cell r="FY101">
            <v>44.399993896484375</v>
          </cell>
          <cell r="FZ101">
            <v>44.399993896484375</v>
          </cell>
          <cell r="GA101" t="str">
            <v>-</v>
          </cell>
          <cell r="GB101">
            <v>44.399993896484375</v>
          </cell>
          <cell r="GC101">
            <v>44.399993896484375</v>
          </cell>
          <cell r="GD101" t="str">
            <v>-</v>
          </cell>
          <cell r="GE101">
            <v>44.399993896484375</v>
          </cell>
          <cell r="GF101">
            <v>44.399993896484375</v>
          </cell>
          <cell r="GG101" t="str">
            <v>-</v>
          </cell>
          <cell r="GH101">
            <v>44.399993896484375</v>
          </cell>
          <cell r="GI101">
            <v>44.399993896484375</v>
          </cell>
          <cell r="GJ101" t="str">
            <v>-</v>
          </cell>
          <cell r="GK101">
            <v>44.399993896484375</v>
          </cell>
          <cell r="GL101">
            <v>44.399993896484375</v>
          </cell>
          <cell r="GM101" t="str">
            <v>-</v>
          </cell>
          <cell r="GN101">
            <v>125</v>
          </cell>
          <cell r="GO101">
            <v>37</v>
          </cell>
          <cell r="GP101">
            <v>77.2</v>
          </cell>
          <cell r="GQ101">
            <v>152</v>
          </cell>
          <cell r="GR101">
            <v>35</v>
          </cell>
          <cell r="GS101">
            <v>81.3</v>
          </cell>
          <cell r="GT101">
            <v>120</v>
          </cell>
          <cell r="GU101">
            <v>54</v>
          </cell>
          <cell r="GV101">
            <v>69</v>
          </cell>
          <cell r="GW101">
            <v>145</v>
          </cell>
          <cell r="GX101">
            <v>44</v>
          </cell>
          <cell r="GY101">
            <v>76.7</v>
          </cell>
          <cell r="GZ101">
            <v>170</v>
          </cell>
          <cell r="HA101">
            <v>50</v>
          </cell>
          <cell r="HB101">
            <v>77.3</v>
          </cell>
          <cell r="HC101">
            <v>169</v>
          </cell>
          <cell r="HD101">
            <v>45</v>
          </cell>
          <cell r="HE101">
            <v>79</v>
          </cell>
          <cell r="HF101">
            <v>141</v>
          </cell>
          <cell r="HG101">
            <v>31</v>
          </cell>
          <cell r="HH101">
            <v>82</v>
          </cell>
          <cell r="HI101">
            <v>93</v>
          </cell>
          <cell r="HJ101">
            <v>34</v>
          </cell>
          <cell r="HK101">
            <v>73.2</v>
          </cell>
          <cell r="HL101">
            <v>10</v>
          </cell>
          <cell r="HM101">
            <v>12</v>
          </cell>
          <cell r="HN101">
            <v>45.5</v>
          </cell>
          <cell r="HO101">
            <v>1</v>
          </cell>
          <cell r="HP101">
            <v>8</v>
          </cell>
          <cell r="HQ101">
            <v>11.1</v>
          </cell>
          <cell r="HR101">
            <v>4</v>
          </cell>
          <cell r="HS101">
            <v>9</v>
          </cell>
          <cell r="HT101">
            <v>30.8</v>
          </cell>
          <cell r="HU101">
            <v>9</v>
          </cell>
          <cell r="HV101">
            <v>2</v>
          </cell>
          <cell r="HW101">
            <v>81.8</v>
          </cell>
          <cell r="HX101">
            <v>2</v>
          </cell>
          <cell r="HY101">
            <v>3</v>
          </cell>
          <cell r="HZ101">
            <v>40</v>
          </cell>
          <cell r="IA101">
            <v>4</v>
          </cell>
          <cell r="IB101">
            <v>2</v>
          </cell>
          <cell r="IC101">
            <v>66.7</v>
          </cell>
          <cell r="ID101">
            <v>9</v>
          </cell>
          <cell r="IE101">
            <v>1</v>
          </cell>
          <cell r="IF101">
            <v>90</v>
          </cell>
          <cell r="IG101">
            <v>2</v>
          </cell>
          <cell r="IH101">
            <v>4</v>
          </cell>
          <cell r="II101">
            <v>33.299999999999997</v>
          </cell>
          <cell r="IJ101">
            <v>3</v>
          </cell>
          <cell r="IK101">
            <v>3</v>
          </cell>
          <cell r="IL101">
            <v>100</v>
          </cell>
          <cell r="IM101">
            <v>5</v>
          </cell>
          <cell r="IN101">
            <v>1</v>
          </cell>
          <cell r="IO101">
            <v>83.3</v>
          </cell>
          <cell r="IP101">
            <v>1</v>
          </cell>
          <cell r="IQ101">
            <v>1</v>
          </cell>
          <cell r="IR101">
            <v>100</v>
          </cell>
          <cell r="IS101">
            <v>2</v>
          </cell>
          <cell r="IT101">
            <v>1</v>
          </cell>
          <cell r="IU101">
            <v>66.7</v>
          </cell>
          <cell r="IV101">
            <v>2</v>
          </cell>
          <cell r="IW101">
            <v>1</v>
          </cell>
          <cell r="IX101">
            <v>66.7</v>
          </cell>
          <cell r="IY101">
            <v>1</v>
          </cell>
          <cell r="IZ101">
            <v>1</v>
          </cell>
          <cell r="JA101">
            <v>50</v>
          </cell>
          <cell r="JB101">
            <v>50</v>
          </cell>
          <cell r="JC101">
            <v>2</v>
          </cell>
          <cell r="JD101">
            <v>0</v>
          </cell>
          <cell r="JE101">
            <v>4</v>
          </cell>
          <cell r="JF101">
            <v>4</v>
          </cell>
          <cell r="JG101">
            <v>50</v>
          </cell>
          <cell r="JH101">
            <v>0</v>
          </cell>
          <cell r="JI101">
            <v>0</v>
          </cell>
          <cell r="JJ101" t="str">
            <v>-</v>
          </cell>
          <cell r="JK101">
            <v>0</v>
          </cell>
          <cell r="JL101">
            <v>0</v>
          </cell>
          <cell r="JM101" t="str">
            <v>-</v>
          </cell>
          <cell r="JN101">
            <v>0</v>
          </cell>
          <cell r="JO101">
            <v>0</v>
          </cell>
          <cell r="JP101" t="str">
            <v>-</v>
          </cell>
          <cell r="JQ101">
            <v>574</v>
          </cell>
          <cell r="JR101">
            <v>149</v>
          </cell>
          <cell r="JS101">
            <v>79.391424619640389</v>
          </cell>
          <cell r="JT101">
            <v>243</v>
          </cell>
          <cell r="JU101">
            <v>93</v>
          </cell>
          <cell r="JV101">
            <v>72.321428571428569</v>
          </cell>
          <cell r="JW101">
            <v>0</v>
          </cell>
          <cell r="JX101">
            <v>0</v>
          </cell>
          <cell r="JY101" t="str">
            <v>-</v>
          </cell>
          <cell r="JZ101">
            <v>61</v>
          </cell>
          <cell r="KA101">
            <v>35</v>
          </cell>
          <cell r="KB101">
            <v>63.541666666666664</v>
          </cell>
          <cell r="KC101">
            <v>0</v>
          </cell>
          <cell r="KD101">
            <v>0</v>
          </cell>
          <cell r="KE101" t="str">
            <v>-</v>
          </cell>
          <cell r="KF101">
            <v>718</v>
          </cell>
          <cell r="KG101">
            <v>204</v>
          </cell>
          <cell r="KH101">
            <v>77.874186550976148</v>
          </cell>
          <cell r="KI101">
            <v>26</v>
          </cell>
          <cell r="KJ101">
            <v>12</v>
          </cell>
          <cell r="KK101">
            <v>68.421052631578945</v>
          </cell>
          <cell r="KL101">
            <v>9</v>
          </cell>
          <cell r="KM101">
            <v>9</v>
          </cell>
          <cell r="KN101">
            <v>50</v>
          </cell>
        </row>
        <row r="102">
          <cell r="C102" t="str">
            <v>Füzesabonyi Rendőrkapitányság</v>
          </cell>
          <cell r="D102">
            <v>50</v>
          </cell>
          <cell r="E102">
            <v>50</v>
          </cell>
          <cell r="F102" t="str">
            <v>-</v>
          </cell>
          <cell r="G102">
            <v>50</v>
          </cell>
          <cell r="H102">
            <v>50</v>
          </cell>
          <cell r="I102" t="str">
            <v>-</v>
          </cell>
          <cell r="J102">
            <v>50</v>
          </cell>
          <cell r="K102">
            <v>50</v>
          </cell>
          <cell r="L102" t="str">
            <v>-</v>
          </cell>
          <cell r="M102">
            <v>50</v>
          </cell>
          <cell r="N102">
            <v>50</v>
          </cell>
          <cell r="O102" t="str">
            <v>-</v>
          </cell>
          <cell r="P102">
            <v>50</v>
          </cell>
          <cell r="Q102">
            <v>50</v>
          </cell>
          <cell r="R102" t="str">
            <v>-</v>
          </cell>
          <cell r="S102">
            <v>50</v>
          </cell>
          <cell r="T102">
            <v>50</v>
          </cell>
          <cell r="U102" t="str">
            <v>-</v>
          </cell>
          <cell r="V102">
            <v>50</v>
          </cell>
          <cell r="W102">
            <v>50</v>
          </cell>
          <cell r="X102" t="str">
            <v>-</v>
          </cell>
          <cell r="Y102">
            <v>50</v>
          </cell>
          <cell r="Z102">
            <v>50</v>
          </cell>
          <cell r="AA102" t="str">
            <v>-</v>
          </cell>
          <cell r="AB102">
            <v>50</v>
          </cell>
          <cell r="AC102">
            <v>50</v>
          </cell>
          <cell r="AD102" t="str">
            <v>-</v>
          </cell>
          <cell r="AE102">
            <v>50</v>
          </cell>
          <cell r="AF102">
            <v>50</v>
          </cell>
          <cell r="AG102" t="str">
            <v>-</v>
          </cell>
          <cell r="AH102">
            <v>50</v>
          </cell>
          <cell r="AI102">
            <v>50</v>
          </cell>
          <cell r="AJ102" t="str">
            <v>-</v>
          </cell>
          <cell r="AK102">
            <v>50</v>
          </cell>
          <cell r="AL102">
            <v>50</v>
          </cell>
          <cell r="AM102" t="str">
            <v>-</v>
          </cell>
          <cell r="AN102">
            <v>50</v>
          </cell>
          <cell r="AO102">
            <v>50</v>
          </cell>
          <cell r="AP102" t="str">
            <v>-</v>
          </cell>
          <cell r="AQ102">
            <v>50</v>
          </cell>
          <cell r="AR102">
            <v>50</v>
          </cell>
          <cell r="AS102" t="str">
            <v>-</v>
          </cell>
          <cell r="AT102">
            <v>50</v>
          </cell>
          <cell r="AU102">
            <v>50</v>
          </cell>
          <cell r="AV102" t="str">
            <v>-</v>
          </cell>
          <cell r="AW102">
            <v>50</v>
          </cell>
          <cell r="AX102">
            <v>50</v>
          </cell>
          <cell r="AY102" t="str">
            <v>-</v>
          </cell>
          <cell r="AZ102">
            <v>50</v>
          </cell>
          <cell r="BA102">
            <v>50</v>
          </cell>
          <cell r="BB102" t="str">
            <v>-</v>
          </cell>
          <cell r="BC102">
            <v>50</v>
          </cell>
          <cell r="BD102">
            <v>50</v>
          </cell>
          <cell r="BE102" t="str">
            <v>-</v>
          </cell>
          <cell r="BF102">
            <v>50</v>
          </cell>
          <cell r="BG102">
            <v>50</v>
          </cell>
          <cell r="BH102" t="str">
            <v>-</v>
          </cell>
          <cell r="BI102">
            <v>50</v>
          </cell>
          <cell r="BJ102">
            <v>50</v>
          </cell>
          <cell r="BK102" t="str">
            <v>-</v>
          </cell>
          <cell r="BL102">
            <v>50</v>
          </cell>
          <cell r="BM102">
            <v>50</v>
          </cell>
          <cell r="BN102" t="str">
            <v>-</v>
          </cell>
          <cell r="BO102">
            <v>50</v>
          </cell>
          <cell r="BP102">
            <v>50</v>
          </cell>
          <cell r="BQ102" t="str">
            <v>-</v>
          </cell>
          <cell r="BR102">
            <v>50</v>
          </cell>
          <cell r="BS102">
            <v>50</v>
          </cell>
          <cell r="BT102" t="str">
            <v>-</v>
          </cell>
          <cell r="BU102">
            <v>50</v>
          </cell>
          <cell r="BV102">
            <v>50</v>
          </cell>
          <cell r="BW102" t="str">
            <v>-</v>
          </cell>
          <cell r="BX102">
            <v>46</v>
          </cell>
          <cell r="BY102">
            <v>6</v>
          </cell>
          <cell r="BZ102">
            <v>88.5</v>
          </cell>
          <cell r="CA102">
            <v>58</v>
          </cell>
          <cell r="CB102">
            <v>4</v>
          </cell>
          <cell r="CC102">
            <v>93.5</v>
          </cell>
          <cell r="CD102">
            <v>30</v>
          </cell>
          <cell r="CE102">
            <v>9</v>
          </cell>
          <cell r="CF102">
            <v>76.900000000000006</v>
          </cell>
          <cell r="CG102">
            <v>45</v>
          </cell>
          <cell r="CH102">
            <v>10</v>
          </cell>
          <cell r="CI102">
            <v>81.8</v>
          </cell>
          <cell r="CJ102">
            <v>96</v>
          </cell>
          <cell r="CK102">
            <v>12</v>
          </cell>
          <cell r="CL102">
            <v>88.9</v>
          </cell>
          <cell r="CM102">
            <v>46</v>
          </cell>
          <cell r="CN102">
            <v>17</v>
          </cell>
          <cell r="CO102">
            <v>73</v>
          </cell>
          <cell r="CP102">
            <v>45</v>
          </cell>
          <cell r="CQ102">
            <v>9</v>
          </cell>
          <cell r="CR102">
            <v>83.3</v>
          </cell>
          <cell r="CS102">
            <v>57</v>
          </cell>
          <cell r="CT102">
            <v>15</v>
          </cell>
          <cell r="CU102">
            <v>79.2</v>
          </cell>
          <cell r="CV102">
            <v>9</v>
          </cell>
          <cell r="CW102">
            <v>3</v>
          </cell>
          <cell r="CX102">
            <v>75</v>
          </cell>
          <cell r="CY102">
            <v>11</v>
          </cell>
          <cell r="CZ102">
            <v>2</v>
          </cell>
          <cell r="DA102">
            <v>84.6</v>
          </cell>
          <cell r="DB102">
            <v>10</v>
          </cell>
          <cell r="DC102">
            <v>3</v>
          </cell>
          <cell r="DD102">
            <v>76.900000000000006</v>
          </cell>
          <cell r="DE102">
            <v>16</v>
          </cell>
          <cell r="DF102">
            <v>7</v>
          </cell>
          <cell r="DG102">
            <v>69.599999999999994</v>
          </cell>
          <cell r="DH102">
            <v>22</v>
          </cell>
          <cell r="DI102">
            <v>5</v>
          </cell>
          <cell r="DJ102">
            <v>81.5</v>
          </cell>
          <cell r="DK102">
            <v>14</v>
          </cell>
          <cell r="DL102">
            <v>12</v>
          </cell>
          <cell r="DM102">
            <v>53.8</v>
          </cell>
          <cell r="DN102">
            <v>18</v>
          </cell>
          <cell r="DO102">
            <v>3</v>
          </cell>
          <cell r="DP102">
            <v>85.7</v>
          </cell>
          <cell r="DQ102">
            <v>17</v>
          </cell>
          <cell r="DR102">
            <v>7</v>
          </cell>
          <cell r="DS102">
            <v>70.8</v>
          </cell>
          <cell r="DT102">
            <v>70.79998779296875</v>
          </cell>
          <cell r="DU102">
            <v>70.79998779296875</v>
          </cell>
          <cell r="DV102" t="str">
            <v>-</v>
          </cell>
          <cell r="DW102">
            <v>70.79998779296875</v>
          </cell>
          <cell r="DX102">
            <v>70.79998779296875</v>
          </cell>
          <cell r="DY102" t="str">
            <v>-</v>
          </cell>
          <cell r="DZ102">
            <v>70.79998779296875</v>
          </cell>
          <cell r="EA102">
            <v>70.79998779296875</v>
          </cell>
          <cell r="EB102" t="str">
            <v>-</v>
          </cell>
          <cell r="EC102">
            <v>70.79998779296875</v>
          </cell>
          <cell r="ED102">
            <v>70.79998779296875</v>
          </cell>
          <cell r="EE102" t="str">
            <v>-</v>
          </cell>
          <cell r="EF102">
            <v>70.79998779296875</v>
          </cell>
          <cell r="EG102">
            <v>70.79998779296875</v>
          </cell>
          <cell r="EH102" t="str">
            <v>-</v>
          </cell>
          <cell r="EI102">
            <v>70.79998779296875</v>
          </cell>
          <cell r="EJ102">
            <v>70.79998779296875</v>
          </cell>
          <cell r="EK102" t="str">
            <v>-</v>
          </cell>
          <cell r="EL102">
            <v>70.79998779296875</v>
          </cell>
          <cell r="EM102">
            <v>70.79998779296875</v>
          </cell>
          <cell r="EN102" t="str">
            <v>-</v>
          </cell>
          <cell r="EO102">
            <v>70.79998779296875</v>
          </cell>
          <cell r="EP102">
            <v>70.79998779296875</v>
          </cell>
          <cell r="EQ102" t="str">
            <v>-</v>
          </cell>
          <cell r="ER102">
            <v>8</v>
          </cell>
          <cell r="ES102">
            <v>1</v>
          </cell>
          <cell r="ET102">
            <v>88.9</v>
          </cell>
          <cell r="EU102">
            <v>10</v>
          </cell>
          <cell r="EV102">
            <v>6</v>
          </cell>
          <cell r="EW102">
            <v>62.5</v>
          </cell>
          <cell r="EX102">
            <v>3</v>
          </cell>
          <cell r="EY102">
            <v>3</v>
          </cell>
          <cell r="EZ102">
            <v>50</v>
          </cell>
          <cell r="FA102">
            <v>5</v>
          </cell>
          <cell r="FB102">
            <v>5</v>
          </cell>
          <cell r="FC102">
            <v>100</v>
          </cell>
          <cell r="FD102">
            <v>10</v>
          </cell>
          <cell r="FE102">
            <v>4</v>
          </cell>
          <cell r="FF102">
            <v>71.400000000000006</v>
          </cell>
          <cell r="FG102">
            <v>1</v>
          </cell>
          <cell r="FH102">
            <v>1</v>
          </cell>
          <cell r="FI102">
            <v>50</v>
          </cell>
          <cell r="FJ102">
            <v>4</v>
          </cell>
          <cell r="FK102">
            <v>5</v>
          </cell>
          <cell r="FL102">
            <v>44.4</v>
          </cell>
          <cell r="FM102">
            <v>10</v>
          </cell>
          <cell r="FN102">
            <v>2</v>
          </cell>
          <cell r="FO102">
            <v>83.3</v>
          </cell>
          <cell r="FP102">
            <v>83.29998779296875</v>
          </cell>
          <cell r="FQ102">
            <v>83.29998779296875</v>
          </cell>
          <cell r="FR102" t="str">
            <v>-</v>
          </cell>
          <cell r="FS102">
            <v>83.29998779296875</v>
          </cell>
          <cell r="FT102">
            <v>83.29998779296875</v>
          </cell>
          <cell r="FU102" t="str">
            <v>-</v>
          </cell>
          <cell r="FV102">
            <v>83.29998779296875</v>
          </cell>
          <cell r="FW102">
            <v>83.29998779296875</v>
          </cell>
          <cell r="FX102" t="str">
            <v>-</v>
          </cell>
          <cell r="FY102">
            <v>83.29998779296875</v>
          </cell>
          <cell r="FZ102">
            <v>83.29998779296875</v>
          </cell>
          <cell r="GA102" t="str">
            <v>-</v>
          </cell>
          <cell r="GB102">
            <v>83.29998779296875</v>
          </cell>
          <cell r="GC102">
            <v>83.29998779296875</v>
          </cell>
          <cell r="GD102" t="str">
            <v>-</v>
          </cell>
          <cell r="GE102">
            <v>83.29998779296875</v>
          </cell>
          <cell r="GF102">
            <v>83.29998779296875</v>
          </cell>
          <cell r="GG102" t="str">
            <v>-</v>
          </cell>
          <cell r="GH102">
            <v>83.29998779296875</v>
          </cell>
          <cell r="GI102">
            <v>83.29998779296875</v>
          </cell>
          <cell r="GJ102" t="str">
            <v>-</v>
          </cell>
          <cell r="GK102">
            <v>83.29998779296875</v>
          </cell>
          <cell r="GL102">
            <v>83.29998779296875</v>
          </cell>
          <cell r="GM102" t="str">
            <v>-</v>
          </cell>
          <cell r="GN102">
            <v>35</v>
          </cell>
          <cell r="GO102">
            <v>8</v>
          </cell>
          <cell r="GP102">
            <v>81.400000000000006</v>
          </cell>
          <cell r="GQ102">
            <v>47</v>
          </cell>
          <cell r="GR102">
            <v>3</v>
          </cell>
          <cell r="GS102">
            <v>94</v>
          </cell>
          <cell r="GT102">
            <v>41</v>
          </cell>
          <cell r="GU102">
            <v>10</v>
          </cell>
          <cell r="GV102">
            <v>80.400000000000006</v>
          </cell>
          <cell r="GW102">
            <v>40</v>
          </cell>
          <cell r="GX102">
            <v>29</v>
          </cell>
          <cell r="GY102">
            <v>58</v>
          </cell>
          <cell r="GZ102">
            <v>101</v>
          </cell>
          <cell r="HA102">
            <v>29</v>
          </cell>
          <cell r="HB102">
            <v>77.7</v>
          </cell>
          <cell r="HC102">
            <v>98</v>
          </cell>
          <cell r="HD102">
            <v>52</v>
          </cell>
          <cell r="HE102">
            <v>65.3</v>
          </cell>
          <cell r="HF102">
            <v>59</v>
          </cell>
          <cell r="HG102">
            <v>26</v>
          </cell>
          <cell r="HH102">
            <v>69.400000000000006</v>
          </cell>
          <cell r="HI102">
            <v>66</v>
          </cell>
          <cell r="HJ102">
            <v>24</v>
          </cell>
          <cell r="HK102">
            <v>73.3</v>
          </cell>
          <cell r="HL102">
            <v>1</v>
          </cell>
          <cell r="HM102">
            <v>1</v>
          </cell>
          <cell r="HN102">
            <v>50</v>
          </cell>
          <cell r="HO102">
            <v>1</v>
          </cell>
          <cell r="HP102">
            <v>1</v>
          </cell>
          <cell r="HQ102">
            <v>100</v>
          </cell>
          <cell r="HR102">
            <v>100</v>
          </cell>
          <cell r="HS102">
            <v>1</v>
          </cell>
          <cell r="HT102">
            <v>0</v>
          </cell>
          <cell r="HU102">
            <v>4</v>
          </cell>
          <cell r="HV102">
            <v>3</v>
          </cell>
          <cell r="HW102">
            <v>57.1</v>
          </cell>
          <cell r="HX102">
            <v>4</v>
          </cell>
          <cell r="HY102">
            <v>4</v>
          </cell>
          <cell r="HZ102">
            <v>100</v>
          </cell>
          <cell r="IA102">
            <v>5</v>
          </cell>
          <cell r="IB102">
            <v>3</v>
          </cell>
          <cell r="IC102">
            <v>62.5</v>
          </cell>
          <cell r="ID102">
            <v>3</v>
          </cell>
          <cell r="IE102">
            <v>2</v>
          </cell>
          <cell r="IF102">
            <v>60</v>
          </cell>
          <cell r="IG102">
            <v>4</v>
          </cell>
          <cell r="IH102">
            <v>6</v>
          </cell>
          <cell r="II102">
            <v>40</v>
          </cell>
          <cell r="IJ102">
            <v>1</v>
          </cell>
          <cell r="IK102">
            <v>2</v>
          </cell>
          <cell r="IL102">
            <v>33.299999999999997</v>
          </cell>
          <cell r="IM102">
            <v>33.29998779296875</v>
          </cell>
          <cell r="IN102">
            <v>33.29998779296875</v>
          </cell>
          <cell r="IO102" t="str">
            <v>-</v>
          </cell>
          <cell r="IP102">
            <v>33.29998779296875</v>
          </cell>
          <cell r="IQ102">
            <v>33.29998779296875</v>
          </cell>
          <cell r="IR102" t="str">
            <v>-</v>
          </cell>
          <cell r="IS102">
            <v>33.29998779296875</v>
          </cell>
          <cell r="IT102">
            <v>33.29998779296875</v>
          </cell>
          <cell r="IU102" t="str">
            <v>-</v>
          </cell>
          <cell r="IV102">
            <v>33.29998779296875</v>
          </cell>
          <cell r="IW102">
            <v>33.29998779296875</v>
          </cell>
          <cell r="IX102" t="str">
            <v>-</v>
          </cell>
          <cell r="IY102">
            <v>33.29998779296875</v>
          </cell>
          <cell r="IZ102">
            <v>33.29998779296875</v>
          </cell>
          <cell r="JA102" t="str">
            <v>-</v>
          </cell>
          <cell r="JB102">
            <v>33.29998779296875</v>
          </cell>
          <cell r="JC102">
            <v>1</v>
          </cell>
          <cell r="JD102">
            <v>0</v>
          </cell>
          <cell r="JE102">
            <v>1</v>
          </cell>
          <cell r="JF102">
            <v>1</v>
          </cell>
          <cell r="JG102">
            <v>50</v>
          </cell>
          <cell r="JH102">
            <v>0</v>
          </cell>
          <cell r="JI102">
            <v>0</v>
          </cell>
          <cell r="JJ102" t="str">
            <v>-</v>
          </cell>
          <cell r="JK102">
            <v>0</v>
          </cell>
          <cell r="JL102">
            <v>0</v>
          </cell>
          <cell r="JM102" t="str">
            <v>-</v>
          </cell>
          <cell r="JN102">
            <v>0</v>
          </cell>
          <cell r="JO102">
            <v>0</v>
          </cell>
          <cell r="JP102" t="str">
            <v>-</v>
          </cell>
          <cell r="JQ102">
            <v>289</v>
          </cell>
          <cell r="JR102">
            <v>63</v>
          </cell>
          <cell r="JS102">
            <v>82.102272727272734</v>
          </cell>
          <cell r="JT102">
            <v>87</v>
          </cell>
          <cell r="JU102">
            <v>34</v>
          </cell>
          <cell r="JV102">
            <v>71.900826446281002</v>
          </cell>
          <cell r="JW102">
            <v>0</v>
          </cell>
          <cell r="JX102">
            <v>0</v>
          </cell>
          <cell r="JY102" t="str">
            <v>-</v>
          </cell>
          <cell r="JZ102">
            <v>30</v>
          </cell>
          <cell r="KA102">
            <v>12</v>
          </cell>
          <cell r="KB102">
            <v>71.428571428571431</v>
          </cell>
          <cell r="KC102">
            <v>0</v>
          </cell>
          <cell r="KD102">
            <v>0</v>
          </cell>
          <cell r="KE102" t="str">
            <v>-</v>
          </cell>
          <cell r="KF102">
            <v>364</v>
          </cell>
          <cell r="KG102">
            <v>160</v>
          </cell>
          <cell r="KH102">
            <v>69.465648854961842</v>
          </cell>
          <cell r="KI102">
            <v>20</v>
          </cell>
          <cell r="KJ102">
            <v>14</v>
          </cell>
          <cell r="KK102">
            <v>58.82352941176471</v>
          </cell>
          <cell r="KL102">
            <v>1</v>
          </cell>
          <cell r="KM102">
            <v>2</v>
          </cell>
          <cell r="KN102">
            <v>33.333333333333329</v>
          </cell>
        </row>
        <row r="103">
          <cell r="C103" t="str">
            <v>Gyöngyösi Rendőrkapitányság</v>
          </cell>
          <cell r="D103">
            <v>33.33331298828125</v>
          </cell>
          <cell r="E103">
            <v>33.33331298828125</v>
          </cell>
          <cell r="F103" t="str">
            <v>-</v>
          </cell>
          <cell r="G103">
            <v>33.33331298828125</v>
          </cell>
          <cell r="H103">
            <v>33.33331298828125</v>
          </cell>
          <cell r="I103" t="str">
            <v>-</v>
          </cell>
          <cell r="J103">
            <v>33.33331298828125</v>
          </cell>
          <cell r="K103">
            <v>33.33331298828125</v>
          </cell>
          <cell r="L103" t="str">
            <v>-</v>
          </cell>
          <cell r="M103">
            <v>33.33331298828125</v>
          </cell>
          <cell r="N103">
            <v>33.33331298828125</v>
          </cell>
          <cell r="O103" t="str">
            <v>-</v>
          </cell>
          <cell r="P103">
            <v>33.33331298828125</v>
          </cell>
          <cell r="Q103">
            <v>33.33331298828125</v>
          </cell>
          <cell r="R103" t="str">
            <v>-</v>
          </cell>
          <cell r="S103">
            <v>33.33331298828125</v>
          </cell>
          <cell r="T103">
            <v>33.33331298828125</v>
          </cell>
          <cell r="U103" t="str">
            <v>-</v>
          </cell>
          <cell r="V103">
            <v>33.33331298828125</v>
          </cell>
          <cell r="W103">
            <v>33.33331298828125</v>
          </cell>
          <cell r="X103" t="str">
            <v>-</v>
          </cell>
          <cell r="Y103">
            <v>33.33331298828125</v>
          </cell>
          <cell r="Z103">
            <v>33.33331298828125</v>
          </cell>
          <cell r="AA103" t="str">
            <v>-</v>
          </cell>
          <cell r="AB103">
            <v>33.33331298828125</v>
          </cell>
          <cell r="AC103">
            <v>33.33331298828125</v>
          </cell>
          <cell r="AD103" t="str">
            <v>-</v>
          </cell>
          <cell r="AE103">
            <v>33.33331298828125</v>
          </cell>
          <cell r="AF103">
            <v>33.33331298828125</v>
          </cell>
          <cell r="AG103" t="str">
            <v>-</v>
          </cell>
          <cell r="AH103">
            <v>33.33331298828125</v>
          </cell>
          <cell r="AI103">
            <v>33.33331298828125</v>
          </cell>
          <cell r="AJ103" t="str">
            <v>-</v>
          </cell>
          <cell r="AK103">
            <v>33.33331298828125</v>
          </cell>
          <cell r="AL103">
            <v>33.33331298828125</v>
          </cell>
          <cell r="AM103" t="str">
            <v>-</v>
          </cell>
          <cell r="AN103">
            <v>33.33331298828125</v>
          </cell>
          <cell r="AO103">
            <v>33.33331298828125</v>
          </cell>
          <cell r="AP103" t="str">
            <v>-</v>
          </cell>
          <cell r="AQ103">
            <v>33.33331298828125</v>
          </cell>
          <cell r="AR103">
            <v>33.33331298828125</v>
          </cell>
          <cell r="AS103" t="str">
            <v>-</v>
          </cell>
          <cell r="AT103">
            <v>33.33331298828125</v>
          </cell>
          <cell r="AU103">
            <v>33.33331298828125</v>
          </cell>
          <cell r="AV103" t="str">
            <v>-</v>
          </cell>
          <cell r="AW103">
            <v>33.33331298828125</v>
          </cell>
          <cell r="AX103">
            <v>33.33331298828125</v>
          </cell>
          <cell r="AY103" t="str">
            <v>-</v>
          </cell>
          <cell r="AZ103">
            <v>33.33331298828125</v>
          </cell>
          <cell r="BA103">
            <v>33.33331298828125</v>
          </cell>
          <cell r="BB103" t="str">
            <v>-</v>
          </cell>
          <cell r="BC103">
            <v>33.33331298828125</v>
          </cell>
          <cell r="BD103">
            <v>33.33331298828125</v>
          </cell>
          <cell r="BE103" t="str">
            <v>-</v>
          </cell>
          <cell r="BF103">
            <v>33.33331298828125</v>
          </cell>
          <cell r="BG103">
            <v>33.33331298828125</v>
          </cell>
          <cell r="BH103" t="str">
            <v>-</v>
          </cell>
          <cell r="BI103">
            <v>33.33331298828125</v>
          </cell>
          <cell r="BJ103">
            <v>33.33331298828125</v>
          </cell>
          <cell r="BK103" t="str">
            <v>-</v>
          </cell>
          <cell r="BL103">
            <v>33.33331298828125</v>
          </cell>
          <cell r="BM103">
            <v>33.33331298828125</v>
          </cell>
          <cell r="BN103" t="str">
            <v>-</v>
          </cell>
          <cell r="BO103">
            <v>33.33331298828125</v>
          </cell>
          <cell r="BP103">
            <v>33.33331298828125</v>
          </cell>
          <cell r="BQ103" t="str">
            <v>-</v>
          </cell>
          <cell r="BR103">
            <v>33.33331298828125</v>
          </cell>
          <cell r="BS103">
            <v>33.33331298828125</v>
          </cell>
          <cell r="BT103" t="str">
            <v>-</v>
          </cell>
          <cell r="BU103">
            <v>33.33331298828125</v>
          </cell>
          <cell r="BV103">
            <v>33.33331298828125</v>
          </cell>
          <cell r="BW103" t="str">
            <v>-</v>
          </cell>
          <cell r="BX103">
            <v>107</v>
          </cell>
          <cell r="BY103">
            <v>23</v>
          </cell>
          <cell r="BZ103">
            <v>82.3</v>
          </cell>
          <cell r="CA103">
            <v>104</v>
          </cell>
          <cell r="CB103">
            <v>22</v>
          </cell>
          <cell r="CC103">
            <v>82.5</v>
          </cell>
          <cell r="CD103">
            <v>74</v>
          </cell>
          <cell r="CE103">
            <v>17</v>
          </cell>
          <cell r="CF103">
            <v>81.3</v>
          </cell>
          <cell r="CG103">
            <v>67</v>
          </cell>
          <cell r="CH103">
            <v>17</v>
          </cell>
          <cell r="CI103">
            <v>79.8</v>
          </cell>
          <cell r="CJ103">
            <v>60</v>
          </cell>
          <cell r="CK103">
            <v>25</v>
          </cell>
          <cell r="CL103">
            <v>70.599999999999994</v>
          </cell>
          <cell r="CM103">
            <v>95</v>
          </cell>
          <cell r="CN103">
            <v>12</v>
          </cell>
          <cell r="CO103">
            <v>88.8</v>
          </cell>
          <cell r="CP103">
            <v>64</v>
          </cell>
          <cell r="CQ103">
            <v>13</v>
          </cell>
          <cell r="CR103">
            <v>83.1</v>
          </cell>
          <cell r="CS103">
            <v>60</v>
          </cell>
          <cell r="CT103">
            <v>23</v>
          </cell>
          <cell r="CU103">
            <v>72.3</v>
          </cell>
          <cell r="CV103">
            <v>35</v>
          </cell>
          <cell r="CW103">
            <v>15</v>
          </cell>
          <cell r="CX103">
            <v>70</v>
          </cell>
          <cell r="CY103">
            <v>40</v>
          </cell>
          <cell r="CZ103">
            <v>7</v>
          </cell>
          <cell r="DA103">
            <v>85.1</v>
          </cell>
          <cell r="DB103">
            <v>20</v>
          </cell>
          <cell r="DC103">
            <v>8</v>
          </cell>
          <cell r="DD103">
            <v>71.400000000000006</v>
          </cell>
          <cell r="DE103">
            <v>20</v>
          </cell>
          <cell r="DF103">
            <v>7</v>
          </cell>
          <cell r="DG103">
            <v>74.099999999999994</v>
          </cell>
          <cell r="DH103">
            <v>21</v>
          </cell>
          <cell r="DI103">
            <v>12</v>
          </cell>
          <cell r="DJ103">
            <v>63.6</v>
          </cell>
          <cell r="DK103">
            <v>25</v>
          </cell>
          <cell r="DL103">
            <v>7</v>
          </cell>
          <cell r="DM103">
            <v>78.099999999999994</v>
          </cell>
          <cell r="DN103">
            <v>12</v>
          </cell>
          <cell r="DO103">
            <v>7</v>
          </cell>
          <cell r="DP103">
            <v>63.2</v>
          </cell>
          <cell r="DQ103">
            <v>16</v>
          </cell>
          <cell r="DR103">
            <v>9</v>
          </cell>
          <cell r="DS103">
            <v>64</v>
          </cell>
          <cell r="DT103">
            <v>64</v>
          </cell>
          <cell r="DU103">
            <v>64</v>
          </cell>
          <cell r="DV103" t="str">
            <v>-</v>
          </cell>
          <cell r="DW103">
            <v>64</v>
          </cell>
          <cell r="DX103">
            <v>64</v>
          </cell>
          <cell r="DY103" t="str">
            <v>-</v>
          </cell>
          <cell r="DZ103">
            <v>64</v>
          </cell>
          <cell r="EA103">
            <v>64</v>
          </cell>
          <cell r="EB103" t="str">
            <v>-</v>
          </cell>
          <cell r="EC103">
            <v>64</v>
          </cell>
          <cell r="ED103">
            <v>64</v>
          </cell>
          <cell r="EE103" t="str">
            <v>-</v>
          </cell>
          <cell r="EF103">
            <v>64</v>
          </cell>
          <cell r="EG103">
            <v>64</v>
          </cell>
          <cell r="EH103" t="str">
            <v>-</v>
          </cell>
          <cell r="EI103">
            <v>64</v>
          </cell>
          <cell r="EJ103">
            <v>64</v>
          </cell>
          <cell r="EK103" t="str">
            <v>-</v>
          </cell>
          <cell r="EL103">
            <v>64</v>
          </cell>
          <cell r="EM103">
            <v>64</v>
          </cell>
          <cell r="EN103" t="str">
            <v>-</v>
          </cell>
          <cell r="EO103">
            <v>64</v>
          </cell>
          <cell r="EP103">
            <v>64</v>
          </cell>
          <cell r="EQ103" t="str">
            <v>-</v>
          </cell>
          <cell r="ER103">
            <v>4</v>
          </cell>
          <cell r="ES103">
            <v>1</v>
          </cell>
          <cell r="ET103">
            <v>80</v>
          </cell>
          <cell r="EU103">
            <v>16</v>
          </cell>
          <cell r="EV103">
            <v>7</v>
          </cell>
          <cell r="EW103">
            <v>69.599999999999994</v>
          </cell>
          <cell r="EX103">
            <v>6</v>
          </cell>
          <cell r="EY103">
            <v>2</v>
          </cell>
          <cell r="EZ103">
            <v>75</v>
          </cell>
          <cell r="FA103">
            <v>6</v>
          </cell>
          <cell r="FB103">
            <v>1</v>
          </cell>
          <cell r="FC103">
            <v>85.7</v>
          </cell>
          <cell r="FD103">
            <v>6</v>
          </cell>
          <cell r="FE103">
            <v>1</v>
          </cell>
          <cell r="FF103">
            <v>85.7</v>
          </cell>
          <cell r="FG103">
            <v>3</v>
          </cell>
          <cell r="FH103">
            <v>3</v>
          </cell>
          <cell r="FI103">
            <v>100</v>
          </cell>
          <cell r="FJ103">
            <v>12</v>
          </cell>
          <cell r="FK103">
            <v>1</v>
          </cell>
          <cell r="FL103">
            <v>92.3</v>
          </cell>
          <cell r="FM103">
            <v>5</v>
          </cell>
          <cell r="FN103">
            <v>4</v>
          </cell>
          <cell r="FO103">
            <v>55.6</v>
          </cell>
          <cell r="FP103">
            <v>55.5999755859375</v>
          </cell>
          <cell r="FQ103">
            <v>55.5999755859375</v>
          </cell>
          <cell r="FR103" t="str">
            <v>-</v>
          </cell>
          <cell r="FS103">
            <v>55.5999755859375</v>
          </cell>
          <cell r="FT103">
            <v>55.5999755859375</v>
          </cell>
          <cell r="FU103" t="str">
            <v>-</v>
          </cell>
          <cell r="FV103">
            <v>55.5999755859375</v>
          </cell>
          <cell r="FW103">
            <v>55.5999755859375</v>
          </cell>
          <cell r="FX103" t="str">
            <v>-</v>
          </cell>
          <cell r="FY103">
            <v>55.5999755859375</v>
          </cell>
          <cell r="FZ103">
            <v>55.5999755859375</v>
          </cell>
          <cell r="GA103" t="str">
            <v>-</v>
          </cell>
          <cell r="GB103">
            <v>55.5999755859375</v>
          </cell>
          <cell r="GC103">
            <v>55.5999755859375</v>
          </cell>
          <cell r="GD103" t="str">
            <v>-</v>
          </cell>
          <cell r="GE103">
            <v>55.5999755859375</v>
          </cell>
          <cell r="GF103">
            <v>55.5999755859375</v>
          </cell>
          <cell r="GG103" t="str">
            <v>-</v>
          </cell>
          <cell r="GH103">
            <v>55.5999755859375</v>
          </cell>
          <cell r="GI103">
            <v>55.5999755859375</v>
          </cell>
          <cell r="GJ103" t="str">
            <v>-</v>
          </cell>
          <cell r="GK103">
            <v>55.5999755859375</v>
          </cell>
          <cell r="GL103">
            <v>55.5999755859375</v>
          </cell>
          <cell r="GM103" t="str">
            <v>-</v>
          </cell>
          <cell r="GN103">
            <v>111</v>
          </cell>
          <cell r="GO103">
            <v>21</v>
          </cell>
          <cell r="GP103">
            <v>84.1</v>
          </cell>
          <cell r="GQ103">
            <v>136</v>
          </cell>
          <cell r="GR103">
            <v>33</v>
          </cell>
          <cell r="GS103">
            <v>80.5</v>
          </cell>
          <cell r="GT103">
            <v>119</v>
          </cell>
          <cell r="GU103">
            <v>39</v>
          </cell>
          <cell r="GV103">
            <v>75.3</v>
          </cell>
          <cell r="GW103">
            <v>99</v>
          </cell>
          <cell r="GX103">
            <v>29</v>
          </cell>
          <cell r="GY103">
            <v>77.3</v>
          </cell>
          <cell r="GZ103">
            <v>101</v>
          </cell>
          <cell r="HA103">
            <v>39</v>
          </cell>
          <cell r="HB103">
            <v>72.099999999999994</v>
          </cell>
          <cell r="HC103">
            <v>129</v>
          </cell>
          <cell r="HD103">
            <v>40</v>
          </cell>
          <cell r="HE103">
            <v>76.3</v>
          </cell>
          <cell r="HF103">
            <v>92</v>
          </cell>
          <cell r="HG103">
            <v>42</v>
          </cell>
          <cell r="HH103">
            <v>68.7</v>
          </cell>
          <cell r="HI103">
            <v>97</v>
          </cell>
          <cell r="HJ103">
            <v>27</v>
          </cell>
          <cell r="HK103">
            <v>78.2</v>
          </cell>
          <cell r="HL103">
            <v>6</v>
          </cell>
          <cell r="HM103">
            <v>2</v>
          </cell>
          <cell r="HN103">
            <v>75</v>
          </cell>
          <cell r="HO103">
            <v>6</v>
          </cell>
          <cell r="HP103">
            <v>2</v>
          </cell>
          <cell r="HQ103">
            <v>75</v>
          </cell>
          <cell r="HR103">
            <v>1</v>
          </cell>
          <cell r="HS103">
            <v>7</v>
          </cell>
          <cell r="HT103">
            <v>12.5</v>
          </cell>
          <cell r="HU103">
            <v>3</v>
          </cell>
          <cell r="HV103">
            <v>6</v>
          </cell>
          <cell r="HW103">
            <v>33.299999999999997</v>
          </cell>
          <cell r="HX103">
            <v>2</v>
          </cell>
          <cell r="HY103">
            <v>7</v>
          </cell>
          <cell r="HZ103">
            <v>22.2</v>
          </cell>
          <cell r="IA103">
            <v>7</v>
          </cell>
          <cell r="IB103">
            <v>5</v>
          </cell>
          <cell r="IC103">
            <v>58.3</v>
          </cell>
          <cell r="ID103">
            <v>5</v>
          </cell>
          <cell r="IE103">
            <v>3</v>
          </cell>
          <cell r="IF103">
            <v>62.5</v>
          </cell>
          <cell r="IG103">
            <v>4</v>
          </cell>
          <cell r="IH103">
            <v>3</v>
          </cell>
          <cell r="II103">
            <v>57.1</v>
          </cell>
          <cell r="IJ103">
            <v>3</v>
          </cell>
          <cell r="IK103">
            <v>3</v>
          </cell>
          <cell r="IL103">
            <v>100</v>
          </cell>
          <cell r="IM103">
            <v>100</v>
          </cell>
          <cell r="IN103">
            <v>4</v>
          </cell>
          <cell r="IO103">
            <v>0</v>
          </cell>
          <cell r="IP103">
            <v>0</v>
          </cell>
          <cell r="IQ103">
            <v>0</v>
          </cell>
          <cell r="IR103" t="str">
            <v>-</v>
          </cell>
          <cell r="IS103">
            <v>2</v>
          </cell>
          <cell r="IT103">
            <v>2</v>
          </cell>
          <cell r="IU103">
            <v>100</v>
          </cell>
          <cell r="IV103">
            <v>100</v>
          </cell>
          <cell r="IW103">
            <v>100</v>
          </cell>
          <cell r="IX103" t="str">
            <v>-</v>
          </cell>
          <cell r="IY103">
            <v>4</v>
          </cell>
          <cell r="IZ103">
            <v>4</v>
          </cell>
          <cell r="JA103">
            <v>100</v>
          </cell>
          <cell r="JB103">
            <v>1</v>
          </cell>
          <cell r="JC103">
            <v>1</v>
          </cell>
          <cell r="JD103">
            <v>50</v>
          </cell>
          <cell r="JE103">
            <v>2</v>
          </cell>
          <cell r="JF103">
            <v>2</v>
          </cell>
          <cell r="JG103">
            <v>100</v>
          </cell>
          <cell r="JH103">
            <v>0</v>
          </cell>
          <cell r="JI103">
            <v>0</v>
          </cell>
          <cell r="JJ103" t="str">
            <v>-</v>
          </cell>
          <cell r="JK103">
            <v>0</v>
          </cell>
          <cell r="JL103">
            <v>0</v>
          </cell>
          <cell r="JM103" t="str">
            <v>-</v>
          </cell>
          <cell r="JN103">
            <v>0</v>
          </cell>
          <cell r="JO103">
            <v>0</v>
          </cell>
          <cell r="JP103" t="str">
            <v>-</v>
          </cell>
          <cell r="JQ103">
            <v>346</v>
          </cell>
          <cell r="JR103">
            <v>90</v>
          </cell>
          <cell r="JS103">
            <v>79.357798165137609</v>
          </cell>
          <cell r="JT103">
            <v>94</v>
          </cell>
          <cell r="JU103">
            <v>42</v>
          </cell>
          <cell r="JV103">
            <v>69.117647058823522</v>
          </cell>
          <cell r="JW103">
            <v>0</v>
          </cell>
          <cell r="JX103">
            <v>0</v>
          </cell>
          <cell r="JY103" t="str">
            <v>-</v>
          </cell>
          <cell r="JZ103">
            <v>32</v>
          </cell>
          <cell r="KA103">
            <v>7</v>
          </cell>
          <cell r="KB103">
            <v>82.051282051282044</v>
          </cell>
          <cell r="KC103">
            <v>0</v>
          </cell>
          <cell r="KD103">
            <v>0</v>
          </cell>
          <cell r="KE103" t="str">
            <v>-</v>
          </cell>
          <cell r="KF103">
            <v>518</v>
          </cell>
          <cell r="KG103">
            <v>177</v>
          </cell>
          <cell r="KH103">
            <v>74.532374100719423</v>
          </cell>
          <cell r="KI103">
            <v>21</v>
          </cell>
          <cell r="KJ103">
            <v>24</v>
          </cell>
          <cell r="KK103">
            <v>46.666666666666664</v>
          </cell>
          <cell r="KL103">
            <v>9</v>
          </cell>
          <cell r="KM103">
            <v>1</v>
          </cell>
          <cell r="KN103">
            <v>90</v>
          </cell>
        </row>
        <row r="104">
          <cell r="C104" t="str">
            <v>Hatvani Rendőrkapitányság</v>
          </cell>
          <cell r="D104">
            <v>90</v>
          </cell>
          <cell r="E104">
            <v>90</v>
          </cell>
          <cell r="F104" t="str">
            <v>-</v>
          </cell>
          <cell r="G104">
            <v>90</v>
          </cell>
          <cell r="H104">
            <v>90</v>
          </cell>
          <cell r="I104" t="str">
            <v>-</v>
          </cell>
          <cell r="J104">
            <v>90</v>
          </cell>
          <cell r="K104">
            <v>90</v>
          </cell>
          <cell r="L104" t="str">
            <v>-</v>
          </cell>
          <cell r="M104">
            <v>90</v>
          </cell>
          <cell r="N104">
            <v>90</v>
          </cell>
          <cell r="O104" t="str">
            <v>-</v>
          </cell>
          <cell r="P104">
            <v>90</v>
          </cell>
          <cell r="Q104">
            <v>90</v>
          </cell>
          <cell r="R104" t="str">
            <v>-</v>
          </cell>
          <cell r="S104">
            <v>90</v>
          </cell>
          <cell r="T104">
            <v>90</v>
          </cell>
          <cell r="U104" t="str">
            <v>-</v>
          </cell>
          <cell r="V104">
            <v>90</v>
          </cell>
          <cell r="W104">
            <v>90</v>
          </cell>
          <cell r="X104" t="str">
            <v>-</v>
          </cell>
          <cell r="Y104">
            <v>90</v>
          </cell>
          <cell r="Z104">
            <v>90</v>
          </cell>
          <cell r="AA104" t="str">
            <v>-</v>
          </cell>
          <cell r="AB104">
            <v>90</v>
          </cell>
          <cell r="AC104">
            <v>90</v>
          </cell>
          <cell r="AD104" t="str">
            <v>-</v>
          </cell>
          <cell r="AE104">
            <v>90</v>
          </cell>
          <cell r="AF104">
            <v>90</v>
          </cell>
          <cell r="AG104" t="str">
            <v>-</v>
          </cell>
          <cell r="AH104">
            <v>90</v>
          </cell>
          <cell r="AI104">
            <v>90</v>
          </cell>
          <cell r="AJ104" t="str">
            <v>-</v>
          </cell>
          <cell r="AK104">
            <v>90</v>
          </cell>
          <cell r="AL104">
            <v>90</v>
          </cell>
          <cell r="AM104" t="str">
            <v>-</v>
          </cell>
          <cell r="AN104">
            <v>90</v>
          </cell>
          <cell r="AO104">
            <v>90</v>
          </cell>
          <cell r="AP104" t="str">
            <v>-</v>
          </cell>
          <cell r="AQ104">
            <v>90</v>
          </cell>
          <cell r="AR104">
            <v>90</v>
          </cell>
          <cell r="AS104" t="str">
            <v>-</v>
          </cell>
          <cell r="AT104">
            <v>90</v>
          </cell>
          <cell r="AU104">
            <v>90</v>
          </cell>
          <cell r="AV104" t="str">
            <v>-</v>
          </cell>
          <cell r="AW104">
            <v>90</v>
          </cell>
          <cell r="AX104">
            <v>90</v>
          </cell>
          <cell r="AY104" t="str">
            <v>-</v>
          </cell>
          <cell r="AZ104">
            <v>90</v>
          </cell>
          <cell r="BA104">
            <v>90</v>
          </cell>
          <cell r="BB104" t="str">
            <v>-</v>
          </cell>
          <cell r="BC104">
            <v>90</v>
          </cell>
          <cell r="BD104">
            <v>90</v>
          </cell>
          <cell r="BE104" t="str">
            <v>-</v>
          </cell>
          <cell r="BF104">
            <v>90</v>
          </cell>
          <cell r="BG104">
            <v>90</v>
          </cell>
          <cell r="BH104" t="str">
            <v>-</v>
          </cell>
          <cell r="BI104">
            <v>90</v>
          </cell>
          <cell r="BJ104">
            <v>90</v>
          </cell>
          <cell r="BK104" t="str">
            <v>-</v>
          </cell>
          <cell r="BL104">
            <v>90</v>
          </cell>
          <cell r="BM104">
            <v>90</v>
          </cell>
          <cell r="BN104" t="str">
            <v>-</v>
          </cell>
          <cell r="BO104">
            <v>90</v>
          </cell>
          <cell r="BP104">
            <v>90</v>
          </cell>
          <cell r="BQ104" t="str">
            <v>-</v>
          </cell>
          <cell r="BR104">
            <v>90</v>
          </cell>
          <cell r="BS104">
            <v>90</v>
          </cell>
          <cell r="BT104" t="str">
            <v>-</v>
          </cell>
          <cell r="BU104">
            <v>90</v>
          </cell>
          <cell r="BV104">
            <v>90</v>
          </cell>
          <cell r="BW104" t="str">
            <v>-</v>
          </cell>
          <cell r="BX104">
            <v>25</v>
          </cell>
          <cell r="BY104">
            <v>18</v>
          </cell>
          <cell r="BZ104">
            <v>58.1</v>
          </cell>
          <cell r="CA104">
            <v>43</v>
          </cell>
          <cell r="CB104">
            <v>14</v>
          </cell>
          <cell r="CC104">
            <v>75.400000000000006</v>
          </cell>
          <cell r="CD104">
            <v>32</v>
          </cell>
          <cell r="CE104">
            <v>19</v>
          </cell>
          <cell r="CF104">
            <v>62.7</v>
          </cell>
          <cell r="CG104">
            <v>35</v>
          </cell>
          <cell r="CH104">
            <v>11</v>
          </cell>
          <cell r="CI104">
            <v>76.099999999999994</v>
          </cell>
          <cell r="CJ104">
            <v>32</v>
          </cell>
          <cell r="CK104">
            <v>7</v>
          </cell>
          <cell r="CL104">
            <v>82.1</v>
          </cell>
          <cell r="CM104">
            <v>25</v>
          </cell>
          <cell r="CN104">
            <v>4</v>
          </cell>
          <cell r="CO104">
            <v>86.2</v>
          </cell>
          <cell r="CP104">
            <v>28</v>
          </cell>
          <cell r="CQ104">
            <v>5</v>
          </cell>
          <cell r="CR104">
            <v>84.8</v>
          </cell>
          <cell r="CS104">
            <v>34</v>
          </cell>
          <cell r="CT104">
            <v>16</v>
          </cell>
          <cell r="CU104">
            <v>68</v>
          </cell>
          <cell r="CV104">
            <v>12</v>
          </cell>
          <cell r="CW104">
            <v>10</v>
          </cell>
          <cell r="CX104">
            <v>54.5</v>
          </cell>
          <cell r="CY104">
            <v>23</v>
          </cell>
          <cell r="CZ104">
            <v>12</v>
          </cell>
          <cell r="DA104">
            <v>65.7</v>
          </cell>
          <cell r="DB104">
            <v>15</v>
          </cell>
          <cell r="DC104">
            <v>18</v>
          </cell>
          <cell r="DD104">
            <v>45.5</v>
          </cell>
          <cell r="DE104">
            <v>18</v>
          </cell>
          <cell r="DF104">
            <v>10</v>
          </cell>
          <cell r="DG104">
            <v>64.3</v>
          </cell>
          <cell r="DH104">
            <v>17</v>
          </cell>
          <cell r="DI104">
            <v>5</v>
          </cell>
          <cell r="DJ104">
            <v>77.3</v>
          </cell>
          <cell r="DK104">
            <v>12</v>
          </cell>
          <cell r="DL104">
            <v>4</v>
          </cell>
          <cell r="DM104">
            <v>75</v>
          </cell>
          <cell r="DN104">
            <v>11</v>
          </cell>
          <cell r="DO104">
            <v>3</v>
          </cell>
          <cell r="DP104">
            <v>78.599999999999994</v>
          </cell>
          <cell r="DQ104">
            <v>14</v>
          </cell>
          <cell r="DR104">
            <v>12</v>
          </cell>
          <cell r="DS104">
            <v>53.8</v>
          </cell>
          <cell r="DT104">
            <v>53.79998779296875</v>
          </cell>
          <cell r="DU104">
            <v>53.79998779296875</v>
          </cell>
          <cell r="DV104" t="str">
            <v>-</v>
          </cell>
          <cell r="DW104">
            <v>53.79998779296875</v>
          </cell>
          <cell r="DX104">
            <v>53.79998779296875</v>
          </cell>
          <cell r="DY104" t="str">
            <v>-</v>
          </cell>
          <cell r="DZ104">
            <v>53.79998779296875</v>
          </cell>
          <cell r="EA104">
            <v>53.79998779296875</v>
          </cell>
          <cell r="EB104" t="str">
            <v>-</v>
          </cell>
          <cell r="EC104">
            <v>53.79998779296875</v>
          </cell>
          <cell r="ED104">
            <v>53.79998779296875</v>
          </cell>
          <cell r="EE104" t="str">
            <v>-</v>
          </cell>
          <cell r="EF104">
            <v>53.79998779296875</v>
          </cell>
          <cell r="EG104">
            <v>53.79998779296875</v>
          </cell>
          <cell r="EH104" t="str">
            <v>-</v>
          </cell>
          <cell r="EI104">
            <v>53.79998779296875</v>
          </cell>
          <cell r="EJ104">
            <v>53.79998779296875</v>
          </cell>
          <cell r="EK104" t="str">
            <v>-</v>
          </cell>
          <cell r="EL104">
            <v>53.79998779296875</v>
          </cell>
          <cell r="EM104">
            <v>53.79998779296875</v>
          </cell>
          <cell r="EN104" t="str">
            <v>-</v>
          </cell>
          <cell r="EO104">
            <v>53.79998779296875</v>
          </cell>
          <cell r="EP104">
            <v>53.79998779296875</v>
          </cell>
          <cell r="EQ104" t="str">
            <v>-</v>
          </cell>
          <cell r="ER104">
            <v>7</v>
          </cell>
          <cell r="ES104">
            <v>7</v>
          </cell>
          <cell r="ET104">
            <v>100</v>
          </cell>
          <cell r="EU104">
            <v>3</v>
          </cell>
          <cell r="EV104">
            <v>2</v>
          </cell>
          <cell r="EW104">
            <v>60</v>
          </cell>
          <cell r="EX104">
            <v>3</v>
          </cell>
          <cell r="EY104">
            <v>3</v>
          </cell>
          <cell r="EZ104">
            <v>100</v>
          </cell>
          <cell r="FA104">
            <v>2</v>
          </cell>
          <cell r="FB104">
            <v>4</v>
          </cell>
          <cell r="FC104">
            <v>33.299999999999997</v>
          </cell>
          <cell r="FD104">
            <v>6</v>
          </cell>
          <cell r="FE104">
            <v>2</v>
          </cell>
          <cell r="FF104">
            <v>75</v>
          </cell>
          <cell r="FG104">
            <v>3</v>
          </cell>
          <cell r="FH104">
            <v>2</v>
          </cell>
          <cell r="FI104">
            <v>60</v>
          </cell>
          <cell r="FJ104">
            <v>1</v>
          </cell>
          <cell r="FK104">
            <v>1</v>
          </cell>
          <cell r="FL104">
            <v>50</v>
          </cell>
          <cell r="FM104">
            <v>50</v>
          </cell>
          <cell r="FN104">
            <v>2</v>
          </cell>
          <cell r="FO104">
            <v>0</v>
          </cell>
          <cell r="FP104">
            <v>0</v>
          </cell>
          <cell r="FQ104">
            <v>0</v>
          </cell>
          <cell r="FR104" t="str">
            <v>-</v>
          </cell>
          <cell r="FS104">
            <v>0</v>
          </cell>
          <cell r="FT104">
            <v>0</v>
          </cell>
          <cell r="FU104" t="str">
            <v>-</v>
          </cell>
          <cell r="FV104">
            <v>0</v>
          </cell>
          <cell r="FW104">
            <v>0</v>
          </cell>
          <cell r="FX104" t="str">
            <v>-</v>
          </cell>
          <cell r="FY104">
            <v>0</v>
          </cell>
          <cell r="FZ104">
            <v>0</v>
          </cell>
          <cell r="GA104" t="str">
            <v>-</v>
          </cell>
          <cell r="GB104">
            <v>0</v>
          </cell>
          <cell r="GC104">
            <v>0</v>
          </cell>
          <cell r="GD104" t="str">
            <v>-</v>
          </cell>
          <cell r="GE104">
            <v>0</v>
          </cell>
          <cell r="GF104">
            <v>0</v>
          </cell>
          <cell r="GG104" t="str">
            <v>-</v>
          </cell>
          <cell r="GH104">
            <v>0</v>
          </cell>
          <cell r="GI104">
            <v>0</v>
          </cell>
          <cell r="GJ104" t="str">
            <v>-</v>
          </cell>
          <cell r="GK104">
            <v>0</v>
          </cell>
          <cell r="GL104">
            <v>0</v>
          </cell>
          <cell r="GM104" t="str">
            <v>-</v>
          </cell>
          <cell r="GN104">
            <v>29</v>
          </cell>
          <cell r="GO104">
            <v>10</v>
          </cell>
          <cell r="GP104">
            <v>74.400000000000006</v>
          </cell>
          <cell r="GQ104">
            <v>38</v>
          </cell>
          <cell r="GR104">
            <v>10</v>
          </cell>
          <cell r="GS104">
            <v>79.2</v>
          </cell>
          <cell r="GT104">
            <v>17</v>
          </cell>
          <cell r="GU104">
            <v>11</v>
          </cell>
          <cell r="GV104">
            <v>60.7</v>
          </cell>
          <cell r="GW104">
            <v>34</v>
          </cell>
          <cell r="GX104">
            <v>9</v>
          </cell>
          <cell r="GY104">
            <v>79.099999999999994</v>
          </cell>
          <cell r="GZ104">
            <v>48</v>
          </cell>
          <cell r="HA104">
            <v>15</v>
          </cell>
          <cell r="HB104">
            <v>76.2</v>
          </cell>
          <cell r="HC104">
            <v>30</v>
          </cell>
          <cell r="HD104">
            <v>3</v>
          </cell>
          <cell r="HE104">
            <v>90.9</v>
          </cell>
          <cell r="HF104">
            <v>28</v>
          </cell>
          <cell r="HG104">
            <v>8</v>
          </cell>
          <cell r="HH104">
            <v>77.8</v>
          </cell>
          <cell r="HI104">
            <v>42</v>
          </cell>
          <cell r="HJ104">
            <v>16</v>
          </cell>
          <cell r="HK104">
            <v>72.400000000000006</v>
          </cell>
          <cell r="HL104">
            <v>3</v>
          </cell>
          <cell r="HM104">
            <v>3</v>
          </cell>
          <cell r="HN104">
            <v>50</v>
          </cell>
          <cell r="HO104">
            <v>4</v>
          </cell>
          <cell r="HP104">
            <v>1</v>
          </cell>
          <cell r="HQ104">
            <v>80</v>
          </cell>
          <cell r="HR104">
            <v>2</v>
          </cell>
          <cell r="HS104">
            <v>3</v>
          </cell>
          <cell r="HT104">
            <v>40</v>
          </cell>
          <cell r="HU104">
            <v>1</v>
          </cell>
          <cell r="HV104">
            <v>2</v>
          </cell>
          <cell r="HW104">
            <v>33.299999999999997</v>
          </cell>
          <cell r="HX104">
            <v>2</v>
          </cell>
          <cell r="HY104">
            <v>2</v>
          </cell>
          <cell r="HZ104">
            <v>50</v>
          </cell>
          <cell r="IA104">
            <v>2</v>
          </cell>
          <cell r="IB104">
            <v>1</v>
          </cell>
          <cell r="IC104">
            <v>66.7</v>
          </cell>
          <cell r="ID104">
            <v>1</v>
          </cell>
          <cell r="IE104">
            <v>1</v>
          </cell>
          <cell r="IF104">
            <v>100</v>
          </cell>
          <cell r="IG104">
            <v>2</v>
          </cell>
          <cell r="IH104">
            <v>2</v>
          </cell>
          <cell r="II104">
            <v>100</v>
          </cell>
          <cell r="IJ104">
            <v>1</v>
          </cell>
          <cell r="IK104">
            <v>2</v>
          </cell>
          <cell r="IL104">
            <v>33.299999999999997</v>
          </cell>
          <cell r="IM104">
            <v>13</v>
          </cell>
          <cell r="IN104">
            <v>6</v>
          </cell>
          <cell r="IO104">
            <v>68.400000000000006</v>
          </cell>
          <cell r="IP104">
            <v>4</v>
          </cell>
          <cell r="IQ104">
            <v>4</v>
          </cell>
          <cell r="IR104">
            <v>100</v>
          </cell>
          <cell r="IS104">
            <v>100</v>
          </cell>
          <cell r="IT104">
            <v>1</v>
          </cell>
          <cell r="IU104">
            <v>0</v>
          </cell>
          <cell r="IV104">
            <v>1</v>
          </cell>
          <cell r="IW104">
            <v>1</v>
          </cell>
          <cell r="IX104">
            <v>100</v>
          </cell>
          <cell r="IY104">
            <v>1</v>
          </cell>
          <cell r="IZ104">
            <v>1</v>
          </cell>
          <cell r="JA104">
            <v>100</v>
          </cell>
          <cell r="JB104">
            <v>1</v>
          </cell>
          <cell r="JC104">
            <v>1</v>
          </cell>
          <cell r="JD104">
            <v>100</v>
          </cell>
          <cell r="JE104">
            <v>3</v>
          </cell>
          <cell r="JF104">
            <v>3</v>
          </cell>
          <cell r="JG104">
            <v>100</v>
          </cell>
          <cell r="JH104">
            <v>0</v>
          </cell>
          <cell r="JI104">
            <v>0</v>
          </cell>
          <cell r="JJ104" t="str">
            <v>-</v>
          </cell>
          <cell r="JK104">
            <v>0</v>
          </cell>
          <cell r="JL104">
            <v>0</v>
          </cell>
          <cell r="JM104" t="str">
            <v>-</v>
          </cell>
          <cell r="JN104">
            <v>0</v>
          </cell>
          <cell r="JO104">
            <v>0</v>
          </cell>
          <cell r="JP104" t="str">
            <v>-</v>
          </cell>
          <cell r="JQ104">
            <v>154</v>
          </cell>
          <cell r="JR104">
            <v>43</v>
          </cell>
          <cell r="JS104">
            <v>78.172588832487307</v>
          </cell>
          <cell r="JT104">
            <v>72</v>
          </cell>
          <cell r="JU104">
            <v>34</v>
          </cell>
          <cell r="JV104">
            <v>67.924528301886795</v>
          </cell>
          <cell r="JW104">
            <v>0</v>
          </cell>
          <cell r="JX104">
            <v>0</v>
          </cell>
          <cell r="JY104" t="str">
            <v>-</v>
          </cell>
          <cell r="JZ104">
            <v>12</v>
          </cell>
          <cell r="KA104">
            <v>11</v>
          </cell>
          <cell r="KB104">
            <v>52.173913043478258</v>
          </cell>
          <cell r="KC104">
            <v>0</v>
          </cell>
          <cell r="KD104">
            <v>0</v>
          </cell>
          <cell r="KE104" t="str">
            <v>-</v>
          </cell>
          <cell r="KF104">
            <v>182</v>
          </cell>
          <cell r="KG104">
            <v>51</v>
          </cell>
          <cell r="KH104">
            <v>78.111587982832617</v>
          </cell>
          <cell r="KI104">
            <v>8</v>
          </cell>
          <cell r="KJ104">
            <v>5</v>
          </cell>
          <cell r="KK104">
            <v>61.53846153846154</v>
          </cell>
          <cell r="KL104">
            <v>6</v>
          </cell>
          <cell r="KM104">
            <v>1</v>
          </cell>
          <cell r="KN104">
            <v>85.714285714285708</v>
          </cell>
        </row>
        <row r="105">
          <cell r="C105" t="str">
            <v>Hevesi Rendőrkapitányság</v>
          </cell>
          <cell r="D105">
            <v>85.7142333984375</v>
          </cell>
          <cell r="E105">
            <v>85.7142333984375</v>
          </cell>
          <cell r="F105" t="str">
            <v>-</v>
          </cell>
          <cell r="G105">
            <v>85.7142333984375</v>
          </cell>
          <cell r="H105">
            <v>85.7142333984375</v>
          </cell>
          <cell r="I105" t="str">
            <v>-</v>
          </cell>
          <cell r="J105">
            <v>85.7142333984375</v>
          </cell>
          <cell r="K105">
            <v>85.7142333984375</v>
          </cell>
          <cell r="L105" t="str">
            <v>-</v>
          </cell>
          <cell r="M105">
            <v>85.7142333984375</v>
          </cell>
          <cell r="N105">
            <v>85.7142333984375</v>
          </cell>
          <cell r="O105" t="str">
            <v>-</v>
          </cell>
          <cell r="P105">
            <v>85.7142333984375</v>
          </cell>
          <cell r="Q105">
            <v>85.7142333984375</v>
          </cell>
          <cell r="R105" t="str">
            <v>-</v>
          </cell>
          <cell r="S105">
            <v>85.7142333984375</v>
          </cell>
          <cell r="T105">
            <v>85.7142333984375</v>
          </cell>
          <cell r="U105" t="str">
            <v>-</v>
          </cell>
          <cell r="V105">
            <v>85.7142333984375</v>
          </cell>
          <cell r="W105">
            <v>85.7142333984375</v>
          </cell>
          <cell r="X105" t="str">
            <v>-</v>
          </cell>
          <cell r="Y105">
            <v>85.7142333984375</v>
          </cell>
          <cell r="Z105">
            <v>85.7142333984375</v>
          </cell>
          <cell r="AA105" t="str">
            <v>-</v>
          </cell>
          <cell r="AB105">
            <v>85.7142333984375</v>
          </cell>
          <cell r="AC105">
            <v>85.7142333984375</v>
          </cell>
          <cell r="AD105" t="str">
            <v>-</v>
          </cell>
          <cell r="AE105">
            <v>85.7142333984375</v>
          </cell>
          <cell r="AF105">
            <v>85.7142333984375</v>
          </cell>
          <cell r="AG105" t="str">
            <v>-</v>
          </cell>
          <cell r="AH105">
            <v>85.7142333984375</v>
          </cell>
          <cell r="AI105">
            <v>85.7142333984375</v>
          </cell>
          <cell r="AJ105" t="str">
            <v>-</v>
          </cell>
          <cell r="AK105">
            <v>85.7142333984375</v>
          </cell>
          <cell r="AL105">
            <v>85.7142333984375</v>
          </cell>
          <cell r="AM105" t="str">
            <v>-</v>
          </cell>
          <cell r="AN105">
            <v>85.7142333984375</v>
          </cell>
          <cell r="AO105">
            <v>85.7142333984375</v>
          </cell>
          <cell r="AP105" t="str">
            <v>-</v>
          </cell>
          <cell r="AQ105">
            <v>85.7142333984375</v>
          </cell>
          <cell r="AR105">
            <v>85.7142333984375</v>
          </cell>
          <cell r="AS105" t="str">
            <v>-</v>
          </cell>
          <cell r="AT105">
            <v>85.7142333984375</v>
          </cell>
          <cell r="AU105">
            <v>85.7142333984375</v>
          </cell>
          <cell r="AV105" t="str">
            <v>-</v>
          </cell>
          <cell r="AW105">
            <v>85.7142333984375</v>
          </cell>
          <cell r="AX105">
            <v>85.7142333984375</v>
          </cell>
          <cell r="AY105" t="str">
            <v>-</v>
          </cell>
          <cell r="AZ105">
            <v>85.7142333984375</v>
          </cell>
          <cell r="BA105">
            <v>85.7142333984375</v>
          </cell>
          <cell r="BB105" t="str">
            <v>-</v>
          </cell>
          <cell r="BC105">
            <v>85.7142333984375</v>
          </cell>
          <cell r="BD105">
            <v>85.7142333984375</v>
          </cell>
          <cell r="BE105" t="str">
            <v>-</v>
          </cell>
          <cell r="BF105">
            <v>85.7142333984375</v>
          </cell>
          <cell r="BG105">
            <v>85.7142333984375</v>
          </cell>
          <cell r="BH105" t="str">
            <v>-</v>
          </cell>
          <cell r="BI105">
            <v>85.7142333984375</v>
          </cell>
          <cell r="BJ105">
            <v>85.7142333984375</v>
          </cell>
          <cell r="BK105" t="str">
            <v>-</v>
          </cell>
          <cell r="BL105">
            <v>85.7142333984375</v>
          </cell>
          <cell r="BM105">
            <v>85.7142333984375</v>
          </cell>
          <cell r="BN105" t="str">
            <v>-</v>
          </cell>
          <cell r="BO105">
            <v>85.7142333984375</v>
          </cell>
          <cell r="BP105">
            <v>85.7142333984375</v>
          </cell>
          <cell r="BQ105" t="str">
            <v>-</v>
          </cell>
          <cell r="BR105">
            <v>85.7142333984375</v>
          </cell>
          <cell r="BS105">
            <v>85.7142333984375</v>
          </cell>
          <cell r="BT105" t="str">
            <v>-</v>
          </cell>
          <cell r="BU105">
            <v>85.7142333984375</v>
          </cell>
          <cell r="BV105">
            <v>85.7142333984375</v>
          </cell>
          <cell r="BW105" t="str">
            <v>-</v>
          </cell>
          <cell r="BX105">
            <v>36</v>
          </cell>
          <cell r="BY105">
            <v>4</v>
          </cell>
          <cell r="BZ105">
            <v>90</v>
          </cell>
          <cell r="CA105">
            <v>36</v>
          </cell>
          <cell r="CB105">
            <v>9</v>
          </cell>
          <cell r="CC105">
            <v>80</v>
          </cell>
          <cell r="CD105">
            <v>26</v>
          </cell>
          <cell r="CE105">
            <v>2</v>
          </cell>
          <cell r="CF105">
            <v>92.9</v>
          </cell>
          <cell r="CG105">
            <v>46</v>
          </cell>
          <cell r="CH105">
            <v>5</v>
          </cell>
          <cell r="CI105">
            <v>90.2</v>
          </cell>
          <cell r="CJ105">
            <v>40</v>
          </cell>
          <cell r="CK105">
            <v>5</v>
          </cell>
          <cell r="CL105">
            <v>88.9</v>
          </cell>
          <cell r="CM105">
            <v>38</v>
          </cell>
          <cell r="CN105">
            <v>6</v>
          </cell>
          <cell r="CO105">
            <v>86.4</v>
          </cell>
          <cell r="CP105">
            <v>37</v>
          </cell>
          <cell r="CQ105">
            <v>1</v>
          </cell>
          <cell r="CR105">
            <v>97.4</v>
          </cell>
          <cell r="CS105">
            <v>19</v>
          </cell>
          <cell r="CT105">
            <v>4</v>
          </cell>
          <cell r="CU105">
            <v>82.6</v>
          </cell>
          <cell r="CV105">
            <v>21</v>
          </cell>
          <cell r="CW105">
            <v>4</v>
          </cell>
          <cell r="CX105">
            <v>84</v>
          </cell>
          <cell r="CY105">
            <v>26</v>
          </cell>
          <cell r="CZ105">
            <v>8</v>
          </cell>
          <cell r="DA105">
            <v>76.5</v>
          </cell>
          <cell r="DB105">
            <v>12</v>
          </cell>
          <cell r="DC105">
            <v>2</v>
          </cell>
          <cell r="DD105">
            <v>85.7</v>
          </cell>
          <cell r="DE105">
            <v>21</v>
          </cell>
          <cell r="DF105">
            <v>4</v>
          </cell>
          <cell r="DG105">
            <v>84</v>
          </cell>
          <cell r="DH105">
            <v>26</v>
          </cell>
          <cell r="DI105">
            <v>5</v>
          </cell>
          <cell r="DJ105">
            <v>83.9</v>
          </cell>
          <cell r="DK105">
            <v>13</v>
          </cell>
          <cell r="DL105">
            <v>4</v>
          </cell>
          <cell r="DM105">
            <v>76.5</v>
          </cell>
          <cell r="DN105">
            <v>17</v>
          </cell>
          <cell r="DO105">
            <v>1</v>
          </cell>
          <cell r="DP105">
            <v>94.4</v>
          </cell>
          <cell r="DQ105">
            <v>11</v>
          </cell>
          <cell r="DR105">
            <v>3</v>
          </cell>
          <cell r="DS105">
            <v>78.599999999999994</v>
          </cell>
          <cell r="DT105">
            <v>78.5999755859375</v>
          </cell>
          <cell r="DU105">
            <v>78.5999755859375</v>
          </cell>
          <cell r="DV105" t="str">
            <v>-</v>
          </cell>
          <cell r="DW105">
            <v>78.5999755859375</v>
          </cell>
          <cell r="DX105">
            <v>78.5999755859375</v>
          </cell>
          <cell r="DY105" t="str">
            <v>-</v>
          </cell>
          <cell r="DZ105">
            <v>78.5999755859375</v>
          </cell>
          <cell r="EA105">
            <v>78.5999755859375</v>
          </cell>
          <cell r="EB105" t="str">
            <v>-</v>
          </cell>
          <cell r="EC105">
            <v>78.5999755859375</v>
          </cell>
          <cell r="ED105">
            <v>78.5999755859375</v>
          </cell>
          <cell r="EE105" t="str">
            <v>-</v>
          </cell>
          <cell r="EF105">
            <v>78.5999755859375</v>
          </cell>
          <cell r="EG105">
            <v>78.5999755859375</v>
          </cell>
          <cell r="EH105" t="str">
            <v>-</v>
          </cell>
          <cell r="EI105">
            <v>78.5999755859375</v>
          </cell>
          <cell r="EJ105">
            <v>78.5999755859375</v>
          </cell>
          <cell r="EK105" t="str">
            <v>-</v>
          </cell>
          <cell r="EL105">
            <v>78.5999755859375</v>
          </cell>
          <cell r="EM105">
            <v>78.5999755859375</v>
          </cell>
          <cell r="EN105" t="str">
            <v>-</v>
          </cell>
          <cell r="EO105">
            <v>78.5999755859375</v>
          </cell>
          <cell r="EP105">
            <v>78.5999755859375</v>
          </cell>
          <cell r="EQ105" t="str">
            <v>-</v>
          </cell>
          <cell r="ER105">
            <v>3</v>
          </cell>
          <cell r="ES105">
            <v>10</v>
          </cell>
          <cell r="ET105">
            <v>23.1</v>
          </cell>
          <cell r="EU105">
            <v>8</v>
          </cell>
          <cell r="EV105">
            <v>5</v>
          </cell>
          <cell r="EW105">
            <v>61.5</v>
          </cell>
          <cell r="EX105">
            <v>7</v>
          </cell>
          <cell r="EY105">
            <v>3</v>
          </cell>
          <cell r="EZ105">
            <v>70</v>
          </cell>
          <cell r="FA105">
            <v>5</v>
          </cell>
          <cell r="FB105">
            <v>5</v>
          </cell>
          <cell r="FC105">
            <v>50</v>
          </cell>
          <cell r="FD105">
            <v>3</v>
          </cell>
          <cell r="FE105">
            <v>2</v>
          </cell>
          <cell r="FF105">
            <v>60</v>
          </cell>
          <cell r="FG105">
            <v>6</v>
          </cell>
          <cell r="FH105">
            <v>5</v>
          </cell>
          <cell r="FI105">
            <v>54.5</v>
          </cell>
          <cell r="FJ105">
            <v>4</v>
          </cell>
          <cell r="FK105">
            <v>1</v>
          </cell>
          <cell r="FL105">
            <v>80</v>
          </cell>
          <cell r="FM105">
            <v>19</v>
          </cell>
          <cell r="FN105">
            <v>1</v>
          </cell>
          <cell r="FO105">
            <v>95</v>
          </cell>
          <cell r="FP105">
            <v>95</v>
          </cell>
          <cell r="FQ105">
            <v>95</v>
          </cell>
          <cell r="FR105" t="str">
            <v>-</v>
          </cell>
          <cell r="FS105">
            <v>95</v>
          </cell>
          <cell r="FT105">
            <v>95</v>
          </cell>
          <cell r="FU105" t="str">
            <v>-</v>
          </cell>
          <cell r="FV105">
            <v>95</v>
          </cell>
          <cell r="FW105">
            <v>95</v>
          </cell>
          <cell r="FX105" t="str">
            <v>-</v>
          </cell>
          <cell r="FY105">
            <v>95</v>
          </cell>
          <cell r="FZ105">
            <v>95</v>
          </cell>
          <cell r="GA105" t="str">
            <v>-</v>
          </cell>
          <cell r="GB105">
            <v>95</v>
          </cell>
          <cell r="GC105">
            <v>95</v>
          </cell>
          <cell r="GD105" t="str">
            <v>-</v>
          </cell>
          <cell r="GE105">
            <v>95</v>
          </cell>
          <cell r="GF105">
            <v>95</v>
          </cell>
          <cell r="GG105" t="str">
            <v>-</v>
          </cell>
          <cell r="GH105">
            <v>95</v>
          </cell>
          <cell r="GI105">
            <v>95</v>
          </cell>
          <cell r="GJ105" t="str">
            <v>-</v>
          </cell>
          <cell r="GK105">
            <v>95</v>
          </cell>
          <cell r="GL105">
            <v>95</v>
          </cell>
          <cell r="GM105" t="str">
            <v>-</v>
          </cell>
          <cell r="GN105">
            <v>50</v>
          </cell>
          <cell r="GO105">
            <v>6</v>
          </cell>
          <cell r="GP105">
            <v>89.3</v>
          </cell>
          <cell r="GQ105">
            <v>76</v>
          </cell>
          <cell r="GR105">
            <v>7</v>
          </cell>
          <cell r="GS105">
            <v>91.6</v>
          </cell>
          <cell r="GT105">
            <v>62</v>
          </cell>
          <cell r="GU105">
            <v>17</v>
          </cell>
          <cell r="GV105">
            <v>78.5</v>
          </cell>
          <cell r="GW105">
            <v>80</v>
          </cell>
          <cell r="GX105">
            <v>26</v>
          </cell>
          <cell r="GY105">
            <v>75.5</v>
          </cell>
          <cell r="GZ105">
            <v>94</v>
          </cell>
          <cell r="HA105">
            <v>15</v>
          </cell>
          <cell r="HB105">
            <v>86.2</v>
          </cell>
          <cell r="HC105">
            <v>119</v>
          </cell>
          <cell r="HD105">
            <v>28</v>
          </cell>
          <cell r="HE105">
            <v>81</v>
          </cell>
          <cell r="HF105">
            <v>85</v>
          </cell>
          <cell r="HG105">
            <v>14</v>
          </cell>
          <cell r="HH105">
            <v>85.9</v>
          </cell>
          <cell r="HI105">
            <v>77</v>
          </cell>
          <cell r="HJ105">
            <v>14</v>
          </cell>
          <cell r="HK105">
            <v>84.6</v>
          </cell>
          <cell r="HL105">
            <v>1</v>
          </cell>
          <cell r="HM105">
            <v>7</v>
          </cell>
          <cell r="HN105">
            <v>12.5</v>
          </cell>
          <cell r="HO105">
            <v>5</v>
          </cell>
          <cell r="HP105">
            <v>2</v>
          </cell>
          <cell r="HQ105">
            <v>71.400000000000006</v>
          </cell>
          <cell r="HR105">
            <v>3</v>
          </cell>
          <cell r="HS105">
            <v>5</v>
          </cell>
          <cell r="HT105">
            <v>37.5</v>
          </cell>
          <cell r="HU105">
            <v>37.5</v>
          </cell>
          <cell r="HV105">
            <v>3</v>
          </cell>
          <cell r="HW105">
            <v>0</v>
          </cell>
          <cell r="HX105">
            <v>3</v>
          </cell>
          <cell r="HY105">
            <v>3</v>
          </cell>
          <cell r="HZ105">
            <v>100</v>
          </cell>
          <cell r="IA105">
            <v>3</v>
          </cell>
          <cell r="IB105">
            <v>1</v>
          </cell>
          <cell r="IC105">
            <v>75</v>
          </cell>
          <cell r="ID105">
            <v>4</v>
          </cell>
          <cell r="IE105">
            <v>4</v>
          </cell>
          <cell r="IF105">
            <v>100</v>
          </cell>
          <cell r="IG105">
            <v>100</v>
          </cell>
          <cell r="IH105">
            <v>1</v>
          </cell>
          <cell r="II105">
            <v>0</v>
          </cell>
          <cell r="IJ105">
            <v>0</v>
          </cell>
          <cell r="IK105">
            <v>0</v>
          </cell>
          <cell r="IL105" t="str">
            <v>-</v>
          </cell>
          <cell r="IM105">
            <v>0</v>
          </cell>
          <cell r="IN105">
            <v>0</v>
          </cell>
          <cell r="IO105" t="str">
            <v>-</v>
          </cell>
          <cell r="IP105">
            <v>1</v>
          </cell>
          <cell r="IQ105">
            <v>1</v>
          </cell>
          <cell r="IR105">
            <v>100</v>
          </cell>
          <cell r="IS105">
            <v>1</v>
          </cell>
          <cell r="IT105">
            <v>1</v>
          </cell>
          <cell r="IU105">
            <v>50</v>
          </cell>
          <cell r="IV105">
            <v>1</v>
          </cell>
          <cell r="IW105">
            <v>1</v>
          </cell>
          <cell r="IX105">
            <v>50</v>
          </cell>
          <cell r="IY105">
            <v>1</v>
          </cell>
          <cell r="IZ105">
            <v>1</v>
          </cell>
          <cell r="JA105">
            <v>100</v>
          </cell>
          <cell r="JB105">
            <v>1</v>
          </cell>
          <cell r="JC105">
            <v>1</v>
          </cell>
          <cell r="JD105">
            <v>100</v>
          </cell>
          <cell r="JE105">
            <v>100</v>
          </cell>
          <cell r="JF105">
            <v>100</v>
          </cell>
          <cell r="JG105" t="str">
            <v>-</v>
          </cell>
          <cell r="JH105">
            <v>0</v>
          </cell>
          <cell r="JI105">
            <v>0</v>
          </cell>
          <cell r="JJ105" t="str">
            <v>-</v>
          </cell>
          <cell r="JK105">
            <v>0</v>
          </cell>
          <cell r="JL105">
            <v>0</v>
          </cell>
          <cell r="JM105" t="str">
            <v>-</v>
          </cell>
          <cell r="JN105">
            <v>0</v>
          </cell>
          <cell r="JO105">
            <v>0</v>
          </cell>
          <cell r="JP105" t="str">
            <v>-</v>
          </cell>
          <cell r="JQ105">
            <v>180</v>
          </cell>
          <cell r="JR105">
            <v>21</v>
          </cell>
          <cell r="JS105">
            <v>89.552238805970148</v>
          </cell>
          <cell r="JT105">
            <v>88</v>
          </cell>
          <cell r="JU105">
            <v>17</v>
          </cell>
          <cell r="JV105">
            <v>83.80952380952381</v>
          </cell>
          <cell r="JW105">
            <v>0</v>
          </cell>
          <cell r="JX105">
            <v>0</v>
          </cell>
          <cell r="JY105" t="str">
            <v>-</v>
          </cell>
          <cell r="JZ105">
            <v>37</v>
          </cell>
          <cell r="KA105">
            <v>14</v>
          </cell>
          <cell r="KB105">
            <v>72.549019607843135</v>
          </cell>
          <cell r="KC105">
            <v>0</v>
          </cell>
          <cell r="KD105">
            <v>0</v>
          </cell>
          <cell r="KE105" t="str">
            <v>-</v>
          </cell>
          <cell r="KF105">
            <v>455</v>
          </cell>
          <cell r="KG105">
            <v>97</v>
          </cell>
          <cell r="KH105">
            <v>82.427536231884062</v>
          </cell>
          <cell r="KI105">
            <v>10</v>
          </cell>
          <cell r="KJ105">
            <v>5</v>
          </cell>
          <cell r="KK105">
            <v>66.666666666666657</v>
          </cell>
          <cell r="KL105">
            <v>4</v>
          </cell>
          <cell r="KM105">
            <v>2</v>
          </cell>
          <cell r="KN105">
            <v>66.666666666666657</v>
          </cell>
        </row>
        <row r="106">
          <cell r="C106" t="str">
            <v>Heves Megyei Rendőr-főkapitányság</v>
          </cell>
          <cell r="D106">
            <v>5</v>
          </cell>
          <cell r="E106">
            <v>2</v>
          </cell>
          <cell r="F106">
            <v>71.400000000000006</v>
          </cell>
          <cell r="G106">
            <v>5</v>
          </cell>
          <cell r="H106">
            <v>3</v>
          </cell>
          <cell r="I106">
            <v>62.5</v>
          </cell>
          <cell r="J106">
            <v>7</v>
          </cell>
          <cell r="K106">
            <v>7</v>
          </cell>
          <cell r="L106">
            <v>100</v>
          </cell>
          <cell r="M106">
            <v>7</v>
          </cell>
          <cell r="N106">
            <v>7</v>
          </cell>
          <cell r="O106">
            <v>100</v>
          </cell>
          <cell r="P106">
            <v>6</v>
          </cell>
          <cell r="Q106">
            <v>6</v>
          </cell>
          <cell r="R106">
            <v>100</v>
          </cell>
          <cell r="S106">
            <v>8</v>
          </cell>
          <cell r="T106">
            <v>8</v>
          </cell>
          <cell r="U106">
            <v>100</v>
          </cell>
          <cell r="V106">
            <v>11</v>
          </cell>
          <cell r="W106">
            <v>1</v>
          </cell>
          <cell r="X106">
            <v>91.7</v>
          </cell>
          <cell r="Y106">
            <v>10</v>
          </cell>
          <cell r="Z106">
            <v>1</v>
          </cell>
          <cell r="AA106">
            <v>90.9</v>
          </cell>
          <cell r="AB106">
            <v>90.89996337890625</v>
          </cell>
          <cell r="AC106">
            <v>1</v>
          </cell>
          <cell r="AD106">
            <v>0</v>
          </cell>
          <cell r="AE106">
            <v>1</v>
          </cell>
          <cell r="AF106">
            <v>3</v>
          </cell>
          <cell r="AG106">
            <v>25</v>
          </cell>
          <cell r="AH106">
            <v>2</v>
          </cell>
          <cell r="AI106">
            <v>2</v>
          </cell>
          <cell r="AJ106">
            <v>100</v>
          </cell>
          <cell r="AK106">
            <v>3</v>
          </cell>
          <cell r="AL106">
            <v>3</v>
          </cell>
          <cell r="AM106">
            <v>100</v>
          </cell>
          <cell r="AN106">
            <v>5</v>
          </cell>
          <cell r="AO106">
            <v>5</v>
          </cell>
          <cell r="AP106">
            <v>100</v>
          </cell>
          <cell r="AQ106">
            <v>5</v>
          </cell>
          <cell r="AR106">
            <v>5</v>
          </cell>
          <cell r="AS106">
            <v>100</v>
          </cell>
          <cell r="AT106">
            <v>8</v>
          </cell>
          <cell r="AU106">
            <v>1</v>
          </cell>
          <cell r="AV106">
            <v>88.9</v>
          </cell>
          <cell r="AW106">
            <v>1</v>
          </cell>
          <cell r="AX106">
            <v>1</v>
          </cell>
          <cell r="AY106">
            <v>100</v>
          </cell>
          <cell r="AZ106">
            <v>2</v>
          </cell>
          <cell r="BA106">
            <v>1</v>
          </cell>
          <cell r="BB106">
            <v>66.7</v>
          </cell>
          <cell r="BC106">
            <v>2</v>
          </cell>
          <cell r="BD106">
            <v>2</v>
          </cell>
          <cell r="BE106">
            <v>100</v>
          </cell>
          <cell r="BF106">
            <v>5</v>
          </cell>
          <cell r="BG106">
            <v>5</v>
          </cell>
          <cell r="BH106">
            <v>100</v>
          </cell>
          <cell r="BI106">
            <v>3</v>
          </cell>
          <cell r="BJ106">
            <v>3</v>
          </cell>
          <cell r="BK106">
            <v>100</v>
          </cell>
          <cell r="BL106">
            <v>1</v>
          </cell>
          <cell r="BM106">
            <v>1</v>
          </cell>
          <cell r="BN106">
            <v>100</v>
          </cell>
          <cell r="BO106">
            <v>2</v>
          </cell>
          <cell r="BP106">
            <v>2</v>
          </cell>
          <cell r="BQ106">
            <v>100</v>
          </cell>
          <cell r="BR106">
            <v>2</v>
          </cell>
          <cell r="BS106">
            <v>2</v>
          </cell>
          <cell r="BT106">
            <v>100</v>
          </cell>
          <cell r="BU106">
            <v>5</v>
          </cell>
          <cell r="BV106">
            <v>5</v>
          </cell>
          <cell r="BW106">
            <v>100</v>
          </cell>
          <cell r="BX106">
            <v>355</v>
          </cell>
          <cell r="BY106">
            <v>92</v>
          </cell>
          <cell r="BZ106">
            <v>79.400000000000006</v>
          </cell>
          <cell r="CA106">
            <v>392</v>
          </cell>
          <cell r="CB106">
            <v>87</v>
          </cell>
          <cell r="CC106">
            <v>81.8</v>
          </cell>
          <cell r="CD106">
            <v>268</v>
          </cell>
          <cell r="CE106">
            <v>87</v>
          </cell>
          <cell r="CF106">
            <v>75.5</v>
          </cell>
          <cell r="CG106">
            <v>343</v>
          </cell>
          <cell r="CH106">
            <v>70</v>
          </cell>
          <cell r="CI106">
            <v>83.1</v>
          </cell>
          <cell r="CJ106">
            <v>360</v>
          </cell>
          <cell r="CK106">
            <v>77</v>
          </cell>
          <cell r="CL106">
            <v>82.4</v>
          </cell>
          <cell r="CM106">
            <v>356</v>
          </cell>
          <cell r="CN106">
            <v>81</v>
          </cell>
          <cell r="CO106">
            <v>81.5</v>
          </cell>
          <cell r="CP106">
            <v>282</v>
          </cell>
          <cell r="CQ106">
            <v>50</v>
          </cell>
          <cell r="CR106">
            <v>84.9</v>
          </cell>
          <cell r="CS106">
            <v>274</v>
          </cell>
          <cell r="CT106">
            <v>95</v>
          </cell>
          <cell r="CU106">
            <v>74.3</v>
          </cell>
          <cell r="CV106">
            <v>131</v>
          </cell>
          <cell r="CW106">
            <v>62</v>
          </cell>
          <cell r="CX106">
            <v>67.900000000000006</v>
          </cell>
          <cell r="CY106">
            <v>159</v>
          </cell>
          <cell r="CZ106">
            <v>59</v>
          </cell>
          <cell r="DA106">
            <v>72.900000000000006</v>
          </cell>
          <cell r="DB106">
            <v>105</v>
          </cell>
          <cell r="DC106">
            <v>56</v>
          </cell>
          <cell r="DD106">
            <v>65.2</v>
          </cell>
          <cell r="DE106">
            <v>146</v>
          </cell>
          <cell r="DF106">
            <v>51</v>
          </cell>
          <cell r="DG106">
            <v>74.099999999999994</v>
          </cell>
          <cell r="DH106">
            <v>143</v>
          </cell>
          <cell r="DI106">
            <v>45</v>
          </cell>
          <cell r="DJ106">
            <v>76.099999999999994</v>
          </cell>
          <cell r="DK106">
            <v>130</v>
          </cell>
          <cell r="DL106">
            <v>54</v>
          </cell>
          <cell r="DM106">
            <v>70.7</v>
          </cell>
          <cell r="DN106">
            <v>109</v>
          </cell>
          <cell r="DO106">
            <v>30</v>
          </cell>
          <cell r="DP106">
            <v>78.400000000000006</v>
          </cell>
          <cell r="DQ106">
            <v>110</v>
          </cell>
          <cell r="DR106">
            <v>45</v>
          </cell>
          <cell r="DS106">
            <v>71</v>
          </cell>
          <cell r="DT106">
            <v>71</v>
          </cell>
          <cell r="DU106">
            <v>71</v>
          </cell>
          <cell r="DV106" t="str">
            <v>-</v>
          </cell>
          <cell r="DW106">
            <v>1</v>
          </cell>
          <cell r="DX106">
            <v>1</v>
          </cell>
          <cell r="DY106">
            <v>100</v>
          </cell>
          <cell r="DZ106">
            <v>100</v>
          </cell>
          <cell r="EA106">
            <v>100</v>
          </cell>
          <cell r="EB106" t="str">
            <v>-</v>
          </cell>
          <cell r="EC106">
            <v>100</v>
          </cell>
          <cell r="ED106">
            <v>100</v>
          </cell>
          <cell r="EE106" t="str">
            <v>-</v>
          </cell>
          <cell r="EF106">
            <v>100</v>
          </cell>
          <cell r="EG106">
            <v>100</v>
          </cell>
          <cell r="EH106" t="str">
            <v>-</v>
          </cell>
          <cell r="EI106">
            <v>100</v>
          </cell>
          <cell r="EJ106">
            <v>100</v>
          </cell>
          <cell r="EK106" t="str">
            <v>-</v>
          </cell>
          <cell r="EL106">
            <v>100</v>
          </cell>
          <cell r="EM106">
            <v>1</v>
          </cell>
          <cell r="EN106">
            <v>0</v>
          </cell>
          <cell r="EO106">
            <v>1</v>
          </cell>
          <cell r="EP106">
            <v>1</v>
          </cell>
          <cell r="EQ106">
            <v>100</v>
          </cell>
          <cell r="ER106">
            <v>37</v>
          </cell>
          <cell r="ES106">
            <v>18</v>
          </cell>
          <cell r="ET106">
            <v>67.3</v>
          </cell>
          <cell r="EU106">
            <v>45</v>
          </cell>
          <cell r="EV106">
            <v>25</v>
          </cell>
          <cell r="EW106">
            <v>64.3</v>
          </cell>
          <cell r="EX106">
            <v>34</v>
          </cell>
          <cell r="EY106">
            <v>16</v>
          </cell>
          <cell r="EZ106">
            <v>68</v>
          </cell>
          <cell r="FA106">
            <v>36</v>
          </cell>
          <cell r="FB106">
            <v>18</v>
          </cell>
          <cell r="FC106">
            <v>66.7</v>
          </cell>
          <cell r="FD106">
            <v>49</v>
          </cell>
          <cell r="FE106">
            <v>18</v>
          </cell>
          <cell r="FF106">
            <v>73.099999999999994</v>
          </cell>
          <cell r="FG106">
            <v>32</v>
          </cell>
          <cell r="FH106">
            <v>16</v>
          </cell>
          <cell r="FI106">
            <v>66.7</v>
          </cell>
          <cell r="FJ106">
            <v>29</v>
          </cell>
          <cell r="FK106">
            <v>14</v>
          </cell>
          <cell r="FL106">
            <v>67.400000000000006</v>
          </cell>
          <cell r="FM106">
            <v>40</v>
          </cell>
          <cell r="FN106">
            <v>15</v>
          </cell>
          <cell r="FO106">
            <v>72.7</v>
          </cell>
          <cell r="FP106">
            <v>72.699951171875</v>
          </cell>
          <cell r="FQ106">
            <v>72.699951171875</v>
          </cell>
          <cell r="FR106" t="str">
            <v>-</v>
          </cell>
          <cell r="FS106">
            <v>72.699951171875</v>
          </cell>
          <cell r="FT106">
            <v>72.699951171875</v>
          </cell>
          <cell r="FU106" t="str">
            <v>-</v>
          </cell>
          <cell r="FV106">
            <v>72.699951171875</v>
          </cell>
          <cell r="FW106">
            <v>72.699951171875</v>
          </cell>
          <cell r="FX106" t="str">
            <v>-</v>
          </cell>
          <cell r="FY106">
            <v>1</v>
          </cell>
          <cell r="FZ106">
            <v>1</v>
          </cell>
          <cell r="GA106">
            <v>100</v>
          </cell>
          <cell r="GB106">
            <v>100</v>
          </cell>
          <cell r="GC106">
            <v>100</v>
          </cell>
          <cell r="GD106" t="str">
            <v>-</v>
          </cell>
          <cell r="GE106">
            <v>100</v>
          </cell>
          <cell r="GF106">
            <v>100</v>
          </cell>
          <cell r="GG106" t="str">
            <v>-</v>
          </cell>
          <cell r="GH106">
            <v>100</v>
          </cell>
          <cell r="GI106">
            <v>100</v>
          </cell>
          <cell r="GJ106" t="str">
            <v>-</v>
          </cell>
          <cell r="GK106">
            <v>100</v>
          </cell>
          <cell r="GL106">
            <v>100</v>
          </cell>
          <cell r="GM106" t="str">
            <v>-</v>
          </cell>
          <cell r="GN106">
            <v>368</v>
          </cell>
          <cell r="GO106">
            <v>84</v>
          </cell>
          <cell r="GP106">
            <v>81.400000000000006</v>
          </cell>
          <cell r="GQ106">
            <v>454</v>
          </cell>
          <cell r="GR106">
            <v>89</v>
          </cell>
          <cell r="GS106">
            <v>83.6</v>
          </cell>
          <cell r="GT106">
            <v>362</v>
          </cell>
          <cell r="GU106">
            <v>132</v>
          </cell>
          <cell r="GV106">
            <v>73.3</v>
          </cell>
          <cell r="GW106">
            <v>403</v>
          </cell>
          <cell r="GX106">
            <v>139</v>
          </cell>
          <cell r="GY106">
            <v>74.400000000000006</v>
          </cell>
          <cell r="GZ106">
            <v>518</v>
          </cell>
          <cell r="HA106">
            <v>148</v>
          </cell>
          <cell r="HB106">
            <v>77.8</v>
          </cell>
          <cell r="HC106">
            <v>546</v>
          </cell>
          <cell r="HD106">
            <v>168</v>
          </cell>
          <cell r="HE106">
            <v>76.5</v>
          </cell>
          <cell r="HF106">
            <v>408</v>
          </cell>
          <cell r="HG106">
            <v>122</v>
          </cell>
          <cell r="HH106">
            <v>77</v>
          </cell>
          <cell r="HI106">
            <v>376</v>
          </cell>
          <cell r="HJ106">
            <v>115</v>
          </cell>
          <cell r="HK106">
            <v>76.599999999999994</v>
          </cell>
          <cell r="HL106">
            <v>21</v>
          </cell>
          <cell r="HM106">
            <v>25</v>
          </cell>
          <cell r="HN106">
            <v>45.7</v>
          </cell>
          <cell r="HO106">
            <v>19</v>
          </cell>
          <cell r="HP106">
            <v>13</v>
          </cell>
          <cell r="HQ106">
            <v>59.4</v>
          </cell>
          <cell r="HR106">
            <v>11</v>
          </cell>
          <cell r="HS106">
            <v>25</v>
          </cell>
          <cell r="HT106">
            <v>30.6</v>
          </cell>
          <cell r="HU106">
            <v>19</v>
          </cell>
          <cell r="HV106">
            <v>16</v>
          </cell>
          <cell r="HW106">
            <v>54.3</v>
          </cell>
          <cell r="HX106">
            <v>15</v>
          </cell>
          <cell r="HY106">
            <v>12</v>
          </cell>
          <cell r="HZ106">
            <v>55.6</v>
          </cell>
          <cell r="IA106">
            <v>21</v>
          </cell>
          <cell r="IB106">
            <v>12</v>
          </cell>
          <cell r="IC106">
            <v>63.6</v>
          </cell>
          <cell r="ID106">
            <v>22</v>
          </cell>
          <cell r="IE106">
            <v>6</v>
          </cell>
          <cell r="IF106">
            <v>78.599999999999994</v>
          </cell>
          <cell r="IG106">
            <v>12</v>
          </cell>
          <cell r="IH106">
            <v>14</v>
          </cell>
          <cell r="II106">
            <v>46.2</v>
          </cell>
          <cell r="IJ106">
            <v>9</v>
          </cell>
          <cell r="IK106">
            <v>4</v>
          </cell>
          <cell r="IL106">
            <v>69.2</v>
          </cell>
          <cell r="IM106">
            <v>22</v>
          </cell>
          <cell r="IN106">
            <v>11</v>
          </cell>
          <cell r="IO106">
            <v>66.7</v>
          </cell>
          <cell r="IP106">
            <v>7</v>
          </cell>
          <cell r="IQ106">
            <v>7</v>
          </cell>
          <cell r="IR106">
            <v>100</v>
          </cell>
          <cell r="IS106">
            <v>6</v>
          </cell>
          <cell r="IT106">
            <v>3</v>
          </cell>
          <cell r="IU106">
            <v>66.7</v>
          </cell>
          <cell r="IV106">
            <v>4</v>
          </cell>
          <cell r="IW106">
            <v>2</v>
          </cell>
          <cell r="IX106">
            <v>66.7</v>
          </cell>
          <cell r="IY106">
            <v>8</v>
          </cell>
          <cell r="IZ106">
            <v>1</v>
          </cell>
          <cell r="JA106">
            <v>88.9</v>
          </cell>
          <cell r="JB106">
            <v>8</v>
          </cell>
          <cell r="JC106">
            <v>4</v>
          </cell>
          <cell r="JD106">
            <v>66.7</v>
          </cell>
          <cell r="JE106">
            <v>11</v>
          </cell>
          <cell r="JF106">
            <v>5</v>
          </cell>
          <cell r="JG106">
            <v>68.8</v>
          </cell>
          <cell r="JH106">
            <v>42</v>
          </cell>
          <cell r="JI106">
            <v>2</v>
          </cell>
          <cell r="JJ106">
            <v>95.454545454545453</v>
          </cell>
          <cell r="JK106">
            <v>22</v>
          </cell>
          <cell r="JL106">
            <v>1</v>
          </cell>
          <cell r="JM106">
            <v>95.652173913043484</v>
          </cell>
          <cell r="JN106">
            <v>13</v>
          </cell>
          <cell r="JO106">
            <v>0</v>
          </cell>
          <cell r="JP106">
            <v>100</v>
          </cell>
          <cell r="JQ106">
            <v>1615</v>
          </cell>
          <cell r="JR106">
            <v>373</v>
          </cell>
          <cell r="JS106">
            <v>81.237424547283695</v>
          </cell>
          <cell r="JT106">
            <v>638</v>
          </cell>
          <cell r="JU106">
            <v>225</v>
          </cell>
          <cell r="JV106">
            <v>73.928157589803007</v>
          </cell>
          <cell r="JW106">
            <v>1</v>
          </cell>
          <cell r="JX106">
            <v>1</v>
          </cell>
          <cell r="JY106">
            <v>50</v>
          </cell>
          <cell r="JZ106">
            <v>186</v>
          </cell>
          <cell r="KA106">
            <v>81</v>
          </cell>
          <cell r="KB106">
            <v>69.662921348314612</v>
          </cell>
          <cell r="KC106">
            <v>1</v>
          </cell>
          <cell r="KD106">
            <v>0</v>
          </cell>
          <cell r="KE106">
            <v>100</v>
          </cell>
          <cell r="KF106">
            <v>2251</v>
          </cell>
          <cell r="KG106">
            <v>692</v>
          </cell>
          <cell r="KH106">
            <v>76.486578321440703</v>
          </cell>
          <cell r="KI106">
            <v>89</v>
          </cell>
          <cell r="KJ106">
            <v>60</v>
          </cell>
          <cell r="KK106">
            <v>59.731543624161077</v>
          </cell>
          <cell r="KL106">
            <v>37</v>
          </cell>
          <cell r="KM106">
            <v>15</v>
          </cell>
          <cell r="KN106">
            <v>71.15384615384616</v>
          </cell>
        </row>
        <row r="107">
          <cell r="C107" t="str">
            <v>Komárom-Esztergom MRFK Központ</v>
          </cell>
          <cell r="D107">
            <v>11</v>
          </cell>
          <cell r="E107">
            <v>2</v>
          </cell>
          <cell r="F107">
            <v>84.6</v>
          </cell>
          <cell r="G107">
            <v>7</v>
          </cell>
          <cell r="H107">
            <v>7</v>
          </cell>
          <cell r="I107">
            <v>100</v>
          </cell>
          <cell r="J107">
            <v>11</v>
          </cell>
          <cell r="K107">
            <v>11</v>
          </cell>
          <cell r="L107">
            <v>100</v>
          </cell>
          <cell r="M107">
            <v>7</v>
          </cell>
          <cell r="N107">
            <v>7</v>
          </cell>
          <cell r="O107">
            <v>100</v>
          </cell>
          <cell r="P107">
            <v>6</v>
          </cell>
          <cell r="Q107">
            <v>6</v>
          </cell>
          <cell r="R107">
            <v>100</v>
          </cell>
          <cell r="S107">
            <v>13</v>
          </cell>
          <cell r="T107">
            <v>13</v>
          </cell>
          <cell r="U107">
            <v>100</v>
          </cell>
          <cell r="V107">
            <v>12</v>
          </cell>
          <cell r="W107">
            <v>12</v>
          </cell>
          <cell r="X107">
            <v>100</v>
          </cell>
          <cell r="Y107">
            <v>6</v>
          </cell>
          <cell r="Z107">
            <v>6</v>
          </cell>
          <cell r="AA107">
            <v>100</v>
          </cell>
          <cell r="AB107">
            <v>5</v>
          </cell>
          <cell r="AC107">
            <v>2</v>
          </cell>
          <cell r="AD107">
            <v>71.400000000000006</v>
          </cell>
          <cell r="AE107">
            <v>1</v>
          </cell>
          <cell r="AF107">
            <v>1</v>
          </cell>
          <cell r="AG107">
            <v>100</v>
          </cell>
          <cell r="AH107">
            <v>6</v>
          </cell>
          <cell r="AI107">
            <v>6</v>
          </cell>
          <cell r="AJ107">
            <v>100</v>
          </cell>
          <cell r="AK107">
            <v>3</v>
          </cell>
          <cell r="AL107">
            <v>3</v>
          </cell>
          <cell r="AM107">
            <v>100</v>
          </cell>
          <cell r="AN107">
            <v>2</v>
          </cell>
          <cell r="AO107">
            <v>2</v>
          </cell>
          <cell r="AP107">
            <v>100</v>
          </cell>
          <cell r="AQ107">
            <v>8</v>
          </cell>
          <cell r="AR107">
            <v>8</v>
          </cell>
          <cell r="AS107">
            <v>100</v>
          </cell>
          <cell r="AT107">
            <v>5</v>
          </cell>
          <cell r="AU107">
            <v>5</v>
          </cell>
          <cell r="AV107">
            <v>100</v>
          </cell>
          <cell r="AW107">
            <v>2</v>
          </cell>
          <cell r="AX107">
            <v>2</v>
          </cell>
          <cell r="AY107">
            <v>100</v>
          </cell>
          <cell r="AZ107">
            <v>3</v>
          </cell>
          <cell r="BA107">
            <v>3</v>
          </cell>
          <cell r="BB107">
            <v>100</v>
          </cell>
          <cell r="BC107">
            <v>6</v>
          </cell>
          <cell r="BD107">
            <v>6</v>
          </cell>
          <cell r="BE107">
            <v>100</v>
          </cell>
          <cell r="BF107">
            <v>4</v>
          </cell>
          <cell r="BG107">
            <v>4</v>
          </cell>
          <cell r="BH107">
            <v>100</v>
          </cell>
          <cell r="BI107">
            <v>3</v>
          </cell>
          <cell r="BJ107">
            <v>3</v>
          </cell>
          <cell r="BK107">
            <v>100</v>
          </cell>
          <cell r="BL107">
            <v>4</v>
          </cell>
          <cell r="BM107">
            <v>4</v>
          </cell>
          <cell r="BN107">
            <v>100</v>
          </cell>
          <cell r="BO107">
            <v>2</v>
          </cell>
          <cell r="BP107">
            <v>2</v>
          </cell>
          <cell r="BQ107">
            <v>100</v>
          </cell>
          <cell r="BR107">
            <v>6</v>
          </cell>
          <cell r="BS107">
            <v>6</v>
          </cell>
          <cell r="BT107">
            <v>100</v>
          </cell>
          <cell r="BU107">
            <v>3</v>
          </cell>
          <cell r="BV107">
            <v>3</v>
          </cell>
          <cell r="BW107">
            <v>100</v>
          </cell>
          <cell r="BX107">
            <v>7</v>
          </cell>
          <cell r="BY107">
            <v>7</v>
          </cell>
          <cell r="BZ107">
            <v>100</v>
          </cell>
          <cell r="CA107">
            <v>9</v>
          </cell>
          <cell r="CB107">
            <v>2</v>
          </cell>
          <cell r="CC107">
            <v>81.8</v>
          </cell>
          <cell r="CD107">
            <v>6</v>
          </cell>
          <cell r="CE107">
            <v>6</v>
          </cell>
          <cell r="CF107">
            <v>100</v>
          </cell>
          <cell r="CG107">
            <v>20</v>
          </cell>
          <cell r="CH107">
            <v>2</v>
          </cell>
          <cell r="CI107">
            <v>90.9</v>
          </cell>
          <cell r="CJ107">
            <v>5</v>
          </cell>
          <cell r="CK107">
            <v>5</v>
          </cell>
          <cell r="CL107">
            <v>100</v>
          </cell>
          <cell r="CM107">
            <v>7</v>
          </cell>
          <cell r="CN107">
            <v>1</v>
          </cell>
          <cell r="CO107">
            <v>87.5</v>
          </cell>
          <cell r="CP107">
            <v>8</v>
          </cell>
          <cell r="CQ107">
            <v>8</v>
          </cell>
          <cell r="CR107">
            <v>100</v>
          </cell>
          <cell r="CS107">
            <v>5</v>
          </cell>
          <cell r="CT107">
            <v>5</v>
          </cell>
          <cell r="CU107">
            <v>100</v>
          </cell>
          <cell r="CV107">
            <v>7</v>
          </cell>
          <cell r="CW107">
            <v>7</v>
          </cell>
          <cell r="CX107">
            <v>100</v>
          </cell>
          <cell r="CY107">
            <v>8</v>
          </cell>
          <cell r="CZ107">
            <v>2</v>
          </cell>
          <cell r="DA107">
            <v>80</v>
          </cell>
          <cell r="DB107">
            <v>5</v>
          </cell>
          <cell r="DC107">
            <v>5</v>
          </cell>
          <cell r="DD107">
            <v>100</v>
          </cell>
          <cell r="DE107">
            <v>17</v>
          </cell>
          <cell r="DF107">
            <v>2</v>
          </cell>
          <cell r="DG107">
            <v>89.5</v>
          </cell>
          <cell r="DH107">
            <v>3</v>
          </cell>
          <cell r="DI107">
            <v>3</v>
          </cell>
          <cell r="DJ107">
            <v>100</v>
          </cell>
          <cell r="DK107">
            <v>7</v>
          </cell>
          <cell r="DL107">
            <v>1</v>
          </cell>
          <cell r="DM107">
            <v>87.5</v>
          </cell>
          <cell r="DN107">
            <v>8</v>
          </cell>
          <cell r="DO107">
            <v>8</v>
          </cell>
          <cell r="DP107">
            <v>100</v>
          </cell>
          <cell r="DQ107">
            <v>5</v>
          </cell>
          <cell r="DR107">
            <v>5</v>
          </cell>
          <cell r="DS107">
            <v>100</v>
          </cell>
          <cell r="DT107">
            <v>2</v>
          </cell>
          <cell r="DU107">
            <v>2</v>
          </cell>
          <cell r="DV107">
            <v>100</v>
          </cell>
          <cell r="DW107">
            <v>2</v>
          </cell>
          <cell r="DX107">
            <v>2</v>
          </cell>
          <cell r="DY107">
            <v>100</v>
          </cell>
          <cell r="DZ107">
            <v>100</v>
          </cell>
          <cell r="EA107">
            <v>100</v>
          </cell>
          <cell r="EB107" t="str">
            <v>-</v>
          </cell>
          <cell r="EC107">
            <v>2</v>
          </cell>
          <cell r="ED107">
            <v>2</v>
          </cell>
          <cell r="EE107">
            <v>100</v>
          </cell>
          <cell r="EF107">
            <v>100</v>
          </cell>
          <cell r="EG107">
            <v>100</v>
          </cell>
          <cell r="EH107" t="str">
            <v>-</v>
          </cell>
          <cell r="EI107">
            <v>100</v>
          </cell>
          <cell r="EJ107">
            <v>1</v>
          </cell>
          <cell r="EK107">
            <v>0</v>
          </cell>
          <cell r="EL107">
            <v>0</v>
          </cell>
          <cell r="EM107">
            <v>0</v>
          </cell>
          <cell r="EN107" t="str">
            <v>-</v>
          </cell>
          <cell r="EO107">
            <v>0</v>
          </cell>
          <cell r="EP107">
            <v>0</v>
          </cell>
          <cell r="EQ107" t="str">
            <v>-</v>
          </cell>
          <cell r="ER107">
            <v>0</v>
          </cell>
          <cell r="ES107">
            <v>0</v>
          </cell>
          <cell r="ET107" t="str">
            <v>-</v>
          </cell>
          <cell r="EU107">
            <v>0</v>
          </cell>
          <cell r="EV107">
            <v>0</v>
          </cell>
          <cell r="EW107" t="str">
            <v>-</v>
          </cell>
          <cell r="EX107">
            <v>0</v>
          </cell>
          <cell r="EY107">
            <v>0</v>
          </cell>
          <cell r="EZ107" t="str">
            <v>-</v>
          </cell>
          <cell r="FA107">
            <v>0</v>
          </cell>
          <cell r="FB107">
            <v>0</v>
          </cell>
          <cell r="FC107" t="str">
            <v>-</v>
          </cell>
          <cell r="FD107">
            <v>0</v>
          </cell>
          <cell r="FE107">
            <v>0</v>
          </cell>
          <cell r="FF107" t="str">
            <v>-</v>
          </cell>
          <cell r="FG107">
            <v>1</v>
          </cell>
          <cell r="FH107">
            <v>1</v>
          </cell>
          <cell r="FI107">
            <v>100</v>
          </cell>
          <cell r="FJ107">
            <v>4</v>
          </cell>
          <cell r="FK107">
            <v>4</v>
          </cell>
          <cell r="FL107">
            <v>100</v>
          </cell>
          <cell r="FM107">
            <v>9</v>
          </cell>
          <cell r="FN107">
            <v>7</v>
          </cell>
          <cell r="FO107">
            <v>56.3</v>
          </cell>
          <cell r="FP107">
            <v>56.29998779296875</v>
          </cell>
          <cell r="FQ107">
            <v>56.29998779296875</v>
          </cell>
          <cell r="FR107" t="str">
            <v>-</v>
          </cell>
          <cell r="FS107">
            <v>4</v>
          </cell>
          <cell r="FT107">
            <v>1</v>
          </cell>
          <cell r="FU107">
            <v>80</v>
          </cell>
          <cell r="FV107">
            <v>16</v>
          </cell>
          <cell r="FW107">
            <v>1</v>
          </cell>
          <cell r="FX107">
            <v>94.1</v>
          </cell>
          <cell r="FY107">
            <v>6</v>
          </cell>
          <cell r="FZ107">
            <v>1</v>
          </cell>
          <cell r="GA107">
            <v>85.7</v>
          </cell>
          <cell r="GB107">
            <v>32</v>
          </cell>
          <cell r="GC107">
            <v>2</v>
          </cell>
          <cell r="GD107">
            <v>94.1</v>
          </cell>
          <cell r="GE107">
            <v>59</v>
          </cell>
          <cell r="GF107">
            <v>3</v>
          </cell>
          <cell r="GG107">
            <v>95.2</v>
          </cell>
          <cell r="GH107">
            <v>7</v>
          </cell>
          <cell r="GI107">
            <v>3</v>
          </cell>
          <cell r="GJ107">
            <v>70</v>
          </cell>
          <cell r="GK107">
            <v>4</v>
          </cell>
          <cell r="GL107">
            <v>3</v>
          </cell>
          <cell r="GM107">
            <v>57.1</v>
          </cell>
          <cell r="GN107">
            <v>57.0999755859375</v>
          </cell>
          <cell r="GO107">
            <v>57.0999755859375</v>
          </cell>
          <cell r="GP107" t="str">
            <v>-</v>
          </cell>
          <cell r="GQ107">
            <v>3</v>
          </cell>
          <cell r="GR107">
            <v>3</v>
          </cell>
          <cell r="GS107">
            <v>100</v>
          </cell>
          <cell r="GT107">
            <v>3</v>
          </cell>
          <cell r="GU107">
            <v>3</v>
          </cell>
          <cell r="GV107">
            <v>100</v>
          </cell>
          <cell r="GW107">
            <v>2</v>
          </cell>
          <cell r="GX107">
            <v>2</v>
          </cell>
          <cell r="GY107">
            <v>100</v>
          </cell>
          <cell r="GZ107">
            <v>2</v>
          </cell>
          <cell r="HA107">
            <v>2</v>
          </cell>
          <cell r="HB107">
            <v>100</v>
          </cell>
          <cell r="HC107">
            <v>100</v>
          </cell>
          <cell r="HD107">
            <v>100</v>
          </cell>
          <cell r="HE107" t="str">
            <v>-</v>
          </cell>
          <cell r="HF107">
            <v>100</v>
          </cell>
          <cell r="HG107">
            <v>100</v>
          </cell>
          <cell r="HH107" t="str">
            <v>-</v>
          </cell>
          <cell r="HI107">
            <v>100</v>
          </cell>
          <cell r="HJ107">
            <v>100</v>
          </cell>
          <cell r="HK107" t="str">
            <v>-</v>
          </cell>
          <cell r="HL107">
            <v>100</v>
          </cell>
          <cell r="HM107">
            <v>100</v>
          </cell>
          <cell r="HN107" t="str">
            <v>-</v>
          </cell>
          <cell r="HO107">
            <v>100</v>
          </cell>
          <cell r="HP107">
            <v>100</v>
          </cell>
          <cell r="HQ107" t="str">
            <v>-</v>
          </cell>
          <cell r="HR107">
            <v>2</v>
          </cell>
          <cell r="HS107">
            <v>1</v>
          </cell>
          <cell r="HT107">
            <v>66.7</v>
          </cell>
          <cell r="HU107">
            <v>66.699951171875</v>
          </cell>
          <cell r="HV107">
            <v>66.699951171875</v>
          </cell>
          <cell r="HW107" t="str">
            <v>-</v>
          </cell>
          <cell r="HX107">
            <v>66.699951171875</v>
          </cell>
          <cell r="HY107">
            <v>1</v>
          </cell>
          <cell r="HZ107">
            <v>0</v>
          </cell>
          <cell r="IA107">
            <v>0</v>
          </cell>
          <cell r="IB107">
            <v>0</v>
          </cell>
          <cell r="IC107" t="str">
            <v>-</v>
          </cell>
          <cell r="ID107">
            <v>0</v>
          </cell>
          <cell r="IE107">
            <v>0</v>
          </cell>
          <cell r="IF107" t="str">
            <v>-</v>
          </cell>
          <cell r="IG107">
            <v>0</v>
          </cell>
          <cell r="IH107">
            <v>0</v>
          </cell>
          <cell r="II107" t="str">
            <v>-</v>
          </cell>
          <cell r="IJ107">
            <v>1</v>
          </cell>
          <cell r="IK107">
            <v>1</v>
          </cell>
          <cell r="IL107">
            <v>50</v>
          </cell>
          <cell r="IM107">
            <v>2</v>
          </cell>
          <cell r="IN107">
            <v>1</v>
          </cell>
          <cell r="IO107">
            <v>66.7</v>
          </cell>
          <cell r="IP107">
            <v>20</v>
          </cell>
          <cell r="IQ107">
            <v>20</v>
          </cell>
          <cell r="IR107">
            <v>100</v>
          </cell>
          <cell r="IS107">
            <v>100</v>
          </cell>
          <cell r="IT107">
            <v>100</v>
          </cell>
          <cell r="IU107" t="str">
            <v>-</v>
          </cell>
          <cell r="IV107">
            <v>5</v>
          </cell>
          <cell r="IW107">
            <v>5</v>
          </cell>
          <cell r="IX107">
            <v>100</v>
          </cell>
          <cell r="IY107">
            <v>100</v>
          </cell>
          <cell r="IZ107">
            <v>100</v>
          </cell>
          <cell r="JA107" t="str">
            <v>-</v>
          </cell>
          <cell r="JB107">
            <v>3</v>
          </cell>
          <cell r="JC107">
            <v>3</v>
          </cell>
          <cell r="JD107">
            <v>100</v>
          </cell>
          <cell r="JE107">
            <v>2</v>
          </cell>
          <cell r="JF107">
            <v>1</v>
          </cell>
          <cell r="JG107">
            <v>66.7</v>
          </cell>
          <cell r="JH107">
            <v>44</v>
          </cell>
          <cell r="JI107">
            <v>0</v>
          </cell>
          <cell r="JJ107">
            <v>100</v>
          </cell>
          <cell r="JK107">
            <v>20</v>
          </cell>
          <cell r="JL107">
            <v>0</v>
          </cell>
          <cell r="JM107">
            <v>100</v>
          </cell>
          <cell r="JN107">
            <v>18</v>
          </cell>
          <cell r="JO107">
            <v>0</v>
          </cell>
          <cell r="JP107">
            <v>100</v>
          </cell>
          <cell r="JQ107">
            <v>45</v>
          </cell>
          <cell r="JR107">
            <v>3</v>
          </cell>
          <cell r="JS107">
            <v>93.75</v>
          </cell>
          <cell r="JT107">
            <v>40</v>
          </cell>
          <cell r="JU107">
            <v>3</v>
          </cell>
          <cell r="JV107">
            <v>93.023255813953483</v>
          </cell>
          <cell r="JW107">
            <v>2</v>
          </cell>
          <cell r="JX107">
            <v>1</v>
          </cell>
          <cell r="JY107">
            <v>66.666666666666657</v>
          </cell>
          <cell r="JZ107">
            <v>14</v>
          </cell>
          <cell r="KA107">
            <v>7</v>
          </cell>
          <cell r="KB107">
            <v>66.666666666666657</v>
          </cell>
          <cell r="KC107">
            <v>108</v>
          </cell>
          <cell r="KD107">
            <v>12</v>
          </cell>
          <cell r="KE107">
            <v>90</v>
          </cell>
          <cell r="KF107">
            <v>4</v>
          </cell>
          <cell r="KG107">
            <v>0</v>
          </cell>
          <cell r="KH107">
            <v>100</v>
          </cell>
          <cell r="KI107">
            <v>0</v>
          </cell>
          <cell r="KJ107">
            <v>1</v>
          </cell>
          <cell r="KK107">
            <v>0</v>
          </cell>
          <cell r="KL107">
            <v>10</v>
          </cell>
          <cell r="KM107">
            <v>1</v>
          </cell>
          <cell r="KN107">
            <v>90.909090909090907</v>
          </cell>
        </row>
        <row r="108">
          <cell r="C108" t="str">
            <v>Tatabányai Rendőrkapitányság</v>
          </cell>
          <cell r="D108">
            <v>1</v>
          </cell>
          <cell r="E108">
            <v>1</v>
          </cell>
          <cell r="F108">
            <v>100</v>
          </cell>
          <cell r="G108">
            <v>100</v>
          </cell>
          <cell r="H108">
            <v>100</v>
          </cell>
          <cell r="I108" t="str">
            <v>-</v>
          </cell>
          <cell r="J108">
            <v>100</v>
          </cell>
          <cell r="K108">
            <v>100</v>
          </cell>
          <cell r="L108" t="str">
            <v>-</v>
          </cell>
          <cell r="M108">
            <v>100</v>
          </cell>
          <cell r="N108">
            <v>100</v>
          </cell>
          <cell r="O108" t="str">
            <v>-</v>
          </cell>
          <cell r="P108">
            <v>100</v>
          </cell>
          <cell r="Q108">
            <v>100</v>
          </cell>
          <cell r="R108" t="str">
            <v>-</v>
          </cell>
          <cell r="S108">
            <v>100</v>
          </cell>
          <cell r="T108">
            <v>100</v>
          </cell>
          <cell r="U108" t="str">
            <v>-</v>
          </cell>
          <cell r="V108">
            <v>100</v>
          </cell>
          <cell r="W108">
            <v>100</v>
          </cell>
          <cell r="X108" t="str">
            <v>-</v>
          </cell>
          <cell r="Y108">
            <v>100</v>
          </cell>
          <cell r="Z108">
            <v>100</v>
          </cell>
          <cell r="AA108" t="str">
            <v>-</v>
          </cell>
          <cell r="AB108">
            <v>100</v>
          </cell>
          <cell r="AC108">
            <v>100</v>
          </cell>
          <cell r="AD108" t="str">
            <v>-</v>
          </cell>
          <cell r="AE108">
            <v>100</v>
          </cell>
          <cell r="AF108">
            <v>100</v>
          </cell>
          <cell r="AG108" t="str">
            <v>-</v>
          </cell>
          <cell r="AH108">
            <v>100</v>
          </cell>
          <cell r="AI108">
            <v>100</v>
          </cell>
          <cell r="AJ108" t="str">
            <v>-</v>
          </cell>
          <cell r="AK108">
            <v>100</v>
          </cell>
          <cell r="AL108">
            <v>100</v>
          </cell>
          <cell r="AM108" t="str">
            <v>-</v>
          </cell>
          <cell r="AN108">
            <v>100</v>
          </cell>
          <cell r="AO108">
            <v>100</v>
          </cell>
          <cell r="AP108" t="str">
            <v>-</v>
          </cell>
          <cell r="AQ108">
            <v>100</v>
          </cell>
          <cell r="AR108">
            <v>100</v>
          </cell>
          <cell r="AS108" t="str">
            <v>-</v>
          </cell>
          <cell r="AT108">
            <v>100</v>
          </cell>
          <cell r="AU108">
            <v>100</v>
          </cell>
          <cell r="AV108" t="str">
            <v>-</v>
          </cell>
          <cell r="AW108">
            <v>100</v>
          </cell>
          <cell r="AX108">
            <v>100</v>
          </cell>
          <cell r="AY108" t="str">
            <v>-</v>
          </cell>
          <cell r="AZ108">
            <v>1</v>
          </cell>
          <cell r="BA108">
            <v>1</v>
          </cell>
          <cell r="BB108">
            <v>100</v>
          </cell>
          <cell r="BC108">
            <v>100</v>
          </cell>
          <cell r="BD108">
            <v>100</v>
          </cell>
          <cell r="BE108" t="str">
            <v>-</v>
          </cell>
          <cell r="BF108">
            <v>100</v>
          </cell>
          <cell r="BG108">
            <v>100</v>
          </cell>
          <cell r="BH108" t="str">
            <v>-</v>
          </cell>
          <cell r="BI108">
            <v>100</v>
          </cell>
          <cell r="BJ108">
            <v>100</v>
          </cell>
          <cell r="BK108" t="str">
            <v>-</v>
          </cell>
          <cell r="BL108">
            <v>100</v>
          </cell>
          <cell r="BM108">
            <v>100</v>
          </cell>
          <cell r="BN108" t="str">
            <v>-</v>
          </cell>
          <cell r="BO108">
            <v>100</v>
          </cell>
          <cell r="BP108">
            <v>100</v>
          </cell>
          <cell r="BQ108" t="str">
            <v>-</v>
          </cell>
          <cell r="BR108">
            <v>100</v>
          </cell>
          <cell r="BS108">
            <v>100</v>
          </cell>
          <cell r="BT108" t="str">
            <v>-</v>
          </cell>
          <cell r="BU108">
            <v>100</v>
          </cell>
          <cell r="BV108">
            <v>100</v>
          </cell>
          <cell r="BW108" t="str">
            <v>-</v>
          </cell>
          <cell r="BX108">
            <v>82</v>
          </cell>
          <cell r="BY108">
            <v>24</v>
          </cell>
          <cell r="BZ108">
            <v>77.400000000000006</v>
          </cell>
          <cell r="CA108">
            <v>84</v>
          </cell>
          <cell r="CB108">
            <v>21</v>
          </cell>
          <cell r="CC108">
            <v>80</v>
          </cell>
          <cell r="CD108">
            <v>86</v>
          </cell>
          <cell r="CE108">
            <v>40</v>
          </cell>
          <cell r="CF108">
            <v>68.3</v>
          </cell>
          <cell r="CG108">
            <v>63</v>
          </cell>
          <cell r="CH108">
            <v>22</v>
          </cell>
          <cell r="CI108">
            <v>74.099999999999994</v>
          </cell>
          <cell r="CJ108">
            <v>50</v>
          </cell>
          <cell r="CK108">
            <v>26</v>
          </cell>
          <cell r="CL108">
            <v>65.8</v>
          </cell>
          <cell r="CM108">
            <v>45</v>
          </cell>
          <cell r="CN108">
            <v>17</v>
          </cell>
          <cell r="CO108">
            <v>72.599999999999994</v>
          </cell>
          <cell r="CP108">
            <v>52</v>
          </cell>
          <cell r="CQ108">
            <v>25</v>
          </cell>
          <cell r="CR108">
            <v>67.5</v>
          </cell>
          <cell r="CS108">
            <v>58</v>
          </cell>
          <cell r="CT108">
            <v>15</v>
          </cell>
          <cell r="CU108">
            <v>79.5</v>
          </cell>
          <cell r="CV108">
            <v>51</v>
          </cell>
          <cell r="CW108">
            <v>18</v>
          </cell>
          <cell r="CX108">
            <v>73.900000000000006</v>
          </cell>
          <cell r="CY108">
            <v>45</v>
          </cell>
          <cell r="CZ108">
            <v>17</v>
          </cell>
          <cell r="DA108">
            <v>72.599999999999994</v>
          </cell>
          <cell r="DB108">
            <v>54</v>
          </cell>
          <cell r="DC108">
            <v>34</v>
          </cell>
          <cell r="DD108">
            <v>61.4</v>
          </cell>
          <cell r="DE108">
            <v>36</v>
          </cell>
          <cell r="DF108">
            <v>19</v>
          </cell>
          <cell r="DG108">
            <v>65.5</v>
          </cell>
          <cell r="DH108">
            <v>25</v>
          </cell>
          <cell r="DI108">
            <v>24</v>
          </cell>
          <cell r="DJ108">
            <v>51</v>
          </cell>
          <cell r="DK108">
            <v>31</v>
          </cell>
          <cell r="DL108">
            <v>13</v>
          </cell>
          <cell r="DM108">
            <v>70.5</v>
          </cell>
          <cell r="DN108">
            <v>38</v>
          </cell>
          <cell r="DO108">
            <v>23</v>
          </cell>
          <cell r="DP108">
            <v>62.3</v>
          </cell>
          <cell r="DQ108">
            <v>38</v>
          </cell>
          <cell r="DR108">
            <v>12</v>
          </cell>
          <cell r="DS108">
            <v>76</v>
          </cell>
          <cell r="DT108">
            <v>76</v>
          </cell>
          <cell r="DU108">
            <v>76</v>
          </cell>
          <cell r="DV108" t="str">
            <v>-</v>
          </cell>
          <cell r="DW108">
            <v>76</v>
          </cell>
          <cell r="DX108">
            <v>76</v>
          </cell>
          <cell r="DY108" t="str">
            <v>-</v>
          </cell>
          <cell r="DZ108">
            <v>76</v>
          </cell>
          <cell r="EA108">
            <v>76</v>
          </cell>
          <cell r="EB108" t="str">
            <v>-</v>
          </cell>
          <cell r="EC108">
            <v>76</v>
          </cell>
          <cell r="ED108">
            <v>76</v>
          </cell>
          <cell r="EE108" t="str">
            <v>-</v>
          </cell>
          <cell r="EF108">
            <v>76</v>
          </cell>
          <cell r="EG108">
            <v>76</v>
          </cell>
          <cell r="EH108" t="str">
            <v>-</v>
          </cell>
          <cell r="EI108">
            <v>76</v>
          </cell>
          <cell r="EJ108">
            <v>76</v>
          </cell>
          <cell r="EK108" t="str">
            <v>-</v>
          </cell>
          <cell r="EL108">
            <v>76</v>
          </cell>
          <cell r="EM108">
            <v>76</v>
          </cell>
          <cell r="EN108" t="str">
            <v>-</v>
          </cell>
          <cell r="EO108">
            <v>76</v>
          </cell>
          <cell r="EP108">
            <v>76</v>
          </cell>
          <cell r="EQ108" t="str">
            <v>-</v>
          </cell>
          <cell r="ER108">
            <v>35</v>
          </cell>
          <cell r="ES108">
            <v>11</v>
          </cell>
          <cell r="ET108">
            <v>76.099999999999994</v>
          </cell>
          <cell r="EU108">
            <v>35</v>
          </cell>
          <cell r="EV108">
            <v>10</v>
          </cell>
          <cell r="EW108">
            <v>77.8</v>
          </cell>
          <cell r="EX108">
            <v>33</v>
          </cell>
          <cell r="EY108">
            <v>15</v>
          </cell>
          <cell r="EZ108">
            <v>68.8</v>
          </cell>
          <cell r="FA108">
            <v>22</v>
          </cell>
          <cell r="FB108">
            <v>9</v>
          </cell>
          <cell r="FC108">
            <v>71</v>
          </cell>
          <cell r="FD108">
            <v>8</v>
          </cell>
          <cell r="FE108">
            <v>1</v>
          </cell>
          <cell r="FF108">
            <v>88.9</v>
          </cell>
          <cell r="FG108">
            <v>3</v>
          </cell>
          <cell r="FH108">
            <v>2</v>
          </cell>
          <cell r="FI108">
            <v>60</v>
          </cell>
          <cell r="FJ108">
            <v>12</v>
          </cell>
          <cell r="FK108">
            <v>12</v>
          </cell>
          <cell r="FL108">
            <v>100</v>
          </cell>
          <cell r="FM108">
            <v>6</v>
          </cell>
          <cell r="FN108">
            <v>6</v>
          </cell>
          <cell r="FO108">
            <v>100</v>
          </cell>
          <cell r="FP108">
            <v>100</v>
          </cell>
          <cell r="FQ108">
            <v>100</v>
          </cell>
          <cell r="FR108" t="str">
            <v>-</v>
          </cell>
          <cell r="FS108">
            <v>100</v>
          </cell>
          <cell r="FT108">
            <v>100</v>
          </cell>
          <cell r="FU108" t="str">
            <v>-</v>
          </cell>
          <cell r="FV108">
            <v>100</v>
          </cell>
          <cell r="FW108">
            <v>100</v>
          </cell>
          <cell r="FX108" t="str">
            <v>-</v>
          </cell>
          <cell r="FY108">
            <v>100</v>
          </cell>
          <cell r="FZ108">
            <v>100</v>
          </cell>
          <cell r="GA108" t="str">
            <v>-</v>
          </cell>
          <cell r="GB108">
            <v>100</v>
          </cell>
          <cell r="GC108">
            <v>100</v>
          </cell>
          <cell r="GD108" t="str">
            <v>-</v>
          </cell>
          <cell r="GE108">
            <v>100</v>
          </cell>
          <cell r="GF108">
            <v>100</v>
          </cell>
          <cell r="GG108" t="str">
            <v>-</v>
          </cell>
          <cell r="GH108">
            <v>100</v>
          </cell>
          <cell r="GI108">
            <v>100</v>
          </cell>
          <cell r="GJ108" t="str">
            <v>-</v>
          </cell>
          <cell r="GK108">
            <v>100</v>
          </cell>
          <cell r="GL108">
            <v>100</v>
          </cell>
          <cell r="GM108" t="str">
            <v>-</v>
          </cell>
          <cell r="GN108">
            <v>34</v>
          </cell>
          <cell r="GO108">
            <v>3</v>
          </cell>
          <cell r="GP108">
            <v>91.9</v>
          </cell>
          <cell r="GQ108">
            <v>58</v>
          </cell>
          <cell r="GR108">
            <v>12</v>
          </cell>
          <cell r="GS108">
            <v>82.9</v>
          </cell>
          <cell r="GT108">
            <v>68</v>
          </cell>
          <cell r="GU108">
            <v>21</v>
          </cell>
          <cell r="GV108">
            <v>76.400000000000006</v>
          </cell>
          <cell r="GW108">
            <v>43</v>
          </cell>
          <cell r="GX108">
            <v>14</v>
          </cell>
          <cell r="GY108">
            <v>75.400000000000006</v>
          </cell>
          <cell r="GZ108">
            <v>41</v>
          </cell>
          <cell r="HA108">
            <v>24</v>
          </cell>
          <cell r="HB108">
            <v>63.1</v>
          </cell>
          <cell r="HC108">
            <v>28</v>
          </cell>
          <cell r="HD108">
            <v>11</v>
          </cell>
          <cell r="HE108">
            <v>71.8</v>
          </cell>
          <cell r="HF108">
            <v>15</v>
          </cell>
          <cell r="HG108">
            <v>7</v>
          </cell>
          <cell r="HH108">
            <v>68.2</v>
          </cell>
          <cell r="HI108">
            <v>28</v>
          </cell>
          <cell r="HJ108">
            <v>3</v>
          </cell>
          <cell r="HK108">
            <v>90.3</v>
          </cell>
          <cell r="HL108">
            <v>4</v>
          </cell>
          <cell r="HM108">
            <v>2</v>
          </cell>
          <cell r="HN108">
            <v>66.7</v>
          </cell>
          <cell r="HO108">
            <v>1</v>
          </cell>
          <cell r="HP108">
            <v>1</v>
          </cell>
          <cell r="HQ108">
            <v>50</v>
          </cell>
          <cell r="HR108">
            <v>8</v>
          </cell>
          <cell r="HS108">
            <v>5</v>
          </cell>
          <cell r="HT108">
            <v>61.5</v>
          </cell>
          <cell r="HU108">
            <v>61.5</v>
          </cell>
          <cell r="HV108">
            <v>5</v>
          </cell>
          <cell r="HW108">
            <v>0</v>
          </cell>
          <cell r="HX108">
            <v>1</v>
          </cell>
          <cell r="HY108">
            <v>2</v>
          </cell>
          <cell r="HZ108">
            <v>33.299999999999997</v>
          </cell>
          <cell r="IA108">
            <v>3</v>
          </cell>
          <cell r="IB108">
            <v>2</v>
          </cell>
          <cell r="IC108">
            <v>60</v>
          </cell>
          <cell r="ID108">
            <v>60</v>
          </cell>
          <cell r="IE108">
            <v>3</v>
          </cell>
          <cell r="IF108">
            <v>0</v>
          </cell>
          <cell r="IG108">
            <v>1</v>
          </cell>
          <cell r="IH108">
            <v>2</v>
          </cell>
          <cell r="II108">
            <v>33.299999999999997</v>
          </cell>
          <cell r="IJ108">
            <v>3</v>
          </cell>
          <cell r="IK108">
            <v>2</v>
          </cell>
          <cell r="IL108">
            <v>60</v>
          </cell>
          <cell r="IM108">
            <v>10</v>
          </cell>
          <cell r="IN108">
            <v>6</v>
          </cell>
          <cell r="IO108">
            <v>62.5</v>
          </cell>
          <cell r="IP108">
            <v>2</v>
          </cell>
          <cell r="IQ108">
            <v>4</v>
          </cell>
          <cell r="IR108">
            <v>33.299999999999997</v>
          </cell>
          <cell r="IS108">
            <v>1</v>
          </cell>
          <cell r="IT108">
            <v>2</v>
          </cell>
          <cell r="IU108">
            <v>33.299999999999997</v>
          </cell>
          <cell r="IV108">
            <v>33.29998779296875</v>
          </cell>
          <cell r="IW108">
            <v>33.29998779296875</v>
          </cell>
          <cell r="IX108" t="str">
            <v>-</v>
          </cell>
          <cell r="IY108">
            <v>1</v>
          </cell>
          <cell r="IZ108">
            <v>1</v>
          </cell>
          <cell r="JA108">
            <v>100</v>
          </cell>
          <cell r="JB108">
            <v>6</v>
          </cell>
          <cell r="JC108">
            <v>3</v>
          </cell>
          <cell r="JD108">
            <v>66.7</v>
          </cell>
          <cell r="JE108">
            <v>10</v>
          </cell>
          <cell r="JF108">
            <v>10</v>
          </cell>
          <cell r="JG108">
            <v>100</v>
          </cell>
          <cell r="JH108">
            <v>0</v>
          </cell>
          <cell r="JI108">
            <v>0</v>
          </cell>
          <cell r="JJ108" t="str">
            <v>-</v>
          </cell>
          <cell r="JK108">
            <v>0</v>
          </cell>
          <cell r="JL108">
            <v>0</v>
          </cell>
          <cell r="JM108" t="str">
            <v>-</v>
          </cell>
          <cell r="JN108">
            <v>0</v>
          </cell>
          <cell r="JO108">
            <v>0</v>
          </cell>
          <cell r="JP108" t="str">
            <v>-</v>
          </cell>
          <cell r="JQ108">
            <v>268</v>
          </cell>
          <cell r="JR108">
            <v>105</v>
          </cell>
          <cell r="JS108">
            <v>71.849865951742629</v>
          </cell>
          <cell r="JT108">
            <v>168</v>
          </cell>
          <cell r="JU108">
            <v>91</v>
          </cell>
          <cell r="JV108">
            <v>64.86486486486487</v>
          </cell>
          <cell r="JW108">
            <v>0</v>
          </cell>
          <cell r="JX108">
            <v>0</v>
          </cell>
          <cell r="JY108" t="str">
            <v>-</v>
          </cell>
          <cell r="JZ108">
            <v>51</v>
          </cell>
          <cell r="KA108">
            <v>12</v>
          </cell>
          <cell r="KB108">
            <v>80.952380952380949</v>
          </cell>
          <cell r="KC108">
            <v>0</v>
          </cell>
          <cell r="KD108">
            <v>0</v>
          </cell>
          <cell r="KE108" t="str">
            <v>-</v>
          </cell>
          <cell r="KF108">
            <v>155</v>
          </cell>
          <cell r="KG108">
            <v>59</v>
          </cell>
          <cell r="KH108">
            <v>72.429906542056074</v>
          </cell>
          <cell r="KI108">
            <v>5</v>
          </cell>
          <cell r="KJ108">
            <v>14</v>
          </cell>
          <cell r="KK108">
            <v>26.315789473684209</v>
          </cell>
          <cell r="KL108">
            <v>18</v>
          </cell>
          <cell r="KM108">
            <v>5</v>
          </cell>
          <cell r="KN108">
            <v>78.260869565217391</v>
          </cell>
        </row>
        <row r="109">
          <cell r="C109" t="str">
            <v>Dorogi Rendőrkapitányság</v>
          </cell>
          <cell r="D109">
            <v>78.2608642578125</v>
          </cell>
          <cell r="E109">
            <v>78.2608642578125</v>
          </cell>
          <cell r="F109" t="str">
            <v>-</v>
          </cell>
          <cell r="G109">
            <v>78.2608642578125</v>
          </cell>
          <cell r="H109">
            <v>78.2608642578125</v>
          </cell>
          <cell r="I109" t="str">
            <v>-</v>
          </cell>
          <cell r="J109">
            <v>78.2608642578125</v>
          </cell>
          <cell r="K109">
            <v>78.2608642578125</v>
          </cell>
          <cell r="L109" t="str">
            <v>-</v>
          </cell>
          <cell r="M109">
            <v>78.2608642578125</v>
          </cell>
          <cell r="N109">
            <v>78.2608642578125</v>
          </cell>
          <cell r="O109" t="str">
            <v>-</v>
          </cell>
          <cell r="P109">
            <v>78.2608642578125</v>
          </cell>
          <cell r="Q109">
            <v>78.2608642578125</v>
          </cell>
          <cell r="R109" t="str">
            <v>-</v>
          </cell>
          <cell r="S109">
            <v>78.2608642578125</v>
          </cell>
          <cell r="T109">
            <v>78.2608642578125</v>
          </cell>
          <cell r="U109" t="str">
            <v>-</v>
          </cell>
          <cell r="V109">
            <v>78.2608642578125</v>
          </cell>
          <cell r="W109">
            <v>78.2608642578125</v>
          </cell>
          <cell r="X109" t="str">
            <v>-</v>
          </cell>
          <cell r="Y109">
            <v>78.2608642578125</v>
          </cell>
          <cell r="Z109">
            <v>78.2608642578125</v>
          </cell>
          <cell r="AA109" t="str">
            <v>-</v>
          </cell>
          <cell r="AB109">
            <v>78.2608642578125</v>
          </cell>
          <cell r="AC109">
            <v>78.2608642578125</v>
          </cell>
          <cell r="AD109" t="str">
            <v>-</v>
          </cell>
          <cell r="AE109">
            <v>78.2608642578125</v>
          </cell>
          <cell r="AF109">
            <v>78.2608642578125</v>
          </cell>
          <cell r="AG109" t="str">
            <v>-</v>
          </cell>
          <cell r="AH109">
            <v>78.2608642578125</v>
          </cell>
          <cell r="AI109">
            <v>78.2608642578125</v>
          </cell>
          <cell r="AJ109" t="str">
            <v>-</v>
          </cell>
          <cell r="AK109">
            <v>78.2608642578125</v>
          </cell>
          <cell r="AL109">
            <v>78.2608642578125</v>
          </cell>
          <cell r="AM109" t="str">
            <v>-</v>
          </cell>
          <cell r="AN109">
            <v>78.2608642578125</v>
          </cell>
          <cell r="AO109">
            <v>78.2608642578125</v>
          </cell>
          <cell r="AP109" t="str">
            <v>-</v>
          </cell>
          <cell r="AQ109">
            <v>78.2608642578125</v>
          </cell>
          <cell r="AR109">
            <v>78.2608642578125</v>
          </cell>
          <cell r="AS109" t="str">
            <v>-</v>
          </cell>
          <cell r="AT109">
            <v>78.2608642578125</v>
          </cell>
          <cell r="AU109">
            <v>78.2608642578125</v>
          </cell>
          <cell r="AV109" t="str">
            <v>-</v>
          </cell>
          <cell r="AW109">
            <v>78.2608642578125</v>
          </cell>
          <cell r="AX109">
            <v>78.2608642578125</v>
          </cell>
          <cell r="AY109" t="str">
            <v>-</v>
          </cell>
          <cell r="AZ109">
            <v>78.2608642578125</v>
          </cell>
          <cell r="BA109">
            <v>78.2608642578125</v>
          </cell>
          <cell r="BB109" t="str">
            <v>-</v>
          </cell>
          <cell r="BC109">
            <v>78.2608642578125</v>
          </cell>
          <cell r="BD109">
            <v>78.2608642578125</v>
          </cell>
          <cell r="BE109" t="str">
            <v>-</v>
          </cell>
          <cell r="BF109">
            <v>78.2608642578125</v>
          </cell>
          <cell r="BG109">
            <v>78.2608642578125</v>
          </cell>
          <cell r="BH109" t="str">
            <v>-</v>
          </cell>
          <cell r="BI109">
            <v>78.2608642578125</v>
          </cell>
          <cell r="BJ109">
            <v>78.2608642578125</v>
          </cell>
          <cell r="BK109" t="str">
            <v>-</v>
          </cell>
          <cell r="BL109">
            <v>78.2608642578125</v>
          </cell>
          <cell r="BM109">
            <v>78.2608642578125</v>
          </cell>
          <cell r="BN109" t="str">
            <v>-</v>
          </cell>
          <cell r="BO109">
            <v>78.2608642578125</v>
          </cell>
          <cell r="BP109">
            <v>78.2608642578125</v>
          </cell>
          <cell r="BQ109" t="str">
            <v>-</v>
          </cell>
          <cell r="BR109">
            <v>78.2608642578125</v>
          </cell>
          <cell r="BS109">
            <v>78.2608642578125</v>
          </cell>
          <cell r="BT109" t="str">
            <v>-</v>
          </cell>
          <cell r="BU109">
            <v>78.2608642578125</v>
          </cell>
          <cell r="BV109">
            <v>78.2608642578125</v>
          </cell>
          <cell r="BW109" t="str">
            <v>-</v>
          </cell>
          <cell r="BX109">
            <v>47</v>
          </cell>
          <cell r="BY109">
            <v>7</v>
          </cell>
          <cell r="BZ109">
            <v>87</v>
          </cell>
          <cell r="CA109">
            <v>41</v>
          </cell>
          <cell r="CB109">
            <v>3</v>
          </cell>
          <cell r="CC109">
            <v>93.2</v>
          </cell>
          <cell r="CD109">
            <v>26</v>
          </cell>
          <cell r="CE109">
            <v>6</v>
          </cell>
          <cell r="CF109">
            <v>81.3</v>
          </cell>
          <cell r="CG109">
            <v>37</v>
          </cell>
          <cell r="CH109">
            <v>7</v>
          </cell>
          <cell r="CI109">
            <v>84.1</v>
          </cell>
          <cell r="CJ109">
            <v>32</v>
          </cell>
          <cell r="CK109">
            <v>12</v>
          </cell>
          <cell r="CL109">
            <v>72.7</v>
          </cell>
          <cell r="CM109">
            <v>28</v>
          </cell>
          <cell r="CN109">
            <v>11</v>
          </cell>
          <cell r="CO109">
            <v>71.8</v>
          </cell>
          <cell r="CP109">
            <v>25</v>
          </cell>
          <cell r="CQ109">
            <v>8</v>
          </cell>
          <cell r="CR109">
            <v>75.8</v>
          </cell>
          <cell r="CS109">
            <v>27</v>
          </cell>
          <cell r="CT109">
            <v>6</v>
          </cell>
          <cell r="CU109">
            <v>81.8</v>
          </cell>
          <cell r="CV109">
            <v>29</v>
          </cell>
          <cell r="CW109">
            <v>6</v>
          </cell>
          <cell r="CX109">
            <v>82.9</v>
          </cell>
          <cell r="CY109">
            <v>16</v>
          </cell>
          <cell r="CZ109">
            <v>16</v>
          </cell>
          <cell r="DA109">
            <v>100</v>
          </cell>
          <cell r="DB109">
            <v>9</v>
          </cell>
          <cell r="DC109">
            <v>6</v>
          </cell>
          <cell r="DD109">
            <v>60</v>
          </cell>
          <cell r="DE109">
            <v>19</v>
          </cell>
          <cell r="DF109">
            <v>5</v>
          </cell>
          <cell r="DG109">
            <v>79.2</v>
          </cell>
          <cell r="DH109">
            <v>21</v>
          </cell>
          <cell r="DI109">
            <v>8</v>
          </cell>
          <cell r="DJ109">
            <v>72.400000000000006</v>
          </cell>
          <cell r="DK109">
            <v>15</v>
          </cell>
          <cell r="DL109">
            <v>7</v>
          </cell>
          <cell r="DM109">
            <v>68.2</v>
          </cell>
          <cell r="DN109">
            <v>19</v>
          </cell>
          <cell r="DO109">
            <v>5</v>
          </cell>
          <cell r="DP109">
            <v>79.2</v>
          </cell>
          <cell r="DQ109">
            <v>15</v>
          </cell>
          <cell r="DR109">
            <v>5</v>
          </cell>
          <cell r="DS109">
            <v>75</v>
          </cell>
          <cell r="DT109">
            <v>75</v>
          </cell>
          <cell r="DU109">
            <v>75</v>
          </cell>
          <cell r="DV109" t="str">
            <v>-</v>
          </cell>
          <cell r="DW109">
            <v>75</v>
          </cell>
          <cell r="DX109">
            <v>75</v>
          </cell>
          <cell r="DY109" t="str">
            <v>-</v>
          </cell>
          <cell r="DZ109">
            <v>75</v>
          </cell>
          <cell r="EA109">
            <v>75</v>
          </cell>
          <cell r="EB109" t="str">
            <v>-</v>
          </cell>
          <cell r="EC109">
            <v>75</v>
          </cell>
          <cell r="ED109">
            <v>75</v>
          </cell>
          <cell r="EE109" t="str">
            <v>-</v>
          </cell>
          <cell r="EF109">
            <v>75</v>
          </cell>
          <cell r="EG109">
            <v>75</v>
          </cell>
          <cell r="EH109" t="str">
            <v>-</v>
          </cell>
          <cell r="EI109">
            <v>75</v>
          </cell>
          <cell r="EJ109">
            <v>75</v>
          </cell>
          <cell r="EK109" t="str">
            <v>-</v>
          </cell>
          <cell r="EL109">
            <v>75</v>
          </cell>
          <cell r="EM109">
            <v>75</v>
          </cell>
          <cell r="EN109" t="str">
            <v>-</v>
          </cell>
          <cell r="EO109">
            <v>75</v>
          </cell>
          <cell r="EP109">
            <v>75</v>
          </cell>
          <cell r="EQ109" t="str">
            <v>-</v>
          </cell>
          <cell r="ER109">
            <v>14</v>
          </cell>
          <cell r="ES109">
            <v>1</v>
          </cell>
          <cell r="ET109">
            <v>93.3</v>
          </cell>
          <cell r="EU109">
            <v>8</v>
          </cell>
          <cell r="EV109">
            <v>8</v>
          </cell>
          <cell r="EW109">
            <v>100</v>
          </cell>
          <cell r="EX109">
            <v>9</v>
          </cell>
          <cell r="EY109">
            <v>5</v>
          </cell>
          <cell r="EZ109">
            <v>64.3</v>
          </cell>
          <cell r="FA109">
            <v>64.29998779296875</v>
          </cell>
          <cell r="FB109">
            <v>64.29998779296875</v>
          </cell>
          <cell r="FC109" t="str">
            <v>-</v>
          </cell>
          <cell r="FD109">
            <v>1</v>
          </cell>
          <cell r="FE109">
            <v>5</v>
          </cell>
          <cell r="FF109">
            <v>16.7</v>
          </cell>
          <cell r="FG109">
            <v>1</v>
          </cell>
          <cell r="FH109">
            <v>1</v>
          </cell>
          <cell r="FI109">
            <v>50</v>
          </cell>
          <cell r="FJ109">
            <v>4</v>
          </cell>
          <cell r="FK109">
            <v>1</v>
          </cell>
          <cell r="FL109">
            <v>80</v>
          </cell>
          <cell r="FM109">
            <v>2</v>
          </cell>
          <cell r="FN109">
            <v>2</v>
          </cell>
          <cell r="FO109">
            <v>50</v>
          </cell>
          <cell r="FP109">
            <v>50</v>
          </cell>
          <cell r="FQ109">
            <v>50</v>
          </cell>
          <cell r="FR109" t="str">
            <v>-</v>
          </cell>
          <cell r="FS109">
            <v>50</v>
          </cell>
          <cell r="FT109">
            <v>50</v>
          </cell>
          <cell r="FU109" t="str">
            <v>-</v>
          </cell>
          <cell r="FV109">
            <v>50</v>
          </cell>
          <cell r="FW109">
            <v>50</v>
          </cell>
          <cell r="FX109" t="str">
            <v>-</v>
          </cell>
          <cell r="FY109">
            <v>50</v>
          </cell>
          <cell r="FZ109">
            <v>50</v>
          </cell>
          <cell r="GA109" t="str">
            <v>-</v>
          </cell>
          <cell r="GB109">
            <v>50</v>
          </cell>
          <cell r="GC109">
            <v>50</v>
          </cell>
          <cell r="GD109" t="str">
            <v>-</v>
          </cell>
          <cell r="GE109">
            <v>50</v>
          </cell>
          <cell r="GF109">
            <v>50</v>
          </cell>
          <cell r="GG109" t="str">
            <v>-</v>
          </cell>
          <cell r="GH109">
            <v>50</v>
          </cell>
          <cell r="GI109">
            <v>50</v>
          </cell>
          <cell r="GJ109" t="str">
            <v>-</v>
          </cell>
          <cell r="GK109">
            <v>50</v>
          </cell>
          <cell r="GL109">
            <v>50</v>
          </cell>
          <cell r="GM109" t="str">
            <v>-</v>
          </cell>
          <cell r="GN109">
            <v>31</v>
          </cell>
          <cell r="GO109">
            <v>4</v>
          </cell>
          <cell r="GP109">
            <v>88.6</v>
          </cell>
          <cell r="GQ109">
            <v>46</v>
          </cell>
          <cell r="GR109">
            <v>6</v>
          </cell>
          <cell r="GS109">
            <v>88.5</v>
          </cell>
          <cell r="GT109">
            <v>33</v>
          </cell>
          <cell r="GU109">
            <v>8</v>
          </cell>
          <cell r="GV109">
            <v>80.5</v>
          </cell>
          <cell r="GW109">
            <v>38</v>
          </cell>
          <cell r="GX109">
            <v>5</v>
          </cell>
          <cell r="GY109">
            <v>88.4</v>
          </cell>
          <cell r="GZ109">
            <v>41</v>
          </cell>
          <cell r="HA109">
            <v>9</v>
          </cell>
          <cell r="HB109">
            <v>82</v>
          </cell>
          <cell r="HC109">
            <v>26</v>
          </cell>
          <cell r="HD109">
            <v>9</v>
          </cell>
          <cell r="HE109">
            <v>74.3</v>
          </cell>
          <cell r="HF109">
            <v>24</v>
          </cell>
          <cell r="HG109">
            <v>6</v>
          </cell>
          <cell r="HH109">
            <v>80</v>
          </cell>
          <cell r="HI109">
            <v>19</v>
          </cell>
          <cell r="HJ109">
            <v>9</v>
          </cell>
          <cell r="HK109">
            <v>67.900000000000006</v>
          </cell>
          <cell r="HL109">
            <v>3</v>
          </cell>
          <cell r="HM109">
            <v>3</v>
          </cell>
          <cell r="HN109">
            <v>100</v>
          </cell>
          <cell r="HO109">
            <v>7</v>
          </cell>
          <cell r="HP109">
            <v>7</v>
          </cell>
          <cell r="HQ109">
            <v>100</v>
          </cell>
          <cell r="HR109">
            <v>5</v>
          </cell>
          <cell r="HS109">
            <v>2</v>
          </cell>
          <cell r="HT109">
            <v>71.400000000000006</v>
          </cell>
          <cell r="HU109">
            <v>3</v>
          </cell>
          <cell r="HV109">
            <v>3</v>
          </cell>
          <cell r="HW109">
            <v>50</v>
          </cell>
          <cell r="HX109">
            <v>3</v>
          </cell>
          <cell r="HY109">
            <v>3</v>
          </cell>
          <cell r="HZ109">
            <v>100</v>
          </cell>
          <cell r="IA109">
            <v>4</v>
          </cell>
          <cell r="IB109">
            <v>2</v>
          </cell>
          <cell r="IC109">
            <v>66.7</v>
          </cell>
          <cell r="ID109">
            <v>1</v>
          </cell>
          <cell r="IE109">
            <v>1</v>
          </cell>
          <cell r="IF109">
            <v>100</v>
          </cell>
          <cell r="IG109">
            <v>1</v>
          </cell>
          <cell r="IH109">
            <v>2</v>
          </cell>
          <cell r="II109">
            <v>33.299999999999997</v>
          </cell>
          <cell r="IJ109">
            <v>7</v>
          </cell>
          <cell r="IK109">
            <v>7</v>
          </cell>
          <cell r="IL109">
            <v>100</v>
          </cell>
          <cell r="IM109">
            <v>3</v>
          </cell>
          <cell r="IN109">
            <v>3</v>
          </cell>
          <cell r="IO109">
            <v>100</v>
          </cell>
          <cell r="IP109">
            <v>5</v>
          </cell>
          <cell r="IQ109">
            <v>5</v>
          </cell>
          <cell r="IR109">
            <v>100</v>
          </cell>
          <cell r="IS109">
            <v>100</v>
          </cell>
          <cell r="IT109">
            <v>100</v>
          </cell>
          <cell r="IU109" t="str">
            <v>-</v>
          </cell>
          <cell r="IV109">
            <v>5</v>
          </cell>
          <cell r="IW109">
            <v>5</v>
          </cell>
          <cell r="IX109">
            <v>100</v>
          </cell>
          <cell r="IY109">
            <v>1</v>
          </cell>
          <cell r="IZ109">
            <v>1</v>
          </cell>
          <cell r="JA109">
            <v>100</v>
          </cell>
          <cell r="JB109">
            <v>100</v>
          </cell>
          <cell r="JC109">
            <v>100</v>
          </cell>
          <cell r="JD109" t="str">
            <v>-</v>
          </cell>
          <cell r="JE109">
            <v>3</v>
          </cell>
          <cell r="JF109">
            <v>3</v>
          </cell>
          <cell r="JG109">
            <v>100</v>
          </cell>
          <cell r="JH109">
            <v>0</v>
          </cell>
          <cell r="JI109">
            <v>0</v>
          </cell>
          <cell r="JJ109" t="str">
            <v>-</v>
          </cell>
          <cell r="JK109">
            <v>0</v>
          </cell>
          <cell r="JL109">
            <v>0</v>
          </cell>
          <cell r="JM109" t="str">
            <v>-</v>
          </cell>
          <cell r="JN109">
            <v>0</v>
          </cell>
          <cell r="JO109">
            <v>0</v>
          </cell>
          <cell r="JP109" t="str">
            <v>-</v>
          </cell>
          <cell r="JQ109">
            <v>149</v>
          </cell>
          <cell r="JR109">
            <v>44</v>
          </cell>
          <cell r="JS109">
            <v>77.202072538860094</v>
          </cell>
          <cell r="JT109">
            <v>89</v>
          </cell>
          <cell r="JU109">
            <v>30</v>
          </cell>
          <cell r="JV109">
            <v>74.789915966386559</v>
          </cell>
          <cell r="JW109">
            <v>0</v>
          </cell>
          <cell r="JX109">
            <v>0</v>
          </cell>
          <cell r="JY109" t="str">
            <v>-</v>
          </cell>
          <cell r="JZ109">
            <v>8</v>
          </cell>
          <cell r="KA109">
            <v>9</v>
          </cell>
          <cell r="KB109">
            <v>47.058823529411761</v>
          </cell>
          <cell r="KC109">
            <v>0</v>
          </cell>
          <cell r="KD109">
            <v>0</v>
          </cell>
          <cell r="KE109" t="str">
            <v>-</v>
          </cell>
          <cell r="KF109">
            <v>148</v>
          </cell>
          <cell r="KG109">
            <v>38</v>
          </cell>
          <cell r="KH109">
            <v>79.569892473118273</v>
          </cell>
          <cell r="KI109">
            <v>12</v>
          </cell>
          <cell r="KJ109">
            <v>7</v>
          </cell>
          <cell r="KK109">
            <v>63.157894736842103</v>
          </cell>
          <cell r="KL109">
            <v>9</v>
          </cell>
          <cell r="KM109">
            <v>0</v>
          </cell>
          <cell r="KN109">
            <v>100</v>
          </cell>
        </row>
        <row r="110">
          <cell r="C110" t="str">
            <v>Komáromi Rendőrkapitányság</v>
          </cell>
          <cell r="D110">
            <v>100</v>
          </cell>
          <cell r="E110">
            <v>100</v>
          </cell>
          <cell r="F110" t="str">
            <v>-</v>
          </cell>
          <cell r="G110">
            <v>100</v>
          </cell>
          <cell r="H110">
            <v>100</v>
          </cell>
          <cell r="I110" t="str">
            <v>-</v>
          </cell>
          <cell r="J110">
            <v>100</v>
          </cell>
          <cell r="K110">
            <v>100</v>
          </cell>
          <cell r="L110" t="str">
            <v>-</v>
          </cell>
          <cell r="M110">
            <v>100</v>
          </cell>
          <cell r="N110">
            <v>100</v>
          </cell>
          <cell r="O110" t="str">
            <v>-</v>
          </cell>
          <cell r="P110">
            <v>100</v>
          </cell>
          <cell r="Q110">
            <v>100</v>
          </cell>
          <cell r="R110" t="str">
            <v>-</v>
          </cell>
          <cell r="S110">
            <v>100</v>
          </cell>
          <cell r="T110">
            <v>100</v>
          </cell>
          <cell r="U110" t="str">
            <v>-</v>
          </cell>
          <cell r="V110">
            <v>100</v>
          </cell>
          <cell r="W110">
            <v>100</v>
          </cell>
          <cell r="X110" t="str">
            <v>-</v>
          </cell>
          <cell r="Y110">
            <v>100</v>
          </cell>
          <cell r="Z110">
            <v>100</v>
          </cell>
          <cell r="AA110" t="str">
            <v>-</v>
          </cell>
          <cell r="AB110">
            <v>100</v>
          </cell>
          <cell r="AC110">
            <v>100</v>
          </cell>
          <cell r="AD110" t="str">
            <v>-</v>
          </cell>
          <cell r="AE110">
            <v>100</v>
          </cell>
          <cell r="AF110">
            <v>100</v>
          </cell>
          <cell r="AG110" t="str">
            <v>-</v>
          </cell>
          <cell r="AH110">
            <v>100</v>
          </cell>
          <cell r="AI110">
            <v>100</v>
          </cell>
          <cell r="AJ110" t="str">
            <v>-</v>
          </cell>
          <cell r="AK110">
            <v>100</v>
          </cell>
          <cell r="AL110">
            <v>100</v>
          </cell>
          <cell r="AM110" t="str">
            <v>-</v>
          </cell>
          <cell r="AN110">
            <v>100</v>
          </cell>
          <cell r="AO110">
            <v>100</v>
          </cell>
          <cell r="AP110" t="str">
            <v>-</v>
          </cell>
          <cell r="AQ110">
            <v>100</v>
          </cell>
          <cell r="AR110">
            <v>100</v>
          </cell>
          <cell r="AS110" t="str">
            <v>-</v>
          </cell>
          <cell r="AT110">
            <v>100</v>
          </cell>
          <cell r="AU110">
            <v>100</v>
          </cell>
          <cell r="AV110" t="str">
            <v>-</v>
          </cell>
          <cell r="AW110">
            <v>100</v>
          </cell>
          <cell r="AX110">
            <v>100</v>
          </cell>
          <cell r="AY110" t="str">
            <v>-</v>
          </cell>
          <cell r="AZ110">
            <v>100</v>
          </cell>
          <cell r="BA110">
            <v>100</v>
          </cell>
          <cell r="BB110" t="str">
            <v>-</v>
          </cell>
          <cell r="BC110">
            <v>100</v>
          </cell>
          <cell r="BD110">
            <v>100</v>
          </cell>
          <cell r="BE110" t="str">
            <v>-</v>
          </cell>
          <cell r="BF110">
            <v>100</v>
          </cell>
          <cell r="BG110">
            <v>100</v>
          </cell>
          <cell r="BH110" t="str">
            <v>-</v>
          </cell>
          <cell r="BI110">
            <v>100</v>
          </cell>
          <cell r="BJ110">
            <v>100</v>
          </cell>
          <cell r="BK110" t="str">
            <v>-</v>
          </cell>
          <cell r="BL110">
            <v>100</v>
          </cell>
          <cell r="BM110">
            <v>100</v>
          </cell>
          <cell r="BN110" t="str">
            <v>-</v>
          </cell>
          <cell r="BO110">
            <v>100</v>
          </cell>
          <cell r="BP110">
            <v>100</v>
          </cell>
          <cell r="BQ110" t="str">
            <v>-</v>
          </cell>
          <cell r="BR110">
            <v>100</v>
          </cell>
          <cell r="BS110">
            <v>100</v>
          </cell>
          <cell r="BT110" t="str">
            <v>-</v>
          </cell>
          <cell r="BU110">
            <v>100</v>
          </cell>
          <cell r="BV110">
            <v>100</v>
          </cell>
          <cell r="BW110" t="str">
            <v>-</v>
          </cell>
          <cell r="BX110">
            <v>40</v>
          </cell>
          <cell r="BY110">
            <v>11</v>
          </cell>
          <cell r="BZ110">
            <v>78.400000000000006</v>
          </cell>
          <cell r="CA110">
            <v>32</v>
          </cell>
          <cell r="CB110">
            <v>6</v>
          </cell>
          <cell r="CC110">
            <v>84.2</v>
          </cell>
          <cell r="CD110">
            <v>52</v>
          </cell>
          <cell r="CE110">
            <v>14</v>
          </cell>
          <cell r="CF110">
            <v>78.8</v>
          </cell>
          <cell r="CG110">
            <v>43</v>
          </cell>
          <cell r="CH110">
            <v>8</v>
          </cell>
          <cell r="CI110">
            <v>84.3</v>
          </cell>
          <cell r="CJ110">
            <v>61</v>
          </cell>
          <cell r="CK110">
            <v>7</v>
          </cell>
          <cell r="CL110">
            <v>89.7</v>
          </cell>
          <cell r="CM110">
            <v>50</v>
          </cell>
          <cell r="CN110">
            <v>7</v>
          </cell>
          <cell r="CO110">
            <v>87.7</v>
          </cell>
          <cell r="CP110">
            <v>40</v>
          </cell>
          <cell r="CQ110">
            <v>5</v>
          </cell>
          <cell r="CR110">
            <v>88.9</v>
          </cell>
          <cell r="CS110">
            <v>53</v>
          </cell>
          <cell r="CT110">
            <v>53</v>
          </cell>
          <cell r="CU110">
            <v>100</v>
          </cell>
          <cell r="CV110">
            <v>22</v>
          </cell>
          <cell r="CW110">
            <v>11</v>
          </cell>
          <cell r="CX110">
            <v>66.7</v>
          </cell>
          <cell r="CY110">
            <v>22</v>
          </cell>
          <cell r="CZ110">
            <v>5</v>
          </cell>
          <cell r="DA110">
            <v>81.5</v>
          </cell>
          <cell r="DB110">
            <v>29</v>
          </cell>
          <cell r="DC110">
            <v>7</v>
          </cell>
          <cell r="DD110">
            <v>80.599999999999994</v>
          </cell>
          <cell r="DE110">
            <v>25</v>
          </cell>
          <cell r="DF110">
            <v>7</v>
          </cell>
          <cell r="DG110">
            <v>78.099999999999994</v>
          </cell>
          <cell r="DH110">
            <v>36</v>
          </cell>
          <cell r="DI110">
            <v>7</v>
          </cell>
          <cell r="DJ110">
            <v>83.7</v>
          </cell>
          <cell r="DK110">
            <v>28</v>
          </cell>
          <cell r="DL110">
            <v>6</v>
          </cell>
          <cell r="DM110">
            <v>82.4</v>
          </cell>
          <cell r="DN110">
            <v>25</v>
          </cell>
          <cell r="DO110">
            <v>2</v>
          </cell>
          <cell r="DP110">
            <v>92.6</v>
          </cell>
          <cell r="DQ110">
            <v>23</v>
          </cell>
          <cell r="DR110">
            <v>23</v>
          </cell>
          <cell r="DS110">
            <v>100</v>
          </cell>
          <cell r="DT110">
            <v>100</v>
          </cell>
          <cell r="DU110">
            <v>100</v>
          </cell>
          <cell r="DV110" t="str">
            <v>-</v>
          </cell>
          <cell r="DW110">
            <v>100</v>
          </cell>
          <cell r="DX110">
            <v>100</v>
          </cell>
          <cell r="DY110" t="str">
            <v>-</v>
          </cell>
          <cell r="DZ110">
            <v>100</v>
          </cell>
          <cell r="EA110">
            <v>100</v>
          </cell>
          <cell r="EB110" t="str">
            <v>-</v>
          </cell>
          <cell r="EC110">
            <v>100</v>
          </cell>
          <cell r="ED110">
            <v>100</v>
          </cell>
          <cell r="EE110" t="str">
            <v>-</v>
          </cell>
          <cell r="EF110">
            <v>100</v>
          </cell>
          <cell r="EG110">
            <v>100</v>
          </cell>
          <cell r="EH110" t="str">
            <v>-</v>
          </cell>
          <cell r="EI110">
            <v>100</v>
          </cell>
          <cell r="EJ110">
            <v>100</v>
          </cell>
          <cell r="EK110" t="str">
            <v>-</v>
          </cell>
          <cell r="EL110">
            <v>100</v>
          </cell>
          <cell r="EM110">
            <v>100</v>
          </cell>
          <cell r="EN110" t="str">
            <v>-</v>
          </cell>
          <cell r="EO110">
            <v>100</v>
          </cell>
          <cell r="EP110">
            <v>100</v>
          </cell>
          <cell r="EQ110" t="str">
            <v>-</v>
          </cell>
          <cell r="ER110">
            <v>29</v>
          </cell>
          <cell r="ES110">
            <v>4</v>
          </cell>
          <cell r="ET110">
            <v>87.9</v>
          </cell>
          <cell r="EU110">
            <v>15</v>
          </cell>
          <cell r="EV110">
            <v>2</v>
          </cell>
          <cell r="EW110">
            <v>88.2</v>
          </cell>
          <cell r="EX110">
            <v>7</v>
          </cell>
          <cell r="EY110">
            <v>3</v>
          </cell>
          <cell r="EZ110">
            <v>70</v>
          </cell>
          <cell r="FA110">
            <v>4</v>
          </cell>
          <cell r="FB110">
            <v>6</v>
          </cell>
          <cell r="FC110">
            <v>40</v>
          </cell>
          <cell r="FD110">
            <v>4</v>
          </cell>
          <cell r="FE110">
            <v>1</v>
          </cell>
          <cell r="FF110">
            <v>80</v>
          </cell>
          <cell r="FG110">
            <v>80</v>
          </cell>
          <cell r="FH110">
            <v>80</v>
          </cell>
          <cell r="FI110" t="str">
            <v>-</v>
          </cell>
          <cell r="FJ110">
            <v>80</v>
          </cell>
          <cell r="FK110">
            <v>1</v>
          </cell>
          <cell r="FL110">
            <v>0</v>
          </cell>
          <cell r="FM110">
            <v>0</v>
          </cell>
          <cell r="FN110">
            <v>3</v>
          </cell>
          <cell r="FO110">
            <v>0</v>
          </cell>
          <cell r="FP110">
            <v>0</v>
          </cell>
          <cell r="FQ110">
            <v>0</v>
          </cell>
          <cell r="FR110" t="str">
            <v>-</v>
          </cell>
          <cell r="FS110">
            <v>0</v>
          </cell>
          <cell r="FT110">
            <v>0</v>
          </cell>
          <cell r="FU110" t="str">
            <v>-</v>
          </cell>
          <cell r="FV110">
            <v>0</v>
          </cell>
          <cell r="FW110">
            <v>0</v>
          </cell>
          <cell r="FX110" t="str">
            <v>-</v>
          </cell>
          <cell r="FY110">
            <v>0</v>
          </cell>
          <cell r="FZ110">
            <v>0</v>
          </cell>
          <cell r="GA110" t="str">
            <v>-</v>
          </cell>
          <cell r="GB110">
            <v>0</v>
          </cell>
          <cell r="GC110">
            <v>0</v>
          </cell>
          <cell r="GD110" t="str">
            <v>-</v>
          </cell>
          <cell r="GE110">
            <v>0</v>
          </cell>
          <cell r="GF110">
            <v>0</v>
          </cell>
          <cell r="GG110" t="str">
            <v>-</v>
          </cell>
          <cell r="GH110">
            <v>0</v>
          </cell>
          <cell r="GI110">
            <v>0</v>
          </cell>
          <cell r="GJ110" t="str">
            <v>-</v>
          </cell>
          <cell r="GK110">
            <v>0</v>
          </cell>
          <cell r="GL110">
            <v>0</v>
          </cell>
          <cell r="GM110" t="str">
            <v>-</v>
          </cell>
          <cell r="GN110">
            <v>18</v>
          </cell>
          <cell r="GO110">
            <v>2</v>
          </cell>
          <cell r="GP110">
            <v>90</v>
          </cell>
          <cell r="GQ110">
            <v>19</v>
          </cell>
          <cell r="GR110">
            <v>2</v>
          </cell>
          <cell r="GS110">
            <v>90.5</v>
          </cell>
          <cell r="GT110">
            <v>20</v>
          </cell>
          <cell r="GU110">
            <v>7</v>
          </cell>
          <cell r="GV110">
            <v>74.099999999999994</v>
          </cell>
          <cell r="GW110">
            <v>35</v>
          </cell>
          <cell r="GX110">
            <v>5</v>
          </cell>
          <cell r="GY110">
            <v>87.5</v>
          </cell>
          <cell r="GZ110">
            <v>37</v>
          </cell>
          <cell r="HA110">
            <v>4</v>
          </cell>
          <cell r="HB110">
            <v>90.2</v>
          </cell>
          <cell r="HC110">
            <v>29</v>
          </cell>
          <cell r="HD110">
            <v>7</v>
          </cell>
          <cell r="HE110">
            <v>80.599999999999994</v>
          </cell>
          <cell r="HF110">
            <v>28</v>
          </cell>
          <cell r="HG110">
            <v>3</v>
          </cell>
          <cell r="HH110">
            <v>90.3</v>
          </cell>
          <cell r="HI110">
            <v>20</v>
          </cell>
          <cell r="HJ110">
            <v>20</v>
          </cell>
          <cell r="HK110">
            <v>100</v>
          </cell>
          <cell r="HL110">
            <v>8</v>
          </cell>
          <cell r="HM110">
            <v>1</v>
          </cell>
          <cell r="HN110">
            <v>88.9</v>
          </cell>
          <cell r="HO110">
            <v>2</v>
          </cell>
          <cell r="HP110">
            <v>2</v>
          </cell>
          <cell r="HQ110">
            <v>100</v>
          </cell>
          <cell r="HR110">
            <v>3</v>
          </cell>
          <cell r="HS110">
            <v>1</v>
          </cell>
          <cell r="HT110">
            <v>75</v>
          </cell>
          <cell r="HU110">
            <v>1</v>
          </cell>
          <cell r="HV110">
            <v>1</v>
          </cell>
          <cell r="HW110">
            <v>50</v>
          </cell>
          <cell r="HX110">
            <v>2</v>
          </cell>
          <cell r="HY110">
            <v>1</v>
          </cell>
          <cell r="HZ110">
            <v>66.7</v>
          </cell>
          <cell r="IA110">
            <v>1</v>
          </cell>
          <cell r="IB110">
            <v>1</v>
          </cell>
          <cell r="IC110">
            <v>100</v>
          </cell>
          <cell r="ID110">
            <v>2</v>
          </cell>
          <cell r="IE110">
            <v>1</v>
          </cell>
          <cell r="IF110">
            <v>66.7</v>
          </cell>
          <cell r="IG110">
            <v>66.699951171875</v>
          </cell>
          <cell r="IH110">
            <v>66.699951171875</v>
          </cell>
          <cell r="II110" t="str">
            <v>-</v>
          </cell>
          <cell r="IJ110">
            <v>6</v>
          </cell>
          <cell r="IK110">
            <v>6</v>
          </cell>
          <cell r="IL110">
            <v>100</v>
          </cell>
          <cell r="IM110">
            <v>3</v>
          </cell>
          <cell r="IN110">
            <v>1</v>
          </cell>
          <cell r="IO110">
            <v>75</v>
          </cell>
          <cell r="IP110">
            <v>1</v>
          </cell>
          <cell r="IQ110">
            <v>1</v>
          </cell>
          <cell r="IR110">
            <v>50</v>
          </cell>
          <cell r="IS110">
            <v>2</v>
          </cell>
          <cell r="IT110">
            <v>2</v>
          </cell>
          <cell r="IU110">
            <v>100</v>
          </cell>
          <cell r="IV110">
            <v>3</v>
          </cell>
          <cell r="IW110">
            <v>2</v>
          </cell>
          <cell r="IX110">
            <v>60</v>
          </cell>
          <cell r="IY110">
            <v>1</v>
          </cell>
          <cell r="IZ110">
            <v>1</v>
          </cell>
          <cell r="JA110">
            <v>100</v>
          </cell>
          <cell r="JB110">
            <v>6</v>
          </cell>
          <cell r="JC110">
            <v>6</v>
          </cell>
          <cell r="JD110">
            <v>100</v>
          </cell>
          <cell r="JE110">
            <v>2</v>
          </cell>
          <cell r="JF110">
            <v>2</v>
          </cell>
          <cell r="JG110">
            <v>100</v>
          </cell>
          <cell r="JH110">
            <v>0</v>
          </cell>
          <cell r="JI110">
            <v>0</v>
          </cell>
          <cell r="JJ110" t="str">
            <v>-</v>
          </cell>
          <cell r="JK110">
            <v>0</v>
          </cell>
          <cell r="JL110">
            <v>0</v>
          </cell>
          <cell r="JM110" t="str">
            <v>-</v>
          </cell>
          <cell r="JN110">
            <v>0</v>
          </cell>
          <cell r="JO110">
            <v>0</v>
          </cell>
          <cell r="JP110" t="str">
            <v>-</v>
          </cell>
          <cell r="JQ110">
            <v>247</v>
          </cell>
          <cell r="JR110">
            <v>27</v>
          </cell>
          <cell r="JS110">
            <v>90.145985401459853</v>
          </cell>
          <cell r="JT110">
            <v>137</v>
          </cell>
          <cell r="JU110">
            <v>22</v>
          </cell>
          <cell r="JV110">
            <v>86.163522012578625</v>
          </cell>
          <cell r="JW110">
            <v>0</v>
          </cell>
          <cell r="JX110">
            <v>0</v>
          </cell>
          <cell r="JY110" t="str">
            <v>-</v>
          </cell>
          <cell r="JZ110">
            <v>8</v>
          </cell>
          <cell r="KA110">
            <v>11</v>
          </cell>
          <cell r="KB110">
            <v>42.105263157894733</v>
          </cell>
          <cell r="KC110">
            <v>0</v>
          </cell>
          <cell r="KD110">
            <v>0</v>
          </cell>
          <cell r="KE110" t="str">
            <v>-</v>
          </cell>
          <cell r="KF110">
            <v>149</v>
          </cell>
          <cell r="KG110">
            <v>19</v>
          </cell>
          <cell r="KH110">
            <v>88.69047619047619</v>
          </cell>
          <cell r="KI110">
            <v>6</v>
          </cell>
          <cell r="KJ110">
            <v>3</v>
          </cell>
          <cell r="KK110">
            <v>66.666666666666657</v>
          </cell>
          <cell r="KL110">
            <v>14</v>
          </cell>
          <cell r="KM110">
            <v>2</v>
          </cell>
          <cell r="KN110">
            <v>87.5</v>
          </cell>
        </row>
        <row r="111">
          <cell r="C111" t="str">
            <v>Oroszlányi Rendőrkapitányság</v>
          </cell>
          <cell r="D111">
            <v>87.5</v>
          </cell>
          <cell r="E111">
            <v>87.5</v>
          </cell>
          <cell r="F111" t="str">
            <v>-</v>
          </cell>
          <cell r="G111">
            <v>87.5</v>
          </cell>
          <cell r="H111">
            <v>87.5</v>
          </cell>
          <cell r="I111" t="str">
            <v>-</v>
          </cell>
          <cell r="J111">
            <v>87.5</v>
          </cell>
          <cell r="K111">
            <v>87.5</v>
          </cell>
          <cell r="L111" t="str">
            <v>-</v>
          </cell>
          <cell r="M111">
            <v>87.5</v>
          </cell>
          <cell r="N111">
            <v>87.5</v>
          </cell>
          <cell r="O111" t="str">
            <v>-</v>
          </cell>
          <cell r="P111">
            <v>87.5</v>
          </cell>
          <cell r="Q111">
            <v>87.5</v>
          </cell>
          <cell r="R111" t="str">
            <v>-</v>
          </cell>
          <cell r="S111">
            <v>87.5</v>
          </cell>
          <cell r="T111">
            <v>87.5</v>
          </cell>
          <cell r="U111" t="str">
            <v>-</v>
          </cell>
          <cell r="V111">
            <v>87.5</v>
          </cell>
          <cell r="W111">
            <v>87.5</v>
          </cell>
          <cell r="X111" t="str">
            <v>-</v>
          </cell>
          <cell r="Y111">
            <v>87.5</v>
          </cell>
          <cell r="Z111">
            <v>87.5</v>
          </cell>
          <cell r="AA111" t="str">
            <v>-</v>
          </cell>
          <cell r="AB111">
            <v>87.5</v>
          </cell>
          <cell r="AC111">
            <v>87.5</v>
          </cell>
          <cell r="AD111" t="str">
            <v>-</v>
          </cell>
          <cell r="AE111">
            <v>87.5</v>
          </cell>
          <cell r="AF111">
            <v>87.5</v>
          </cell>
          <cell r="AG111" t="str">
            <v>-</v>
          </cell>
          <cell r="AH111">
            <v>87.5</v>
          </cell>
          <cell r="AI111">
            <v>87.5</v>
          </cell>
          <cell r="AJ111" t="str">
            <v>-</v>
          </cell>
          <cell r="AK111">
            <v>87.5</v>
          </cell>
          <cell r="AL111">
            <v>87.5</v>
          </cell>
          <cell r="AM111" t="str">
            <v>-</v>
          </cell>
          <cell r="AN111">
            <v>87.5</v>
          </cell>
          <cell r="AO111">
            <v>87.5</v>
          </cell>
          <cell r="AP111" t="str">
            <v>-</v>
          </cell>
          <cell r="AQ111">
            <v>87.5</v>
          </cell>
          <cell r="AR111">
            <v>87.5</v>
          </cell>
          <cell r="AS111" t="str">
            <v>-</v>
          </cell>
          <cell r="AT111">
            <v>87.5</v>
          </cell>
          <cell r="AU111">
            <v>87.5</v>
          </cell>
          <cell r="AV111" t="str">
            <v>-</v>
          </cell>
          <cell r="AW111">
            <v>87.5</v>
          </cell>
          <cell r="AX111">
            <v>87.5</v>
          </cell>
          <cell r="AY111" t="str">
            <v>-</v>
          </cell>
          <cell r="AZ111">
            <v>87.5</v>
          </cell>
          <cell r="BA111">
            <v>87.5</v>
          </cell>
          <cell r="BB111" t="str">
            <v>-</v>
          </cell>
          <cell r="BC111">
            <v>87.5</v>
          </cell>
          <cell r="BD111">
            <v>87.5</v>
          </cell>
          <cell r="BE111" t="str">
            <v>-</v>
          </cell>
          <cell r="BF111">
            <v>87.5</v>
          </cell>
          <cell r="BG111">
            <v>87.5</v>
          </cell>
          <cell r="BH111" t="str">
            <v>-</v>
          </cell>
          <cell r="BI111">
            <v>87.5</v>
          </cell>
          <cell r="BJ111">
            <v>87.5</v>
          </cell>
          <cell r="BK111" t="str">
            <v>-</v>
          </cell>
          <cell r="BL111">
            <v>87.5</v>
          </cell>
          <cell r="BM111">
            <v>87.5</v>
          </cell>
          <cell r="BN111" t="str">
            <v>-</v>
          </cell>
          <cell r="BO111">
            <v>87.5</v>
          </cell>
          <cell r="BP111">
            <v>87.5</v>
          </cell>
          <cell r="BQ111" t="str">
            <v>-</v>
          </cell>
          <cell r="BR111">
            <v>87.5</v>
          </cell>
          <cell r="BS111">
            <v>87.5</v>
          </cell>
          <cell r="BT111" t="str">
            <v>-</v>
          </cell>
          <cell r="BU111">
            <v>87.5</v>
          </cell>
          <cell r="BV111">
            <v>87.5</v>
          </cell>
          <cell r="BW111" t="str">
            <v>-</v>
          </cell>
          <cell r="BX111">
            <v>26</v>
          </cell>
          <cell r="BY111">
            <v>6</v>
          </cell>
          <cell r="BZ111">
            <v>81.3</v>
          </cell>
          <cell r="CA111">
            <v>31</v>
          </cell>
          <cell r="CB111">
            <v>4</v>
          </cell>
          <cell r="CC111">
            <v>88.6</v>
          </cell>
          <cell r="CD111">
            <v>12</v>
          </cell>
          <cell r="CE111">
            <v>5</v>
          </cell>
          <cell r="CF111">
            <v>70.599999999999994</v>
          </cell>
          <cell r="CG111">
            <v>31</v>
          </cell>
          <cell r="CH111">
            <v>10</v>
          </cell>
          <cell r="CI111">
            <v>75.599999999999994</v>
          </cell>
          <cell r="CJ111">
            <v>33</v>
          </cell>
          <cell r="CK111">
            <v>7</v>
          </cell>
          <cell r="CL111">
            <v>82.5</v>
          </cell>
          <cell r="CM111">
            <v>25</v>
          </cell>
          <cell r="CN111">
            <v>3</v>
          </cell>
          <cell r="CO111">
            <v>89.3</v>
          </cell>
          <cell r="CP111">
            <v>16</v>
          </cell>
          <cell r="CQ111">
            <v>6</v>
          </cell>
          <cell r="CR111">
            <v>72.7</v>
          </cell>
          <cell r="CS111">
            <v>21</v>
          </cell>
          <cell r="CT111">
            <v>3</v>
          </cell>
          <cell r="CU111">
            <v>87.5</v>
          </cell>
          <cell r="CV111">
            <v>15</v>
          </cell>
          <cell r="CW111">
            <v>4</v>
          </cell>
          <cell r="CX111">
            <v>78.900000000000006</v>
          </cell>
          <cell r="CY111">
            <v>18</v>
          </cell>
          <cell r="CZ111">
            <v>4</v>
          </cell>
          <cell r="DA111">
            <v>81.8</v>
          </cell>
          <cell r="DB111">
            <v>5</v>
          </cell>
          <cell r="DC111">
            <v>4</v>
          </cell>
          <cell r="DD111">
            <v>55.6</v>
          </cell>
          <cell r="DE111">
            <v>16</v>
          </cell>
          <cell r="DF111">
            <v>8</v>
          </cell>
          <cell r="DG111">
            <v>66.7</v>
          </cell>
          <cell r="DH111">
            <v>13</v>
          </cell>
          <cell r="DI111">
            <v>6</v>
          </cell>
          <cell r="DJ111">
            <v>68.400000000000006</v>
          </cell>
          <cell r="DK111">
            <v>12</v>
          </cell>
          <cell r="DL111">
            <v>2</v>
          </cell>
          <cell r="DM111">
            <v>85.7</v>
          </cell>
          <cell r="DN111">
            <v>10</v>
          </cell>
          <cell r="DO111">
            <v>6</v>
          </cell>
          <cell r="DP111">
            <v>62.5</v>
          </cell>
          <cell r="DQ111">
            <v>18</v>
          </cell>
          <cell r="DR111">
            <v>3</v>
          </cell>
          <cell r="DS111">
            <v>85.7</v>
          </cell>
          <cell r="DT111">
            <v>85.699951171875</v>
          </cell>
          <cell r="DU111">
            <v>85.699951171875</v>
          </cell>
          <cell r="DV111" t="str">
            <v>-</v>
          </cell>
          <cell r="DW111">
            <v>85.699951171875</v>
          </cell>
          <cell r="DX111">
            <v>85.699951171875</v>
          </cell>
          <cell r="DY111" t="str">
            <v>-</v>
          </cell>
          <cell r="DZ111">
            <v>85.699951171875</v>
          </cell>
          <cell r="EA111">
            <v>85.699951171875</v>
          </cell>
          <cell r="EB111" t="str">
            <v>-</v>
          </cell>
          <cell r="EC111">
            <v>85.699951171875</v>
          </cell>
          <cell r="ED111">
            <v>85.699951171875</v>
          </cell>
          <cell r="EE111" t="str">
            <v>-</v>
          </cell>
          <cell r="EF111">
            <v>85.699951171875</v>
          </cell>
          <cell r="EG111">
            <v>85.699951171875</v>
          </cell>
          <cell r="EH111" t="str">
            <v>-</v>
          </cell>
          <cell r="EI111">
            <v>85.699951171875</v>
          </cell>
          <cell r="EJ111">
            <v>85.699951171875</v>
          </cell>
          <cell r="EK111" t="str">
            <v>-</v>
          </cell>
          <cell r="EL111">
            <v>85.699951171875</v>
          </cell>
          <cell r="EM111">
            <v>85.699951171875</v>
          </cell>
          <cell r="EN111" t="str">
            <v>-</v>
          </cell>
          <cell r="EO111">
            <v>85.699951171875</v>
          </cell>
          <cell r="EP111">
            <v>85.699951171875</v>
          </cell>
          <cell r="EQ111" t="str">
            <v>-</v>
          </cell>
          <cell r="ER111">
            <v>85.699951171875</v>
          </cell>
          <cell r="ES111">
            <v>1</v>
          </cell>
          <cell r="ET111">
            <v>0</v>
          </cell>
          <cell r="EU111">
            <v>8</v>
          </cell>
          <cell r="EV111">
            <v>8</v>
          </cell>
          <cell r="EW111">
            <v>100</v>
          </cell>
          <cell r="EX111">
            <v>2</v>
          </cell>
          <cell r="EY111">
            <v>2</v>
          </cell>
          <cell r="EZ111">
            <v>50</v>
          </cell>
          <cell r="FA111">
            <v>2</v>
          </cell>
          <cell r="FB111">
            <v>1</v>
          </cell>
          <cell r="FC111">
            <v>66.7</v>
          </cell>
          <cell r="FD111">
            <v>5</v>
          </cell>
          <cell r="FE111">
            <v>5</v>
          </cell>
          <cell r="FF111">
            <v>100</v>
          </cell>
          <cell r="FG111">
            <v>100</v>
          </cell>
          <cell r="FH111">
            <v>100</v>
          </cell>
          <cell r="FI111" t="str">
            <v>-</v>
          </cell>
          <cell r="FJ111">
            <v>100</v>
          </cell>
          <cell r="FK111">
            <v>100</v>
          </cell>
          <cell r="FL111" t="str">
            <v>-</v>
          </cell>
          <cell r="FM111">
            <v>1</v>
          </cell>
          <cell r="FN111">
            <v>1</v>
          </cell>
          <cell r="FO111">
            <v>50</v>
          </cell>
          <cell r="FP111">
            <v>50</v>
          </cell>
          <cell r="FQ111">
            <v>50</v>
          </cell>
          <cell r="FR111" t="str">
            <v>-</v>
          </cell>
          <cell r="FS111">
            <v>50</v>
          </cell>
          <cell r="FT111">
            <v>50</v>
          </cell>
          <cell r="FU111" t="str">
            <v>-</v>
          </cell>
          <cell r="FV111">
            <v>50</v>
          </cell>
          <cell r="FW111">
            <v>50</v>
          </cell>
          <cell r="FX111" t="str">
            <v>-</v>
          </cell>
          <cell r="FY111">
            <v>50</v>
          </cell>
          <cell r="FZ111">
            <v>50</v>
          </cell>
          <cell r="GA111" t="str">
            <v>-</v>
          </cell>
          <cell r="GB111">
            <v>50</v>
          </cell>
          <cell r="GC111">
            <v>50</v>
          </cell>
          <cell r="GD111" t="str">
            <v>-</v>
          </cell>
          <cell r="GE111">
            <v>50</v>
          </cell>
          <cell r="GF111">
            <v>50</v>
          </cell>
          <cell r="GG111" t="str">
            <v>-</v>
          </cell>
          <cell r="GH111">
            <v>50</v>
          </cell>
          <cell r="GI111">
            <v>50</v>
          </cell>
          <cell r="GJ111" t="str">
            <v>-</v>
          </cell>
          <cell r="GK111">
            <v>50</v>
          </cell>
          <cell r="GL111">
            <v>50</v>
          </cell>
          <cell r="GM111" t="str">
            <v>-</v>
          </cell>
          <cell r="GN111">
            <v>16</v>
          </cell>
          <cell r="GO111">
            <v>2</v>
          </cell>
          <cell r="GP111">
            <v>88.9</v>
          </cell>
          <cell r="GQ111">
            <v>28</v>
          </cell>
          <cell r="GR111">
            <v>4</v>
          </cell>
          <cell r="GS111">
            <v>87.5</v>
          </cell>
          <cell r="GT111">
            <v>26</v>
          </cell>
          <cell r="GU111">
            <v>6</v>
          </cell>
          <cell r="GV111">
            <v>81.3</v>
          </cell>
          <cell r="GW111">
            <v>26</v>
          </cell>
          <cell r="GX111">
            <v>7</v>
          </cell>
          <cell r="GY111">
            <v>78.8</v>
          </cell>
          <cell r="GZ111">
            <v>24</v>
          </cell>
          <cell r="HA111">
            <v>7</v>
          </cell>
          <cell r="HB111">
            <v>77.400000000000006</v>
          </cell>
          <cell r="HC111">
            <v>12</v>
          </cell>
          <cell r="HD111">
            <v>5</v>
          </cell>
          <cell r="HE111">
            <v>70.599999999999994</v>
          </cell>
          <cell r="HF111">
            <v>11</v>
          </cell>
          <cell r="HG111">
            <v>2</v>
          </cell>
          <cell r="HH111">
            <v>84.6</v>
          </cell>
          <cell r="HI111">
            <v>8</v>
          </cell>
          <cell r="HJ111">
            <v>8</v>
          </cell>
          <cell r="HK111">
            <v>100</v>
          </cell>
          <cell r="HL111">
            <v>3</v>
          </cell>
          <cell r="HM111">
            <v>3</v>
          </cell>
          <cell r="HN111">
            <v>100</v>
          </cell>
          <cell r="HO111">
            <v>3</v>
          </cell>
          <cell r="HP111">
            <v>1</v>
          </cell>
          <cell r="HQ111">
            <v>75</v>
          </cell>
          <cell r="HR111">
            <v>4</v>
          </cell>
          <cell r="HS111">
            <v>4</v>
          </cell>
          <cell r="HT111">
            <v>50</v>
          </cell>
          <cell r="HU111">
            <v>2</v>
          </cell>
          <cell r="HV111">
            <v>2</v>
          </cell>
          <cell r="HW111">
            <v>100</v>
          </cell>
          <cell r="HX111">
            <v>100</v>
          </cell>
          <cell r="HY111">
            <v>100</v>
          </cell>
          <cell r="HZ111" t="str">
            <v>-</v>
          </cell>
          <cell r="IA111">
            <v>100</v>
          </cell>
          <cell r="IB111">
            <v>100</v>
          </cell>
          <cell r="IC111" t="str">
            <v>-</v>
          </cell>
          <cell r="ID111">
            <v>1</v>
          </cell>
          <cell r="IE111">
            <v>1</v>
          </cell>
          <cell r="IF111">
            <v>100</v>
          </cell>
          <cell r="IG111">
            <v>1</v>
          </cell>
          <cell r="IH111">
            <v>1</v>
          </cell>
          <cell r="II111">
            <v>100</v>
          </cell>
          <cell r="IJ111">
            <v>2</v>
          </cell>
          <cell r="IK111">
            <v>2</v>
          </cell>
          <cell r="IL111">
            <v>100</v>
          </cell>
          <cell r="IM111">
            <v>100</v>
          </cell>
          <cell r="IN111">
            <v>100</v>
          </cell>
          <cell r="IO111" t="str">
            <v>-</v>
          </cell>
          <cell r="IP111">
            <v>100</v>
          </cell>
          <cell r="IQ111">
            <v>100</v>
          </cell>
          <cell r="IR111" t="str">
            <v>-</v>
          </cell>
          <cell r="IS111">
            <v>100</v>
          </cell>
          <cell r="IT111">
            <v>100</v>
          </cell>
          <cell r="IU111" t="str">
            <v>-</v>
          </cell>
          <cell r="IV111">
            <v>100</v>
          </cell>
          <cell r="IW111">
            <v>100</v>
          </cell>
          <cell r="IX111" t="str">
            <v>-</v>
          </cell>
          <cell r="IY111">
            <v>1</v>
          </cell>
          <cell r="IZ111">
            <v>1</v>
          </cell>
          <cell r="JA111">
            <v>100</v>
          </cell>
          <cell r="JB111">
            <v>5</v>
          </cell>
          <cell r="JC111">
            <v>5</v>
          </cell>
          <cell r="JD111">
            <v>100</v>
          </cell>
          <cell r="JE111">
            <v>3</v>
          </cell>
          <cell r="JF111">
            <v>3</v>
          </cell>
          <cell r="JG111">
            <v>100</v>
          </cell>
          <cell r="JH111">
            <v>0</v>
          </cell>
          <cell r="JI111">
            <v>0</v>
          </cell>
          <cell r="JJ111" t="str">
            <v>-</v>
          </cell>
          <cell r="JK111">
            <v>0</v>
          </cell>
          <cell r="JL111">
            <v>0</v>
          </cell>
          <cell r="JM111" t="str">
            <v>-</v>
          </cell>
          <cell r="JN111">
            <v>0</v>
          </cell>
          <cell r="JO111">
            <v>0</v>
          </cell>
          <cell r="JP111" t="str">
            <v>-</v>
          </cell>
          <cell r="JQ111">
            <v>126</v>
          </cell>
          <cell r="JR111">
            <v>29</v>
          </cell>
          <cell r="JS111">
            <v>81.290322580645153</v>
          </cell>
          <cell r="JT111">
            <v>69</v>
          </cell>
          <cell r="JU111">
            <v>25</v>
          </cell>
          <cell r="JV111">
            <v>73.40425531914893</v>
          </cell>
          <cell r="JW111">
            <v>0</v>
          </cell>
          <cell r="JX111">
            <v>0</v>
          </cell>
          <cell r="JY111" t="str">
            <v>-</v>
          </cell>
          <cell r="JZ111">
            <v>8</v>
          </cell>
          <cell r="KA111">
            <v>2</v>
          </cell>
          <cell r="KB111">
            <v>80</v>
          </cell>
          <cell r="KC111">
            <v>0</v>
          </cell>
          <cell r="KD111">
            <v>0</v>
          </cell>
          <cell r="KE111" t="str">
            <v>-</v>
          </cell>
          <cell r="KF111">
            <v>81</v>
          </cell>
          <cell r="KG111">
            <v>21</v>
          </cell>
          <cell r="KH111">
            <v>79.411764705882348</v>
          </cell>
          <cell r="KI111">
            <v>4</v>
          </cell>
          <cell r="KJ111">
            <v>0</v>
          </cell>
          <cell r="KK111">
            <v>100</v>
          </cell>
          <cell r="KL111">
            <v>9</v>
          </cell>
          <cell r="KM111">
            <v>0</v>
          </cell>
          <cell r="KN111">
            <v>100</v>
          </cell>
        </row>
        <row r="112">
          <cell r="C112" t="str">
            <v>Tatai Rendőrkapitányság</v>
          </cell>
          <cell r="D112">
            <v>100</v>
          </cell>
          <cell r="E112">
            <v>100</v>
          </cell>
          <cell r="F112" t="str">
            <v>-</v>
          </cell>
          <cell r="G112">
            <v>100</v>
          </cell>
          <cell r="H112">
            <v>100</v>
          </cell>
          <cell r="I112" t="str">
            <v>-</v>
          </cell>
          <cell r="J112">
            <v>100</v>
          </cell>
          <cell r="K112">
            <v>100</v>
          </cell>
          <cell r="L112" t="str">
            <v>-</v>
          </cell>
          <cell r="M112">
            <v>100</v>
          </cell>
          <cell r="N112">
            <v>100</v>
          </cell>
          <cell r="O112" t="str">
            <v>-</v>
          </cell>
          <cell r="P112">
            <v>100</v>
          </cell>
          <cell r="Q112">
            <v>100</v>
          </cell>
          <cell r="R112" t="str">
            <v>-</v>
          </cell>
          <cell r="S112">
            <v>100</v>
          </cell>
          <cell r="T112">
            <v>100</v>
          </cell>
          <cell r="U112" t="str">
            <v>-</v>
          </cell>
          <cell r="V112">
            <v>1</v>
          </cell>
          <cell r="W112">
            <v>1</v>
          </cell>
          <cell r="X112">
            <v>100</v>
          </cell>
          <cell r="Y112">
            <v>100</v>
          </cell>
          <cell r="Z112">
            <v>100</v>
          </cell>
          <cell r="AA112" t="str">
            <v>-</v>
          </cell>
          <cell r="AB112">
            <v>100</v>
          </cell>
          <cell r="AC112">
            <v>100</v>
          </cell>
          <cell r="AD112" t="str">
            <v>-</v>
          </cell>
          <cell r="AE112">
            <v>100</v>
          </cell>
          <cell r="AF112">
            <v>100</v>
          </cell>
          <cell r="AG112" t="str">
            <v>-</v>
          </cell>
          <cell r="AH112">
            <v>100</v>
          </cell>
          <cell r="AI112">
            <v>100</v>
          </cell>
          <cell r="AJ112" t="str">
            <v>-</v>
          </cell>
          <cell r="AK112">
            <v>100</v>
          </cell>
          <cell r="AL112">
            <v>100</v>
          </cell>
          <cell r="AM112" t="str">
            <v>-</v>
          </cell>
          <cell r="AN112">
            <v>100</v>
          </cell>
          <cell r="AO112">
            <v>100</v>
          </cell>
          <cell r="AP112" t="str">
            <v>-</v>
          </cell>
          <cell r="AQ112">
            <v>100</v>
          </cell>
          <cell r="AR112">
            <v>100</v>
          </cell>
          <cell r="AS112" t="str">
            <v>-</v>
          </cell>
          <cell r="AT112">
            <v>100</v>
          </cell>
          <cell r="AU112">
            <v>100</v>
          </cell>
          <cell r="AV112" t="str">
            <v>-</v>
          </cell>
          <cell r="AW112">
            <v>100</v>
          </cell>
          <cell r="AX112">
            <v>100</v>
          </cell>
          <cell r="AY112" t="str">
            <v>-</v>
          </cell>
          <cell r="AZ112">
            <v>100</v>
          </cell>
          <cell r="BA112">
            <v>100</v>
          </cell>
          <cell r="BB112" t="str">
            <v>-</v>
          </cell>
          <cell r="BC112">
            <v>100</v>
          </cell>
          <cell r="BD112">
            <v>100</v>
          </cell>
          <cell r="BE112" t="str">
            <v>-</v>
          </cell>
          <cell r="BF112">
            <v>100</v>
          </cell>
          <cell r="BG112">
            <v>100</v>
          </cell>
          <cell r="BH112" t="str">
            <v>-</v>
          </cell>
          <cell r="BI112">
            <v>100</v>
          </cell>
          <cell r="BJ112">
            <v>100</v>
          </cell>
          <cell r="BK112" t="str">
            <v>-</v>
          </cell>
          <cell r="BL112">
            <v>100</v>
          </cell>
          <cell r="BM112">
            <v>100</v>
          </cell>
          <cell r="BN112" t="str">
            <v>-</v>
          </cell>
          <cell r="BO112">
            <v>100</v>
          </cell>
          <cell r="BP112">
            <v>100</v>
          </cell>
          <cell r="BQ112" t="str">
            <v>-</v>
          </cell>
          <cell r="BR112">
            <v>1</v>
          </cell>
          <cell r="BS112">
            <v>1</v>
          </cell>
          <cell r="BT112">
            <v>100</v>
          </cell>
          <cell r="BU112">
            <v>100</v>
          </cell>
          <cell r="BV112">
            <v>100</v>
          </cell>
          <cell r="BW112" t="str">
            <v>-</v>
          </cell>
          <cell r="BX112">
            <v>24</v>
          </cell>
          <cell r="BY112">
            <v>2</v>
          </cell>
          <cell r="BZ112">
            <v>92.3</v>
          </cell>
          <cell r="CA112">
            <v>17</v>
          </cell>
          <cell r="CB112">
            <v>6</v>
          </cell>
          <cell r="CC112">
            <v>73.900000000000006</v>
          </cell>
          <cell r="CD112">
            <v>27</v>
          </cell>
          <cell r="CE112">
            <v>8</v>
          </cell>
          <cell r="CF112">
            <v>77.099999999999994</v>
          </cell>
          <cell r="CG112">
            <v>37</v>
          </cell>
          <cell r="CH112">
            <v>8</v>
          </cell>
          <cell r="CI112">
            <v>82.2</v>
          </cell>
          <cell r="CJ112">
            <v>29</v>
          </cell>
          <cell r="CK112">
            <v>8</v>
          </cell>
          <cell r="CL112">
            <v>78.400000000000006</v>
          </cell>
          <cell r="CM112">
            <v>21</v>
          </cell>
          <cell r="CN112">
            <v>2</v>
          </cell>
          <cell r="CO112">
            <v>91.3</v>
          </cell>
          <cell r="CP112">
            <v>19</v>
          </cell>
          <cell r="CQ112">
            <v>3</v>
          </cell>
          <cell r="CR112">
            <v>86.4</v>
          </cell>
          <cell r="CS112">
            <v>13</v>
          </cell>
          <cell r="CT112">
            <v>13</v>
          </cell>
          <cell r="CU112">
            <v>100</v>
          </cell>
          <cell r="CV112">
            <v>14</v>
          </cell>
          <cell r="CW112">
            <v>1</v>
          </cell>
          <cell r="CX112">
            <v>93.3</v>
          </cell>
          <cell r="CY112">
            <v>10</v>
          </cell>
          <cell r="CZ112">
            <v>5</v>
          </cell>
          <cell r="DA112">
            <v>66.7</v>
          </cell>
          <cell r="DB112">
            <v>22</v>
          </cell>
          <cell r="DC112">
            <v>8</v>
          </cell>
          <cell r="DD112">
            <v>73.3</v>
          </cell>
          <cell r="DE112">
            <v>31</v>
          </cell>
          <cell r="DF112">
            <v>8</v>
          </cell>
          <cell r="DG112">
            <v>79.5</v>
          </cell>
          <cell r="DH112">
            <v>25</v>
          </cell>
          <cell r="DI112">
            <v>7</v>
          </cell>
          <cell r="DJ112">
            <v>78.099999999999994</v>
          </cell>
          <cell r="DK112">
            <v>17</v>
          </cell>
          <cell r="DL112">
            <v>2</v>
          </cell>
          <cell r="DM112">
            <v>89.5</v>
          </cell>
          <cell r="DN112">
            <v>13</v>
          </cell>
          <cell r="DO112">
            <v>1</v>
          </cell>
          <cell r="DP112">
            <v>92.9</v>
          </cell>
          <cell r="DQ112">
            <v>12</v>
          </cell>
          <cell r="DR112">
            <v>12</v>
          </cell>
          <cell r="DS112">
            <v>100</v>
          </cell>
          <cell r="DT112">
            <v>100</v>
          </cell>
          <cell r="DU112">
            <v>100</v>
          </cell>
          <cell r="DV112" t="str">
            <v>-</v>
          </cell>
          <cell r="DW112">
            <v>100</v>
          </cell>
          <cell r="DX112">
            <v>100</v>
          </cell>
          <cell r="DY112" t="str">
            <v>-</v>
          </cell>
          <cell r="DZ112">
            <v>100</v>
          </cell>
          <cell r="EA112">
            <v>100</v>
          </cell>
          <cell r="EB112" t="str">
            <v>-</v>
          </cell>
          <cell r="EC112">
            <v>100</v>
          </cell>
          <cell r="ED112">
            <v>100</v>
          </cell>
          <cell r="EE112" t="str">
            <v>-</v>
          </cell>
          <cell r="EF112">
            <v>100</v>
          </cell>
          <cell r="EG112">
            <v>100</v>
          </cell>
          <cell r="EH112" t="str">
            <v>-</v>
          </cell>
          <cell r="EI112">
            <v>100</v>
          </cell>
          <cell r="EJ112">
            <v>100</v>
          </cell>
          <cell r="EK112" t="str">
            <v>-</v>
          </cell>
          <cell r="EL112">
            <v>100</v>
          </cell>
          <cell r="EM112">
            <v>100</v>
          </cell>
          <cell r="EN112" t="str">
            <v>-</v>
          </cell>
          <cell r="EO112">
            <v>100</v>
          </cell>
          <cell r="EP112">
            <v>100</v>
          </cell>
          <cell r="EQ112" t="str">
            <v>-</v>
          </cell>
          <cell r="ER112">
            <v>7</v>
          </cell>
          <cell r="ES112">
            <v>3</v>
          </cell>
          <cell r="ET112">
            <v>70</v>
          </cell>
          <cell r="EU112">
            <v>6</v>
          </cell>
          <cell r="EV112">
            <v>1</v>
          </cell>
          <cell r="EW112">
            <v>85.7</v>
          </cell>
          <cell r="EX112">
            <v>1</v>
          </cell>
          <cell r="EY112">
            <v>2</v>
          </cell>
          <cell r="EZ112">
            <v>33.299999999999997</v>
          </cell>
          <cell r="FA112">
            <v>7</v>
          </cell>
          <cell r="FB112">
            <v>1</v>
          </cell>
          <cell r="FC112">
            <v>87.5</v>
          </cell>
          <cell r="FD112">
            <v>9</v>
          </cell>
          <cell r="FE112">
            <v>1</v>
          </cell>
          <cell r="FF112">
            <v>90</v>
          </cell>
          <cell r="FG112">
            <v>2</v>
          </cell>
          <cell r="FH112">
            <v>2</v>
          </cell>
          <cell r="FI112">
            <v>100</v>
          </cell>
          <cell r="FJ112">
            <v>4</v>
          </cell>
          <cell r="FK112">
            <v>1</v>
          </cell>
          <cell r="FL112">
            <v>80</v>
          </cell>
          <cell r="FM112">
            <v>4</v>
          </cell>
          <cell r="FN112">
            <v>4</v>
          </cell>
          <cell r="FO112">
            <v>100</v>
          </cell>
          <cell r="FP112">
            <v>100</v>
          </cell>
          <cell r="FQ112">
            <v>100</v>
          </cell>
          <cell r="FR112" t="str">
            <v>-</v>
          </cell>
          <cell r="FS112">
            <v>100</v>
          </cell>
          <cell r="FT112">
            <v>100</v>
          </cell>
          <cell r="FU112" t="str">
            <v>-</v>
          </cell>
          <cell r="FV112">
            <v>100</v>
          </cell>
          <cell r="FW112">
            <v>100</v>
          </cell>
          <cell r="FX112" t="str">
            <v>-</v>
          </cell>
          <cell r="FY112">
            <v>100</v>
          </cell>
          <cell r="FZ112">
            <v>100</v>
          </cell>
          <cell r="GA112" t="str">
            <v>-</v>
          </cell>
          <cell r="GB112">
            <v>2</v>
          </cell>
          <cell r="GC112">
            <v>2</v>
          </cell>
          <cell r="GD112">
            <v>100</v>
          </cell>
          <cell r="GE112">
            <v>100</v>
          </cell>
          <cell r="GF112">
            <v>100</v>
          </cell>
          <cell r="GG112" t="str">
            <v>-</v>
          </cell>
          <cell r="GH112">
            <v>100</v>
          </cell>
          <cell r="GI112">
            <v>100</v>
          </cell>
          <cell r="GJ112" t="str">
            <v>-</v>
          </cell>
          <cell r="GK112">
            <v>100</v>
          </cell>
          <cell r="GL112">
            <v>100</v>
          </cell>
          <cell r="GM112" t="str">
            <v>-</v>
          </cell>
          <cell r="GN112">
            <v>19</v>
          </cell>
          <cell r="GO112">
            <v>2</v>
          </cell>
          <cell r="GP112">
            <v>90.5</v>
          </cell>
          <cell r="GQ112">
            <v>21</v>
          </cell>
          <cell r="GR112">
            <v>1</v>
          </cell>
          <cell r="GS112">
            <v>95.5</v>
          </cell>
          <cell r="GT112">
            <v>17</v>
          </cell>
          <cell r="GU112">
            <v>3</v>
          </cell>
          <cell r="GV112">
            <v>85</v>
          </cell>
          <cell r="GW112">
            <v>21</v>
          </cell>
          <cell r="GX112">
            <v>4</v>
          </cell>
          <cell r="GY112">
            <v>84</v>
          </cell>
          <cell r="GZ112">
            <v>23</v>
          </cell>
          <cell r="HA112">
            <v>4</v>
          </cell>
          <cell r="HB112">
            <v>85.2</v>
          </cell>
          <cell r="HC112">
            <v>17</v>
          </cell>
          <cell r="HD112">
            <v>2</v>
          </cell>
          <cell r="HE112">
            <v>89.5</v>
          </cell>
          <cell r="HF112">
            <v>8</v>
          </cell>
          <cell r="HG112">
            <v>8</v>
          </cell>
          <cell r="HH112">
            <v>100</v>
          </cell>
          <cell r="HI112">
            <v>5</v>
          </cell>
          <cell r="HJ112">
            <v>5</v>
          </cell>
          <cell r="HK112">
            <v>100</v>
          </cell>
          <cell r="HL112">
            <v>100</v>
          </cell>
          <cell r="HM112">
            <v>100</v>
          </cell>
          <cell r="HN112" t="str">
            <v>-</v>
          </cell>
          <cell r="HO112">
            <v>3</v>
          </cell>
          <cell r="HP112">
            <v>2</v>
          </cell>
          <cell r="HQ112">
            <v>60</v>
          </cell>
          <cell r="HR112">
            <v>1</v>
          </cell>
          <cell r="HS112">
            <v>1</v>
          </cell>
          <cell r="HT112">
            <v>50</v>
          </cell>
          <cell r="HU112">
            <v>3</v>
          </cell>
          <cell r="HV112">
            <v>3</v>
          </cell>
          <cell r="HW112">
            <v>50</v>
          </cell>
          <cell r="HX112">
            <v>50</v>
          </cell>
          <cell r="HY112">
            <v>50</v>
          </cell>
          <cell r="HZ112" t="str">
            <v>-</v>
          </cell>
          <cell r="IA112">
            <v>50</v>
          </cell>
          <cell r="IB112">
            <v>50</v>
          </cell>
          <cell r="IC112" t="str">
            <v>-</v>
          </cell>
          <cell r="ID112">
            <v>50</v>
          </cell>
          <cell r="IE112">
            <v>50</v>
          </cell>
          <cell r="IF112" t="str">
            <v>-</v>
          </cell>
          <cell r="IG112">
            <v>1</v>
          </cell>
          <cell r="IH112">
            <v>1</v>
          </cell>
          <cell r="II112">
            <v>100</v>
          </cell>
          <cell r="IJ112">
            <v>2</v>
          </cell>
          <cell r="IK112">
            <v>1</v>
          </cell>
          <cell r="IL112">
            <v>66.7</v>
          </cell>
          <cell r="IM112">
            <v>2</v>
          </cell>
          <cell r="IN112">
            <v>2</v>
          </cell>
          <cell r="IO112">
            <v>100</v>
          </cell>
          <cell r="IP112">
            <v>4</v>
          </cell>
          <cell r="IQ112">
            <v>4</v>
          </cell>
          <cell r="IR112">
            <v>100</v>
          </cell>
          <cell r="IS112">
            <v>100</v>
          </cell>
          <cell r="IT112">
            <v>100</v>
          </cell>
          <cell r="IU112" t="str">
            <v>-</v>
          </cell>
          <cell r="IV112">
            <v>100</v>
          </cell>
          <cell r="IW112">
            <v>100</v>
          </cell>
          <cell r="IX112" t="str">
            <v>-</v>
          </cell>
          <cell r="IY112">
            <v>100</v>
          </cell>
          <cell r="IZ112">
            <v>100</v>
          </cell>
          <cell r="JA112" t="str">
            <v>-</v>
          </cell>
          <cell r="JB112">
            <v>2</v>
          </cell>
          <cell r="JC112">
            <v>1</v>
          </cell>
          <cell r="JD112">
            <v>66.7</v>
          </cell>
          <cell r="JE112">
            <v>3</v>
          </cell>
          <cell r="JF112">
            <v>2</v>
          </cell>
          <cell r="JG112">
            <v>60</v>
          </cell>
          <cell r="JH112">
            <v>1</v>
          </cell>
          <cell r="JI112">
            <v>0</v>
          </cell>
          <cell r="JJ112">
            <v>100</v>
          </cell>
          <cell r="JK112">
            <v>0</v>
          </cell>
          <cell r="JL112">
            <v>0</v>
          </cell>
          <cell r="JM112" t="str">
            <v>-</v>
          </cell>
          <cell r="JN112">
            <v>1</v>
          </cell>
          <cell r="JO112">
            <v>0</v>
          </cell>
          <cell r="JP112">
            <v>100</v>
          </cell>
          <cell r="JQ112">
            <v>119</v>
          </cell>
          <cell r="JR112">
            <v>21</v>
          </cell>
          <cell r="JS112">
            <v>85</v>
          </cell>
          <cell r="JT112">
            <v>98</v>
          </cell>
          <cell r="JU112">
            <v>18</v>
          </cell>
          <cell r="JV112">
            <v>84.482758620689651</v>
          </cell>
          <cell r="JW112">
            <v>0</v>
          </cell>
          <cell r="JX112">
            <v>0</v>
          </cell>
          <cell r="JY112" t="str">
            <v>-</v>
          </cell>
          <cell r="JZ112">
            <v>26</v>
          </cell>
          <cell r="KA112">
            <v>3</v>
          </cell>
          <cell r="KB112">
            <v>89.65517241379311</v>
          </cell>
          <cell r="KC112">
            <v>2</v>
          </cell>
          <cell r="KD112">
            <v>0</v>
          </cell>
          <cell r="KE112">
            <v>100</v>
          </cell>
          <cell r="KF112">
            <v>74</v>
          </cell>
          <cell r="KG112">
            <v>10</v>
          </cell>
          <cell r="KH112">
            <v>88.095238095238088</v>
          </cell>
          <cell r="KI112">
            <v>4</v>
          </cell>
          <cell r="KJ112">
            <v>3</v>
          </cell>
          <cell r="KK112">
            <v>57.142857142857139</v>
          </cell>
          <cell r="KL112">
            <v>5</v>
          </cell>
          <cell r="KM112">
            <v>3</v>
          </cell>
          <cell r="KN112">
            <v>62.5</v>
          </cell>
        </row>
        <row r="113">
          <cell r="C113" t="str">
            <v>Esztergomi Rendőrkapitányság</v>
          </cell>
          <cell r="D113">
            <v>62.5</v>
          </cell>
          <cell r="E113">
            <v>62.5</v>
          </cell>
          <cell r="F113" t="str">
            <v>-</v>
          </cell>
          <cell r="G113">
            <v>62.5</v>
          </cell>
          <cell r="H113">
            <v>62.5</v>
          </cell>
          <cell r="I113" t="str">
            <v>-</v>
          </cell>
          <cell r="J113">
            <v>62.5</v>
          </cell>
          <cell r="K113">
            <v>62.5</v>
          </cell>
          <cell r="L113" t="str">
            <v>-</v>
          </cell>
          <cell r="M113">
            <v>62.5</v>
          </cell>
          <cell r="N113">
            <v>62.5</v>
          </cell>
          <cell r="O113" t="str">
            <v>-</v>
          </cell>
          <cell r="P113">
            <v>62.5</v>
          </cell>
          <cell r="Q113">
            <v>62.5</v>
          </cell>
          <cell r="R113" t="str">
            <v>-</v>
          </cell>
          <cell r="S113">
            <v>62.5</v>
          </cell>
          <cell r="T113">
            <v>62.5</v>
          </cell>
          <cell r="U113" t="str">
            <v>-</v>
          </cell>
          <cell r="V113">
            <v>62.5</v>
          </cell>
          <cell r="W113">
            <v>62.5</v>
          </cell>
          <cell r="X113" t="str">
            <v>-</v>
          </cell>
          <cell r="Y113">
            <v>62.5</v>
          </cell>
          <cell r="Z113">
            <v>62.5</v>
          </cell>
          <cell r="AA113" t="str">
            <v>-</v>
          </cell>
          <cell r="AB113">
            <v>62.5</v>
          </cell>
          <cell r="AC113">
            <v>62.5</v>
          </cell>
          <cell r="AD113" t="str">
            <v>-</v>
          </cell>
          <cell r="AE113">
            <v>62.5</v>
          </cell>
          <cell r="AF113">
            <v>62.5</v>
          </cell>
          <cell r="AG113" t="str">
            <v>-</v>
          </cell>
          <cell r="AH113">
            <v>62.5</v>
          </cell>
          <cell r="AI113">
            <v>62.5</v>
          </cell>
          <cell r="AJ113" t="str">
            <v>-</v>
          </cell>
          <cell r="AK113">
            <v>62.5</v>
          </cell>
          <cell r="AL113">
            <v>62.5</v>
          </cell>
          <cell r="AM113" t="str">
            <v>-</v>
          </cell>
          <cell r="AN113">
            <v>62.5</v>
          </cell>
          <cell r="AO113">
            <v>62.5</v>
          </cell>
          <cell r="AP113" t="str">
            <v>-</v>
          </cell>
          <cell r="AQ113">
            <v>62.5</v>
          </cell>
          <cell r="AR113">
            <v>62.5</v>
          </cell>
          <cell r="AS113" t="str">
            <v>-</v>
          </cell>
          <cell r="AT113">
            <v>62.5</v>
          </cell>
          <cell r="AU113">
            <v>62.5</v>
          </cell>
          <cell r="AV113" t="str">
            <v>-</v>
          </cell>
          <cell r="AW113">
            <v>62.5</v>
          </cell>
          <cell r="AX113">
            <v>62.5</v>
          </cell>
          <cell r="AY113" t="str">
            <v>-</v>
          </cell>
          <cell r="AZ113">
            <v>62.5</v>
          </cell>
          <cell r="BA113">
            <v>62.5</v>
          </cell>
          <cell r="BB113" t="str">
            <v>-</v>
          </cell>
          <cell r="BC113">
            <v>62.5</v>
          </cell>
          <cell r="BD113">
            <v>62.5</v>
          </cell>
          <cell r="BE113" t="str">
            <v>-</v>
          </cell>
          <cell r="BF113">
            <v>62.5</v>
          </cell>
          <cell r="BG113">
            <v>62.5</v>
          </cell>
          <cell r="BH113" t="str">
            <v>-</v>
          </cell>
          <cell r="BI113">
            <v>62.5</v>
          </cell>
          <cell r="BJ113">
            <v>62.5</v>
          </cell>
          <cell r="BK113" t="str">
            <v>-</v>
          </cell>
          <cell r="BL113">
            <v>62.5</v>
          </cell>
          <cell r="BM113">
            <v>62.5</v>
          </cell>
          <cell r="BN113" t="str">
            <v>-</v>
          </cell>
          <cell r="BO113">
            <v>62.5</v>
          </cell>
          <cell r="BP113">
            <v>62.5</v>
          </cell>
          <cell r="BQ113" t="str">
            <v>-</v>
          </cell>
          <cell r="BR113">
            <v>62.5</v>
          </cell>
          <cell r="BS113">
            <v>62.5</v>
          </cell>
          <cell r="BT113" t="str">
            <v>-</v>
          </cell>
          <cell r="BU113">
            <v>62.5</v>
          </cell>
          <cell r="BV113">
            <v>62.5</v>
          </cell>
          <cell r="BW113" t="str">
            <v>-</v>
          </cell>
          <cell r="BX113">
            <v>81</v>
          </cell>
          <cell r="BY113">
            <v>24</v>
          </cell>
          <cell r="BZ113">
            <v>77.099999999999994</v>
          </cell>
          <cell r="CA113">
            <v>60</v>
          </cell>
          <cell r="CB113">
            <v>14</v>
          </cell>
          <cell r="CC113">
            <v>81.099999999999994</v>
          </cell>
          <cell r="CD113">
            <v>50</v>
          </cell>
          <cell r="CE113">
            <v>23</v>
          </cell>
          <cell r="CF113">
            <v>68.5</v>
          </cell>
          <cell r="CG113">
            <v>53</v>
          </cell>
          <cell r="CH113">
            <v>13</v>
          </cell>
          <cell r="CI113">
            <v>80.3</v>
          </cell>
          <cell r="CJ113">
            <v>44</v>
          </cell>
          <cell r="CK113">
            <v>21</v>
          </cell>
          <cell r="CL113">
            <v>67.7</v>
          </cell>
          <cell r="CM113">
            <v>52</v>
          </cell>
          <cell r="CN113">
            <v>21</v>
          </cell>
          <cell r="CO113">
            <v>71.2</v>
          </cell>
          <cell r="CP113">
            <v>51</v>
          </cell>
          <cell r="CQ113">
            <v>11</v>
          </cell>
          <cell r="CR113">
            <v>82.3</v>
          </cell>
          <cell r="CS113">
            <v>48</v>
          </cell>
          <cell r="CT113">
            <v>15</v>
          </cell>
          <cell r="CU113">
            <v>76.2</v>
          </cell>
          <cell r="CV113">
            <v>45</v>
          </cell>
          <cell r="CW113">
            <v>19</v>
          </cell>
          <cell r="CX113">
            <v>70.3</v>
          </cell>
          <cell r="CY113">
            <v>38</v>
          </cell>
          <cell r="CZ113">
            <v>10</v>
          </cell>
          <cell r="DA113">
            <v>79.2</v>
          </cell>
          <cell r="DB113">
            <v>31</v>
          </cell>
          <cell r="DC113">
            <v>20</v>
          </cell>
          <cell r="DD113">
            <v>60.8</v>
          </cell>
          <cell r="DE113">
            <v>28</v>
          </cell>
          <cell r="DF113">
            <v>11</v>
          </cell>
          <cell r="DG113">
            <v>71.8</v>
          </cell>
          <cell r="DH113">
            <v>24</v>
          </cell>
          <cell r="DI113">
            <v>16</v>
          </cell>
          <cell r="DJ113">
            <v>60</v>
          </cell>
          <cell r="DK113">
            <v>34</v>
          </cell>
          <cell r="DL113">
            <v>15</v>
          </cell>
          <cell r="DM113">
            <v>69.400000000000006</v>
          </cell>
          <cell r="DN113">
            <v>31</v>
          </cell>
          <cell r="DO113">
            <v>9</v>
          </cell>
          <cell r="DP113">
            <v>77.5</v>
          </cell>
          <cell r="DQ113">
            <v>34</v>
          </cell>
          <cell r="DR113">
            <v>12</v>
          </cell>
          <cell r="DS113">
            <v>73.900000000000006</v>
          </cell>
          <cell r="DT113">
            <v>73.89996337890625</v>
          </cell>
          <cell r="DU113">
            <v>73.89996337890625</v>
          </cell>
          <cell r="DV113" t="str">
            <v>-</v>
          </cell>
          <cell r="DW113">
            <v>73.89996337890625</v>
          </cell>
          <cell r="DX113">
            <v>73.89996337890625</v>
          </cell>
          <cell r="DY113" t="str">
            <v>-</v>
          </cell>
          <cell r="DZ113">
            <v>73.89996337890625</v>
          </cell>
          <cell r="EA113">
            <v>73.89996337890625</v>
          </cell>
          <cell r="EB113" t="str">
            <v>-</v>
          </cell>
          <cell r="EC113">
            <v>73.89996337890625</v>
          </cell>
          <cell r="ED113">
            <v>73.89996337890625</v>
          </cell>
          <cell r="EE113" t="str">
            <v>-</v>
          </cell>
          <cell r="EF113">
            <v>73.89996337890625</v>
          </cell>
          <cell r="EG113">
            <v>73.89996337890625</v>
          </cell>
          <cell r="EH113" t="str">
            <v>-</v>
          </cell>
          <cell r="EI113">
            <v>73.89996337890625</v>
          </cell>
          <cell r="EJ113">
            <v>73.89996337890625</v>
          </cell>
          <cell r="EK113" t="str">
            <v>-</v>
          </cell>
          <cell r="EL113">
            <v>73.89996337890625</v>
          </cell>
          <cell r="EM113">
            <v>73.89996337890625</v>
          </cell>
          <cell r="EN113" t="str">
            <v>-</v>
          </cell>
          <cell r="EO113">
            <v>73.89996337890625</v>
          </cell>
          <cell r="EP113">
            <v>73.89996337890625</v>
          </cell>
          <cell r="EQ113" t="str">
            <v>-</v>
          </cell>
          <cell r="ER113">
            <v>15</v>
          </cell>
          <cell r="ES113">
            <v>4</v>
          </cell>
          <cell r="ET113">
            <v>78.900000000000006</v>
          </cell>
          <cell r="EU113">
            <v>23</v>
          </cell>
          <cell r="EV113">
            <v>8</v>
          </cell>
          <cell r="EW113">
            <v>74.2</v>
          </cell>
          <cell r="EX113">
            <v>5</v>
          </cell>
          <cell r="EY113">
            <v>14</v>
          </cell>
          <cell r="EZ113">
            <v>26.3</v>
          </cell>
          <cell r="FA113">
            <v>11</v>
          </cell>
          <cell r="FB113">
            <v>8</v>
          </cell>
          <cell r="FC113">
            <v>57.9</v>
          </cell>
          <cell r="FD113">
            <v>8</v>
          </cell>
          <cell r="FE113">
            <v>5</v>
          </cell>
          <cell r="FF113">
            <v>61.5</v>
          </cell>
          <cell r="FG113">
            <v>13</v>
          </cell>
          <cell r="FH113">
            <v>4</v>
          </cell>
          <cell r="FI113">
            <v>76.5</v>
          </cell>
          <cell r="FJ113">
            <v>8</v>
          </cell>
          <cell r="FK113">
            <v>1</v>
          </cell>
          <cell r="FL113">
            <v>88.9</v>
          </cell>
          <cell r="FM113">
            <v>3</v>
          </cell>
          <cell r="FN113">
            <v>1</v>
          </cell>
          <cell r="FO113">
            <v>75</v>
          </cell>
          <cell r="FP113">
            <v>75</v>
          </cell>
          <cell r="FQ113">
            <v>75</v>
          </cell>
          <cell r="FR113" t="str">
            <v>-</v>
          </cell>
          <cell r="FS113">
            <v>75</v>
          </cell>
          <cell r="FT113">
            <v>75</v>
          </cell>
          <cell r="FU113" t="str">
            <v>-</v>
          </cell>
          <cell r="FV113">
            <v>75</v>
          </cell>
          <cell r="FW113">
            <v>75</v>
          </cell>
          <cell r="FX113" t="str">
            <v>-</v>
          </cell>
          <cell r="FY113">
            <v>75</v>
          </cell>
          <cell r="FZ113">
            <v>75</v>
          </cell>
          <cell r="GA113" t="str">
            <v>-</v>
          </cell>
          <cell r="GB113">
            <v>75</v>
          </cell>
          <cell r="GC113">
            <v>75</v>
          </cell>
          <cell r="GD113" t="str">
            <v>-</v>
          </cell>
          <cell r="GE113">
            <v>75</v>
          </cell>
          <cell r="GF113">
            <v>75</v>
          </cell>
          <cell r="GG113" t="str">
            <v>-</v>
          </cell>
          <cell r="GH113">
            <v>75</v>
          </cell>
          <cell r="GI113">
            <v>75</v>
          </cell>
          <cell r="GJ113" t="str">
            <v>-</v>
          </cell>
          <cell r="GK113">
            <v>75</v>
          </cell>
          <cell r="GL113">
            <v>75</v>
          </cell>
          <cell r="GM113" t="str">
            <v>-</v>
          </cell>
          <cell r="GN113">
            <v>70</v>
          </cell>
          <cell r="GO113">
            <v>13</v>
          </cell>
          <cell r="GP113">
            <v>84.3</v>
          </cell>
          <cell r="GQ113">
            <v>65</v>
          </cell>
          <cell r="GR113">
            <v>11</v>
          </cell>
          <cell r="GS113">
            <v>85.5</v>
          </cell>
          <cell r="GT113">
            <v>61</v>
          </cell>
          <cell r="GU113">
            <v>20</v>
          </cell>
          <cell r="GV113">
            <v>75.3</v>
          </cell>
          <cell r="GW113">
            <v>66</v>
          </cell>
          <cell r="GX113">
            <v>28</v>
          </cell>
          <cell r="GY113">
            <v>70.2</v>
          </cell>
          <cell r="GZ113">
            <v>60</v>
          </cell>
          <cell r="HA113">
            <v>27</v>
          </cell>
          <cell r="HB113">
            <v>69</v>
          </cell>
          <cell r="HC113">
            <v>54</v>
          </cell>
          <cell r="HD113">
            <v>20</v>
          </cell>
          <cell r="HE113">
            <v>73</v>
          </cell>
          <cell r="HF113">
            <v>40</v>
          </cell>
          <cell r="HG113">
            <v>17</v>
          </cell>
          <cell r="HH113">
            <v>70.2</v>
          </cell>
          <cell r="HI113">
            <v>34</v>
          </cell>
          <cell r="HJ113">
            <v>8</v>
          </cell>
          <cell r="HK113">
            <v>81</v>
          </cell>
          <cell r="HL113">
            <v>9</v>
          </cell>
          <cell r="HM113">
            <v>6</v>
          </cell>
          <cell r="HN113">
            <v>60</v>
          </cell>
          <cell r="HO113">
            <v>3</v>
          </cell>
          <cell r="HP113">
            <v>6</v>
          </cell>
          <cell r="HQ113">
            <v>33.299999999999997</v>
          </cell>
          <cell r="HR113">
            <v>5</v>
          </cell>
          <cell r="HS113">
            <v>3</v>
          </cell>
          <cell r="HT113">
            <v>62.5</v>
          </cell>
          <cell r="HU113">
            <v>6</v>
          </cell>
          <cell r="HV113">
            <v>4</v>
          </cell>
          <cell r="HW113">
            <v>60</v>
          </cell>
          <cell r="HX113">
            <v>1</v>
          </cell>
          <cell r="HY113">
            <v>3</v>
          </cell>
          <cell r="HZ113">
            <v>25</v>
          </cell>
          <cell r="IA113">
            <v>2</v>
          </cell>
          <cell r="IB113">
            <v>2</v>
          </cell>
          <cell r="IC113">
            <v>50</v>
          </cell>
          <cell r="ID113">
            <v>1</v>
          </cell>
          <cell r="IE113">
            <v>3</v>
          </cell>
          <cell r="IF113">
            <v>25</v>
          </cell>
          <cell r="IG113">
            <v>2</v>
          </cell>
          <cell r="IH113">
            <v>1</v>
          </cell>
          <cell r="II113">
            <v>66.7</v>
          </cell>
          <cell r="IJ113">
            <v>3</v>
          </cell>
          <cell r="IK113">
            <v>2</v>
          </cell>
          <cell r="IL113">
            <v>60</v>
          </cell>
          <cell r="IM113">
            <v>1</v>
          </cell>
          <cell r="IN113">
            <v>1</v>
          </cell>
          <cell r="IO113">
            <v>100</v>
          </cell>
          <cell r="IP113">
            <v>1</v>
          </cell>
          <cell r="IQ113">
            <v>1</v>
          </cell>
          <cell r="IR113">
            <v>100</v>
          </cell>
          <cell r="IS113">
            <v>7</v>
          </cell>
          <cell r="IT113">
            <v>7</v>
          </cell>
          <cell r="IU113">
            <v>100</v>
          </cell>
          <cell r="IV113">
            <v>1</v>
          </cell>
          <cell r="IW113">
            <v>2</v>
          </cell>
          <cell r="IX113">
            <v>33.299999999999997</v>
          </cell>
          <cell r="IY113">
            <v>33.29998779296875</v>
          </cell>
          <cell r="IZ113">
            <v>33.29998779296875</v>
          </cell>
          <cell r="JA113" t="str">
            <v>-</v>
          </cell>
          <cell r="JB113">
            <v>5</v>
          </cell>
          <cell r="JC113">
            <v>5</v>
          </cell>
          <cell r="JD113">
            <v>100</v>
          </cell>
          <cell r="JE113">
            <v>2</v>
          </cell>
          <cell r="JF113">
            <v>2</v>
          </cell>
          <cell r="JG113">
            <v>100</v>
          </cell>
          <cell r="JH113">
            <v>0</v>
          </cell>
          <cell r="JI113">
            <v>0</v>
          </cell>
          <cell r="JJ113" t="str">
            <v>-</v>
          </cell>
          <cell r="JK113">
            <v>0</v>
          </cell>
          <cell r="JL113">
            <v>0</v>
          </cell>
          <cell r="JM113" t="str">
            <v>-</v>
          </cell>
          <cell r="JN113">
            <v>0</v>
          </cell>
          <cell r="JO113">
            <v>0</v>
          </cell>
          <cell r="JP113" t="str">
            <v>-</v>
          </cell>
          <cell r="JQ113">
            <v>248</v>
          </cell>
          <cell r="JR113">
            <v>81</v>
          </cell>
          <cell r="JS113">
            <v>75.379939209726444</v>
          </cell>
          <cell r="JT113">
            <v>151</v>
          </cell>
          <cell r="JU113">
            <v>63</v>
          </cell>
          <cell r="JV113">
            <v>70.56074766355141</v>
          </cell>
          <cell r="JW113">
            <v>0</v>
          </cell>
          <cell r="JX113">
            <v>0</v>
          </cell>
          <cell r="JY113" t="str">
            <v>-</v>
          </cell>
          <cell r="JZ113">
            <v>43</v>
          </cell>
          <cell r="KA113">
            <v>19</v>
          </cell>
          <cell r="KB113">
            <v>69.354838709677423</v>
          </cell>
          <cell r="KC113">
            <v>0</v>
          </cell>
          <cell r="KD113">
            <v>0</v>
          </cell>
          <cell r="KE113" t="str">
            <v>-</v>
          </cell>
          <cell r="KF113">
            <v>254</v>
          </cell>
          <cell r="KG113">
            <v>100</v>
          </cell>
          <cell r="KH113">
            <v>71.751412429378533</v>
          </cell>
          <cell r="KI113">
            <v>12</v>
          </cell>
          <cell r="KJ113">
            <v>13</v>
          </cell>
          <cell r="KK113">
            <v>48</v>
          </cell>
          <cell r="KL113">
            <v>15</v>
          </cell>
          <cell r="KM113">
            <v>2</v>
          </cell>
          <cell r="KN113">
            <v>88.235294117647058</v>
          </cell>
        </row>
        <row r="114">
          <cell r="C114" t="str">
            <v>Kisbéri Rendőrkapitányság</v>
          </cell>
          <cell r="D114">
            <v>88.23529052734375</v>
          </cell>
          <cell r="E114">
            <v>88.23529052734375</v>
          </cell>
          <cell r="F114" t="str">
            <v>-</v>
          </cell>
          <cell r="G114">
            <v>88.23529052734375</v>
          </cell>
          <cell r="H114">
            <v>88.23529052734375</v>
          </cell>
          <cell r="I114" t="str">
            <v>-</v>
          </cell>
          <cell r="J114">
            <v>88.23529052734375</v>
          </cell>
          <cell r="K114">
            <v>88.23529052734375</v>
          </cell>
          <cell r="L114" t="str">
            <v>-</v>
          </cell>
          <cell r="M114">
            <v>88.23529052734375</v>
          </cell>
          <cell r="N114">
            <v>88.23529052734375</v>
          </cell>
          <cell r="O114" t="str">
            <v>-</v>
          </cell>
          <cell r="P114">
            <v>88.23529052734375</v>
          </cell>
          <cell r="Q114">
            <v>88.23529052734375</v>
          </cell>
          <cell r="R114" t="str">
            <v>-</v>
          </cell>
          <cell r="S114">
            <v>88.23529052734375</v>
          </cell>
          <cell r="T114">
            <v>88.23529052734375</v>
          </cell>
          <cell r="U114" t="str">
            <v>-</v>
          </cell>
          <cell r="V114">
            <v>88.23529052734375</v>
          </cell>
          <cell r="W114">
            <v>88.23529052734375</v>
          </cell>
          <cell r="X114" t="str">
            <v>-</v>
          </cell>
          <cell r="Y114">
            <v>88.23529052734375</v>
          </cell>
          <cell r="Z114">
            <v>88.23529052734375</v>
          </cell>
          <cell r="AA114" t="str">
            <v>-</v>
          </cell>
          <cell r="AB114">
            <v>88.23529052734375</v>
          </cell>
          <cell r="AC114">
            <v>88.23529052734375</v>
          </cell>
          <cell r="AD114" t="str">
            <v>-</v>
          </cell>
          <cell r="AE114">
            <v>88.23529052734375</v>
          </cell>
          <cell r="AF114">
            <v>88.23529052734375</v>
          </cell>
          <cell r="AG114" t="str">
            <v>-</v>
          </cell>
          <cell r="AH114">
            <v>88.23529052734375</v>
          </cell>
          <cell r="AI114">
            <v>88.23529052734375</v>
          </cell>
          <cell r="AJ114" t="str">
            <v>-</v>
          </cell>
          <cell r="AK114">
            <v>88.23529052734375</v>
          </cell>
          <cell r="AL114">
            <v>88.23529052734375</v>
          </cell>
          <cell r="AM114" t="str">
            <v>-</v>
          </cell>
          <cell r="AN114">
            <v>88.23529052734375</v>
          </cell>
          <cell r="AO114">
            <v>88.23529052734375</v>
          </cell>
          <cell r="AP114" t="str">
            <v>-</v>
          </cell>
          <cell r="AQ114">
            <v>88.23529052734375</v>
          </cell>
          <cell r="AR114">
            <v>88.23529052734375</v>
          </cell>
          <cell r="AS114" t="str">
            <v>-</v>
          </cell>
          <cell r="AT114">
            <v>88.23529052734375</v>
          </cell>
          <cell r="AU114">
            <v>88.23529052734375</v>
          </cell>
          <cell r="AV114" t="str">
            <v>-</v>
          </cell>
          <cell r="AW114">
            <v>88.23529052734375</v>
          </cell>
          <cell r="AX114">
            <v>88.23529052734375</v>
          </cell>
          <cell r="AY114" t="str">
            <v>-</v>
          </cell>
          <cell r="AZ114">
            <v>88.23529052734375</v>
          </cell>
          <cell r="BA114">
            <v>88.23529052734375</v>
          </cell>
          <cell r="BB114" t="str">
            <v>-</v>
          </cell>
          <cell r="BC114">
            <v>88.23529052734375</v>
          </cell>
          <cell r="BD114">
            <v>88.23529052734375</v>
          </cell>
          <cell r="BE114" t="str">
            <v>-</v>
          </cell>
          <cell r="BF114">
            <v>88.23529052734375</v>
          </cell>
          <cell r="BG114">
            <v>88.23529052734375</v>
          </cell>
          <cell r="BH114" t="str">
            <v>-</v>
          </cell>
          <cell r="BI114">
            <v>88.23529052734375</v>
          </cell>
          <cell r="BJ114">
            <v>88.23529052734375</v>
          </cell>
          <cell r="BK114" t="str">
            <v>-</v>
          </cell>
          <cell r="BL114">
            <v>88.23529052734375</v>
          </cell>
          <cell r="BM114">
            <v>88.23529052734375</v>
          </cell>
          <cell r="BN114" t="str">
            <v>-</v>
          </cell>
          <cell r="BO114">
            <v>88.23529052734375</v>
          </cell>
          <cell r="BP114">
            <v>88.23529052734375</v>
          </cell>
          <cell r="BQ114" t="str">
            <v>-</v>
          </cell>
          <cell r="BR114">
            <v>88.23529052734375</v>
          </cell>
          <cell r="BS114">
            <v>88.23529052734375</v>
          </cell>
          <cell r="BT114" t="str">
            <v>-</v>
          </cell>
          <cell r="BU114">
            <v>88.23529052734375</v>
          </cell>
          <cell r="BV114">
            <v>88.23529052734375</v>
          </cell>
          <cell r="BW114" t="str">
            <v>-</v>
          </cell>
          <cell r="BX114">
            <v>25</v>
          </cell>
          <cell r="BY114">
            <v>25</v>
          </cell>
          <cell r="BZ114">
            <v>100</v>
          </cell>
          <cell r="CA114">
            <v>19</v>
          </cell>
          <cell r="CB114">
            <v>4</v>
          </cell>
          <cell r="CC114">
            <v>82.6</v>
          </cell>
          <cell r="CD114">
            <v>20</v>
          </cell>
          <cell r="CE114">
            <v>6</v>
          </cell>
          <cell r="CF114">
            <v>76.900000000000006</v>
          </cell>
          <cell r="CG114">
            <v>18</v>
          </cell>
          <cell r="CH114">
            <v>3</v>
          </cell>
          <cell r="CI114">
            <v>85.7</v>
          </cell>
          <cell r="CJ114">
            <v>13</v>
          </cell>
          <cell r="CK114">
            <v>2</v>
          </cell>
          <cell r="CL114">
            <v>86.7</v>
          </cell>
          <cell r="CM114">
            <v>19</v>
          </cell>
          <cell r="CN114">
            <v>3</v>
          </cell>
          <cell r="CO114">
            <v>86.4</v>
          </cell>
          <cell r="CP114">
            <v>17</v>
          </cell>
          <cell r="CQ114">
            <v>3</v>
          </cell>
          <cell r="CR114">
            <v>85</v>
          </cell>
          <cell r="CS114">
            <v>23</v>
          </cell>
          <cell r="CT114">
            <v>8</v>
          </cell>
          <cell r="CU114">
            <v>74.2</v>
          </cell>
          <cell r="CV114">
            <v>19</v>
          </cell>
          <cell r="CW114">
            <v>19</v>
          </cell>
          <cell r="CX114">
            <v>100</v>
          </cell>
          <cell r="CY114">
            <v>14</v>
          </cell>
          <cell r="CZ114">
            <v>4</v>
          </cell>
          <cell r="DA114">
            <v>77.8</v>
          </cell>
          <cell r="DB114">
            <v>13</v>
          </cell>
          <cell r="DC114">
            <v>3</v>
          </cell>
          <cell r="DD114">
            <v>81.3</v>
          </cell>
          <cell r="DE114">
            <v>7</v>
          </cell>
          <cell r="DF114">
            <v>2</v>
          </cell>
          <cell r="DG114">
            <v>77.8</v>
          </cell>
          <cell r="DH114">
            <v>8</v>
          </cell>
          <cell r="DI114">
            <v>2</v>
          </cell>
          <cell r="DJ114">
            <v>80</v>
          </cell>
          <cell r="DK114">
            <v>8</v>
          </cell>
          <cell r="DL114">
            <v>2</v>
          </cell>
          <cell r="DM114">
            <v>80</v>
          </cell>
          <cell r="DN114">
            <v>7</v>
          </cell>
          <cell r="DO114">
            <v>3</v>
          </cell>
          <cell r="DP114">
            <v>70</v>
          </cell>
          <cell r="DQ114">
            <v>12</v>
          </cell>
          <cell r="DR114">
            <v>8</v>
          </cell>
          <cell r="DS114">
            <v>60</v>
          </cell>
          <cell r="DT114">
            <v>60</v>
          </cell>
          <cell r="DU114">
            <v>60</v>
          </cell>
          <cell r="DV114" t="str">
            <v>-</v>
          </cell>
          <cell r="DW114">
            <v>60</v>
          </cell>
          <cell r="DX114">
            <v>60</v>
          </cell>
          <cell r="DY114" t="str">
            <v>-</v>
          </cell>
          <cell r="DZ114">
            <v>60</v>
          </cell>
          <cell r="EA114">
            <v>60</v>
          </cell>
          <cell r="EB114" t="str">
            <v>-</v>
          </cell>
          <cell r="EC114">
            <v>60</v>
          </cell>
          <cell r="ED114">
            <v>60</v>
          </cell>
          <cell r="EE114" t="str">
            <v>-</v>
          </cell>
          <cell r="EF114">
            <v>60</v>
          </cell>
          <cell r="EG114">
            <v>60</v>
          </cell>
          <cell r="EH114" t="str">
            <v>-</v>
          </cell>
          <cell r="EI114">
            <v>60</v>
          </cell>
          <cell r="EJ114">
            <v>60</v>
          </cell>
          <cell r="EK114" t="str">
            <v>-</v>
          </cell>
          <cell r="EL114">
            <v>60</v>
          </cell>
          <cell r="EM114">
            <v>60</v>
          </cell>
          <cell r="EN114" t="str">
            <v>-</v>
          </cell>
          <cell r="EO114">
            <v>60</v>
          </cell>
          <cell r="EP114">
            <v>60</v>
          </cell>
          <cell r="EQ114" t="str">
            <v>-</v>
          </cell>
          <cell r="ER114">
            <v>7</v>
          </cell>
          <cell r="ES114">
            <v>2</v>
          </cell>
          <cell r="ET114">
            <v>77.8</v>
          </cell>
          <cell r="EU114">
            <v>6</v>
          </cell>
          <cell r="EV114">
            <v>3</v>
          </cell>
          <cell r="EW114">
            <v>66.7</v>
          </cell>
          <cell r="EX114">
            <v>4</v>
          </cell>
          <cell r="EY114">
            <v>6</v>
          </cell>
          <cell r="EZ114">
            <v>40</v>
          </cell>
          <cell r="FA114">
            <v>4</v>
          </cell>
          <cell r="FB114">
            <v>2</v>
          </cell>
          <cell r="FC114">
            <v>66.7</v>
          </cell>
          <cell r="FD114">
            <v>66.699951171875</v>
          </cell>
          <cell r="FE114">
            <v>66.699951171875</v>
          </cell>
          <cell r="FF114" t="str">
            <v>-</v>
          </cell>
          <cell r="FG114">
            <v>66.699951171875</v>
          </cell>
          <cell r="FH114">
            <v>5</v>
          </cell>
          <cell r="FI114">
            <v>0</v>
          </cell>
          <cell r="FJ114">
            <v>5</v>
          </cell>
          <cell r="FK114">
            <v>5</v>
          </cell>
          <cell r="FL114">
            <v>100</v>
          </cell>
          <cell r="FM114">
            <v>5</v>
          </cell>
          <cell r="FN114">
            <v>5</v>
          </cell>
          <cell r="FO114">
            <v>100</v>
          </cell>
          <cell r="FP114">
            <v>100</v>
          </cell>
          <cell r="FQ114">
            <v>100</v>
          </cell>
          <cell r="FR114" t="str">
            <v>-</v>
          </cell>
          <cell r="FS114">
            <v>100</v>
          </cell>
          <cell r="FT114">
            <v>100</v>
          </cell>
          <cell r="FU114" t="str">
            <v>-</v>
          </cell>
          <cell r="FV114">
            <v>100</v>
          </cell>
          <cell r="FW114">
            <v>100</v>
          </cell>
          <cell r="FX114" t="str">
            <v>-</v>
          </cell>
          <cell r="FY114">
            <v>100</v>
          </cell>
          <cell r="FZ114">
            <v>100</v>
          </cell>
          <cell r="GA114" t="str">
            <v>-</v>
          </cell>
          <cell r="GB114">
            <v>100</v>
          </cell>
          <cell r="GC114">
            <v>100</v>
          </cell>
          <cell r="GD114" t="str">
            <v>-</v>
          </cell>
          <cell r="GE114">
            <v>100</v>
          </cell>
          <cell r="GF114">
            <v>100</v>
          </cell>
          <cell r="GG114" t="str">
            <v>-</v>
          </cell>
          <cell r="GH114">
            <v>100</v>
          </cell>
          <cell r="GI114">
            <v>100</v>
          </cell>
          <cell r="GJ114" t="str">
            <v>-</v>
          </cell>
          <cell r="GK114">
            <v>100</v>
          </cell>
          <cell r="GL114">
            <v>100</v>
          </cell>
          <cell r="GM114" t="str">
            <v>-</v>
          </cell>
          <cell r="GN114">
            <v>5</v>
          </cell>
          <cell r="GO114">
            <v>1</v>
          </cell>
          <cell r="GP114">
            <v>83.3</v>
          </cell>
          <cell r="GQ114">
            <v>6</v>
          </cell>
          <cell r="GR114">
            <v>1</v>
          </cell>
          <cell r="GS114">
            <v>85.7</v>
          </cell>
          <cell r="GT114">
            <v>12</v>
          </cell>
          <cell r="GU114">
            <v>3</v>
          </cell>
          <cell r="GV114">
            <v>80</v>
          </cell>
          <cell r="GW114">
            <v>15</v>
          </cell>
          <cell r="GX114">
            <v>1</v>
          </cell>
          <cell r="GY114">
            <v>93.8</v>
          </cell>
          <cell r="GZ114">
            <v>12</v>
          </cell>
          <cell r="HA114">
            <v>4</v>
          </cell>
          <cell r="HB114">
            <v>75</v>
          </cell>
          <cell r="HC114">
            <v>10</v>
          </cell>
          <cell r="HD114">
            <v>4</v>
          </cell>
          <cell r="HE114">
            <v>71.400000000000006</v>
          </cell>
          <cell r="HF114">
            <v>6</v>
          </cell>
          <cell r="HG114">
            <v>4</v>
          </cell>
          <cell r="HH114">
            <v>60</v>
          </cell>
          <cell r="HI114">
            <v>5</v>
          </cell>
          <cell r="HJ114">
            <v>1</v>
          </cell>
          <cell r="HK114">
            <v>83.3</v>
          </cell>
          <cell r="HL114">
            <v>1</v>
          </cell>
          <cell r="HM114">
            <v>1</v>
          </cell>
          <cell r="HN114">
            <v>100</v>
          </cell>
          <cell r="HO114">
            <v>100</v>
          </cell>
          <cell r="HP114">
            <v>100</v>
          </cell>
          <cell r="HQ114" t="str">
            <v>-</v>
          </cell>
          <cell r="HR114">
            <v>100</v>
          </cell>
          <cell r="HS114">
            <v>100</v>
          </cell>
          <cell r="HT114" t="str">
            <v>-</v>
          </cell>
          <cell r="HU114">
            <v>100</v>
          </cell>
          <cell r="HV114">
            <v>1</v>
          </cell>
          <cell r="HW114">
            <v>0</v>
          </cell>
          <cell r="HX114">
            <v>0</v>
          </cell>
          <cell r="HY114">
            <v>0</v>
          </cell>
          <cell r="HZ114" t="str">
            <v>-</v>
          </cell>
          <cell r="IA114">
            <v>0</v>
          </cell>
          <cell r="IB114">
            <v>0</v>
          </cell>
          <cell r="IC114" t="str">
            <v>-</v>
          </cell>
          <cell r="ID114">
            <v>1</v>
          </cell>
          <cell r="IE114">
            <v>1</v>
          </cell>
          <cell r="IF114">
            <v>50</v>
          </cell>
          <cell r="IG114">
            <v>1</v>
          </cell>
          <cell r="IH114">
            <v>1</v>
          </cell>
          <cell r="II114">
            <v>100</v>
          </cell>
          <cell r="IJ114">
            <v>100</v>
          </cell>
          <cell r="IK114">
            <v>100</v>
          </cell>
          <cell r="IL114" t="str">
            <v>-</v>
          </cell>
          <cell r="IM114">
            <v>100</v>
          </cell>
          <cell r="IN114">
            <v>100</v>
          </cell>
          <cell r="IO114" t="str">
            <v>-</v>
          </cell>
          <cell r="IP114">
            <v>100</v>
          </cell>
          <cell r="IQ114">
            <v>100</v>
          </cell>
          <cell r="IR114" t="str">
            <v>-</v>
          </cell>
          <cell r="IS114">
            <v>1</v>
          </cell>
          <cell r="IT114">
            <v>1</v>
          </cell>
          <cell r="IU114">
            <v>100</v>
          </cell>
          <cell r="IV114">
            <v>1</v>
          </cell>
          <cell r="IW114">
            <v>1</v>
          </cell>
          <cell r="IX114">
            <v>100</v>
          </cell>
          <cell r="IY114">
            <v>2</v>
          </cell>
          <cell r="IZ114">
            <v>2</v>
          </cell>
          <cell r="JA114">
            <v>100</v>
          </cell>
          <cell r="JB114">
            <v>1</v>
          </cell>
          <cell r="JC114">
            <v>1</v>
          </cell>
          <cell r="JD114">
            <v>100</v>
          </cell>
          <cell r="JE114">
            <v>1</v>
          </cell>
          <cell r="JF114">
            <v>1</v>
          </cell>
          <cell r="JG114">
            <v>50</v>
          </cell>
          <cell r="JH114">
            <v>0</v>
          </cell>
          <cell r="JI114">
            <v>0</v>
          </cell>
          <cell r="JJ114" t="str">
            <v>-</v>
          </cell>
          <cell r="JK114">
            <v>0</v>
          </cell>
          <cell r="JL114">
            <v>0</v>
          </cell>
          <cell r="JM114" t="str">
            <v>-</v>
          </cell>
          <cell r="JN114">
            <v>0</v>
          </cell>
          <cell r="JO114">
            <v>0</v>
          </cell>
          <cell r="JP114" t="str">
            <v>-</v>
          </cell>
          <cell r="JQ114">
            <v>90</v>
          </cell>
          <cell r="JR114">
            <v>19</v>
          </cell>
          <cell r="JS114">
            <v>82.568807339449549</v>
          </cell>
          <cell r="JT114">
            <v>42</v>
          </cell>
          <cell r="JU114">
            <v>17</v>
          </cell>
          <cell r="JV114">
            <v>71.186440677966104</v>
          </cell>
          <cell r="JW114">
            <v>0</v>
          </cell>
          <cell r="JX114">
            <v>0</v>
          </cell>
          <cell r="JY114" t="str">
            <v>-</v>
          </cell>
          <cell r="JZ114">
            <v>14</v>
          </cell>
          <cell r="KA114">
            <v>7</v>
          </cell>
          <cell r="KB114">
            <v>66.666666666666657</v>
          </cell>
          <cell r="KC114">
            <v>0</v>
          </cell>
          <cell r="KD114">
            <v>0</v>
          </cell>
          <cell r="KE114" t="str">
            <v>-</v>
          </cell>
          <cell r="KF114">
            <v>48</v>
          </cell>
          <cell r="KG114">
            <v>14</v>
          </cell>
          <cell r="KH114">
            <v>77.41935483870968</v>
          </cell>
          <cell r="KI114">
            <v>2</v>
          </cell>
          <cell r="KJ114">
            <v>2</v>
          </cell>
          <cell r="KK114">
            <v>50</v>
          </cell>
          <cell r="KL114">
            <v>6</v>
          </cell>
          <cell r="KM114">
            <v>1</v>
          </cell>
          <cell r="KN114">
            <v>85.714285714285708</v>
          </cell>
        </row>
        <row r="115">
          <cell r="C115" t="str">
            <v>Komárom-Esztergom Megyei Rendőr-főkapitányság</v>
          </cell>
          <cell r="D115">
            <v>12</v>
          </cell>
          <cell r="E115">
            <v>2</v>
          </cell>
          <cell r="F115">
            <v>85.7</v>
          </cell>
          <cell r="G115">
            <v>7</v>
          </cell>
          <cell r="H115">
            <v>7</v>
          </cell>
          <cell r="I115">
            <v>100</v>
          </cell>
          <cell r="J115">
            <v>11</v>
          </cell>
          <cell r="K115">
            <v>11</v>
          </cell>
          <cell r="L115">
            <v>100</v>
          </cell>
          <cell r="M115">
            <v>7</v>
          </cell>
          <cell r="N115">
            <v>7</v>
          </cell>
          <cell r="O115">
            <v>100</v>
          </cell>
          <cell r="P115">
            <v>6</v>
          </cell>
          <cell r="Q115">
            <v>6</v>
          </cell>
          <cell r="R115">
            <v>100</v>
          </cell>
          <cell r="S115">
            <v>13</v>
          </cell>
          <cell r="T115">
            <v>13</v>
          </cell>
          <cell r="U115">
            <v>100</v>
          </cell>
          <cell r="V115">
            <v>13</v>
          </cell>
          <cell r="W115">
            <v>13</v>
          </cell>
          <cell r="X115">
            <v>100</v>
          </cell>
          <cell r="Y115">
            <v>6</v>
          </cell>
          <cell r="Z115">
            <v>6</v>
          </cell>
          <cell r="AA115">
            <v>100</v>
          </cell>
          <cell r="AB115">
            <v>5</v>
          </cell>
          <cell r="AC115">
            <v>2</v>
          </cell>
          <cell r="AD115">
            <v>71.400000000000006</v>
          </cell>
          <cell r="AE115">
            <v>1</v>
          </cell>
          <cell r="AF115">
            <v>1</v>
          </cell>
          <cell r="AG115">
            <v>100</v>
          </cell>
          <cell r="AH115">
            <v>6</v>
          </cell>
          <cell r="AI115">
            <v>6</v>
          </cell>
          <cell r="AJ115">
            <v>100</v>
          </cell>
          <cell r="AK115">
            <v>3</v>
          </cell>
          <cell r="AL115">
            <v>3</v>
          </cell>
          <cell r="AM115">
            <v>100</v>
          </cell>
          <cell r="AN115">
            <v>2</v>
          </cell>
          <cell r="AO115">
            <v>2</v>
          </cell>
          <cell r="AP115">
            <v>100</v>
          </cell>
          <cell r="AQ115">
            <v>8</v>
          </cell>
          <cell r="AR115">
            <v>8</v>
          </cell>
          <cell r="AS115">
            <v>100</v>
          </cell>
          <cell r="AT115">
            <v>5</v>
          </cell>
          <cell r="AU115">
            <v>5</v>
          </cell>
          <cell r="AV115">
            <v>100</v>
          </cell>
          <cell r="AW115">
            <v>2</v>
          </cell>
          <cell r="AX115">
            <v>2</v>
          </cell>
          <cell r="AY115">
            <v>100</v>
          </cell>
          <cell r="AZ115">
            <v>4</v>
          </cell>
          <cell r="BA115">
            <v>4</v>
          </cell>
          <cell r="BB115">
            <v>100</v>
          </cell>
          <cell r="BC115">
            <v>6</v>
          </cell>
          <cell r="BD115">
            <v>6</v>
          </cell>
          <cell r="BE115">
            <v>100</v>
          </cell>
          <cell r="BF115">
            <v>4</v>
          </cell>
          <cell r="BG115">
            <v>4</v>
          </cell>
          <cell r="BH115">
            <v>100</v>
          </cell>
          <cell r="BI115">
            <v>3</v>
          </cell>
          <cell r="BJ115">
            <v>3</v>
          </cell>
          <cell r="BK115">
            <v>100</v>
          </cell>
          <cell r="BL115">
            <v>4</v>
          </cell>
          <cell r="BM115">
            <v>4</v>
          </cell>
          <cell r="BN115">
            <v>100</v>
          </cell>
          <cell r="BO115">
            <v>2</v>
          </cell>
          <cell r="BP115">
            <v>2</v>
          </cell>
          <cell r="BQ115">
            <v>100</v>
          </cell>
          <cell r="BR115">
            <v>7</v>
          </cell>
          <cell r="BS115">
            <v>7</v>
          </cell>
          <cell r="BT115">
            <v>100</v>
          </cell>
          <cell r="BU115">
            <v>3</v>
          </cell>
          <cell r="BV115">
            <v>3</v>
          </cell>
          <cell r="BW115">
            <v>100</v>
          </cell>
          <cell r="BX115">
            <v>332</v>
          </cell>
          <cell r="BY115">
            <v>74</v>
          </cell>
          <cell r="BZ115">
            <v>81.8</v>
          </cell>
          <cell r="CA115">
            <v>293</v>
          </cell>
          <cell r="CB115">
            <v>60</v>
          </cell>
          <cell r="CC115">
            <v>83</v>
          </cell>
          <cell r="CD115">
            <v>279</v>
          </cell>
          <cell r="CE115">
            <v>102</v>
          </cell>
          <cell r="CF115">
            <v>73.2</v>
          </cell>
          <cell r="CG115">
            <v>302</v>
          </cell>
          <cell r="CH115">
            <v>73</v>
          </cell>
          <cell r="CI115">
            <v>80.5</v>
          </cell>
          <cell r="CJ115">
            <v>267</v>
          </cell>
          <cell r="CK115">
            <v>83</v>
          </cell>
          <cell r="CL115">
            <v>76.3</v>
          </cell>
          <cell r="CM115">
            <v>247</v>
          </cell>
          <cell r="CN115">
            <v>65</v>
          </cell>
          <cell r="CO115">
            <v>79.2</v>
          </cell>
          <cell r="CP115">
            <v>228</v>
          </cell>
          <cell r="CQ115">
            <v>61</v>
          </cell>
          <cell r="CR115">
            <v>78.900000000000006</v>
          </cell>
          <cell r="CS115">
            <v>248</v>
          </cell>
          <cell r="CT115">
            <v>47</v>
          </cell>
          <cell r="CU115">
            <v>84.1</v>
          </cell>
          <cell r="CV115">
            <v>202</v>
          </cell>
          <cell r="CW115">
            <v>59</v>
          </cell>
          <cell r="CX115">
            <v>77.400000000000006</v>
          </cell>
          <cell r="CY115">
            <v>171</v>
          </cell>
          <cell r="CZ115">
            <v>47</v>
          </cell>
          <cell r="DA115">
            <v>78.400000000000006</v>
          </cell>
          <cell r="DB115">
            <v>168</v>
          </cell>
          <cell r="DC115">
            <v>82</v>
          </cell>
          <cell r="DD115">
            <v>67.2</v>
          </cell>
          <cell r="DE115">
            <v>179</v>
          </cell>
          <cell r="DF115">
            <v>62</v>
          </cell>
          <cell r="DG115">
            <v>74.3</v>
          </cell>
          <cell r="DH115">
            <v>155</v>
          </cell>
          <cell r="DI115">
            <v>70</v>
          </cell>
          <cell r="DJ115">
            <v>68.900000000000006</v>
          </cell>
          <cell r="DK115">
            <v>152</v>
          </cell>
          <cell r="DL115">
            <v>48</v>
          </cell>
          <cell r="DM115">
            <v>76</v>
          </cell>
          <cell r="DN115">
            <v>151</v>
          </cell>
          <cell r="DO115">
            <v>49</v>
          </cell>
          <cell r="DP115">
            <v>75.5</v>
          </cell>
          <cell r="DQ115">
            <v>157</v>
          </cell>
          <cell r="DR115">
            <v>40</v>
          </cell>
          <cell r="DS115">
            <v>79.7</v>
          </cell>
          <cell r="DT115">
            <v>2</v>
          </cell>
          <cell r="DU115">
            <v>2</v>
          </cell>
          <cell r="DV115">
            <v>100</v>
          </cell>
          <cell r="DW115">
            <v>2</v>
          </cell>
          <cell r="DX115">
            <v>2</v>
          </cell>
          <cell r="DY115">
            <v>100</v>
          </cell>
          <cell r="DZ115">
            <v>100</v>
          </cell>
          <cell r="EA115">
            <v>100</v>
          </cell>
          <cell r="EB115" t="str">
            <v>-</v>
          </cell>
          <cell r="EC115">
            <v>2</v>
          </cell>
          <cell r="ED115">
            <v>2</v>
          </cell>
          <cell r="EE115">
            <v>100</v>
          </cell>
          <cell r="EF115">
            <v>100</v>
          </cell>
          <cell r="EG115">
            <v>100</v>
          </cell>
          <cell r="EH115" t="str">
            <v>-</v>
          </cell>
          <cell r="EI115">
            <v>100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 t="str">
            <v>-</v>
          </cell>
          <cell r="EO115">
            <v>0</v>
          </cell>
          <cell r="EP115">
            <v>0</v>
          </cell>
          <cell r="EQ115" t="str">
            <v>-</v>
          </cell>
          <cell r="ER115">
            <v>107</v>
          </cell>
          <cell r="ES115">
            <v>26</v>
          </cell>
          <cell r="ET115">
            <v>80.5</v>
          </cell>
          <cell r="EU115">
            <v>101</v>
          </cell>
          <cell r="EV115">
            <v>24</v>
          </cell>
          <cell r="EW115">
            <v>80.8</v>
          </cell>
          <cell r="EX115">
            <v>61</v>
          </cell>
          <cell r="EY115">
            <v>47</v>
          </cell>
          <cell r="EZ115">
            <v>56.5</v>
          </cell>
          <cell r="FA115">
            <v>50</v>
          </cell>
          <cell r="FB115">
            <v>27</v>
          </cell>
          <cell r="FC115">
            <v>64.900000000000006</v>
          </cell>
          <cell r="FD115">
            <v>35</v>
          </cell>
          <cell r="FE115">
            <v>13</v>
          </cell>
          <cell r="FF115">
            <v>72.900000000000006</v>
          </cell>
          <cell r="FG115">
            <v>20</v>
          </cell>
          <cell r="FH115">
            <v>12</v>
          </cell>
          <cell r="FI115">
            <v>62.5</v>
          </cell>
          <cell r="FJ115">
            <v>37</v>
          </cell>
          <cell r="FK115">
            <v>4</v>
          </cell>
          <cell r="FL115">
            <v>90.2</v>
          </cell>
          <cell r="FM115">
            <v>30</v>
          </cell>
          <cell r="FN115">
            <v>14</v>
          </cell>
          <cell r="FO115">
            <v>68.2</v>
          </cell>
          <cell r="FP115">
            <v>68.199951171875</v>
          </cell>
          <cell r="FQ115">
            <v>68.199951171875</v>
          </cell>
          <cell r="FR115" t="str">
            <v>-</v>
          </cell>
          <cell r="FS115">
            <v>4</v>
          </cell>
          <cell r="FT115">
            <v>1</v>
          </cell>
          <cell r="FU115">
            <v>80</v>
          </cell>
          <cell r="FV115">
            <v>16</v>
          </cell>
          <cell r="FW115">
            <v>1</v>
          </cell>
          <cell r="FX115">
            <v>94.1</v>
          </cell>
          <cell r="FY115">
            <v>6</v>
          </cell>
          <cell r="FZ115">
            <v>1</v>
          </cell>
          <cell r="GA115">
            <v>85.7</v>
          </cell>
          <cell r="GB115">
            <v>34</v>
          </cell>
          <cell r="GC115">
            <v>2</v>
          </cell>
          <cell r="GD115">
            <v>94.4</v>
          </cell>
          <cell r="GE115">
            <v>59</v>
          </cell>
          <cell r="GF115">
            <v>3</v>
          </cell>
          <cell r="GG115">
            <v>95.2</v>
          </cell>
          <cell r="GH115">
            <v>7</v>
          </cell>
          <cell r="GI115">
            <v>3</v>
          </cell>
          <cell r="GJ115">
            <v>70</v>
          </cell>
          <cell r="GK115">
            <v>4</v>
          </cell>
          <cell r="GL115">
            <v>3</v>
          </cell>
          <cell r="GM115">
            <v>57.1</v>
          </cell>
          <cell r="GN115">
            <v>193</v>
          </cell>
          <cell r="GO115">
            <v>27</v>
          </cell>
          <cell r="GP115">
            <v>87.7</v>
          </cell>
          <cell r="GQ115">
            <v>246</v>
          </cell>
          <cell r="GR115">
            <v>37</v>
          </cell>
          <cell r="GS115">
            <v>86.9</v>
          </cell>
          <cell r="GT115">
            <v>240</v>
          </cell>
          <cell r="GU115">
            <v>68</v>
          </cell>
          <cell r="GV115">
            <v>77.900000000000006</v>
          </cell>
          <cell r="GW115">
            <v>246</v>
          </cell>
          <cell r="GX115">
            <v>64</v>
          </cell>
          <cell r="GY115">
            <v>79.400000000000006</v>
          </cell>
          <cell r="GZ115">
            <v>240</v>
          </cell>
          <cell r="HA115">
            <v>79</v>
          </cell>
          <cell r="HB115">
            <v>75.2</v>
          </cell>
          <cell r="HC115">
            <v>176</v>
          </cell>
          <cell r="HD115">
            <v>58</v>
          </cell>
          <cell r="HE115">
            <v>75.2</v>
          </cell>
          <cell r="HF115">
            <v>132</v>
          </cell>
          <cell r="HG115">
            <v>39</v>
          </cell>
          <cell r="HH115">
            <v>77.2</v>
          </cell>
          <cell r="HI115">
            <v>119</v>
          </cell>
          <cell r="HJ115">
            <v>21</v>
          </cell>
          <cell r="HK115">
            <v>85</v>
          </cell>
          <cell r="HL115">
            <v>28</v>
          </cell>
          <cell r="HM115">
            <v>9</v>
          </cell>
          <cell r="HN115">
            <v>75.7</v>
          </cell>
          <cell r="HO115">
            <v>19</v>
          </cell>
          <cell r="HP115">
            <v>10</v>
          </cell>
          <cell r="HQ115">
            <v>65.5</v>
          </cell>
          <cell r="HR115">
            <v>28</v>
          </cell>
          <cell r="HS115">
            <v>17</v>
          </cell>
          <cell r="HT115">
            <v>62.2</v>
          </cell>
          <cell r="HU115">
            <v>15</v>
          </cell>
          <cell r="HV115">
            <v>17</v>
          </cell>
          <cell r="HW115">
            <v>46.9</v>
          </cell>
          <cell r="HX115">
            <v>7</v>
          </cell>
          <cell r="HY115">
            <v>7</v>
          </cell>
          <cell r="HZ115">
            <v>50</v>
          </cell>
          <cell r="IA115">
            <v>10</v>
          </cell>
          <cell r="IB115">
            <v>6</v>
          </cell>
          <cell r="IC115">
            <v>62.5</v>
          </cell>
          <cell r="ID115">
            <v>6</v>
          </cell>
          <cell r="IE115">
            <v>8</v>
          </cell>
          <cell r="IF115">
            <v>42.9</v>
          </cell>
          <cell r="IG115">
            <v>7</v>
          </cell>
          <cell r="IH115">
            <v>5</v>
          </cell>
          <cell r="II115">
            <v>58.3</v>
          </cell>
          <cell r="IJ115">
            <v>24</v>
          </cell>
          <cell r="IK115">
            <v>6</v>
          </cell>
          <cell r="IL115">
            <v>80</v>
          </cell>
          <cell r="IM115">
            <v>21</v>
          </cell>
          <cell r="IN115">
            <v>8</v>
          </cell>
          <cell r="IO115">
            <v>72.400000000000006</v>
          </cell>
          <cell r="IP115">
            <v>33</v>
          </cell>
          <cell r="IQ115">
            <v>5</v>
          </cell>
          <cell r="IR115">
            <v>86.8</v>
          </cell>
          <cell r="IS115">
            <v>11</v>
          </cell>
          <cell r="IT115">
            <v>2</v>
          </cell>
          <cell r="IU115">
            <v>84.6</v>
          </cell>
          <cell r="IV115">
            <v>15</v>
          </cell>
          <cell r="IW115">
            <v>4</v>
          </cell>
          <cell r="IX115">
            <v>78.900000000000006</v>
          </cell>
          <cell r="IY115">
            <v>6</v>
          </cell>
          <cell r="IZ115">
            <v>6</v>
          </cell>
          <cell r="JA115">
            <v>100</v>
          </cell>
          <cell r="JB115">
            <v>28</v>
          </cell>
          <cell r="JC115">
            <v>4</v>
          </cell>
          <cell r="JD115">
            <v>87.5</v>
          </cell>
          <cell r="JE115">
            <v>26</v>
          </cell>
          <cell r="JF115">
            <v>4</v>
          </cell>
          <cell r="JG115">
            <v>86.7</v>
          </cell>
          <cell r="JH115">
            <v>45</v>
          </cell>
          <cell r="JI115">
            <v>0</v>
          </cell>
          <cell r="JJ115">
            <v>100</v>
          </cell>
          <cell r="JK115">
            <v>20</v>
          </cell>
          <cell r="JL115">
            <v>0</v>
          </cell>
          <cell r="JM115">
            <v>100</v>
          </cell>
          <cell r="JN115">
            <v>19</v>
          </cell>
          <cell r="JO115">
            <v>0</v>
          </cell>
          <cell r="JP115">
            <v>100</v>
          </cell>
          <cell r="JQ115">
            <v>1292</v>
          </cell>
          <cell r="JR115">
            <v>329</v>
          </cell>
          <cell r="JS115">
            <v>79.703886489821102</v>
          </cell>
          <cell r="JT115">
            <v>794</v>
          </cell>
          <cell r="JU115">
            <v>269</v>
          </cell>
          <cell r="JV115">
            <v>74.694261523988715</v>
          </cell>
          <cell r="JW115">
            <v>2</v>
          </cell>
          <cell r="JX115">
            <v>1</v>
          </cell>
          <cell r="JY115">
            <v>66.666666666666657</v>
          </cell>
          <cell r="JZ115">
            <v>172</v>
          </cell>
          <cell r="KA115">
            <v>70</v>
          </cell>
          <cell r="KB115">
            <v>71.074380165289256</v>
          </cell>
          <cell r="KC115">
            <v>110</v>
          </cell>
          <cell r="KD115">
            <v>12</v>
          </cell>
          <cell r="KE115">
            <v>90.163934426229503</v>
          </cell>
          <cell r="KF115">
            <v>913</v>
          </cell>
          <cell r="KG115">
            <v>261</v>
          </cell>
          <cell r="KH115">
            <v>77.768313458262355</v>
          </cell>
          <cell r="KI115">
            <v>45</v>
          </cell>
          <cell r="KJ115">
            <v>43</v>
          </cell>
          <cell r="KK115">
            <v>51.136363636363633</v>
          </cell>
          <cell r="KL115">
            <v>86</v>
          </cell>
          <cell r="KM115">
            <v>14</v>
          </cell>
          <cell r="KN115">
            <v>86</v>
          </cell>
        </row>
        <row r="116">
          <cell r="C116" t="str">
            <v>Nógrád MRFK Központ</v>
          </cell>
          <cell r="D116">
            <v>6</v>
          </cell>
          <cell r="E116">
            <v>1</v>
          </cell>
          <cell r="F116">
            <v>85.7</v>
          </cell>
          <cell r="G116">
            <v>7</v>
          </cell>
          <cell r="H116">
            <v>7</v>
          </cell>
          <cell r="I116">
            <v>100</v>
          </cell>
          <cell r="J116">
            <v>7</v>
          </cell>
          <cell r="K116">
            <v>7</v>
          </cell>
          <cell r="L116">
            <v>100</v>
          </cell>
          <cell r="M116">
            <v>5</v>
          </cell>
          <cell r="N116">
            <v>1</v>
          </cell>
          <cell r="O116">
            <v>83.3</v>
          </cell>
          <cell r="P116">
            <v>8</v>
          </cell>
          <cell r="Q116">
            <v>1</v>
          </cell>
          <cell r="R116">
            <v>88.9</v>
          </cell>
          <cell r="S116">
            <v>4</v>
          </cell>
          <cell r="T116">
            <v>4</v>
          </cell>
          <cell r="U116">
            <v>100</v>
          </cell>
          <cell r="V116">
            <v>2</v>
          </cell>
          <cell r="W116">
            <v>1</v>
          </cell>
          <cell r="X116">
            <v>66.7</v>
          </cell>
          <cell r="Y116">
            <v>4</v>
          </cell>
          <cell r="Z116">
            <v>4</v>
          </cell>
          <cell r="AA116">
            <v>100</v>
          </cell>
          <cell r="AB116">
            <v>2</v>
          </cell>
          <cell r="AC116">
            <v>1</v>
          </cell>
          <cell r="AD116">
            <v>66.7</v>
          </cell>
          <cell r="AE116">
            <v>3</v>
          </cell>
          <cell r="AF116">
            <v>3</v>
          </cell>
          <cell r="AG116">
            <v>100</v>
          </cell>
          <cell r="AH116">
            <v>1</v>
          </cell>
          <cell r="AI116">
            <v>1</v>
          </cell>
          <cell r="AJ116">
            <v>100</v>
          </cell>
          <cell r="AK116">
            <v>2</v>
          </cell>
          <cell r="AL116">
            <v>1</v>
          </cell>
          <cell r="AM116">
            <v>66.7</v>
          </cell>
          <cell r="AN116">
            <v>3</v>
          </cell>
          <cell r="AO116">
            <v>1</v>
          </cell>
          <cell r="AP116">
            <v>75</v>
          </cell>
          <cell r="AQ116">
            <v>2</v>
          </cell>
          <cell r="AR116">
            <v>2</v>
          </cell>
          <cell r="AS116">
            <v>100</v>
          </cell>
          <cell r="AT116">
            <v>1</v>
          </cell>
          <cell r="AU116">
            <v>1</v>
          </cell>
          <cell r="AV116">
            <v>100</v>
          </cell>
          <cell r="AW116">
            <v>2</v>
          </cell>
          <cell r="AX116">
            <v>2</v>
          </cell>
          <cell r="AY116">
            <v>100</v>
          </cell>
          <cell r="AZ116">
            <v>3</v>
          </cell>
          <cell r="BA116">
            <v>3</v>
          </cell>
          <cell r="BB116">
            <v>100</v>
          </cell>
          <cell r="BC116">
            <v>2</v>
          </cell>
          <cell r="BD116">
            <v>2</v>
          </cell>
          <cell r="BE116">
            <v>100</v>
          </cell>
          <cell r="BF116">
            <v>4</v>
          </cell>
          <cell r="BG116">
            <v>4</v>
          </cell>
          <cell r="BH116">
            <v>100</v>
          </cell>
          <cell r="BI116">
            <v>2</v>
          </cell>
          <cell r="BJ116">
            <v>2</v>
          </cell>
          <cell r="BK116">
            <v>100</v>
          </cell>
          <cell r="BL116">
            <v>3</v>
          </cell>
          <cell r="BM116">
            <v>3</v>
          </cell>
          <cell r="BN116">
            <v>100</v>
          </cell>
          <cell r="BO116">
            <v>2</v>
          </cell>
          <cell r="BP116">
            <v>2</v>
          </cell>
          <cell r="BQ116">
            <v>100</v>
          </cell>
          <cell r="BR116">
            <v>1</v>
          </cell>
          <cell r="BS116">
            <v>1</v>
          </cell>
          <cell r="BT116">
            <v>100</v>
          </cell>
          <cell r="BU116">
            <v>100</v>
          </cell>
          <cell r="BV116">
            <v>100</v>
          </cell>
          <cell r="BW116" t="str">
            <v>-</v>
          </cell>
          <cell r="BX116">
            <v>27</v>
          </cell>
          <cell r="BY116">
            <v>2</v>
          </cell>
          <cell r="BZ116">
            <v>93.1</v>
          </cell>
          <cell r="CA116">
            <v>12</v>
          </cell>
          <cell r="CB116">
            <v>12</v>
          </cell>
          <cell r="CC116">
            <v>100</v>
          </cell>
          <cell r="CD116">
            <v>10</v>
          </cell>
          <cell r="CE116">
            <v>2</v>
          </cell>
          <cell r="CF116">
            <v>83.3</v>
          </cell>
          <cell r="CG116">
            <v>12</v>
          </cell>
          <cell r="CH116">
            <v>3</v>
          </cell>
          <cell r="CI116">
            <v>80</v>
          </cell>
          <cell r="CJ116">
            <v>10</v>
          </cell>
          <cell r="CK116">
            <v>10</v>
          </cell>
          <cell r="CL116">
            <v>100</v>
          </cell>
          <cell r="CM116">
            <v>9</v>
          </cell>
          <cell r="CN116">
            <v>9</v>
          </cell>
          <cell r="CO116">
            <v>100</v>
          </cell>
          <cell r="CP116">
            <v>8</v>
          </cell>
          <cell r="CQ116">
            <v>1</v>
          </cell>
          <cell r="CR116">
            <v>88.9</v>
          </cell>
          <cell r="CS116">
            <v>5</v>
          </cell>
          <cell r="CT116">
            <v>5</v>
          </cell>
          <cell r="CU116">
            <v>100</v>
          </cell>
          <cell r="CV116">
            <v>21</v>
          </cell>
          <cell r="CW116">
            <v>2</v>
          </cell>
          <cell r="CX116">
            <v>91.3</v>
          </cell>
          <cell r="CY116">
            <v>11</v>
          </cell>
          <cell r="CZ116">
            <v>11</v>
          </cell>
          <cell r="DA116">
            <v>100</v>
          </cell>
          <cell r="DB116">
            <v>10</v>
          </cell>
          <cell r="DC116">
            <v>2</v>
          </cell>
          <cell r="DD116">
            <v>83.3</v>
          </cell>
          <cell r="DE116">
            <v>7</v>
          </cell>
          <cell r="DF116">
            <v>2</v>
          </cell>
          <cell r="DG116">
            <v>77.8</v>
          </cell>
          <cell r="DH116">
            <v>10</v>
          </cell>
          <cell r="DI116">
            <v>10</v>
          </cell>
          <cell r="DJ116">
            <v>100</v>
          </cell>
          <cell r="DK116">
            <v>8</v>
          </cell>
          <cell r="DL116">
            <v>8</v>
          </cell>
          <cell r="DM116">
            <v>100</v>
          </cell>
          <cell r="DN116">
            <v>6</v>
          </cell>
          <cell r="DO116">
            <v>1</v>
          </cell>
          <cell r="DP116">
            <v>85.7</v>
          </cell>
          <cell r="DQ116">
            <v>5</v>
          </cell>
          <cell r="DR116">
            <v>5</v>
          </cell>
          <cell r="DS116">
            <v>100</v>
          </cell>
          <cell r="DT116">
            <v>100</v>
          </cell>
          <cell r="DU116">
            <v>100</v>
          </cell>
          <cell r="DV116" t="str">
            <v>-</v>
          </cell>
          <cell r="DW116">
            <v>1</v>
          </cell>
          <cell r="DX116">
            <v>1</v>
          </cell>
          <cell r="DY116">
            <v>100</v>
          </cell>
          <cell r="DZ116">
            <v>100</v>
          </cell>
          <cell r="EA116">
            <v>100</v>
          </cell>
          <cell r="EB116" t="str">
            <v>-</v>
          </cell>
          <cell r="EC116">
            <v>100</v>
          </cell>
          <cell r="ED116">
            <v>100</v>
          </cell>
          <cell r="EE116" t="str">
            <v>-</v>
          </cell>
          <cell r="EF116">
            <v>100</v>
          </cell>
          <cell r="EG116">
            <v>100</v>
          </cell>
          <cell r="EH116" t="str">
            <v>-</v>
          </cell>
          <cell r="EI116">
            <v>100</v>
          </cell>
          <cell r="EJ116">
            <v>100</v>
          </cell>
          <cell r="EK116" t="str">
            <v>-</v>
          </cell>
          <cell r="EL116">
            <v>100</v>
          </cell>
          <cell r="EM116">
            <v>100</v>
          </cell>
          <cell r="EN116" t="str">
            <v>-</v>
          </cell>
          <cell r="EO116">
            <v>100</v>
          </cell>
          <cell r="EP116">
            <v>100</v>
          </cell>
          <cell r="EQ116" t="str">
            <v>-</v>
          </cell>
          <cell r="ER116">
            <v>100</v>
          </cell>
          <cell r="ES116">
            <v>100</v>
          </cell>
          <cell r="ET116" t="str">
            <v>-</v>
          </cell>
          <cell r="EU116">
            <v>1</v>
          </cell>
          <cell r="EV116">
            <v>1</v>
          </cell>
          <cell r="EW116">
            <v>100</v>
          </cell>
          <cell r="EX116">
            <v>100</v>
          </cell>
          <cell r="EY116">
            <v>100</v>
          </cell>
          <cell r="EZ116" t="str">
            <v>-</v>
          </cell>
          <cell r="FA116">
            <v>100</v>
          </cell>
          <cell r="FB116">
            <v>100</v>
          </cell>
          <cell r="FC116" t="str">
            <v>-</v>
          </cell>
          <cell r="FD116">
            <v>12</v>
          </cell>
          <cell r="FE116">
            <v>12</v>
          </cell>
          <cell r="FF116">
            <v>100</v>
          </cell>
          <cell r="FG116">
            <v>2</v>
          </cell>
          <cell r="FH116">
            <v>1</v>
          </cell>
          <cell r="FI116">
            <v>66.7</v>
          </cell>
          <cell r="FJ116">
            <v>66.699951171875</v>
          </cell>
          <cell r="FK116">
            <v>66.699951171875</v>
          </cell>
          <cell r="FL116" t="str">
            <v>-</v>
          </cell>
          <cell r="FM116">
            <v>66.699951171875</v>
          </cell>
          <cell r="FN116">
            <v>66.699951171875</v>
          </cell>
          <cell r="FO116" t="str">
            <v>-</v>
          </cell>
          <cell r="FP116">
            <v>66.699951171875</v>
          </cell>
          <cell r="FQ116">
            <v>66.699951171875</v>
          </cell>
          <cell r="FR116" t="str">
            <v>-</v>
          </cell>
          <cell r="FS116">
            <v>66.699951171875</v>
          </cell>
          <cell r="FT116">
            <v>66.699951171875</v>
          </cell>
          <cell r="FU116" t="str">
            <v>-</v>
          </cell>
          <cell r="FV116">
            <v>66.699951171875</v>
          </cell>
          <cell r="FW116">
            <v>66.699951171875</v>
          </cell>
          <cell r="FX116" t="str">
            <v>-</v>
          </cell>
          <cell r="FY116">
            <v>66.699951171875</v>
          </cell>
          <cell r="FZ116">
            <v>66.699951171875</v>
          </cell>
          <cell r="GA116" t="str">
            <v>-</v>
          </cell>
          <cell r="GB116">
            <v>66.699951171875</v>
          </cell>
          <cell r="GC116">
            <v>66.699951171875</v>
          </cell>
          <cell r="GD116" t="str">
            <v>-</v>
          </cell>
          <cell r="GE116">
            <v>66.699951171875</v>
          </cell>
          <cell r="GF116">
            <v>66.699951171875</v>
          </cell>
          <cell r="GG116" t="str">
            <v>-</v>
          </cell>
          <cell r="GH116">
            <v>66.699951171875</v>
          </cell>
          <cell r="GI116">
            <v>66.699951171875</v>
          </cell>
          <cell r="GJ116" t="str">
            <v>-</v>
          </cell>
          <cell r="GK116">
            <v>66.699951171875</v>
          </cell>
          <cell r="GL116">
            <v>66.699951171875</v>
          </cell>
          <cell r="GM116" t="str">
            <v>-</v>
          </cell>
          <cell r="GN116">
            <v>5</v>
          </cell>
          <cell r="GO116">
            <v>1</v>
          </cell>
          <cell r="GP116">
            <v>83.3</v>
          </cell>
          <cell r="GQ116">
            <v>8</v>
          </cell>
          <cell r="GR116">
            <v>8</v>
          </cell>
          <cell r="GS116">
            <v>100</v>
          </cell>
          <cell r="GT116">
            <v>2</v>
          </cell>
          <cell r="GU116">
            <v>2</v>
          </cell>
          <cell r="GV116">
            <v>100</v>
          </cell>
          <cell r="GW116">
            <v>7</v>
          </cell>
          <cell r="GX116">
            <v>7</v>
          </cell>
          <cell r="GY116">
            <v>100</v>
          </cell>
          <cell r="GZ116">
            <v>4</v>
          </cell>
          <cell r="HA116">
            <v>4</v>
          </cell>
          <cell r="HB116">
            <v>100</v>
          </cell>
          <cell r="HC116">
            <v>2</v>
          </cell>
          <cell r="HD116">
            <v>2</v>
          </cell>
          <cell r="HE116">
            <v>100</v>
          </cell>
          <cell r="HF116">
            <v>5</v>
          </cell>
          <cell r="HG116">
            <v>5</v>
          </cell>
          <cell r="HH116">
            <v>100</v>
          </cell>
          <cell r="HI116">
            <v>1</v>
          </cell>
          <cell r="HJ116">
            <v>1</v>
          </cell>
          <cell r="HK116">
            <v>100</v>
          </cell>
          <cell r="HL116">
            <v>100</v>
          </cell>
          <cell r="HM116">
            <v>100</v>
          </cell>
          <cell r="HN116" t="str">
            <v>-</v>
          </cell>
          <cell r="HO116">
            <v>100</v>
          </cell>
          <cell r="HP116">
            <v>100</v>
          </cell>
          <cell r="HQ116" t="str">
            <v>-</v>
          </cell>
          <cell r="HR116">
            <v>100</v>
          </cell>
          <cell r="HS116">
            <v>100</v>
          </cell>
          <cell r="HT116" t="str">
            <v>-</v>
          </cell>
          <cell r="HU116">
            <v>1</v>
          </cell>
          <cell r="HV116">
            <v>1</v>
          </cell>
          <cell r="HW116">
            <v>50</v>
          </cell>
          <cell r="HX116">
            <v>50</v>
          </cell>
          <cell r="HY116">
            <v>50</v>
          </cell>
          <cell r="HZ116" t="str">
            <v>-</v>
          </cell>
          <cell r="IA116">
            <v>50</v>
          </cell>
          <cell r="IB116">
            <v>50</v>
          </cell>
          <cell r="IC116" t="str">
            <v>-</v>
          </cell>
          <cell r="ID116">
            <v>1</v>
          </cell>
          <cell r="IE116">
            <v>1</v>
          </cell>
          <cell r="IF116">
            <v>100</v>
          </cell>
          <cell r="IG116">
            <v>100</v>
          </cell>
          <cell r="IH116">
            <v>100</v>
          </cell>
          <cell r="II116" t="str">
            <v>-</v>
          </cell>
          <cell r="IJ116">
            <v>4</v>
          </cell>
          <cell r="IK116">
            <v>4</v>
          </cell>
          <cell r="IL116">
            <v>100</v>
          </cell>
          <cell r="IM116">
            <v>4</v>
          </cell>
          <cell r="IN116">
            <v>4</v>
          </cell>
          <cell r="IO116">
            <v>100</v>
          </cell>
          <cell r="IP116">
            <v>100</v>
          </cell>
          <cell r="IQ116">
            <v>100</v>
          </cell>
          <cell r="IR116" t="str">
            <v>-</v>
          </cell>
          <cell r="IS116">
            <v>7</v>
          </cell>
          <cell r="IT116">
            <v>7</v>
          </cell>
          <cell r="IU116">
            <v>100</v>
          </cell>
          <cell r="IV116">
            <v>1</v>
          </cell>
          <cell r="IW116">
            <v>1</v>
          </cell>
          <cell r="IX116">
            <v>100</v>
          </cell>
          <cell r="IY116">
            <v>5</v>
          </cell>
          <cell r="IZ116">
            <v>5</v>
          </cell>
          <cell r="JA116">
            <v>100</v>
          </cell>
          <cell r="JB116">
            <v>4</v>
          </cell>
          <cell r="JC116">
            <v>4</v>
          </cell>
          <cell r="JD116">
            <v>100</v>
          </cell>
          <cell r="JE116">
            <v>2</v>
          </cell>
          <cell r="JF116">
            <v>2</v>
          </cell>
          <cell r="JG116">
            <v>100</v>
          </cell>
          <cell r="JH116">
            <v>23</v>
          </cell>
          <cell r="JI116">
            <v>3</v>
          </cell>
          <cell r="JJ116">
            <v>88.461538461538453</v>
          </cell>
          <cell r="JK116">
            <v>10</v>
          </cell>
          <cell r="JL116">
            <v>2</v>
          </cell>
          <cell r="JM116">
            <v>83.333333333333343</v>
          </cell>
          <cell r="JN116">
            <v>8</v>
          </cell>
          <cell r="JO116">
            <v>0</v>
          </cell>
          <cell r="JP116">
            <v>100</v>
          </cell>
          <cell r="JQ116">
            <v>44</v>
          </cell>
          <cell r="JR116">
            <v>4</v>
          </cell>
          <cell r="JS116">
            <v>91.666666666666657</v>
          </cell>
          <cell r="JT116">
            <v>36</v>
          </cell>
          <cell r="JU116">
            <v>3</v>
          </cell>
          <cell r="JV116">
            <v>92.307692307692307</v>
          </cell>
          <cell r="JW116">
            <v>0</v>
          </cell>
          <cell r="JX116">
            <v>0</v>
          </cell>
          <cell r="JY116" t="str">
            <v>-</v>
          </cell>
          <cell r="JZ116">
            <v>14</v>
          </cell>
          <cell r="KA116">
            <v>1</v>
          </cell>
          <cell r="KB116">
            <v>93.333333333333329</v>
          </cell>
          <cell r="KC116">
            <v>0</v>
          </cell>
          <cell r="KD116">
            <v>0</v>
          </cell>
          <cell r="KE116" t="str">
            <v>-</v>
          </cell>
          <cell r="KF116">
            <v>19</v>
          </cell>
          <cell r="KG116">
            <v>0</v>
          </cell>
          <cell r="KH116">
            <v>100</v>
          </cell>
          <cell r="KI116">
            <v>2</v>
          </cell>
          <cell r="KJ116">
            <v>1</v>
          </cell>
          <cell r="KK116">
            <v>66.666666666666657</v>
          </cell>
          <cell r="KL116">
            <v>19</v>
          </cell>
          <cell r="KM116">
            <v>0</v>
          </cell>
          <cell r="KN116">
            <v>100</v>
          </cell>
        </row>
        <row r="117">
          <cell r="C117" t="str">
            <v>Salgótarjáni Rendőrkapitányság</v>
          </cell>
          <cell r="D117">
            <v>100</v>
          </cell>
          <cell r="E117">
            <v>100</v>
          </cell>
          <cell r="F117" t="str">
            <v>-</v>
          </cell>
          <cell r="G117">
            <v>100</v>
          </cell>
          <cell r="H117">
            <v>100</v>
          </cell>
          <cell r="I117" t="str">
            <v>-</v>
          </cell>
          <cell r="J117">
            <v>100</v>
          </cell>
          <cell r="K117">
            <v>100</v>
          </cell>
          <cell r="L117" t="str">
            <v>-</v>
          </cell>
          <cell r="M117">
            <v>100</v>
          </cell>
          <cell r="N117">
            <v>100</v>
          </cell>
          <cell r="O117" t="str">
            <v>-</v>
          </cell>
          <cell r="P117">
            <v>100</v>
          </cell>
          <cell r="Q117">
            <v>100</v>
          </cell>
          <cell r="R117" t="str">
            <v>-</v>
          </cell>
          <cell r="S117">
            <v>100</v>
          </cell>
          <cell r="T117">
            <v>100</v>
          </cell>
          <cell r="U117" t="str">
            <v>-</v>
          </cell>
          <cell r="V117">
            <v>100</v>
          </cell>
          <cell r="W117">
            <v>100</v>
          </cell>
          <cell r="X117" t="str">
            <v>-</v>
          </cell>
          <cell r="Y117">
            <v>100</v>
          </cell>
          <cell r="Z117">
            <v>100</v>
          </cell>
          <cell r="AA117" t="str">
            <v>-</v>
          </cell>
          <cell r="AB117">
            <v>100</v>
          </cell>
          <cell r="AC117">
            <v>100</v>
          </cell>
          <cell r="AD117" t="str">
            <v>-</v>
          </cell>
          <cell r="AE117">
            <v>100</v>
          </cell>
          <cell r="AF117">
            <v>100</v>
          </cell>
          <cell r="AG117" t="str">
            <v>-</v>
          </cell>
          <cell r="AH117">
            <v>100</v>
          </cell>
          <cell r="AI117">
            <v>100</v>
          </cell>
          <cell r="AJ117" t="str">
            <v>-</v>
          </cell>
          <cell r="AK117">
            <v>100</v>
          </cell>
          <cell r="AL117">
            <v>100</v>
          </cell>
          <cell r="AM117" t="str">
            <v>-</v>
          </cell>
          <cell r="AN117">
            <v>100</v>
          </cell>
          <cell r="AO117">
            <v>100</v>
          </cell>
          <cell r="AP117" t="str">
            <v>-</v>
          </cell>
          <cell r="AQ117">
            <v>100</v>
          </cell>
          <cell r="AR117">
            <v>100</v>
          </cell>
          <cell r="AS117" t="str">
            <v>-</v>
          </cell>
          <cell r="AT117">
            <v>100</v>
          </cell>
          <cell r="AU117">
            <v>100</v>
          </cell>
          <cell r="AV117" t="str">
            <v>-</v>
          </cell>
          <cell r="AW117">
            <v>100</v>
          </cell>
          <cell r="AX117">
            <v>100</v>
          </cell>
          <cell r="AY117" t="str">
            <v>-</v>
          </cell>
          <cell r="AZ117">
            <v>100</v>
          </cell>
          <cell r="BA117">
            <v>100</v>
          </cell>
          <cell r="BB117" t="str">
            <v>-</v>
          </cell>
          <cell r="BC117">
            <v>100</v>
          </cell>
          <cell r="BD117">
            <v>100</v>
          </cell>
          <cell r="BE117" t="str">
            <v>-</v>
          </cell>
          <cell r="BF117">
            <v>100</v>
          </cell>
          <cell r="BG117">
            <v>100</v>
          </cell>
          <cell r="BH117" t="str">
            <v>-</v>
          </cell>
          <cell r="BI117">
            <v>100</v>
          </cell>
          <cell r="BJ117">
            <v>100</v>
          </cell>
          <cell r="BK117" t="str">
            <v>-</v>
          </cell>
          <cell r="BL117">
            <v>100</v>
          </cell>
          <cell r="BM117">
            <v>100</v>
          </cell>
          <cell r="BN117" t="str">
            <v>-</v>
          </cell>
          <cell r="BO117">
            <v>100</v>
          </cell>
          <cell r="BP117">
            <v>100</v>
          </cell>
          <cell r="BQ117" t="str">
            <v>-</v>
          </cell>
          <cell r="BR117">
            <v>100</v>
          </cell>
          <cell r="BS117">
            <v>100</v>
          </cell>
          <cell r="BT117" t="str">
            <v>-</v>
          </cell>
          <cell r="BU117">
            <v>100</v>
          </cell>
          <cell r="BV117">
            <v>100</v>
          </cell>
          <cell r="BW117" t="str">
            <v>-</v>
          </cell>
          <cell r="BX117">
            <v>135</v>
          </cell>
          <cell r="BY117">
            <v>22</v>
          </cell>
          <cell r="BZ117">
            <v>86</v>
          </cell>
          <cell r="CA117">
            <v>130</v>
          </cell>
          <cell r="CB117">
            <v>8</v>
          </cell>
          <cell r="CC117">
            <v>94.2</v>
          </cell>
          <cell r="CD117">
            <v>112</v>
          </cell>
          <cell r="CE117">
            <v>19</v>
          </cell>
          <cell r="CF117">
            <v>85.5</v>
          </cell>
          <cell r="CG117">
            <v>119</v>
          </cell>
          <cell r="CH117">
            <v>16</v>
          </cell>
          <cell r="CI117">
            <v>88.1</v>
          </cell>
          <cell r="CJ117">
            <v>104</v>
          </cell>
          <cell r="CK117">
            <v>8</v>
          </cell>
          <cell r="CL117">
            <v>92.9</v>
          </cell>
          <cell r="CM117">
            <v>101</v>
          </cell>
          <cell r="CN117">
            <v>17</v>
          </cell>
          <cell r="CO117">
            <v>85.6</v>
          </cell>
          <cell r="CP117">
            <v>71</v>
          </cell>
          <cell r="CQ117">
            <v>10</v>
          </cell>
          <cell r="CR117">
            <v>87.7</v>
          </cell>
          <cell r="CS117">
            <v>96</v>
          </cell>
          <cell r="CT117">
            <v>16</v>
          </cell>
          <cell r="CU117">
            <v>85.7</v>
          </cell>
          <cell r="CV117">
            <v>78</v>
          </cell>
          <cell r="CW117">
            <v>17</v>
          </cell>
          <cell r="CX117">
            <v>82.1</v>
          </cell>
          <cell r="CY117">
            <v>71</v>
          </cell>
          <cell r="CZ117">
            <v>5</v>
          </cell>
          <cell r="DA117">
            <v>93.4</v>
          </cell>
          <cell r="DB117">
            <v>63</v>
          </cell>
          <cell r="DC117">
            <v>15</v>
          </cell>
          <cell r="DD117">
            <v>80.8</v>
          </cell>
          <cell r="DE117">
            <v>70</v>
          </cell>
          <cell r="DF117">
            <v>11</v>
          </cell>
          <cell r="DG117">
            <v>86.4</v>
          </cell>
          <cell r="DH117">
            <v>55</v>
          </cell>
          <cell r="DI117">
            <v>7</v>
          </cell>
          <cell r="DJ117">
            <v>88.7</v>
          </cell>
          <cell r="DK117">
            <v>62</v>
          </cell>
          <cell r="DL117">
            <v>11</v>
          </cell>
          <cell r="DM117">
            <v>84.9</v>
          </cell>
          <cell r="DN117">
            <v>45</v>
          </cell>
          <cell r="DO117">
            <v>7</v>
          </cell>
          <cell r="DP117">
            <v>86.5</v>
          </cell>
          <cell r="DQ117">
            <v>48</v>
          </cell>
          <cell r="DR117">
            <v>14</v>
          </cell>
          <cell r="DS117">
            <v>77.400000000000006</v>
          </cell>
          <cell r="DT117">
            <v>77.39996337890625</v>
          </cell>
          <cell r="DU117">
            <v>77.39996337890625</v>
          </cell>
          <cell r="DV117" t="str">
            <v>-</v>
          </cell>
          <cell r="DW117">
            <v>77.39996337890625</v>
          </cell>
          <cell r="DX117">
            <v>77.39996337890625</v>
          </cell>
          <cell r="DY117" t="str">
            <v>-</v>
          </cell>
          <cell r="DZ117">
            <v>77.39996337890625</v>
          </cell>
          <cell r="EA117">
            <v>77.39996337890625</v>
          </cell>
          <cell r="EB117" t="str">
            <v>-</v>
          </cell>
          <cell r="EC117">
            <v>77.39996337890625</v>
          </cell>
          <cell r="ED117">
            <v>77.39996337890625</v>
          </cell>
          <cell r="EE117" t="str">
            <v>-</v>
          </cell>
          <cell r="EF117">
            <v>77.39996337890625</v>
          </cell>
          <cell r="EG117">
            <v>77.39996337890625</v>
          </cell>
          <cell r="EH117" t="str">
            <v>-</v>
          </cell>
          <cell r="EI117">
            <v>77.39996337890625</v>
          </cell>
          <cell r="EJ117">
            <v>77.39996337890625</v>
          </cell>
          <cell r="EK117" t="str">
            <v>-</v>
          </cell>
          <cell r="EL117">
            <v>77.39996337890625</v>
          </cell>
          <cell r="EM117">
            <v>77.39996337890625</v>
          </cell>
          <cell r="EN117" t="str">
            <v>-</v>
          </cell>
          <cell r="EO117">
            <v>77.39996337890625</v>
          </cell>
          <cell r="EP117">
            <v>77.39996337890625</v>
          </cell>
          <cell r="EQ117" t="str">
            <v>-</v>
          </cell>
          <cell r="ER117">
            <v>6</v>
          </cell>
          <cell r="ES117">
            <v>11</v>
          </cell>
          <cell r="ET117">
            <v>35.299999999999997</v>
          </cell>
          <cell r="EU117">
            <v>23</v>
          </cell>
          <cell r="EV117">
            <v>1</v>
          </cell>
          <cell r="EW117">
            <v>95.8</v>
          </cell>
          <cell r="EX117">
            <v>34</v>
          </cell>
          <cell r="EY117">
            <v>5</v>
          </cell>
          <cell r="EZ117">
            <v>87.2</v>
          </cell>
          <cell r="FA117">
            <v>23</v>
          </cell>
          <cell r="FB117">
            <v>6</v>
          </cell>
          <cell r="FC117">
            <v>79.3</v>
          </cell>
          <cell r="FD117">
            <v>37</v>
          </cell>
          <cell r="FE117">
            <v>2</v>
          </cell>
          <cell r="FF117">
            <v>94.9</v>
          </cell>
          <cell r="FG117">
            <v>26</v>
          </cell>
          <cell r="FH117">
            <v>1</v>
          </cell>
          <cell r="FI117">
            <v>96.3</v>
          </cell>
          <cell r="FJ117">
            <v>19</v>
          </cell>
          <cell r="FK117">
            <v>3</v>
          </cell>
          <cell r="FL117">
            <v>86.4</v>
          </cell>
          <cell r="FM117">
            <v>20</v>
          </cell>
          <cell r="FN117">
            <v>4</v>
          </cell>
          <cell r="FO117">
            <v>83.3</v>
          </cell>
          <cell r="FP117">
            <v>83.29998779296875</v>
          </cell>
          <cell r="FQ117">
            <v>83.29998779296875</v>
          </cell>
          <cell r="FR117" t="str">
            <v>-</v>
          </cell>
          <cell r="FS117">
            <v>83.29998779296875</v>
          </cell>
          <cell r="FT117">
            <v>83.29998779296875</v>
          </cell>
          <cell r="FU117" t="str">
            <v>-</v>
          </cell>
          <cell r="FV117">
            <v>83.29998779296875</v>
          </cell>
          <cell r="FW117">
            <v>83.29998779296875</v>
          </cell>
          <cell r="FX117" t="str">
            <v>-</v>
          </cell>
          <cell r="FY117">
            <v>83.29998779296875</v>
          </cell>
          <cell r="FZ117">
            <v>83.29998779296875</v>
          </cell>
          <cell r="GA117" t="str">
            <v>-</v>
          </cell>
          <cell r="GB117">
            <v>83.29998779296875</v>
          </cell>
          <cell r="GC117">
            <v>83.29998779296875</v>
          </cell>
          <cell r="GD117" t="str">
            <v>-</v>
          </cell>
          <cell r="GE117">
            <v>83.29998779296875</v>
          </cell>
          <cell r="GF117">
            <v>83.29998779296875</v>
          </cell>
          <cell r="GG117" t="str">
            <v>-</v>
          </cell>
          <cell r="GH117">
            <v>83.29998779296875</v>
          </cell>
          <cell r="GI117">
            <v>83.29998779296875</v>
          </cell>
          <cell r="GJ117" t="str">
            <v>-</v>
          </cell>
          <cell r="GK117">
            <v>83.29998779296875</v>
          </cell>
          <cell r="GL117">
            <v>83.29998779296875</v>
          </cell>
          <cell r="GM117" t="str">
            <v>-</v>
          </cell>
          <cell r="GN117">
            <v>145</v>
          </cell>
          <cell r="GO117">
            <v>26</v>
          </cell>
          <cell r="GP117">
            <v>84.8</v>
          </cell>
          <cell r="GQ117">
            <v>153</v>
          </cell>
          <cell r="GR117">
            <v>16</v>
          </cell>
          <cell r="GS117">
            <v>90.5</v>
          </cell>
          <cell r="GT117">
            <v>155</v>
          </cell>
          <cell r="GU117">
            <v>21</v>
          </cell>
          <cell r="GV117">
            <v>88.1</v>
          </cell>
          <cell r="GW117">
            <v>116</v>
          </cell>
          <cell r="GX117">
            <v>20</v>
          </cell>
          <cell r="GY117">
            <v>85.3</v>
          </cell>
          <cell r="GZ117">
            <v>128</v>
          </cell>
          <cell r="HA117">
            <v>17</v>
          </cell>
          <cell r="HB117">
            <v>88.3</v>
          </cell>
          <cell r="HC117">
            <v>126</v>
          </cell>
          <cell r="HD117">
            <v>23</v>
          </cell>
          <cell r="HE117">
            <v>84.6</v>
          </cell>
          <cell r="HF117">
            <v>89</v>
          </cell>
          <cell r="HG117">
            <v>24</v>
          </cell>
          <cell r="HH117">
            <v>78.8</v>
          </cell>
          <cell r="HI117">
            <v>125</v>
          </cell>
          <cell r="HJ117">
            <v>20</v>
          </cell>
          <cell r="HK117">
            <v>86.2</v>
          </cell>
          <cell r="HL117">
            <v>4</v>
          </cell>
          <cell r="HM117">
            <v>5</v>
          </cell>
          <cell r="HN117">
            <v>44.4</v>
          </cell>
          <cell r="HO117">
            <v>1</v>
          </cell>
          <cell r="HP117">
            <v>3</v>
          </cell>
          <cell r="HQ117">
            <v>25</v>
          </cell>
          <cell r="HR117">
            <v>3</v>
          </cell>
          <cell r="HS117">
            <v>2</v>
          </cell>
          <cell r="HT117">
            <v>60</v>
          </cell>
          <cell r="HU117">
            <v>5</v>
          </cell>
          <cell r="HV117">
            <v>2</v>
          </cell>
          <cell r="HW117">
            <v>71.400000000000006</v>
          </cell>
          <cell r="HX117">
            <v>2</v>
          </cell>
          <cell r="HY117">
            <v>2</v>
          </cell>
          <cell r="HZ117">
            <v>100</v>
          </cell>
          <cell r="IA117">
            <v>5</v>
          </cell>
          <cell r="IB117">
            <v>5</v>
          </cell>
          <cell r="IC117">
            <v>50</v>
          </cell>
          <cell r="ID117">
            <v>1</v>
          </cell>
          <cell r="IE117">
            <v>3</v>
          </cell>
          <cell r="IF117">
            <v>25</v>
          </cell>
          <cell r="IG117">
            <v>4</v>
          </cell>
          <cell r="IH117">
            <v>1</v>
          </cell>
          <cell r="II117">
            <v>80</v>
          </cell>
          <cell r="IJ117">
            <v>1</v>
          </cell>
          <cell r="IK117">
            <v>7</v>
          </cell>
          <cell r="IL117">
            <v>12.5</v>
          </cell>
          <cell r="IM117">
            <v>4</v>
          </cell>
          <cell r="IN117">
            <v>1</v>
          </cell>
          <cell r="IO117">
            <v>80</v>
          </cell>
          <cell r="IP117">
            <v>4</v>
          </cell>
          <cell r="IQ117">
            <v>2</v>
          </cell>
          <cell r="IR117">
            <v>66.7</v>
          </cell>
          <cell r="IS117">
            <v>3</v>
          </cell>
          <cell r="IT117">
            <v>2</v>
          </cell>
          <cell r="IU117">
            <v>60</v>
          </cell>
          <cell r="IV117">
            <v>3</v>
          </cell>
          <cell r="IW117">
            <v>1</v>
          </cell>
          <cell r="IX117">
            <v>75</v>
          </cell>
          <cell r="IY117">
            <v>3</v>
          </cell>
          <cell r="IZ117">
            <v>1</v>
          </cell>
          <cell r="JA117">
            <v>75</v>
          </cell>
          <cell r="JB117">
            <v>4</v>
          </cell>
          <cell r="JC117">
            <v>1</v>
          </cell>
          <cell r="JD117">
            <v>80</v>
          </cell>
          <cell r="JE117">
            <v>6</v>
          </cell>
          <cell r="JF117">
            <v>6</v>
          </cell>
          <cell r="JG117">
            <v>100</v>
          </cell>
          <cell r="JH117">
            <v>0</v>
          </cell>
          <cell r="JI117">
            <v>0</v>
          </cell>
          <cell r="JJ117" t="str">
            <v>-</v>
          </cell>
          <cell r="JK117">
            <v>0</v>
          </cell>
          <cell r="JL117">
            <v>0</v>
          </cell>
          <cell r="JM117" t="str">
            <v>-</v>
          </cell>
          <cell r="JN117">
            <v>0</v>
          </cell>
          <cell r="JO117">
            <v>0</v>
          </cell>
          <cell r="JP117" t="str">
            <v>-</v>
          </cell>
          <cell r="JQ117">
            <v>491</v>
          </cell>
          <cell r="JR117">
            <v>67</v>
          </cell>
          <cell r="JS117">
            <v>87.992831541218635</v>
          </cell>
          <cell r="JT117">
            <v>280</v>
          </cell>
          <cell r="JU117">
            <v>50</v>
          </cell>
          <cell r="JV117">
            <v>84.848484848484844</v>
          </cell>
          <cell r="JW117">
            <v>0</v>
          </cell>
          <cell r="JX117">
            <v>0</v>
          </cell>
          <cell r="JY117" t="str">
            <v>-</v>
          </cell>
          <cell r="JZ117">
            <v>125</v>
          </cell>
          <cell r="KA117">
            <v>16</v>
          </cell>
          <cell r="KB117">
            <v>88.652482269503537</v>
          </cell>
          <cell r="KC117">
            <v>0</v>
          </cell>
          <cell r="KD117">
            <v>0</v>
          </cell>
          <cell r="KE117" t="str">
            <v>-</v>
          </cell>
          <cell r="KF117">
            <v>584</v>
          </cell>
          <cell r="KG117">
            <v>104</v>
          </cell>
          <cell r="KH117">
            <v>84.883720930232556</v>
          </cell>
          <cell r="KI117">
            <v>17</v>
          </cell>
          <cell r="KJ117">
            <v>11</v>
          </cell>
          <cell r="KK117">
            <v>60.714285714285708</v>
          </cell>
          <cell r="KL117">
            <v>19</v>
          </cell>
          <cell r="KM117">
            <v>5</v>
          </cell>
          <cell r="KN117">
            <v>79.166666666666657</v>
          </cell>
        </row>
        <row r="118">
          <cell r="C118" t="str">
            <v>Balassagyarmati Rendőrkapitányság</v>
          </cell>
          <cell r="D118">
            <v>79.1666259765625</v>
          </cell>
          <cell r="E118">
            <v>79.1666259765625</v>
          </cell>
          <cell r="F118" t="str">
            <v>-</v>
          </cell>
          <cell r="G118">
            <v>79.1666259765625</v>
          </cell>
          <cell r="H118">
            <v>79.1666259765625</v>
          </cell>
          <cell r="I118" t="str">
            <v>-</v>
          </cell>
          <cell r="J118">
            <v>79.1666259765625</v>
          </cell>
          <cell r="K118">
            <v>79.1666259765625</v>
          </cell>
          <cell r="L118" t="str">
            <v>-</v>
          </cell>
          <cell r="M118">
            <v>79.1666259765625</v>
          </cell>
          <cell r="N118">
            <v>79.1666259765625</v>
          </cell>
          <cell r="O118" t="str">
            <v>-</v>
          </cell>
          <cell r="P118">
            <v>79.1666259765625</v>
          </cell>
          <cell r="Q118">
            <v>79.1666259765625</v>
          </cell>
          <cell r="R118" t="str">
            <v>-</v>
          </cell>
          <cell r="S118">
            <v>79.1666259765625</v>
          </cell>
          <cell r="T118">
            <v>79.1666259765625</v>
          </cell>
          <cell r="U118" t="str">
            <v>-</v>
          </cell>
          <cell r="V118">
            <v>79.1666259765625</v>
          </cell>
          <cell r="W118">
            <v>79.1666259765625</v>
          </cell>
          <cell r="X118" t="str">
            <v>-</v>
          </cell>
          <cell r="Y118">
            <v>79.1666259765625</v>
          </cell>
          <cell r="Z118">
            <v>79.1666259765625</v>
          </cell>
          <cell r="AA118" t="str">
            <v>-</v>
          </cell>
          <cell r="AB118">
            <v>79.1666259765625</v>
          </cell>
          <cell r="AC118">
            <v>79.1666259765625</v>
          </cell>
          <cell r="AD118" t="str">
            <v>-</v>
          </cell>
          <cell r="AE118">
            <v>79.1666259765625</v>
          </cell>
          <cell r="AF118">
            <v>79.1666259765625</v>
          </cell>
          <cell r="AG118" t="str">
            <v>-</v>
          </cell>
          <cell r="AH118">
            <v>79.1666259765625</v>
          </cell>
          <cell r="AI118">
            <v>79.1666259765625</v>
          </cell>
          <cell r="AJ118" t="str">
            <v>-</v>
          </cell>
          <cell r="AK118">
            <v>79.1666259765625</v>
          </cell>
          <cell r="AL118">
            <v>79.1666259765625</v>
          </cell>
          <cell r="AM118" t="str">
            <v>-</v>
          </cell>
          <cell r="AN118">
            <v>79.1666259765625</v>
          </cell>
          <cell r="AO118">
            <v>79.1666259765625</v>
          </cell>
          <cell r="AP118" t="str">
            <v>-</v>
          </cell>
          <cell r="AQ118">
            <v>79.1666259765625</v>
          </cell>
          <cell r="AR118">
            <v>79.1666259765625</v>
          </cell>
          <cell r="AS118" t="str">
            <v>-</v>
          </cell>
          <cell r="AT118">
            <v>79.1666259765625</v>
          </cell>
          <cell r="AU118">
            <v>79.1666259765625</v>
          </cell>
          <cell r="AV118" t="str">
            <v>-</v>
          </cell>
          <cell r="AW118">
            <v>79.1666259765625</v>
          </cell>
          <cell r="AX118">
            <v>79.1666259765625</v>
          </cell>
          <cell r="AY118" t="str">
            <v>-</v>
          </cell>
          <cell r="AZ118">
            <v>79.1666259765625</v>
          </cell>
          <cell r="BA118">
            <v>79.1666259765625</v>
          </cell>
          <cell r="BB118" t="str">
            <v>-</v>
          </cell>
          <cell r="BC118">
            <v>79.1666259765625</v>
          </cell>
          <cell r="BD118">
            <v>79.1666259765625</v>
          </cell>
          <cell r="BE118" t="str">
            <v>-</v>
          </cell>
          <cell r="BF118">
            <v>79.1666259765625</v>
          </cell>
          <cell r="BG118">
            <v>79.1666259765625</v>
          </cell>
          <cell r="BH118" t="str">
            <v>-</v>
          </cell>
          <cell r="BI118">
            <v>79.1666259765625</v>
          </cell>
          <cell r="BJ118">
            <v>79.1666259765625</v>
          </cell>
          <cell r="BK118" t="str">
            <v>-</v>
          </cell>
          <cell r="BL118">
            <v>79.1666259765625</v>
          </cell>
          <cell r="BM118">
            <v>79.1666259765625</v>
          </cell>
          <cell r="BN118" t="str">
            <v>-</v>
          </cell>
          <cell r="BO118">
            <v>79.1666259765625</v>
          </cell>
          <cell r="BP118">
            <v>79.1666259765625</v>
          </cell>
          <cell r="BQ118" t="str">
            <v>-</v>
          </cell>
          <cell r="BR118">
            <v>79.1666259765625</v>
          </cell>
          <cell r="BS118">
            <v>79.1666259765625</v>
          </cell>
          <cell r="BT118" t="str">
            <v>-</v>
          </cell>
          <cell r="BU118">
            <v>79.1666259765625</v>
          </cell>
          <cell r="BV118">
            <v>79.1666259765625</v>
          </cell>
          <cell r="BW118" t="str">
            <v>-</v>
          </cell>
          <cell r="BX118">
            <v>72</v>
          </cell>
          <cell r="BY118">
            <v>9</v>
          </cell>
          <cell r="BZ118">
            <v>88.9</v>
          </cell>
          <cell r="CA118">
            <v>70</v>
          </cell>
          <cell r="CB118">
            <v>13</v>
          </cell>
          <cell r="CC118">
            <v>84.3</v>
          </cell>
          <cell r="CD118">
            <v>51</v>
          </cell>
          <cell r="CE118">
            <v>6</v>
          </cell>
          <cell r="CF118">
            <v>89.5</v>
          </cell>
          <cell r="CG118">
            <v>50</v>
          </cell>
          <cell r="CH118">
            <v>5</v>
          </cell>
          <cell r="CI118">
            <v>90.9</v>
          </cell>
          <cell r="CJ118">
            <v>48</v>
          </cell>
          <cell r="CK118">
            <v>4</v>
          </cell>
          <cell r="CL118">
            <v>92.3</v>
          </cell>
          <cell r="CM118">
            <v>47</v>
          </cell>
          <cell r="CN118">
            <v>5</v>
          </cell>
          <cell r="CO118">
            <v>90.4</v>
          </cell>
          <cell r="CP118">
            <v>29</v>
          </cell>
          <cell r="CQ118">
            <v>3</v>
          </cell>
          <cell r="CR118">
            <v>90.6</v>
          </cell>
          <cell r="CS118">
            <v>37</v>
          </cell>
          <cell r="CT118">
            <v>3</v>
          </cell>
          <cell r="CU118">
            <v>92.5</v>
          </cell>
          <cell r="CV118">
            <v>37</v>
          </cell>
          <cell r="CW118">
            <v>2</v>
          </cell>
          <cell r="CX118">
            <v>94.9</v>
          </cell>
          <cell r="CY118">
            <v>36</v>
          </cell>
          <cell r="CZ118">
            <v>10</v>
          </cell>
          <cell r="DA118">
            <v>78.3</v>
          </cell>
          <cell r="DB118">
            <v>27</v>
          </cell>
          <cell r="DC118">
            <v>4</v>
          </cell>
          <cell r="DD118">
            <v>87.1</v>
          </cell>
          <cell r="DE118">
            <v>28</v>
          </cell>
          <cell r="DF118">
            <v>3</v>
          </cell>
          <cell r="DG118">
            <v>90.3</v>
          </cell>
          <cell r="DH118">
            <v>25</v>
          </cell>
          <cell r="DI118">
            <v>1</v>
          </cell>
          <cell r="DJ118">
            <v>96.2</v>
          </cell>
          <cell r="DK118">
            <v>31</v>
          </cell>
          <cell r="DL118">
            <v>4</v>
          </cell>
          <cell r="DM118">
            <v>88.6</v>
          </cell>
          <cell r="DN118">
            <v>14</v>
          </cell>
          <cell r="DO118">
            <v>3</v>
          </cell>
          <cell r="DP118">
            <v>82.4</v>
          </cell>
          <cell r="DQ118">
            <v>14</v>
          </cell>
          <cell r="DR118">
            <v>2</v>
          </cell>
          <cell r="DS118">
            <v>87.5</v>
          </cell>
          <cell r="DT118">
            <v>87.5</v>
          </cell>
          <cell r="DU118">
            <v>87.5</v>
          </cell>
          <cell r="DV118" t="str">
            <v>-</v>
          </cell>
          <cell r="DW118">
            <v>87.5</v>
          </cell>
          <cell r="DX118">
            <v>87.5</v>
          </cell>
          <cell r="DY118" t="str">
            <v>-</v>
          </cell>
          <cell r="DZ118">
            <v>87.5</v>
          </cell>
          <cell r="EA118">
            <v>87.5</v>
          </cell>
          <cell r="EB118" t="str">
            <v>-</v>
          </cell>
          <cell r="EC118">
            <v>87.5</v>
          </cell>
          <cell r="ED118">
            <v>87.5</v>
          </cell>
          <cell r="EE118" t="str">
            <v>-</v>
          </cell>
          <cell r="EF118">
            <v>87.5</v>
          </cell>
          <cell r="EG118">
            <v>87.5</v>
          </cell>
          <cell r="EH118" t="str">
            <v>-</v>
          </cell>
          <cell r="EI118">
            <v>87.5</v>
          </cell>
          <cell r="EJ118">
            <v>87.5</v>
          </cell>
          <cell r="EK118" t="str">
            <v>-</v>
          </cell>
          <cell r="EL118">
            <v>87.5</v>
          </cell>
          <cell r="EM118">
            <v>87.5</v>
          </cell>
          <cell r="EN118" t="str">
            <v>-</v>
          </cell>
          <cell r="EO118">
            <v>87.5</v>
          </cell>
          <cell r="EP118">
            <v>87.5</v>
          </cell>
          <cell r="EQ118" t="str">
            <v>-</v>
          </cell>
          <cell r="ER118">
            <v>2</v>
          </cell>
          <cell r="ES118">
            <v>2</v>
          </cell>
          <cell r="ET118">
            <v>100</v>
          </cell>
          <cell r="EU118">
            <v>16</v>
          </cell>
          <cell r="EV118">
            <v>16</v>
          </cell>
          <cell r="EW118">
            <v>100</v>
          </cell>
          <cell r="EX118">
            <v>4</v>
          </cell>
          <cell r="EY118">
            <v>2</v>
          </cell>
          <cell r="EZ118">
            <v>66.7</v>
          </cell>
          <cell r="FA118">
            <v>3</v>
          </cell>
          <cell r="FB118">
            <v>3</v>
          </cell>
          <cell r="FC118">
            <v>50</v>
          </cell>
          <cell r="FD118">
            <v>3</v>
          </cell>
          <cell r="FE118">
            <v>2</v>
          </cell>
          <cell r="FF118">
            <v>60</v>
          </cell>
          <cell r="FG118">
            <v>4</v>
          </cell>
          <cell r="FH118">
            <v>1</v>
          </cell>
          <cell r="FI118">
            <v>80</v>
          </cell>
          <cell r="FJ118">
            <v>2</v>
          </cell>
          <cell r="FK118">
            <v>4</v>
          </cell>
          <cell r="FL118">
            <v>33.299999999999997</v>
          </cell>
          <cell r="FM118">
            <v>9</v>
          </cell>
          <cell r="FN118">
            <v>9</v>
          </cell>
          <cell r="FO118">
            <v>100</v>
          </cell>
          <cell r="FP118">
            <v>100</v>
          </cell>
          <cell r="FQ118">
            <v>100</v>
          </cell>
          <cell r="FR118" t="str">
            <v>-</v>
          </cell>
          <cell r="FS118">
            <v>100</v>
          </cell>
          <cell r="FT118">
            <v>100</v>
          </cell>
          <cell r="FU118" t="str">
            <v>-</v>
          </cell>
          <cell r="FV118">
            <v>100</v>
          </cell>
          <cell r="FW118">
            <v>100</v>
          </cell>
          <cell r="FX118" t="str">
            <v>-</v>
          </cell>
          <cell r="FY118">
            <v>100</v>
          </cell>
          <cell r="FZ118">
            <v>100</v>
          </cell>
          <cell r="GA118" t="str">
            <v>-</v>
          </cell>
          <cell r="GB118">
            <v>100</v>
          </cell>
          <cell r="GC118">
            <v>100</v>
          </cell>
          <cell r="GD118" t="str">
            <v>-</v>
          </cell>
          <cell r="GE118">
            <v>100</v>
          </cell>
          <cell r="GF118">
            <v>100</v>
          </cell>
          <cell r="GG118" t="str">
            <v>-</v>
          </cell>
          <cell r="GH118">
            <v>100</v>
          </cell>
          <cell r="GI118">
            <v>100</v>
          </cell>
          <cell r="GJ118" t="str">
            <v>-</v>
          </cell>
          <cell r="GK118">
            <v>100</v>
          </cell>
          <cell r="GL118">
            <v>100</v>
          </cell>
          <cell r="GM118" t="str">
            <v>-</v>
          </cell>
          <cell r="GN118">
            <v>71</v>
          </cell>
          <cell r="GO118">
            <v>5</v>
          </cell>
          <cell r="GP118">
            <v>93.4</v>
          </cell>
          <cell r="GQ118">
            <v>62</v>
          </cell>
          <cell r="GR118">
            <v>13</v>
          </cell>
          <cell r="GS118">
            <v>82.7</v>
          </cell>
          <cell r="GT118">
            <v>54</v>
          </cell>
          <cell r="GU118">
            <v>7</v>
          </cell>
          <cell r="GV118">
            <v>88.5</v>
          </cell>
          <cell r="GW118">
            <v>38</v>
          </cell>
          <cell r="GX118">
            <v>13</v>
          </cell>
          <cell r="GY118">
            <v>74.5</v>
          </cell>
          <cell r="GZ118">
            <v>57</v>
          </cell>
          <cell r="HA118">
            <v>6</v>
          </cell>
          <cell r="HB118">
            <v>90.5</v>
          </cell>
          <cell r="HC118">
            <v>66</v>
          </cell>
          <cell r="HD118">
            <v>5</v>
          </cell>
          <cell r="HE118">
            <v>93</v>
          </cell>
          <cell r="HF118">
            <v>43</v>
          </cell>
          <cell r="HG118">
            <v>7</v>
          </cell>
          <cell r="HH118">
            <v>86</v>
          </cell>
          <cell r="HI118">
            <v>32</v>
          </cell>
          <cell r="HJ118">
            <v>4</v>
          </cell>
          <cell r="HK118">
            <v>88.9</v>
          </cell>
          <cell r="HL118">
            <v>1</v>
          </cell>
          <cell r="HM118">
            <v>1</v>
          </cell>
          <cell r="HN118">
            <v>50</v>
          </cell>
          <cell r="HO118">
            <v>2</v>
          </cell>
          <cell r="HP118">
            <v>2</v>
          </cell>
          <cell r="HQ118">
            <v>50</v>
          </cell>
          <cell r="HR118">
            <v>50</v>
          </cell>
          <cell r="HS118">
            <v>1</v>
          </cell>
          <cell r="HT118">
            <v>0</v>
          </cell>
          <cell r="HU118">
            <v>0</v>
          </cell>
          <cell r="HV118">
            <v>1</v>
          </cell>
          <cell r="HW118">
            <v>0</v>
          </cell>
          <cell r="HX118">
            <v>0</v>
          </cell>
          <cell r="HY118">
            <v>2</v>
          </cell>
          <cell r="HZ118">
            <v>0</v>
          </cell>
          <cell r="IA118">
            <v>2</v>
          </cell>
          <cell r="IB118">
            <v>2</v>
          </cell>
          <cell r="IC118">
            <v>100</v>
          </cell>
          <cell r="ID118">
            <v>1</v>
          </cell>
          <cell r="IE118">
            <v>1</v>
          </cell>
          <cell r="IF118">
            <v>100</v>
          </cell>
          <cell r="IG118">
            <v>1</v>
          </cell>
          <cell r="IH118">
            <v>1</v>
          </cell>
          <cell r="II118">
            <v>100</v>
          </cell>
          <cell r="IJ118">
            <v>2</v>
          </cell>
          <cell r="IK118">
            <v>2</v>
          </cell>
          <cell r="IL118">
            <v>100</v>
          </cell>
          <cell r="IM118">
            <v>6</v>
          </cell>
          <cell r="IN118">
            <v>1</v>
          </cell>
          <cell r="IO118">
            <v>85.7</v>
          </cell>
          <cell r="IP118">
            <v>4</v>
          </cell>
          <cell r="IQ118">
            <v>1</v>
          </cell>
          <cell r="IR118">
            <v>80</v>
          </cell>
          <cell r="IS118">
            <v>80</v>
          </cell>
          <cell r="IT118">
            <v>2</v>
          </cell>
          <cell r="IU118">
            <v>0</v>
          </cell>
          <cell r="IV118">
            <v>1</v>
          </cell>
          <cell r="IW118">
            <v>1</v>
          </cell>
          <cell r="IX118">
            <v>50</v>
          </cell>
          <cell r="IY118">
            <v>50</v>
          </cell>
          <cell r="IZ118">
            <v>50</v>
          </cell>
          <cell r="JA118" t="str">
            <v>-</v>
          </cell>
          <cell r="JB118">
            <v>1</v>
          </cell>
          <cell r="JC118">
            <v>1</v>
          </cell>
          <cell r="JD118">
            <v>100</v>
          </cell>
          <cell r="JE118">
            <v>100</v>
          </cell>
          <cell r="JF118">
            <v>100</v>
          </cell>
          <cell r="JG118" t="str">
            <v>-</v>
          </cell>
          <cell r="JH118">
            <v>0</v>
          </cell>
          <cell r="JI118">
            <v>0</v>
          </cell>
          <cell r="JJ118" t="str">
            <v>-</v>
          </cell>
          <cell r="JK118">
            <v>0</v>
          </cell>
          <cell r="JL118">
            <v>0</v>
          </cell>
          <cell r="JM118" t="str">
            <v>-</v>
          </cell>
          <cell r="JN118">
            <v>0</v>
          </cell>
          <cell r="JO118">
            <v>0</v>
          </cell>
          <cell r="JP118" t="str">
            <v>-</v>
          </cell>
          <cell r="JQ118">
            <v>211</v>
          </cell>
          <cell r="JR118">
            <v>20</v>
          </cell>
          <cell r="JS118">
            <v>91.341991341991346</v>
          </cell>
          <cell r="JT118">
            <v>112</v>
          </cell>
          <cell r="JU118">
            <v>13</v>
          </cell>
          <cell r="JV118">
            <v>89.600000000000009</v>
          </cell>
          <cell r="JW118">
            <v>0</v>
          </cell>
          <cell r="JX118">
            <v>0</v>
          </cell>
          <cell r="JY118" t="str">
            <v>-</v>
          </cell>
          <cell r="JZ118">
            <v>21</v>
          </cell>
          <cell r="KA118">
            <v>10</v>
          </cell>
          <cell r="KB118">
            <v>67.741935483870961</v>
          </cell>
          <cell r="KC118">
            <v>0</v>
          </cell>
          <cell r="KD118">
            <v>0</v>
          </cell>
          <cell r="KE118" t="str">
            <v>-</v>
          </cell>
          <cell r="KF118">
            <v>236</v>
          </cell>
          <cell r="KG118">
            <v>35</v>
          </cell>
          <cell r="KH118">
            <v>87.084870848708491</v>
          </cell>
          <cell r="KI118">
            <v>4</v>
          </cell>
          <cell r="KJ118">
            <v>3</v>
          </cell>
          <cell r="KK118">
            <v>57.142857142857139</v>
          </cell>
          <cell r="KL118">
            <v>2</v>
          </cell>
          <cell r="KM118">
            <v>3</v>
          </cell>
          <cell r="KN118">
            <v>40</v>
          </cell>
        </row>
        <row r="119">
          <cell r="C119" t="str">
            <v>Pásztói Rendőrkapitányság</v>
          </cell>
          <cell r="D119">
            <v>40</v>
          </cell>
          <cell r="E119">
            <v>40</v>
          </cell>
          <cell r="F119" t="str">
            <v>-</v>
          </cell>
          <cell r="G119">
            <v>40</v>
          </cell>
          <cell r="H119">
            <v>40</v>
          </cell>
          <cell r="I119" t="str">
            <v>-</v>
          </cell>
          <cell r="J119">
            <v>40</v>
          </cell>
          <cell r="K119">
            <v>40</v>
          </cell>
          <cell r="L119" t="str">
            <v>-</v>
          </cell>
          <cell r="M119">
            <v>40</v>
          </cell>
          <cell r="N119">
            <v>40</v>
          </cell>
          <cell r="O119" t="str">
            <v>-</v>
          </cell>
          <cell r="P119">
            <v>40</v>
          </cell>
          <cell r="Q119">
            <v>40</v>
          </cell>
          <cell r="R119" t="str">
            <v>-</v>
          </cell>
          <cell r="S119">
            <v>40</v>
          </cell>
          <cell r="T119">
            <v>40</v>
          </cell>
          <cell r="U119" t="str">
            <v>-</v>
          </cell>
          <cell r="V119">
            <v>40</v>
          </cell>
          <cell r="W119">
            <v>40</v>
          </cell>
          <cell r="X119" t="str">
            <v>-</v>
          </cell>
          <cell r="Y119">
            <v>40</v>
          </cell>
          <cell r="Z119">
            <v>40</v>
          </cell>
          <cell r="AA119" t="str">
            <v>-</v>
          </cell>
          <cell r="AB119">
            <v>40</v>
          </cell>
          <cell r="AC119">
            <v>40</v>
          </cell>
          <cell r="AD119" t="str">
            <v>-</v>
          </cell>
          <cell r="AE119">
            <v>40</v>
          </cell>
          <cell r="AF119">
            <v>40</v>
          </cell>
          <cell r="AG119" t="str">
            <v>-</v>
          </cell>
          <cell r="AH119">
            <v>40</v>
          </cell>
          <cell r="AI119">
            <v>40</v>
          </cell>
          <cell r="AJ119" t="str">
            <v>-</v>
          </cell>
          <cell r="AK119">
            <v>40</v>
          </cell>
          <cell r="AL119">
            <v>40</v>
          </cell>
          <cell r="AM119" t="str">
            <v>-</v>
          </cell>
          <cell r="AN119">
            <v>40</v>
          </cell>
          <cell r="AO119">
            <v>40</v>
          </cell>
          <cell r="AP119" t="str">
            <v>-</v>
          </cell>
          <cell r="AQ119">
            <v>40</v>
          </cell>
          <cell r="AR119">
            <v>40</v>
          </cell>
          <cell r="AS119" t="str">
            <v>-</v>
          </cell>
          <cell r="AT119">
            <v>40</v>
          </cell>
          <cell r="AU119">
            <v>40</v>
          </cell>
          <cell r="AV119" t="str">
            <v>-</v>
          </cell>
          <cell r="AW119">
            <v>40</v>
          </cell>
          <cell r="AX119">
            <v>40</v>
          </cell>
          <cell r="AY119" t="str">
            <v>-</v>
          </cell>
          <cell r="AZ119">
            <v>40</v>
          </cell>
          <cell r="BA119">
            <v>40</v>
          </cell>
          <cell r="BB119" t="str">
            <v>-</v>
          </cell>
          <cell r="BC119">
            <v>40</v>
          </cell>
          <cell r="BD119">
            <v>40</v>
          </cell>
          <cell r="BE119" t="str">
            <v>-</v>
          </cell>
          <cell r="BF119">
            <v>40</v>
          </cell>
          <cell r="BG119">
            <v>40</v>
          </cell>
          <cell r="BH119" t="str">
            <v>-</v>
          </cell>
          <cell r="BI119">
            <v>40</v>
          </cell>
          <cell r="BJ119">
            <v>40</v>
          </cell>
          <cell r="BK119" t="str">
            <v>-</v>
          </cell>
          <cell r="BL119">
            <v>40</v>
          </cell>
          <cell r="BM119">
            <v>40</v>
          </cell>
          <cell r="BN119" t="str">
            <v>-</v>
          </cell>
          <cell r="BO119">
            <v>40</v>
          </cell>
          <cell r="BP119">
            <v>40</v>
          </cell>
          <cell r="BQ119" t="str">
            <v>-</v>
          </cell>
          <cell r="BR119">
            <v>40</v>
          </cell>
          <cell r="BS119">
            <v>40</v>
          </cell>
          <cell r="BT119" t="str">
            <v>-</v>
          </cell>
          <cell r="BU119">
            <v>40</v>
          </cell>
          <cell r="BV119">
            <v>40</v>
          </cell>
          <cell r="BW119" t="str">
            <v>-</v>
          </cell>
          <cell r="BX119">
            <v>35</v>
          </cell>
          <cell r="BY119">
            <v>5</v>
          </cell>
          <cell r="BZ119">
            <v>87.5</v>
          </cell>
          <cell r="CA119">
            <v>39</v>
          </cell>
          <cell r="CB119">
            <v>4</v>
          </cell>
          <cell r="CC119">
            <v>90.7</v>
          </cell>
          <cell r="CD119">
            <v>32</v>
          </cell>
          <cell r="CE119">
            <v>4</v>
          </cell>
          <cell r="CF119">
            <v>88.9</v>
          </cell>
          <cell r="CG119">
            <v>33</v>
          </cell>
          <cell r="CH119">
            <v>4</v>
          </cell>
          <cell r="CI119">
            <v>89.2</v>
          </cell>
          <cell r="CJ119">
            <v>41</v>
          </cell>
          <cell r="CK119">
            <v>7</v>
          </cell>
          <cell r="CL119">
            <v>85.4</v>
          </cell>
          <cell r="CM119">
            <v>43</v>
          </cell>
          <cell r="CN119">
            <v>10</v>
          </cell>
          <cell r="CO119">
            <v>81.099999999999994</v>
          </cell>
          <cell r="CP119">
            <v>22</v>
          </cell>
          <cell r="CQ119">
            <v>5</v>
          </cell>
          <cell r="CR119">
            <v>81.5</v>
          </cell>
          <cell r="CS119">
            <v>29</v>
          </cell>
          <cell r="CT119">
            <v>3</v>
          </cell>
          <cell r="CU119">
            <v>90.6</v>
          </cell>
          <cell r="CV119">
            <v>31</v>
          </cell>
          <cell r="CW119">
            <v>5</v>
          </cell>
          <cell r="CX119">
            <v>86.1</v>
          </cell>
          <cell r="CY119">
            <v>33</v>
          </cell>
          <cell r="CZ119">
            <v>3</v>
          </cell>
          <cell r="DA119">
            <v>91.7</v>
          </cell>
          <cell r="DB119">
            <v>26</v>
          </cell>
          <cell r="DC119">
            <v>1</v>
          </cell>
          <cell r="DD119">
            <v>96.3</v>
          </cell>
          <cell r="DE119">
            <v>19</v>
          </cell>
          <cell r="DF119">
            <v>4</v>
          </cell>
          <cell r="DG119">
            <v>82.6</v>
          </cell>
          <cell r="DH119">
            <v>23</v>
          </cell>
          <cell r="DI119">
            <v>6</v>
          </cell>
          <cell r="DJ119">
            <v>79.3</v>
          </cell>
          <cell r="DK119">
            <v>28</v>
          </cell>
          <cell r="DL119">
            <v>5</v>
          </cell>
          <cell r="DM119">
            <v>84.8</v>
          </cell>
          <cell r="DN119">
            <v>11</v>
          </cell>
          <cell r="DO119">
            <v>5</v>
          </cell>
          <cell r="DP119">
            <v>68.8</v>
          </cell>
          <cell r="DQ119">
            <v>11</v>
          </cell>
          <cell r="DR119">
            <v>3</v>
          </cell>
          <cell r="DS119">
            <v>78.599999999999994</v>
          </cell>
          <cell r="DT119">
            <v>78.5999755859375</v>
          </cell>
          <cell r="DU119">
            <v>78.5999755859375</v>
          </cell>
          <cell r="DV119" t="str">
            <v>-</v>
          </cell>
          <cell r="DW119">
            <v>78.5999755859375</v>
          </cell>
          <cell r="DX119">
            <v>78.5999755859375</v>
          </cell>
          <cell r="DY119" t="str">
            <v>-</v>
          </cell>
          <cell r="DZ119">
            <v>78.5999755859375</v>
          </cell>
          <cell r="EA119">
            <v>78.5999755859375</v>
          </cell>
          <cell r="EB119" t="str">
            <v>-</v>
          </cell>
          <cell r="EC119">
            <v>78.5999755859375</v>
          </cell>
          <cell r="ED119">
            <v>78.5999755859375</v>
          </cell>
          <cell r="EE119" t="str">
            <v>-</v>
          </cell>
          <cell r="EF119">
            <v>78.5999755859375</v>
          </cell>
          <cell r="EG119">
            <v>78.5999755859375</v>
          </cell>
          <cell r="EH119" t="str">
            <v>-</v>
          </cell>
          <cell r="EI119">
            <v>78.5999755859375</v>
          </cell>
          <cell r="EJ119">
            <v>78.5999755859375</v>
          </cell>
          <cell r="EK119" t="str">
            <v>-</v>
          </cell>
          <cell r="EL119">
            <v>78.5999755859375</v>
          </cell>
          <cell r="EM119">
            <v>78.5999755859375</v>
          </cell>
          <cell r="EN119" t="str">
            <v>-</v>
          </cell>
          <cell r="EO119">
            <v>78.5999755859375</v>
          </cell>
          <cell r="EP119">
            <v>78.5999755859375</v>
          </cell>
          <cell r="EQ119" t="str">
            <v>-</v>
          </cell>
          <cell r="ER119">
            <v>1</v>
          </cell>
          <cell r="ES119">
            <v>4</v>
          </cell>
          <cell r="ET119">
            <v>20</v>
          </cell>
          <cell r="EU119">
            <v>13</v>
          </cell>
          <cell r="EV119">
            <v>2</v>
          </cell>
          <cell r="EW119">
            <v>86.7</v>
          </cell>
          <cell r="EX119">
            <v>1</v>
          </cell>
          <cell r="EY119">
            <v>10</v>
          </cell>
          <cell r="EZ119">
            <v>9.1</v>
          </cell>
          <cell r="FA119">
            <v>2</v>
          </cell>
          <cell r="FB119">
            <v>2</v>
          </cell>
          <cell r="FC119">
            <v>100</v>
          </cell>
          <cell r="FD119">
            <v>3</v>
          </cell>
          <cell r="FE119">
            <v>3</v>
          </cell>
          <cell r="FF119">
            <v>50</v>
          </cell>
          <cell r="FG119">
            <v>8</v>
          </cell>
          <cell r="FH119">
            <v>8</v>
          </cell>
          <cell r="FI119">
            <v>100</v>
          </cell>
          <cell r="FJ119">
            <v>6</v>
          </cell>
          <cell r="FK119">
            <v>1</v>
          </cell>
          <cell r="FL119">
            <v>85.7</v>
          </cell>
          <cell r="FM119">
            <v>16</v>
          </cell>
          <cell r="FN119">
            <v>5</v>
          </cell>
          <cell r="FO119">
            <v>76.2</v>
          </cell>
          <cell r="FP119">
            <v>76.199951171875</v>
          </cell>
          <cell r="FQ119">
            <v>76.199951171875</v>
          </cell>
          <cell r="FR119" t="str">
            <v>-</v>
          </cell>
          <cell r="FS119">
            <v>76.199951171875</v>
          </cell>
          <cell r="FT119">
            <v>76.199951171875</v>
          </cell>
          <cell r="FU119" t="str">
            <v>-</v>
          </cell>
          <cell r="FV119">
            <v>76.199951171875</v>
          </cell>
          <cell r="FW119">
            <v>76.199951171875</v>
          </cell>
          <cell r="FX119" t="str">
            <v>-</v>
          </cell>
          <cell r="FY119">
            <v>76.199951171875</v>
          </cell>
          <cell r="FZ119">
            <v>76.199951171875</v>
          </cell>
          <cell r="GA119" t="str">
            <v>-</v>
          </cell>
          <cell r="GB119">
            <v>76.199951171875</v>
          </cell>
          <cell r="GC119">
            <v>76.199951171875</v>
          </cell>
          <cell r="GD119" t="str">
            <v>-</v>
          </cell>
          <cell r="GE119">
            <v>76.199951171875</v>
          </cell>
          <cell r="GF119">
            <v>76.199951171875</v>
          </cell>
          <cell r="GG119" t="str">
            <v>-</v>
          </cell>
          <cell r="GH119">
            <v>76.199951171875</v>
          </cell>
          <cell r="GI119">
            <v>76.199951171875</v>
          </cell>
          <cell r="GJ119" t="str">
            <v>-</v>
          </cell>
          <cell r="GK119">
            <v>76.199951171875</v>
          </cell>
          <cell r="GL119">
            <v>76.199951171875</v>
          </cell>
          <cell r="GM119" t="str">
            <v>-</v>
          </cell>
          <cell r="GN119">
            <v>34</v>
          </cell>
          <cell r="GO119">
            <v>12</v>
          </cell>
          <cell r="GP119">
            <v>73.900000000000006</v>
          </cell>
          <cell r="GQ119">
            <v>46</v>
          </cell>
          <cell r="GR119">
            <v>6</v>
          </cell>
          <cell r="GS119">
            <v>88.5</v>
          </cell>
          <cell r="GT119">
            <v>44</v>
          </cell>
          <cell r="GU119">
            <v>9</v>
          </cell>
          <cell r="GV119">
            <v>83</v>
          </cell>
          <cell r="GW119">
            <v>43</v>
          </cell>
          <cell r="GX119">
            <v>7</v>
          </cell>
          <cell r="GY119">
            <v>86</v>
          </cell>
          <cell r="GZ119">
            <v>80</v>
          </cell>
          <cell r="HA119">
            <v>9</v>
          </cell>
          <cell r="HB119">
            <v>89.9</v>
          </cell>
          <cell r="HC119">
            <v>50</v>
          </cell>
          <cell r="HD119">
            <v>9</v>
          </cell>
          <cell r="HE119">
            <v>84.7</v>
          </cell>
          <cell r="HF119">
            <v>40</v>
          </cell>
          <cell r="HG119">
            <v>5</v>
          </cell>
          <cell r="HH119">
            <v>88.9</v>
          </cell>
          <cell r="HI119">
            <v>53</v>
          </cell>
          <cell r="HJ119">
            <v>7</v>
          </cell>
          <cell r="HK119">
            <v>88.3</v>
          </cell>
          <cell r="HL119">
            <v>2</v>
          </cell>
          <cell r="HM119">
            <v>3</v>
          </cell>
          <cell r="HN119">
            <v>40</v>
          </cell>
          <cell r="HO119">
            <v>2</v>
          </cell>
          <cell r="HP119">
            <v>2</v>
          </cell>
          <cell r="HQ119">
            <v>100</v>
          </cell>
          <cell r="HR119">
            <v>8</v>
          </cell>
          <cell r="HS119">
            <v>8</v>
          </cell>
          <cell r="HT119">
            <v>100</v>
          </cell>
          <cell r="HU119">
            <v>6</v>
          </cell>
          <cell r="HV119">
            <v>1</v>
          </cell>
          <cell r="HW119">
            <v>85.7</v>
          </cell>
          <cell r="HX119">
            <v>9</v>
          </cell>
          <cell r="HY119">
            <v>4</v>
          </cell>
          <cell r="HZ119">
            <v>69.2</v>
          </cell>
          <cell r="IA119">
            <v>1</v>
          </cell>
          <cell r="IB119">
            <v>1</v>
          </cell>
          <cell r="IC119">
            <v>50</v>
          </cell>
          <cell r="ID119">
            <v>2</v>
          </cell>
          <cell r="IE119">
            <v>1</v>
          </cell>
          <cell r="IF119">
            <v>66.7</v>
          </cell>
          <cell r="IG119">
            <v>4</v>
          </cell>
          <cell r="IH119">
            <v>4</v>
          </cell>
          <cell r="II119">
            <v>100</v>
          </cell>
          <cell r="IJ119">
            <v>1</v>
          </cell>
          <cell r="IK119">
            <v>1</v>
          </cell>
          <cell r="IL119">
            <v>50</v>
          </cell>
          <cell r="IM119">
            <v>2</v>
          </cell>
          <cell r="IN119">
            <v>1</v>
          </cell>
          <cell r="IO119">
            <v>66.7</v>
          </cell>
          <cell r="IP119">
            <v>1</v>
          </cell>
          <cell r="IQ119">
            <v>1</v>
          </cell>
          <cell r="IR119">
            <v>50</v>
          </cell>
          <cell r="IS119">
            <v>2</v>
          </cell>
          <cell r="IT119">
            <v>2</v>
          </cell>
          <cell r="IU119">
            <v>50</v>
          </cell>
          <cell r="IV119">
            <v>3</v>
          </cell>
          <cell r="IW119">
            <v>1</v>
          </cell>
          <cell r="IX119">
            <v>75</v>
          </cell>
          <cell r="IY119">
            <v>1</v>
          </cell>
          <cell r="IZ119">
            <v>1</v>
          </cell>
          <cell r="JA119">
            <v>100</v>
          </cell>
          <cell r="JB119">
            <v>5</v>
          </cell>
          <cell r="JC119">
            <v>5</v>
          </cell>
          <cell r="JD119">
            <v>100</v>
          </cell>
          <cell r="JE119">
            <v>4</v>
          </cell>
          <cell r="JF119">
            <v>4</v>
          </cell>
          <cell r="JG119">
            <v>100</v>
          </cell>
          <cell r="JH119">
            <v>0</v>
          </cell>
          <cell r="JI119">
            <v>0</v>
          </cell>
          <cell r="JJ119" t="str">
            <v>-</v>
          </cell>
          <cell r="JK119">
            <v>0</v>
          </cell>
          <cell r="JL119">
            <v>0</v>
          </cell>
          <cell r="JM119" t="str">
            <v>-</v>
          </cell>
          <cell r="JN119">
            <v>0</v>
          </cell>
          <cell r="JO119">
            <v>0</v>
          </cell>
          <cell r="JP119" t="str">
            <v>-</v>
          </cell>
          <cell r="JQ119">
            <v>168</v>
          </cell>
          <cell r="JR119">
            <v>29</v>
          </cell>
          <cell r="JS119">
            <v>85.279187817258887</v>
          </cell>
          <cell r="JT119">
            <v>92</v>
          </cell>
          <cell r="JU119">
            <v>23</v>
          </cell>
          <cell r="JV119">
            <v>80</v>
          </cell>
          <cell r="JW119">
            <v>0</v>
          </cell>
          <cell r="JX119">
            <v>0</v>
          </cell>
          <cell r="JY119" t="str">
            <v>-</v>
          </cell>
          <cell r="JZ119">
            <v>35</v>
          </cell>
          <cell r="KA119">
            <v>9</v>
          </cell>
          <cell r="KB119">
            <v>79.545454545454547</v>
          </cell>
          <cell r="KC119">
            <v>0</v>
          </cell>
          <cell r="KD119">
            <v>0</v>
          </cell>
          <cell r="KE119" t="str">
            <v>-</v>
          </cell>
          <cell r="KF119">
            <v>266</v>
          </cell>
          <cell r="KG119">
            <v>37</v>
          </cell>
          <cell r="KH119">
            <v>87.788778877887779</v>
          </cell>
          <cell r="KI119">
            <v>22</v>
          </cell>
          <cell r="KJ119">
            <v>7</v>
          </cell>
          <cell r="KK119">
            <v>75.862068965517238</v>
          </cell>
          <cell r="KL119">
            <v>15</v>
          </cell>
          <cell r="KM119">
            <v>3</v>
          </cell>
          <cell r="KN119">
            <v>83.333333333333343</v>
          </cell>
        </row>
        <row r="120">
          <cell r="C120" t="str">
            <v>Rétsági Rendőrkapitányság</v>
          </cell>
          <cell r="D120">
            <v>83.33331298828125</v>
          </cell>
          <cell r="E120">
            <v>83.33331298828125</v>
          </cell>
          <cell r="F120" t="str">
            <v>-</v>
          </cell>
          <cell r="G120">
            <v>83.33331298828125</v>
          </cell>
          <cell r="H120">
            <v>83.33331298828125</v>
          </cell>
          <cell r="I120" t="str">
            <v>-</v>
          </cell>
          <cell r="J120">
            <v>83.33331298828125</v>
          </cell>
          <cell r="K120">
            <v>83.33331298828125</v>
          </cell>
          <cell r="L120" t="str">
            <v>-</v>
          </cell>
          <cell r="M120">
            <v>83.33331298828125</v>
          </cell>
          <cell r="N120">
            <v>83.33331298828125</v>
          </cell>
          <cell r="O120" t="str">
            <v>-</v>
          </cell>
          <cell r="P120">
            <v>83.33331298828125</v>
          </cell>
          <cell r="Q120">
            <v>83.33331298828125</v>
          </cell>
          <cell r="R120" t="str">
            <v>-</v>
          </cell>
          <cell r="S120">
            <v>83.33331298828125</v>
          </cell>
          <cell r="T120">
            <v>83.33331298828125</v>
          </cell>
          <cell r="U120" t="str">
            <v>-</v>
          </cell>
          <cell r="V120">
            <v>83.33331298828125</v>
          </cell>
          <cell r="W120">
            <v>83.33331298828125</v>
          </cell>
          <cell r="X120" t="str">
            <v>-</v>
          </cell>
          <cell r="Y120">
            <v>83.33331298828125</v>
          </cell>
          <cell r="Z120">
            <v>83.33331298828125</v>
          </cell>
          <cell r="AA120" t="str">
            <v>-</v>
          </cell>
          <cell r="AB120">
            <v>83.33331298828125</v>
          </cell>
          <cell r="AC120">
            <v>83.33331298828125</v>
          </cell>
          <cell r="AD120" t="str">
            <v>-</v>
          </cell>
          <cell r="AE120">
            <v>83.33331298828125</v>
          </cell>
          <cell r="AF120">
            <v>83.33331298828125</v>
          </cell>
          <cell r="AG120" t="str">
            <v>-</v>
          </cell>
          <cell r="AH120">
            <v>83.33331298828125</v>
          </cell>
          <cell r="AI120">
            <v>83.33331298828125</v>
          </cell>
          <cell r="AJ120" t="str">
            <v>-</v>
          </cell>
          <cell r="AK120">
            <v>83.33331298828125</v>
          </cell>
          <cell r="AL120">
            <v>83.33331298828125</v>
          </cell>
          <cell r="AM120" t="str">
            <v>-</v>
          </cell>
          <cell r="AN120">
            <v>83.33331298828125</v>
          </cell>
          <cell r="AO120">
            <v>83.33331298828125</v>
          </cell>
          <cell r="AP120" t="str">
            <v>-</v>
          </cell>
          <cell r="AQ120">
            <v>83.33331298828125</v>
          </cell>
          <cell r="AR120">
            <v>83.33331298828125</v>
          </cell>
          <cell r="AS120" t="str">
            <v>-</v>
          </cell>
          <cell r="AT120">
            <v>83.33331298828125</v>
          </cell>
          <cell r="AU120">
            <v>83.33331298828125</v>
          </cell>
          <cell r="AV120" t="str">
            <v>-</v>
          </cell>
          <cell r="AW120">
            <v>83.33331298828125</v>
          </cell>
          <cell r="AX120">
            <v>83.33331298828125</v>
          </cell>
          <cell r="AY120" t="str">
            <v>-</v>
          </cell>
          <cell r="AZ120">
            <v>83.33331298828125</v>
          </cell>
          <cell r="BA120">
            <v>83.33331298828125</v>
          </cell>
          <cell r="BB120" t="str">
            <v>-</v>
          </cell>
          <cell r="BC120">
            <v>83.33331298828125</v>
          </cell>
          <cell r="BD120">
            <v>83.33331298828125</v>
          </cell>
          <cell r="BE120" t="str">
            <v>-</v>
          </cell>
          <cell r="BF120">
            <v>83.33331298828125</v>
          </cell>
          <cell r="BG120">
            <v>83.33331298828125</v>
          </cell>
          <cell r="BH120" t="str">
            <v>-</v>
          </cell>
          <cell r="BI120">
            <v>83.33331298828125</v>
          </cell>
          <cell r="BJ120">
            <v>83.33331298828125</v>
          </cell>
          <cell r="BK120" t="str">
            <v>-</v>
          </cell>
          <cell r="BL120">
            <v>83.33331298828125</v>
          </cell>
          <cell r="BM120">
            <v>83.33331298828125</v>
          </cell>
          <cell r="BN120" t="str">
            <v>-</v>
          </cell>
          <cell r="BO120">
            <v>83.33331298828125</v>
          </cell>
          <cell r="BP120">
            <v>83.33331298828125</v>
          </cell>
          <cell r="BQ120" t="str">
            <v>-</v>
          </cell>
          <cell r="BR120">
            <v>83.33331298828125</v>
          </cell>
          <cell r="BS120">
            <v>83.33331298828125</v>
          </cell>
          <cell r="BT120" t="str">
            <v>-</v>
          </cell>
          <cell r="BU120">
            <v>83.33331298828125</v>
          </cell>
          <cell r="BV120">
            <v>83.33331298828125</v>
          </cell>
          <cell r="BW120" t="str">
            <v>-</v>
          </cell>
          <cell r="BX120">
            <v>27</v>
          </cell>
          <cell r="BY120">
            <v>4</v>
          </cell>
          <cell r="BZ120">
            <v>87.1</v>
          </cell>
          <cell r="CA120">
            <v>28</v>
          </cell>
          <cell r="CB120">
            <v>1</v>
          </cell>
          <cell r="CC120">
            <v>96.6</v>
          </cell>
          <cell r="CD120">
            <v>27</v>
          </cell>
          <cell r="CE120">
            <v>2</v>
          </cell>
          <cell r="CF120">
            <v>93.1</v>
          </cell>
          <cell r="CG120">
            <v>33</v>
          </cell>
          <cell r="CH120">
            <v>4</v>
          </cell>
          <cell r="CI120">
            <v>89.2</v>
          </cell>
          <cell r="CJ120">
            <v>25</v>
          </cell>
          <cell r="CK120">
            <v>1</v>
          </cell>
          <cell r="CL120">
            <v>96.2</v>
          </cell>
          <cell r="CM120">
            <v>19</v>
          </cell>
          <cell r="CN120">
            <v>3</v>
          </cell>
          <cell r="CO120">
            <v>86.4</v>
          </cell>
          <cell r="CP120">
            <v>26</v>
          </cell>
          <cell r="CQ120">
            <v>1</v>
          </cell>
          <cell r="CR120">
            <v>96.3</v>
          </cell>
          <cell r="CS120">
            <v>21</v>
          </cell>
          <cell r="CT120">
            <v>21</v>
          </cell>
          <cell r="CU120">
            <v>100</v>
          </cell>
          <cell r="CV120">
            <v>13</v>
          </cell>
          <cell r="CW120">
            <v>2</v>
          </cell>
          <cell r="CX120">
            <v>86.7</v>
          </cell>
          <cell r="CY120">
            <v>13</v>
          </cell>
          <cell r="CZ120">
            <v>13</v>
          </cell>
          <cell r="DA120">
            <v>100</v>
          </cell>
          <cell r="DB120">
            <v>16</v>
          </cell>
          <cell r="DC120">
            <v>1</v>
          </cell>
          <cell r="DD120">
            <v>94.1</v>
          </cell>
          <cell r="DE120">
            <v>13</v>
          </cell>
          <cell r="DF120">
            <v>3</v>
          </cell>
          <cell r="DG120">
            <v>81.3</v>
          </cell>
          <cell r="DH120">
            <v>13</v>
          </cell>
          <cell r="DI120">
            <v>13</v>
          </cell>
          <cell r="DJ120">
            <v>100</v>
          </cell>
          <cell r="DK120">
            <v>14</v>
          </cell>
          <cell r="DL120">
            <v>2</v>
          </cell>
          <cell r="DM120">
            <v>87.5</v>
          </cell>
          <cell r="DN120">
            <v>17</v>
          </cell>
          <cell r="DO120">
            <v>1</v>
          </cell>
          <cell r="DP120">
            <v>94.4</v>
          </cell>
          <cell r="DQ120">
            <v>6</v>
          </cell>
          <cell r="DR120">
            <v>6</v>
          </cell>
          <cell r="DS120">
            <v>100</v>
          </cell>
          <cell r="DT120">
            <v>100</v>
          </cell>
          <cell r="DU120">
            <v>100</v>
          </cell>
          <cell r="DV120" t="str">
            <v>-</v>
          </cell>
          <cell r="DW120">
            <v>100</v>
          </cell>
          <cell r="DX120">
            <v>100</v>
          </cell>
          <cell r="DY120" t="str">
            <v>-</v>
          </cell>
          <cell r="DZ120">
            <v>100</v>
          </cell>
          <cell r="EA120">
            <v>100</v>
          </cell>
          <cell r="EB120" t="str">
            <v>-</v>
          </cell>
          <cell r="EC120">
            <v>100</v>
          </cell>
          <cell r="ED120">
            <v>100</v>
          </cell>
          <cell r="EE120" t="str">
            <v>-</v>
          </cell>
          <cell r="EF120">
            <v>100</v>
          </cell>
          <cell r="EG120">
            <v>100</v>
          </cell>
          <cell r="EH120" t="str">
            <v>-</v>
          </cell>
          <cell r="EI120">
            <v>100</v>
          </cell>
          <cell r="EJ120">
            <v>100</v>
          </cell>
          <cell r="EK120" t="str">
            <v>-</v>
          </cell>
          <cell r="EL120">
            <v>100</v>
          </cell>
          <cell r="EM120">
            <v>100</v>
          </cell>
          <cell r="EN120" t="str">
            <v>-</v>
          </cell>
          <cell r="EO120">
            <v>100</v>
          </cell>
          <cell r="EP120">
            <v>100</v>
          </cell>
          <cell r="EQ120" t="str">
            <v>-</v>
          </cell>
          <cell r="ER120">
            <v>8</v>
          </cell>
          <cell r="ES120">
            <v>1</v>
          </cell>
          <cell r="ET120">
            <v>88.9</v>
          </cell>
          <cell r="EU120">
            <v>88.89996337890625</v>
          </cell>
          <cell r="EV120">
            <v>1</v>
          </cell>
          <cell r="EW120">
            <v>0</v>
          </cell>
          <cell r="EX120">
            <v>1</v>
          </cell>
          <cell r="EY120">
            <v>1</v>
          </cell>
          <cell r="EZ120">
            <v>100</v>
          </cell>
          <cell r="FA120">
            <v>1</v>
          </cell>
          <cell r="FB120">
            <v>1</v>
          </cell>
          <cell r="FC120">
            <v>100</v>
          </cell>
          <cell r="FD120">
            <v>2</v>
          </cell>
          <cell r="FE120">
            <v>2</v>
          </cell>
          <cell r="FF120">
            <v>100</v>
          </cell>
          <cell r="FG120">
            <v>4</v>
          </cell>
          <cell r="FH120">
            <v>4</v>
          </cell>
          <cell r="FI120">
            <v>100</v>
          </cell>
          <cell r="FJ120">
            <v>6</v>
          </cell>
          <cell r="FK120">
            <v>6</v>
          </cell>
          <cell r="FL120">
            <v>100</v>
          </cell>
          <cell r="FM120">
            <v>3</v>
          </cell>
          <cell r="FN120">
            <v>3</v>
          </cell>
          <cell r="FO120">
            <v>100</v>
          </cell>
          <cell r="FP120">
            <v>100</v>
          </cell>
          <cell r="FQ120">
            <v>100</v>
          </cell>
          <cell r="FR120" t="str">
            <v>-</v>
          </cell>
          <cell r="FS120">
            <v>100</v>
          </cell>
          <cell r="FT120">
            <v>100</v>
          </cell>
          <cell r="FU120" t="str">
            <v>-</v>
          </cell>
          <cell r="FV120">
            <v>100</v>
          </cell>
          <cell r="FW120">
            <v>100</v>
          </cell>
          <cell r="FX120" t="str">
            <v>-</v>
          </cell>
          <cell r="FY120">
            <v>100</v>
          </cell>
          <cell r="FZ120">
            <v>100</v>
          </cell>
          <cell r="GA120" t="str">
            <v>-</v>
          </cell>
          <cell r="GB120">
            <v>100</v>
          </cell>
          <cell r="GC120">
            <v>100</v>
          </cell>
          <cell r="GD120" t="str">
            <v>-</v>
          </cell>
          <cell r="GE120">
            <v>100</v>
          </cell>
          <cell r="GF120">
            <v>100</v>
          </cell>
          <cell r="GG120" t="str">
            <v>-</v>
          </cell>
          <cell r="GH120">
            <v>100</v>
          </cell>
          <cell r="GI120">
            <v>100</v>
          </cell>
          <cell r="GJ120" t="str">
            <v>-</v>
          </cell>
          <cell r="GK120">
            <v>100</v>
          </cell>
          <cell r="GL120">
            <v>100</v>
          </cell>
          <cell r="GM120" t="str">
            <v>-</v>
          </cell>
          <cell r="GN120">
            <v>34</v>
          </cell>
          <cell r="GO120">
            <v>6</v>
          </cell>
          <cell r="GP120">
            <v>85</v>
          </cell>
          <cell r="GQ120">
            <v>38</v>
          </cell>
          <cell r="GR120">
            <v>4</v>
          </cell>
          <cell r="GS120">
            <v>90.5</v>
          </cell>
          <cell r="GT120">
            <v>28</v>
          </cell>
          <cell r="GU120">
            <v>4</v>
          </cell>
          <cell r="GV120">
            <v>87.5</v>
          </cell>
          <cell r="GW120">
            <v>31</v>
          </cell>
          <cell r="GX120">
            <v>2</v>
          </cell>
          <cell r="GY120">
            <v>93.9</v>
          </cell>
          <cell r="GZ120">
            <v>33</v>
          </cell>
          <cell r="HA120">
            <v>2</v>
          </cell>
          <cell r="HB120">
            <v>94.3</v>
          </cell>
          <cell r="HC120">
            <v>42</v>
          </cell>
          <cell r="HD120">
            <v>1</v>
          </cell>
          <cell r="HE120">
            <v>97.7</v>
          </cell>
          <cell r="HF120">
            <v>24</v>
          </cell>
          <cell r="HG120">
            <v>2</v>
          </cell>
          <cell r="HH120">
            <v>92.3</v>
          </cell>
          <cell r="HI120">
            <v>25</v>
          </cell>
          <cell r="HJ120">
            <v>1</v>
          </cell>
          <cell r="HK120">
            <v>96.2</v>
          </cell>
          <cell r="HL120">
            <v>7</v>
          </cell>
          <cell r="HM120">
            <v>7</v>
          </cell>
          <cell r="HN120">
            <v>100</v>
          </cell>
          <cell r="HO120">
            <v>1</v>
          </cell>
          <cell r="HP120">
            <v>4</v>
          </cell>
          <cell r="HQ120">
            <v>20</v>
          </cell>
          <cell r="HR120">
            <v>2</v>
          </cell>
          <cell r="HS120">
            <v>2</v>
          </cell>
          <cell r="HT120">
            <v>100</v>
          </cell>
          <cell r="HU120">
            <v>4</v>
          </cell>
          <cell r="HV120">
            <v>2</v>
          </cell>
          <cell r="HW120">
            <v>66.7</v>
          </cell>
          <cell r="HX120">
            <v>1</v>
          </cell>
          <cell r="HY120">
            <v>2</v>
          </cell>
          <cell r="HZ120">
            <v>33.299999999999997</v>
          </cell>
          <cell r="IA120">
            <v>1</v>
          </cell>
          <cell r="IB120">
            <v>2</v>
          </cell>
          <cell r="IC120">
            <v>33.299999999999997</v>
          </cell>
          <cell r="ID120">
            <v>1</v>
          </cell>
          <cell r="IE120">
            <v>1</v>
          </cell>
          <cell r="IF120">
            <v>100</v>
          </cell>
          <cell r="IG120">
            <v>100</v>
          </cell>
          <cell r="IH120">
            <v>100</v>
          </cell>
          <cell r="II120" t="str">
            <v>-</v>
          </cell>
          <cell r="IJ120">
            <v>2</v>
          </cell>
          <cell r="IK120">
            <v>2</v>
          </cell>
          <cell r="IL120">
            <v>100</v>
          </cell>
          <cell r="IM120">
            <v>100</v>
          </cell>
          <cell r="IN120">
            <v>100</v>
          </cell>
          <cell r="IO120" t="str">
            <v>-</v>
          </cell>
          <cell r="IP120">
            <v>100</v>
          </cell>
          <cell r="IQ120">
            <v>1</v>
          </cell>
          <cell r="IR120">
            <v>0</v>
          </cell>
          <cell r="IS120">
            <v>0</v>
          </cell>
          <cell r="IT120">
            <v>1</v>
          </cell>
          <cell r="IU120">
            <v>0</v>
          </cell>
          <cell r="IV120">
            <v>2</v>
          </cell>
          <cell r="IW120">
            <v>2</v>
          </cell>
          <cell r="IX120">
            <v>100</v>
          </cell>
          <cell r="IY120">
            <v>1</v>
          </cell>
          <cell r="IZ120">
            <v>1</v>
          </cell>
          <cell r="JA120">
            <v>100</v>
          </cell>
          <cell r="JB120">
            <v>100</v>
          </cell>
          <cell r="JC120">
            <v>100</v>
          </cell>
          <cell r="JD120" t="str">
            <v>-</v>
          </cell>
          <cell r="JE120">
            <v>100</v>
          </cell>
          <cell r="JF120">
            <v>100</v>
          </cell>
          <cell r="JG120" t="str">
            <v>-</v>
          </cell>
          <cell r="JH120">
            <v>0</v>
          </cell>
          <cell r="JI120">
            <v>0</v>
          </cell>
          <cell r="JJ120" t="str">
            <v>-</v>
          </cell>
          <cell r="JK120">
            <v>0</v>
          </cell>
          <cell r="JL120">
            <v>0</v>
          </cell>
          <cell r="JM120" t="str">
            <v>-</v>
          </cell>
          <cell r="JN120">
            <v>0</v>
          </cell>
          <cell r="JO120">
            <v>0</v>
          </cell>
          <cell r="JP120" t="str">
            <v>-</v>
          </cell>
          <cell r="JQ120">
            <v>124</v>
          </cell>
          <cell r="JR120">
            <v>9</v>
          </cell>
          <cell r="JS120">
            <v>93.233082706766908</v>
          </cell>
          <cell r="JT120">
            <v>63</v>
          </cell>
          <cell r="JU120">
            <v>6</v>
          </cell>
          <cell r="JV120">
            <v>91.304347826086953</v>
          </cell>
          <cell r="JW120">
            <v>0</v>
          </cell>
          <cell r="JX120">
            <v>0</v>
          </cell>
          <cell r="JY120" t="str">
            <v>-</v>
          </cell>
          <cell r="JZ120">
            <v>16</v>
          </cell>
          <cell r="KA120">
            <v>0</v>
          </cell>
          <cell r="KB120">
            <v>100</v>
          </cell>
          <cell r="KC120">
            <v>0</v>
          </cell>
          <cell r="KD120">
            <v>0</v>
          </cell>
          <cell r="KE120" t="str">
            <v>-</v>
          </cell>
          <cell r="KF120">
            <v>155</v>
          </cell>
          <cell r="KG120">
            <v>8</v>
          </cell>
          <cell r="KH120">
            <v>95.092024539877301</v>
          </cell>
          <cell r="KI120">
            <v>7</v>
          </cell>
          <cell r="KJ120">
            <v>6</v>
          </cell>
          <cell r="KK120">
            <v>53.846153846153847</v>
          </cell>
          <cell r="KL120">
            <v>3</v>
          </cell>
          <cell r="KM120">
            <v>1</v>
          </cell>
          <cell r="KN120">
            <v>75</v>
          </cell>
        </row>
        <row r="121">
          <cell r="C121" t="str">
            <v>Szécsényi Rendőrkapitányság</v>
          </cell>
          <cell r="D121">
            <v>75</v>
          </cell>
          <cell r="E121">
            <v>75</v>
          </cell>
          <cell r="F121" t="str">
            <v>-</v>
          </cell>
          <cell r="G121">
            <v>75</v>
          </cell>
          <cell r="H121">
            <v>75</v>
          </cell>
          <cell r="I121" t="str">
            <v>-</v>
          </cell>
          <cell r="J121">
            <v>75</v>
          </cell>
          <cell r="K121">
            <v>75</v>
          </cell>
          <cell r="L121" t="str">
            <v>-</v>
          </cell>
          <cell r="M121">
            <v>75</v>
          </cell>
          <cell r="N121">
            <v>75</v>
          </cell>
          <cell r="O121" t="str">
            <v>-</v>
          </cell>
          <cell r="P121">
            <v>75</v>
          </cell>
          <cell r="Q121">
            <v>75</v>
          </cell>
          <cell r="R121" t="str">
            <v>-</v>
          </cell>
          <cell r="S121">
            <v>75</v>
          </cell>
          <cell r="T121">
            <v>75</v>
          </cell>
          <cell r="U121" t="str">
            <v>-</v>
          </cell>
          <cell r="V121">
            <v>75</v>
          </cell>
          <cell r="W121">
            <v>75</v>
          </cell>
          <cell r="X121" t="str">
            <v>-</v>
          </cell>
          <cell r="Y121">
            <v>75</v>
          </cell>
          <cell r="Z121">
            <v>75</v>
          </cell>
          <cell r="AA121" t="str">
            <v>-</v>
          </cell>
          <cell r="AB121">
            <v>75</v>
          </cell>
          <cell r="AC121">
            <v>75</v>
          </cell>
          <cell r="AD121" t="str">
            <v>-</v>
          </cell>
          <cell r="AE121">
            <v>75</v>
          </cell>
          <cell r="AF121">
            <v>75</v>
          </cell>
          <cell r="AG121" t="str">
            <v>-</v>
          </cell>
          <cell r="AH121">
            <v>75</v>
          </cell>
          <cell r="AI121">
            <v>75</v>
          </cell>
          <cell r="AJ121" t="str">
            <v>-</v>
          </cell>
          <cell r="AK121">
            <v>75</v>
          </cell>
          <cell r="AL121">
            <v>75</v>
          </cell>
          <cell r="AM121" t="str">
            <v>-</v>
          </cell>
          <cell r="AN121">
            <v>75</v>
          </cell>
          <cell r="AO121">
            <v>75</v>
          </cell>
          <cell r="AP121" t="str">
            <v>-</v>
          </cell>
          <cell r="AQ121">
            <v>75</v>
          </cell>
          <cell r="AR121">
            <v>75</v>
          </cell>
          <cell r="AS121" t="str">
            <v>-</v>
          </cell>
          <cell r="AT121">
            <v>75</v>
          </cell>
          <cell r="AU121">
            <v>75</v>
          </cell>
          <cell r="AV121" t="str">
            <v>-</v>
          </cell>
          <cell r="AW121">
            <v>75</v>
          </cell>
          <cell r="AX121">
            <v>75</v>
          </cell>
          <cell r="AY121" t="str">
            <v>-</v>
          </cell>
          <cell r="AZ121">
            <v>75</v>
          </cell>
          <cell r="BA121">
            <v>75</v>
          </cell>
          <cell r="BB121" t="str">
            <v>-</v>
          </cell>
          <cell r="BC121">
            <v>75</v>
          </cell>
          <cell r="BD121">
            <v>75</v>
          </cell>
          <cell r="BE121" t="str">
            <v>-</v>
          </cell>
          <cell r="BF121">
            <v>75</v>
          </cell>
          <cell r="BG121">
            <v>75</v>
          </cell>
          <cell r="BH121" t="str">
            <v>-</v>
          </cell>
          <cell r="BI121">
            <v>75</v>
          </cell>
          <cell r="BJ121">
            <v>75</v>
          </cell>
          <cell r="BK121" t="str">
            <v>-</v>
          </cell>
          <cell r="BL121">
            <v>75</v>
          </cell>
          <cell r="BM121">
            <v>75</v>
          </cell>
          <cell r="BN121" t="str">
            <v>-</v>
          </cell>
          <cell r="BO121">
            <v>75</v>
          </cell>
          <cell r="BP121">
            <v>75</v>
          </cell>
          <cell r="BQ121" t="str">
            <v>-</v>
          </cell>
          <cell r="BR121">
            <v>75</v>
          </cell>
          <cell r="BS121">
            <v>75</v>
          </cell>
          <cell r="BT121" t="str">
            <v>-</v>
          </cell>
          <cell r="BU121">
            <v>75</v>
          </cell>
          <cell r="BV121">
            <v>75</v>
          </cell>
          <cell r="BW121" t="str">
            <v>-</v>
          </cell>
          <cell r="BX121">
            <v>32</v>
          </cell>
          <cell r="BY121">
            <v>3</v>
          </cell>
          <cell r="BZ121">
            <v>91.4</v>
          </cell>
          <cell r="CA121">
            <v>35</v>
          </cell>
          <cell r="CB121">
            <v>3</v>
          </cell>
          <cell r="CC121">
            <v>92.1</v>
          </cell>
          <cell r="CD121">
            <v>40</v>
          </cell>
          <cell r="CE121">
            <v>4</v>
          </cell>
          <cell r="CF121">
            <v>90.9</v>
          </cell>
          <cell r="CG121">
            <v>24</v>
          </cell>
          <cell r="CH121">
            <v>7</v>
          </cell>
          <cell r="CI121">
            <v>77.400000000000006</v>
          </cell>
          <cell r="CJ121">
            <v>40</v>
          </cell>
          <cell r="CK121">
            <v>2</v>
          </cell>
          <cell r="CL121">
            <v>95.2</v>
          </cell>
          <cell r="CM121">
            <v>35</v>
          </cell>
          <cell r="CN121">
            <v>2</v>
          </cell>
          <cell r="CO121">
            <v>94.6</v>
          </cell>
          <cell r="CP121">
            <v>23</v>
          </cell>
          <cell r="CQ121">
            <v>3</v>
          </cell>
          <cell r="CR121">
            <v>88.5</v>
          </cell>
          <cell r="CS121">
            <v>25</v>
          </cell>
          <cell r="CT121">
            <v>25</v>
          </cell>
          <cell r="CU121">
            <v>100</v>
          </cell>
          <cell r="CV121">
            <v>22</v>
          </cell>
          <cell r="CW121">
            <v>3</v>
          </cell>
          <cell r="CX121">
            <v>88</v>
          </cell>
          <cell r="CY121">
            <v>26</v>
          </cell>
          <cell r="CZ121">
            <v>2</v>
          </cell>
          <cell r="DA121">
            <v>92.9</v>
          </cell>
          <cell r="DB121">
            <v>21</v>
          </cell>
          <cell r="DC121">
            <v>2</v>
          </cell>
          <cell r="DD121">
            <v>91.3</v>
          </cell>
          <cell r="DE121">
            <v>15</v>
          </cell>
          <cell r="DF121">
            <v>4</v>
          </cell>
          <cell r="DG121">
            <v>78.900000000000006</v>
          </cell>
          <cell r="DH121">
            <v>25</v>
          </cell>
          <cell r="DI121">
            <v>1</v>
          </cell>
          <cell r="DJ121">
            <v>96.2</v>
          </cell>
          <cell r="DK121">
            <v>20</v>
          </cell>
          <cell r="DL121">
            <v>1</v>
          </cell>
          <cell r="DM121">
            <v>95.2</v>
          </cell>
          <cell r="DN121">
            <v>15</v>
          </cell>
          <cell r="DO121">
            <v>3</v>
          </cell>
          <cell r="DP121">
            <v>83.3</v>
          </cell>
          <cell r="DQ121">
            <v>11</v>
          </cell>
          <cell r="DR121">
            <v>11</v>
          </cell>
          <cell r="DS121">
            <v>100</v>
          </cell>
          <cell r="DT121">
            <v>100</v>
          </cell>
          <cell r="DU121">
            <v>100</v>
          </cell>
          <cell r="DV121" t="str">
            <v>-</v>
          </cell>
          <cell r="DW121">
            <v>100</v>
          </cell>
          <cell r="DX121">
            <v>100</v>
          </cell>
          <cell r="DY121" t="str">
            <v>-</v>
          </cell>
          <cell r="DZ121">
            <v>100</v>
          </cell>
          <cell r="EA121">
            <v>100</v>
          </cell>
          <cell r="EB121" t="str">
            <v>-</v>
          </cell>
          <cell r="EC121">
            <v>100</v>
          </cell>
          <cell r="ED121">
            <v>100</v>
          </cell>
          <cell r="EE121" t="str">
            <v>-</v>
          </cell>
          <cell r="EF121">
            <v>100</v>
          </cell>
          <cell r="EG121">
            <v>100</v>
          </cell>
          <cell r="EH121" t="str">
            <v>-</v>
          </cell>
          <cell r="EI121">
            <v>100</v>
          </cell>
          <cell r="EJ121">
            <v>100</v>
          </cell>
          <cell r="EK121" t="str">
            <v>-</v>
          </cell>
          <cell r="EL121">
            <v>100</v>
          </cell>
          <cell r="EM121">
            <v>100</v>
          </cell>
          <cell r="EN121" t="str">
            <v>-</v>
          </cell>
          <cell r="EO121">
            <v>100</v>
          </cell>
          <cell r="EP121">
            <v>100</v>
          </cell>
          <cell r="EQ121" t="str">
            <v>-</v>
          </cell>
          <cell r="ER121">
            <v>8</v>
          </cell>
          <cell r="ES121">
            <v>7</v>
          </cell>
          <cell r="ET121">
            <v>53.3</v>
          </cell>
          <cell r="EU121">
            <v>53.29998779296875</v>
          </cell>
          <cell r="EV121">
            <v>2</v>
          </cell>
          <cell r="EW121">
            <v>0</v>
          </cell>
          <cell r="EX121">
            <v>11</v>
          </cell>
          <cell r="EY121">
            <v>2</v>
          </cell>
          <cell r="EZ121">
            <v>84.6</v>
          </cell>
          <cell r="FA121">
            <v>18</v>
          </cell>
          <cell r="FB121">
            <v>18</v>
          </cell>
          <cell r="FC121">
            <v>100</v>
          </cell>
          <cell r="FD121">
            <v>7</v>
          </cell>
          <cell r="FE121">
            <v>7</v>
          </cell>
          <cell r="FF121">
            <v>100</v>
          </cell>
          <cell r="FG121">
            <v>25</v>
          </cell>
          <cell r="FH121">
            <v>25</v>
          </cell>
          <cell r="FI121">
            <v>100</v>
          </cell>
          <cell r="FJ121">
            <v>13</v>
          </cell>
          <cell r="FK121">
            <v>1</v>
          </cell>
          <cell r="FL121">
            <v>92.9</v>
          </cell>
          <cell r="FM121">
            <v>4</v>
          </cell>
          <cell r="FN121">
            <v>2</v>
          </cell>
          <cell r="FO121">
            <v>66.7</v>
          </cell>
          <cell r="FP121">
            <v>66.699951171875</v>
          </cell>
          <cell r="FQ121">
            <v>66.699951171875</v>
          </cell>
          <cell r="FR121" t="str">
            <v>-</v>
          </cell>
          <cell r="FS121">
            <v>66.699951171875</v>
          </cell>
          <cell r="FT121">
            <v>66.699951171875</v>
          </cell>
          <cell r="FU121" t="str">
            <v>-</v>
          </cell>
          <cell r="FV121">
            <v>66.699951171875</v>
          </cell>
          <cell r="FW121">
            <v>66.699951171875</v>
          </cell>
          <cell r="FX121" t="str">
            <v>-</v>
          </cell>
          <cell r="FY121">
            <v>66.699951171875</v>
          </cell>
          <cell r="FZ121">
            <v>66.699951171875</v>
          </cell>
          <cell r="GA121" t="str">
            <v>-</v>
          </cell>
          <cell r="GB121">
            <v>66.699951171875</v>
          </cell>
          <cell r="GC121">
            <v>66.699951171875</v>
          </cell>
          <cell r="GD121" t="str">
            <v>-</v>
          </cell>
          <cell r="GE121">
            <v>66.699951171875</v>
          </cell>
          <cell r="GF121">
            <v>66.699951171875</v>
          </cell>
          <cell r="GG121" t="str">
            <v>-</v>
          </cell>
          <cell r="GH121">
            <v>66.699951171875</v>
          </cell>
          <cell r="GI121">
            <v>66.699951171875</v>
          </cell>
          <cell r="GJ121" t="str">
            <v>-</v>
          </cell>
          <cell r="GK121">
            <v>66.699951171875</v>
          </cell>
          <cell r="GL121">
            <v>66.699951171875</v>
          </cell>
          <cell r="GM121" t="str">
            <v>-</v>
          </cell>
          <cell r="GN121">
            <v>30</v>
          </cell>
          <cell r="GO121">
            <v>4</v>
          </cell>
          <cell r="GP121">
            <v>88.2</v>
          </cell>
          <cell r="GQ121">
            <v>37</v>
          </cell>
          <cell r="GR121">
            <v>10</v>
          </cell>
          <cell r="GS121">
            <v>78.7</v>
          </cell>
          <cell r="GT121">
            <v>39</v>
          </cell>
          <cell r="GU121">
            <v>8</v>
          </cell>
          <cell r="GV121">
            <v>83</v>
          </cell>
          <cell r="GW121">
            <v>25</v>
          </cell>
          <cell r="GX121">
            <v>9</v>
          </cell>
          <cell r="GY121">
            <v>73.5</v>
          </cell>
          <cell r="GZ121">
            <v>31</v>
          </cell>
          <cell r="HA121">
            <v>8</v>
          </cell>
          <cell r="HB121">
            <v>79.5</v>
          </cell>
          <cell r="HC121">
            <v>36</v>
          </cell>
          <cell r="HD121">
            <v>4</v>
          </cell>
          <cell r="HE121">
            <v>90</v>
          </cell>
          <cell r="HF121">
            <v>18</v>
          </cell>
          <cell r="HG121">
            <v>3</v>
          </cell>
          <cell r="HH121">
            <v>85.7</v>
          </cell>
          <cell r="HI121">
            <v>20</v>
          </cell>
          <cell r="HJ121">
            <v>20</v>
          </cell>
          <cell r="HK121">
            <v>100</v>
          </cell>
          <cell r="HL121">
            <v>100</v>
          </cell>
          <cell r="HM121">
            <v>1</v>
          </cell>
          <cell r="HN121">
            <v>0</v>
          </cell>
          <cell r="HO121">
            <v>1</v>
          </cell>
          <cell r="HP121">
            <v>1</v>
          </cell>
          <cell r="HQ121">
            <v>100</v>
          </cell>
          <cell r="HR121">
            <v>3</v>
          </cell>
          <cell r="HS121">
            <v>3</v>
          </cell>
          <cell r="HT121">
            <v>100</v>
          </cell>
          <cell r="HU121">
            <v>3</v>
          </cell>
          <cell r="HV121">
            <v>1</v>
          </cell>
          <cell r="HW121">
            <v>75</v>
          </cell>
          <cell r="HX121">
            <v>75</v>
          </cell>
          <cell r="HY121">
            <v>1</v>
          </cell>
          <cell r="HZ121">
            <v>0</v>
          </cell>
          <cell r="IA121">
            <v>1</v>
          </cell>
          <cell r="IB121">
            <v>1</v>
          </cell>
          <cell r="IC121">
            <v>100</v>
          </cell>
          <cell r="ID121">
            <v>1</v>
          </cell>
          <cell r="IE121">
            <v>1</v>
          </cell>
          <cell r="IF121">
            <v>100</v>
          </cell>
          <cell r="IG121">
            <v>100</v>
          </cell>
          <cell r="IH121">
            <v>1</v>
          </cell>
          <cell r="II121">
            <v>0</v>
          </cell>
          <cell r="IJ121">
            <v>0</v>
          </cell>
          <cell r="IK121">
            <v>1</v>
          </cell>
          <cell r="IL121">
            <v>0</v>
          </cell>
          <cell r="IM121">
            <v>0</v>
          </cell>
          <cell r="IN121">
            <v>0</v>
          </cell>
          <cell r="IO121" t="str">
            <v>-</v>
          </cell>
          <cell r="IP121">
            <v>0</v>
          </cell>
          <cell r="IQ121">
            <v>0</v>
          </cell>
          <cell r="IR121" t="str">
            <v>-</v>
          </cell>
          <cell r="IS121">
            <v>0</v>
          </cell>
          <cell r="IT121">
            <v>0</v>
          </cell>
          <cell r="IU121" t="str">
            <v>-</v>
          </cell>
          <cell r="IV121">
            <v>0</v>
          </cell>
          <cell r="IW121">
            <v>0</v>
          </cell>
          <cell r="IX121" t="str">
            <v>-</v>
          </cell>
          <cell r="IY121">
            <v>0</v>
          </cell>
          <cell r="IZ121">
            <v>0</v>
          </cell>
          <cell r="JA121" t="str">
            <v>-</v>
          </cell>
          <cell r="JB121">
            <v>0</v>
          </cell>
          <cell r="JC121">
            <v>0</v>
          </cell>
          <cell r="JD121" t="str">
            <v>-</v>
          </cell>
          <cell r="JE121">
            <v>0</v>
          </cell>
          <cell r="JF121">
            <v>0</v>
          </cell>
          <cell r="JG121" t="str">
            <v>-</v>
          </cell>
          <cell r="JH121">
            <v>0</v>
          </cell>
          <cell r="JI121">
            <v>0</v>
          </cell>
          <cell r="JJ121" t="str">
            <v>-</v>
          </cell>
          <cell r="JK121">
            <v>0</v>
          </cell>
          <cell r="JL121">
            <v>0</v>
          </cell>
          <cell r="JM121" t="str">
            <v>-</v>
          </cell>
          <cell r="JN121">
            <v>0</v>
          </cell>
          <cell r="JO121">
            <v>0</v>
          </cell>
          <cell r="JP121" t="str">
            <v>-</v>
          </cell>
          <cell r="JQ121">
            <v>147</v>
          </cell>
          <cell r="JR121">
            <v>14</v>
          </cell>
          <cell r="JS121">
            <v>91.304347826086953</v>
          </cell>
          <cell r="JT121">
            <v>86</v>
          </cell>
          <cell r="JU121">
            <v>9</v>
          </cell>
          <cell r="JV121">
            <v>90.526315789473685</v>
          </cell>
          <cell r="JW121">
            <v>0</v>
          </cell>
          <cell r="JX121">
            <v>0</v>
          </cell>
          <cell r="JY121" t="str">
            <v>-</v>
          </cell>
          <cell r="JZ121">
            <v>67</v>
          </cell>
          <cell r="KA121">
            <v>3</v>
          </cell>
          <cell r="KB121">
            <v>95.714285714285722</v>
          </cell>
          <cell r="KC121">
            <v>0</v>
          </cell>
          <cell r="KD121">
            <v>0</v>
          </cell>
          <cell r="KE121" t="str">
            <v>-</v>
          </cell>
          <cell r="KF121">
            <v>130</v>
          </cell>
          <cell r="KG121">
            <v>24</v>
          </cell>
          <cell r="KH121">
            <v>84.415584415584405</v>
          </cell>
          <cell r="KI121">
            <v>5</v>
          </cell>
          <cell r="KJ121">
            <v>3</v>
          </cell>
          <cell r="KK121">
            <v>62.5</v>
          </cell>
          <cell r="KL121">
            <v>0</v>
          </cell>
          <cell r="KM121">
            <v>0</v>
          </cell>
          <cell r="KN121" t="str">
            <v>-</v>
          </cell>
        </row>
        <row r="122">
          <cell r="C122" t="str">
            <v>Bátonyterenyei Rendőrkapitányság</v>
          </cell>
          <cell r="D122">
            <v>0</v>
          </cell>
          <cell r="E122">
            <v>0</v>
          </cell>
          <cell r="F122" t="str">
            <v>-</v>
          </cell>
          <cell r="G122">
            <v>0</v>
          </cell>
          <cell r="H122">
            <v>0</v>
          </cell>
          <cell r="I122" t="str">
            <v>-</v>
          </cell>
          <cell r="J122">
            <v>0</v>
          </cell>
          <cell r="K122">
            <v>0</v>
          </cell>
          <cell r="L122" t="str">
            <v>-</v>
          </cell>
          <cell r="M122">
            <v>0</v>
          </cell>
          <cell r="N122">
            <v>0</v>
          </cell>
          <cell r="O122" t="str">
            <v>-</v>
          </cell>
          <cell r="P122">
            <v>0</v>
          </cell>
          <cell r="Q122">
            <v>0</v>
          </cell>
          <cell r="R122" t="str">
            <v>-</v>
          </cell>
          <cell r="S122">
            <v>0</v>
          </cell>
          <cell r="T122">
            <v>0</v>
          </cell>
          <cell r="U122" t="str">
            <v>-</v>
          </cell>
          <cell r="V122">
            <v>0</v>
          </cell>
          <cell r="W122">
            <v>0</v>
          </cell>
          <cell r="X122" t="str">
            <v>-</v>
          </cell>
          <cell r="Y122">
            <v>0</v>
          </cell>
          <cell r="Z122">
            <v>0</v>
          </cell>
          <cell r="AA122" t="str">
            <v>-</v>
          </cell>
          <cell r="AB122">
            <v>0</v>
          </cell>
          <cell r="AC122">
            <v>0</v>
          </cell>
          <cell r="AD122" t="str">
            <v>-</v>
          </cell>
          <cell r="AE122">
            <v>0</v>
          </cell>
          <cell r="AF122">
            <v>0</v>
          </cell>
          <cell r="AG122" t="str">
            <v>-</v>
          </cell>
          <cell r="AH122">
            <v>0</v>
          </cell>
          <cell r="AI122">
            <v>0</v>
          </cell>
          <cell r="AJ122" t="str">
            <v>-</v>
          </cell>
          <cell r="AK122">
            <v>0</v>
          </cell>
          <cell r="AL122">
            <v>0</v>
          </cell>
          <cell r="AM122" t="str">
            <v>-</v>
          </cell>
          <cell r="AN122">
            <v>0</v>
          </cell>
          <cell r="AO122">
            <v>0</v>
          </cell>
          <cell r="AP122" t="str">
            <v>-</v>
          </cell>
          <cell r="AQ122">
            <v>0</v>
          </cell>
          <cell r="AR122">
            <v>0</v>
          </cell>
          <cell r="AS122" t="str">
            <v>-</v>
          </cell>
          <cell r="AT122">
            <v>0</v>
          </cell>
          <cell r="AU122">
            <v>0</v>
          </cell>
          <cell r="AV122" t="str">
            <v>-</v>
          </cell>
          <cell r="AW122">
            <v>0</v>
          </cell>
          <cell r="AX122">
            <v>0</v>
          </cell>
          <cell r="AY122" t="str">
            <v>-</v>
          </cell>
          <cell r="AZ122">
            <v>0</v>
          </cell>
          <cell r="BA122">
            <v>0</v>
          </cell>
          <cell r="BB122" t="str">
            <v>-</v>
          </cell>
          <cell r="BC122">
            <v>0</v>
          </cell>
          <cell r="BD122">
            <v>0</v>
          </cell>
          <cell r="BE122" t="str">
            <v>-</v>
          </cell>
          <cell r="BF122">
            <v>0</v>
          </cell>
          <cell r="BG122">
            <v>0</v>
          </cell>
          <cell r="BH122" t="str">
            <v>-</v>
          </cell>
          <cell r="BI122">
            <v>0</v>
          </cell>
          <cell r="BJ122">
            <v>0</v>
          </cell>
          <cell r="BK122" t="str">
            <v>-</v>
          </cell>
          <cell r="BL122">
            <v>0</v>
          </cell>
          <cell r="BM122">
            <v>0</v>
          </cell>
          <cell r="BN122" t="str">
            <v>-</v>
          </cell>
          <cell r="BO122">
            <v>0</v>
          </cell>
          <cell r="BP122">
            <v>0</v>
          </cell>
          <cell r="BQ122" t="str">
            <v>-</v>
          </cell>
          <cell r="BR122">
            <v>0</v>
          </cell>
          <cell r="BS122">
            <v>0</v>
          </cell>
          <cell r="BT122" t="str">
            <v>-</v>
          </cell>
          <cell r="BU122">
            <v>0</v>
          </cell>
          <cell r="BV122">
            <v>0</v>
          </cell>
          <cell r="BW122" t="str">
            <v>-</v>
          </cell>
          <cell r="BX122">
            <v>30</v>
          </cell>
          <cell r="BY122">
            <v>9</v>
          </cell>
          <cell r="BZ122">
            <v>76.900000000000006</v>
          </cell>
          <cell r="CA122">
            <v>25</v>
          </cell>
          <cell r="CB122">
            <v>3</v>
          </cell>
          <cell r="CC122">
            <v>89.3</v>
          </cell>
          <cell r="CD122">
            <v>42</v>
          </cell>
          <cell r="CE122">
            <v>3</v>
          </cell>
          <cell r="CF122">
            <v>93.3</v>
          </cell>
          <cell r="CG122">
            <v>20</v>
          </cell>
          <cell r="CH122">
            <v>1</v>
          </cell>
          <cell r="CI122">
            <v>95.2</v>
          </cell>
          <cell r="CJ122">
            <v>45</v>
          </cell>
          <cell r="CK122">
            <v>1</v>
          </cell>
          <cell r="CL122">
            <v>97.8</v>
          </cell>
          <cell r="CM122">
            <v>37</v>
          </cell>
          <cell r="CN122">
            <v>5</v>
          </cell>
          <cell r="CO122">
            <v>88.1</v>
          </cell>
          <cell r="CP122">
            <v>29</v>
          </cell>
          <cell r="CQ122">
            <v>3</v>
          </cell>
          <cell r="CR122">
            <v>90.6</v>
          </cell>
          <cell r="CS122">
            <v>55</v>
          </cell>
          <cell r="CT122">
            <v>2</v>
          </cell>
          <cell r="CU122">
            <v>96.5</v>
          </cell>
          <cell r="CV122">
            <v>24</v>
          </cell>
          <cell r="CW122">
            <v>8</v>
          </cell>
          <cell r="CX122">
            <v>75</v>
          </cell>
          <cell r="CY122">
            <v>17</v>
          </cell>
          <cell r="CZ122">
            <v>2</v>
          </cell>
          <cell r="DA122">
            <v>89.5</v>
          </cell>
          <cell r="DB122">
            <v>28</v>
          </cell>
          <cell r="DC122">
            <v>28</v>
          </cell>
          <cell r="DD122">
            <v>100</v>
          </cell>
          <cell r="DE122">
            <v>10</v>
          </cell>
          <cell r="DF122">
            <v>1</v>
          </cell>
          <cell r="DG122">
            <v>90.9</v>
          </cell>
          <cell r="DH122">
            <v>29</v>
          </cell>
          <cell r="DI122">
            <v>1</v>
          </cell>
          <cell r="DJ122">
            <v>96.7</v>
          </cell>
          <cell r="DK122">
            <v>24</v>
          </cell>
          <cell r="DL122">
            <v>5</v>
          </cell>
          <cell r="DM122">
            <v>82.8</v>
          </cell>
          <cell r="DN122">
            <v>17</v>
          </cell>
          <cell r="DO122">
            <v>3</v>
          </cell>
          <cell r="DP122">
            <v>85</v>
          </cell>
          <cell r="DQ122">
            <v>31</v>
          </cell>
          <cell r="DR122">
            <v>2</v>
          </cell>
          <cell r="DS122">
            <v>93.9</v>
          </cell>
          <cell r="DT122">
            <v>93.89996337890625</v>
          </cell>
          <cell r="DU122">
            <v>93.89996337890625</v>
          </cell>
          <cell r="DV122" t="str">
            <v>-</v>
          </cell>
          <cell r="DW122">
            <v>93.89996337890625</v>
          </cell>
          <cell r="DX122">
            <v>93.89996337890625</v>
          </cell>
          <cell r="DY122" t="str">
            <v>-</v>
          </cell>
          <cell r="DZ122">
            <v>93.89996337890625</v>
          </cell>
          <cell r="EA122">
            <v>93.89996337890625</v>
          </cell>
          <cell r="EB122" t="str">
            <v>-</v>
          </cell>
          <cell r="EC122">
            <v>93.89996337890625</v>
          </cell>
          <cell r="ED122">
            <v>93.89996337890625</v>
          </cell>
          <cell r="EE122" t="str">
            <v>-</v>
          </cell>
          <cell r="EF122">
            <v>93.89996337890625</v>
          </cell>
          <cell r="EG122">
            <v>93.89996337890625</v>
          </cell>
          <cell r="EH122" t="str">
            <v>-</v>
          </cell>
          <cell r="EI122">
            <v>93.89996337890625</v>
          </cell>
          <cell r="EJ122">
            <v>93.89996337890625</v>
          </cell>
          <cell r="EK122" t="str">
            <v>-</v>
          </cell>
          <cell r="EL122">
            <v>93.89996337890625</v>
          </cell>
          <cell r="EM122">
            <v>93.89996337890625</v>
          </cell>
          <cell r="EN122" t="str">
            <v>-</v>
          </cell>
          <cell r="EO122">
            <v>93.89996337890625</v>
          </cell>
          <cell r="EP122">
            <v>93.89996337890625</v>
          </cell>
          <cell r="EQ122" t="str">
            <v>-</v>
          </cell>
          <cell r="ER122">
            <v>4</v>
          </cell>
          <cell r="ES122">
            <v>4</v>
          </cell>
          <cell r="ET122">
            <v>100</v>
          </cell>
          <cell r="EU122">
            <v>1</v>
          </cell>
          <cell r="EV122">
            <v>1</v>
          </cell>
          <cell r="EW122">
            <v>100</v>
          </cell>
          <cell r="EX122">
            <v>4</v>
          </cell>
          <cell r="EY122">
            <v>4</v>
          </cell>
          <cell r="EZ122">
            <v>100</v>
          </cell>
          <cell r="FA122">
            <v>5</v>
          </cell>
          <cell r="FB122">
            <v>1</v>
          </cell>
          <cell r="FC122">
            <v>83.3</v>
          </cell>
          <cell r="FD122">
            <v>3</v>
          </cell>
          <cell r="FE122">
            <v>12</v>
          </cell>
          <cell r="FF122">
            <v>20</v>
          </cell>
          <cell r="FG122">
            <v>7</v>
          </cell>
          <cell r="FH122">
            <v>1</v>
          </cell>
          <cell r="FI122">
            <v>87.5</v>
          </cell>
          <cell r="FJ122">
            <v>5</v>
          </cell>
          <cell r="FK122">
            <v>5</v>
          </cell>
          <cell r="FL122">
            <v>100</v>
          </cell>
          <cell r="FM122">
            <v>8</v>
          </cell>
          <cell r="FN122">
            <v>4</v>
          </cell>
          <cell r="FO122">
            <v>66.7</v>
          </cell>
          <cell r="FP122">
            <v>66.699951171875</v>
          </cell>
          <cell r="FQ122">
            <v>66.699951171875</v>
          </cell>
          <cell r="FR122" t="str">
            <v>-</v>
          </cell>
          <cell r="FS122">
            <v>66.699951171875</v>
          </cell>
          <cell r="FT122">
            <v>66.699951171875</v>
          </cell>
          <cell r="FU122" t="str">
            <v>-</v>
          </cell>
          <cell r="FV122">
            <v>66.699951171875</v>
          </cell>
          <cell r="FW122">
            <v>66.699951171875</v>
          </cell>
          <cell r="FX122" t="str">
            <v>-</v>
          </cell>
          <cell r="FY122">
            <v>66.699951171875</v>
          </cell>
          <cell r="FZ122">
            <v>66.699951171875</v>
          </cell>
          <cell r="GA122" t="str">
            <v>-</v>
          </cell>
          <cell r="GB122">
            <v>66.699951171875</v>
          </cell>
          <cell r="GC122">
            <v>66.699951171875</v>
          </cell>
          <cell r="GD122" t="str">
            <v>-</v>
          </cell>
          <cell r="GE122">
            <v>66.699951171875</v>
          </cell>
          <cell r="GF122">
            <v>66.699951171875</v>
          </cell>
          <cell r="GG122" t="str">
            <v>-</v>
          </cell>
          <cell r="GH122">
            <v>66.699951171875</v>
          </cell>
          <cell r="GI122">
            <v>66.699951171875</v>
          </cell>
          <cell r="GJ122" t="str">
            <v>-</v>
          </cell>
          <cell r="GK122">
            <v>66.699951171875</v>
          </cell>
          <cell r="GL122">
            <v>66.699951171875</v>
          </cell>
          <cell r="GM122" t="str">
            <v>-</v>
          </cell>
          <cell r="GN122">
            <v>20</v>
          </cell>
          <cell r="GO122">
            <v>5</v>
          </cell>
          <cell r="GP122">
            <v>80</v>
          </cell>
          <cell r="GQ122">
            <v>20</v>
          </cell>
          <cell r="GR122">
            <v>5</v>
          </cell>
          <cell r="GS122">
            <v>80</v>
          </cell>
          <cell r="GT122">
            <v>23</v>
          </cell>
          <cell r="GU122">
            <v>3</v>
          </cell>
          <cell r="GV122">
            <v>88.5</v>
          </cell>
          <cell r="GW122">
            <v>28</v>
          </cell>
          <cell r="GX122">
            <v>4</v>
          </cell>
          <cell r="GY122">
            <v>87.5</v>
          </cell>
          <cell r="GZ122">
            <v>48</v>
          </cell>
          <cell r="HA122">
            <v>11</v>
          </cell>
          <cell r="HB122">
            <v>81.400000000000006</v>
          </cell>
          <cell r="HC122">
            <v>48</v>
          </cell>
          <cell r="HD122">
            <v>13</v>
          </cell>
          <cell r="HE122">
            <v>78.7</v>
          </cell>
          <cell r="HF122">
            <v>46</v>
          </cell>
          <cell r="HG122">
            <v>9</v>
          </cell>
          <cell r="HH122">
            <v>83.6</v>
          </cell>
          <cell r="HI122">
            <v>46</v>
          </cell>
          <cell r="HJ122">
            <v>11</v>
          </cell>
          <cell r="HK122">
            <v>80.7</v>
          </cell>
          <cell r="HL122">
            <v>2</v>
          </cell>
          <cell r="HM122">
            <v>3</v>
          </cell>
          <cell r="HN122">
            <v>40</v>
          </cell>
          <cell r="HO122">
            <v>1</v>
          </cell>
          <cell r="HP122">
            <v>1</v>
          </cell>
          <cell r="HQ122">
            <v>100</v>
          </cell>
          <cell r="HR122">
            <v>100</v>
          </cell>
          <cell r="HS122">
            <v>100</v>
          </cell>
          <cell r="HT122" t="str">
            <v>-</v>
          </cell>
          <cell r="HU122">
            <v>1</v>
          </cell>
          <cell r="HV122">
            <v>1</v>
          </cell>
          <cell r="HW122">
            <v>50</v>
          </cell>
          <cell r="HX122">
            <v>3</v>
          </cell>
          <cell r="HY122">
            <v>3</v>
          </cell>
          <cell r="HZ122">
            <v>50</v>
          </cell>
          <cell r="IA122">
            <v>2</v>
          </cell>
          <cell r="IB122">
            <v>2</v>
          </cell>
          <cell r="IC122">
            <v>50</v>
          </cell>
          <cell r="ID122">
            <v>50</v>
          </cell>
          <cell r="IE122">
            <v>50</v>
          </cell>
          <cell r="IF122" t="str">
            <v>-</v>
          </cell>
          <cell r="IG122">
            <v>2</v>
          </cell>
          <cell r="IH122">
            <v>1</v>
          </cell>
          <cell r="II122">
            <v>66.7</v>
          </cell>
          <cell r="IJ122">
            <v>66.699951171875</v>
          </cell>
          <cell r="IK122">
            <v>1</v>
          </cell>
          <cell r="IL122">
            <v>0</v>
          </cell>
          <cell r="IM122">
            <v>0</v>
          </cell>
          <cell r="IN122">
            <v>0</v>
          </cell>
          <cell r="IO122" t="str">
            <v>-</v>
          </cell>
          <cell r="IP122">
            <v>0</v>
          </cell>
          <cell r="IQ122">
            <v>0</v>
          </cell>
          <cell r="IR122" t="str">
            <v>-</v>
          </cell>
          <cell r="IS122">
            <v>0</v>
          </cell>
          <cell r="IT122">
            <v>0</v>
          </cell>
          <cell r="IU122" t="str">
            <v>-</v>
          </cell>
          <cell r="IV122">
            <v>1</v>
          </cell>
          <cell r="IW122">
            <v>1</v>
          </cell>
          <cell r="IX122">
            <v>100</v>
          </cell>
          <cell r="IY122">
            <v>1</v>
          </cell>
          <cell r="IZ122">
            <v>2</v>
          </cell>
          <cell r="JA122">
            <v>33.299999999999997</v>
          </cell>
          <cell r="JB122">
            <v>1</v>
          </cell>
          <cell r="JC122">
            <v>1</v>
          </cell>
          <cell r="JD122">
            <v>100</v>
          </cell>
          <cell r="JE122">
            <v>100</v>
          </cell>
          <cell r="JF122">
            <v>100</v>
          </cell>
          <cell r="JG122" t="str">
            <v>-</v>
          </cell>
          <cell r="JH122">
            <v>0</v>
          </cell>
          <cell r="JI122">
            <v>0</v>
          </cell>
          <cell r="JJ122" t="str">
            <v>-</v>
          </cell>
          <cell r="JK122">
            <v>0</v>
          </cell>
          <cell r="JL122">
            <v>0</v>
          </cell>
          <cell r="JM122" t="str">
            <v>-</v>
          </cell>
          <cell r="JN122">
            <v>0</v>
          </cell>
          <cell r="JO122">
            <v>0</v>
          </cell>
          <cell r="JP122" t="str">
            <v>-</v>
          </cell>
          <cell r="JQ122">
            <v>186</v>
          </cell>
          <cell r="JR122">
            <v>12</v>
          </cell>
          <cell r="JS122">
            <v>93.939393939393938</v>
          </cell>
          <cell r="JT122">
            <v>111</v>
          </cell>
          <cell r="JU122">
            <v>12</v>
          </cell>
          <cell r="JV122">
            <v>90.243902439024396</v>
          </cell>
          <cell r="JW122">
            <v>0</v>
          </cell>
          <cell r="JX122">
            <v>0</v>
          </cell>
          <cell r="JY122" t="str">
            <v>-</v>
          </cell>
          <cell r="JZ122">
            <v>28</v>
          </cell>
          <cell r="KA122">
            <v>18</v>
          </cell>
          <cell r="KB122">
            <v>60.869565217391312</v>
          </cell>
          <cell r="KC122">
            <v>0</v>
          </cell>
          <cell r="KD122">
            <v>0</v>
          </cell>
          <cell r="KE122" t="str">
            <v>-</v>
          </cell>
          <cell r="KF122">
            <v>216</v>
          </cell>
          <cell r="KG122">
            <v>48</v>
          </cell>
          <cell r="KH122">
            <v>81.818181818181827</v>
          </cell>
          <cell r="KI122">
            <v>8</v>
          </cell>
          <cell r="KJ122">
            <v>7</v>
          </cell>
          <cell r="KK122">
            <v>53.333333333333336</v>
          </cell>
          <cell r="KL122">
            <v>3</v>
          </cell>
          <cell r="KM122">
            <v>2</v>
          </cell>
          <cell r="KN122">
            <v>60</v>
          </cell>
        </row>
        <row r="123">
          <cell r="C123" t="str">
            <v>Nógrád Megyei Rendőr-főkapitányság</v>
          </cell>
          <cell r="D123">
            <v>6</v>
          </cell>
          <cell r="E123">
            <v>1</v>
          </cell>
          <cell r="F123">
            <v>85.7</v>
          </cell>
          <cell r="G123">
            <v>7</v>
          </cell>
          <cell r="H123">
            <v>7</v>
          </cell>
          <cell r="I123">
            <v>100</v>
          </cell>
          <cell r="J123">
            <v>7</v>
          </cell>
          <cell r="K123">
            <v>7</v>
          </cell>
          <cell r="L123">
            <v>100</v>
          </cell>
          <cell r="M123">
            <v>5</v>
          </cell>
          <cell r="N123">
            <v>1</v>
          </cell>
          <cell r="O123">
            <v>83.3</v>
          </cell>
          <cell r="P123">
            <v>8</v>
          </cell>
          <cell r="Q123">
            <v>1</v>
          </cell>
          <cell r="R123">
            <v>88.9</v>
          </cell>
          <cell r="S123">
            <v>4</v>
          </cell>
          <cell r="T123">
            <v>4</v>
          </cell>
          <cell r="U123">
            <v>100</v>
          </cell>
          <cell r="V123">
            <v>2</v>
          </cell>
          <cell r="W123">
            <v>1</v>
          </cell>
          <cell r="X123">
            <v>66.7</v>
          </cell>
          <cell r="Y123">
            <v>4</v>
          </cell>
          <cell r="Z123">
            <v>4</v>
          </cell>
          <cell r="AA123">
            <v>100</v>
          </cell>
          <cell r="AB123">
            <v>2</v>
          </cell>
          <cell r="AC123">
            <v>1</v>
          </cell>
          <cell r="AD123">
            <v>66.7</v>
          </cell>
          <cell r="AE123">
            <v>3</v>
          </cell>
          <cell r="AF123">
            <v>3</v>
          </cell>
          <cell r="AG123">
            <v>100</v>
          </cell>
          <cell r="AH123">
            <v>1</v>
          </cell>
          <cell r="AI123">
            <v>1</v>
          </cell>
          <cell r="AJ123">
            <v>100</v>
          </cell>
          <cell r="AK123">
            <v>2</v>
          </cell>
          <cell r="AL123">
            <v>1</v>
          </cell>
          <cell r="AM123">
            <v>66.7</v>
          </cell>
          <cell r="AN123">
            <v>3</v>
          </cell>
          <cell r="AO123">
            <v>1</v>
          </cell>
          <cell r="AP123">
            <v>75</v>
          </cell>
          <cell r="AQ123">
            <v>2</v>
          </cell>
          <cell r="AR123">
            <v>2</v>
          </cell>
          <cell r="AS123">
            <v>100</v>
          </cell>
          <cell r="AT123">
            <v>1</v>
          </cell>
          <cell r="AU123">
            <v>1</v>
          </cell>
          <cell r="AV123">
            <v>100</v>
          </cell>
          <cell r="AW123">
            <v>2</v>
          </cell>
          <cell r="AX123">
            <v>2</v>
          </cell>
          <cell r="AY123">
            <v>100</v>
          </cell>
          <cell r="AZ123">
            <v>3</v>
          </cell>
          <cell r="BA123">
            <v>3</v>
          </cell>
          <cell r="BB123">
            <v>100</v>
          </cell>
          <cell r="BC123">
            <v>2</v>
          </cell>
          <cell r="BD123">
            <v>2</v>
          </cell>
          <cell r="BE123">
            <v>100</v>
          </cell>
          <cell r="BF123">
            <v>4</v>
          </cell>
          <cell r="BG123">
            <v>4</v>
          </cell>
          <cell r="BH123">
            <v>100</v>
          </cell>
          <cell r="BI123">
            <v>2</v>
          </cell>
          <cell r="BJ123">
            <v>2</v>
          </cell>
          <cell r="BK123">
            <v>100</v>
          </cell>
          <cell r="BL123">
            <v>3</v>
          </cell>
          <cell r="BM123">
            <v>3</v>
          </cell>
          <cell r="BN123">
            <v>100</v>
          </cell>
          <cell r="BO123">
            <v>2</v>
          </cell>
          <cell r="BP123">
            <v>2</v>
          </cell>
          <cell r="BQ123">
            <v>100</v>
          </cell>
          <cell r="BR123">
            <v>1</v>
          </cell>
          <cell r="BS123">
            <v>1</v>
          </cell>
          <cell r="BT123">
            <v>100</v>
          </cell>
          <cell r="BU123">
            <v>100</v>
          </cell>
          <cell r="BV123">
            <v>100</v>
          </cell>
          <cell r="BW123" t="str">
            <v>-</v>
          </cell>
          <cell r="BX123">
            <v>358</v>
          </cell>
          <cell r="BY123">
            <v>54</v>
          </cell>
          <cell r="BZ123">
            <v>86.9</v>
          </cell>
          <cell r="CA123">
            <v>339</v>
          </cell>
          <cell r="CB123">
            <v>32</v>
          </cell>
          <cell r="CC123">
            <v>91.4</v>
          </cell>
          <cell r="CD123">
            <v>314</v>
          </cell>
          <cell r="CE123">
            <v>40</v>
          </cell>
          <cell r="CF123">
            <v>88.7</v>
          </cell>
          <cell r="CG123">
            <v>291</v>
          </cell>
          <cell r="CH123">
            <v>40</v>
          </cell>
          <cell r="CI123">
            <v>87.9</v>
          </cell>
          <cell r="CJ123">
            <v>313</v>
          </cell>
          <cell r="CK123">
            <v>23</v>
          </cell>
          <cell r="CL123">
            <v>93.2</v>
          </cell>
          <cell r="CM123">
            <v>291</v>
          </cell>
          <cell r="CN123">
            <v>42</v>
          </cell>
          <cell r="CO123">
            <v>87.4</v>
          </cell>
          <cell r="CP123">
            <v>208</v>
          </cell>
          <cell r="CQ123">
            <v>26</v>
          </cell>
          <cell r="CR123">
            <v>88.9</v>
          </cell>
          <cell r="CS123">
            <v>268</v>
          </cell>
          <cell r="CT123">
            <v>24</v>
          </cell>
          <cell r="CU123">
            <v>91.8</v>
          </cell>
          <cell r="CV123">
            <v>226</v>
          </cell>
          <cell r="CW123">
            <v>39</v>
          </cell>
          <cell r="CX123">
            <v>85.3</v>
          </cell>
          <cell r="CY123">
            <v>207</v>
          </cell>
          <cell r="CZ123">
            <v>22</v>
          </cell>
          <cell r="DA123">
            <v>90.4</v>
          </cell>
          <cell r="DB123">
            <v>191</v>
          </cell>
          <cell r="DC123">
            <v>25</v>
          </cell>
          <cell r="DD123">
            <v>88.4</v>
          </cell>
          <cell r="DE123">
            <v>162</v>
          </cell>
          <cell r="DF123">
            <v>28</v>
          </cell>
          <cell r="DG123">
            <v>85.3</v>
          </cell>
          <cell r="DH123">
            <v>180</v>
          </cell>
          <cell r="DI123">
            <v>16</v>
          </cell>
          <cell r="DJ123">
            <v>91.8</v>
          </cell>
          <cell r="DK123">
            <v>187</v>
          </cell>
          <cell r="DL123">
            <v>28</v>
          </cell>
          <cell r="DM123">
            <v>87</v>
          </cell>
          <cell r="DN123">
            <v>125</v>
          </cell>
          <cell r="DO123">
            <v>23</v>
          </cell>
          <cell r="DP123">
            <v>84.5</v>
          </cell>
          <cell r="DQ123">
            <v>126</v>
          </cell>
          <cell r="DR123">
            <v>21</v>
          </cell>
          <cell r="DS123">
            <v>85.7</v>
          </cell>
          <cell r="DT123">
            <v>85.699951171875</v>
          </cell>
          <cell r="DU123">
            <v>85.699951171875</v>
          </cell>
          <cell r="DV123" t="str">
            <v>-</v>
          </cell>
          <cell r="DW123">
            <v>1</v>
          </cell>
          <cell r="DX123">
            <v>1</v>
          </cell>
          <cell r="DY123">
            <v>100</v>
          </cell>
          <cell r="DZ123">
            <v>100</v>
          </cell>
          <cell r="EA123">
            <v>100</v>
          </cell>
          <cell r="EB123" t="str">
            <v>-</v>
          </cell>
          <cell r="EC123">
            <v>100</v>
          </cell>
          <cell r="ED123">
            <v>100</v>
          </cell>
          <cell r="EE123" t="str">
            <v>-</v>
          </cell>
          <cell r="EF123">
            <v>100</v>
          </cell>
          <cell r="EG123">
            <v>100</v>
          </cell>
          <cell r="EH123" t="str">
            <v>-</v>
          </cell>
          <cell r="EI123">
            <v>100</v>
          </cell>
          <cell r="EJ123">
            <v>100</v>
          </cell>
          <cell r="EK123" t="str">
            <v>-</v>
          </cell>
          <cell r="EL123">
            <v>100</v>
          </cell>
          <cell r="EM123">
            <v>100</v>
          </cell>
          <cell r="EN123" t="str">
            <v>-</v>
          </cell>
          <cell r="EO123">
            <v>100</v>
          </cell>
          <cell r="EP123">
            <v>100</v>
          </cell>
          <cell r="EQ123" t="str">
            <v>-</v>
          </cell>
          <cell r="ER123">
            <v>29</v>
          </cell>
          <cell r="ES123">
            <v>23</v>
          </cell>
          <cell r="ET123">
            <v>55.8</v>
          </cell>
          <cell r="EU123">
            <v>54</v>
          </cell>
          <cell r="EV123">
            <v>6</v>
          </cell>
          <cell r="EW123">
            <v>90</v>
          </cell>
          <cell r="EX123">
            <v>55</v>
          </cell>
          <cell r="EY123">
            <v>19</v>
          </cell>
          <cell r="EZ123">
            <v>74.3</v>
          </cell>
          <cell r="FA123">
            <v>52</v>
          </cell>
          <cell r="FB123">
            <v>10</v>
          </cell>
          <cell r="FC123">
            <v>83.9</v>
          </cell>
          <cell r="FD123">
            <v>67</v>
          </cell>
          <cell r="FE123">
            <v>19</v>
          </cell>
          <cell r="FF123">
            <v>77.900000000000006</v>
          </cell>
          <cell r="FG123">
            <v>76</v>
          </cell>
          <cell r="FH123">
            <v>4</v>
          </cell>
          <cell r="FI123">
            <v>95</v>
          </cell>
          <cell r="FJ123">
            <v>51</v>
          </cell>
          <cell r="FK123">
            <v>9</v>
          </cell>
          <cell r="FL123">
            <v>85</v>
          </cell>
          <cell r="FM123">
            <v>60</v>
          </cell>
          <cell r="FN123">
            <v>15</v>
          </cell>
          <cell r="FO123">
            <v>80</v>
          </cell>
          <cell r="FP123">
            <v>80</v>
          </cell>
          <cell r="FQ123">
            <v>80</v>
          </cell>
          <cell r="FR123" t="str">
            <v>-</v>
          </cell>
          <cell r="FS123">
            <v>80</v>
          </cell>
          <cell r="FT123">
            <v>80</v>
          </cell>
          <cell r="FU123" t="str">
            <v>-</v>
          </cell>
          <cell r="FV123">
            <v>80</v>
          </cell>
          <cell r="FW123">
            <v>80</v>
          </cell>
          <cell r="FX123" t="str">
            <v>-</v>
          </cell>
          <cell r="FY123">
            <v>80</v>
          </cell>
          <cell r="FZ123">
            <v>80</v>
          </cell>
          <cell r="GA123" t="str">
            <v>-</v>
          </cell>
          <cell r="GB123">
            <v>80</v>
          </cell>
          <cell r="GC123">
            <v>80</v>
          </cell>
          <cell r="GD123" t="str">
            <v>-</v>
          </cell>
          <cell r="GE123">
            <v>80</v>
          </cell>
          <cell r="GF123">
            <v>80</v>
          </cell>
          <cell r="GG123" t="str">
            <v>-</v>
          </cell>
          <cell r="GH123">
            <v>80</v>
          </cell>
          <cell r="GI123">
            <v>80</v>
          </cell>
          <cell r="GJ123" t="str">
            <v>-</v>
          </cell>
          <cell r="GK123">
            <v>80</v>
          </cell>
          <cell r="GL123">
            <v>80</v>
          </cell>
          <cell r="GM123" t="str">
            <v>-</v>
          </cell>
          <cell r="GN123">
            <v>339</v>
          </cell>
          <cell r="GO123">
            <v>59</v>
          </cell>
          <cell r="GP123">
            <v>85.2</v>
          </cell>
          <cell r="GQ123">
            <v>364</v>
          </cell>
          <cell r="GR123">
            <v>54</v>
          </cell>
          <cell r="GS123">
            <v>87.1</v>
          </cell>
          <cell r="GT123">
            <v>345</v>
          </cell>
          <cell r="GU123">
            <v>52</v>
          </cell>
          <cell r="GV123">
            <v>86.9</v>
          </cell>
          <cell r="GW123">
            <v>288</v>
          </cell>
          <cell r="GX123">
            <v>55</v>
          </cell>
          <cell r="GY123">
            <v>84</v>
          </cell>
          <cell r="GZ123">
            <v>381</v>
          </cell>
          <cell r="HA123">
            <v>53</v>
          </cell>
          <cell r="HB123">
            <v>87.8</v>
          </cell>
          <cell r="HC123">
            <v>370</v>
          </cell>
          <cell r="HD123">
            <v>55</v>
          </cell>
          <cell r="HE123">
            <v>87.1</v>
          </cell>
          <cell r="HF123">
            <v>265</v>
          </cell>
          <cell r="HG123">
            <v>50</v>
          </cell>
          <cell r="HH123">
            <v>84.1</v>
          </cell>
          <cell r="HI123">
            <v>302</v>
          </cell>
          <cell r="HJ123">
            <v>43</v>
          </cell>
          <cell r="HK123">
            <v>87.5</v>
          </cell>
          <cell r="HL123">
            <v>16</v>
          </cell>
          <cell r="HM123">
            <v>13</v>
          </cell>
          <cell r="HN123">
            <v>55.2</v>
          </cell>
          <cell r="HO123">
            <v>8</v>
          </cell>
          <cell r="HP123">
            <v>9</v>
          </cell>
          <cell r="HQ123">
            <v>47.1</v>
          </cell>
          <cell r="HR123">
            <v>16</v>
          </cell>
          <cell r="HS123">
            <v>3</v>
          </cell>
          <cell r="HT123">
            <v>84.2</v>
          </cell>
          <cell r="HU123">
            <v>20</v>
          </cell>
          <cell r="HV123">
            <v>9</v>
          </cell>
          <cell r="HW123">
            <v>69</v>
          </cell>
          <cell r="HX123">
            <v>15</v>
          </cell>
          <cell r="HY123">
            <v>12</v>
          </cell>
          <cell r="HZ123">
            <v>55.6</v>
          </cell>
          <cell r="IA123">
            <v>12</v>
          </cell>
          <cell r="IB123">
            <v>10</v>
          </cell>
          <cell r="IC123">
            <v>54.5</v>
          </cell>
          <cell r="ID123">
            <v>7</v>
          </cell>
          <cell r="IE123">
            <v>4</v>
          </cell>
          <cell r="IF123">
            <v>63.6</v>
          </cell>
          <cell r="IG123">
            <v>11</v>
          </cell>
          <cell r="IH123">
            <v>3</v>
          </cell>
          <cell r="II123">
            <v>78.599999999999994</v>
          </cell>
          <cell r="IJ123">
            <v>10</v>
          </cell>
          <cell r="IK123">
            <v>10</v>
          </cell>
          <cell r="IL123">
            <v>50</v>
          </cell>
          <cell r="IM123">
            <v>16</v>
          </cell>
          <cell r="IN123">
            <v>3</v>
          </cell>
          <cell r="IO123">
            <v>84.2</v>
          </cell>
          <cell r="IP123">
            <v>9</v>
          </cell>
          <cell r="IQ123">
            <v>5</v>
          </cell>
          <cell r="IR123">
            <v>64.3</v>
          </cell>
          <cell r="IS123">
            <v>12</v>
          </cell>
          <cell r="IT123">
            <v>7</v>
          </cell>
          <cell r="IU123">
            <v>63.2</v>
          </cell>
          <cell r="IV123">
            <v>11</v>
          </cell>
          <cell r="IW123">
            <v>3</v>
          </cell>
          <cell r="IX123">
            <v>78.599999999999994</v>
          </cell>
          <cell r="IY123">
            <v>11</v>
          </cell>
          <cell r="IZ123">
            <v>3</v>
          </cell>
          <cell r="JA123">
            <v>78.599999999999994</v>
          </cell>
          <cell r="JB123">
            <v>15</v>
          </cell>
          <cell r="JC123">
            <v>1</v>
          </cell>
          <cell r="JD123">
            <v>93.8</v>
          </cell>
          <cell r="JE123">
            <v>12</v>
          </cell>
          <cell r="JF123">
            <v>12</v>
          </cell>
          <cell r="JG123">
            <v>100</v>
          </cell>
          <cell r="JH123">
            <v>23</v>
          </cell>
          <cell r="JI123">
            <v>3</v>
          </cell>
          <cell r="JJ123">
            <v>88.461538461538453</v>
          </cell>
          <cell r="JK123">
            <v>10</v>
          </cell>
          <cell r="JL123">
            <v>2</v>
          </cell>
          <cell r="JM123">
            <v>83.333333333333343</v>
          </cell>
          <cell r="JN123">
            <v>8</v>
          </cell>
          <cell r="JO123">
            <v>0</v>
          </cell>
          <cell r="JP123">
            <v>100</v>
          </cell>
          <cell r="JQ123">
            <v>1371</v>
          </cell>
          <cell r="JR123">
            <v>155</v>
          </cell>
          <cell r="JS123">
            <v>89.842726081258192</v>
          </cell>
          <cell r="JT123">
            <v>780</v>
          </cell>
          <cell r="JU123">
            <v>116</v>
          </cell>
          <cell r="JV123">
            <v>87.053571428571431</v>
          </cell>
          <cell r="JW123">
            <v>0</v>
          </cell>
          <cell r="JX123">
            <v>0</v>
          </cell>
          <cell r="JY123" t="str">
            <v>-</v>
          </cell>
          <cell r="JZ123">
            <v>306</v>
          </cell>
          <cell r="KA123">
            <v>57</v>
          </cell>
          <cell r="KB123">
            <v>84.297520661157023</v>
          </cell>
          <cell r="KC123">
            <v>0</v>
          </cell>
          <cell r="KD123">
            <v>0</v>
          </cell>
          <cell r="KE123" t="str">
            <v>-</v>
          </cell>
          <cell r="KF123">
            <v>1606</v>
          </cell>
          <cell r="KG123">
            <v>256</v>
          </cell>
          <cell r="KH123">
            <v>86.251342642320083</v>
          </cell>
          <cell r="KI123">
            <v>65</v>
          </cell>
          <cell r="KJ123">
            <v>38</v>
          </cell>
          <cell r="KK123">
            <v>63.10679611650486</v>
          </cell>
          <cell r="KL123">
            <v>61</v>
          </cell>
          <cell r="KM123">
            <v>14</v>
          </cell>
          <cell r="KN123">
            <v>81.333333333333329</v>
          </cell>
        </row>
        <row r="124">
          <cell r="C124" t="str">
            <v>Pest MRFK Központ</v>
          </cell>
          <cell r="D124">
            <v>35</v>
          </cell>
          <cell r="E124">
            <v>7</v>
          </cell>
          <cell r="F124">
            <v>83.3</v>
          </cell>
          <cell r="G124">
            <v>30</v>
          </cell>
          <cell r="H124">
            <v>7</v>
          </cell>
          <cell r="I124">
            <v>81.099999999999994</v>
          </cell>
          <cell r="J124">
            <v>30</v>
          </cell>
          <cell r="K124">
            <v>7</v>
          </cell>
          <cell r="L124">
            <v>81.099999999999994</v>
          </cell>
          <cell r="M124">
            <v>35</v>
          </cell>
          <cell r="N124">
            <v>4</v>
          </cell>
          <cell r="O124">
            <v>89.7</v>
          </cell>
          <cell r="P124">
            <v>38</v>
          </cell>
          <cell r="Q124">
            <v>3</v>
          </cell>
          <cell r="R124">
            <v>92.7</v>
          </cell>
          <cell r="S124">
            <v>31</v>
          </cell>
          <cell r="T124">
            <v>3</v>
          </cell>
          <cell r="U124">
            <v>91.2</v>
          </cell>
          <cell r="V124">
            <v>27</v>
          </cell>
          <cell r="W124">
            <v>3</v>
          </cell>
          <cell r="X124">
            <v>90</v>
          </cell>
          <cell r="Y124">
            <v>23</v>
          </cell>
          <cell r="Z124">
            <v>2</v>
          </cell>
          <cell r="AA124">
            <v>92</v>
          </cell>
          <cell r="AB124">
            <v>20</v>
          </cell>
          <cell r="AC124">
            <v>4</v>
          </cell>
          <cell r="AD124">
            <v>83.3</v>
          </cell>
          <cell r="AE124">
            <v>13</v>
          </cell>
          <cell r="AF124">
            <v>3</v>
          </cell>
          <cell r="AG124">
            <v>81.3</v>
          </cell>
          <cell r="AH124">
            <v>14</v>
          </cell>
          <cell r="AI124">
            <v>5</v>
          </cell>
          <cell r="AJ124">
            <v>73.7</v>
          </cell>
          <cell r="AK124">
            <v>14</v>
          </cell>
          <cell r="AL124">
            <v>4</v>
          </cell>
          <cell r="AM124">
            <v>77.8</v>
          </cell>
          <cell r="AN124">
            <v>16</v>
          </cell>
          <cell r="AO124">
            <v>1</v>
          </cell>
          <cell r="AP124">
            <v>94.1</v>
          </cell>
          <cell r="AQ124">
            <v>9</v>
          </cell>
          <cell r="AR124">
            <v>1</v>
          </cell>
          <cell r="AS124">
            <v>90</v>
          </cell>
          <cell r="AT124">
            <v>11</v>
          </cell>
          <cell r="AU124">
            <v>11</v>
          </cell>
          <cell r="AV124">
            <v>100</v>
          </cell>
          <cell r="AW124">
            <v>10</v>
          </cell>
          <cell r="AX124">
            <v>10</v>
          </cell>
          <cell r="AY124">
            <v>100</v>
          </cell>
          <cell r="AZ124">
            <v>13</v>
          </cell>
          <cell r="BA124">
            <v>3</v>
          </cell>
          <cell r="BB124">
            <v>81.3</v>
          </cell>
          <cell r="BC124">
            <v>17</v>
          </cell>
          <cell r="BD124">
            <v>2</v>
          </cell>
          <cell r="BE124">
            <v>89.5</v>
          </cell>
          <cell r="BF124">
            <v>13</v>
          </cell>
          <cell r="BG124">
            <v>1</v>
          </cell>
          <cell r="BH124">
            <v>92.9</v>
          </cell>
          <cell r="BI124">
            <v>20</v>
          </cell>
          <cell r="BJ124">
            <v>20</v>
          </cell>
          <cell r="BK124">
            <v>100</v>
          </cell>
          <cell r="BL124">
            <v>20</v>
          </cell>
          <cell r="BM124">
            <v>1</v>
          </cell>
          <cell r="BN124">
            <v>95.2</v>
          </cell>
          <cell r="BO124">
            <v>21</v>
          </cell>
          <cell r="BP124">
            <v>2</v>
          </cell>
          <cell r="BQ124">
            <v>91.3</v>
          </cell>
          <cell r="BR124">
            <v>14</v>
          </cell>
          <cell r="BS124">
            <v>3</v>
          </cell>
          <cell r="BT124">
            <v>82.4</v>
          </cell>
          <cell r="BU124">
            <v>13</v>
          </cell>
          <cell r="BV124">
            <v>2</v>
          </cell>
          <cell r="BW124">
            <v>86.7</v>
          </cell>
          <cell r="BX124">
            <v>36</v>
          </cell>
          <cell r="BY124">
            <v>5</v>
          </cell>
          <cell r="BZ124">
            <v>87.8</v>
          </cell>
          <cell r="CA124">
            <v>21</v>
          </cell>
          <cell r="CB124">
            <v>4</v>
          </cell>
          <cell r="CC124">
            <v>84</v>
          </cell>
          <cell r="CD124">
            <v>21</v>
          </cell>
          <cell r="CE124">
            <v>6</v>
          </cell>
          <cell r="CF124">
            <v>77.8</v>
          </cell>
          <cell r="CG124">
            <v>30</v>
          </cell>
          <cell r="CH124">
            <v>9</v>
          </cell>
          <cell r="CI124">
            <v>76.900000000000006</v>
          </cell>
          <cell r="CJ124">
            <v>24</v>
          </cell>
          <cell r="CK124">
            <v>6</v>
          </cell>
          <cell r="CL124">
            <v>80</v>
          </cell>
          <cell r="CM124">
            <v>23</v>
          </cell>
          <cell r="CN124">
            <v>7</v>
          </cell>
          <cell r="CO124">
            <v>76.7</v>
          </cell>
          <cell r="CP124">
            <v>18</v>
          </cell>
          <cell r="CQ124">
            <v>5</v>
          </cell>
          <cell r="CR124">
            <v>78.3</v>
          </cell>
          <cell r="CS124">
            <v>33</v>
          </cell>
          <cell r="CT124">
            <v>3</v>
          </cell>
          <cell r="CU124">
            <v>91.7</v>
          </cell>
          <cell r="CV124">
            <v>35</v>
          </cell>
          <cell r="CW124">
            <v>5</v>
          </cell>
          <cell r="CX124">
            <v>87.5</v>
          </cell>
          <cell r="CY124">
            <v>19</v>
          </cell>
          <cell r="CZ124">
            <v>4</v>
          </cell>
          <cell r="DA124">
            <v>82.6</v>
          </cell>
          <cell r="DB124">
            <v>21</v>
          </cell>
          <cell r="DC124">
            <v>6</v>
          </cell>
          <cell r="DD124">
            <v>77.8</v>
          </cell>
          <cell r="DE124">
            <v>29</v>
          </cell>
          <cell r="DF124">
            <v>8</v>
          </cell>
          <cell r="DG124">
            <v>78.400000000000006</v>
          </cell>
          <cell r="DH124">
            <v>20</v>
          </cell>
          <cell r="DI124">
            <v>6</v>
          </cell>
          <cell r="DJ124">
            <v>76.900000000000006</v>
          </cell>
          <cell r="DK124">
            <v>16</v>
          </cell>
          <cell r="DL124">
            <v>7</v>
          </cell>
          <cell r="DM124">
            <v>69.599999999999994</v>
          </cell>
          <cell r="DN124">
            <v>16</v>
          </cell>
          <cell r="DO124">
            <v>5</v>
          </cell>
          <cell r="DP124">
            <v>76.2</v>
          </cell>
          <cell r="DQ124">
            <v>28</v>
          </cell>
          <cell r="DR124">
            <v>3</v>
          </cell>
          <cell r="DS124">
            <v>90.3</v>
          </cell>
          <cell r="DT124">
            <v>3</v>
          </cell>
          <cell r="DU124">
            <v>2</v>
          </cell>
          <cell r="DV124">
            <v>60</v>
          </cell>
          <cell r="DW124">
            <v>60</v>
          </cell>
          <cell r="DX124">
            <v>2</v>
          </cell>
          <cell r="DY124">
            <v>0</v>
          </cell>
          <cell r="DZ124">
            <v>2</v>
          </cell>
          <cell r="EA124">
            <v>2</v>
          </cell>
          <cell r="EB124">
            <v>50</v>
          </cell>
          <cell r="EC124">
            <v>1</v>
          </cell>
          <cell r="ED124">
            <v>1</v>
          </cell>
          <cell r="EE124">
            <v>100</v>
          </cell>
          <cell r="EF124">
            <v>100</v>
          </cell>
          <cell r="EG124">
            <v>1</v>
          </cell>
          <cell r="EH124">
            <v>0</v>
          </cell>
          <cell r="EI124">
            <v>1</v>
          </cell>
          <cell r="EJ124">
            <v>1</v>
          </cell>
          <cell r="EK124">
            <v>100</v>
          </cell>
          <cell r="EL124">
            <v>100</v>
          </cell>
          <cell r="EM124">
            <v>100</v>
          </cell>
          <cell r="EN124" t="str">
            <v>-</v>
          </cell>
          <cell r="EO124">
            <v>2</v>
          </cell>
          <cell r="EP124">
            <v>2</v>
          </cell>
          <cell r="EQ124">
            <v>100</v>
          </cell>
          <cell r="ER124">
            <v>100</v>
          </cell>
          <cell r="ES124">
            <v>100</v>
          </cell>
          <cell r="ET124" t="str">
            <v>-</v>
          </cell>
          <cell r="EU124">
            <v>1</v>
          </cell>
          <cell r="EV124">
            <v>1</v>
          </cell>
          <cell r="EW124">
            <v>100</v>
          </cell>
          <cell r="EX124">
            <v>8</v>
          </cell>
          <cell r="EY124">
            <v>1</v>
          </cell>
          <cell r="EZ124">
            <v>88.9</v>
          </cell>
          <cell r="FA124">
            <v>7</v>
          </cell>
          <cell r="FB124">
            <v>2</v>
          </cell>
          <cell r="FC124">
            <v>77.8</v>
          </cell>
          <cell r="FD124">
            <v>6</v>
          </cell>
          <cell r="FE124">
            <v>1</v>
          </cell>
          <cell r="FF124">
            <v>85.7</v>
          </cell>
          <cell r="FG124">
            <v>10</v>
          </cell>
          <cell r="FH124">
            <v>10</v>
          </cell>
          <cell r="FI124">
            <v>100</v>
          </cell>
          <cell r="FJ124">
            <v>8</v>
          </cell>
          <cell r="FK124">
            <v>8</v>
          </cell>
          <cell r="FL124">
            <v>100</v>
          </cell>
          <cell r="FM124">
            <v>3</v>
          </cell>
          <cell r="FN124">
            <v>1</v>
          </cell>
          <cell r="FO124">
            <v>75</v>
          </cell>
          <cell r="FP124">
            <v>75</v>
          </cell>
          <cell r="FQ124">
            <v>1</v>
          </cell>
          <cell r="FR124">
            <v>0</v>
          </cell>
          <cell r="FS124">
            <v>0</v>
          </cell>
          <cell r="FT124">
            <v>0</v>
          </cell>
          <cell r="FU124" t="str">
            <v>-</v>
          </cell>
          <cell r="FV124">
            <v>1</v>
          </cell>
          <cell r="FW124">
            <v>1</v>
          </cell>
          <cell r="FX124">
            <v>100</v>
          </cell>
          <cell r="FY124">
            <v>3</v>
          </cell>
          <cell r="FZ124">
            <v>1</v>
          </cell>
          <cell r="GA124">
            <v>75</v>
          </cell>
          <cell r="GB124">
            <v>4</v>
          </cell>
          <cell r="GC124">
            <v>3</v>
          </cell>
          <cell r="GD124">
            <v>57.1</v>
          </cell>
          <cell r="GE124">
            <v>27</v>
          </cell>
          <cell r="GF124">
            <v>13</v>
          </cell>
          <cell r="GG124">
            <v>67.5</v>
          </cell>
          <cell r="GH124">
            <v>16</v>
          </cell>
          <cell r="GI124">
            <v>6</v>
          </cell>
          <cell r="GJ124">
            <v>72.7</v>
          </cell>
          <cell r="GK124">
            <v>2</v>
          </cell>
          <cell r="GL124">
            <v>2</v>
          </cell>
          <cell r="GM124">
            <v>50</v>
          </cell>
          <cell r="GN124">
            <v>3</v>
          </cell>
          <cell r="GO124">
            <v>3</v>
          </cell>
          <cell r="GP124">
            <v>100</v>
          </cell>
          <cell r="GQ124">
            <v>1</v>
          </cell>
          <cell r="GR124">
            <v>1</v>
          </cell>
          <cell r="GS124">
            <v>50</v>
          </cell>
          <cell r="GT124">
            <v>2</v>
          </cell>
          <cell r="GU124">
            <v>2</v>
          </cell>
          <cell r="GV124">
            <v>100</v>
          </cell>
          <cell r="GW124">
            <v>2</v>
          </cell>
          <cell r="GX124">
            <v>2</v>
          </cell>
          <cell r="GY124">
            <v>100</v>
          </cell>
          <cell r="GZ124">
            <v>3</v>
          </cell>
          <cell r="HA124">
            <v>1</v>
          </cell>
          <cell r="HB124">
            <v>75</v>
          </cell>
          <cell r="HC124">
            <v>4</v>
          </cell>
          <cell r="HD124">
            <v>1</v>
          </cell>
          <cell r="HE124">
            <v>80</v>
          </cell>
          <cell r="HF124">
            <v>1</v>
          </cell>
          <cell r="HG124">
            <v>5</v>
          </cell>
          <cell r="HH124">
            <v>16.7</v>
          </cell>
          <cell r="HI124">
            <v>4</v>
          </cell>
          <cell r="HJ124">
            <v>1</v>
          </cell>
          <cell r="HK124">
            <v>80</v>
          </cell>
          <cell r="HL124">
            <v>1</v>
          </cell>
          <cell r="HM124">
            <v>1</v>
          </cell>
          <cell r="HN124">
            <v>100</v>
          </cell>
          <cell r="HO124">
            <v>2</v>
          </cell>
          <cell r="HP124">
            <v>2</v>
          </cell>
          <cell r="HQ124">
            <v>100</v>
          </cell>
          <cell r="HR124">
            <v>100</v>
          </cell>
          <cell r="HS124">
            <v>100</v>
          </cell>
          <cell r="HT124" t="str">
            <v>-</v>
          </cell>
          <cell r="HU124">
            <v>1</v>
          </cell>
          <cell r="HV124">
            <v>1</v>
          </cell>
          <cell r="HW124">
            <v>50</v>
          </cell>
          <cell r="HX124">
            <v>50</v>
          </cell>
          <cell r="HY124">
            <v>50</v>
          </cell>
          <cell r="HZ124" t="str">
            <v>-</v>
          </cell>
          <cell r="IA124">
            <v>1</v>
          </cell>
          <cell r="IB124">
            <v>1</v>
          </cell>
          <cell r="IC124">
            <v>100</v>
          </cell>
          <cell r="ID124">
            <v>100</v>
          </cell>
          <cell r="IE124">
            <v>1</v>
          </cell>
          <cell r="IF124">
            <v>0</v>
          </cell>
          <cell r="IG124">
            <v>1</v>
          </cell>
          <cell r="IH124">
            <v>1</v>
          </cell>
          <cell r="II124">
            <v>100</v>
          </cell>
          <cell r="IJ124">
            <v>13</v>
          </cell>
          <cell r="IK124">
            <v>1</v>
          </cell>
          <cell r="IL124">
            <v>92.9</v>
          </cell>
          <cell r="IM124">
            <v>7</v>
          </cell>
          <cell r="IN124">
            <v>7</v>
          </cell>
          <cell r="IO124">
            <v>100</v>
          </cell>
          <cell r="IP124">
            <v>5</v>
          </cell>
          <cell r="IQ124">
            <v>5</v>
          </cell>
          <cell r="IR124">
            <v>100</v>
          </cell>
          <cell r="IS124">
            <v>15</v>
          </cell>
          <cell r="IT124">
            <v>4</v>
          </cell>
          <cell r="IU124">
            <v>78.900000000000006</v>
          </cell>
          <cell r="IV124">
            <v>7</v>
          </cell>
          <cell r="IW124">
            <v>3</v>
          </cell>
          <cell r="IX124">
            <v>70</v>
          </cell>
          <cell r="IY124">
            <v>2</v>
          </cell>
          <cell r="IZ124">
            <v>4</v>
          </cell>
          <cell r="JA124">
            <v>33.299999999999997</v>
          </cell>
          <cell r="JB124">
            <v>5</v>
          </cell>
          <cell r="JC124">
            <v>1</v>
          </cell>
          <cell r="JD124">
            <v>83.3</v>
          </cell>
          <cell r="JE124">
            <v>9</v>
          </cell>
          <cell r="JF124">
            <v>9</v>
          </cell>
          <cell r="JG124">
            <v>100</v>
          </cell>
          <cell r="JH124">
            <v>154</v>
          </cell>
          <cell r="JI124">
            <v>15</v>
          </cell>
          <cell r="JJ124">
            <v>91.124260355029591</v>
          </cell>
          <cell r="JK124">
            <v>60</v>
          </cell>
          <cell r="JL124">
            <v>6</v>
          </cell>
          <cell r="JM124">
            <v>90.909090909090907</v>
          </cell>
          <cell r="JN124">
            <v>88</v>
          </cell>
          <cell r="JO124">
            <v>8</v>
          </cell>
          <cell r="JP124">
            <v>91.666666666666657</v>
          </cell>
          <cell r="JQ124">
            <v>128</v>
          </cell>
          <cell r="JR124">
            <v>30</v>
          </cell>
          <cell r="JS124">
            <v>81.012658227848107</v>
          </cell>
          <cell r="JT124">
            <v>109</v>
          </cell>
          <cell r="JU124">
            <v>29</v>
          </cell>
          <cell r="JV124">
            <v>78.985507246376812</v>
          </cell>
          <cell r="JW124">
            <v>4</v>
          </cell>
          <cell r="JX124">
            <v>1</v>
          </cell>
          <cell r="JY124">
            <v>80</v>
          </cell>
          <cell r="JZ124">
            <v>34</v>
          </cell>
          <cell r="KA124">
            <v>4</v>
          </cell>
          <cell r="KB124">
            <v>89.473684210526315</v>
          </cell>
          <cell r="KC124">
            <v>52</v>
          </cell>
          <cell r="KD124">
            <v>25</v>
          </cell>
          <cell r="KE124">
            <v>67.532467532467535</v>
          </cell>
          <cell r="KF124">
            <v>14</v>
          </cell>
          <cell r="KG124">
            <v>8</v>
          </cell>
          <cell r="KH124">
            <v>63.636363636363633</v>
          </cell>
          <cell r="KI124">
            <v>3</v>
          </cell>
          <cell r="KJ124">
            <v>2</v>
          </cell>
          <cell r="KK124">
            <v>60</v>
          </cell>
          <cell r="KL124">
            <v>38</v>
          </cell>
          <cell r="KM124">
            <v>12</v>
          </cell>
          <cell r="KN124">
            <v>76</v>
          </cell>
        </row>
        <row r="125">
          <cell r="C125" t="str">
            <v>Budaörsi Rendőrkapitányság</v>
          </cell>
          <cell r="D125">
            <v>76</v>
          </cell>
          <cell r="E125">
            <v>76</v>
          </cell>
          <cell r="F125" t="str">
            <v>-</v>
          </cell>
          <cell r="G125">
            <v>76</v>
          </cell>
          <cell r="H125">
            <v>76</v>
          </cell>
          <cell r="I125" t="str">
            <v>-</v>
          </cell>
          <cell r="J125">
            <v>76</v>
          </cell>
          <cell r="K125">
            <v>76</v>
          </cell>
          <cell r="L125" t="str">
            <v>-</v>
          </cell>
          <cell r="M125">
            <v>76</v>
          </cell>
          <cell r="N125">
            <v>76</v>
          </cell>
          <cell r="O125" t="str">
            <v>-</v>
          </cell>
          <cell r="P125">
            <v>76</v>
          </cell>
          <cell r="Q125">
            <v>76</v>
          </cell>
          <cell r="R125" t="str">
            <v>-</v>
          </cell>
          <cell r="S125">
            <v>1</v>
          </cell>
          <cell r="T125">
            <v>1</v>
          </cell>
          <cell r="U125">
            <v>100</v>
          </cell>
          <cell r="V125">
            <v>100</v>
          </cell>
          <cell r="W125">
            <v>100</v>
          </cell>
          <cell r="X125" t="str">
            <v>-</v>
          </cell>
          <cell r="Y125">
            <v>100</v>
          </cell>
          <cell r="Z125">
            <v>100</v>
          </cell>
          <cell r="AA125" t="str">
            <v>-</v>
          </cell>
          <cell r="AB125">
            <v>100</v>
          </cell>
          <cell r="AC125">
            <v>100</v>
          </cell>
          <cell r="AD125" t="str">
            <v>-</v>
          </cell>
          <cell r="AE125">
            <v>100</v>
          </cell>
          <cell r="AF125">
            <v>100</v>
          </cell>
          <cell r="AG125" t="str">
            <v>-</v>
          </cell>
          <cell r="AH125">
            <v>100</v>
          </cell>
          <cell r="AI125">
            <v>100</v>
          </cell>
          <cell r="AJ125" t="str">
            <v>-</v>
          </cell>
          <cell r="AK125">
            <v>100</v>
          </cell>
          <cell r="AL125">
            <v>100</v>
          </cell>
          <cell r="AM125" t="str">
            <v>-</v>
          </cell>
          <cell r="AN125">
            <v>100</v>
          </cell>
          <cell r="AO125">
            <v>100</v>
          </cell>
          <cell r="AP125" t="str">
            <v>-</v>
          </cell>
          <cell r="AQ125">
            <v>100</v>
          </cell>
          <cell r="AR125">
            <v>100</v>
          </cell>
          <cell r="AS125" t="str">
            <v>-</v>
          </cell>
          <cell r="AT125">
            <v>100</v>
          </cell>
          <cell r="AU125">
            <v>100</v>
          </cell>
          <cell r="AV125" t="str">
            <v>-</v>
          </cell>
          <cell r="AW125">
            <v>100</v>
          </cell>
          <cell r="AX125">
            <v>100</v>
          </cell>
          <cell r="AY125" t="str">
            <v>-</v>
          </cell>
          <cell r="AZ125">
            <v>100</v>
          </cell>
          <cell r="BA125">
            <v>100</v>
          </cell>
          <cell r="BB125" t="str">
            <v>-</v>
          </cell>
          <cell r="BC125">
            <v>100</v>
          </cell>
          <cell r="BD125">
            <v>100</v>
          </cell>
          <cell r="BE125" t="str">
            <v>-</v>
          </cell>
          <cell r="BF125">
            <v>100</v>
          </cell>
          <cell r="BG125">
            <v>100</v>
          </cell>
          <cell r="BH125" t="str">
            <v>-</v>
          </cell>
          <cell r="BI125">
            <v>100</v>
          </cell>
          <cell r="BJ125">
            <v>100</v>
          </cell>
          <cell r="BK125" t="str">
            <v>-</v>
          </cell>
          <cell r="BL125">
            <v>100</v>
          </cell>
          <cell r="BM125">
            <v>100</v>
          </cell>
          <cell r="BN125" t="str">
            <v>-</v>
          </cell>
          <cell r="BO125">
            <v>1</v>
          </cell>
          <cell r="BP125">
            <v>1</v>
          </cell>
          <cell r="BQ125">
            <v>100</v>
          </cell>
          <cell r="BR125">
            <v>100</v>
          </cell>
          <cell r="BS125">
            <v>100</v>
          </cell>
          <cell r="BT125" t="str">
            <v>-</v>
          </cell>
          <cell r="BU125">
            <v>100</v>
          </cell>
          <cell r="BV125">
            <v>100</v>
          </cell>
          <cell r="BW125" t="str">
            <v>-</v>
          </cell>
          <cell r="BX125">
            <v>79</v>
          </cell>
          <cell r="BY125">
            <v>39</v>
          </cell>
          <cell r="BZ125">
            <v>66.900000000000006</v>
          </cell>
          <cell r="CA125">
            <v>75</v>
          </cell>
          <cell r="CB125">
            <v>22</v>
          </cell>
          <cell r="CC125">
            <v>77.3</v>
          </cell>
          <cell r="CD125">
            <v>63</v>
          </cell>
          <cell r="CE125">
            <v>42</v>
          </cell>
          <cell r="CF125">
            <v>60</v>
          </cell>
          <cell r="CG125">
            <v>86</v>
          </cell>
          <cell r="CH125">
            <v>30</v>
          </cell>
          <cell r="CI125">
            <v>74.099999999999994</v>
          </cell>
          <cell r="CJ125">
            <v>76</v>
          </cell>
          <cell r="CK125">
            <v>27</v>
          </cell>
          <cell r="CL125">
            <v>73.8</v>
          </cell>
          <cell r="CM125">
            <v>82</v>
          </cell>
          <cell r="CN125">
            <v>34</v>
          </cell>
          <cell r="CO125">
            <v>70.7</v>
          </cell>
          <cell r="CP125">
            <v>59</v>
          </cell>
          <cell r="CQ125">
            <v>22</v>
          </cell>
          <cell r="CR125">
            <v>72.8</v>
          </cell>
          <cell r="CS125">
            <v>29</v>
          </cell>
          <cell r="CT125">
            <v>14</v>
          </cell>
          <cell r="CU125">
            <v>67.400000000000006</v>
          </cell>
          <cell r="CV125">
            <v>55</v>
          </cell>
          <cell r="CW125">
            <v>36</v>
          </cell>
          <cell r="CX125">
            <v>60.4</v>
          </cell>
          <cell r="CY125">
            <v>54</v>
          </cell>
          <cell r="CZ125">
            <v>16</v>
          </cell>
          <cell r="DA125">
            <v>77.099999999999994</v>
          </cell>
          <cell r="DB125">
            <v>44</v>
          </cell>
          <cell r="DC125">
            <v>37</v>
          </cell>
          <cell r="DD125">
            <v>54.3</v>
          </cell>
          <cell r="DE125">
            <v>56</v>
          </cell>
          <cell r="DF125">
            <v>28</v>
          </cell>
          <cell r="DG125">
            <v>66.7</v>
          </cell>
          <cell r="DH125">
            <v>62</v>
          </cell>
          <cell r="DI125">
            <v>19</v>
          </cell>
          <cell r="DJ125">
            <v>76.5</v>
          </cell>
          <cell r="DK125">
            <v>51</v>
          </cell>
          <cell r="DL125">
            <v>27</v>
          </cell>
          <cell r="DM125">
            <v>65.400000000000006</v>
          </cell>
          <cell r="DN125">
            <v>37</v>
          </cell>
          <cell r="DO125">
            <v>20</v>
          </cell>
          <cell r="DP125">
            <v>64.900000000000006</v>
          </cell>
          <cell r="DQ125">
            <v>19</v>
          </cell>
          <cell r="DR125">
            <v>12</v>
          </cell>
          <cell r="DS125">
            <v>61.3</v>
          </cell>
          <cell r="DT125">
            <v>61.29998779296875</v>
          </cell>
          <cell r="DU125">
            <v>61.29998779296875</v>
          </cell>
          <cell r="DV125" t="str">
            <v>-</v>
          </cell>
          <cell r="DW125">
            <v>61.29998779296875</v>
          </cell>
          <cell r="DX125">
            <v>61.29998779296875</v>
          </cell>
          <cell r="DY125" t="str">
            <v>-</v>
          </cell>
          <cell r="DZ125">
            <v>61.29998779296875</v>
          </cell>
          <cell r="EA125">
            <v>61.29998779296875</v>
          </cell>
          <cell r="EB125" t="str">
            <v>-</v>
          </cell>
          <cell r="EC125">
            <v>61.29998779296875</v>
          </cell>
          <cell r="ED125">
            <v>61.29998779296875</v>
          </cell>
          <cell r="EE125" t="str">
            <v>-</v>
          </cell>
          <cell r="EF125">
            <v>61.29998779296875</v>
          </cell>
          <cell r="EG125">
            <v>61.29998779296875</v>
          </cell>
          <cell r="EH125" t="str">
            <v>-</v>
          </cell>
          <cell r="EI125">
            <v>61.29998779296875</v>
          </cell>
          <cell r="EJ125">
            <v>61.29998779296875</v>
          </cell>
          <cell r="EK125" t="str">
            <v>-</v>
          </cell>
          <cell r="EL125">
            <v>61.29998779296875</v>
          </cell>
          <cell r="EM125">
            <v>61.29998779296875</v>
          </cell>
          <cell r="EN125" t="str">
            <v>-</v>
          </cell>
          <cell r="EO125">
            <v>61.29998779296875</v>
          </cell>
          <cell r="EP125">
            <v>61.29998779296875</v>
          </cell>
          <cell r="EQ125" t="str">
            <v>-</v>
          </cell>
          <cell r="ER125">
            <v>8</v>
          </cell>
          <cell r="ES125">
            <v>15</v>
          </cell>
          <cell r="ET125">
            <v>34.799999999999997</v>
          </cell>
          <cell r="EU125">
            <v>7</v>
          </cell>
          <cell r="EV125">
            <v>2</v>
          </cell>
          <cell r="EW125">
            <v>77.8</v>
          </cell>
          <cell r="EX125">
            <v>5</v>
          </cell>
          <cell r="EY125">
            <v>8</v>
          </cell>
          <cell r="EZ125">
            <v>38.5</v>
          </cell>
          <cell r="FA125">
            <v>4</v>
          </cell>
          <cell r="FB125">
            <v>11</v>
          </cell>
          <cell r="FC125">
            <v>26.7</v>
          </cell>
          <cell r="FD125">
            <v>4</v>
          </cell>
          <cell r="FE125">
            <v>8</v>
          </cell>
          <cell r="FF125">
            <v>33.299999999999997</v>
          </cell>
          <cell r="FG125">
            <v>12</v>
          </cell>
          <cell r="FH125">
            <v>10</v>
          </cell>
          <cell r="FI125">
            <v>54.5</v>
          </cell>
          <cell r="FJ125">
            <v>7</v>
          </cell>
          <cell r="FK125">
            <v>6</v>
          </cell>
          <cell r="FL125">
            <v>53.8</v>
          </cell>
          <cell r="FM125">
            <v>1</v>
          </cell>
          <cell r="FN125">
            <v>8</v>
          </cell>
          <cell r="FO125">
            <v>11.1</v>
          </cell>
          <cell r="FP125">
            <v>11.099998474121094</v>
          </cell>
          <cell r="FQ125">
            <v>11.099998474121094</v>
          </cell>
          <cell r="FR125" t="str">
            <v>-</v>
          </cell>
          <cell r="FS125">
            <v>11.099998474121094</v>
          </cell>
          <cell r="FT125">
            <v>11.099998474121094</v>
          </cell>
          <cell r="FU125" t="str">
            <v>-</v>
          </cell>
          <cell r="FV125">
            <v>11.099998474121094</v>
          </cell>
          <cell r="FW125">
            <v>11.099998474121094</v>
          </cell>
          <cell r="FX125" t="str">
            <v>-</v>
          </cell>
          <cell r="FY125">
            <v>11.099998474121094</v>
          </cell>
          <cell r="FZ125">
            <v>11.099998474121094</v>
          </cell>
          <cell r="GA125" t="str">
            <v>-</v>
          </cell>
          <cell r="GB125">
            <v>11.099998474121094</v>
          </cell>
          <cell r="GC125">
            <v>11.099998474121094</v>
          </cell>
          <cell r="GD125" t="str">
            <v>-</v>
          </cell>
          <cell r="GE125">
            <v>11.099998474121094</v>
          </cell>
          <cell r="GF125">
            <v>11.099998474121094</v>
          </cell>
          <cell r="GG125" t="str">
            <v>-</v>
          </cell>
          <cell r="GH125">
            <v>2</v>
          </cell>
          <cell r="GI125">
            <v>2</v>
          </cell>
          <cell r="GJ125">
            <v>100</v>
          </cell>
          <cell r="GK125">
            <v>100</v>
          </cell>
          <cell r="GL125">
            <v>100</v>
          </cell>
          <cell r="GM125" t="str">
            <v>-</v>
          </cell>
          <cell r="GN125">
            <v>41</v>
          </cell>
          <cell r="GO125">
            <v>23</v>
          </cell>
          <cell r="GP125">
            <v>64.099999999999994</v>
          </cell>
          <cell r="GQ125">
            <v>34</v>
          </cell>
          <cell r="GR125">
            <v>20</v>
          </cell>
          <cell r="GS125">
            <v>63</v>
          </cell>
          <cell r="GT125">
            <v>40</v>
          </cell>
          <cell r="GU125">
            <v>17</v>
          </cell>
          <cell r="GV125">
            <v>70.2</v>
          </cell>
          <cell r="GW125">
            <v>40</v>
          </cell>
          <cell r="GX125">
            <v>14</v>
          </cell>
          <cell r="GY125">
            <v>74.099999999999994</v>
          </cell>
          <cell r="GZ125">
            <v>49</v>
          </cell>
          <cell r="HA125">
            <v>19</v>
          </cell>
          <cell r="HB125">
            <v>72.099999999999994</v>
          </cell>
          <cell r="HC125">
            <v>45</v>
          </cell>
          <cell r="HD125">
            <v>22</v>
          </cell>
          <cell r="HE125">
            <v>67.2</v>
          </cell>
          <cell r="HF125">
            <v>53</v>
          </cell>
          <cell r="HG125">
            <v>14</v>
          </cell>
          <cell r="HH125">
            <v>79.099999999999994</v>
          </cell>
          <cell r="HI125">
            <v>26</v>
          </cell>
          <cell r="HJ125">
            <v>15</v>
          </cell>
          <cell r="HK125">
            <v>63.4</v>
          </cell>
          <cell r="HL125">
            <v>9</v>
          </cell>
          <cell r="HM125">
            <v>11</v>
          </cell>
          <cell r="HN125">
            <v>45</v>
          </cell>
          <cell r="HO125">
            <v>3</v>
          </cell>
          <cell r="HP125">
            <v>13</v>
          </cell>
          <cell r="HQ125">
            <v>18.8</v>
          </cell>
          <cell r="HR125">
            <v>2</v>
          </cell>
          <cell r="HS125">
            <v>12</v>
          </cell>
          <cell r="HT125">
            <v>14.3</v>
          </cell>
          <cell r="HU125">
            <v>6</v>
          </cell>
          <cell r="HV125">
            <v>8</v>
          </cell>
          <cell r="HW125">
            <v>42.9</v>
          </cell>
          <cell r="HX125">
            <v>4</v>
          </cell>
          <cell r="HY125">
            <v>8</v>
          </cell>
          <cell r="HZ125">
            <v>33.299999999999997</v>
          </cell>
          <cell r="IA125">
            <v>6</v>
          </cell>
          <cell r="IB125">
            <v>7</v>
          </cell>
          <cell r="IC125">
            <v>46.2</v>
          </cell>
          <cell r="ID125">
            <v>4</v>
          </cell>
          <cell r="IE125">
            <v>4</v>
          </cell>
          <cell r="IF125">
            <v>50</v>
          </cell>
          <cell r="IG125">
            <v>3</v>
          </cell>
          <cell r="IH125">
            <v>4</v>
          </cell>
          <cell r="II125">
            <v>42.9</v>
          </cell>
          <cell r="IJ125">
            <v>4</v>
          </cell>
          <cell r="IK125">
            <v>1</v>
          </cell>
          <cell r="IL125">
            <v>80</v>
          </cell>
          <cell r="IM125">
            <v>1</v>
          </cell>
          <cell r="IN125">
            <v>1</v>
          </cell>
          <cell r="IO125">
            <v>100</v>
          </cell>
          <cell r="IP125">
            <v>2</v>
          </cell>
          <cell r="IQ125">
            <v>2</v>
          </cell>
          <cell r="IR125">
            <v>100</v>
          </cell>
          <cell r="IS125">
            <v>1</v>
          </cell>
          <cell r="IT125">
            <v>1</v>
          </cell>
          <cell r="IU125">
            <v>50</v>
          </cell>
          <cell r="IV125">
            <v>2</v>
          </cell>
          <cell r="IW125">
            <v>1</v>
          </cell>
          <cell r="IX125">
            <v>66.7</v>
          </cell>
          <cell r="IY125">
            <v>2</v>
          </cell>
          <cell r="IZ125">
            <v>3</v>
          </cell>
          <cell r="JA125">
            <v>40</v>
          </cell>
          <cell r="JB125">
            <v>40</v>
          </cell>
          <cell r="JC125">
            <v>40</v>
          </cell>
          <cell r="JD125" t="str">
            <v>-</v>
          </cell>
          <cell r="JE125">
            <v>40</v>
          </cell>
          <cell r="JF125">
            <v>40</v>
          </cell>
          <cell r="JG125" t="str">
            <v>-</v>
          </cell>
          <cell r="JH125">
            <v>1</v>
          </cell>
          <cell r="JI125">
            <v>0</v>
          </cell>
          <cell r="JJ125">
            <v>100</v>
          </cell>
          <cell r="JK125">
            <v>0</v>
          </cell>
          <cell r="JL125">
            <v>0</v>
          </cell>
          <cell r="JM125" t="str">
            <v>-</v>
          </cell>
          <cell r="JN125">
            <v>1</v>
          </cell>
          <cell r="JO125">
            <v>0</v>
          </cell>
          <cell r="JP125">
            <v>100</v>
          </cell>
          <cell r="JQ125">
            <v>332</v>
          </cell>
          <cell r="JR125">
            <v>127</v>
          </cell>
          <cell r="JS125">
            <v>72.33115468409585</v>
          </cell>
          <cell r="JT125">
            <v>225</v>
          </cell>
          <cell r="JU125">
            <v>106</v>
          </cell>
          <cell r="JV125">
            <v>67.975830815709969</v>
          </cell>
          <cell r="JW125">
            <v>0</v>
          </cell>
          <cell r="JX125">
            <v>0</v>
          </cell>
          <cell r="JY125" t="str">
            <v>-</v>
          </cell>
          <cell r="JZ125">
            <v>28</v>
          </cell>
          <cell r="KA125">
            <v>43</v>
          </cell>
          <cell r="KB125">
            <v>39.436619718309856</v>
          </cell>
          <cell r="KC125">
            <v>2</v>
          </cell>
          <cell r="KD125">
            <v>0</v>
          </cell>
          <cell r="KE125">
            <v>100</v>
          </cell>
          <cell r="KF125">
            <v>213</v>
          </cell>
          <cell r="KG125">
            <v>84</v>
          </cell>
          <cell r="KH125">
            <v>71.717171717171709</v>
          </cell>
          <cell r="KI125">
            <v>23</v>
          </cell>
          <cell r="KJ125">
            <v>31</v>
          </cell>
          <cell r="KK125">
            <v>42.592592592592595</v>
          </cell>
          <cell r="KL125">
            <v>5</v>
          </cell>
          <cell r="KM125">
            <v>5</v>
          </cell>
          <cell r="KN125">
            <v>50</v>
          </cell>
        </row>
        <row r="126">
          <cell r="C126" t="str">
            <v>Ceglédi Rendőrkapitányság</v>
          </cell>
          <cell r="D126">
            <v>50</v>
          </cell>
          <cell r="E126">
            <v>50</v>
          </cell>
          <cell r="F126" t="str">
            <v>-</v>
          </cell>
          <cell r="G126">
            <v>1</v>
          </cell>
          <cell r="H126">
            <v>1</v>
          </cell>
          <cell r="I126">
            <v>100</v>
          </cell>
          <cell r="J126">
            <v>100</v>
          </cell>
          <cell r="K126">
            <v>100</v>
          </cell>
          <cell r="L126" t="str">
            <v>-</v>
          </cell>
          <cell r="M126">
            <v>100</v>
          </cell>
          <cell r="N126">
            <v>100</v>
          </cell>
          <cell r="O126" t="str">
            <v>-</v>
          </cell>
          <cell r="P126">
            <v>100</v>
          </cell>
          <cell r="Q126">
            <v>100</v>
          </cell>
          <cell r="R126" t="str">
            <v>-</v>
          </cell>
          <cell r="S126">
            <v>100</v>
          </cell>
          <cell r="T126">
            <v>100</v>
          </cell>
          <cell r="U126" t="str">
            <v>-</v>
          </cell>
          <cell r="V126">
            <v>100</v>
          </cell>
          <cell r="W126">
            <v>100</v>
          </cell>
          <cell r="X126" t="str">
            <v>-</v>
          </cell>
          <cell r="Y126">
            <v>100</v>
          </cell>
          <cell r="Z126">
            <v>100</v>
          </cell>
          <cell r="AA126" t="str">
            <v>-</v>
          </cell>
          <cell r="AB126">
            <v>100</v>
          </cell>
          <cell r="AC126">
            <v>100</v>
          </cell>
          <cell r="AD126" t="str">
            <v>-</v>
          </cell>
          <cell r="AE126">
            <v>100</v>
          </cell>
          <cell r="AF126">
            <v>100</v>
          </cell>
          <cell r="AG126" t="str">
            <v>-</v>
          </cell>
          <cell r="AH126">
            <v>100</v>
          </cell>
          <cell r="AI126">
            <v>100</v>
          </cell>
          <cell r="AJ126" t="str">
            <v>-</v>
          </cell>
          <cell r="AK126">
            <v>100</v>
          </cell>
          <cell r="AL126">
            <v>100</v>
          </cell>
          <cell r="AM126" t="str">
            <v>-</v>
          </cell>
          <cell r="AN126">
            <v>100</v>
          </cell>
          <cell r="AO126">
            <v>100</v>
          </cell>
          <cell r="AP126" t="str">
            <v>-</v>
          </cell>
          <cell r="AQ126">
            <v>100</v>
          </cell>
          <cell r="AR126">
            <v>100</v>
          </cell>
          <cell r="AS126" t="str">
            <v>-</v>
          </cell>
          <cell r="AT126">
            <v>100</v>
          </cell>
          <cell r="AU126">
            <v>100</v>
          </cell>
          <cell r="AV126" t="str">
            <v>-</v>
          </cell>
          <cell r="AW126">
            <v>100</v>
          </cell>
          <cell r="AX126">
            <v>100</v>
          </cell>
          <cell r="AY126" t="str">
            <v>-</v>
          </cell>
          <cell r="AZ126">
            <v>100</v>
          </cell>
          <cell r="BA126">
            <v>100</v>
          </cell>
          <cell r="BB126" t="str">
            <v>-</v>
          </cell>
          <cell r="BC126">
            <v>100</v>
          </cell>
          <cell r="BD126">
            <v>100</v>
          </cell>
          <cell r="BE126" t="str">
            <v>-</v>
          </cell>
          <cell r="BF126">
            <v>100</v>
          </cell>
          <cell r="BG126">
            <v>100</v>
          </cell>
          <cell r="BH126" t="str">
            <v>-</v>
          </cell>
          <cell r="BI126">
            <v>100</v>
          </cell>
          <cell r="BJ126">
            <v>100</v>
          </cell>
          <cell r="BK126" t="str">
            <v>-</v>
          </cell>
          <cell r="BL126">
            <v>100</v>
          </cell>
          <cell r="BM126">
            <v>100</v>
          </cell>
          <cell r="BN126" t="str">
            <v>-</v>
          </cell>
          <cell r="BO126">
            <v>100</v>
          </cell>
          <cell r="BP126">
            <v>100</v>
          </cell>
          <cell r="BQ126" t="str">
            <v>-</v>
          </cell>
          <cell r="BR126">
            <v>100</v>
          </cell>
          <cell r="BS126">
            <v>100</v>
          </cell>
          <cell r="BT126" t="str">
            <v>-</v>
          </cell>
          <cell r="BU126">
            <v>100</v>
          </cell>
          <cell r="BV126">
            <v>100</v>
          </cell>
          <cell r="BW126" t="str">
            <v>-</v>
          </cell>
          <cell r="BX126">
            <v>87</v>
          </cell>
          <cell r="BY126">
            <v>29</v>
          </cell>
          <cell r="BZ126">
            <v>75</v>
          </cell>
          <cell r="CA126">
            <v>85</v>
          </cell>
          <cell r="CB126">
            <v>34</v>
          </cell>
          <cell r="CC126">
            <v>71.400000000000006</v>
          </cell>
          <cell r="CD126">
            <v>72</v>
          </cell>
          <cell r="CE126">
            <v>39</v>
          </cell>
          <cell r="CF126">
            <v>64.900000000000006</v>
          </cell>
          <cell r="CG126">
            <v>116</v>
          </cell>
          <cell r="CH126">
            <v>44</v>
          </cell>
          <cell r="CI126">
            <v>72.5</v>
          </cell>
          <cell r="CJ126">
            <v>132</v>
          </cell>
          <cell r="CK126">
            <v>27</v>
          </cell>
          <cell r="CL126">
            <v>83</v>
          </cell>
          <cell r="CM126">
            <v>156</v>
          </cell>
          <cell r="CN126">
            <v>44</v>
          </cell>
          <cell r="CO126">
            <v>78</v>
          </cell>
          <cell r="CP126">
            <v>90</v>
          </cell>
          <cell r="CQ126">
            <v>24</v>
          </cell>
          <cell r="CR126">
            <v>78.900000000000006</v>
          </cell>
          <cell r="CS126">
            <v>79</v>
          </cell>
          <cell r="CT126">
            <v>20</v>
          </cell>
          <cell r="CU126">
            <v>79.8</v>
          </cell>
          <cell r="CV126">
            <v>57</v>
          </cell>
          <cell r="CW126">
            <v>21</v>
          </cell>
          <cell r="CX126">
            <v>73.099999999999994</v>
          </cell>
          <cell r="CY126">
            <v>53</v>
          </cell>
          <cell r="CZ126">
            <v>25</v>
          </cell>
          <cell r="DA126">
            <v>67.900000000000006</v>
          </cell>
          <cell r="DB126">
            <v>36</v>
          </cell>
          <cell r="DC126">
            <v>32</v>
          </cell>
          <cell r="DD126">
            <v>52.9</v>
          </cell>
          <cell r="DE126">
            <v>57</v>
          </cell>
          <cell r="DF126">
            <v>25</v>
          </cell>
          <cell r="DG126">
            <v>69.5</v>
          </cell>
          <cell r="DH126">
            <v>75</v>
          </cell>
          <cell r="DI126">
            <v>20</v>
          </cell>
          <cell r="DJ126">
            <v>78.900000000000006</v>
          </cell>
          <cell r="DK126">
            <v>82</v>
          </cell>
          <cell r="DL126">
            <v>34</v>
          </cell>
          <cell r="DM126">
            <v>70.7</v>
          </cell>
          <cell r="DN126">
            <v>50</v>
          </cell>
          <cell r="DO126">
            <v>18</v>
          </cell>
          <cell r="DP126">
            <v>73.5</v>
          </cell>
          <cell r="DQ126">
            <v>42</v>
          </cell>
          <cell r="DR126">
            <v>17</v>
          </cell>
          <cell r="DS126">
            <v>71.2</v>
          </cell>
          <cell r="DT126">
            <v>71.199951171875</v>
          </cell>
          <cell r="DU126">
            <v>71.199951171875</v>
          </cell>
          <cell r="DV126" t="str">
            <v>-</v>
          </cell>
          <cell r="DW126">
            <v>71.199951171875</v>
          </cell>
          <cell r="DX126">
            <v>71.199951171875</v>
          </cell>
          <cell r="DY126" t="str">
            <v>-</v>
          </cell>
          <cell r="DZ126">
            <v>71.199951171875</v>
          </cell>
          <cell r="EA126">
            <v>71.199951171875</v>
          </cell>
          <cell r="EB126" t="str">
            <v>-</v>
          </cell>
          <cell r="EC126">
            <v>71.199951171875</v>
          </cell>
          <cell r="ED126">
            <v>71.199951171875</v>
          </cell>
          <cell r="EE126" t="str">
            <v>-</v>
          </cell>
          <cell r="EF126">
            <v>71.199951171875</v>
          </cell>
          <cell r="EG126">
            <v>71.199951171875</v>
          </cell>
          <cell r="EH126" t="str">
            <v>-</v>
          </cell>
          <cell r="EI126">
            <v>71.199951171875</v>
          </cell>
          <cell r="EJ126">
            <v>71.199951171875</v>
          </cell>
          <cell r="EK126" t="str">
            <v>-</v>
          </cell>
          <cell r="EL126">
            <v>71.199951171875</v>
          </cell>
          <cell r="EM126">
            <v>71.199951171875</v>
          </cell>
          <cell r="EN126" t="str">
            <v>-</v>
          </cell>
          <cell r="EO126">
            <v>71.199951171875</v>
          </cell>
          <cell r="EP126">
            <v>71.199951171875</v>
          </cell>
          <cell r="EQ126" t="str">
            <v>-</v>
          </cell>
          <cell r="ER126">
            <v>18</v>
          </cell>
          <cell r="ES126">
            <v>25</v>
          </cell>
          <cell r="ET126">
            <v>41.9</v>
          </cell>
          <cell r="EU126">
            <v>12</v>
          </cell>
          <cell r="EV126">
            <v>11</v>
          </cell>
          <cell r="EW126">
            <v>52.2</v>
          </cell>
          <cell r="EX126">
            <v>5</v>
          </cell>
          <cell r="EY126">
            <v>8</v>
          </cell>
          <cell r="EZ126">
            <v>38.5</v>
          </cell>
          <cell r="FA126">
            <v>10</v>
          </cell>
          <cell r="FB126">
            <v>13</v>
          </cell>
          <cell r="FC126">
            <v>43.5</v>
          </cell>
          <cell r="FD126">
            <v>7</v>
          </cell>
          <cell r="FE126">
            <v>9</v>
          </cell>
          <cell r="FF126">
            <v>43.8</v>
          </cell>
          <cell r="FG126">
            <v>16</v>
          </cell>
          <cell r="FH126">
            <v>22</v>
          </cell>
          <cell r="FI126">
            <v>42.1</v>
          </cell>
          <cell r="FJ126">
            <v>13</v>
          </cell>
          <cell r="FK126">
            <v>5</v>
          </cell>
          <cell r="FL126">
            <v>72.2</v>
          </cell>
          <cell r="FM126">
            <v>1</v>
          </cell>
          <cell r="FN126">
            <v>4</v>
          </cell>
          <cell r="FO126">
            <v>20</v>
          </cell>
          <cell r="FP126">
            <v>20</v>
          </cell>
          <cell r="FQ126">
            <v>20</v>
          </cell>
          <cell r="FR126" t="str">
            <v>-</v>
          </cell>
          <cell r="FS126">
            <v>20</v>
          </cell>
          <cell r="FT126">
            <v>20</v>
          </cell>
          <cell r="FU126" t="str">
            <v>-</v>
          </cell>
          <cell r="FV126">
            <v>20</v>
          </cell>
          <cell r="FW126">
            <v>20</v>
          </cell>
          <cell r="FX126" t="str">
            <v>-</v>
          </cell>
          <cell r="FY126">
            <v>20</v>
          </cell>
          <cell r="FZ126">
            <v>20</v>
          </cell>
          <cell r="GA126" t="str">
            <v>-</v>
          </cell>
          <cell r="GB126">
            <v>20</v>
          </cell>
          <cell r="GC126">
            <v>20</v>
          </cell>
          <cell r="GD126" t="str">
            <v>-</v>
          </cell>
          <cell r="GE126">
            <v>20</v>
          </cell>
          <cell r="GF126">
            <v>20</v>
          </cell>
          <cell r="GG126" t="str">
            <v>-</v>
          </cell>
          <cell r="GH126">
            <v>20</v>
          </cell>
          <cell r="GI126">
            <v>20</v>
          </cell>
          <cell r="GJ126" t="str">
            <v>-</v>
          </cell>
          <cell r="GK126">
            <v>20</v>
          </cell>
          <cell r="GL126">
            <v>20</v>
          </cell>
          <cell r="GM126" t="str">
            <v>-</v>
          </cell>
          <cell r="GN126">
            <v>49</v>
          </cell>
          <cell r="GO126">
            <v>14</v>
          </cell>
          <cell r="GP126">
            <v>77.8</v>
          </cell>
          <cell r="GQ126">
            <v>54</v>
          </cell>
          <cell r="GR126">
            <v>10</v>
          </cell>
          <cell r="GS126">
            <v>84.4</v>
          </cell>
          <cell r="GT126">
            <v>53</v>
          </cell>
          <cell r="GU126">
            <v>11</v>
          </cell>
          <cell r="GV126">
            <v>82.8</v>
          </cell>
          <cell r="GW126">
            <v>83</v>
          </cell>
          <cell r="GX126">
            <v>29</v>
          </cell>
          <cell r="GY126">
            <v>74.099999999999994</v>
          </cell>
          <cell r="GZ126">
            <v>135</v>
          </cell>
          <cell r="HA126">
            <v>21</v>
          </cell>
          <cell r="HB126">
            <v>86.5</v>
          </cell>
          <cell r="HC126">
            <v>136</v>
          </cell>
          <cell r="HD126">
            <v>30</v>
          </cell>
          <cell r="HE126">
            <v>81.900000000000006</v>
          </cell>
          <cell r="HF126">
            <v>84</v>
          </cell>
          <cell r="HG126">
            <v>19</v>
          </cell>
          <cell r="HH126">
            <v>81.599999999999994</v>
          </cell>
          <cell r="HI126">
            <v>62</v>
          </cell>
          <cell r="HJ126">
            <v>21</v>
          </cell>
          <cell r="HK126">
            <v>74.7</v>
          </cell>
          <cell r="HL126">
            <v>5</v>
          </cell>
          <cell r="HM126">
            <v>7</v>
          </cell>
          <cell r="HN126">
            <v>41.7</v>
          </cell>
          <cell r="HO126">
            <v>5</v>
          </cell>
          <cell r="HP126">
            <v>6</v>
          </cell>
          <cell r="HQ126">
            <v>45.5</v>
          </cell>
          <cell r="HR126">
            <v>11</v>
          </cell>
          <cell r="HS126">
            <v>8</v>
          </cell>
          <cell r="HT126">
            <v>57.9</v>
          </cell>
          <cell r="HU126">
            <v>6</v>
          </cell>
          <cell r="HV126">
            <v>2</v>
          </cell>
          <cell r="HW126">
            <v>75</v>
          </cell>
          <cell r="HX126">
            <v>9</v>
          </cell>
          <cell r="HY126">
            <v>3</v>
          </cell>
          <cell r="HZ126">
            <v>75</v>
          </cell>
          <cell r="IA126">
            <v>10</v>
          </cell>
          <cell r="IB126">
            <v>3</v>
          </cell>
          <cell r="IC126">
            <v>76.900000000000006</v>
          </cell>
          <cell r="ID126">
            <v>76.89996337890625</v>
          </cell>
          <cell r="IE126">
            <v>1</v>
          </cell>
          <cell r="IF126">
            <v>0</v>
          </cell>
          <cell r="IG126">
            <v>3</v>
          </cell>
          <cell r="IH126">
            <v>3</v>
          </cell>
          <cell r="II126">
            <v>50</v>
          </cell>
          <cell r="IJ126">
            <v>50</v>
          </cell>
          <cell r="IK126">
            <v>50</v>
          </cell>
          <cell r="IL126" t="str">
            <v>-</v>
          </cell>
          <cell r="IM126">
            <v>1</v>
          </cell>
          <cell r="IN126">
            <v>1</v>
          </cell>
          <cell r="IO126">
            <v>100</v>
          </cell>
          <cell r="IP126">
            <v>3</v>
          </cell>
          <cell r="IQ126">
            <v>3</v>
          </cell>
          <cell r="IR126">
            <v>100</v>
          </cell>
          <cell r="IS126">
            <v>3</v>
          </cell>
          <cell r="IT126">
            <v>1</v>
          </cell>
          <cell r="IU126">
            <v>75</v>
          </cell>
          <cell r="IV126">
            <v>2</v>
          </cell>
          <cell r="IW126">
            <v>2</v>
          </cell>
          <cell r="IX126">
            <v>50</v>
          </cell>
          <cell r="IY126">
            <v>3</v>
          </cell>
          <cell r="IZ126">
            <v>3</v>
          </cell>
          <cell r="JA126">
            <v>100</v>
          </cell>
          <cell r="JB126">
            <v>1</v>
          </cell>
          <cell r="JC126">
            <v>1</v>
          </cell>
          <cell r="JD126">
            <v>50</v>
          </cell>
          <cell r="JE126">
            <v>2</v>
          </cell>
          <cell r="JF126">
            <v>2</v>
          </cell>
          <cell r="JG126">
            <v>100</v>
          </cell>
          <cell r="JH126">
            <v>0</v>
          </cell>
          <cell r="JI126">
            <v>0</v>
          </cell>
          <cell r="JJ126" t="str">
            <v>-</v>
          </cell>
          <cell r="JK126">
            <v>0</v>
          </cell>
          <cell r="JL126">
            <v>0</v>
          </cell>
          <cell r="JM126" t="str">
            <v>-</v>
          </cell>
          <cell r="JN126">
            <v>0</v>
          </cell>
          <cell r="JO126">
            <v>0</v>
          </cell>
          <cell r="JP126" t="str">
            <v>-</v>
          </cell>
          <cell r="JQ126">
            <v>573</v>
          </cell>
          <cell r="JR126">
            <v>159</v>
          </cell>
          <cell r="JS126">
            <v>78.278688524590166</v>
          </cell>
          <cell r="JT126">
            <v>306</v>
          </cell>
          <cell r="JU126">
            <v>114</v>
          </cell>
          <cell r="JV126">
            <v>72.857142857142847</v>
          </cell>
          <cell r="JW126">
            <v>0</v>
          </cell>
          <cell r="JX126">
            <v>0</v>
          </cell>
          <cell r="JY126" t="str">
            <v>-</v>
          </cell>
          <cell r="JZ126">
            <v>47</v>
          </cell>
          <cell r="KA126">
            <v>53</v>
          </cell>
          <cell r="KB126">
            <v>47</v>
          </cell>
          <cell r="KC126">
            <v>0</v>
          </cell>
          <cell r="KD126">
            <v>0</v>
          </cell>
          <cell r="KE126" t="str">
            <v>-</v>
          </cell>
          <cell r="KF126">
            <v>500</v>
          </cell>
          <cell r="KG126">
            <v>120</v>
          </cell>
          <cell r="KH126">
            <v>80.645161290322577</v>
          </cell>
          <cell r="KI126">
            <v>28</v>
          </cell>
          <cell r="KJ126">
            <v>12</v>
          </cell>
          <cell r="KK126">
            <v>70</v>
          </cell>
          <cell r="KL126">
            <v>11</v>
          </cell>
          <cell r="KM126">
            <v>4</v>
          </cell>
          <cell r="KN126">
            <v>73.333333333333329</v>
          </cell>
        </row>
        <row r="127">
          <cell r="C127" t="str">
            <v>Dabasi Rendőrkapitányság</v>
          </cell>
          <cell r="D127">
            <v>73.33331298828125</v>
          </cell>
          <cell r="E127">
            <v>73.33331298828125</v>
          </cell>
          <cell r="F127" t="str">
            <v>-</v>
          </cell>
          <cell r="G127">
            <v>73.33331298828125</v>
          </cell>
          <cell r="H127">
            <v>73.33331298828125</v>
          </cell>
          <cell r="I127" t="str">
            <v>-</v>
          </cell>
          <cell r="J127">
            <v>73.33331298828125</v>
          </cell>
          <cell r="K127">
            <v>73.33331298828125</v>
          </cell>
          <cell r="L127" t="str">
            <v>-</v>
          </cell>
          <cell r="M127">
            <v>73.33331298828125</v>
          </cell>
          <cell r="N127">
            <v>73.33331298828125</v>
          </cell>
          <cell r="O127" t="str">
            <v>-</v>
          </cell>
          <cell r="P127">
            <v>73.33331298828125</v>
          </cell>
          <cell r="Q127">
            <v>73.33331298828125</v>
          </cell>
          <cell r="R127" t="str">
            <v>-</v>
          </cell>
          <cell r="S127">
            <v>73.33331298828125</v>
          </cell>
          <cell r="T127">
            <v>73.33331298828125</v>
          </cell>
          <cell r="U127" t="str">
            <v>-</v>
          </cell>
          <cell r="V127">
            <v>73.33331298828125</v>
          </cell>
          <cell r="W127">
            <v>73.33331298828125</v>
          </cell>
          <cell r="X127" t="str">
            <v>-</v>
          </cell>
          <cell r="Y127">
            <v>73.33331298828125</v>
          </cell>
          <cell r="Z127">
            <v>73.33331298828125</v>
          </cell>
          <cell r="AA127" t="str">
            <v>-</v>
          </cell>
          <cell r="AB127">
            <v>73.33331298828125</v>
          </cell>
          <cell r="AC127">
            <v>73.33331298828125</v>
          </cell>
          <cell r="AD127" t="str">
            <v>-</v>
          </cell>
          <cell r="AE127">
            <v>73.33331298828125</v>
          </cell>
          <cell r="AF127">
            <v>73.33331298828125</v>
          </cell>
          <cell r="AG127" t="str">
            <v>-</v>
          </cell>
          <cell r="AH127">
            <v>73.33331298828125</v>
          </cell>
          <cell r="AI127">
            <v>73.33331298828125</v>
          </cell>
          <cell r="AJ127" t="str">
            <v>-</v>
          </cell>
          <cell r="AK127">
            <v>73.33331298828125</v>
          </cell>
          <cell r="AL127">
            <v>73.33331298828125</v>
          </cell>
          <cell r="AM127" t="str">
            <v>-</v>
          </cell>
          <cell r="AN127">
            <v>73.33331298828125</v>
          </cell>
          <cell r="AO127">
            <v>73.33331298828125</v>
          </cell>
          <cell r="AP127" t="str">
            <v>-</v>
          </cell>
          <cell r="AQ127">
            <v>73.33331298828125</v>
          </cell>
          <cell r="AR127">
            <v>73.33331298828125</v>
          </cell>
          <cell r="AS127" t="str">
            <v>-</v>
          </cell>
          <cell r="AT127">
            <v>73.33331298828125</v>
          </cell>
          <cell r="AU127">
            <v>73.33331298828125</v>
          </cell>
          <cell r="AV127" t="str">
            <v>-</v>
          </cell>
          <cell r="AW127">
            <v>73.33331298828125</v>
          </cell>
          <cell r="AX127">
            <v>73.33331298828125</v>
          </cell>
          <cell r="AY127" t="str">
            <v>-</v>
          </cell>
          <cell r="AZ127">
            <v>73.33331298828125</v>
          </cell>
          <cell r="BA127">
            <v>73.33331298828125</v>
          </cell>
          <cell r="BB127" t="str">
            <v>-</v>
          </cell>
          <cell r="BC127">
            <v>73.33331298828125</v>
          </cell>
          <cell r="BD127">
            <v>73.33331298828125</v>
          </cell>
          <cell r="BE127" t="str">
            <v>-</v>
          </cell>
          <cell r="BF127">
            <v>73.33331298828125</v>
          </cell>
          <cell r="BG127">
            <v>73.33331298828125</v>
          </cell>
          <cell r="BH127" t="str">
            <v>-</v>
          </cell>
          <cell r="BI127">
            <v>73.33331298828125</v>
          </cell>
          <cell r="BJ127">
            <v>73.33331298828125</v>
          </cell>
          <cell r="BK127" t="str">
            <v>-</v>
          </cell>
          <cell r="BL127">
            <v>73.33331298828125</v>
          </cell>
          <cell r="BM127">
            <v>73.33331298828125</v>
          </cell>
          <cell r="BN127" t="str">
            <v>-</v>
          </cell>
          <cell r="BO127">
            <v>73.33331298828125</v>
          </cell>
          <cell r="BP127">
            <v>73.33331298828125</v>
          </cell>
          <cell r="BQ127" t="str">
            <v>-</v>
          </cell>
          <cell r="BR127">
            <v>73.33331298828125</v>
          </cell>
          <cell r="BS127">
            <v>73.33331298828125</v>
          </cell>
          <cell r="BT127" t="str">
            <v>-</v>
          </cell>
          <cell r="BU127">
            <v>73.33331298828125</v>
          </cell>
          <cell r="BV127">
            <v>73.33331298828125</v>
          </cell>
          <cell r="BW127" t="str">
            <v>-</v>
          </cell>
          <cell r="BX127">
            <v>104</v>
          </cell>
          <cell r="BY127">
            <v>9</v>
          </cell>
          <cell r="BZ127">
            <v>92</v>
          </cell>
          <cell r="CA127">
            <v>46</v>
          </cell>
          <cell r="CB127">
            <v>10</v>
          </cell>
          <cell r="CC127">
            <v>82.1</v>
          </cell>
          <cell r="CD127">
            <v>68</v>
          </cell>
          <cell r="CE127">
            <v>18</v>
          </cell>
          <cell r="CF127">
            <v>79.099999999999994</v>
          </cell>
          <cell r="CG127">
            <v>119</v>
          </cell>
          <cell r="CH127">
            <v>18</v>
          </cell>
          <cell r="CI127">
            <v>86.9</v>
          </cell>
          <cell r="CJ127">
            <v>92</v>
          </cell>
          <cell r="CK127">
            <v>12</v>
          </cell>
          <cell r="CL127">
            <v>88.5</v>
          </cell>
          <cell r="CM127">
            <v>90</v>
          </cell>
          <cell r="CN127">
            <v>10</v>
          </cell>
          <cell r="CO127">
            <v>90</v>
          </cell>
          <cell r="CP127">
            <v>79</v>
          </cell>
          <cell r="CQ127">
            <v>20</v>
          </cell>
          <cell r="CR127">
            <v>79.8</v>
          </cell>
          <cell r="CS127">
            <v>56</v>
          </cell>
          <cell r="CT127">
            <v>15</v>
          </cell>
          <cell r="CU127">
            <v>78.900000000000006</v>
          </cell>
          <cell r="CV127">
            <v>51</v>
          </cell>
          <cell r="CW127">
            <v>7</v>
          </cell>
          <cell r="CX127">
            <v>87.9</v>
          </cell>
          <cell r="CY127">
            <v>24</v>
          </cell>
          <cell r="CZ127">
            <v>8</v>
          </cell>
          <cell r="DA127">
            <v>75</v>
          </cell>
          <cell r="DB127">
            <v>46</v>
          </cell>
          <cell r="DC127">
            <v>17</v>
          </cell>
          <cell r="DD127">
            <v>73</v>
          </cell>
          <cell r="DE127">
            <v>74</v>
          </cell>
          <cell r="DF127">
            <v>15</v>
          </cell>
          <cell r="DG127">
            <v>83.1</v>
          </cell>
          <cell r="DH127">
            <v>50</v>
          </cell>
          <cell r="DI127">
            <v>7</v>
          </cell>
          <cell r="DJ127">
            <v>87.7</v>
          </cell>
          <cell r="DK127">
            <v>53</v>
          </cell>
          <cell r="DL127">
            <v>6</v>
          </cell>
          <cell r="DM127">
            <v>89.8</v>
          </cell>
          <cell r="DN127">
            <v>40</v>
          </cell>
          <cell r="DO127">
            <v>16</v>
          </cell>
          <cell r="DP127">
            <v>71.400000000000006</v>
          </cell>
          <cell r="DQ127">
            <v>33</v>
          </cell>
          <cell r="DR127">
            <v>9</v>
          </cell>
          <cell r="DS127">
            <v>78.599999999999994</v>
          </cell>
          <cell r="DT127">
            <v>78.5999755859375</v>
          </cell>
          <cell r="DU127">
            <v>78.5999755859375</v>
          </cell>
          <cell r="DV127" t="str">
            <v>-</v>
          </cell>
          <cell r="DW127">
            <v>78.5999755859375</v>
          </cell>
          <cell r="DX127">
            <v>78.5999755859375</v>
          </cell>
          <cell r="DY127" t="str">
            <v>-</v>
          </cell>
          <cell r="DZ127">
            <v>78.5999755859375</v>
          </cell>
          <cell r="EA127">
            <v>78.5999755859375</v>
          </cell>
          <cell r="EB127" t="str">
            <v>-</v>
          </cell>
          <cell r="EC127">
            <v>78.5999755859375</v>
          </cell>
          <cell r="ED127">
            <v>78.5999755859375</v>
          </cell>
          <cell r="EE127" t="str">
            <v>-</v>
          </cell>
          <cell r="EF127">
            <v>78.5999755859375</v>
          </cell>
          <cell r="EG127">
            <v>78.5999755859375</v>
          </cell>
          <cell r="EH127" t="str">
            <v>-</v>
          </cell>
          <cell r="EI127">
            <v>78.5999755859375</v>
          </cell>
          <cell r="EJ127">
            <v>78.5999755859375</v>
          </cell>
          <cell r="EK127" t="str">
            <v>-</v>
          </cell>
          <cell r="EL127">
            <v>78.5999755859375</v>
          </cell>
          <cell r="EM127">
            <v>78.5999755859375</v>
          </cell>
          <cell r="EN127" t="str">
            <v>-</v>
          </cell>
          <cell r="EO127">
            <v>78.5999755859375</v>
          </cell>
          <cell r="EP127">
            <v>78.5999755859375</v>
          </cell>
          <cell r="EQ127" t="str">
            <v>-</v>
          </cell>
          <cell r="ER127">
            <v>9</v>
          </cell>
          <cell r="ES127">
            <v>6</v>
          </cell>
          <cell r="ET127">
            <v>60</v>
          </cell>
          <cell r="EU127">
            <v>8</v>
          </cell>
          <cell r="EV127">
            <v>4</v>
          </cell>
          <cell r="EW127">
            <v>66.7</v>
          </cell>
          <cell r="EX127">
            <v>7</v>
          </cell>
          <cell r="EY127">
            <v>4</v>
          </cell>
          <cell r="EZ127">
            <v>63.6</v>
          </cell>
          <cell r="FA127">
            <v>12</v>
          </cell>
          <cell r="FB127">
            <v>4</v>
          </cell>
          <cell r="FC127">
            <v>75</v>
          </cell>
          <cell r="FD127">
            <v>11</v>
          </cell>
          <cell r="FE127">
            <v>2</v>
          </cell>
          <cell r="FF127">
            <v>84.6</v>
          </cell>
          <cell r="FG127">
            <v>20</v>
          </cell>
          <cell r="FH127">
            <v>4</v>
          </cell>
          <cell r="FI127">
            <v>83.3</v>
          </cell>
          <cell r="FJ127">
            <v>15</v>
          </cell>
          <cell r="FK127">
            <v>10</v>
          </cell>
          <cell r="FL127">
            <v>60</v>
          </cell>
          <cell r="FM127">
            <v>1</v>
          </cell>
          <cell r="FN127">
            <v>8</v>
          </cell>
          <cell r="FO127">
            <v>11.1</v>
          </cell>
          <cell r="FP127">
            <v>11.099998474121094</v>
          </cell>
          <cell r="FQ127">
            <v>11.099998474121094</v>
          </cell>
          <cell r="FR127" t="str">
            <v>-</v>
          </cell>
          <cell r="FS127">
            <v>11.099998474121094</v>
          </cell>
          <cell r="FT127">
            <v>11.099998474121094</v>
          </cell>
          <cell r="FU127" t="str">
            <v>-</v>
          </cell>
          <cell r="FV127">
            <v>11.099998474121094</v>
          </cell>
          <cell r="FW127">
            <v>11.099998474121094</v>
          </cell>
          <cell r="FX127" t="str">
            <v>-</v>
          </cell>
          <cell r="FY127">
            <v>11.099998474121094</v>
          </cell>
          <cell r="FZ127">
            <v>11.099998474121094</v>
          </cell>
          <cell r="GA127" t="str">
            <v>-</v>
          </cell>
          <cell r="GB127">
            <v>11.099998474121094</v>
          </cell>
          <cell r="GC127">
            <v>11.099998474121094</v>
          </cell>
          <cell r="GD127" t="str">
            <v>-</v>
          </cell>
          <cell r="GE127">
            <v>4</v>
          </cell>
          <cell r="GF127">
            <v>4</v>
          </cell>
          <cell r="GG127">
            <v>100</v>
          </cell>
          <cell r="GH127">
            <v>100</v>
          </cell>
          <cell r="GI127">
            <v>100</v>
          </cell>
          <cell r="GJ127" t="str">
            <v>-</v>
          </cell>
          <cell r="GK127">
            <v>100</v>
          </cell>
          <cell r="GL127">
            <v>100</v>
          </cell>
          <cell r="GM127" t="str">
            <v>-</v>
          </cell>
          <cell r="GN127">
            <v>28</v>
          </cell>
          <cell r="GO127">
            <v>4</v>
          </cell>
          <cell r="GP127">
            <v>87.5</v>
          </cell>
          <cell r="GQ127">
            <v>23</v>
          </cell>
          <cell r="GR127">
            <v>23</v>
          </cell>
          <cell r="GS127">
            <v>100</v>
          </cell>
          <cell r="GT127">
            <v>26</v>
          </cell>
          <cell r="GU127">
            <v>6</v>
          </cell>
          <cell r="GV127">
            <v>81.3</v>
          </cell>
          <cell r="GW127">
            <v>31</v>
          </cell>
          <cell r="GX127">
            <v>5</v>
          </cell>
          <cell r="GY127">
            <v>86.1</v>
          </cell>
          <cell r="GZ127">
            <v>33</v>
          </cell>
          <cell r="HA127">
            <v>7</v>
          </cell>
          <cell r="HB127">
            <v>82.5</v>
          </cell>
          <cell r="HC127">
            <v>32</v>
          </cell>
          <cell r="HD127">
            <v>7</v>
          </cell>
          <cell r="HE127">
            <v>82.1</v>
          </cell>
          <cell r="HF127">
            <v>37</v>
          </cell>
          <cell r="HG127">
            <v>5</v>
          </cell>
          <cell r="HH127">
            <v>88.1</v>
          </cell>
          <cell r="HI127">
            <v>38</v>
          </cell>
          <cell r="HJ127">
            <v>9</v>
          </cell>
          <cell r="HK127">
            <v>80.900000000000006</v>
          </cell>
          <cell r="HL127">
            <v>2</v>
          </cell>
          <cell r="HM127">
            <v>2</v>
          </cell>
          <cell r="HN127">
            <v>50</v>
          </cell>
          <cell r="HO127">
            <v>10</v>
          </cell>
          <cell r="HP127">
            <v>5</v>
          </cell>
          <cell r="HQ127">
            <v>66.7</v>
          </cell>
          <cell r="HR127">
            <v>4</v>
          </cell>
          <cell r="HS127">
            <v>1</v>
          </cell>
          <cell r="HT127">
            <v>80</v>
          </cell>
          <cell r="HU127">
            <v>2</v>
          </cell>
          <cell r="HV127">
            <v>4</v>
          </cell>
          <cell r="HW127">
            <v>33.299999999999997</v>
          </cell>
          <cell r="HX127">
            <v>2</v>
          </cell>
          <cell r="HY127">
            <v>2</v>
          </cell>
          <cell r="HZ127">
            <v>50</v>
          </cell>
          <cell r="IA127">
            <v>5</v>
          </cell>
          <cell r="IB127">
            <v>2</v>
          </cell>
          <cell r="IC127">
            <v>71.400000000000006</v>
          </cell>
          <cell r="ID127">
            <v>2</v>
          </cell>
          <cell r="IE127">
            <v>3</v>
          </cell>
          <cell r="IF127">
            <v>40</v>
          </cell>
          <cell r="IG127">
            <v>3</v>
          </cell>
          <cell r="IH127">
            <v>2</v>
          </cell>
          <cell r="II127">
            <v>60</v>
          </cell>
          <cell r="IJ127">
            <v>1</v>
          </cell>
          <cell r="IK127">
            <v>1</v>
          </cell>
          <cell r="IL127">
            <v>100</v>
          </cell>
          <cell r="IM127">
            <v>8</v>
          </cell>
          <cell r="IN127">
            <v>2</v>
          </cell>
          <cell r="IO127">
            <v>80</v>
          </cell>
          <cell r="IP127">
            <v>80</v>
          </cell>
          <cell r="IQ127">
            <v>3</v>
          </cell>
          <cell r="IR127">
            <v>0</v>
          </cell>
          <cell r="IS127">
            <v>0</v>
          </cell>
          <cell r="IT127">
            <v>0</v>
          </cell>
          <cell r="IU127" t="str">
            <v>-</v>
          </cell>
          <cell r="IV127">
            <v>0</v>
          </cell>
          <cell r="IW127">
            <v>1</v>
          </cell>
          <cell r="IX127">
            <v>0</v>
          </cell>
          <cell r="IY127">
            <v>1</v>
          </cell>
          <cell r="IZ127">
            <v>1</v>
          </cell>
          <cell r="JA127">
            <v>100</v>
          </cell>
          <cell r="JB127">
            <v>4</v>
          </cell>
          <cell r="JC127">
            <v>4</v>
          </cell>
          <cell r="JD127">
            <v>100</v>
          </cell>
          <cell r="JE127">
            <v>1</v>
          </cell>
          <cell r="JF127">
            <v>1</v>
          </cell>
          <cell r="JG127">
            <v>100</v>
          </cell>
          <cell r="JH127">
            <v>0</v>
          </cell>
          <cell r="JI127">
            <v>0</v>
          </cell>
          <cell r="JJ127" t="str">
            <v>-</v>
          </cell>
          <cell r="JK127">
            <v>0</v>
          </cell>
          <cell r="JL127">
            <v>0</v>
          </cell>
          <cell r="JM127" t="str">
            <v>-</v>
          </cell>
          <cell r="JN127">
            <v>0</v>
          </cell>
          <cell r="JO127">
            <v>0</v>
          </cell>
          <cell r="JP127" t="str">
            <v>-</v>
          </cell>
          <cell r="JQ127">
            <v>436</v>
          </cell>
          <cell r="JR127">
            <v>75</v>
          </cell>
          <cell r="JS127">
            <v>85.322896281800382</v>
          </cell>
          <cell r="JT127">
            <v>250</v>
          </cell>
          <cell r="JU127">
            <v>53</v>
          </cell>
          <cell r="JV127">
            <v>82.508250825082513</v>
          </cell>
          <cell r="JW127">
            <v>0</v>
          </cell>
          <cell r="JX127">
            <v>0</v>
          </cell>
          <cell r="JY127" t="str">
            <v>-</v>
          </cell>
          <cell r="JZ127">
            <v>59</v>
          </cell>
          <cell r="KA127">
            <v>28</v>
          </cell>
          <cell r="KB127">
            <v>67.81609195402298</v>
          </cell>
          <cell r="KC127">
            <v>4</v>
          </cell>
          <cell r="KD127">
            <v>0</v>
          </cell>
          <cell r="KE127">
            <v>100</v>
          </cell>
          <cell r="KF127">
            <v>171</v>
          </cell>
          <cell r="KG127">
            <v>33</v>
          </cell>
          <cell r="KH127">
            <v>83.82352941176471</v>
          </cell>
          <cell r="KI127">
            <v>14</v>
          </cell>
          <cell r="KJ127">
            <v>13</v>
          </cell>
          <cell r="KK127">
            <v>51.851851851851848</v>
          </cell>
          <cell r="KL127">
            <v>6</v>
          </cell>
          <cell r="KM127">
            <v>1</v>
          </cell>
          <cell r="KN127">
            <v>85.714285714285708</v>
          </cell>
        </row>
        <row r="128">
          <cell r="C128" t="str">
            <v>Gödöllői Rendőrkapitányság</v>
          </cell>
          <cell r="D128">
            <v>85.7142333984375</v>
          </cell>
          <cell r="E128">
            <v>85.7142333984375</v>
          </cell>
          <cell r="F128" t="str">
            <v>-</v>
          </cell>
          <cell r="G128">
            <v>85.7142333984375</v>
          </cell>
          <cell r="H128">
            <v>85.7142333984375</v>
          </cell>
          <cell r="I128" t="str">
            <v>-</v>
          </cell>
          <cell r="J128">
            <v>85.7142333984375</v>
          </cell>
          <cell r="K128">
            <v>85.7142333984375</v>
          </cell>
          <cell r="L128" t="str">
            <v>-</v>
          </cell>
          <cell r="M128">
            <v>85.7142333984375</v>
          </cell>
          <cell r="N128">
            <v>85.7142333984375</v>
          </cell>
          <cell r="O128" t="str">
            <v>-</v>
          </cell>
          <cell r="P128">
            <v>85.7142333984375</v>
          </cell>
          <cell r="Q128">
            <v>85.7142333984375</v>
          </cell>
          <cell r="R128" t="str">
            <v>-</v>
          </cell>
          <cell r="S128">
            <v>85.7142333984375</v>
          </cell>
          <cell r="T128">
            <v>85.7142333984375</v>
          </cell>
          <cell r="U128" t="str">
            <v>-</v>
          </cell>
          <cell r="V128">
            <v>85.7142333984375</v>
          </cell>
          <cell r="W128">
            <v>85.7142333984375</v>
          </cell>
          <cell r="X128" t="str">
            <v>-</v>
          </cell>
          <cell r="Y128">
            <v>85.7142333984375</v>
          </cell>
          <cell r="Z128">
            <v>85.7142333984375</v>
          </cell>
          <cell r="AA128" t="str">
            <v>-</v>
          </cell>
          <cell r="AB128">
            <v>85.7142333984375</v>
          </cell>
          <cell r="AC128">
            <v>85.7142333984375</v>
          </cell>
          <cell r="AD128" t="str">
            <v>-</v>
          </cell>
          <cell r="AE128">
            <v>85.7142333984375</v>
          </cell>
          <cell r="AF128">
            <v>85.7142333984375</v>
          </cell>
          <cell r="AG128" t="str">
            <v>-</v>
          </cell>
          <cell r="AH128">
            <v>85.7142333984375</v>
          </cell>
          <cell r="AI128">
            <v>85.7142333984375</v>
          </cell>
          <cell r="AJ128" t="str">
            <v>-</v>
          </cell>
          <cell r="AK128">
            <v>85.7142333984375</v>
          </cell>
          <cell r="AL128">
            <v>85.7142333984375</v>
          </cell>
          <cell r="AM128" t="str">
            <v>-</v>
          </cell>
          <cell r="AN128">
            <v>85.7142333984375</v>
          </cell>
          <cell r="AO128">
            <v>85.7142333984375</v>
          </cell>
          <cell r="AP128" t="str">
            <v>-</v>
          </cell>
          <cell r="AQ128">
            <v>85.7142333984375</v>
          </cell>
          <cell r="AR128">
            <v>85.7142333984375</v>
          </cell>
          <cell r="AS128" t="str">
            <v>-</v>
          </cell>
          <cell r="AT128">
            <v>85.7142333984375</v>
          </cell>
          <cell r="AU128">
            <v>85.7142333984375</v>
          </cell>
          <cell r="AV128" t="str">
            <v>-</v>
          </cell>
          <cell r="AW128">
            <v>85.7142333984375</v>
          </cell>
          <cell r="AX128">
            <v>85.7142333984375</v>
          </cell>
          <cell r="AY128" t="str">
            <v>-</v>
          </cell>
          <cell r="AZ128">
            <v>85.7142333984375</v>
          </cell>
          <cell r="BA128">
            <v>85.7142333984375</v>
          </cell>
          <cell r="BB128" t="str">
            <v>-</v>
          </cell>
          <cell r="BC128">
            <v>85.7142333984375</v>
          </cell>
          <cell r="BD128">
            <v>85.7142333984375</v>
          </cell>
          <cell r="BE128" t="str">
            <v>-</v>
          </cell>
          <cell r="BF128">
            <v>85.7142333984375</v>
          </cell>
          <cell r="BG128">
            <v>85.7142333984375</v>
          </cell>
          <cell r="BH128" t="str">
            <v>-</v>
          </cell>
          <cell r="BI128">
            <v>85.7142333984375</v>
          </cell>
          <cell r="BJ128">
            <v>85.7142333984375</v>
          </cell>
          <cell r="BK128" t="str">
            <v>-</v>
          </cell>
          <cell r="BL128">
            <v>85.7142333984375</v>
          </cell>
          <cell r="BM128">
            <v>85.7142333984375</v>
          </cell>
          <cell r="BN128" t="str">
            <v>-</v>
          </cell>
          <cell r="BO128">
            <v>85.7142333984375</v>
          </cell>
          <cell r="BP128">
            <v>85.7142333984375</v>
          </cell>
          <cell r="BQ128" t="str">
            <v>-</v>
          </cell>
          <cell r="BR128">
            <v>85.7142333984375</v>
          </cell>
          <cell r="BS128">
            <v>85.7142333984375</v>
          </cell>
          <cell r="BT128" t="str">
            <v>-</v>
          </cell>
          <cell r="BU128">
            <v>85.7142333984375</v>
          </cell>
          <cell r="BV128">
            <v>85.7142333984375</v>
          </cell>
          <cell r="BW128" t="str">
            <v>-</v>
          </cell>
          <cell r="BX128">
            <v>79</v>
          </cell>
          <cell r="BY128">
            <v>15</v>
          </cell>
          <cell r="BZ128">
            <v>84</v>
          </cell>
          <cell r="CA128">
            <v>64</v>
          </cell>
          <cell r="CB128">
            <v>19</v>
          </cell>
          <cell r="CC128">
            <v>77.099999999999994</v>
          </cell>
          <cell r="CD128">
            <v>66</v>
          </cell>
          <cell r="CE128">
            <v>26</v>
          </cell>
          <cell r="CF128">
            <v>71.7</v>
          </cell>
          <cell r="CG128">
            <v>90</v>
          </cell>
          <cell r="CH128">
            <v>42</v>
          </cell>
          <cell r="CI128">
            <v>68.2</v>
          </cell>
          <cell r="CJ128">
            <v>73</v>
          </cell>
          <cell r="CK128">
            <v>22</v>
          </cell>
          <cell r="CL128">
            <v>76.8</v>
          </cell>
          <cell r="CM128">
            <v>75</v>
          </cell>
          <cell r="CN128">
            <v>19</v>
          </cell>
          <cell r="CO128">
            <v>79.8</v>
          </cell>
          <cell r="CP128">
            <v>59</v>
          </cell>
          <cell r="CQ128">
            <v>33</v>
          </cell>
          <cell r="CR128">
            <v>64.099999999999994</v>
          </cell>
          <cell r="CS128">
            <v>70</v>
          </cell>
          <cell r="CT128">
            <v>23</v>
          </cell>
          <cell r="CU128">
            <v>75.3</v>
          </cell>
          <cell r="CV128">
            <v>47</v>
          </cell>
          <cell r="CW128">
            <v>11</v>
          </cell>
          <cell r="CX128">
            <v>81</v>
          </cell>
          <cell r="CY128">
            <v>46</v>
          </cell>
          <cell r="CZ128">
            <v>18</v>
          </cell>
          <cell r="DA128">
            <v>71.900000000000006</v>
          </cell>
          <cell r="DB128">
            <v>50</v>
          </cell>
          <cell r="DC128">
            <v>18</v>
          </cell>
          <cell r="DD128">
            <v>73.5</v>
          </cell>
          <cell r="DE128">
            <v>62</v>
          </cell>
          <cell r="DF128">
            <v>31</v>
          </cell>
          <cell r="DG128">
            <v>66.7</v>
          </cell>
          <cell r="DH128">
            <v>46</v>
          </cell>
          <cell r="DI128">
            <v>19</v>
          </cell>
          <cell r="DJ128">
            <v>70.8</v>
          </cell>
          <cell r="DK128">
            <v>43</v>
          </cell>
          <cell r="DL128">
            <v>15</v>
          </cell>
          <cell r="DM128">
            <v>74.099999999999994</v>
          </cell>
          <cell r="DN128">
            <v>42</v>
          </cell>
          <cell r="DO128">
            <v>31</v>
          </cell>
          <cell r="DP128">
            <v>57.5</v>
          </cell>
          <cell r="DQ128">
            <v>46</v>
          </cell>
          <cell r="DR128">
            <v>18</v>
          </cell>
          <cell r="DS128">
            <v>71.900000000000006</v>
          </cell>
          <cell r="DT128">
            <v>71.89996337890625</v>
          </cell>
          <cell r="DU128">
            <v>71.89996337890625</v>
          </cell>
          <cell r="DV128" t="str">
            <v>-</v>
          </cell>
          <cell r="DW128">
            <v>71.89996337890625</v>
          </cell>
          <cell r="DX128">
            <v>71.89996337890625</v>
          </cell>
          <cell r="DY128" t="str">
            <v>-</v>
          </cell>
          <cell r="DZ128">
            <v>71.89996337890625</v>
          </cell>
          <cell r="EA128">
            <v>71.89996337890625</v>
          </cell>
          <cell r="EB128" t="str">
            <v>-</v>
          </cell>
          <cell r="EC128">
            <v>71.89996337890625</v>
          </cell>
          <cell r="ED128">
            <v>71.89996337890625</v>
          </cell>
          <cell r="EE128" t="str">
            <v>-</v>
          </cell>
          <cell r="EF128">
            <v>71.89996337890625</v>
          </cell>
          <cell r="EG128">
            <v>71.89996337890625</v>
          </cell>
          <cell r="EH128" t="str">
            <v>-</v>
          </cell>
          <cell r="EI128">
            <v>71.89996337890625</v>
          </cell>
          <cell r="EJ128">
            <v>71.89996337890625</v>
          </cell>
          <cell r="EK128" t="str">
            <v>-</v>
          </cell>
          <cell r="EL128">
            <v>71.89996337890625</v>
          </cell>
          <cell r="EM128">
            <v>71.89996337890625</v>
          </cell>
          <cell r="EN128" t="str">
            <v>-</v>
          </cell>
          <cell r="EO128">
            <v>71.89996337890625</v>
          </cell>
          <cell r="EP128">
            <v>71.89996337890625</v>
          </cell>
          <cell r="EQ128" t="str">
            <v>-</v>
          </cell>
          <cell r="ER128">
            <v>13</v>
          </cell>
          <cell r="ES128">
            <v>5</v>
          </cell>
          <cell r="ET128">
            <v>72.2</v>
          </cell>
          <cell r="EU128">
            <v>22</v>
          </cell>
          <cell r="EV128">
            <v>1</v>
          </cell>
          <cell r="EW128">
            <v>95.7</v>
          </cell>
          <cell r="EX128">
            <v>22</v>
          </cell>
          <cell r="EY128">
            <v>3</v>
          </cell>
          <cell r="EZ128">
            <v>88</v>
          </cell>
          <cell r="FA128">
            <v>30</v>
          </cell>
          <cell r="FB128">
            <v>16</v>
          </cell>
          <cell r="FC128">
            <v>65.2</v>
          </cell>
          <cell r="FD128">
            <v>26</v>
          </cell>
          <cell r="FE128">
            <v>11</v>
          </cell>
          <cell r="FF128">
            <v>70.3</v>
          </cell>
          <cell r="FG128">
            <v>33</v>
          </cell>
          <cell r="FH128">
            <v>21</v>
          </cell>
          <cell r="FI128">
            <v>61.1</v>
          </cell>
          <cell r="FJ128">
            <v>20</v>
          </cell>
          <cell r="FK128">
            <v>23</v>
          </cell>
          <cell r="FL128">
            <v>46.5</v>
          </cell>
          <cell r="FM128">
            <v>10</v>
          </cell>
          <cell r="FN128">
            <v>30</v>
          </cell>
          <cell r="FO128">
            <v>25</v>
          </cell>
          <cell r="FP128">
            <v>25</v>
          </cell>
          <cell r="FQ128">
            <v>25</v>
          </cell>
          <cell r="FR128" t="str">
            <v>-</v>
          </cell>
          <cell r="FS128">
            <v>25</v>
          </cell>
          <cell r="FT128">
            <v>25</v>
          </cell>
          <cell r="FU128" t="str">
            <v>-</v>
          </cell>
          <cell r="FV128">
            <v>25</v>
          </cell>
          <cell r="FW128">
            <v>25</v>
          </cell>
          <cell r="FX128" t="str">
            <v>-</v>
          </cell>
          <cell r="FY128">
            <v>25</v>
          </cell>
          <cell r="FZ128">
            <v>25</v>
          </cell>
          <cell r="GA128" t="str">
            <v>-</v>
          </cell>
          <cell r="GB128">
            <v>25</v>
          </cell>
          <cell r="GC128">
            <v>25</v>
          </cell>
          <cell r="GD128" t="str">
            <v>-</v>
          </cell>
          <cell r="GE128">
            <v>25</v>
          </cell>
          <cell r="GF128">
            <v>25</v>
          </cell>
          <cell r="GG128" t="str">
            <v>-</v>
          </cell>
          <cell r="GH128">
            <v>25</v>
          </cell>
          <cell r="GI128">
            <v>25</v>
          </cell>
          <cell r="GJ128" t="str">
            <v>-</v>
          </cell>
          <cell r="GK128">
            <v>25</v>
          </cell>
          <cell r="GL128">
            <v>25</v>
          </cell>
          <cell r="GM128" t="str">
            <v>-</v>
          </cell>
          <cell r="GN128">
            <v>23</v>
          </cell>
          <cell r="GO128">
            <v>8</v>
          </cell>
          <cell r="GP128">
            <v>74.2</v>
          </cell>
          <cell r="GQ128">
            <v>45</v>
          </cell>
          <cell r="GR128">
            <v>13</v>
          </cell>
          <cell r="GS128">
            <v>77.599999999999994</v>
          </cell>
          <cell r="GT128">
            <v>47</v>
          </cell>
          <cell r="GU128">
            <v>14</v>
          </cell>
          <cell r="GV128">
            <v>77</v>
          </cell>
          <cell r="GW128">
            <v>63</v>
          </cell>
          <cell r="GX128">
            <v>18</v>
          </cell>
          <cell r="GY128">
            <v>77.8</v>
          </cell>
          <cell r="GZ128">
            <v>64</v>
          </cell>
          <cell r="HA128">
            <v>16</v>
          </cell>
          <cell r="HB128">
            <v>80</v>
          </cell>
          <cell r="HC128">
            <v>72</v>
          </cell>
          <cell r="HD128">
            <v>26</v>
          </cell>
          <cell r="HE128">
            <v>73.5</v>
          </cell>
          <cell r="HF128">
            <v>74</v>
          </cell>
          <cell r="HG128">
            <v>32</v>
          </cell>
          <cell r="HH128">
            <v>69.8</v>
          </cell>
          <cell r="HI128">
            <v>83</v>
          </cell>
          <cell r="HJ128">
            <v>44</v>
          </cell>
          <cell r="HK128">
            <v>65.400000000000006</v>
          </cell>
          <cell r="HL128">
            <v>4</v>
          </cell>
          <cell r="HM128">
            <v>3</v>
          </cell>
          <cell r="HN128">
            <v>57.1</v>
          </cell>
          <cell r="HO128">
            <v>7</v>
          </cell>
          <cell r="HP128">
            <v>3</v>
          </cell>
          <cell r="HQ128">
            <v>70</v>
          </cell>
          <cell r="HR128">
            <v>2</v>
          </cell>
          <cell r="HS128">
            <v>7</v>
          </cell>
          <cell r="HT128">
            <v>22.2</v>
          </cell>
          <cell r="HU128">
            <v>9</v>
          </cell>
          <cell r="HV128">
            <v>5</v>
          </cell>
          <cell r="HW128">
            <v>64.3</v>
          </cell>
          <cell r="HX128">
            <v>6</v>
          </cell>
          <cell r="HY128">
            <v>4</v>
          </cell>
          <cell r="HZ128">
            <v>60</v>
          </cell>
          <cell r="IA128">
            <v>5</v>
          </cell>
          <cell r="IB128">
            <v>5</v>
          </cell>
          <cell r="IC128">
            <v>50</v>
          </cell>
          <cell r="ID128">
            <v>2</v>
          </cell>
          <cell r="IE128">
            <v>3</v>
          </cell>
          <cell r="IF128">
            <v>40</v>
          </cell>
          <cell r="IG128">
            <v>3</v>
          </cell>
          <cell r="IH128">
            <v>2</v>
          </cell>
          <cell r="II128">
            <v>60</v>
          </cell>
          <cell r="IJ128">
            <v>4</v>
          </cell>
          <cell r="IK128">
            <v>4</v>
          </cell>
          <cell r="IL128">
            <v>100</v>
          </cell>
          <cell r="IM128">
            <v>3</v>
          </cell>
          <cell r="IN128">
            <v>3</v>
          </cell>
          <cell r="IO128">
            <v>100</v>
          </cell>
          <cell r="IP128">
            <v>2</v>
          </cell>
          <cell r="IQ128">
            <v>5</v>
          </cell>
          <cell r="IR128">
            <v>28.6</v>
          </cell>
          <cell r="IS128">
            <v>4</v>
          </cell>
          <cell r="IT128">
            <v>1</v>
          </cell>
          <cell r="IU128">
            <v>80</v>
          </cell>
          <cell r="IV128">
            <v>5</v>
          </cell>
          <cell r="IW128">
            <v>1</v>
          </cell>
          <cell r="IX128">
            <v>83.3</v>
          </cell>
          <cell r="IY128">
            <v>4</v>
          </cell>
          <cell r="IZ128">
            <v>1</v>
          </cell>
          <cell r="JA128">
            <v>80</v>
          </cell>
          <cell r="JB128">
            <v>1</v>
          </cell>
          <cell r="JC128">
            <v>2</v>
          </cell>
          <cell r="JD128">
            <v>33.299999999999997</v>
          </cell>
          <cell r="JE128">
            <v>3</v>
          </cell>
          <cell r="JF128">
            <v>1</v>
          </cell>
          <cell r="JG128">
            <v>75</v>
          </cell>
          <cell r="JH128">
            <v>0</v>
          </cell>
          <cell r="JI128">
            <v>0</v>
          </cell>
          <cell r="JJ128" t="str">
            <v>-</v>
          </cell>
          <cell r="JK128">
            <v>0</v>
          </cell>
          <cell r="JL128">
            <v>0</v>
          </cell>
          <cell r="JM128" t="str">
            <v>-</v>
          </cell>
          <cell r="JN128">
            <v>0</v>
          </cell>
          <cell r="JO128">
            <v>0</v>
          </cell>
          <cell r="JP128" t="str">
            <v>-</v>
          </cell>
          <cell r="JQ128">
            <v>367</v>
          </cell>
          <cell r="JR128">
            <v>139</v>
          </cell>
          <cell r="JS128">
            <v>72.529644268774703</v>
          </cell>
          <cell r="JT128">
            <v>239</v>
          </cell>
          <cell r="JU128">
            <v>114</v>
          </cell>
          <cell r="JV128">
            <v>67.705382436260621</v>
          </cell>
          <cell r="JW128">
            <v>0</v>
          </cell>
          <cell r="JX128">
            <v>0</v>
          </cell>
          <cell r="JY128" t="str">
            <v>-</v>
          </cell>
          <cell r="JZ128">
            <v>119</v>
          </cell>
          <cell r="KA128">
            <v>101</v>
          </cell>
          <cell r="KB128">
            <v>54.090909090909086</v>
          </cell>
          <cell r="KC128">
            <v>0</v>
          </cell>
          <cell r="KD128">
            <v>0</v>
          </cell>
          <cell r="KE128" t="str">
            <v>-</v>
          </cell>
          <cell r="KF128">
            <v>356</v>
          </cell>
          <cell r="KG128">
            <v>136</v>
          </cell>
          <cell r="KH128">
            <v>72.357723577235774</v>
          </cell>
          <cell r="KI128">
            <v>25</v>
          </cell>
          <cell r="KJ128">
            <v>19</v>
          </cell>
          <cell r="KK128">
            <v>56.81818181818182</v>
          </cell>
          <cell r="KL128">
            <v>17</v>
          </cell>
          <cell r="KM128">
            <v>6</v>
          </cell>
          <cell r="KN128">
            <v>73.91304347826086</v>
          </cell>
        </row>
        <row r="129">
          <cell r="C129" t="str">
            <v>Monori Rendőrkapitányság</v>
          </cell>
          <cell r="D129">
            <v>73.91302490234375</v>
          </cell>
          <cell r="E129">
            <v>73.91302490234375</v>
          </cell>
          <cell r="F129" t="str">
            <v>-</v>
          </cell>
          <cell r="G129">
            <v>73.91302490234375</v>
          </cell>
          <cell r="H129">
            <v>73.91302490234375</v>
          </cell>
          <cell r="I129" t="str">
            <v>-</v>
          </cell>
          <cell r="J129">
            <v>73.91302490234375</v>
          </cell>
          <cell r="K129">
            <v>73.91302490234375</v>
          </cell>
          <cell r="L129" t="str">
            <v>-</v>
          </cell>
          <cell r="M129">
            <v>73.91302490234375</v>
          </cell>
          <cell r="N129">
            <v>73.91302490234375</v>
          </cell>
          <cell r="O129" t="str">
            <v>-</v>
          </cell>
          <cell r="P129">
            <v>73.91302490234375</v>
          </cell>
          <cell r="Q129">
            <v>73.91302490234375</v>
          </cell>
          <cell r="R129" t="str">
            <v>-</v>
          </cell>
          <cell r="S129">
            <v>73.91302490234375</v>
          </cell>
          <cell r="T129">
            <v>73.91302490234375</v>
          </cell>
          <cell r="U129" t="str">
            <v>-</v>
          </cell>
          <cell r="V129">
            <v>73.91302490234375</v>
          </cell>
          <cell r="W129">
            <v>73.91302490234375</v>
          </cell>
          <cell r="X129" t="str">
            <v>-</v>
          </cell>
          <cell r="Y129">
            <v>73.91302490234375</v>
          </cell>
          <cell r="Z129">
            <v>73.91302490234375</v>
          </cell>
          <cell r="AA129" t="str">
            <v>-</v>
          </cell>
          <cell r="AB129">
            <v>73.91302490234375</v>
          </cell>
          <cell r="AC129">
            <v>73.91302490234375</v>
          </cell>
          <cell r="AD129" t="str">
            <v>-</v>
          </cell>
          <cell r="AE129">
            <v>73.91302490234375</v>
          </cell>
          <cell r="AF129">
            <v>73.91302490234375</v>
          </cell>
          <cell r="AG129" t="str">
            <v>-</v>
          </cell>
          <cell r="AH129">
            <v>73.91302490234375</v>
          </cell>
          <cell r="AI129">
            <v>73.91302490234375</v>
          </cell>
          <cell r="AJ129" t="str">
            <v>-</v>
          </cell>
          <cell r="AK129">
            <v>73.91302490234375</v>
          </cell>
          <cell r="AL129">
            <v>73.91302490234375</v>
          </cell>
          <cell r="AM129" t="str">
            <v>-</v>
          </cell>
          <cell r="AN129">
            <v>73.91302490234375</v>
          </cell>
          <cell r="AO129">
            <v>73.91302490234375</v>
          </cell>
          <cell r="AP129" t="str">
            <v>-</v>
          </cell>
          <cell r="AQ129">
            <v>73.91302490234375</v>
          </cell>
          <cell r="AR129">
            <v>73.91302490234375</v>
          </cell>
          <cell r="AS129" t="str">
            <v>-</v>
          </cell>
          <cell r="AT129">
            <v>73.91302490234375</v>
          </cell>
          <cell r="AU129">
            <v>73.91302490234375</v>
          </cell>
          <cell r="AV129" t="str">
            <v>-</v>
          </cell>
          <cell r="AW129">
            <v>73.91302490234375</v>
          </cell>
          <cell r="AX129">
            <v>73.91302490234375</v>
          </cell>
          <cell r="AY129" t="str">
            <v>-</v>
          </cell>
          <cell r="AZ129">
            <v>73.91302490234375</v>
          </cell>
          <cell r="BA129">
            <v>73.91302490234375</v>
          </cell>
          <cell r="BB129" t="str">
            <v>-</v>
          </cell>
          <cell r="BC129">
            <v>73.91302490234375</v>
          </cell>
          <cell r="BD129">
            <v>73.91302490234375</v>
          </cell>
          <cell r="BE129" t="str">
            <v>-</v>
          </cell>
          <cell r="BF129">
            <v>73.91302490234375</v>
          </cell>
          <cell r="BG129">
            <v>73.91302490234375</v>
          </cell>
          <cell r="BH129" t="str">
            <v>-</v>
          </cell>
          <cell r="BI129">
            <v>73.91302490234375</v>
          </cell>
          <cell r="BJ129">
            <v>73.91302490234375</v>
          </cell>
          <cell r="BK129" t="str">
            <v>-</v>
          </cell>
          <cell r="BL129">
            <v>73.91302490234375</v>
          </cell>
          <cell r="BM129">
            <v>73.91302490234375</v>
          </cell>
          <cell r="BN129" t="str">
            <v>-</v>
          </cell>
          <cell r="BO129">
            <v>73.91302490234375</v>
          </cell>
          <cell r="BP129">
            <v>73.91302490234375</v>
          </cell>
          <cell r="BQ129" t="str">
            <v>-</v>
          </cell>
          <cell r="BR129">
            <v>73.91302490234375</v>
          </cell>
          <cell r="BS129">
            <v>73.91302490234375</v>
          </cell>
          <cell r="BT129" t="str">
            <v>-</v>
          </cell>
          <cell r="BU129">
            <v>73.91302490234375</v>
          </cell>
          <cell r="BV129">
            <v>73.91302490234375</v>
          </cell>
          <cell r="BW129" t="str">
            <v>-</v>
          </cell>
          <cell r="BX129">
            <v>175</v>
          </cell>
          <cell r="BY129">
            <v>38</v>
          </cell>
          <cell r="BZ129">
            <v>82.2</v>
          </cell>
          <cell r="CA129">
            <v>111</v>
          </cell>
          <cell r="CB129">
            <v>25</v>
          </cell>
          <cell r="CC129">
            <v>81.599999999999994</v>
          </cell>
          <cell r="CD129">
            <v>79</v>
          </cell>
          <cell r="CE129">
            <v>34</v>
          </cell>
          <cell r="CF129">
            <v>69.900000000000006</v>
          </cell>
          <cell r="CG129">
            <v>90</v>
          </cell>
          <cell r="CH129">
            <v>41</v>
          </cell>
          <cell r="CI129">
            <v>68.7</v>
          </cell>
          <cell r="CJ129">
            <v>102</v>
          </cell>
          <cell r="CK129">
            <v>38</v>
          </cell>
          <cell r="CL129">
            <v>72.900000000000006</v>
          </cell>
          <cell r="CM129">
            <v>61</v>
          </cell>
          <cell r="CN129">
            <v>36</v>
          </cell>
          <cell r="CO129">
            <v>62.9</v>
          </cell>
          <cell r="CP129">
            <v>68</v>
          </cell>
          <cell r="CQ129">
            <v>29</v>
          </cell>
          <cell r="CR129">
            <v>70.099999999999994</v>
          </cell>
          <cell r="CS129">
            <v>62</v>
          </cell>
          <cell r="CT129">
            <v>25</v>
          </cell>
          <cell r="CU129">
            <v>71.3</v>
          </cell>
          <cell r="CV129">
            <v>122</v>
          </cell>
          <cell r="CW129">
            <v>33</v>
          </cell>
          <cell r="CX129">
            <v>78.7</v>
          </cell>
          <cell r="CY129">
            <v>59</v>
          </cell>
          <cell r="CZ129">
            <v>14</v>
          </cell>
          <cell r="DA129">
            <v>80.8</v>
          </cell>
          <cell r="DB129">
            <v>55</v>
          </cell>
          <cell r="DC129">
            <v>28</v>
          </cell>
          <cell r="DD129">
            <v>66.3</v>
          </cell>
          <cell r="DE129">
            <v>53</v>
          </cell>
          <cell r="DF129">
            <v>33</v>
          </cell>
          <cell r="DG129">
            <v>61.6</v>
          </cell>
          <cell r="DH129">
            <v>49</v>
          </cell>
          <cell r="DI129">
            <v>31</v>
          </cell>
          <cell r="DJ129">
            <v>61.3</v>
          </cell>
          <cell r="DK129">
            <v>21</v>
          </cell>
          <cell r="DL129">
            <v>27</v>
          </cell>
          <cell r="DM129">
            <v>43.8</v>
          </cell>
          <cell r="DN129">
            <v>34</v>
          </cell>
          <cell r="DO129">
            <v>22</v>
          </cell>
          <cell r="DP129">
            <v>60.7</v>
          </cell>
          <cell r="DQ129">
            <v>29</v>
          </cell>
          <cell r="DR129">
            <v>21</v>
          </cell>
          <cell r="DS129">
            <v>58</v>
          </cell>
          <cell r="DT129">
            <v>58</v>
          </cell>
          <cell r="DU129">
            <v>58</v>
          </cell>
          <cell r="DV129" t="str">
            <v>-</v>
          </cell>
          <cell r="DW129">
            <v>58</v>
          </cell>
          <cell r="DX129">
            <v>58</v>
          </cell>
          <cell r="DY129" t="str">
            <v>-</v>
          </cell>
          <cell r="DZ129">
            <v>58</v>
          </cell>
          <cell r="EA129">
            <v>58</v>
          </cell>
          <cell r="EB129" t="str">
            <v>-</v>
          </cell>
          <cell r="EC129">
            <v>58</v>
          </cell>
          <cell r="ED129">
            <v>58</v>
          </cell>
          <cell r="EE129" t="str">
            <v>-</v>
          </cell>
          <cell r="EF129">
            <v>58</v>
          </cell>
          <cell r="EG129">
            <v>58</v>
          </cell>
          <cell r="EH129" t="str">
            <v>-</v>
          </cell>
          <cell r="EI129">
            <v>58</v>
          </cell>
          <cell r="EJ129">
            <v>58</v>
          </cell>
          <cell r="EK129" t="str">
            <v>-</v>
          </cell>
          <cell r="EL129">
            <v>58</v>
          </cell>
          <cell r="EM129">
            <v>58</v>
          </cell>
          <cell r="EN129" t="str">
            <v>-</v>
          </cell>
          <cell r="EO129">
            <v>58</v>
          </cell>
          <cell r="EP129">
            <v>58</v>
          </cell>
          <cell r="EQ129" t="str">
            <v>-</v>
          </cell>
          <cell r="ER129">
            <v>20</v>
          </cell>
          <cell r="ES129">
            <v>12</v>
          </cell>
          <cell r="ET129">
            <v>62.5</v>
          </cell>
          <cell r="EU129">
            <v>10</v>
          </cell>
          <cell r="EV129">
            <v>2</v>
          </cell>
          <cell r="EW129">
            <v>83.3</v>
          </cell>
          <cell r="EX129">
            <v>15</v>
          </cell>
          <cell r="EY129">
            <v>6</v>
          </cell>
          <cell r="EZ129">
            <v>71.400000000000006</v>
          </cell>
          <cell r="FA129">
            <v>8</v>
          </cell>
          <cell r="FB129">
            <v>19</v>
          </cell>
          <cell r="FC129">
            <v>29.6</v>
          </cell>
          <cell r="FD129">
            <v>4</v>
          </cell>
          <cell r="FE129">
            <v>8</v>
          </cell>
          <cell r="FF129">
            <v>33.299999999999997</v>
          </cell>
          <cell r="FG129">
            <v>12</v>
          </cell>
          <cell r="FH129">
            <v>8</v>
          </cell>
          <cell r="FI129">
            <v>60</v>
          </cell>
          <cell r="FJ129">
            <v>11</v>
          </cell>
          <cell r="FK129">
            <v>10</v>
          </cell>
          <cell r="FL129">
            <v>52.4</v>
          </cell>
          <cell r="FM129">
            <v>7</v>
          </cell>
          <cell r="FN129">
            <v>8</v>
          </cell>
          <cell r="FO129">
            <v>46.7</v>
          </cell>
          <cell r="FP129">
            <v>46.699981689453125</v>
          </cell>
          <cell r="FQ129">
            <v>46.699981689453125</v>
          </cell>
          <cell r="FR129" t="str">
            <v>-</v>
          </cell>
          <cell r="FS129">
            <v>46.699981689453125</v>
          </cell>
          <cell r="FT129">
            <v>46.699981689453125</v>
          </cell>
          <cell r="FU129" t="str">
            <v>-</v>
          </cell>
          <cell r="FV129">
            <v>46.699981689453125</v>
          </cell>
          <cell r="FW129">
            <v>46.699981689453125</v>
          </cell>
          <cell r="FX129" t="str">
            <v>-</v>
          </cell>
          <cell r="FY129">
            <v>46.699981689453125</v>
          </cell>
          <cell r="FZ129">
            <v>46.699981689453125</v>
          </cell>
          <cell r="GA129" t="str">
            <v>-</v>
          </cell>
          <cell r="GB129">
            <v>46.699981689453125</v>
          </cell>
          <cell r="GC129">
            <v>46.699981689453125</v>
          </cell>
          <cell r="GD129" t="str">
            <v>-</v>
          </cell>
          <cell r="GE129">
            <v>1</v>
          </cell>
          <cell r="GF129">
            <v>1</v>
          </cell>
          <cell r="GG129">
            <v>100</v>
          </cell>
          <cell r="GH129">
            <v>100</v>
          </cell>
          <cell r="GI129">
            <v>100</v>
          </cell>
          <cell r="GJ129" t="str">
            <v>-</v>
          </cell>
          <cell r="GK129">
            <v>100</v>
          </cell>
          <cell r="GL129">
            <v>100</v>
          </cell>
          <cell r="GM129" t="str">
            <v>-</v>
          </cell>
          <cell r="GN129">
            <v>58</v>
          </cell>
          <cell r="GO129">
            <v>14</v>
          </cell>
          <cell r="GP129">
            <v>80.599999999999994</v>
          </cell>
          <cell r="GQ129">
            <v>36</v>
          </cell>
          <cell r="GR129">
            <v>13</v>
          </cell>
          <cell r="GS129">
            <v>73.5</v>
          </cell>
          <cell r="GT129">
            <v>26</v>
          </cell>
          <cell r="GU129">
            <v>20</v>
          </cell>
          <cell r="GV129">
            <v>56.5</v>
          </cell>
          <cell r="GW129">
            <v>63</v>
          </cell>
          <cell r="GX129">
            <v>27</v>
          </cell>
          <cell r="GY129">
            <v>70</v>
          </cell>
          <cell r="GZ129">
            <v>53</v>
          </cell>
          <cell r="HA129">
            <v>13</v>
          </cell>
          <cell r="HB129">
            <v>80.3</v>
          </cell>
          <cell r="HC129">
            <v>58</v>
          </cell>
          <cell r="HD129">
            <v>23</v>
          </cell>
          <cell r="HE129">
            <v>71.599999999999994</v>
          </cell>
          <cell r="HF129">
            <v>55</v>
          </cell>
          <cell r="HG129">
            <v>33</v>
          </cell>
          <cell r="HH129">
            <v>62.5</v>
          </cell>
          <cell r="HI129">
            <v>44</v>
          </cell>
          <cell r="HJ129">
            <v>12</v>
          </cell>
          <cell r="HK129">
            <v>78.599999999999994</v>
          </cell>
          <cell r="HL129">
            <v>15</v>
          </cell>
          <cell r="HM129">
            <v>14</v>
          </cell>
          <cell r="HN129">
            <v>51.7</v>
          </cell>
          <cell r="HO129">
            <v>5</v>
          </cell>
          <cell r="HP129">
            <v>12</v>
          </cell>
          <cell r="HQ129">
            <v>29.4</v>
          </cell>
          <cell r="HR129">
            <v>3</v>
          </cell>
          <cell r="HS129">
            <v>8</v>
          </cell>
          <cell r="HT129">
            <v>27.3</v>
          </cell>
          <cell r="HU129">
            <v>4</v>
          </cell>
          <cell r="HV129">
            <v>7</v>
          </cell>
          <cell r="HW129">
            <v>36.4</v>
          </cell>
          <cell r="HX129">
            <v>9</v>
          </cell>
          <cell r="HY129">
            <v>10</v>
          </cell>
          <cell r="HZ129">
            <v>47.4</v>
          </cell>
          <cell r="IA129">
            <v>4</v>
          </cell>
          <cell r="IB129">
            <v>15</v>
          </cell>
          <cell r="IC129">
            <v>21.1</v>
          </cell>
          <cell r="ID129">
            <v>2</v>
          </cell>
          <cell r="IE129">
            <v>1</v>
          </cell>
          <cell r="IF129">
            <v>66.7</v>
          </cell>
          <cell r="IG129">
            <v>2</v>
          </cell>
          <cell r="IH129">
            <v>2</v>
          </cell>
          <cell r="II129">
            <v>50</v>
          </cell>
          <cell r="IJ129">
            <v>2</v>
          </cell>
          <cell r="IK129">
            <v>2</v>
          </cell>
          <cell r="IL129">
            <v>100</v>
          </cell>
          <cell r="IM129">
            <v>6</v>
          </cell>
          <cell r="IN129">
            <v>4</v>
          </cell>
          <cell r="IO129">
            <v>60</v>
          </cell>
          <cell r="IP129">
            <v>3</v>
          </cell>
          <cell r="IQ129">
            <v>1</v>
          </cell>
          <cell r="IR129">
            <v>75</v>
          </cell>
          <cell r="IS129">
            <v>2</v>
          </cell>
          <cell r="IT129">
            <v>1</v>
          </cell>
          <cell r="IU129">
            <v>66.7</v>
          </cell>
          <cell r="IV129">
            <v>1</v>
          </cell>
          <cell r="IW129">
            <v>1</v>
          </cell>
          <cell r="IX129">
            <v>50</v>
          </cell>
          <cell r="IY129">
            <v>50</v>
          </cell>
          <cell r="IZ129">
            <v>50</v>
          </cell>
          <cell r="JA129" t="str">
            <v>-</v>
          </cell>
          <cell r="JB129">
            <v>1</v>
          </cell>
          <cell r="JC129">
            <v>2</v>
          </cell>
          <cell r="JD129">
            <v>33.299999999999997</v>
          </cell>
          <cell r="JE129">
            <v>1</v>
          </cell>
          <cell r="JF129">
            <v>1</v>
          </cell>
          <cell r="JG129">
            <v>50</v>
          </cell>
          <cell r="JH129">
            <v>0</v>
          </cell>
          <cell r="JI129">
            <v>0</v>
          </cell>
          <cell r="JJ129" t="str">
            <v>-</v>
          </cell>
          <cell r="JK129">
            <v>0</v>
          </cell>
          <cell r="JL129">
            <v>0</v>
          </cell>
          <cell r="JM129" t="str">
            <v>-</v>
          </cell>
          <cell r="JN129">
            <v>0</v>
          </cell>
          <cell r="JO129">
            <v>0</v>
          </cell>
          <cell r="JP129" t="str">
            <v>-</v>
          </cell>
          <cell r="JQ129">
            <v>383</v>
          </cell>
          <cell r="JR129">
            <v>169</v>
          </cell>
          <cell r="JS129">
            <v>69.384057971014485</v>
          </cell>
          <cell r="JT129">
            <v>186</v>
          </cell>
          <cell r="JU129">
            <v>134</v>
          </cell>
          <cell r="JV129">
            <v>58.125000000000007</v>
          </cell>
          <cell r="JW129">
            <v>0</v>
          </cell>
          <cell r="JX129">
            <v>0</v>
          </cell>
          <cell r="JY129" t="str">
            <v>-</v>
          </cell>
          <cell r="JZ129">
            <v>42</v>
          </cell>
          <cell r="KA129">
            <v>53</v>
          </cell>
          <cell r="KB129">
            <v>44.210526315789473</v>
          </cell>
          <cell r="KC129">
            <v>1</v>
          </cell>
          <cell r="KD129">
            <v>0</v>
          </cell>
          <cell r="KE129">
            <v>100</v>
          </cell>
          <cell r="KF129">
            <v>273</v>
          </cell>
          <cell r="KG129">
            <v>108</v>
          </cell>
          <cell r="KH129">
            <v>71.653543307086608</v>
          </cell>
          <cell r="KI129">
            <v>21</v>
          </cell>
          <cell r="KJ129">
            <v>35</v>
          </cell>
          <cell r="KK129">
            <v>37.5</v>
          </cell>
          <cell r="KL129">
            <v>5</v>
          </cell>
          <cell r="KM129">
            <v>5</v>
          </cell>
          <cell r="KN129">
            <v>50</v>
          </cell>
        </row>
        <row r="130">
          <cell r="C130" t="str">
            <v>Nagykátai Rendőrkapitányság</v>
          </cell>
          <cell r="D130">
            <v>50</v>
          </cell>
          <cell r="E130">
            <v>50</v>
          </cell>
          <cell r="F130" t="str">
            <v>-</v>
          </cell>
          <cell r="G130">
            <v>50</v>
          </cell>
          <cell r="H130">
            <v>50</v>
          </cell>
          <cell r="I130" t="str">
            <v>-</v>
          </cell>
          <cell r="J130">
            <v>50</v>
          </cell>
          <cell r="K130">
            <v>50</v>
          </cell>
          <cell r="L130" t="str">
            <v>-</v>
          </cell>
          <cell r="M130">
            <v>50</v>
          </cell>
          <cell r="N130">
            <v>50</v>
          </cell>
          <cell r="O130" t="str">
            <v>-</v>
          </cell>
          <cell r="P130">
            <v>50</v>
          </cell>
          <cell r="Q130">
            <v>50</v>
          </cell>
          <cell r="R130" t="str">
            <v>-</v>
          </cell>
          <cell r="S130">
            <v>50</v>
          </cell>
          <cell r="T130">
            <v>50</v>
          </cell>
          <cell r="U130" t="str">
            <v>-</v>
          </cell>
          <cell r="V130">
            <v>1</v>
          </cell>
          <cell r="W130">
            <v>1</v>
          </cell>
          <cell r="X130">
            <v>100</v>
          </cell>
          <cell r="Y130">
            <v>100</v>
          </cell>
          <cell r="Z130">
            <v>100</v>
          </cell>
          <cell r="AA130" t="str">
            <v>-</v>
          </cell>
          <cell r="AB130">
            <v>100</v>
          </cell>
          <cell r="AC130">
            <v>100</v>
          </cell>
          <cell r="AD130" t="str">
            <v>-</v>
          </cell>
          <cell r="AE130">
            <v>100</v>
          </cell>
          <cell r="AF130">
            <v>100</v>
          </cell>
          <cell r="AG130" t="str">
            <v>-</v>
          </cell>
          <cell r="AH130">
            <v>100</v>
          </cell>
          <cell r="AI130">
            <v>100</v>
          </cell>
          <cell r="AJ130" t="str">
            <v>-</v>
          </cell>
          <cell r="AK130">
            <v>100</v>
          </cell>
          <cell r="AL130">
            <v>100</v>
          </cell>
          <cell r="AM130" t="str">
            <v>-</v>
          </cell>
          <cell r="AN130">
            <v>100</v>
          </cell>
          <cell r="AO130">
            <v>100</v>
          </cell>
          <cell r="AP130" t="str">
            <v>-</v>
          </cell>
          <cell r="AQ130">
            <v>100</v>
          </cell>
          <cell r="AR130">
            <v>100</v>
          </cell>
          <cell r="AS130" t="str">
            <v>-</v>
          </cell>
          <cell r="AT130">
            <v>100</v>
          </cell>
          <cell r="AU130">
            <v>100</v>
          </cell>
          <cell r="AV130" t="str">
            <v>-</v>
          </cell>
          <cell r="AW130">
            <v>100</v>
          </cell>
          <cell r="AX130">
            <v>100</v>
          </cell>
          <cell r="AY130" t="str">
            <v>-</v>
          </cell>
          <cell r="AZ130">
            <v>100</v>
          </cell>
          <cell r="BA130">
            <v>100</v>
          </cell>
          <cell r="BB130" t="str">
            <v>-</v>
          </cell>
          <cell r="BC130">
            <v>100</v>
          </cell>
          <cell r="BD130">
            <v>100</v>
          </cell>
          <cell r="BE130" t="str">
            <v>-</v>
          </cell>
          <cell r="BF130">
            <v>100</v>
          </cell>
          <cell r="BG130">
            <v>100</v>
          </cell>
          <cell r="BH130" t="str">
            <v>-</v>
          </cell>
          <cell r="BI130">
            <v>100</v>
          </cell>
          <cell r="BJ130">
            <v>100</v>
          </cell>
          <cell r="BK130" t="str">
            <v>-</v>
          </cell>
          <cell r="BL130">
            <v>100</v>
          </cell>
          <cell r="BM130">
            <v>100</v>
          </cell>
          <cell r="BN130" t="str">
            <v>-</v>
          </cell>
          <cell r="BO130">
            <v>100</v>
          </cell>
          <cell r="BP130">
            <v>100</v>
          </cell>
          <cell r="BQ130" t="str">
            <v>-</v>
          </cell>
          <cell r="BR130">
            <v>1</v>
          </cell>
          <cell r="BS130">
            <v>1</v>
          </cell>
          <cell r="BT130">
            <v>100</v>
          </cell>
          <cell r="BU130">
            <v>100</v>
          </cell>
          <cell r="BV130">
            <v>100</v>
          </cell>
          <cell r="BW130" t="str">
            <v>-</v>
          </cell>
          <cell r="BX130">
            <v>79</v>
          </cell>
          <cell r="BY130">
            <v>6</v>
          </cell>
          <cell r="BZ130">
            <v>92.9</v>
          </cell>
          <cell r="CA130">
            <v>56</v>
          </cell>
          <cell r="CB130">
            <v>9</v>
          </cell>
          <cell r="CC130">
            <v>86.2</v>
          </cell>
          <cell r="CD130">
            <v>43</v>
          </cell>
          <cell r="CE130">
            <v>10</v>
          </cell>
          <cell r="CF130">
            <v>81.099999999999994</v>
          </cell>
          <cell r="CG130">
            <v>54</v>
          </cell>
          <cell r="CH130">
            <v>10</v>
          </cell>
          <cell r="CI130">
            <v>84.4</v>
          </cell>
          <cell r="CJ130">
            <v>73</v>
          </cell>
          <cell r="CK130">
            <v>8</v>
          </cell>
          <cell r="CL130">
            <v>90.1</v>
          </cell>
          <cell r="CM130">
            <v>80</v>
          </cell>
          <cell r="CN130">
            <v>12</v>
          </cell>
          <cell r="CO130">
            <v>87</v>
          </cell>
          <cell r="CP130">
            <v>59</v>
          </cell>
          <cell r="CQ130">
            <v>13</v>
          </cell>
          <cell r="CR130">
            <v>81.900000000000006</v>
          </cell>
          <cell r="CS130">
            <v>46</v>
          </cell>
          <cell r="CT130">
            <v>19</v>
          </cell>
          <cell r="CU130">
            <v>70.8</v>
          </cell>
          <cell r="CV130">
            <v>55</v>
          </cell>
          <cell r="CW130">
            <v>6</v>
          </cell>
          <cell r="CX130">
            <v>90.2</v>
          </cell>
          <cell r="CY130">
            <v>44</v>
          </cell>
          <cell r="CZ130">
            <v>6</v>
          </cell>
          <cell r="DA130">
            <v>88</v>
          </cell>
          <cell r="DB130">
            <v>20</v>
          </cell>
          <cell r="DC130">
            <v>6</v>
          </cell>
          <cell r="DD130">
            <v>76.900000000000006</v>
          </cell>
          <cell r="DE130">
            <v>21</v>
          </cell>
          <cell r="DF130">
            <v>9</v>
          </cell>
          <cell r="DG130">
            <v>70</v>
          </cell>
          <cell r="DH130">
            <v>31</v>
          </cell>
          <cell r="DI130">
            <v>5</v>
          </cell>
          <cell r="DJ130">
            <v>86.1</v>
          </cell>
          <cell r="DK130">
            <v>27</v>
          </cell>
          <cell r="DL130">
            <v>8</v>
          </cell>
          <cell r="DM130">
            <v>77.099999999999994</v>
          </cell>
          <cell r="DN130">
            <v>25</v>
          </cell>
          <cell r="DO130">
            <v>10</v>
          </cell>
          <cell r="DP130">
            <v>71.400000000000006</v>
          </cell>
          <cell r="DQ130">
            <v>14</v>
          </cell>
          <cell r="DR130">
            <v>11</v>
          </cell>
          <cell r="DS130">
            <v>56</v>
          </cell>
          <cell r="DT130">
            <v>56</v>
          </cell>
          <cell r="DU130">
            <v>56</v>
          </cell>
          <cell r="DV130" t="str">
            <v>-</v>
          </cell>
          <cell r="DW130">
            <v>56</v>
          </cell>
          <cell r="DX130">
            <v>56</v>
          </cell>
          <cell r="DY130" t="str">
            <v>-</v>
          </cell>
          <cell r="DZ130">
            <v>56</v>
          </cell>
          <cell r="EA130">
            <v>56</v>
          </cell>
          <cell r="EB130" t="str">
            <v>-</v>
          </cell>
          <cell r="EC130">
            <v>56</v>
          </cell>
          <cell r="ED130">
            <v>56</v>
          </cell>
          <cell r="EE130" t="str">
            <v>-</v>
          </cell>
          <cell r="EF130">
            <v>56</v>
          </cell>
          <cell r="EG130">
            <v>56</v>
          </cell>
          <cell r="EH130" t="str">
            <v>-</v>
          </cell>
          <cell r="EI130">
            <v>56</v>
          </cell>
          <cell r="EJ130">
            <v>56</v>
          </cell>
          <cell r="EK130" t="str">
            <v>-</v>
          </cell>
          <cell r="EL130">
            <v>56</v>
          </cell>
          <cell r="EM130">
            <v>56</v>
          </cell>
          <cell r="EN130" t="str">
            <v>-</v>
          </cell>
          <cell r="EO130">
            <v>56</v>
          </cell>
          <cell r="EP130">
            <v>56</v>
          </cell>
          <cell r="EQ130" t="str">
            <v>-</v>
          </cell>
          <cell r="ER130">
            <v>31</v>
          </cell>
          <cell r="ES130">
            <v>16</v>
          </cell>
          <cell r="ET130">
            <v>66</v>
          </cell>
          <cell r="EU130">
            <v>14</v>
          </cell>
          <cell r="EV130">
            <v>6</v>
          </cell>
          <cell r="EW130">
            <v>70</v>
          </cell>
          <cell r="EX130">
            <v>28</v>
          </cell>
          <cell r="EY130">
            <v>1</v>
          </cell>
          <cell r="EZ130">
            <v>96.6</v>
          </cell>
          <cell r="FA130">
            <v>10</v>
          </cell>
          <cell r="FB130">
            <v>4</v>
          </cell>
          <cell r="FC130">
            <v>71.400000000000006</v>
          </cell>
          <cell r="FD130">
            <v>13</v>
          </cell>
          <cell r="FE130">
            <v>6</v>
          </cell>
          <cell r="FF130">
            <v>68.400000000000006</v>
          </cell>
          <cell r="FG130">
            <v>16</v>
          </cell>
          <cell r="FH130">
            <v>12</v>
          </cell>
          <cell r="FI130">
            <v>57.1</v>
          </cell>
          <cell r="FJ130">
            <v>10</v>
          </cell>
          <cell r="FK130">
            <v>9</v>
          </cell>
          <cell r="FL130">
            <v>52.6</v>
          </cell>
          <cell r="FM130">
            <v>12</v>
          </cell>
          <cell r="FN130">
            <v>5</v>
          </cell>
          <cell r="FO130">
            <v>70.599999999999994</v>
          </cell>
          <cell r="FP130">
            <v>70.5999755859375</v>
          </cell>
          <cell r="FQ130">
            <v>70.5999755859375</v>
          </cell>
          <cell r="FR130" t="str">
            <v>-</v>
          </cell>
          <cell r="FS130">
            <v>70.5999755859375</v>
          </cell>
          <cell r="FT130">
            <v>70.5999755859375</v>
          </cell>
          <cell r="FU130" t="str">
            <v>-</v>
          </cell>
          <cell r="FV130">
            <v>70.5999755859375</v>
          </cell>
          <cell r="FW130">
            <v>70.5999755859375</v>
          </cell>
          <cell r="FX130" t="str">
            <v>-</v>
          </cell>
          <cell r="FY130">
            <v>70.5999755859375</v>
          </cell>
          <cell r="FZ130">
            <v>70.5999755859375</v>
          </cell>
          <cell r="GA130" t="str">
            <v>-</v>
          </cell>
          <cell r="GB130">
            <v>70.5999755859375</v>
          </cell>
          <cell r="GC130">
            <v>70.5999755859375</v>
          </cell>
          <cell r="GD130" t="str">
            <v>-</v>
          </cell>
          <cell r="GE130">
            <v>70.5999755859375</v>
          </cell>
          <cell r="GF130">
            <v>70.5999755859375</v>
          </cell>
          <cell r="GG130" t="str">
            <v>-</v>
          </cell>
          <cell r="GH130">
            <v>70.5999755859375</v>
          </cell>
          <cell r="GI130">
            <v>70.5999755859375</v>
          </cell>
          <cell r="GJ130" t="str">
            <v>-</v>
          </cell>
          <cell r="GK130">
            <v>70.5999755859375</v>
          </cell>
          <cell r="GL130">
            <v>70.5999755859375</v>
          </cell>
          <cell r="GM130" t="str">
            <v>-</v>
          </cell>
          <cell r="GN130">
            <v>12</v>
          </cell>
          <cell r="GO130">
            <v>2</v>
          </cell>
          <cell r="GP130">
            <v>85.7</v>
          </cell>
          <cell r="GQ130">
            <v>11</v>
          </cell>
          <cell r="GR130">
            <v>4</v>
          </cell>
          <cell r="GS130">
            <v>73.3</v>
          </cell>
          <cell r="GT130">
            <v>15</v>
          </cell>
          <cell r="GU130">
            <v>7</v>
          </cell>
          <cell r="GV130">
            <v>68.2</v>
          </cell>
          <cell r="GW130">
            <v>24</v>
          </cell>
          <cell r="GX130">
            <v>6</v>
          </cell>
          <cell r="GY130">
            <v>80</v>
          </cell>
          <cell r="GZ130">
            <v>44</v>
          </cell>
          <cell r="HA130">
            <v>14</v>
          </cell>
          <cell r="HB130">
            <v>75.900000000000006</v>
          </cell>
          <cell r="HC130">
            <v>63</v>
          </cell>
          <cell r="HD130">
            <v>9</v>
          </cell>
          <cell r="HE130">
            <v>87.5</v>
          </cell>
          <cell r="HF130">
            <v>69</v>
          </cell>
          <cell r="HG130">
            <v>19</v>
          </cell>
          <cell r="HH130">
            <v>78.400000000000006</v>
          </cell>
          <cell r="HI130">
            <v>46</v>
          </cell>
          <cell r="HJ130">
            <v>12</v>
          </cell>
          <cell r="HK130">
            <v>79.3</v>
          </cell>
          <cell r="HL130">
            <v>6</v>
          </cell>
          <cell r="HM130">
            <v>3</v>
          </cell>
          <cell r="HN130">
            <v>66.7</v>
          </cell>
          <cell r="HO130">
            <v>3</v>
          </cell>
          <cell r="HP130">
            <v>6</v>
          </cell>
          <cell r="HQ130">
            <v>33.299999999999997</v>
          </cell>
          <cell r="HR130">
            <v>4</v>
          </cell>
          <cell r="HS130">
            <v>5</v>
          </cell>
          <cell r="HT130">
            <v>44.4</v>
          </cell>
          <cell r="HU130">
            <v>4</v>
          </cell>
          <cell r="HV130">
            <v>2</v>
          </cell>
          <cell r="HW130">
            <v>66.7</v>
          </cell>
          <cell r="HX130">
            <v>8</v>
          </cell>
          <cell r="HY130">
            <v>5</v>
          </cell>
          <cell r="HZ130">
            <v>61.5</v>
          </cell>
          <cell r="IA130">
            <v>3</v>
          </cell>
          <cell r="IB130">
            <v>5</v>
          </cell>
          <cell r="IC130">
            <v>37.5</v>
          </cell>
          <cell r="ID130">
            <v>7</v>
          </cell>
          <cell r="IE130">
            <v>2</v>
          </cell>
          <cell r="IF130">
            <v>77.8</v>
          </cell>
          <cell r="IG130">
            <v>2</v>
          </cell>
          <cell r="IH130">
            <v>7</v>
          </cell>
          <cell r="II130">
            <v>22.2</v>
          </cell>
          <cell r="IJ130">
            <v>4</v>
          </cell>
          <cell r="IK130">
            <v>4</v>
          </cell>
          <cell r="IL130">
            <v>100</v>
          </cell>
          <cell r="IM130">
            <v>100</v>
          </cell>
          <cell r="IN130">
            <v>100</v>
          </cell>
          <cell r="IO130" t="str">
            <v>-</v>
          </cell>
          <cell r="IP130">
            <v>2</v>
          </cell>
          <cell r="IQ130">
            <v>2</v>
          </cell>
          <cell r="IR130">
            <v>100</v>
          </cell>
          <cell r="IS130">
            <v>4</v>
          </cell>
          <cell r="IT130">
            <v>4</v>
          </cell>
          <cell r="IU130">
            <v>100</v>
          </cell>
          <cell r="IV130">
            <v>2</v>
          </cell>
          <cell r="IW130">
            <v>1</v>
          </cell>
          <cell r="IX130">
            <v>66.7</v>
          </cell>
          <cell r="IY130">
            <v>2</v>
          </cell>
          <cell r="IZ130">
            <v>2</v>
          </cell>
          <cell r="JA130">
            <v>100</v>
          </cell>
          <cell r="JB130">
            <v>100</v>
          </cell>
          <cell r="JC130">
            <v>100</v>
          </cell>
          <cell r="JD130" t="str">
            <v>-</v>
          </cell>
          <cell r="JE130">
            <v>3</v>
          </cell>
          <cell r="JF130">
            <v>1</v>
          </cell>
          <cell r="JG130">
            <v>75</v>
          </cell>
          <cell r="JH130">
            <v>1</v>
          </cell>
          <cell r="JI130">
            <v>0</v>
          </cell>
          <cell r="JJ130">
            <v>100</v>
          </cell>
          <cell r="JK130">
            <v>0</v>
          </cell>
          <cell r="JL130">
            <v>0</v>
          </cell>
          <cell r="JM130" t="str">
            <v>-</v>
          </cell>
          <cell r="JN130">
            <v>1</v>
          </cell>
          <cell r="JO130">
            <v>0</v>
          </cell>
          <cell r="JP130">
            <v>100</v>
          </cell>
          <cell r="JQ130">
            <v>312</v>
          </cell>
          <cell r="JR130">
            <v>62</v>
          </cell>
          <cell r="JS130">
            <v>83.422459893048128</v>
          </cell>
          <cell r="JT130">
            <v>118</v>
          </cell>
          <cell r="JU130">
            <v>43</v>
          </cell>
          <cell r="JV130">
            <v>73.291925465838517</v>
          </cell>
          <cell r="JW130">
            <v>0</v>
          </cell>
          <cell r="JX130">
            <v>0</v>
          </cell>
          <cell r="JY130" t="str">
            <v>-</v>
          </cell>
          <cell r="JZ130">
            <v>61</v>
          </cell>
          <cell r="KA130">
            <v>36</v>
          </cell>
          <cell r="KB130">
            <v>62.886597938144327</v>
          </cell>
          <cell r="KC130">
            <v>0</v>
          </cell>
          <cell r="KD130">
            <v>0</v>
          </cell>
          <cell r="KE130" t="str">
            <v>-</v>
          </cell>
          <cell r="KF130">
            <v>246</v>
          </cell>
          <cell r="KG130">
            <v>60</v>
          </cell>
          <cell r="KH130">
            <v>80.392156862745097</v>
          </cell>
          <cell r="KI130">
            <v>24</v>
          </cell>
          <cell r="KJ130">
            <v>21</v>
          </cell>
          <cell r="KK130">
            <v>53.333333333333336</v>
          </cell>
          <cell r="KL130">
            <v>11</v>
          </cell>
          <cell r="KM130">
            <v>2</v>
          </cell>
          <cell r="KN130">
            <v>84.615384615384613</v>
          </cell>
        </row>
        <row r="131">
          <cell r="C131" t="str">
            <v>Nagykőrösi Rendőrkapitányság</v>
          </cell>
          <cell r="D131">
            <v>84.6153564453125</v>
          </cell>
          <cell r="E131">
            <v>84.6153564453125</v>
          </cell>
          <cell r="F131" t="str">
            <v>-</v>
          </cell>
          <cell r="G131">
            <v>84.6153564453125</v>
          </cell>
          <cell r="H131">
            <v>84.6153564453125</v>
          </cell>
          <cell r="I131" t="str">
            <v>-</v>
          </cell>
          <cell r="J131">
            <v>84.6153564453125</v>
          </cell>
          <cell r="K131">
            <v>84.6153564453125</v>
          </cell>
          <cell r="L131" t="str">
            <v>-</v>
          </cell>
          <cell r="M131">
            <v>84.6153564453125</v>
          </cell>
          <cell r="N131">
            <v>84.6153564453125</v>
          </cell>
          <cell r="O131" t="str">
            <v>-</v>
          </cell>
          <cell r="P131">
            <v>84.6153564453125</v>
          </cell>
          <cell r="Q131">
            <v>84.6153564453125</v>
          </cell>
          <cell r="R131" t="str">
            <v>-</v>
          </cell>
          <cell r="S131">
            <v>84.6153564453125</v>
          </cell>
          <cell r="T131">
            <v>84.6153564453125</v>
          </cell>
          <cell r="U131" t="str">
            <v>-</v>
          </cell>
          <cell r="V131">
            <v>84.6153564453125</v>
          </cell>
          <cell r="W131">
            <v>84.6153564453125</v>
          </cell>
          <cell r="X131" t="str">
            <v>-</v>
          </cell>
          <cell r="Y131">
            <v>84.6153564453125</v>
          </cell>
          <cell r="Z131">
            <v>84.6153564453125</v>
          </cell>
          <cell r="AA131" t="str">
            <v>-</v>
          </cell>
          <cell r="AB131">
            <v>84.6153564453125</v>
          </cell>
          <cell r="AC131">
            <v>84.6153564453125</v>
          </cell>
          <cell r="AD131" t="str">
            <v>-</v>
          </cell>
          <cell r="AE131">
            <v>84.6153564453125</v>
          </cell>
          <cell r="AF131">
            <v>84.6153564453125</v>
          </cell>
          <cell r="AG131" t="str">
            <v>-</v>
          </cell>
          <cell r="AH131">
            <v>84.6153564453125</v>
          </cell>
          <cell r="AI131">
            <v>84.6153564453125</v>
          </cell>
          <cell r="AJ131" t="str">
            <v>-</v>
          </cell>
          <cell r="AK131">
            <v>84.6153564453125</v>
          </cell>
          <cell r="AL131">
            <v>84.6153564453125</v>
          </cell>
          <cell r="AM131" t="str">
            <v>-</v>
          </cell>
          <cell r="AN131">
            <v>84.6153564453125</v>
          </cell>
          <cell r="AO131">
            <v>84.6153564453125</v>
          </cell>
          <cell r="AP131" t="str">
            <v>-</v>
          </cell>
          <cell r="AQ131">
            <v>84.6153564453125</v>
          </cell>
          <cell r="AR131">
            <v>84.6153564453125</v>
          </cell>
          <cell r="AS131" t="str">
            <v>-</v>
          </cell>
          <cell r="AT131">
            <v>84.6153564453125</v>
          </cell>
          <cell r="AU131">
            <v>84.6153564453125</v>
          </cell>
          <cell r="AV131" t="str">
            <v>-</v>
          </cell>
          <cell r="AW131">
            <v>84.6153564453125</v>
          </cell>
          <cell r="AX131">
            <v>84.6153564453125</v>
          </cell>
          <cell r="AY131" t="str">
            <v>-</v>
          </cell>
          <cell r="AZ131">
            <v>84.6153564453125</v>
          </cell>
          <cell r="BA131">
            <v>84.6153564453125</v>
          </cell>
          <cell r="BB131" t="str">
            <v>-</v>
          </cell>
          <cell r="BC131">
            <v>84.6153564453125</v>
          </cell>
          <cell r="BD131">
            <v>84.6153564453125</v>
          </cell>
          <cell r="BE131" t="str">
            <v>-</v>
          </cell>
          <cell r="BF131">
            <v>84.6153564453125</v>
          </cell>
          <cell r="BG131">
            <v>84.6153564453125</v>
          </cell>
          <cell r="BH131" t="str">
            <v>-</v>
          </cell>
          <cell r="BI131">
            <v>84.6153564453125</v>
          </cell>
          <cell r="BJ131">
            <v>84.6153564453125</v>
          </cell>
          <cell r="BK131" t="str">
            <v>-</v>
          </cell>
          <cell r="BL131">
            <v>84.6153564453125</v>
          </cell>
          <cell r="BM131">
            <v>84.6153564453125</v>
          </cell>
          <cell r="BN131" t="str">
            <v>-</v>
          </cell>
          <cell r="BO131">
            <v>84.6153564453125</v>
          </cell>
          <cell r="BP131">
            <v>84.6153564453125</v>
          </cell>
          <cell r="BQ131" t="str">
            <v>-</v>
          </cell>
          <cell r="BR131">
            <v>84.6153564453125</v>
          </cell>
          <cell r="BS131">
            <v>84.6153564453125</v>
          </cell>
          <cell r="BT131" t="str">
            <v>-</v>
          </cell>
          <cell r="BU131">
            <v>84.6153564453125</v>
          </cell>
          <cell r="BV131">
            <v>84.6153564453125</v>
          </cell>
          <cell r="BW131" t="str">
            <v>-</v>
          </cell>
          <cell r="BX131">
            <v>13</v>
          </cell>
          <cell r="BY131">
            <v>2</v>
          </cell>
          <cell r="BZ131">
            <v>86.7</v>
          </cell>
          <cell r="CA131">
            <v>17</v>
          </cell>
          <cell r="CB131">
            <v>5</v>
          </cell>
          <cell r="CC131">
            <v>77.3</v>
          </cell>
          <cell r="CD131">
            <v>17</v>
          </cell>
          <cell r="CE131">
            <v>3</v>
          </cell>
          <cell r="CF131">
            <v>85</v>
          </cell>
          <cell r="CG131">
            <v>25</v>
          </cell>
          <cell r="CH131">
            <v>4</v>
          </cell>
          <cell r="CI131">
            <v>86.2</v>
          </cell>
          <cell r="CJ131">
            <v>22</v>
          </cell>
          <cell r="CK131">
            <v>5</v>
          </cell>
          <cell r="CL131">
            <v>81.5</v>
          </cell>
          <cell r="CM131">
            <v>18</v>
          </cell>
          <cell r="CN131">
            <v>2</v>
          </cell>
          <cell r="CO131">
            <v>90</v>
          </cell>
          <cell r="CP131">
            <v>48</v>
          </cell>
          <cell r="CQ131">
            <v>3</v>
          </cell>
          <cell r="CR131">
            <v>94.1</v>
          </cell>
          <cell r="CS131">
            <v>33</v>
          </cell>
          <cell r="CT131">
            <v>3</v>
          </cell>
          <cell r="CU131">
            <v>91.7</v>
          </cell>
          <cell r="CV131">
            <v>10</v>
          </cell>
          <cell r="CW131">
            <v>1</v>
          </cell>
          <cell r="CX131">
            <v>90.9</v>
          </cell>
          <cell r="CY131">
            <v>8</v>
          </cell>
          <cell r="CZ131">
            <v>3</v>
          </cell>
          <cell r="DA131">
            <v>72.7</v>
          </cell>
          <cell r="DB131">
            <v>12</v>
          </cell>
          <cell r="DC131">
            <v>3</v>
          </cell>
          <cell r="DD131">
            <v>80</v>
          </cell>
          <cell r="DE131">
            <v>14</v>
          </cell>
          <cell r="DF131">
            <v>3</v>
          </cell>
          <cell r="DG131">
            <v>82.4</v>
          </cell>
          <cell r="DH131">
            <v>4</v>
          </cell>
          <cell r="DI131">
            <v>2</v>
          </cell>
          <cell r="DJ131">
            <v>66.7</v>
          </cell>
          <cell r="DK131">
            <v>5</v>
          </cell>
          <cell r="DL131">
            <v>2</v>
          </cell>
          <cell r="DM131">
            <v>71.400000000000006</v>
          </cell>
          <cell r="DN131">
            <v>14</v>
          </cell>
          <cell r="DO131">
            <v>1</v>
          </cell>
          <cell r="DP131">
            <v>93.3</v>
          </cell>
          <cell r="DQ131">
            <v>9</v>
          </cell>
          <cell r="DR131">
            <v>1</v>
          </cell>
          <cell r="DS131">
            <v>90</v>
          </cell>
          <cell r="DT131">
            <v>90</v>
          </cell>
          <cell r="DU131">
            <v>90</v>
          </cell>
          <cell r="DV131" t="str">
            <v>-</v>
          </cell>
          <cell r="DW131">
            <v>90</v>
          </cell>
          <cell r="DX131">
            <v>90</v>
          </cell>
          <cell r="DY131" t="str">
            <v>-</v>
          </cell>
          <cell r="DZ131">
            <v>90</v>
          </cell>
          <cell r="EA131">
            <v>90</v>
          </cell>
          <cell r="EB131" t="str">
            <v>-</v>
          </cell>
          <cell r="EC131">
            <v>90</v>
          </cell>
          <cell r="ED131">
            <v>90</v>
          </cell>
          <cell r="EE131" t="str">
            <v>-</v>
          </cell>
          <cell r="EF131">
            <v>90</v>
          </cell>
          <cell r="EG131">
            <v>90</v>
          </cell>
          <cell r="EH131" t="str">
            <v>-</v>
          </cell>
          <cell r="EI131">
            <v>90</v>
          </cell>
          <cell r="EJ131">
            <v>90</v>
          </cell>
          <cell r="EK131" t="str">
            <v>-</v>
          </cell>
          <cell r="EL131">
            <v>90</v>
          </cell>
          <cell r="EM131">
            <v>90</v>
          </cell>
          <cell r="EN131" t="str">
            <v>-</v>
          </cell>
          <cell r="EO131">
            <v>90</v>
          </cell>
          <cell r="EP131">
            <v>90</v>
          </cell>
          <cell r="EQ131" t="str">
            <v>-</v>
          </cell>
          <cell r="ER131">
            <v>5</v>
          </cell>
          <cell r="ES131">
            <v>5</v>
          </cell>
          <cell r="ET131">
            <v>100</v>
          </cell>
          <cell r="EU131">
            <v>1</v>
          </cell>
          <cell r="EV131">
            <v>6</v>
          </cell>
          <cell r="EW131">
            <v>14.3</v>
          </cell>
          <cell r="EX131">
            <v>2</v>
          </cell>
          <cell r="EY131">
            <v>2</v>
          </cell>
          <cell r="EZ131">
            <v>100</v>
          </cell>
          <cell r="FA131">
            <v>6</v>
          </cell>
          <cell r="FB131">
            <v>3</v>
          </cell>
          <cell r="FC131">
            <v>66.7</v>
          </cell>
          <cell r="FD131">
            <v>2</v>
          </cell>
          <cell r="FE131">
            <v>6</v>
          </cell>
          <cell r="FF131">
            <v>25</v>
          </cell>
          <cell r="FG131">
            <v>12</v>
          </cell>
          <cell r="FH131">
            <v>12</v>
          </cell>
          <cell r="FI131">
            <v>100</v>
          </cell>
          <cell r="FJ131">
            <v>100</v>
          </cell>
          <cell r="FK131">
            <v>3</v>
          </cell>
          <cell r="FL131">
            <v>0</v>
          </cell>
          <cell r="FM131">
            <v>1</v>
          </cell>
          <cell r="FN131">
            <v>1</v>
          </cell>
          <cell r="FO131">
            <v>100</v>
          </cell>
          <cell r="FP131">
            <v>100</v>
          </cell>
          <cell r="FQ131">
            <v>100</v>
          </cell>
          <cell r="FR131" t="str">
            <v>-</v>
          </cell>
          <cell r="FS131">
            <v>100</v>
          </cell>
          <cell r="FT131">
            <v>100</v>
          </cell>
          <cell r="FU131" t="str">
            <v>-</v>
          </cell>
          <cell r="FV131">
            <v>100</v>
          </cell>
          <cell r="FW131">
            <v>100</v>
          </cell>
          <cell r="FX131" t="str">
            <v>-</v>
          </cell>
          <cell r="FY131">
            <v>100</v>
          </cell>
          <cell r="FZ131">
            <v>100</v>
          </cell>
          <cell r="GA131" t="str">
            <v>-</v>
          </cell>
          <cell r="GB131">
            <v>100</v>
          </cell>
          <cell r="GC131">
            <v>100</v>
          </cell>
          <cell r="GD131" t="str">
            <v>-</v>
          </cell>
          <cell r="GE131">
            <v>100</v>
          </cell>
          <cell r="GF131">
            <v>100</v>
          </cell>
          <cell r="GG131" t="str">
            <v>-</v>
          </cell>
          <cell r="GH131">
            <v>100</v>
          </cell>
          <cell r="GI131">
            <v>100</v>
          </cell>
          <cell r="GJ131" t="str">
            <v>-</v>
          </cell>
          <cell r="GK131">
            <v>100</v>
          </cell>
          <cell r="GL131">
            <v>100</v>
          </cell>
          <cell r="GM131" t="str">
            <v>-</v>
          </cell>
          <cell r="GN131">
            <v>6</v>
          </cell>
          <cell r="GO131">
            <v>1</v>
          </cell>
          <cell r="GP131">
            <v>85.7</v>
          </cell>
          <cell r="GQ131">
            <v>6</v>
          </cell>
          <cell r="GR131">
            <v>6</v>
          </cell>
          <cell r="GS131">
            <v>100</v>
          </cell>
          <cell r="GT131">
            <v>15</v>
          </cell>
          <cell r="GU131">
            <v>2</v>
          </cell>
          <cell r="GV131">
            <v>88.2</v>
          </cell>
          <cell r="GW131">
            <v>31</v>
          </cell>
          <cell r="GX131">
            <v>31</v>
          </cell>
          <cell r="GY131">
            <v>100</v>
          </cell>
          <cell r="GZ131">
            <v>33</v>
          </cell>
          <cell r="HA131">
            <v>4</v>
          </cell>
          <cell r="HB131">
            <v>89.2</v>
          </cell>
          <cell r="HC131">
            <v>18</v>
          </cell>
          <cell r="HD131">
            <v>1</v>
          </cell>
          <cell r="HE131">
            <v>94.7</v>
          </cell>
          <cell r="HF131">
            <v>37</v>
          </cell>
          <cell r="HG131">
            <v>7</v>
          </cell>
          <cell r="HH131">
            <v>84.1</v>
          </cell>
          <cell r="HI131">
            <v>25</v>
          </cell>
          <cell r="HJ131">
            <v>3</v>
          </cell>
          <cell r="HK131">
            <v>89.3</v>
          </cell>
          <cell r="HL131">
            <v>3</v>
          </cell>
          <cell r="HM131">
            <v>1</v>
          </cell>
          <cell r="HN131">
            <v>75</v>
          </cell>
          <cell r="HO131">
            <v>4</v>
          </cell>
          <cell r="HP131">
            <v>4</v>
          </cell>
          <cell r="HQ131">
            <v>100</v>
          </cell>
          <cell r="HR131">
            <v>1</v>
          </cell>
          <cell r="HS131">
            <v>1</v>
          </cell>
          <cell r="HT131">
            <v>100</v>
          </cell>
          <cell r="HU131">
            <v>1</v>
          </cell>
          <cell r="HV131">
            <v>1</v>
          </cell>
          <cell r="HW131">
            <v>100</v>
          </cell>
          <cell r="HX131">
            <v>3</v>
          </cell>
          <cell r="HY131">
            <v>3</v>
          </cell>
          <cell r="HZ131">
            <v>100</v>
          </cell>
          <cell r="IA131">
            <v>2</v>
          </cell>
          <cell r="IB131">
            <v>2</v>
          </cell>
          <cell r="IC131">
            <v>100</v>
          </cell>
          <cell r="ID131">
            <v>1</v>
          </cell>
          <cell r="IE131">
            <v>1</v>
          </cell>
          <cell r="IF131">
            <v>100</v>
          </cell>
          <cell r="IG131">
            <v>100</v>
          </cell>
          <cell r="IH131">
            <v>100</v>
          </cell>
          <cell r="II131" t="str">
            <v>-</v>
          </cell>
          <cell r="IJ131">
            <v>100</v>
          </cell>
          <cell r="IK131">
            <v>100</v>
          </cell>
          <cell r="IL131" t="str">
            <v>-</v>
          </cell>
          <cell r="IM131">
            <v>1</v>
          </cell>
          <cell r="IN131">
            <v>1</v>
          </cell>
          <cell r="IO131">
            <v>100</v>
          </cell>
          <cell r="IP131">
            <v>1</v>
          </cell>
          <cell r="IQ131">
            <v>1</v>
          </cell>
          <cell r="IR131">
            <v>100</v>
          </cell>
          <cell r="IS131">
            <v>1</v>
          </cell>
          <cell r="IT131">
            <v>1</v>
          </cell>
          <cell r="IU131">
            <v>100</v>
          </cell>
          <cell r="IV131">
            <v>100</v>
          </cell>
          <cell r="IW131">
            <v>100</v>
          </cell>
          <cell r="IX131" t="str">
            <v>-</v>
          </cell>
          <cell r="IY131">
            <v>1</v>
          </cell>
          <cell r="IZ131">
            <v>1</v>
          </cell>
          <cell r="JA131">
            <v>100</v>
          </cell>
          <cell r="JB131">
            <v>100</v>
          </cell>
          <cell r="JC131">
            <v>100</v>
          </cell>
          <cell r="JD131" t="str">
            <v>-</v>
          </cell>
          <cell r="JE131">
            <v>10</v>
          </cell>
          <cell r="JF131">
            <v>10</v>
          </cell>
          <cell r="JG131">
            <v>100</v>
          </cell>
          <cell r="JH131">
            <v>0</v>
          </cell>
          <cell r="JI131">
            <v>0</v>
          </cell>
          <cell r="JJ131" t="str">
            <v>-</v>
          </cell>
          <cell r="JK131">
            <v>0</v>
          </cell>
          <cell r="JL131">
            <v>0</v>
          </cell>
          <cell r="JM131" t="str">
            <v>-</v>
          </cell>
          <cell r="JN131">
            <v>0</v>
          </cell>
          <cell r="JO131">
            <v>0</v>
          </cell>
          <cell r="JP131" t="str">
            <v>-</v>
          </cell>
          <cell r="JQ131">
            <v>146</v>
          </cell>
          <cell r="JR131">
            <v>17</v>
          </cell>
          <cell r="JS131">
            <v>89.570552147239269</v>
          </cell>
          <cell r="JT131">
            <v>46</v>
          </cell>
          <cell r="JU131">
            <v>9</v>
          </cell>
          <cell r="JV131">
            <v>83.636363636363626</v>
          </cell>
          <cell r="JW131">
            <v>0</v>
          </cell>
          <cell r="JX131">
            <v>0</v>
          </cell>
          <cell r="JY131" t="str">
            <v>-</v>
          </cell>
          <cell r="JZ131">
            <v>21</v>
          </cell>
          <cell r="KA131">
            <v>12</v>
          </cell>
          <cell r="KB131">
            <v>63.636363636363633</v>
          </cell>
          <cell r="KC131">
            <v>0</v>
          </cell>
          <cell r="KD131">
            <v>0</v>
          </cell>
          <cell r="KE131" t="str">
            <v>-</v>
          </cell>
          <cell r="KF131">
            <v>144</v>
          </cell>
          <cell r="KG131">
            <v>15</v>
          </cell>
          <cell r="KH131">
            <v>90.566037735849065</v>
          </cell>
          <cell r="KI131">
            <v>7</v>
          </cell>
          <cell r="KJ131">
            <v>0</v>
          </cell>
          <cell r="KK131">
            <v>100</v>
          </cell>
          <cell r="KL131">
            <v>12</v>
          </cell>
          <cell r="KM131">
            <v>0</v>
          </cell>
          <cell r="KN131">
            <v>100</v>
          </cell>
        </row>
        <row r="132">
          <cell r="C132" t="str">
            <v>Ráckevei Rendőrkapitányság</v>
          </cell>
          <cell r="D132">
            <v>100</v>
          </cell>
          <cell r="E132">
            <v>100</v>
          </cell>
          <cell r="F132" t="str">
            <v>-</v>
          </cell>
          <cell r="G132">
            <v>100</v>
          </cell>
          <cell r="H132">
            <v>100</v>
          </cell>
          <cell r="I132" t="str">
            <v>-</v>
          </cell>
          <cell r="J132">
            <v>100</v>
          </cell>
          <cell r="K132">
            <v>100</v>
          </cell>
          <cell r="L132" t="str">
            <v>-</v>
          </cell>
          <cell r="M132">
            <v>100</v>
          </cell>
          <cell r="N132">
            <v>100</v>
          </cell>
          <cell r="O132" t="str">
            <v>-</v>
          </cell>
          <cell r="P132">
            <v>100</v>
          </cell>
          <cell r="Q132">
            <v>100</v>
          </cell>
          <cell r="R132" t="str">
            <v>-</v>
          </cell>
          <cell r="S132">
            <v>100</v>
          </cell>
          <cell r="T132">
            <v>100</v>
          </cell>
          <cell r="U132" t="str">
            <v>-</v>
          </cell>
          <cell r="V132">
            <v>100</v>
          </cell>
          <cell r="W132">
            <v>100</v>
          </cell>
          <cell r="X132" t="str">
            <v>-</v>
          </cell>
          <cell r="Y132">
            <v>100</v>
          </cell>
          <cell r="Z132">
            <v>100</v>
          </cell>
          <cell r="AA132" t="str">
            <v>-</v>
          </cell>
          <cell r="AB132">
            <v>100</v>
          </cell>
          <cell r="AC132">
            <v>100</v>
          </cell>
          <cell r="AD132" t="str">
            <v>-</v>
          </cell>
          <cell r="AE132">
            <v>100</v>
          </cell>
          <cell r="AF132">
            <v>100</v>
          </cell>
          <cell r="AG132" t="str">
            <v>-</v>
          </cell>
          <cell r="AH132">
            <v>100</v>
          </cell>
          <cell r="AI132">
            <v>100</v>
          </cell>
          <cell r="AJ132" t="str">
            <v>-</v>
          </cell>
          <cell r="AK132">
            <v>100</v>
          </cell>
          <cell r="AL132">
            <v>100</v>
          </cell>
          <cell r="AM132" t="str">
            <v>-</v>
          </cell>
          <cell r="AN132">
            <v>100</v>
          </cell>
          <cell r="AO132">
            <v>100</v>
          </cell>
          <cell r="AP132" t="str">
            <v>-</v>
          </cell>
          <cell r="AQ132">
            <v>100</v>
          </cell>
          <cell r="AR132">
            <v>100</v>
          </cell>
          <cell r="AS132" t="str">
            <v>-</v>
          </cell>
          <cell r="AT132">
            <v>100</v>
          </cell>
          <cell r="AU132">
            <v>100</v>
          </cell>
          <cell r="AV132" t="str">
            <v>-</v>
          </cell>
          <cell r="AW132">
            <v>100</v>
          </cell>
          <cell r="AX132">
            <v>100</v>
          </cell>
          <cell r="AY132" t="str">
            <v>-</v>
          </cell>
          <cell r="AZ132">
            <v>100</v>
          </cell>
          <cell r="BA132">
            <v>100</v>
          </cell>
          <cell r="BB132" t="str">
            <v>-</v>
          </cell>
          <cell r="BC132">
            <v>100</v>
          </cell>
          <cell r="BD132">
            <v>100</v>
          </cell>
          <cell r="BE132" t="str">
            <v>-</v>
          </cell>
          <cell r="BF132">
            <v>100</v>
          </cell>
          <cell r="BG132">
            <v>100</v>
          </cell>
          <cell r="BH132" t="str">
            <v>-</v>
          </cell>
          <cell r="BI132">
            <v>100</v>
          </cell>
          <cell r="BJ132">
            <v>100</v>
          </cell>
          <cell r="BK132" t="str">
            <v>-</v>
          </cell>
          <cell r="BL132">
            <v>100</v>
          </cell>
          <cell r="BM132">
            <v>100</v>
          </cell>
          <cell r="BN132" t="str">
            <v>-</v>
          </cell>
          <cell r="BO132">
            <v>100</v>
          </cell>
          <cell r="BP132">
            <v>100</v>
          </cell>
          <cell r="BQ132" t="str">
            <v>-</v>
          </cell>
          <cell r="BR132">
            <v>100</v>
          </cell>
          <cell r="BS132">
            <v>100</v>
          </cell>
          <cell r="BT132" t="str">
            <v>-</v>
          </cell>
          <cell r="BU132">
            <v>100</v>
          </cell>
          <cell r="BV132">
            <v>100</v>
          </cell>
          <cell r="BW132" t="str">
            <v>-</v>
          </cell>
          <cell r="BX132">
            <v>28</v>
          </cell>
          <cell r="BY132">
            <v>6</v>
          </cell>
          <cell r="BZ132">
            <v>82.4</v>
          </cell>
          <cell r="CA132">
            <v>23</v>
          </cell>
          <cell r="CB132">
            <v>4</v>
          </cell>
          <cell r="CC132">
            <v>85.2</v>
          </cell>
          <cell r="CD132">
            <v>25</v>
          </cell>
          <cell r="CE132">
            <v>13</v>
          </cell>
          <cell r="CF132">
            <v>65.8</v>
          </cell>
          <cell r="CG132">
            <v>22</v>
          </cell>
          <cell r="CH132">
            <v>9</v>
          </cell>
          <cell r="CI132">
            <v>71</v>
          </cell>
          <cell r="CJ132">
            <v>17</v>
          </cell>
          <cell r="CK132">
            <v>15</v>
          </cell>
          <cell r="CL132">
            <v>53.1</v>
          </cell>
          <cell r="CM132">
            <v>22</v>
          </cell>
          <cell r="CN132">
            <v>4</v>
          </cell>
          <cell r="CO132">
            <v>84.6</v>
          </cell>
          <cell r="CP132">
            <v>16</v>
          </cell>
          <cell r="CQ132">
            <v>10</v>
          </cell>
          <cell r="CR132">
            <v>61.5</v>
          </cell>
          <cell r="CS132">
            <v>17</v>
          </cell>
          <cell r="CT132">
            <v>3</v>
          </cell>
          <cell r="CU132">
            <v>85</v>
          </cell>
          <cell r="CV132">
            <v>14</v>
          </cell>
          <cell r="CW132">
            <v>4</v>
          </cell>
          <cell r="CX132">
            <v>77.8</v>
          </cell>
          <cell r="CY132">
            <v>11</v>
          </cell>
          <cell r="CZ132">
            <v>3</v>
          </cell>
          <cell r="DA132">
            <v>78.599999999999994</v>
          </cell>
          <cell r="DB132">
            <v>16</v>
          </cell>
          <cell r="DC132">
            <v>8</v>
          </cell>
          <cell r="DD132">
            <v>66.7</v>
          </cell>
          <cell r="DE132">
            <v>14</v>
          </cell>
          <cell r="DF132">
            <v>7</v>
          </cell>
          <cell r="DG132">
            <v>66.7</v>
          </cell>
          <cell r="DH132">
            <v>11</v>
          </cell>
          <cell r="DI132">
            <v>12</v>
          </cell>
          <cell r="DJ132">
            <v>47.8</v>
          </cell>
          <cell r="DK132">
            <v>11</v>
          </cell>
          <cell r="DL132">
            <v>3</v>
          </cell>
          <cell r="DM132">
            <v>78.599999999999994</v>
          </cell>
          <cell r="DN132">
            <v>11</v>
          </cell>
          <cell r="DO132">
            <v>8</v>
          </cell>
          <cell r="DP132">
            <v>57.9</v>
          </cell>
          <cell r="DQ132">
            <v>8</v>
          </cell>
          <cell r="DR132">
            <v>2</v>
          </cell>
          <cell r="DS132">
            <v>80</v>
          </cell>
          <cell r="DT132">
            <v>80</v>
          </cell>
          <cell r="DU132">
            <v>80</v>
          </cell>
          <cell r="DV132" t="str">
            <v>-</v>
          </cell>
          <cell r="DW132">
            <v>80</v>
          </cell>
          <cell r="DX132">
            <v>80</v>
          </cell>
          <cell r="DY132" t="str">
            <v>-</v>
          </cell>
          <cell r="DZ132">
            <v>80</v>
          </cell>
          <cell r="EA132">
            <v>80</v>
          </cell>
          <cell r="EB132" t="str">
            <v>-</v>
          </cell>
          <cell r="EC132">
            <v>80</v>
          </cell>
          <cell r="ED132">
            <v>80</v>
          </cell>
          <cell r="EE132" t="str">
            <v>-</v>
          </cell>
          <cell r="EF132">
            <v>80</v>
          </cell>
          <cell r="EG132">
            <v>80</v>
          </cell>
          <cell r="EH132" t="str">
            <v>-</v>
          </cell>
          <cell r="EI132">
            <v>80</v>
          </cell>
          <cell r="EJ132">
            <v>80</v>
          </cell>
          <cell r="EK132" t="str">
            <v>-</v>
          </cell>
          <cell r="EL132">
            <v>80</v>
          </cell>
          <cell r="EM132">
            <v>80</v>
          </cell>
          <cell r="EN132" t="str">
            <v>-</v>
          </cell>
          <cell r="EO132">
            <v>80</v>
          </cell>
          <cell r="EP132">
            <v>80</v>
          </cell>
          <cell r="EQ132" t="str">
            <v>-</v>
          </cell>
          <cell r="ER132">
            <v>2</v>
          </cell>
          <cell r="ES132">
            <v>1</v>
          </cell>
          <cell r="ET132">
            <v>66.7</v>
          </cell>
          <cell r="EU132">
            <v>9</v>
          </cell>
          <cell r="EV132">
            <v>6</v>
          </cell>
          <cell r="EW132">
            <v>60</v>
          </cell>
          <cell r="EX132">
            <v>2</v>
          </cell>
          <cell r="EY132">
            <v>3</v>
          </cell>
          <cell r="EZ132">
            <v>40</v>
          </cell>
          <cell r="FA132">
            <v>11</v>
          </cell>
          <cell r="FB132">
            <v>4</v>
          </cell>
          <cell r="FC132">
            <v>73.3</v>
          </cell>
          <cell r="FD132">
            <v>7</v>
          </cell>
          <cell r="FE132">
            <v>2</v>
          </cell>
          <cell r="FF132">
            <v>77.8</v>
          </cell>
          <cell r="FG132">
            <v>5</v>
          </cell>
          <cell r="FH132">
            <v>11</v>
          </cell>
          <cell r="FI132">
            <v>31.3</v>
          </cell>
          <cell r="FJ132">
            <v>2</v>
          </cell>
          <cell r="FK132">
            <v>3</v>
          </cell>
          <cell r="FL132">
            <v>40</v>
          </cell>
          <cell r="FM132">
            <v>4</v>
          </cell>
          <cell r="FN132">
            <v>8</v>
          </cell>
          <cell r="FO132">
            <v>33.299999999999997</v>
          </cell>
          <cell r="FP132">
            <v>33.29998779296875</v>
          </cell>
          <cell r="FQ132">
            <v>33.29998779296875</v>
          </cell>
          <cell r="FR132" t="str">
            <v>-</v>
          </cell>
          <cell r="FS132">
            <v>33.29998779296875</v>
          </cell>
          <cell r="FT132">
            <v>33.29998779296875</v>
          </cell>
          <cell r="FU132" t="str">
            <v>-</v>
          </cell>
          <cell r="FV132">
            <v>33.29998779296875</v>
          </cell>
          <cell r="FW132">
            <v>33.29998779296875</v>
          </cell>
          <cell r="FX132" t="str">
            <v>-</v>
          </cell>
          <cell r="FY132">
            <v>33.29998779296875</v>
          </cell>
          <cell r="FZ132">
            <v>33.29998779296875</v>
          </cell>
          <cell r="GA132" t="str">
            <v>-</v>
          </cell>
          <cell r="GB132">
            <v>33.29998779296875</v>
          </cell>
          <cell r="GC132">
            <v>33.29998779296875</v>
          </cell>
          <cell r="GD132" t="str">
            <v>-</v>
          </cell>
          <cell r="GE132">
            <v>33.29998779296875</v>
          </cell>
          <cell r="GF132">
            <v>33.29998779296875</v>
          </cell>
          <cell r="GG132" t="str">
            <v>-</v>
          </cell>
          <cell r="GH132">
            <v>33.29998779296875</v>
          </cell>
          <cell r="GI132">
            <v>33.29998779296875</v>
          </cell>
          <cell r="GJ132" t="str">
            <v>-</v>
          </cell>
          <cell r="GK132">
            <v>33.29998779296875</v>
          </cell>
          <cell r="GL132">
            <v>33.29998779296875</v>
          </cell>
          <cell r="GM132" t="str">
            <v>-</v>
          </cell>
          <cell r="GN132">
            <v>19</v>
          </cell>
          <cell r="GO132">
            <v>3</v>
          </cell>
          <cell r="GP132">
            <v>86.4</v>
          </cell>
          <cell r="GQ132">
            <v>6</v>
          </cell>
          <cell r="GR132">
            <v>1</v>
          </cell>
          <cell r="GS132">
            <v>85.7</v>
          </cell>
          <cell r="GT132">
            <v>16</v>
          </cell>
          <cell r="GU132">
            <v>10</v>
          </cell>
          <cell r="GV132">
            <v>61.5</v>
          </cell>
          <cell r="GW132">
            <v>6</v>
          </cell>
          <cell r="GX132">
            <v>3</v>
          </cell>
          <cell r="GY132">
            <v>66.7</v>
          </cell>
          <cell r="GZ132">
            <v>7</v>
          </cell>
          <cell r="HA132">
            <v>5</v>
          </cell>
          <cell r="HB132">
            <v>58.3</v>
          </cell>
          <cell r="HC132">
            <v>14</v>
          </cell>
          <cell r="HD132">
            <v>4</v>
          </cell>
          <cell r="HE132">
            <v>77.8</v>
          </cell>
          <cell r="HF132">
            <v>10</v>
          </cell>
          <cell r="HG132">
            <v>10</v>
          </cell>
          <cell r="HH132">
            <v>50</v>
          </cell>
          <cell r="HI132">
            <v>15</v>
          </cell>
          <cell r="HJ132">
            <v>5</v>
          </cell>
          <cell r="HK132">
            <v>75</v>
          </cell>
          <cell r="HL132">
            <v>75</v>
          </cell>
          <cell r="HM132">
            <v>3</v>
          </cell>
          <cell r="HN132">
            <v>0</v>
          </cell>
          <cell r="HO132">
            <v>3</v>
          </cell>
          <cell r="HP132">
            <v>1</v>
          </cell>
          <cell r="HQ132">
            <v>75</v>
          </cell>
          <cell r="HR132">
            <v>3</v>
          </cell>
          <cell r="HS132">
            <v>6</v>
          </cell>
          <cell r="HT132">
            <v>33.299999999999997</v>
          </cell>
          <cell r="HU132">
            <v>2</v>
          </cell>
          <cell r="HV132">
            <v>1</v>
          </cell>
          <cell r="HW132">
            <v>66.7</v>
          </cell>
          <cell r="HX132">
            <v>2</v>
          </cell>
          <cell r="HY132">
            <v>2</v>
          </cell>
          <cell r="HZ132">
            <v>50</v>
          </cell>
          <cell r="IA132">
            <v>1</v>
          </cell>
          <cell r="IB132">
            <v>1</v>
          </cell>
          <cell r="IC132">
            <v>50</v>
          </cell>
          <cell r="ID132">
            <v>50</v>
          </cell>
          <cell r="IE132">
            <v>1</v>
          </cell>
          <cell r="IF132">
            <v>0</v>
          </cell>
          <cell r="IG132">
            <v>1</v>
          </cell>
          <cell r="IH132">
            <v>1</v>
          </cell>
          <cell r="II132">
            <v>50</v>
          </cell>
          <cell r="IJ132">
            <v>4</v>
          </cell>
          <cell r="IK132">
            <v>1</v>
          </cell>
          <cell r="IL132">
            <v>80</v>
          </cell>
          <cell r="IM132">
            <v>3</v>
          </cell>
          <cell r="IN132">
            <v>3</v>
          </cell>
          <cell r="IO132">
            <v>100</v>
          </cell>
          <cell r="IP132">
            <v>1</v>
          </cell>
          <cell r="IQ132">
            <v>1</v>
          </cell>
          <cell r="IR132">
            <v>100</v>
          </cell>
          <cell r="IS132">
            <v>2</v>
          </cell>
          <cell r="IT132">
            <v>2</v>
          </cell>
          <cell r="IU132">
            <v>100</v>
          </cell>
          <cell r="IV132">
            <v>1</v>
          </cell>
          <cell r="IW132">
            <v>1</v>
          </cell>
          <cell r="IX132">
            <v>100</v>
          </cell>
          <cell r="IY132">
            <v>1</v>
          </cell>
          <cell r="IZ132">
            <v>1</v>
          </cell>
          <cell r="JA132">
            <v>100</v>
          </cell>
          <cell r="JB132">
            <v>2</v>
          </cell>
          <cell r="JC132">
            <v>2</v>
          </cell>
          <cell r="JD132">
            <v>100</v>
          </cell>
          <cell r="JE132">
            <v>100</v>
          </cell>
          <cell r="JF132">
            <v>1</v>
          </cell>
          <cell r="JG132">
            <v>0</v>
          </cell>
          <cell r="JH132">
            <v>0</v>
          </cell>
          <cell r="JI132">
            <v>0</v>
          </cell>
          <cell r="JJ132" t="str">
            <v>-</v>
          </cell>
          <cell r="JK132">
            <v>0</v>
          </cell>
          <cell r="JL132">
            <v>0</v>
          </cell>
          <cell r="JM132" t="str">
            <v>-</v>
          </cell>
          <cell r="JN132">
            <v>0</v>
          </cell>
          <cell r="JO132">
            <v>0</v>
          </cell>
          <cell r="JP132" t="str">
            <v>-</v>
          </cell>
          <cell r="JQ132">
            <v>94</v>
          </cell>
          <cell r="JR132">
            <v>41</v>
          </cell>
          <cell r="JS132">
            <v>69.629629629629633</v>
          </cell>
          <cell r="JT132">
            <v>55</v>
          </cell>
          <cell r="JU132">
            <v>32</v>
          </cell>
          <cell r="JV132">
            <v>63.218390804597703</v>
          </cell>
          <cell r="JW132">
            <v>0</v>
          </cell>
          <cell r="JX132">
            <v>0</v>
          </cell>
          <cell r="JY132" t="str">
            <v>-</v>
          </cell>
          <cell r="JZ132">
            <v>29</v>
          </cell>
          <cell r="KA132">
            <v>28</v>
          </cell>
          <cell r="KB132">
            <v>50.877192982456144</v>
          </cell>
          <cell r="KC132">
            <v>0</v>
          </cell>
          <cell r="KD132">
            <v>0</v>
          </cell>
          <cell r="KE132" t="str">
            <v>-</v>
          </cell>
          <cell r="KF132">
            <v>52</v>
          </cell>
          <cell r="KG132">
            <v>27</v>
          </cell>
          <cell r="KH132">
            <v>65.822784810126578</v>
          </cell>
          <cell r="KI132">
            <v>6</v>
          </cell>
          <cell r="KJ132">
            <v>6</v>
          </cell>
          <cell r="KK132">
            <v>50</v>
          </cell>
          <cell r="KL132">
            <v>6</v>
          </cell>
          <cell r="KM132">
            <v>1</v>
          </cell>
          <cell r="KN132">
            <v>85.714285714285708</v>
          </cell>
        </row>
        <row r="133">
          <cell r="C133" t="str">
            <v>Szentendrei Rendőrkapitányság</v>
          </cell>
          <cell r="D133">
            <v>85.7142333984375</v>
          </cell>
          <cell r="E133">
            <v>85.7142333984375</v>
          </cell>
          <cell r="F133" t="str">
            <v>-</v>
          </cell>
          <cell r="G133">
            <v>1</v>
          </cell>
          <cell r="H133">
            <v>1</v>
          </cell>
          <cell r="I133">
            <v>100</v>
          </cell>
          <cell r="J133">
            <v>100</v>
          </cell>
          <cell r="K133">
            <v>100</v>
          </cell>
          <cell r="L133" t="str">
            <v>-</v>
          </cell>
          <cell r="M133">
            <v>100</v>
          </cell>
          <cell r="N133">
            <v>100</v>
          </cell>
          <cell r="O133" t="str">
            <v>-</v>
          </cell>
          <cell r="P133">
            <v>100</v>
          </cell>
          <cell r="Q133">
            <v>100</v>
          </cell>
          <cell r="R133" t="str">
            <v>-</v>
          </cell>
          <cell r="S133">
            <v>100</v>
          </cell>
          <cell r="T133">
            <v>100</v>
          </cell>
          <cell r="U133" t="str">
            <v>-</v>
          </cell>
          <cell r="V133">
            <v>100</v>
          </cell>
          <cell r="W133">
            <v>100</v>
          </cell>
          <cell r="X133" t="str">
            <v>-</v>
          </cell>
          <cell r="Y133">
            <v>100</v>
          </cell>
          <cell r="Z133">
            <v>100</v>
          </cell>
          <cell r="AA133" t="str">
            <v>-</v>
          </cell>
          <cell r="AB133">
            <v>100</v>
          </cell>
          <cell r="AC133">
            <v>100</v>
          </cell>
          <cell r="AD133" t="str">
            <v>-</v>
          </cell>
          <cell r="AE133">
            <v>100</v>
          </cell>
          <cell r="AF133">
            <v>100</v>
          </cell>
          <cell r="AG133" t="str">
            <v>-</v>
          </cell>
          <cell r="AH133">
            <v>100</v>
          </cell>
          <cell r="AI133">
            <v>100</v>
          </cell>
          <cell r="AJ133" t="str">
            <v>-</v>
          </cell>
          <cell r="AK133">
            <v>100</v>
          </cell>
          <cell r="AL133">
            <v>100</v>
          </cell>
          <cell r="AM133" t="str">
            <v>-</v>
          </cell>
          <cell r="AN133">
            <v>100</v>
          </cell>
          <cell r="AO133">
            <v>100</v>
          </cell>
          <cell r="AP133" t="str">
            <v>-</v>
          </cell>
          <cell r="AQ133">
            <v>100</v>
          </cell>
          <cell r="AR133">
            <v>100</v>
          </cell>
          <cell r="AS133" t="str">
            <v>-</v>
          </cell>
          <cell r="AT133">
            <v>100</v>
          </cell>
          <cell r="AU133">
            <v>100</v>
          </cell>
          <cell r="AV133" t="str">
            <v>-</v>
          </cell>
          <cell r="AW133">
            <v>100</v>
          </cell>
          <cell r="AX133">
            <v>100</v>
          </cell>
          <cell r="AY133" t="str">
            <v>-</v>
          </cell>
          <cell r="AZ133">
            <v>100</v>
          </cell>
          <cell r="BA133">
            <v>100</v>
          </cell>
          <cell r="BB133" t="str">
            <v>-</v>
          </cell>
          <cell r="BC133">
            <v>1</v>
          </cell>
          <cell r="BD133">
            <v>1</v>
          </cell>
          <cell r="BE133">
            <v>100</v>
          </cell>
          <cell r="BF133">
            <v>100</v>
          </cell>
          <cell r="BG133">
            <v>100</v>
          </cell>
          <cell r="BH133" t="str">
            <v>-</v>
          </cell>
          <cell r="BI133">
            <v>100</v>
          </cell>
          <cell r="BJ133">
            <v>100</v>
          </cell>
          <cell r="BK133" t="str">
            <v>-</v>
          </cell>
          <cell r="BL133">
            <v>100</v>
          </cell>
          <cell r="BM133">
            <v>100</v>
          </cell>
          <cell r="BN133" t="str">
            <v>-</v>
          </cell>
          <cell r="BO133">
            <v>100</v>
          </cell>
          <cell r="BP133">
            <v>100</v>
          </cell>
          <cell r="BQ133" t="str">
            <v>-</v>
          </cell>
          <cell r="BR133">
            <v>100</v>
          </cell>
          <cell r="BS133">
            <v>100</v>
          </cell>
          <cell r="BT133" t="str">
            <v>-</v>
          </cell>
          <cell r="BU133">
            <v>100</v>
          </cell>
          <cell r="BV133">
            <v>100</v>
          </cell>
          <cell r="BW133" t="str">
            <v>-</v>
          </cell>
          <cell r="BX133">
            <v>45</v>
          </cell>
          <cell r="BY133">
            <v>22</v>
          </cell>
          <cell r="BZ133">
            <v>67.2</v>
          </cell>
          <cell r="CA133">
            <v>43</v>
          </cell>
          <cell r="CB133">
            <v>6</v>
          </cell>
          <cell r="CC133">
            <v>87.8</v>
          </cell>
          <cell r="CD133">
            <v>42</v>
          </cell>
          <cell r="CE133">
            <v>13</v>
          </cell>
          <cell r="CF133">
            <v>76.400000000000006</v>
          </cell>
          <cell r="CG133">
            <v>51</v>
          </cell>
          <cell r="CH133">
            <v>9</v>
          </cell>
          <cell r="CI133">
            <v>85</v>
          </cell>
          <cell r="CJ133">
            <v>39</v>
          </cell>
          <cell r="CK133">
            <v>19</v>
          </cell>
          <cell r="CL133">
            <v>67.2</v>
          </cell>
          <cell r="CM133">
            <v>51</v>
          </cell>
          <cell r="CN133">
            <v>10</v>
          </cell>
          <cell r="CO133">
            <v>83.6</v>
          </cell>
          <cell r="CP133">
            <v>42</v>
          </cell>
          <cell r="CQ133">
            <v>10</v>
          </cell>
          <cell r="CR133">
            <v>80.8</v>
          </cell>
          <cell r="CS133">
            <v>47</v>
          </cell>
          <cell r="CT133">
            <v>7</v>
          </cell>
          <cell r="CU133">
            <v>87</v>
          </cell>
          <cell r="CV133">
            <v>33</v>
          </cell>
          <cell r="CW133">
            <v>19</v>
          </cell>
          <cell r="CX133">
            <v>63.5</v>
          </cell>
          <cell r="CY133">
            <v>22</v>
          </cell>
          <cell r="CZ133">
            <v>6</v>
          </cell>
          <cell r="DA133">
            <v>78.599999999999994</v>
          </cell>
          <cell r="DB133">
            <v>29</v>
          </cell>
          <cell r="DC133">
            <v>11</v>
          </cell>
          <cell r="DD133">
            <v>72.5</v>
          </cell>
          <cell r="DE133">
            <v>29</v>
          </cell>
          <cell r="DF133">
            <v>9</v>
          </cell>
          <cell r="DG133">
            <v>76.3</v>
          </cell>
          <cell r="DH133">
            <v>19</v>
          </cell>
          <cell r="DI133">
            <v>18</v>
          </cell>
          <cell r="DJ133">
            <v>51.4</v>
          </cell>
          <cell r="DK133">
            <v>22</v>
          </cell>
          <cell r="DL133">
            <v>8</v>
          </cell>
          <cell r="DM133">
            <v>73.3</v>
          </cell>
          <cell r="DN133">
            <v>19</v>
          </cell>
          <cell r="DO133">
            <v>8</v>
          </cell>
          <cell r="DP133">
            <v>70.400000000000006</v>
          </cell>
          <cell r="DQ133">
            <v>24</v>
          </cell>
          <cell r="DR133">
            <v>6</v>
          </cell>
          <cell r="DS133">
            <v>80</v>
          </cell>
          <cell r="DT133">
            <v>80</v>
          </cell>
          <cell r="DU133">
            <v>80</v>
          </cell>
          <cell r="DV133" t="str">
            <v>-</v>
          </cell>
          <cell r="DW133">
            <v>80</v>
          </cell>
          <cell r="DX133">
            <v>80</v>
          </cell>
          <cell r="DY133" t="str">
            <v>-</v>
          </cell>
          <cell r="DZ133">
            <v>80</v>
          </cell>
          <cell r="EA133">
            <v>80</v>
          </cell>
          <cell r="EB133" t="str">
            <v>-</v>
          </cell>
          <cell r="EC133">
            <v>80</v>
          </cell>
          <cell r="ED133">
            <v>80</v>
          </cell>
          <cell r="EE133" t="str">
            <v>-</v>
          </cell>
          <cell r="EF133">
            <v>80</v>
          </cell>
          <cell r="EG133">
            <v>80</v>
          </cell>
          <cell r="EH133" t="str">
            <v>-</v>
          </cell>
          <cell r="EI133">
            <v>80</v>
          </cell>
          <cell r="EJ133">
            <v>80</v>
          </cell>
          <cell r="EK133" t="str">
            <v>-</v>
          </cell>
          <cell r="EL133">
            <v>80</v>
          </cell>
          <cell r="EM133">
            <v>80</v>
          </cell>
          <cell r="EN133" t="str">
            <v>-</v>
          </cell>
          <cell r="EO133">
            <v>80</v>
          </cell>
          <cell r="EP133">
            <v>80</v>
          </cell>
          <cell r="EQ133" t="str">
            <v>-</v>
          </cell>
          <cell r="ER133">
            <v>1</v>
          </cell>
          <cell r="ES133">
            <v>1</v>
          </cell>
          <cell r="ET133">
            <v>50</v>
          </cell>
          <cell r="EU133">
            <v>1</v>
          </cell>
          <cell r="EV133">
            <v>1</v>
          </cell>
          <cell r="EW133">
            <v>100</v>
          </cell>
          <cell r="EX133">
            <v>5</v>
          </cell>
          <cell r="EY133">
            <v>1</v>
          </cell>
          <cell r="EZ133">
            <v>83.3</v>
          </cell>
          <cell r="FA133">
            <v>3</v>
          </cell>
          <cell r="FB133">
            <v>3</v>
          </cell>
          <cell r="FC133">
            <v>100</v>
          </cell>
          <cell r="FD133">
            <v>4</v>
          </cell>
          <cell r="FE133">
            <v>1</v>
          </cell>
          <cell r="FF133">
            <v>80</v>
          </cell>
          <cell r="FG133">
            <v>1</v>
          </cell>
          <cell r="FH133">
            <v>5</v>
          </cell>
          <cell r="FI133">
            <v>16.7</v>
          </cell>
          <cell r="FJ133">
            <v>1</v>
          </cell>
          <cell r="FK133">
            <v>1</v>
          </cell>
          <cell r="FL133">
            <v>50</v>
          </cell>
          <cell r="FM133">
            <v>4</v>
          </cell>
          <cell r="FN133">
            <v>2</v>
          </cell>
          <cell r="FO133">
            <v>66.7</v>
          </cell>
          <cell r="FP133">
            <v>66.699951171875</v>
          </cell>
          <cell r="FQ133">
            <v>66.699951171875</v>
          </cell>
          <cell r="FR133" t="str">
            <v>-</v>
          </cell>
          <cell r="FS133">
            <v>66.699951171875</v>
          </cell>
          <cell r="FT133">
            <v>66.699951171875</v>
          </cell>
          <cell r="FU133" t="str">
            <v>-</v>
          </cell>
          <cell r="FV133">
            <v>66.699951171875</v>
          </cell>
          <cell r="FW133">
            <v>66.699951171875</v>
          </cell>
          <cell r="FX133" t="str">
            <v>-</v>
          </cell>
          <cell r="FY133">
            <v>66.699951171875</v>
          </cell>
          <cell r="FZ133">
            <v>66.699951171875</v>
          </cell>
          <cell r="GA133" t="str">
            <v>-</v>
          </cell>
          <cell r="GB133">
            <v>66.699951171875</v>
          </cell>
          <cell r="GC133">
            <v>66.699951171875</v>
          </cell>
          <cell r="GD133" t="str">
            <v>-</v>
          </cell>
          <cell r="GE133">
            <v>66.699951171875</v>
          </cell>
          <cell r="GF133">
            <v>66.699951171875</v>
          </cell>
          <cell r="GG133" t="str">
            <v>-</v>
          </cell>
          <cell r="GH133">
            <v>66.699951171875</v>
          </cell>
          <cell r="GI133">
            <v>66.699951171875</v>
          </cell>
          <cell r="GJ133" t="str">
            <v>-</v>
          </cell>
          <cell r="GK133">
            <v>66.699951171875</v>
          </cell>
          <cell r="GL133">
            <v>66.699951171875</v>
          </cell>
          <cell r="GM133" t="str">
            <v>-</v>
          </cell>
          <cell r="GN133">
            <v>17</v>
          </cell>
          <cell r="GO133">
            <v>7</v>
          </cell>
          <cell r="GP133">
            <v>70.8</v>
          </cell>
          <cell r="GQ133">
            <v>25</v>
          </cell>
          <cell r="GR133">
            <v>8</v>
          </cell>
          <cell r="GS133">
            <v>75.8</v>
          </cell>
          <cell r="GT133">
            <v>36</v>
          </cell>
          <cell r="GU133">
            <v>8</v>
          </cell>
          <cell r="GV133">
            <v>81.8</v>
          </cell>
          <cell r="GW133">
            <v>50</v>
          </cell>
          <cell r="GX133">
            <v>12</v>
          </cell>
          <cell r="GY133">
            <v>80.599999999999994</v>
          </cell>
          <cell r="GZ133">
            <v>50</v>
          </cell>
          <cell r="HA133">
            <v>18</v>
          </cell>
          <cell r="HB133">
            <v>73.5</v>
          </cell>
          <cell r="HC133">
            <v>59</v>
          </cell>
          <cell r="HD133">
            <v>9</v>
          </cell>
          <cell r="HE133">
            <v>86.8</v>
          </cell>
          <cell r="HF133">
            <v>53</v>
          </cell>
          <cell r="HG133">
            <v>13</v>
          </cell>
          <cell r="HH133">
            <v>80.3</v>
          </cell>
          <cell r="HI133">
            <v>76</v>
          </cell>
          <cell r="HJ133">
            <v>8</v>
          </cell>
          <cell r="HK133">
            <v>90.5</v>
          </cell>
          <cell r="HL133">
            <v>3</v>
          </cell>
          <cell r="HM133">
            <v>3</v>
          </cell>
          <cell r="HN133">
            <v>50</v>
          </cell>
          <cell r="HO133">
            <v>9</v>
          </cell>
          <cell r="HP133">
            <v>4</v>
          </cell>
          <cell r="HQ133">
            <v>69.2</v>
          </cell>
          <cell r="HR133">
            <v>3</v>
          </cell>
          <cell r="HS133">
            <v>6</v>
          </cell>
          <cell r="HT133">
            <v>33.299999999999997</v>
          </cell>
          <cell r="HU133">
            <v>2</v>
          </cell>
          <cell r="HV133">
            <v>8</v>
          </cell>
          <cell r="HW133">
            <v>20</v>
          </cell>
          <cell r="HX133">
            <v>2</v>
          </cell>
          <cell r="HY133">
            <v>3</v>
          </cell>
          <cell r="HZ133">
            <v>40</v>
          </cell>
          <cell r="IA133">
            <v>3</v>
          </cell>
          <cell r="IB133">
            <v>3</v>
          </cell>
          <cell r="IC133">
            <v>50</v>
          </cell>
          <cell r="ID133">
            <v>2</v>
          </cell>
          <cell r="IE133">
            <v>4</v>
          </cell>
          <cell r="IF133">
            <v>33.299999999999997</v>
          </cell>
          <cell r="IG133">
            <v>2</v>
          </cell>
          <cell r="IH133">
            <v>5</v>
          </cell>
          <cell r="II133">
            <v>28.6</v>
          </cell>
          <cell r="IJ133">
            <v>3</v>
          </cell>
          <cell r="IK133">
            <v>1</v>
          </cell>
          <cell r="IL133">
            <v>75</v>
          </cell>
          <cell r="IM133">
            <v>1</v>
          </cell>
          <cell r="IN133">
            <v>1</v>
          </cell>
          <cell r="IO133">
            <v>50</v>
          </cell>
          <cell r="IP133">
            <v>50</v>
          </cell>
          <cell r="IQ133">
            <v>50</v>
          </cell>
          <cell r="IR133" t="str">
            <v>-</v>
          </cell>
          <cell r="IS133">
            <v>1</v>
          </cell>
          <cell r="IT133">
            <v>1</v>
          </cell>
          <cell r="IU133">
            <v>100</v>
          </cell>
          <cell r="IV133">
            <v>1</v>
          </cell>
          <cell r="IW133">
            <v>1</v>
          </cell>
          <cell r="IX133">
            <v>50</v>
          </cell>
          <cell r="IY133">
            <v>50</v>
          </cell>
          <cell r="IZ133">
            <v>1</v>
          </cell>
          <cell r="JA133">
            <v>0</v>
          </cell>
          <cell r="JB133">
            <v>3</v>
          </cell>
          <cell r="JC133">
            <v>3</v>
          </cell>
          <cell r="JD133">
            <v>100</v>
          </cell>
          <cell r="JE133">
            <v>100</v>
          </cell>
          <cell r="JF133">
            <v>100</v>
          </cell>
          <cell r="JG133" t="str">
            <v>-</v>
          </cell>
          <cell r="JH133">
            <v>0</v>
          </cell>
          <cell r="JI133">
            <v>0</v>
          </cell>
          <cell r="JJ133" t="str">
            <v>-</v>
          </cell>
          <cell r="JK133">
            <v>0</v>
          </cell>
          <cell r="JL133">
            <v>0</v>
          </cell>
          <cell r="JM133" t="str">
            <v>-</v>
          </cell>
          <cell r="JN133">
            <v>0</v>
          </cell>
          <cell r="JO133">
            <v>0</v>
          </cell>
          <cell r="JP133" t="str">
            <v>-</v>
          </cell>
          <cell r="JQ133">
            <v>230</v>
          </cell>
          <cell r="JR133">
            <v>55</v>
          </cell>
          <cell r="JS133">
            <v>80.701754385964904</v>
          </cell>
          <cell r="JT133">
            <v>113</v>
          </cell>
          <cell r="JU133">
            <v>49</v>
          </cell>
          <cell r="JV133">
            <v>69.753086419753089</v>
          </cell>
          <cell r="JW133">
            <v>0</v>
          </cell>
          <cell r="JX133">
            <v>0</v>
          </cell>
          <cell r="JY133" t="str">
            <v>-</v>
          </cell>
          <cell r="JZ133">
            <v>13</v>
          </cell>
          <cell r="KA133">
            <v>9</v>
          </cell>
          <cell r="KB133">
            <v>59.090909090909093</v>
          </cell>
          <cell r="KC133">
            <v>0</v>
          </cell>
          <cell r="KD133">
            <v>0</v>
          </cell>
          <cell r="KE133" t="str">
            <v>-</v>
          </cell>
          <cell r="KF133">
            <v>288</v>
          </cell>
          <cell r="KG133">
            <v>60</v>
          </cell>
          <cell r="KH133">
            <v>82.758620689655174</v>
          </cell>
          <cell r="KI133">
            <v>11</v>
          </cell>
          <cell r="KJ133">
            <v>23</v>
          </cell>
          <cell r="KK133">
            <v>32.352941176470587</v>
          </cell>
          <cell r="KL133">
            <v>5</v>
          </cell>
          <cell r="KM133">
            <v>2</v>
          </cell>
          <cell r="KN133">
            <v>71.428571428571431</v>
          </cell>
        </row>
        <row r="134">
          <cell r="C134" t="str">
            <v>Váci Rendőrkapitányság</v>
          </cell>
          <cell r="D134">
            <v>71.42852783203125</v>
          </cell>
          <cell r="E134">
            <v>71.42852783203125</v>
          </cell>
          <cell r="F134" t="str">
            <v>-</v>
          </cell>
          <cell r="G134">
            <v>1</v>
          </cell>
          <cell r="H134">
            <v>1</v>
          </cell>
          <cell r="I134">
            <v>100</v>
          </cell>
          <cell r="J134">
            <v>100</v>
          </cell>
          <cell r="K134">
            <v>100</v>
          </cell>
          <cell r="L134" t="str">
            <v>-</v>
          </cell>
          <cell r="M134">
            <v>100</v>
          </cell>
          <cell r="N134">
            <v>100</v>
          </cell>
          <cell r="O134" t="str">
            <v>-</v>
          </cell>
          <cell r="P134">
            <v>100</v>
          </cell>
          <cell r="Q134">
            <v>100</v>
          </cell>
          <cell r="R134" t="str">
            <v>-</v>
          </cell>
          <cell r="S134">
            <v>100</v>
          </cell>
          <cell r="T134">
            <v>100</v>
          </cell>
          <cell r="U134" t="str">
            <v>-</v>
          </cell>
          <cell r="V134">
            <v>100</v>
          </cell>
          <cell r="W134">
            <v>100</v>
          </cell>
          <cell r="X134" t="str">
            <v>-</v>
          </cell>
          <cell r="Y134">
            <v>1</v>
          </cell>
          <cell r="Z134">
            <v>1</v>
          </cell>
          <cell r="AA134">
            <v>100</v>
          </cell>
          <cell r="AB134">
            <v>100</v>
          </cell>
          <cell r="AC134">
            <v>100</v>
          </cell>
          <cell r="AD134" t="str">
            <v>-</v>
          </cell>
          <cell r="AE134">
            <v>1</v>
          </cell>
          <cell r="AF134">
            <v>1</v>
          </cell>
          <cell r="AG134">
            <v>100</v>
          </cell>
          <cell r="AH134">
            <v>100</v>
          </cell>
          <cell r="AI134">
            <v>100</v>
          </cell>
          <cell r="AJ134" t="str">
            <v>-</v>
          </cell>
          <cell r="AK134">
            <v>100</v>
          </cell>
          <cell r="AL134">
            <v>100</v>
          </cell>
          <cell r="AM134" t="str">
            <v>-</v>
          </cell>
          <cell r="AN134">
            <v>100</v>
          </cell>
          <cell r="AO134">
            <v>100</v>
          </cell>
          <cell r="AP134" t="str">
            <v>-</v>
          </cell>
          <cell r="AQ134">
            <v>100</v>
          </cell>
          <cell r="AR134">
            <v>100</v>
          </cell>
          <cell r="AS134" t="str">
            <v>-</v>
          </cell>
          <cell r="AT134">
            <v>100</v>
          </cell>
          <cell r="AU134">
            <v>100</v>
          </cell>
          <cell r="AV134" t="str">
            <v>-</v>
          </cell>
          <cell r="AW134">
            <v>100</v>
          </cell>
          <cell r="AX134">
            <v>100</v>
          </cell>
          <cell r="AY134" t="str">
            <v>-</v>
          </cell>
          <cell r="AZ134">
            <v>100</v>
          </cell>
          <cell r="BA134">
            <v>100</v>
          </cell>
          <cell r="BB134" t="str">
            <v>-</v>
          </cell>
          <cell r="BC134">
            <v>100</v>
          </cell>
          <cell r="BD134">
            <v>100</v>
          </cell>
          <cell r="BE134" t="str">
            <v>-</v>
          </cell>
          <cell r="BF134">
            <v>100</v>
          </cell>
          <cell r="BG134">
            <v>100</v>
          </cell>
          <cell r="BH134" t="str">
            <v>-</v>
          </cell>
          <cell r="BI134">
            <v>100</v>
          </cell>
          <cell r="BJ134">
            <v>100</v>
          </cell>
          <cell r="BK134" t="str">
            <v>-</v>
          </cell>
          <cell r="BL134">
            <v>100</v>
          </cell>
          <cell r="BM134">
            <v>100</v>
          </cell>
          <cell r="BN134" t="str">
            <v>-</v>
          </cell>
          <cell r="BO134">
            <v>100</v>
          </cell>
          <cell r="BP134">
            <v>100</v>
          </cell>
          <cell r="BQ134" t="str">
            <v>-</v>
          </cell>
          <cell r="BR134">
            <v>100</v>
          </cell>
          <cell r="BS134">
            <v>100</v>
          </cell>
          <cell r="BT134" t="str">
            <v>-</v>
          </cell>
          <cell r="BU134">
            <v>1</v>
          </cell>
          <cell r="BV134">
            <v>1</v>
          </cell>
          <cell r="BW134">
            <v>100</v>
          </cell>
          <cell r="BX134">
            <v>83</v>
          </cell>
          <cell r="BY134">
            <v>41</v>
          </cell>
          <cell r="BZ134">
            <v>66.900000000000006</v>
          </cell>
          <cell r="CA134">
            <v>64</v>
          </cell>
          <cell r="CB134">
            <v>35</v>
          </cell>
          <cell r="CC134">
            <v>64.599999999999994</v>
          </cell>
          <cell r="CD134">
            <v>64</v>
          </cell>
          <cell r="CE134">
            <v>33</v>
          </cell>
          <cell r="CF134">
            <v>66</v>
          </cell>
          <cell r="CG134">
            <v>59</v>
          </cell>
          <cell r="CH134">
            <v>14</v>
          </cell>
          <cell r="CI134">
            <v>80.8</v>
          </cell>
          <cell r="CJ134">
            <v>71</v>
          </cell>
          <cell r="CK134">
            <v>39</v>
          </cell>
          <cell r="CL134">
            <v>64.5</v>
          </cell>
          <cell r="CM134">
            <v>60</v>
          </cell>
          <cell r="CN134">
            <v>54</v>
          </cell>
          <cell r="CO134">
            <v>52.6</v>
          </cell>
          <cell r="CP134">
            <v>43</v>
          </cell>
          <cell r="CQ134">
            <v>40</v>
          </cell>
          <cell r="CR134">
            <v>51.8</v>
          </cell>
          <cell r="CS134">
            <v>63</v>
          </cell>
          <cell r="CT134">
            <v>35</v>
          </cell>
          <cell r="CU134">
            <v>64.3</v>
          </cell>
          <cell r="CV134">
            <v>46</v>
          </cell>
          <cell r="CW134">
            <v>32</v>
          </cell>
          <cell r="CX134">
            <v>59</v>
          </cell>
          <cell r="CY134">
            <v>36</v>
          </cell>
          <cell r="CZ134">
            <v>22</v>
          </cell>
          <cell r="DA134">
            <v>62.1</v>
          </cell>
          <cell r="DB134">
            <v>29</v>
          </cell>
          <cell r="DC134">
            <v>23</v>
          </cell>
          <cell r="DD134">
            <v>55.8</v>
          </cell>
          <cell r="DE134">
            <v>28</v>
          </cell>
          <cell r="DF134">
            <v>12</v>
          </cell>
          <cell r="DG134">
            <v>70</v>
          </cell>
          <cell r="DH134">
            <v>30</v>
          </cell>
          <cell r="DI134">
            <v>30</v>
          </cell>
          <cell r="DJ134">
            <v>50</v>
          </cell>
          <cell r="DK134">
            <v>23</v>
          </cell>
          <cell r="DL134">
            <v>39</v>
          </cell>
          <cell r="DM134">
            <v>37.1</v>
          </cell>
          <cell r="DN134">
            <v>26</v>
          </cell>
          <cell r="DO134">
            <v>32</v>
          </cell>
          <cell r="DP134">
            <v>44.8</v>
          </cell>
          <cell r="DQ134">
            <v>27</v>
          </cell>
          <cell r="DR134">
            <v>29</v>
          </cell>
          <cell r="DS134">
            <v>48.2</v>
          </cell>
          <cell r="DT134">
            <v>48.199981689453125</v>
          </cell>
          <cell r="DU134">
            <v>48.199981689453125</v>
          </cell>
          <cell r="DV134" t="str">
            <v>-</v>
          </cell>
          <cell r="DW134">
            <v>48.199981689453125</v>
          </cell>
          <cell r="DX134">
            <v>48.199981689453125</v>
          </cell>
          <cell r="DY134" t="str">
            <v>-</v>
          </cell>
          <cell r="DZ134">
            <v>48.199981689453125</v>
          </cell>
          <cell r="EA134">
            <v>48.199981689453125</v>
          </cell>
          <cell r="EB134" t="str">
            <v>-</v>
          </cell>
          <cell r="EC134">
            <v>48.199981689453125</v>
          </cell>
          <cell r="ED134">
            <v>48.199981689453125</v>
          </cell>
          <cell r="EE134" t="str">
            <v>-</v>
          </cell>
          <cell r="EF134">
            <v>48.199981689453125</v>
          </cell>
          <cell r="EG134">
            <v>48.199981689453125</v>
          </cell>
          <cell r="EH134" t="str">
            <v>-</v>
          </cell>
          <cell r="EI134">
            <v>48.199981689453125</v>
          </cell>
          <cell r="EJ134">
            <v>48.199981689453125</v>
          </cell>
          <cell r="EK134" t="str">
            <v>-</v>
          </cell>
          <cell r="EL134">
            <v>48.199981689453125</v>
          </cell>
          <cell r="EM134">
            <v>48.199981689453125</v>
          </cell>
          <cell r="EN134" t="str">
            <v>-</v>
          </cell>
          <cell r="EO134">
            <v>48.199981689453125</v>
          </cell>
          <cell r="EP134">
            <v>48.199981689453125</v>
          </cell>
          <cell r="EQ134" t="str">
            <v>-</v>
          </cell>
          <cell r="ER134">
            <v>10</v>
          </cell>
          <cell r="ES134">
            <v>11</v>
          </cell>
          <cell r="ET134">
            <v>47.6</v>
          </cell>
          <cell r="EU134">
            <v>4</v>
          </cell>
          <cell r="EV134">
            <v>7</v>
          </cell>
          <cell r="EW134">
            <v>36.4</v>
          </cell>
          <cell r="EX134">
            <v>36</v>
          </cell>
          <cell r="EY134">
            <v>5</v>
          </cell>
          <cell r="EZ134">
            <v>87.8</v>
          </cell>
          <cell r="FA134">
            <v>13</v>
          </cell>
          <cell r="FB134">
            <v>20</v>
          </cell>
          <cell r="FC134">
            <v>39.4</v>
          </cell>
          <cell r="FD134">
            <v>13</v>
          </cell>
          <cell r="FE134">
            <v>17</v>
          </cell>
          <cell r="FF134">
            <v>43.3</v>
          </cell>
          <cell r="FG134">
            <v>11</v>
          </cell>
          <cell r="FH134">
            <v>25</v>
          </cell>
          <cell r="FI134">
            <v>30.6</v>
          </cell>
          <cell r="FJ134">
            <v>1</v>
          </cell>
          <cell r="FK134">
            <v>11</v>
          </cell>
          <cell r="FL134">
            <v>8.3000000000000007</v>
          </cell>
          <cell r="FM134">
            <v>15</v>
          </cell>
          <cell r="FN134">
            <v>14</v>
          </cell>
          <cell r="FO134">
            <v>51.7</v>
          </cell>
          <cell r="FP134">
            <v>51.699981689453125</v>
          </cell>
          <cell r="FQ134">
            <v>51.699981689453125</v>
          </cell>
          <cell r="FR134" t="str">
            <v>-</v>
          </cell>
          <cell r="FS134">
            <v>51.699981689453125</v>
          </cell>
          <cell r="FT134">
            <v>51.699981689453125</v>
          </cell>
          <cell r="FU134" t="str">
            <v>-</v>
          </cell>
          <cell r="FV134">
            <v>51.699981689453125</v>
          </cell>
          <cell r="FW134">
            <v>51.699981689453125</v>
          </cell>
          <cell r="FX134" t="str">
            <v>-</v>
          </cell>
          <cell r="FY134">
            <v>51.699981689453125</v>
          </cell>
          <cell r="FZ134">
            <v>51.699981689453125</v>
          </cell>
          <cell r="GA134" t="str">
            <v>-</v>
          </cell>
          <cell r="GB134">
            <v>51.699981689453125</v>
          </cell>
          <cell r="GC134">
            <v>51.699981689453125</v>
          </cell>
          <cell r="GD134" t="str">
            <v>-</v>
          </cell>
          <cell r="GE134">
            <v>51.699981689453125</v>
          </cell>
          <cell r="GF134">
            <v>51.699981689453125</v>
          </cell>
          <cell r="GG134" t="str">
            <v>-</v>
          </cell>
          <cell r="GH134">
            <v>51.699981689453125</v>
          </cell>
          <cell r="GI134">
            <v>51.699981689453125</v>
          </cell>
          <cell r="GJ134" t="str">
            <v>-</v>
          </cell>
          <cell r="GK134">
            <v>51.699981689453125</v>
          </cell>
          <cell r="GL134">
            <v>51.699981689453125</v>
          </cell>
          <cell r="GM134" t="str">
            <v>-</v>
          </cell>
          <cell r="GN134">
            <v>48</v>
          </cell>
          <cell r="GO134">
            <v>23</v>
          </cell>
          <cell r="GP134">
            <v>67.599999999999994</v>
          </cell>
          <cell r="GQ134">
            <v>47</v>
          </cell>
          <cell r="GR134">
            <v>27</v>
          </cell>
          <cell r="GS134">
            <v>63.5</v>
          </cell>
          <cell r="GT134">
            <v>40</v>
          </cell>
          <cell r="GU134">
            <v>25</v>
          </cell>
          <cell r="GV134">
            <v>61.5</v>
          </cell>
          <cell r="GW134">
            <v>44</v>
          </cell>
          <cell r="GX134">
            <v>26</v>
          </cell>
          <cell r="GY134">
            <v>62.9</v>
          </cell>
          <cell r="GZ134">
            <v>60</v>
          </cell>
          <cell r="HA134">
            <v>40</v>
          </cell>
          <cell r="HB134">
            <v>60</v>
          </cell>
          <cell r="HC134">
            <v>43</v>
          </cell>
          <cell r="HD134">
            <v>48</v>
          </cell>
          <cell r="HE134">
            <v>47.3</v>
          </cell>
          <cell r="HF134">
            <v>47</v>
          </cell>
          <cell r="HG134">
            <v>23</v>
          </cell>
          <cell r="HH134">
            <v>67.099999999999994</v>
          </cell>
          <cell r="HI134">
            <v>64</v>
          </cell>
          <cell r="HJ134">
            <v>20</v>
          </cell>
          <cell r="HK134">
            <v>76.2</v>
          </cell>
          <cell r="HL134">
            <v>6</v>
          </cell>
          <cell r="HM134">
            <v>9</v>
          </cell>
          <cell r="HN134">
            <v>40</v>
          </cell>
          <cell r="HO134">
            <v>6</v>
          </cell>
          <cell r="HP134">
            <v>3</v>
          </cell>
          <cell r="HQ134">
            <v>66.7</v>
          </cell>
          <cell r="HR134">
            <v>7</v>
          </cell>
          <cell r="HS134">
            <v>4</v>
          </cell>
          <cell r="HT134">
            <v>63.6</v>
          </cell>
          <cell r="HU134">
            <v>9</v>
          </cell>
          <cell r="HV134">
            <v>4</v>
          </cell>
          <cell r="HW134">
            <v>69.2</v>
          </cell>
          <cell r="HX134">
            <v>6</v>
          </cell>
          <cell r="HY134">
            <v>6</v>
          </cell>
          <cell r="HZ134">
            <v>50</v>
          </cell>
          <cell r="IA134">
            <v>2</v>
          </cell>
          <cell r="IB134">
            <v>4</v>
          </cell>
          <cell r="IC134">
            <v>33.299999999999997</v>
          </cell>
          <cell r="ID134">
            <v>1</v>
          </cell>
          <cell r="IE134">
            <v>4</v>
          </cell>
          <cell r="IF134">
            <v>20</v>
          </cell>
          <cell r="IG134">
            <v>4</v>
          </cell>
          <cell r="IH134">
            <v>8</v>
          </cell>
          <cell r="II134">
            <v>33.299999999999997</v>
          </cell>
          <cell r="IJ134">
            <v>2</v>
          </cell>
          <cell r="IK134">
            <v>7</v>
          </cell>
          <cell r="IL134">
            <v>22.2</v>
          </cell>
          <cell r="IM134">
            <v>6</v>
          </cell>
          <cell r="IN134">
            <v>12</v>
          </cell>
          <cell r="IO134">
            <v>33.299999999999997</v>
          </cell>
          <cell r="IP134">
            <v>7</v>
          </cell>
          <cell r="IQ134">
            <v>7</v>
          </cell>
          <cell r="IR134">
            <v>50</v>
          </cell>
          <cell r="IS134">
            <v>2</v>
          </cell>
          <cell r="IT134">
            <v>4</v>
          </cell>
          <cell r="IU134">
            <v>33.299999999999997</v>
          </cell>
          <cell r="IV134">
            <v>4</v>
          </cell>
          <cell r="IW134">
            <v>5</v>
          </cell>
          <cell r="IX134">
            <v>44.4</v>
          </cell>
          <cell r="IY134">
            <v>4</v>
          </cell>
          <cell r="IZ134">
            <v>3</v>
          </cell>
          <cell r="JA134">
            <v>57.1</v>
          </cell>
          <cell r="JB134">
            <v>2</v>
          </cell>
          <cell r="JC134">
            <v>2</v>
          </cell>
          <cell r="JD134">
            <v>50</v>
          </cell>
          <cell r="JE134">
            <v>4</v>
          </cell>
          <cell r="JF134">
            <v>1</v>
          </cell>
          <cell r="JG134">
            <v>80</v>
          </cell>
          <cell r="JH134">
            <v>1</v>
          </cell>
          <cell r="JI134">
            <v>0</v>
          </cell>
          <cell r="JJ134">
            <v>100</v>
          </cell>
          <cell r="JK134">
            <v>0</v>
          </cell>
          <cell r="JL134">
            <v>0</v>
          </cell>
          <cell r="JM134" t="str">
            <v>-</v>
          </cell>
          <cell r="JN134">
            <v>1</v>
          </cell>
          <cell r="JO134">
            <v>0</v>
          </cell>
          <cell r="JP134">
            <v>100</v>
          </cell>
          <cell r="JQ134">
            <v>296</v>
          </cell>
          <cell r="JR134">
            <v>182</v>
          </cell>
          <cell r="JS134">
            <v>61.924686192468613</v>
          </cell>
          <cell r="JT134">
            <v>134</v>
          </cell>
          <cell r="JU134">
            <v>142</v>
          </cell>
          <cell r="JV134">
            <v>48.550724637681157</v>
          </cell>
          <cell r="JW134">
            <v>0</v>
          </cell>
          <cell r="JX134">
            <v>0</v>
          </cell>
          <cell r="JY134" t="str">
            <v>-</v>
          </cell>
          <cell r="JZ134">
            <v>53</v>
          </cell>
          <cell r="KA134">
            <v>87</v>
          </cell>
          <cell r="KB134">
            <v>37.857142857142854</v>
          </cell>
          <cell r="KC134">
            <v>0</v>
          </cell>
          <cell r="KD134">
            <v>0</v>
          </cell>
          <cell r="KE134" t="str">
            <v>-</v>
          </cell>
          <cell r="KF134">
            <v>258</v>
          </cell>
          <cell r="KG134">
            <v>157</v>
          </cell>
          <cell r="KH134">
            <v>62.168674698795179</v>
          </cell>
          <cell r="KI134">
            <v>22</v>
          </cell>
          <cell r="KJ134">
            <v>26</v>
          </cell>
          <cell r="KK134">
            <v>45.833333333333329</v>
          </cell>
          <cell r="KL134">
            <v>16</v>
          </cell>
          <cell r="KM134">
            <v>15</v>
          </cell>
          <cell r="KN134">
            <v>51.612903225806448</v>
          </cell>
        </row>
        <row r="135">
          <cell r="C135" t="str">
            <v>Érdi Rendőrkapitányság</v>
          </cell>
          <cell r="D135">
            <v>51.612884521484375</v>
          </cell>
          <cell r="E135">
            <v>51.612884521484375</v>
          </cell>
          <cell r="F135" t="str">
            <v>-</v>
          </cell>
          <cell r="G135">
            <v>51.612884521484375</v>
          </cell>
          <cell r="H135">
            <v>51.612884521484375</v>
          </cell>
          <cell r="I135" t="str">
            <v>-</v>
          </cell>
          <cell r="J135">
            <v>51.612884521484375</v>
          </cell>
          <cell r="K135">
            <v>51.612884521484375</v>
          </cell>
          <cell r="L135" t="str">
            <v>-</v>
          </cell>
          <cell r="M135">
            <v>51.612884521484375</v>
          </cell>
          <cell r="N135">
            <v>51.612884521484375</v>
          </cell>
          <cell r="O135" t="str">
            <v>-</v>
          </cell>
          <cell r="P135">
            <v>51.612884521484375</v>
          </cell>
          <cell r="Q135">
            <v>51.612884521484375</v>
          </cell>
          <cell r="R135" t="str">
            <v>-</v>
          </cell>
          <cell r="S135">
            <v>51.612884521484375</v>
          </cell>
          <cell r="T135">
            <v>51.612884521484375</v>
          </cell>
          <cell r="U135" t="str">
            <v>-</v>
          </cell>
          <cell r="V135">
            <v>51.612884521484375</v>
          </cell>
          <cell r="W135">
            <v>51.612884521484375</v>
          </cell>
          <cell r="X135" t="str">
            <v>-</v>
          </cell>
          <cell r="Y135">
            <v>51.612884521484375</v>
          </cell>
          <cell r="Z135">
            <v>51.612884521484375</v>
          </cell>
          <cell r="AA135" t="str">
            <v>-</v>
          </cell>
          <cell r="AB135">
            <v>51.612884521484375</v>
          </cell>
          <cell r="AC135">
            <v>51.612884521484375</v>
          </cell>
          <cell r="AD135" t="str">
            <v>-</v>
          </cell>
          <cell r="AE135">
            <v>51.612884521484375</v>
          </cell>
          <cell r="AF135">
            <v>51.612884521484375</v>
          </cell>
          <cell r="AG135" t="str">
            <v>-</v>
          </cell>
          <cell r="AH135">
            <v>51.612884521484375</v>
          </cell>
          <cell r="AI135">
            <v>51.612884521484375</v>
          </cell>
          <cell r="AJ135" t="str">
            <v>-</v>
          </cell>
          <cell r="AK135">
            <v>51.612884521484375</v>
          </cell>
          <cell r="AL135">
            <v>51.612884521484375</v>
          </cell>
          <cell r="AM135" t="str">
            <v>-</v>
          </cell>
          <cell r="AN135">
            <v>51.612884521484375</v>
          </cell>
          <cell r="AO135">
            <v>51.612884521484375</v>
          </cell>
          <cell r="AP135" t="str">
            <v>-</v>
          </cell>
          <cell r="AQ135">
            <v>51.612884521484375</v>
          </cell>
          <cell r="AR135">
            <v>51.612884521484375</v>
          </cell>
          <cell r="AS135" t="str">
            <v>-</v>
          </cell>
          <cell r="AT135">
            <v>51.612884521484375</v>
          </cell>
          <cell r="AU135">
            <v>51.612884521484375</v>
          </cell>
          <cell r="AV135" t="str">
            <v>-</v>
          </cell>
          <cell r="AW135">
            <v>51.612884521484375</v>
          </cell>
          <cell r="AX135">
            <v>51.612884521484375</v>
          </cell>
          <cell r="AY135" t="str">
            <v>-</v>
          </cell>
          <cell r="AZ135">
            <v>51.612884521484375</v>
          </cell>
          <cell r="BA135">
            <v>51.612884521484375</v>
          </cell>
          <cell r="BB135" t="str">
            <v>-</v>
          </cell>
          <cell r="BC135">
            <v>51.612884521484375</v>
          </cell>
          <cell r="BD135">
            <v>51.612884521484375</v>
          </cell>
          <cell r="BE135" t="str">
            <v>-</v>
          </cell>
          <cell r="BF135">
            <v>51.612884521484375</v>
          </cell>
          <cell r="BG135">
            <v>51.612884521484375</v>
          </cell>
          <cell r="BH135" t="str">
            <v>-</v>
          </cell>
          <cell r="BI135">
            <v>51.612884521484375</v>
          </cell>
          <cell r="BJ135">
            <v>51.612884521484375</v>
          </cell>
          <cell r="BK135" t="str">
            <v>-</v>
          </cell>
          <cell r="BL135">
            <v>51.612884521484375</v>
          </cell>
          <cell r="BM135">
            <v>51.612884521484375</v>
          </cell>
          <cell r="BN135" t="str">
            <v>-</v>
          </cell>
          <cell r="BO135">
            <v>51.612884521484375</v>
          </cell>
          <cell r="BP135">
            <v>51.612884521484375</v>
          </cell>
          <cell r="BQ135" t="str">
            <v>-</v>
          </cell>
          <cell r="BR135">
            <v>51.612884521484375</v>
          </cell>
          <cell r="BS135">
            <v>51.612884521484375</v>
          </cell>
          <cell r="BT135" t="str">
            <v>-</v>
          </cell>
          <cell r="BU135">
            <v>51.612884521484375</v>
          </cell>
          <cell r="BV135">
            <v>51.612884521484375</v>
          </cell>
          <cell r="BW135" t="str">
            <v>-</v>
          </cell>
          <cell r="BX135">
            <v>76</v>
          </cell>
          <cell r="BY135">
            <v>28</v>
          </cell>
          <cell r="BZ135">
            <v>73.099999999999994</v>
          </cell>
          <cell r="CA135">
            <v>73</v>
          </cell>
          <cell r="CB135">
            <v>28</v>
          </cell>
          <cell r="CC135">
            <v>72.3</v>
          </cell>
          <cell r="CD135">
            <v>71</v>
          </cell>
          <cell r="CE135">
            <v>29</v>
          </cell>
          <cell r="CF135">
            <v>71</v>
          </cell>
          <cell r="CG135">
            <v>60</v>
          </cell>
          <cell r="CH135">
            <v>26</v>
          </cell>
          <cell r="CI135">
            <v>69.8</v>
          </cell>
          <cell r="CJ135">
            <v>64</v>
          </cell>
          <cell r="CK135">
            <v>42</v>
          </cell>
          <cell r="CL135">
            <v>60.4</v>
          </cell>
          <cell r="CM135">
            <v>67</v>
          </cell>
          <cell r="CN135">
            <v>37</v>
          </cell>
          <cell r="CO135">
            <v>64.400000000000006</v>
          </cell>
          <cell r="CP135">
            <v>61</v>
          </cell>
          <cell r="CQ135">
            <v>28</v>
          </cell>
          <cell r="CR135">
            <v>68.5</v>
          </cell>
          <cell r="CS135">
            <v>79</v>
          </cell>
          <cell r="CT135">
            <v>27</v>
          </cell>
          <cell r="CU135">
            <v>74.5</v>
          </cell>
          <cell r="CV135">
            <v>45</v>
          </cell>
          <cell r="CW135">
            <v>24</v>
          </cell>
          <cell r="CX135">
            <v>65.2</v>
          </cell>
          <cell r="CY135">
            <v>38</v>
          </cell>
          <cell r="CZ135">
            <v>23</v>
          </cell>
          <cell r="DA135">
            <v>62.3</v>
          </cell>
          <cell r="DB135">
            <v>36</v>
          </cell>
          <cell r="DC135">
            <v>27</v>
          </cell>
          <cell r="DD135">
            <v>57.1</v>
          </cell>
          <cell r="DE135">
            <v>20</v>
          </cell>
          <cell r="DF135">
            <v>19</v>
          </cell>
          <cell r="DG135">
            <v>51.3</v>
          </cell>
          <cell r="DH135">
            <v>33</v>
          </cell>
          <cell r="DI135">
            <v>31</v>
          </cell>
          <cell r="DJ135">
            <v>51.6</v>
          </cell>
          <cell r="DK135">
            <v>29</v>
          </cell>
          <cell r="DL135">
            <v>21</v>
          </cell>
          <cell r="DM135">
            <v>58</v>
          </cell>
          <cell r="DN135">
            <v>28</v>
          </cell>
          <cell r="DO135">
            <v>25</v>
          </cell>
          <cell r="DP135">
            <v>52.8</v>
          </cell>
          <cell r="DQ135">
            <v>39</v>
          </cell>
          <cell r="DR135">
            <v>21</v>
          </cell>
          <cell r="DS135">
            <v>65</v>
          </cell>
          <cell r="DT135">
            <v>65</v>
          </cell>
          <cell r="DU135">
            <v>65</v>
          </cell>
          <cell r="DV135" t="str">
            <v>-</v>
          </cell>
          <cell r="DW135">
            <v>65</v>
          </cell>
          <cell r="DX135">
            <v>65</v>
          </cell>
          <cell r="DY135" t="str">
            <v>-</v>
          </cell>
          <cell r="DZ135">
            <v>65</v>
          </cell>
          <cell r="EA135">
            <v>65</v>
          </cell>
          <cell r="EB135" t="str">
            <v>-</v>
          </cell>
          <cell r="EC135">
            <v>65</v>
          </cell>
          <cell r="ED135">
            <v>65</v>
          </cell>
          <cell r="EE135" t="str">
            <v>-</v>
          </cell>
          <cell r="EF135">
            <v>65</v>
          </cell>
          <cell r="EG135">
            <v>65</v>
          </cell>
          <cell r="EH135" t="str">
            <v>-</v>
          </cell>
          <cell r="EI135">
            <v>65</v>
          </cell>
          <cell r="EJ135">
            <v>65</v>
          </cell>
          <cell r="EK135" t="str">
            <v>-</v>
          </cell>
          <cell r="EL135">
            <v>65</v>
          </cell>
          <cell r="EM135">
            <v>65</v>
          </cell>
          <cell r="EN135" t="str">
            <v>-</v>
          </cell>
          <cell r="EO135">
            <v>65</v>
          </cell>
          <cell r="EP135">
            <v>65</v>
          </cell>
          <cell r="EQ135" t="str">
            <v>-</v>
          </cell>
          <cell r="ER135">
            <v>11</v>
          </cell>
          <cell r="ES135">
            <v>14</v>
          </cell>
          <cell r="ET135">
            <v>44</v>
          </cell>
          <cell r="EU135">
            <v>3</v>
          </cell>
          <cell r="EV135">
            <v>12</v>
          </cell>
          <cell r="EW135">
            <v>20</v>
          </cell>
          <cell r="EX135">
            <v>9</v>
          </cell>
          <cell r="EY135">
            <v>11</v>
          </cell>
          <cell r="EZ135">
            <v>45</v>
          </cell>
          <cell r="FA135">
            <v>3</v>
          </cell>
          <cell r="FB135">
            <v>7</v>
          </cell>
          <cell r="FC135">
            <v>30</v>
          </cell>
          <cell r="FD135">
            <v>9</v>
          </cell>
          <cell r="FE135">
            <v>10</v>
          </cell>
          <cell r="FF135">
            <v>47.4</v>
          </cell>
          <cell r="FG135">
            <v>11</v>
          </cell>
          <cell r="FH135">
            <v>14</v>
          </cell>
          <cell r="FI135">
            <v>44</v>
          </cell>
          <cell r="FJ135">
            <v>5</v>
          </cell>
          <cell r="FK135">
            <v>11</v>
          </cell>
          <cell r="FL135">
            <v>31.3</v>
          </cell>
          <cell r="FM135">
            <v>2</v>
          </cell>
          <cell r="FN135">
            <v>2</v>
          </cell>
          <cell r="FO135">
            <v>50</v>
          </cell>
          <cell r="FP135">
            <v>50</v>
          </cell>
          <cell r="FQ135">
            <v>50</v>
          </cell>
          <cell r="FR135" t="str">
            <v>-</v>
          </cell>
          <cell r="FS135">
            <v>50</v>
          </cell>
          <cell r="FT135">
            <v>50</v>
          </cell>
          <cell r="FU135" t="str">
            <v>-</v>
          </cell>
          <cell r="FV135">
            <v>50</v>
          </cell>
          <cell r="FW135">
            <v>50</v>
          </cell>
          <cell r="FX135" t="str">
            <v>-</v>
          </cell>
          <cell r="FY135">
            <v>50</v>
          </cell>
          <cell r="FZ135">
            <v>50</v>
          </cell>
          <cell r="GA135" t="str">
            <v>-</v>
          </cell>
          <cell r="GB135">
            <v>50</v>
          </cell>
          <cell r="GC135">
            <v>50</v>
          </cell>
          <cell r="GD135" t="str">
            <v>-</v>
          </cell>
          <cell r="GE135">
            <v>50</v>
          </cell>
          <cell r="GF135">
            <v>50</v>
          </cell>
          <cell r="GG135" t="str">
            <v>-</v>
          </cell>
          <cell r="GH135">
            <v>50</v>
          </cell>
          <cell r="GI135">
            <v>50</v>
          </cell>
          <cell r="GJ135" t="str">
            <v>-</v>
          </cell>
          <cell r="GK135">
            <v>50</v>
          </cell>
          <cell r="GL135">
            <v>50</v>
          </cell>
          <cell r="GM135" t="str">
            <v>-</v>
          </cell>
          <cell r="GN135">
            <v>14</v>
          </cell>
          <cell r="GO135">
            <v>10</v>
          </cell>
          <cell r="GP135">
            <v>58.3</v>
          </cell>
          <cell r="GQ135">
            <v>27</v>
          </cell>
          <cell r="GR135">
            <v>19</v>
          </cell>
          <cell r="GS135">
            <v>58.7</v>
          </cell>
          <cell r="GT135">
            <v>31</v>
          </cell>
          <cell r="GU135">
            <v>14</v>
          </cell>
          <cell r="GV135">
            <v>68.900000000000006</v>
          </cell>
          <cell r="GW135">
            <v>53</v>
          </cell>
          <cell r="GX135">
            <v>24</v>
          </cell>
          <cell r="GY135">
            <v>68.8</v>
          </cell>
          <cell r="GZ135">
            <v>50</v>
          </cell>
          <cell r="HA135">
            <v>33</v>
          </cell>
          <cell r="HB135">
            <v>60.2</v>
          </cell>
          <cell r="HC135">
            <v>53</v>
          </cell>
          <cell r="HD135">
            <v>32</v>
          </cell>
          <cell r="HE135">
            <v>62.4</v>
          </cell>
          <cell r="HF135">
            <v>58</v>
          </cell>
          <cell r="HG135">
            <v>26</v>
          </cell>
          <cell r="HH135">
            <v>69</v>
          </cell>
          <cell r="HI135">
            <v>43</v>
          </cell>
          <cell r="HJ135">
            <v>24</v>
          </cell>
          <cell r="HK135">
            <v>64.2</v>
          </cell>
          <cell r="HL135">
            <v>8</v>
          </cell>
          <cell r="HM135">
            <v>8</v>
          </cell>
          <cell r="HN135">
            <v>50</v>
          </cell>
          <cell r="HO135">
            <v>5</v>
          </cell>
          <cell r="HP135">
            <v>8</v>
          </cell>
          <cell r="HQ135">
            <v>38.5</v>
          </cell>
          <cell r="HR135">
            <v>1</v>
          </cell>
          <cell r="HS135">
            <v>12</v>
          </cell>
          <cell r="HT135">
            <v>7.7</v>
          </cell>
          <cell r="HU135">
            <v>3</v>
          </cell>
          <cell r="HV135">
            <v>9</v>
          </cell>
          <cell r="HW135">
            <v>25</v>
          </cell>
          <cell r="HX135">
            <v>3</v>
          </cell>
          <cell r="HY135">
            <v>8</v>
          </cell>
          <cell r="HZ135">
            <v>27.3</v>
          </cell>
          <cell r="IA135">
            <v>3</v>
          </cell>
          <cell r="IB135">
            <v>8</v>
          </cell>
          <cell r="IC135">
            <v>27.3</v>
          </cell>
          <cell r="ID135">
            <v>3</v>
          </cell>
          <cell r="IE135">
            <v>1</v>
          </cell>
          <cell r="IF135">
            <v>75</v>
          </cell>
          <cell r="IG135">
            <v>7</v>
          </cell>
          <cell r="IH135">
            <v>2</v>
          </cell>
          <cell r="II135">
            <v>77.8</v>
          </cell>
          <cell r="IJ135">
            <v>2</v>
          </cell>
          <cell r="IK135">
            <v>3</v>
          </cell>
          <cell r="IL135">
            <v>40</v>
          </cell>
          <cell r="IM135">
            <v>1</v>
          </cell>
          <cell r="IN135">
            <v>1</v>
          </cell>
          <cell r="IO135">
            <v>100</v>
          </cell>
          <cell r="IP135">
            <v>1</v>
          </cell>
          <cell r="IQ135">
            <v>1</v>
          </cell>
          <cell r="IR135">
            <v>100</v>
          </cell>
          <cell r="IS135">
            <v>3</v>
          </cell>
          <cell r="IT135">
            <v>2</v>
          </cell>
          <cell r="IU135">
            <v>60</v>
          </cell>
          <cell r="IV135">
            <v>60</v>
          </cell>
          <cell r="IW135">
            <v>1</v>
          </cell>
          <cell r="IX135">
            <v>0</v>
          </cell>
          <cell r="IY135">
            <v>0</v>
          </cell>
          <cell r="IZ135">
            <v>0</v>
          </cell>
          <cell r="JA135" t="str">
            <v>-</v>
          </cell>
          <cell r="JB135">
            <v>1</v>
          </cell>
          <cell r="JC135">
            <v>1</v>
          </cell>
          <cell r="JD135">
            <v>100</v>
          </cell>
          <cell r="JE135">
            <v>1</v>
          </cell>
          <cell r="JF135">
            <v>1</v>
          </cell>
          <cell r="JG135">
            <v>50</v>
          </cell>
          <cell r="JH135">
            <v>0</v>
          </cell>
          <cell r="JI135">
            <v>0</v>
          </cell>
          <cell r="JJ135" t="str">
            <v>-</v>
          </cell>
          <cell r="JK135">
            <v>0</v>
          </cell>
          <cell r="JL135">
            <v>0</v>
          </cell>
          <cell r="JM135" t="str">
            <v>-</v>
          </cell>
          <cell r="JN135">
            <v>0</v>
          </cell>
          <cell r="JO135">
            <v>0</v>
          </cell>
          <cell r="JP135" t="str">
            <v>-</v>
          </cell>
          <cell r="JQ135">
            <v>331</v>
          </cell>
          <cell r="JR135">
            <v>160</v>
          </cell>
          <cell r="JS135">
            <v>67.413441955193491</v>
          </cell>
          <cell r="JT135">
            <v>149</v>
          </cell>
          <cell r="JU135">
            <v>117</v>
          </cell>
          <cell r="JV135">
            <v>56.015037593984964</v>
          </cell>
          <cell r="JW135">
            <v>0</v>
          </cell>
          <cell r="JX135">
            <v>0</v>
          </cell>
          <cell r="JY135" t="str">
            <v>-</v>
          </cell>
          <cell r="JZ135">
            <v>30</v>
          </cell>
          <cell r="KA135">
            <v>44</v>
          </cell>
          <cell r="KB135">
            <v>40.54054054054054</v>
          </cell>
          <cell r="KC135">
            <v>0</v>
          </cell>
          <cell r="KD135">
            <v>0</v>
          </cell>
          <cell r="KE135" t="str">
            <v>-</v>
          </cell>
          <cell r="KF135">
            <v>257</v>
          </cell>
          <cell r="KG135">
            <v>139</v>
          </cell>
          <cell r="KH135">
            <v>64.898989898989896</v>
          </cell>
          <cell r="KI135">
            <v>19</v>
          </cell>
          <cell r="KJ135">
            <v>28</v>
          </cell>
          <cell r="KK135">
            <v>40.425531914893611</v>
          </cell>
          <cell r="KL135">
            <v>5</v>
          </cell>
          <cell r="KM135">
            <v>4</v>
          </cell>
          <cell r="KN135">
            <v>55.555555555555557</v>
          </cell>
        </row>
        <row r="136">
          <cell r="C136" t="str">
            <v>Dunakeszi Rendőrkapitányság</v>
          </cell>
          <cell r="D136">
            <v>55.5555419921875</v>
          </cell>
          <cell r="E136">
            <v>55.5555419921875</v>
          </cell>
          <cell r="F136" t="str">
            <v>-</v>
          </cell>
          <cell r="G136">
            <v>55.5555419921875</v>
          </cell>
          <cell r="H136">
            <v>55.5555419921875</v>
          </cell>
          <cell r="I136" t="str">
            <v>-</v>
          </cell>
          <cell r="J136">
            <v>55.5555419921875</v>
          </cell>
          <cell r="K136">
            <v>55.5555419921875</v>
          </cell>
          <cell r="L136" t="str">
            <v>-</v>
          </cell>
          <cell r="M136">
            <v>55.5555419921875</v>
          </cell>
          <cell r="N136">
            <v>55.5555419921875</v>
          </cell>
          <cell r="O136" t="str">
            <v>-</v>
          </cell>
          <cell r="P136">
            <v>55.5555419921875</v>
          </cell>
          <cell r="Q136">
            <v>55.5555419921875</v>
          </cell>
          <cell r="R136" t="str">
            <v>-</v>
          </cell>
          <cell r="S136">
            <v>55.5555419921875</v>
          </cell>
          <cell r="T136">
            <v>55.5555419921875</v>
          </cell>
          <cell r="U136" t="str">
            <v>-</v>
          </cell>
          <cell r="V136">
            <v>55.5555419921875</v>
          </cell>
          <cell r="W136">
            <v>55.5555419921875</v>
          </cell>
          <cell r="X136" t="str">
            <v>-</v>
          </cell>
          <cell r="Y136">
            <v>55.5555419921875</v>
          </cell>
          <cell r="Z136">
            <v>55.5555419921875</v>
          </cell>
          <cell r="AA136" t="str">
            <v>-</v>
          </cell>
          <cell r="AB136">
            <v>55.5555419921875</v>
          </cell>
          <cell r="AC136">
            <v>55.5555419921875</v>
          </cell>
          <cell r="AD136" t="str">
            <v>-</v>
          </cell>
          <cell r="AE136">
            <v>55.5555419921875</v>
          </cell>
          <cell r="AF136">
            <v>55.5555419921875</v>
          </cell>
          <cell r="AG136" t="str">
            <v>-</v>
          </cell>
          <cell r="AH136">
            <v>55.5555419921875</v>
          </cell>
          <cell r="AI136">
            <v>55.5555419921875</v>
          </cell>
          <cell r="AJ136" t="str">
            <v>-</v>
          </cell>
          <cell r="AK136">
            <v>55.5555419921875</v>
          </cell>
          <cell r="AL136">
            <v>55.5555419921875</v>
          </cell>
          <cell r="AM136" t="str">
            <v>-</v>
          </cell>
          <cell r="AN136">
            <v>55.5555419921875</v>
          </cell>
          <cell r="AO136">
            <v>55.5555419921875</v>
          </cell>
          <cell r="AP136" t="str">
            <v>-</v>
          </cell>
          <cell r="AQ136">
            <v>55.5555419921875</v>
          </cell>
          <cell r="AR136">
            <v>55.5555419921875</v>
          </cell>
          <cell r="AS136" t="str">
            <v>-</v>
          </cell>
          <cell r="AT136">
            <v>55.5555419921875</v>
          </cell>
          <cell r="AU136">
            <v>55.5555419921875</v>
          </cell>
          <cell r="AV136" t="str">
            <v>-</v>
          </cell>
          <cell r="AW136">
            <v>55.5555419921875</v>
          </cell>
          <cell r="AX136">
            <v>55.5555419921875</v>
          </cell>
          <cell r="AY136" t="str">
            <v>-</v>
          </cell>
          <cell r="AZ136">
            <v>55.5555419921875</v>
          </cell>
          <cell r="BA136">
            <v>55.5555419921875</v>
          </cell>
          <cell r="BB136" t="str">
            <v>-</v>
          </cell>
          <cell r="BC136">
            <v>55.5555419921875</v>
          </cell>
          <cell r="BD136">
            <v>55.5555419921875</v>
          </cell>
          <cell r="BE136" t="str">
            <v>-</v>
          </cell>
          <cell r="BF136">
            <v>55.5555419921875</v>
          </cell>
          <cell r="BG136">
            <v>55.5555419921875</v>
          </cell>
          <cell r="BH136" t="str">
            <v>-</v>
          </cell>
          <cell r="BI136">
            <v>55.5555419921875</v>
          </cell>
          <cell r="BJ136">
            <v>55.5555419921875</v>
          </cell>
          <cell r="BK136" t="str">
            <v>-</v>
          </cell>
          <cell r="BL136">
            <v>55.5555419921875</v>
          </cell>
          <cell r="BM136">
            <v>55.5555419921875</v>
          </cell>
          <cell r="BN136" t="str">
            <v>-</v>
          </cell>
          <cell r="BO136">
            <v>55.5555419921875</v>
          </cell>
          <cell r="BP136">
            <v>55.5555419921875</v>
          </cell>
          <cell r="BQ136" t="str">
            <v>-</v>
          </cell>
          <cell r="BR136">
            <v>55.5555419921875</v>
          </cell>
          <cell r="BS136">
            <v>55.5555419921875</v>
          </cell>
          <cell r="BT136" t="str">
            <v>-</v>
          </cell>
          <cell r="BU136">
            <v>55.5555419921875</v>
          </cell>
          <cell r="BV136">
            <v>55.5555419921875</v>
          </cell>
          <cell r="BW136" t="str">
            <v>-</v>
          </cell>
          <cell r="BX136">
            <v>41</v>
          </cell>
          <cell r="BY136">
            <v>10</v>
          </cell>
          <cell r="BZ136">
            <v>80.400000000000006</v>
          </cell>
          <cell r="CA136">
            <v>42</v>
          </cell>
          <cell r="CB136">
            <v>9</v>
          </cell>
          <cell r="CC136">
            <v>82.4</v>
          </cell>
          <cell r="CD136">
            <v>41</v>
          </cell>
          <cell r="CE136">
            <v>20</v>
          </cell>
          <cell r="CF136">
            <v>67.2</v>
          </cell>
          <cell r="CG136">
            <v>51</v>
          </cell>
          <cell r="CH136">
            <v>8</v>
          </cell>
          <cell r="CI136">
            <v>86.4</v>
          </cell>
          <cell r="CJ136">
            <v>58</v>
          </cell>
          <cell r="CK136">
            <v>12</v>
          </cell>
          <cell r="CL136">
            <v>82.9</v>
          </cell>
          <cell r="CM136">
            <v>32</v>
          </cell>
          <cell r="CN136">
            <v>8</v>
          </cell>
          <cell r="CO136">
            <v>80</v>
          </cell>
          <cell r="CP136">
            <v>66</v>
          </cell>
          <cell r="CQ136">
            <v>10</v>
          </cell>
          <cell r="CR136">
            <v>86.8</v>
          </cell>
          <cell r="CS136">
            <v>52</v>
          </cell>
          <cell r="CT136">
            <v>11</v>
          </cell>
          <cell r="CU136">
            <v>82.5</v>
          </cell>
          <cell r="CV136">
            <v>27</v>
          </cell>
          <cell r="CW136">
            <v>6</v>
          </cell>
          <cell r="CX136">
            <v>81.8</v>
          </cell>
          <cell r="CY136">
            <v>19</v>
          </cell>
          <cell r="CZ136">
            <v>7</v>
          </cell>
          <cell r="DA136">
            <v>73.099999999999994</v>
          </cell>
          <cell r="DB136">
            <v>20</v>
          </cell>
          <cell r="DC136">
            <v>14</v>
          </cell>
          <cell r="DD136">
            <v>58.8</v>
          </cell>
          <cell r="DE136">
            <v>28</v>
          </cell>
          <cell r="DF136">
            <v>6</v>
          </cell>
          <cell r="DG136">
            <v>82.4</v>
          </cell>
          <cell r="DH136">
            <v>27</v>
          </cell>
          <cell r="DI136">
            <v>10</v>
          </cell>
          <cell r="DJ136">
            <v>73</v>
          </cell>
          <cell r="DK136">
            <v>11</v>
          </cell>
          <cell r="DL136">
            <v>6</v>
          </cell>
          <cell r="DM136">
            <v>64.7</v>
          </cell>
          <cell r="DN136">
            <v>25</v>
          </cell>
          <cell r="DO136">
            <v>6</v>
          </cell>
          <cell r="DP136">
            <v>80.599999999999994</v>
          </cell>
          <cell r="DQ136">
            <v>23</v>
          </cell>
          <cell r="DR136">
            <v>6</v>
          </cell>
          <cell r="DS136">
            <v>79.3</v>
          </cell>
          <cell r="DT136">
            <v>79.29998779296875</v>
          </cell>
          <cell r="DU136">
            <v>79.29998779296875</v>
          </cell>
          <cell r="DV136" t="str">
            <v>-</v>
          </cell>
          <cell r="DW136">
            <v>79.29998779296875</v>
          </cell>
          <cell r="DX136">
            <v>79.29998779296875</v>
          </cell>
          <cell r="DY136" t="str">
            <v>-</v>
          </cell>
          <cell r="DZ136">
            <v>79.29998779296875</v>
          </cell>
          <cell r="EA136">
            <v>79.29998779296875</v>
          </cell>
          <cell r="EB136" t="str">
            <v>-</v>
          </cell>
          <cell r="EC136">
            <v>79.29998779296875</v>
          </cell>
          <cell r="ED136">
            <v>79.29998779296875</v>
          </cell>
          <cell r="EE136" t="str">
            <v>-</v>
          </cell>
          <cell r="EF136">
            <v>79.29998779296875</v>
          </cell>
          <cell r="EG136">
            <v>79.29998779296875</v>
          </cell>
          <cell r="EH136" t="str">
            <v>-</v>
          </cell>
          <cell r="EI136">
            <v>79.29998779296875</v>
          </cell>
          <cell r="EJ136">
            <v>79.29998779296875</v>
          </cell>
          <cell r="EK136" t="str">
            <v>-</v>
          </cell>
          <cell r="EL136">
            <v>79.29998779296875</v>
          </cell>
          <cell r="EM136">
            <v>79.29998779296875</v>
          </cell>
          <cell r="EN136" t="str">
            <v>-</v>
          </cell>
          <cell r="EO136">
            <v>79.29998779296875</v>
          </cell>
          <cell r="EP136">
            <v>79.29998779296875</v>
          </cell>
          <cell r="EQ136" t="str">
            <v>-</v>
          </cell>
          <cell r="ER136">
            <v>4</v>
          </cell>
          <cell r="ES136">
            <v>2</v>
          </cell>
          <cell r="ET136">
            <v>66.7</v>
          </cell>
          <cell r="EU136">
            <v>9</v>
          </cell>
          <cell r="EV136">
            <v>2</v>
          </cell>
          <cell r="EW136">
            <v>81.8</v>
          </cell>
          <cell r="EX136">
            <v>1</v>
          </cell>
          <cell r="EY136">
            <v>4</v>
          </cell>
          <cell r="EZ136">
            <v>20</v>
          </cell>
          <cell r="FA136">
            <v>4</v>
          </cell>
          <cell r="FB136">
            <v>4</v>
          </cell>
          <cell r="FC136">
            <v>100</v>
          </cell>
          <cell r="FD136">
            <v>3</v>
          </cell>
          <cell r="FE136">
            <v>2</v>
          </cell>
          <cell r="FF136">
            <v>60</v>
          </cell>
          <cell r="FG136">
            <v>1</v>
          </cell>
          <cell r="FH136">
            <v>1</v>
          </cell>
          <cell r="FI136">
            <v>50</v>
          </cell>
          <cell r="FJ136">
            <v>11</v>
          </cell>
          <cell r="FK136">
            <v>2</v>
          </cell>
          <cell r="FL136">
            <v>84.6</v>
          </cell>
          <cell r="FM136">
            <v>3</v>
          </cell>
          <cell r="FN136">
            <v>4</v>
          </cell>
          <cell r="FO136">
            <v>42.9</v>
          </cell>
          <cell r="FP136">
            <v>42.899993896484375</v>
          </cell>
          <cell r="FQ136">
            <v>42.899993896484375</v>
          </cell>
          <cell r="FR136" t="str">
            <v>-</v>
          </cell>
          <cell r="FS136">
            <v>42.899993896484375</v>
          </cell>
          <cell r="FT136">
            <v>42.899993896484375</v>
          </cell>
          <cell r="FU136" t="str">
            <v>-</v>
          </cell>
          <cell r="FV136">
            <v>42.899993896484375</v>
          </cell>
          <cell r="FW136">
            <v>42.899993896484375</v>
          </cell>
          <cell r="FX136" t="str">
            <v>-</v>
          </cell>
          <cell r="FY136">
            <v>42.899993896484375</v>
          </cell>
          <cell r="FZ136">
            <v>42.899993896484375</v>
          </cell>
          <cell r="GA136" t="str">
            <v>-</v>
          </cell>
          <cell r="GB136">
            <v>42.899993896484375</v>
          </cell>
          <cell r="GC136">
            <v>42.899993896484375</v>
          </cell>
          <cell r="GD136" t="str">
            <v>-</v>
          </cell>
          <cell r="GE136">
            <v>42.899993896484375</v>
          </cell>
          <cell r="GF136">
            <v>42.899993896484375</v>
          </cell>
          <cell r="GG136" t="str">
            <v>-</v>
          </cell>
          <cell r="GH136">
            <v>42.899993896484375</v>
          </cell>
          <cell r="GI136">
            <v>42.899993896484375</v>
          </cell>
          <cell r="GJ136" t="str">
            <v>-</v>
          </cell>
          <cell r="GK136">
            <v>42.899993896484375</v>
          </cell>
          <cell r="GL136">
            <v>42.899993896484375</v>
          </cell>
          <cell r="GM136" t="str">
            <v>-</v>
          </cell>
          <cell r="GN136">
            <v>21</v>
          </cell>
          <cell r="GO136">
            <v>8</v>
          </cell>
          <cell r="GP136">
            <v>72.400000000000006</v>
          </cell>
          <cell r="GQ136">
            <v>26</v>
          </cell>
          <cell r="GR136">
            <v>8</v>
          </cell>
          <cell r="GS136">
            <v>76.5</v>
          </cell>
          <cell r="GT136">
            <v>25</v>
          </cell>
          <cell r="GU136">
            <v>19</v>
          </cell>
          <cell r="GV136">
            <v>56.8</v>
          </cell>
          <cell r="GW136">
            <v>26</v>
          </cell>
          <cell r="GX136">
            <v>12</v>
          </cell>
          <cell r="GY136">
            <v>68.400000000000006</v>
          </cell>
          <cell r="GZ136">
            <v>46</v>
          </cell>
          <cell r="HA136">
            <v>10</v>
          </cell>
          <cell r="HB136">
            <v>82.1</v>
          </cell>
          <cell r="HC136">
            <v>53</v>
          </cell>
          <cell r="HD136">
            <v>8</v>
          </cell>
          <cell r="HE136">
            <v>86.9</v>
          </cell>
          <cell r="HF136">
            <v>65</v>
          </cell>
          <cell r="HG136">
            <v>13</v>
          </cell>
          <cell r="HH136">
            <v>83.3</v>
          </cell>
          <cell r="HI136">
            <v>73</v>
          </cell>
          <cell r="HJ136">
            <v>18</v>
          </cell>
          <cell r="HK136">
            <v>80.2</v>
          </cell>
          <cell r="HL136">
            <v>4</v>
          </cell>
          <cell r="HM136">
            <v>6</v>
          </cell>
          <cell r="HN136">
            <v>40</v>
          </cell>
          <cell r="HO136">
            <v>4</v>
          </cell>
          <cell r="HP136">
            <v>3</v>
          </cell>
          <cell r="HQ136">
            <v>57.1</v>
          </cell>
          <cell r="HR136">
            <v>9</v>
          </cell>
          <cell r="HS136">
            <v>6</v>
          </cell>
          <cell r="HT136">
            <v>60</v>
          </cell>
          <cell r="HU136">
            <v>6</v>
          </cell>
          <cell r="HV136">
            <v>1</v>
          </cell>
          <cell r="HW136">
            <v>85.7</v>
          </cell>
          <cell r="HX136">
            <v>3</v>
          </cell>
          <cell r="HY136">
            <v>3</v>
          </cell>
          <cell r="HZ136">
            <v>50</v>
          </cell>
          <cell r="IA136">
            <v>1</v>
          </cell>
          <cell r="IB136">
            <v>2</v>
          </cell>
          <cell r="IC136">
            <v>33.299999999999997</v>
          </cell>
          <cell r="ID136">
            <v>1</v>
          </cell>
          <cell r="IE136">
            <v>1</v>
          </cell>
          <cell r="IF136">
            <v>100</v>
          </cell>
          <cell r="IG136">
            <v>3</v>
          </cell>
          <cell r="IH136">
            <v>3</v>
          </cell>
          <cell r="II136">
            <v>50</v>
          </cell>
          <cell r="IJ136">
            <v>2</v>
          </cell>
          <cell r="IK136">
            <v>2</v>
          </cell>
          <cell r="IL136">
            <v>100</v>
          </cell>
          <cell r="IM136">
            <v>100</v>
          </cell>
          <cell r="IN136">
            <v>2</v>
          </cell>
          <cell r="IO136">
            <v>0</v>
          </cell>
          <cell r="IP136">
            <v>1</v>
          </cell>
          <cell r="IQ136">
            <v>1</v>
          </cell>
          <cell r="IR136">
            <v>50</v>
          </cell>
          <cell r="IS136">
            <v>2</v>
          </cell>
          <cell r="IT136">
            <v>2</v>
          </cell>
          <cell r="IU136">
            <v>100</v>
          </cell>
          <cell r="IV136">
            <v>1</v>
          </cell>
          <cell r="IW136">
            <v>1</v>
          </cell>
          <cell r="IX136">
            <v>50</v>
          </cell>
          <cell r="IY136">
            <v>2</v>
          </cell>
          <cell r="IZ136">
            <v>1</v>
          </cell>
          <cell r="JA136">
            <v>66.7</v>
          </cell>
          <cell r="JB136">
            <v>1</v>
          </cell>
          <cell r="JC136">
            <v>1</v>
          </cell>
          <cell r="JD136">
            <v>50</v>
          </cell>
          <cell r="JE136">
            <v>2</v>
          </cell>
          <cell r="JF136">
            <v>2</v>
          </cell>
          <cell r="JG136">
            <v>50</v>
          </cell>
          <cell r="JH136">
            <v>0</v>
          </cell>
          <cell r="JI136">
            <v>0</v>
          </cell>
          <cell r="JJ136" t="str">
            <v>-</v>
          </cell>
          <cell r="JK136">
            <v>0</v>
          </cell>
          <cell r="JL136">
            <v>0</v>
          </cell>
          <cell r="JM136" t="str">
            <v>-</v>
          </cell>
          <cell r="JN136">
            <v>0</v>
          </cell>
          <cell r="JO136">
            <v>0</v>
          </cell>
          <cell r="JP136" t="str">
            <v>-</v>
          </cell>
          <cell r="JQ136">
            <v>259</v>
          </cell>
          <cell r="JR136">
            <v>49</v>
          </cell>
          <cell r="JS136">
            <v>84.090909090909093</v>
          </cell>
          <cell r="JT136">
            <v>114</v>
          </cell>
          <cell r="JU136">
            <v>34</v>
          </cell>
          <cell r="JV136">
            <v>77.027027027027032</v>
          </cell>
          <cell r="JW136">
            <v>0</v>
          </cell>
          <cell r="JX136">
            <v>0</v>
          </cell>
          <cell r="JY136" t="str">
            <v>-</v>
          </cell>
          <cell r="JZ136">
            <v>22</v>
          </cell>
          <cell r="KA136">
            <v>9</v>
          </cell>
          <cell r="KB136">
            <v>70.967741935483872</v>
          </cell>
          <cell r="KC136">
            <v>0</v>
          </cell>
          <cell r="KD136">
            <v>0</v>
          </cell>
          <cell r="KE136" t="str">
            <v>-</v>
          </cell>
          <cell r="KF136">
            <v>263</v>
          </cell>
          <cell r="KG136">
            <v>61</v>
          </cell>
          <cell r="KH136">
            <v>81.172839506172849</v>
          </cell>
          <cell r="KI136">
            <v>14</v>
          </cell>
          <cell r="KJ136">
            <v>9</v>
          </cell>
          <cell r="KK136">
            <v>60.869565217391312</v>
          </cell>
          <cell r="KL136">
            <v>8</v>
          </cell>
          <cell r="KM136">
            <v>5</v>
          </cell>
          <cell r="KN136">
            <v>61.53846153846154</v>
          </cell>
        </row>
        <row r="137">
          <cell r="C137" t="str">
            <v>Szigetszentmiklósi Rendőrkapitányság</v>
          </cell>
          <cell r="D137">
            <v>61.5384521484375</v>
          </cell>
          <cell r="E137">
            <v>61.5384521484375</v>
          </cell>
          <cell r="F137" t="str">
            <v>-</v>
          </cell>
          <cell r="G137">
            <v>61.5384521484375</v>
          </cell>
          <cell r="H137">
            <v>61.5384521484375</v>
          </cell>
          <cell r="I137" t="str">
            <v>-</v>
          </cell>
          <cell r="J137">
            <v>61.5384521484375</v>
          </cell>
          <cell r="K137">
            <v>61.5384521484375</v>
          </cell>
          <cell r="L137" t="str">
            <v>-</v>
          </cell>
          <cell r="M137">
            <v>61.5384521484375</v>
          </cell>
          <cell r="N137">
            <v>61.5384521484375</v>
          </cell>
          <cell r="O137" t="str">
            <v>-</v>
          </cell>
          <cell r="P137">
            <v>61.5384521484375</v>
          </cell>
          <cell r="Q137">
            <v>61.5384521484375</v>
          </cell>
          <cell r="R137" t="str">
            <v>-</v>
          </cell>
          <cell r="S137">
            <v>61.5384521484375</v>
          </cell>
          <cell r="T137">
            <v>61.5384521484375</v>
          </cell>
          <cell r="U137" t="str">
            <v>-</v>
          </cell>
          <cell r="V137">
            <v>61.5384521484375</v>
          </cell>
          <cell r="W137">
            <v>61.5384521484375</v>
          </cell>
          <cell r="X137" t="str">
            <v>-</v>
          </cell>
          <cell r="Y137">
            <v>61.5384521484375</v>
          </cell>
          <cell r="Z137">
            <v>61.5384521484375</v>
          </cell>
          <cell r="AA137" t="str">
            <v>-</v>
          </cell>
          <cell r="AB137">
            <v>61.5384521484375</v>
          </cell>
          <cell r="AC137">
            <v>61.5384521484375</v>
          </cell>
          <cell r="AD137" t="str">
            <v>-</v>
          </cell>
          <cell r="AE137">
            <v>61.5384521484375</v>
          </cell>
          <cell r="AF137">
            <v>61.5384521484375</v>
          </cell>
          <cell r="AG137" t="str">
            <v>-</v>
          </cell>
          <cell r="AH137">
            <v>61.5384521484375</v>
          </cell>
          <cell r="AI137">
            <v>61.5384521484375</v>
          </cell>
          <cell r="AJ137" t="str">
            <v>-</v>
          </cell>
          <cell r="AK137">
            <v>61.5384521484375</v>
          </cell>
          <cell r="AL137">
            <v>61.5384521484375</v>
          </cell>
          <cell r="AM137" t="str">
            <v>-</v>
          </cell>
          <cell r="AN137">
            <v>61.5384521484375</v>
          </cell>
          <cell r="AO137">
            <v>61.5384521484375</v>
          </cell>
          <cell r="AP137" t="str">
            <v>-</v>
          </cell>
          <cell r="AQ137">
            <v>61.5384521484375</v>
          </cell>
          <cell r="AR137">
            <v>61.5384521484375</v>
          </cell>
          <cell r="AS137" t="str">
            <v>-</v>
          </cell>
          <cell r="AT137">
            <v>61.5384521484375</v>
          </cell>
          <cell r="AU137">
            <v>61.5384521484375</v>
          </cell>
          <cell r="AV137" t="str">
            <v>-</v>
          </cell>
          <cell r="AW137">
            <v>61.5384521484375</v>
          </cell>
          <cell r="AX137">
            <v>61.5384521484375</v>
          </cell>
          <cell r="AY137" t="str">
            <v>-</v>
          </cell>
          <cell r="AZ137">
            <v>61.5384521484375</v>
          </cell>
          <cell r="BA137">
            <v>61.5384521484375</v>
          </cell>
          <cell r="BB137" t="str">
            <v>-</v>
          </cell>
          <cell r="BC137">
            <v>61.5384521484375</v>
          </cell>
          <cell r="BD137">
            <v>61.5384521484375</v>
          </cell>
          <cell r="BE137" t="str">
            <v>-</v>
          </cell>
          <cell r="BF137">
            <v>61.5384521484375</v>
          </cell>
          <cell r="BG137">
            <v>61.5384521484375</v>
          </cell>
          <cell r="BH137" t="str">
            <v>-</v>
          </cell>
          <cell r="BI137">
            <v>61.5384521484375</v>
          </cell>
          <cell r="BJ137">
            <v>61.5384521484375</v>
          </cell>
          <cell r="BK137" t="str">
            <v>-</v>
          </cell>
          <cell r="BL137">
            <v>61.5384521484375</v>
          </cell>
          <cell r="BM137">
            <v>61.5384521484375</v>
          </cell>
          <cell r="BN137" t="str">
            <v>-</v>
          </cell>
          <cell r="BO137">
            <v>61.5384521484375</v>
          </cell>
          <cell r="BP137">
            <v>61.5384521484375</v>
          </cell>
          <cell r="BQ137" t="str">
            <v>-</v>
          </cell>
          <cell r="BR137">
            <v>61.5384521484375</v>
          </cell>
          <cell r="BS137">
            <v>61.5384521484375</v>
          </cell>
          <cell r="BT137" t="str">
            <v>-</v>
          </cell>
          <cell r="BU137">
            <v>61.5384521484375</v>
          </cell>
          <cell r="BV137">
            <v>61.5384521484375</v>
          </cell>
          <cell r="BW137" t="str">
            <v>-</v>
          </cell>
          <cell r="BX137">
            <v>52</v>
          </cell>
          <cell r="BY137">
            <v>32</v>
          </cell>
          <cell r="BZ137">
            <v>61.9</v>
          </cell>
          <cell r="CA137">
            <v>69</v>
          </cell>
          <cell r="CB137">
            <v>20</v>
          </cell>
          <cell r="CC137">
            <v>77.5</v>
          </cell>
          <cell r="CD137">
            <v>49</v>
          </cell>
          <cell r="CE137">
            <v>20</v>
          </cell>
          <cell r="CF137">
            <v>71</v>
          </cell>
          <cell r="CG137">
            <v>60</v>
          </cell>
          <cell r="CH137">
            <v>22</v>
          </cell>
          <cell r="CI137">
            <v>73.2</v>
          </cell>
          <cell r="CJ137">
            <v>54</v>
          </cell>
          <cell r="CK137">
            <v>22</v>
          </cell>
          <cell r="CL137">
            <v>71.099999999999994</v>
          </cell>
          <cell r="CM137">
            <v>41</v>
          </cell>
          <cell r="CN137">
            <v>27</v>
          </cell>
          <cell r="CO137">
            <v>60.3</v>
          </cell>
          <cell r="CP137">
            <v>52</v>
          </cell>
          <cell r="CQ137">
            <v>32</v>
          </cell>
          <cell r="CR137">
            <v>61.9</v>
          </cell>
          <cell r="CS137">
            <v>39</v>
          </cell>
          <cell r="CT137">
            <v>19</v>
          </cell>
          <cell r="CU137">
            <v>67.2</v>
          </cell>
          <cell r="CV137">
            <v>29</v>
          </cell>
          <cell r="CW137">
            <v>29</v>
          </cell>
          <cell r="CX137">
            <v>50</v>
          </cell>
          <cell r="CY137">
            <v>41</v>
          </cell>
          <cell r="CZ137">
            <v>19</v>
          </cell>
          <cell r="DA137">
            <v>68.3</v>
          </cell>
          <cell r="DB137">
            <v>34</v>
          </cell>
          <cell r="DC137">
            <v>18</v>
          </cell>
          <cell r="DD137">
            <v>65.400000000000006</v>
          </cell>
          <cell r="DE137">
            <v>38</v>
          </cell>
          <cell r="DF137">
            <v>19</v>
          </cell>
          <cell r="DG137">
            <v>66.7</v>
          </cell>
          <cell r="DH137">
            <v>36</v>
          </cell>
          <cell r="DI137">
            <v>19</v>
          </cell>
          <cell r="DJ137">
            <v>65.5</v>
          </cell>
          <cell r="DK137">
            <v>25</v>
          </cell>
          <cell r="DL137">
            <v>20</v>
          </cell>
          <cell r="DM137">
            <v>55.6</v>
          </cell>
          <cell r="DN137">
            <v>39</v>
          </cell>
          <cell r="DO137">
            <v>27</v>
          </cell>
          <cell r="DP137">
            <v>59.1</v>
          </cell>
          <cell r="DQ137">
            <v>26</v>
          </cell>
          <cell r="DR137">
            <v>16</v>
          </cell>
          <cell r="DS137">
            <v>61.9</v>
          </cell>
          <cell r="DT137">
            <v>61.899993896484375</v>
          </cell>
          <cell r="DU137">
            <v>1</v>
          </cell>
          <cell r="DV137">
            <v>0</v>
          </cell>
          <cell r="DW137">
            <v>0</v>
          </cell>
          <cell r="DX137">
            <v>0</v>
          </cell>
          <cell r="DY137" t="str">
            <v>-</v>
          </cell>
          <cell r="DZ137">
            <v>0</v>
          </cell>
          <cell r="EA137">
            <v>0</v>
          </cell>
          <cell r="EB137" t="str">
            <v>-</v>
          </cell>
          <cell r="EC137">
            <v>0</v>
          </cell>
          <cell r="ED137">
            <v>0</v>
          </cell>
          <cell r="EE137" t="str">
            <v>-</v>
          </cell>
          <cell r="EF137">
            <v>0</v>
          </cell>
          <cell r="EG137">
            <v>0</v>
          </cell>
          <cell r="EH137" t="str">
            <v>-</v>
          </cell>
          <cell r="EI137">
            <v>0</v>
          </cell>
          <cell r="EJ137">
            <v>0</v>
          </cell>
          <cell r="EK137" t="str">
            <v>-</v>
          </cell>
          <cell r="EL137">
            <v>0</v>
          </cell>
          <cell r="EM137">
            <v>0</v>
          </cell>
          <cell r="EN137" t="str">
            <v>-</v>
          </cell>
          <cell r="EO137">
            <v>0</v>
          </cell>
          <cell r="EP137">
            <v>0</v>
          </cell>
          <cell r="EQ137" t="str">
            <v>-</v>
          </cell>
          <cell r="ER137">
            <v>2</v>
          </cell>
          <cell r="ES137">
            <v>1</v>
          </cell>
          <cell r="ET137">
            <v>66.7</v>
          </cell>
          <cell r="EU137">
            <v>6</v>
          </cell>
          <cell r="EV137">
            <v>2</v>
          </cell>
          <cell r="EW137">
            <v>75</v>
          </cell>
          <cell r="EX137">
            <v>1</v>
          </cell>
          <cell r="EY137">
            <v>8</v>
          </cell>
          <cell r="EZ137">
            <v>11.1</v>
          </cell>
          <cell r="FA137">
            <v>1</v>
          </cell>
          <cell r="FB137">
            <v>5</v>
          </cell>
          <cell r="FC137">
            <v>16.7</v>
          </cell>
          <cell r="FD137">
            <v>10</v>
          </cell>
          <cell r="FE137">
            <v>2</v>
          </cell>
          <cell r="FF137">
            <v>83.3</v>
          </cell>
          <cell r="FG137">
            <v>83.29998779296875</v>
          </cell>
          <cell r="FH137">
            <v>4</v>
          </cell>
          <cell r="FI137">
            <v>0</v>
          </cell>
          <cell r="FJ137">
            <v>1</v>
          </cell>
          <cell r="FK137">
            <v>3</v>
          </cell>
          <cell r="FL137">
            <v>25</v>
          </cell>
          <cell r="FM137">
            <v>8</v>
          </cell>
          <cell r="FN137">
            <v>6</v>
          </cell>
          <cell r="FO137">
            <v>57.1</v>
          </cell>
          <cell r="FP137">
            <v>57.0999755859375</v>
          </cell>
          <cell r="FQ137">
            <v>57.0999755859375</v>
          </cell>
          <cell r="FR137" t="str">
            <v>-</v>
          </cell>
          <cell r="FS137">
            <v>57.0999755859375</v>
          </cell>
          <cell r="FT137">
            <v>57.0999755859375</v>
          </cell>
          <cell r="FU137" t="str">
            <v>-</v>
          </cell>
          <cell r="FV137">
            <v>57.0999755859375</v>
          </cell>
          <cell r="FW137">
            <v>57.0999755859375</v>
          </cell>
          <cell r="FX137" t="str">
            <v>-</v>
          </cell>
          <cell r="FY137">
            <v>57.0999755859375</v>
          </cell>
          <cell r="FZ137">
            <v>57.0999755859375</v>
          </cell>
          <cell r="GA137" t="str">
            <v>-</v>
          </cell>
          <cell r="GB137">
            <v>57.0999755859375</v>
          </cell>
          <cell r="GC137">
            <v>57.0999755859375</v>
          </cell>
          <cell r="GD137" t="str">
            <v>-</v>
          </cell>
          <cell r="GE137">
            <v>57.0999755859375</v>
          </cell>
          <cell r="GF137">
            <v>57.0999755859375</v>
          </cell>
          <cell r="GG137" t="str">
            <v>-</v>
          </cell>
          <cell r="GH137">
            <v>57.0999755859375</v>
          </cell>
          <cell r="GI137">
            <v>57.0999755859375</v>
          </cell>
          <cell r="GJ137" t="str">
            <v>-</v>
          </cell>
          <cell r="GK137">
            <v>57.0999755859375</v>
          </cell>
          <cell r="GL137">
            <v>57.0999755859375</v>
          </cell>
          <cell r="GM137" t="str">
            <v>-</v>
          </cell>
          <cell r="GN137">
            <v>21</v>
          </cell>
          <cell r="GO137">
            <v>9</v>
          </cell>
          <cell r="GP137">
            <v>70</v>
          </cell>
          <cell r="GQ137">
            <v>15</v>
          </cell>
          <cell r="GR137">
            <v>6</v>
          </cell>
          <cell r="GS137">
            <v>71.400000000000006</v>
          </cell>
          <cell r="GT137">
            <v>18</v>
          </cell>
          <cell r="GU137">
            <v>15</v>
          </cell>
          <cell r="GV137">
            <v>54.5</v>
          </cell>
          <cell r="GW137">
            <v>28</v>
          </cell>
          <cell r="GX137">
            <v>5</v>
          </cell>
          <cell r="GY137">
            <v>84.8</v>
          </cell>
          <cell r="GZ137">
            <v>18</v>
          </cell>
          <cell r="HA137">
            <v>8</v>
          </cell>
          <cell r="HB137">
            <v>69.2</v>
          </cell>
          <cell r="HC137">
            <v>14</v>
          </cell>
          <cell r="HD137">
            <v>7</v>
          </cell>
          <cell r="HE137">
            <v>66.7</v>
          </cell>
          <cell r="HF137">
            <v>26</v>
          </cell>
          <cell r="HG137">
            <v>21</v>
          </cell>
          <cell r="HH137">
            <v>55.3</v>
          </cell>
          <cell r="HI137">
            <v>27</v>
          </cell>
          <cell r="HJ137">
            <v>7</v>
          </cell>
          <cell r="HK137">
            <v>79.400000000000006</v>
          </cell>
          <cell r="HL137">
            <v>4</v>
          </cell>
          <cell r="HM137">
            <v>5</v>
          </cell>
          <cell r="HN137">
            <v>44.4</v>
          </cell>
          <cell r="HO137">
            <v>5</v>
          </cell>
          <cell r="HP137">
            <v>9</v>
          </cell>
          <cell r="HQ137">
            <v>35.700000000000003</v>
          </cell>
          <cell r="HR137">
            <v>6</v>
          </cell>
          <cell r="HS137">
            <v>4</v>
          </cell>
          <cell r="HT137">
            <v>60</v>
          </cell>
          <cell r="HU137">
            <v>6</v>
          </cell>
          <cell r="HV137">
            <v>3</v>
          </cell>
          <cell r="HW137">
            <v>66.7</v>
          </cell>
          <cell r="HX137">
            <v>6</v>
          </cell>
          <cell r="HY137">
            <v>3</v>
          </cell>
          <cell r="HZ137">
            <v>66.7</v>
          </cell>
          <cell r="IA137">
            <v>66.699951171875</v>
          </cell>
          <cell r="IB137">
            <v>5</v>
          </cell>
          <cell r="IC137">
            <v>0</v>
          </cell>
          <cell r="ID137">
            <v>0</v>
          </cell>
          <cell r="IE137">
            <v>0</v>
          </cell>
          <cell r="IF137" t="str">
            <v>-</v>
          </cell>
          <cell r="IG137">
            <v>3</v>
          </cell>
          <cell r="IH137">
            <v>1</v>
          </cell>
          <cell r="II137">
            <v>75</v>
          </cell>
          <cell r="IJ137">
            <v>11</v>
          </cell>
          <cell r="IK137">
            <v>1</v>
          </cell>
          <cell r="IL137">
            <v>91.7</v>
          </cell>
          <cell r="IM137">
            <v>91.699951171875</v>
          </cell>
          <cell r="IN137">
            <v>91.699951171875</v>
          </cell>
          <cell r="IO137" t="str">
            <v>-</v>
          </cell>
          <cell r="IP137">
            <v>3</v>
          </cell>
          <cell r="IQ137">
            <v>3</v>
          </cell>
          <cell r="IR137">
            <v>50</v>
          </cell>
          <cell r="IS137">
            <v>1</v>
          </cell>
          <cell r="IT137">
            <v>1</v>
          </cell>
          <cell r="IU137">
            <v>50</v>
          </cell>
          <cell r="IV137">
            <v>2</v>
          </cell>
          <cell r="IW137">
            <v>2</v>
          </cell>
          <cell r="IX137">
            <v>100</v>
          </cell>
          <cell r="IY137">
            <v>2</v>
          </cell>
          <cell r="IZ137">
            <v>3</v>
          </cell>
          <cell r="JA137">
            <v>40</v>
          </cell>
          <cell r="JB137">
            <v>3</v>
          </cell>
          <cell r="JC137">
            <v>2</v>
          </cell>
          <cell r="JD137">
            <v>60</v>
          </cell>
          <cell r="JE137">
            <v>15</v>
          </cell>
          <cell r="JF137">
            <v>3</v>
          </cell>
          <cell r="JG137">
            <v>83.3</v>
          </cell>
          <cell r="JH137">
            <v>0</v>
          </cell>
          <cell r="JI137">
            <v>0</v>
          </cell>
          <cell r="JJ137" t="str">
            <v>-</v>
          </cell>
          <cell r="JK137">
            <v>0</v>
          </cell>
          <cell r="JL137">
            <v>0</v>
          </cell>
          <cell r="JM137" t="str">
            <v>-</v>
          </cell>
          <cell r="JN137">
            <v>0</v>
          </cell>
          <cell r="JO137">
            <v>0</v>
          </cell>
          <cell r="JP137" t="str">
            <v>-</v>
          </cell>
          <cell r="JQ137">
            <v>246</v>
          </cell>
          <cell r="JR137">
            <v>122</v>
          </cell>
          <cell r="JS137">
            <v>66.847826086956516</v>
          </cell>
          <cell r="JT137">
            <v>164</v>
          </cell>
          <cell r="JU137">
            <v>101</v>
          </cell>
          <cell r="JV137">
            <v>61.886792452830186</v>
          </cell>
          <cell r="JW137">
            <v>0</v>
          </cell>
          <cell r="JX137">
            <v>0</v>
          </cell>
          <cell r="JY137" t="str">
            <v>-</v>
          </cell>
          <cell r="JZ137">
            <v>20</v>
          </cell>
          <cell r="KA137">
            <v>20</v>
          </cell>
          <cell r="KB137">
            <v>50</v>
          </cell>
          <cell r="KC137">
            <v>0</v>
          </cell>
          <cell r="KD137">
            <v>0</v>
          </cell>
          <cell r="KE137" t="str">
            <v>-</v>
          </cell>
          <cell r="KF137">
            <v>113</v>
          </cell>
          <cell r="KG137">
            <v>48</v>
          </cell>
          <cell r="KH137">
            <v>70.186335403726702</v>
          </cell>
          <cell r="KI137">
            <v>15</v>
          </cell>
          <cell r="KJ137">
            <v>12</v>
          </cell>
          <cell r="KK137">
            <v>55.555555555555557</v>
          </cell>
          <cell r="KL137">
            <v>23</v>
          </cell>
          <cell r="KM137">
            <v>9</v>
          </cell>
          <cell r="KN137">
            <v>71.875</v>
          </cell>
        </row>
        <row r="138">
          <cell r="C138" t="str">
            <v>Pest Megyei Rendőr-főkapitányság</v>
          </cell>
          <cell r="D138">
            <v>35</v>
          </cell>
          <cell r="E138">
            <v>7</v>
          </cell>
          <cell r="F138">
            <v>83.3</v>
          </cell>
          <cell r="G138">
            <v>33</v>
          </cell>
          <cell r="H138">
            <v>7</v>
          </cell>
          <cell r="I138">
            <v>82.5</v>
          </cell>
          <cell r="J138">
            <v>30</v>
          </cell>
          <cell r="K138">
            <v>7</v>
          </cell>
          <cell r="L138">
            <v>81.099999999999994</v>
          </cell>
          <cell r="M138">
            <v>35</v>
          </cell>
          <cell r="N138">
            <v>4</v>
          </cell>
          <cell r="O138">
            <v>89.7</v>
          </cell>
          <cell r="P138">
            <v>38</v>
          </cell>
          <cell r="Q138">
            <v>3</v>
          </cell>
          <cell r="R138">
            <v>92.7</v>
          </cell>
          <cell r="S138">
            <v>32</v>
          </cell>
          <cell r="T138">
            <v>3</v>
          </cell>
          <cell r="U138">
            <v>91.4</v>
          </cell>
          <cell r="V138">
            <v>28</v>
          </cell>
          <cell r="W138">
            <v>3</v>
          </cell>
          <cell r="X138">
            <v>90.3</v>
          </cell>
          <cell r="Y138">
            <v>24</v>
          </cell>
          <cell r="Z138">
            <v>2</v>
          </cell>
          <cell r="AA138">
            <v>92.3</v>
          </cell>
          <cell r="AB138">
            <v>20</v>
          </cell>
          <cell r="AC138">
            <v>4</v>
          </cell>
          <cell r="AD138">
            <v>83.3</v>
          </cell>
          <cell r="AE138">
            <v>14</v>
          </cell>
          <cell r="AF138">
            <v>3</v>
          </cell>
          <cell r="AG138">
            <v>82.4</v>
          </cell>
          <cell r="AH138">
            <v>14</v>
          </cell>
          <cell r="AI138">
            <v>5</v>
          </cell>
          <cell r="AJ138">
            <v>73.7</v>
          </cell>
          <cell r="AK138">
            <v>14</v>
          </cell>
          <cell r="AL138">
            <v>4</v>
          </cell>
          <cell r="AM138">
            <v>77.8</v>
          </cell>
          <cell r="AN138">
            <v>16</v>
          </cell>
          <cell r="AO138">
            <v>1</v>
          </cell>
          <cell r="AP138">
            <v>94.1</v>
          </cell>
          <cell r="AQ138">
            <v>9</v>
          </cell>
          <cell r="AR138">
            <v>1</v>
          </cell>
          <cell r="AS138">
            <v>90</v>
          </cell>
          <cell r="AT138">
            <v>11</v>
          </cell>
          <cell r="AU138">
            <v>11</v>
          </cell>
          <cell r="AV138">
            <v>100</v>
          </cell>
          <cell r="AW138">
            <v>10</v>
          </cell>
          <cell r="AX138">
            <v>10</v>
          </cell>
          <cell r="AY138">
            <v>100</v>
          </cell>
          <cell r="AZ138">
            <v>13</v>
          </cell>
          <cell r="BA138">
            <v>3</v>
          </cell>
          <cell r="BB138">
            <v>81.3</v>
          </cell>
          <cell r="BC138">
            <v>18</v>
          </cell>
          <cell r="BD138">
            <v>2</v>
          </cell>
          <cell r="BE138">
            <v>90</v>
          </cell>
          <cell r="BF138">
            <v>13</v>
          </cell>
          <cell r="BG138">
            <v>1</v>
          </cell>
          <cell r="BH138">
            <v>92.9</v>
          </cell>
          <cell r="BI138">
            <v>20</v>
          </cell>
          <cell r="BJ138">
            <v>20</v>
          </cell>
          <cell r="BK138">
            <v>100</v>
          </cell>
          <cell r="BL138">
            <v>20</v>
          </cell>
          <cell r="BM138">
            <v>1</v>
          </cell>
          <cell r="BN138">
            <v>95.2</v>
          </cell>
          <cell r="BO138">
            <v>22</v>
          </cell>
          <cell r="BP138">
            <v>2</v>
          </cell>
          <cell r="BQ138">
            <v>91.7</v>
          </cell>
          <cell r="BR138">
            <v>15</v>
          </cell>
          <cell r="BS138">
            <v>3</v>
          </cell>
          <cell r="BT138">
            <v>83.3</v>
          </cell>
          <cell r="BU138">
            <v>14</v>
          </cell>
          <cell r="BV138">
            <v>2</v>
          </cell>
          <cell r="BW138">
            <v>87.5</v>
          </cell>
          <cell r="BX138">
            <v>977</v>
          </cell>
          <cell r="BY138">
            <v>282</v>
          </cell>
          <cell r="BZ138">
            <v>77.599999999999994</v>
          </cell>
          <cell r="CA138">
            <v>789</v>
          </cell>
          <cell r="CB138">
            <v>230</v>
          </cell>
          <cell r="CC138">
            <v>77.400000000000006</v>
          </cell>
          <cell r="CD138">
            <v>721</v>
          </cell>
          <cell r="CE138">
            <v>306</v>
          </cell>
          <cell r="CF138">
            <v>70.2</v>
          </cell>
          <cell r="CG138">
            <v>913</v>
          </cell>
          <cell r="CH138">
            <v>286</v>
          </cell>
          <cell r="CI138">
            <v>76.099999999999994</v>
          </cell>
          <cell r="CJ138">
            <v>897</v>
          </cell>
          <cell r="CK138">
            <v>294</v>
          </cell>
          <cell r="CL138">
            <v>75.3</v>
          </cell>
          <cell r="CM138">
            <v>858</v>
          </cell>
          <cell r="CN138">
            <v>304</v>
          </cell>
          <cell r="CO138">
            <v>73.8</v>
          </cell>
          <cell r="CP138">
            <v>760</v>
          </cell>
          <cell r="CQ138">
            <v>279</v>
          </cell>
          <cell r="CR138">
            <v>73.099999999999994</v>
          </cell>
          <cell r="CS138">
            <v>705</v>
          </cell>
          <cell r="CT138">
            <v>224</v>
          </cell>
          <cell r="CU138">
            <v>75.900000000000006</v>
          </cell>
          <cell r="CV138">
            <v>626</v>
          </cell>
          <cell r="CW138">
            <v>234</v>
          </cell>
          <cell r="CX138">
            <v>72.8</v>
          </cell>
          <cell r="CY138">
            <v>474</v>
          </cell>
          <cell r="CZ138">
            <v>174</v>
          </cell>
          <cell r="DA138">
            <v>73.099999999999994</v>
          </cell>
          <cell r="DB138">
            <v>448</v>
          </cell>
          <cell r="DC138">
            <v>248</v>
          </cell>
          <cell r="DD138">
            <v>64.400000000000006</v>
          </cell>
          <cell r="DE138">
            <v>523</v>
          </cell>
          <cell r="DF138">
            <v>224</v>
          </cell>
          <cell r="DG138">
            <v>70</v>
          </cell>
          <cell r="DH138">
            <v>493</v>
          </cell>
          <cell r="DI138">
            <v>229</v>
          </cell>
          <cell r="DJ138">
            <v>68.3</v>
          </cell>
          <cell r="DK138">
            <v>419</v>
          </cell>
          <cell r="DL138">
            <v>223</v>
          </cell>
          <cell r="DM138">
            <v>65.3</v>
          </cell>
          <cell r="DN138">
            <v>406</v>
          </cell>
          <cell r="DO138">
            <v>229</v>
          </cell>
          <cell r="DP138">
            <v>63.9</v>
          </cell>
          <cell r="DQ138">
            <v>367</v>
          </cell>
          <cell r="DR138">
            <v>172</v>
          </cell>
          <cell r="DS138">
            <v>68.099999999999994</v>
          </cell>
          <cell r="DT138">
            <v>3</v>
          </cell>
          <cell r="DU138">
            <v>3</v>
          </cell>
          <cell r="DV138">
            <v>50</v>
          </cell>
          <cell r="DW138">
            <v>50</v>
          </cell>
          <cell r="DX138">
            <v>2</v>
          </cell>
          <cell r="DY138">
            <v>0</v>
          </cell>
          <cell r="DZ138">
            <v>2</v>
          </cell>
          <cell r="EA138">
            <v>2</v>
          </cell>
          <cell r="EB138">
            <v>50</v>
          </cell>
          <cell r="EC138">
            <v>1</v>
          </cell>
          <cell r="ED138">
            <v>1</v>
          </cell>
          <cell r="EE138">
            <v>100</v>
          </cell>
          <cell r="EF138">
            <v>100</v>
          </cell>
          <cell r="EG138">
            <v>1</v>
          </cell>
          <cell r="EH138">
            <v>0</v>
          </cell>
          <cell r="EI138">
            <v>1</v>
          </cell>
          <cell r="EJ138">
            <v>1</v>
          </cell>
          <cell r="EK138">
            <v>100</v>
          </cell>
          <cell r="EL138">
            <v>100</v>
          </cell>
          <cell r="EM138">
            <v>100</v>
          </cell>
          <cell r="EN138" t="str">
            <v>-</v>
          </cell>
          <cell r="EO138">
            <v>2</v>
          </cell>
          <cell r="EP138">
            <v>2</v>
          </cell>
          <cell r="EQ138">
            <v>100</v>
          </cell>
          <cell r="ER138">
            <v>134</v>
          </cell>
          <cell r="ES138">
            <v>109</v>
          </cell>
          <cell r="ET138">
            <v>55.1</v>
          </cell>
          <cell r="EU138">
            <v>107</v>
          </cell>
          <cell r="EV138">
            <v>61</v>
          </cell>
          <cell r="EW138">
            <v>63.7</v>
          </cell>
          <cell r="EX138">
            <v>146</v>
          </cell>
          <cell r="EY138">
            <v>63</v>
          </cell>
          <cell r="EZ138">
            <v>69.900000000000006</v>
          </cell>
          <cell r="FA138">
            <v>122</v>
          </cell>
          <cell r="FB138">
            <v>108</v>
          </cell>
          <cell r="FC138">
            <v>53</v>
          </cell>
          <cell r="FD138">
            <v>119</v>
          </cell>
          <cell r="FE138">
            <v>85</v>
          </cell>
          <cell r="FF138">
            <v>58.3</v>
          </cell>
          <cell r="FG138">
            <v>160</v>
          </cell>
          <cell r="FH138">
            <v>137</v>
          </cell>
          <cell r="FI138">
            <v>53.9</v>
          </cell>
          <cell r="FJ138">
            <v>105</v>
          </cell>
          <cell r="FK138">
            <v>97</v>
          </cell>
          <cell r="FL138">
            <v>52</v>
          </cell>
          <cell r="FM138">
            <v>72</v>
          </cell>
          <cell r="FN138">
            <v>100</v>
          </cell>
          <cell r="FO138">
            <v>41.9</v>
          </cell>
          <cell r="FP138">
            <v>41.899993896484375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 t="str">
            <v>-</v>
          </cell>
          <cell r="FV138">
            <v>1</v>
          </cell>
          <cell r="FW138">
            <v>1</v>
          </cell>
          <cell r="FX138">
            <v>100</v>
          </cell>
          <cell r="FY138">
            <v>3</v>
          </cell>
          <cell r="FZ138">
            <v>1</v>
          </cell>
          <cell r="GA138">
            <v>75</v>
          </cell>
          <cell r="GB138">
            <v>4</v>
          </cell>
          <cell r="GC138">
            <v>3</v>
          </cell>
          <cell r="GD138">
            <v>57.1</v>
          </cell>
          <cell r="GE138">
            <v>32</v>
          </cell>
          <cell r="GF138">
            <v>13</v>
          </cell>
          <cell r="GG138">
            <v>71.099999999999994</v>
          </cell>
          <cell r="GH138">
            <v>18</v>
          </cell>
          <cell r="GI138">
            <v>6</v>
          </cell>
          <cell r="GJ138">
            <v>75</v>
          </cell>
          <cell r="GK138">
            <v>2</v>
          </cell>
          <cell r="GL138">
            <v>2</v>
          </cell>
          <cell r="GM138">
            <v>50</v>
          </cell>
          <cell r="GN138">
            <v>360</v>
          </cell>
          <cell r="GO138">
            <v>126</v>
          </cell>
          <cell r="GP138">
            <v>74.099999999999994</v>
          </cell>
          <cell r="GQ138">
            <v>356</v>
          </cell>
          <cell r="GR138">
            <v>130</v>
          </cell>
          <cell r="GS138">
            <v>73.3</v>
          </cell>
          <cell r="GT138">
            <v>390</v>
          </cell>
          <cell r="GU138">
            <v>168</v>
          </cell>
          <cell r="GV138">
            <v>69.900000000000006</v>
          </cell>
          <cell r="GW138">
            <v>544</v>
          </cell>
          <cell r="GX138">
            <v>181</v>
          </cell>
          <cell r="GY138">
            <v>75</v>
          </cell>
          <cell r="GZ138">
            <v>645</v>
          </cell>
          <cell r="HA138">
            <v>209</v>
          </cell>
          <cell r="HB138">
            <v>75.5</v>
          </cell>
          <cell r="HC138">
            <v>664</v>
          </cell>
          <cell r="HD138">
            <v>227</v>
          </cell>
          <cell r="HE138">
            <v>74.5</v>
          </cell>
          <cell r="HF138">
            <v>669</v>
          </cell>
          <cell r="HG138">
            <v>240</v>
          </cell>
          <cell r="HH138">
            <v>73.599999999999994</v>
          </cell>
          <cell r="HI138">
            <v>626</v>
          </cell>
          <cell r="HJ138">
            <v>199</v>
          </cell>
          <cell r="HK138">
            <v>75.900000000000006</v>
          </cell>
          <cell r="HL138">
            <v>70</v>
          </cell>
          <cell r="HM138">
            <v>75</v>
          </cell>
          <cell r="HN138">
            <v>48.3</v>
          </cell>
          <cell r="HO138">
            <v>71</v>
          </cell>
          <cell r="HP138">
            <v>73</v>
          </cell>
          <cell r="HQ138">
            <v>49.3</v>
          </cell>
          <cell r="HR138">
            <v>56</v>
          </cell>
          <cell r="HS138">
            <v>79</v>
          </cell>
          <cell r="HT138">
            <v>41.5</v>
          </cell>
          <cell r="HU138">
            <v>61</v>
          </cell>
          <cell r="HV138">
            <v>55</v>
          </cell>
          <cell r="HW138">
            <v>52.6</v>
          </cell>
          <cell r="HX138">
            <v>63</v>
          </cell>
          <cell r="HY138">
            <v>57</v>
          </cell>
          <cell r="HZ138">
            <v>52.5</v>
          </cell>
          <cell r="IA138">
            <v>46</v>
          </cell>
          <cell r="IB138">
            <v>60</v>
          </cell>
          <cell r="IC138">
            <v>43.4</v>
          </cell>
          <cell r="ID138">
            <v>25</v>
          </cell>
          <cell r="IE138">
            <v>25</v>
          </cell>
          <cell r="IF138">
            <v>50</v>
          </cell>
          <cell r="IG138">
            <v>37</v>
          </cell>
          <cell r="IH138">
            <v>40</v>
          </cell>
          <cell r="II138">
            <v>48.1</v>
          </cell>
          <cell r="IJ138">
            <v>52</v>
          </cell>
          <cell r="IK138">
            <v>15</v>
          </cell>
          <cell r="IL138">
            <v>77.599999999999994</v>
          </cell>
          <cell r="IM138">
            <v>38</v>
          </cell>
          <cell r="IN138">
            <v>21</v>
          </cell>
          <cell r="IO138">
            <v>64.400000000000006</v>
          </cell>
          <cell r="IP138">
            <v>31</v>
          </cell>
          <cell r="IQ138">
            <v>20</v>
          </cell>
          <cell r="IR138">
            <v>60.8</v>
          </cell>
          <cell r="IS138">
            <v>41</v>
          </cell>
          <cell r="IT138">
            <v>15</v>
          </cell>
          <cell r="IU138">
            <v>73.2</v>
          </cell>
          <cell r="IV138">
            <v>28</v>
          </cell>
          <cell r="IW138">
            <v>18</v>
          </cell>
          <cell r="IX138">
            <v>60.9</v>
          </cell>
          <cell r="IY138">
            <v>24</v>
          </cell>
          <cell r="IZ138">
            <v>16</v>
          </cell>
          <cell r="JA138">
            <v>60</v>
          </cell>
          <cell r="JB138">
            <v>24</v>
          </cell>
          <cell r="JC138">
            <v>11</v>
          </cell>
          <cell r="JD138">
            <v>68.599999999999994</v>
          </cell>
          <cell r="JE138">
            <v>51</v>
          </cell>
          <cell r="JF138">
            <v>11</v>
          </cell>
          <cell r="JG138">
            <v>82.3</v>
          </cell>
          <cell r="JH138">
            <v>157</v>
          </cell>
          <cell r="JI138">
            <v>15</v>
          </cell>
          <cell r="JJ138">
            <v>91.279069767441854</v>
          </cell>
          <cell r="JK138">
            <v>60</v>
          </cell>
          <cell r="JL138">
            <v>6</v>
          </cell>
          <cell r="JM138">
            <v>90.909090909090907</v>
          </cell>
          <cell r="JN138">
            <v>91</v>
          </cell>
          <cell r="JO138">
            <v>8</v>
          </cell>
          <cell r="JP138">
            <v>91.919191919191917</v>
          </cell>
          <cell r="JQ138">
            <v>4133</v>
          </cell>
          <cell r="JR138">
            <v>1387</v>
          </cell>
          <cell r="JS138">
            <v>74.873188405797094</v>
          </cell>
          <cell r="JT138">
            <v>2208</v>
          </cell>
          <cell r="JU138">
            <v>1077</v>
          </cell>
          <cell r="JV138">
            <v>67.214611872146122</v>
          </cell>
          <cell r="JW138">
            <v>4</v>
          </cell>
          <cell r="JX138">
            <v>1</v>
          </cell>
          <cell r="JY138">
            <v>80</v>
          </cell>
          <cell r="JZ138">
            <v>578</v>
          </cell>
          <cell r="KA138">
            <v>527</v>
          </cell>
          <cell r="KB138">
            <v>52.307692307692314</v>
          </cell>
          <cell r="KC138">
            <v>59</v>
          </cell>
          <cell r="KD138">
            <v>25</v>
          </cell>
          <cell r="KE138">
            <v>70.238095238095227</v>
          </cell>
          <cell r="KF138">
            <v>3148</v>
          </cell>
          <cell r="KG138">
            <v>1056</v>
          </cell>
          <cell r="KH138">
            <v>74.881065651760224</v>
          </cell>
          <cell r="KI138">
            <v>232</v>
          </cell>
          <cell r="KJ138">
            <v>237</v>
          </cell>
          <cell r="KK138">
            <v>49.466950959488273</v>
          </cell>
          <cell r="KL138">
            <v>168</v>
          </cell>
          <cell r="KM138">
            <v>71</v>
          </cell>
          <cell r="KN138">
            <v>70.292887029288693</v>
          </cell>
        </row>
        <row r="139">
          <cell r="C139" t="str">
            <v>Somogy MRFK Központ</v>
          </cell>
          <cell r="D139">
            <v>11</v>
          </cell>
          <cell r="E139">
            <v>11</v>
          </cell>
          <cell r="F139">
            <v>100</v>
          </cell>
          <cell r="G139">
            <v>8</v>
          </cell>
          <cell r="H139">
            <v>8</v>
          </cell>
          <cell r="I139">
            <v>100</v>
          </cell>
          <cell r="J139">
            <v>10</v>
          </cell>
          <cell r="K139">
            <v>1</v>
          </cell>
          <cell r="L139">
            <v>90.9</v>
          </cell>
          <cell r="M139">
            <v>9</v>
          </cell>
          <cell r="N139">
            <v>1</v>
          </cell>
          <cell r="O139">
            <v>90</v>
          </cell>
          <cell r="P139">
            <v>12</v>
          </cell>
          <cell r="Q139">
            <v>12</v>
          </cell>
          <cell r="R139">
            <v>100</v>
          </cell>
          <cell r="S139">
            <v>7</v>
          </cell>
          <cell r="T139">
            <v>7</v>
          </cell>
          <cell r="U139">
            <v>100</v>
          </cell>
          <cell r="V139">
            <v>10</v>
          </cell>
          <cell r="W139">
            <v>1</v>
          </cell>
          <cell r="X139">
            <v>90.9</v>
          </cell>
          <cell r="Y139">
            <v>3</v>
          </cell>
          <cell r="Z139">
            <v>3</v>
          </cell>
          <cell r="AA139">
            <v>100</v>
          </cell>
          <cell r="AB139">
            <v>5</v>
          </cell>
          <cell r="AC139">
            <v>5</v>
          </cell>
          <cell r="AD139">
            <v>100</v>
          </cell>
          <cell r="AE139">
            <v>2</v>
          </cell>
          <cell r="AF139">
            <v>2</v>
          </cell>
          <cell r="AG139">
            <v>100</v>
          </cell>
          <cell r="AH139">
            <v>6</v>
          </cell>
          <cell r="AI139">
            <v>1</v>
          </cell>
          <cell r="AJ139">
            <v>85.7</v>
          </cell>
          <cell r="AK139">
            <v>5</v>
          </cell>
          <cell r="AL139">
            <v>5</v>
          </cell>
          <cell r="AM139">
            <v>100</v>
          </cell>
          <cell r="AN139">
            <v>7</v>
          </cell>
          <cell r="AO139">
            <v>7</v>
          </cell>
          <cell r="AP139">
            <v>100</v>
          </cell>
          <cell r="AQ139">
            <v>4</v>
          </cell>
          <cell r="AR139">
            <v>4</v>
          </cell>
          <cell r="AS139">
            <v>100</v>
          </cell>
          <cell r="AT139">
            <v>6</v>
          </cell>
          <cell r="AU139">
            <v>1</v>
          </cell>
          <cell r="AV139">
            <v>85.7</v>
          </cell>
          <cell r="AW139">
            <v>2</v>
          </cell>
          <cell r="AX139">
            <v>2</v>
          </cell>
          <cell r="AY139">
            <v>100</v>
          </cell>
          <cell r="AZ139">
            <v>3</v>
          </cell>
          <cell r="BA139">
            <v>3</v>
          </cell>
          <cell r="BB139">
            <v>100</v>
          </cell>
          <cell r="BC139">
            <v>4</v>
          </cell>
          <cell r="BD139">
            <v>4</v>
          </cell>
          <cell r="BE139">
            <v>100</v>
          </cell>
          <cell r="BF139">
            <v>4</v>
          </cell>
          <cell r="BG139">
            <v>4</v>
          </cell>
          <cell r="BH139">
            <v>100</v>
          </cell>
          <cell r="BI139">
            <v>3</v>
          </cell>
          <cell r="BJ139">
            <v>3</v>
          </cell>
          <cell r="BK139">
            <v>100</v>
          </cell>
          <cell r="BL139">
            <v>5</v>
          </cell>
          <cell r="BM139">
            <v>5</v>
          </cell>
          <cell r="BN139">
            <v>100</v>
          </cell>
          <cell r="BO139">
            <v>3</v>
          </cell>
          <cell r="BP139">
            <v>3</v>
          </cell>
          <cell r="BQ139">
            <v>100</v>
          </cell>
          <cell r="BR139">
            <v>3</v>
          </cell>
          <cell r="BS139">
            <v>3</v>
          </cell>
          <cell r="BT139">
            <v>100</v>
          </cell>
          <cell r="BU139">
            <v>1</v>
          </cell>
          <cell r="BV139">
            <v>1</v>
          </cell>
          <cell r="BW139">
            <v>100</v>
          </cell>
          <cell r="BX139">
            <v>16</v>
          </cell>
          <cell r="BY139">
            <v>3</v>
          </cell>
          <cell r="BZ139">
            <v>84.2</v>
          </cell>
          <cell r="CA139">
            <v>17</v>
          </cell>
          <cell r="CB139">
            <v>1</v>
          </cell>
          <cell r="CC139">
            <v>94.4</v>
          </cell>
          <cell r="CD139">
            <v>15</v>
          </cell>
          <cell r="CE139">
            <v>3</v>
          </cell>
          <cell r="CF139">
            <v>83.3</v>
          </cell>
          <cell r="CG139">
            <v>19</v>
          </cell>
          <cell r="CH139">
            <v>6</v>
          </cell>
          <cell r="CI139">
            <v>76</v>
          </cell>
          <cell r="CJ139">
            <v>25</v>
          </cell>
          <cell r="CK139">
            <v>25</v>
          </cell>
          <cell r="CL139">
            <v>100</v>
          </cell>
          <cell r="CM139">
            <v>11</v>
          </cell>
          <cell r="CN139">
            <v>1</v>
          </cell>
          <cell r="CO139">
            <v>91.7</v>
          </cell>
          <cell r="CP139">
            <v>12</v>
          </cell>
          <cell r="CQ139">
            <v>12</v>
          </cell>
          <cell r="CR139">
            <v>100</v>
          </cell>
          <cell r="CS139">
            <v>8</v>
          </cell>
          <cell r="CT139">
            <v>3</v>
          </cell>
          <cell r="CU139">
            <v>72.7</v>
          </cell>
          <cell r="CV139">
            <v>16</v>
          </cell>
          <cell r="CW139">
            <v>3</v>
          </cell>
          <cell r="CX139">
            <v>84.2</v>
          </cell>
          <cell r="CY139">
            <v>13</v>
          </cell>
          <cell r="CZ139">
            <v>1</v>
          </cell>
          <cell r="DA139">
            <v>92.9</v>
          </cell>
          <cell r="DB139">
            <v>15</v>
          </cell>
          <cell r="DC139">
            <v>3</v>
          </cell>
          <cell r="DD139">
            <v>83.3</v>
          </cell>
          <cell r="DE139">
            <v>14</v>
          </cell>
          <cell r="DF139">
            <v>6</v>
          </cell>
          <cell r="DG139">
            <v>70</v>
          </cell>
          <cell r="DH139">
            <v>18</v>
          </cell>
          <cell r="DI139">
            <v>18</v>
          </cell>
          <cell r="DJ139">
            <v>100</v>
          </cell>
          <cell r="DK139">
            <v>10</v>
          </cell>
          <cell r="DL139">
            <v>10</v>
          </cell>
          <cell r="DM139">
            <v>100</v>
          </cell>
          <cell r="DN139">
            <v>11</v>
          </cell>
          <cell r="DO139">
            <v>11</v>
          </cell>
          <cell r="DP139">
            <v>100</v>
          </cell>
          <cell r="DQ139">
            <v>3</v>
          </cell>
          <cell r="DR139">
            <v>2</v>
          </cell>
          <cell r="DS139">
            <v>60</v>
          </cell>
          <cell r="DT139">
            <v>2</v>
          </cell>
          <cell r="DU139">
            <v>2</v>
          </cell>
          <cell r="DV139">
            <v>100</v>
          </cell>
          <cell r="DW139">
            <v>1</v>
          </cell>
          <cell r="DX139">
            <v>1</v>
          </cell>
          <cell r="DY139">
            <v>50</v>
          </cell>
          <cell r="DZ139">
            <v>50</v>
          </cell>
          <cell r="EA139">
            <v>50</v>
          </cell>
          <cell r="EB139" t="str">
            <v>-</v>
          </cell>
          <cell r="EC139">
            <v>1</v>
          </cell>
          <cell r="ED139">
            <v>1</v>
          </cell>
          <cell r="EE139">
            <v>100</v>
          </cell>
          <cell r="EF139">
            <v>100</v>
          </cell>
          <cell r="EG139">
            <v>100</v>
          </cell>
          <cell r="EH139" t="str">
            <v>-</v>
          </cell>
          <cell r="EI139">
            <v>100</v>
          </cell>
          <cell r="EJ139">
            <v>100</v>
          </cell>
          <cell r="EK139" t="str">
            <v>-</v>
          </cell>
          <cell r="EL139">
            <v>1</v>
          </cell>
          <cell r="EM139">
            <v>1</v>
          </cell>
          <cell r="EN139">
            <v>100</v>
          </cell>
          <cell r="EO139">
            <v>100</v>
          </cell>
          <cell r="EP139">
            <v>100</v>
          </cell>
          <cell r="EQ139" t="str">
            <v>-</v>
          </cell>
          <cell r="ER139">
            <v>100</v>
          </cell>
          <cell r="ES139">
            <v>100</v>
          </cell>
          <cell r="ET139" t="str">
            <v>-</v>
          </cell>
          <cell r="EU139">
            <v>8</v>
          </cell>
          <cell r="EV139">
            <v>8</v>
          </cell>
          <cell r="EW139">
            <v>100</v>
          </cell>
          <cell r="EX139">
            <v>100</v>
          </cell>
          <cell r="EY139">
            <v>100</v>
          </cell>
          <cell r="EZ139" t="str">
            <v>-</v>
          </cell>
          <cell r="FA139">
            <v>6</v>
          </cell>
          <cell r="FB139">
            <v>6</v>
          </cell>
          <cell r="FC139">
            <v>100</v>
          </cell>
          <cell r="FD139">
            <v>100</v>
          </cell>
          <cell r="FE139">
            <v>100</v>
          </cell>
          <cell r="FF139" t="str">
            <v>-</v>
          </cell>
          <cell r="FG139">
            <v>1</v>
          </cell>
          <cell r="FH139">
            <v>1</v>
          </cell>
          <cell r="FI139">
            <v>100</v>
          </cell>
          <cell r="FJ139">
            <v>100</v>
          </cell>
          <cell r="FK139">
            <v>100</v>
          </cell>
          <cell r="FL139" t="str">
            <v>-</v>
          </cell>
          <cell r="FM139">
            <v>100</v>
          </cell>
          <cell r="FN139">
            <v>100</v>
          </cell>
          <cell r="FO139" t="str">
            <v>-</v>
          </cell>
          <cell r="FP139">
            <v>100</v>
          </cell>
          <cell r="FQ139">
            <v>100</v>
          </cell>
          <cell r="FR139" t="str">
            <v>-</v>
          </cell>
          <cell r="FS139">
            <v>100</v>
          </cell>
          <cell r="FT139">
            <v>100</v>
          </cell>
          <cell r="FU139" t="str">
            <v>-</v>
          </cell>
          <cell r="FV139">
            <v>100</v>
          </cell>
          <cell r="FW139">
            <v>100</v>
          </cell>
          <cell r="FX139" t="str">
            <v>-</v>
          </cell>
          <cell r="FY139">
            <v>100</v>
          </cell>
          <cell r="FZ139">
            <v>100</v>
          </cell>
          <cell r="GA139" t="str">
            <v>-</v>
          </cell>
          <cell r="GB139">
            <v>100</v>
          </cell>
          <cell r="GC139">
            <v>100</v>
          </cell>
          <cell r="GD139" t="str">
            <v>-</v>
          </cell>
          <cell r="GE139">
            <v>1</v>
          </cell>
          <cell r="GF139">
            <v>1</v>
          </cell>
          <cell r="GG139">
            <v>100</v>
          </cell>
          <cell r="GH139">
            <v>2</v>
          </cell>
          <cell r="GI139">
            <v>2</v>
          </cell>
          <cell r="GJ139">
            <v>100</v>
          </cell>
          <cell r="GK139">
            <v>3</v>
          </cell>
          <cell r="GL139">
            <v>3</v>
          </cell>
          <cell r="GM139">
            <v>100</v>
          </cell>
          <cell r="GN139">
            <v>3</v>
          </cell>
          <cell r="GO139">
            <v>3</v>
          </cell>
          <cell r="GP139">
            <v>100</v>
          </cell>
          <cell r="GQ139">
            <v>1</v>
          </cell>
          <cell r="GR139">
            <v>1</v>
          </cell>
          <cell r="GS139">
            <v>50</v>
          </cell>
          <cell r="GT139">
            <v>1</v>
          </cell>
          <cell r="GU139">
            <v>1</v>
          </cell>
          <cell r="GV139">
            <v>100</v>
          </cell>
          <cell r="GW139">
            <v>5</v>
          </cell>
          <cell r="GX139">
            <v>2</v>
          </cell>
          <cell r="GY139">
            <v>71.400000000000006</v>
          </cell>
          <cell r="GZ139">
            <v>12</v>
          </cell>
          <cell r="HA139">
            <v>5</v>
          </cell>
          <cell r="HB139">
            <v>70.599999999999994</v>
          </cell>
          <cell r="HC139">
            <v>3</v>
          </cell>
          <cell r="HD139">
            <v>3</v>
          </cell>
          <cell r="HE139">
            <v>100</v>
          </cell>
          <cell r="HF139">
            <v>1</v>
          </cell>
          <cell r="HG139">
            <v>1</v>
          </cell>
          <cell r="HH139">
            <v>100</v>
          </cell>
          <cell r="HI139">
            <v>2</v>
          </cell>
          <cell r="HJ139">
            <v>2</v>
          </cell>
          <cell r="HK139">
            <v>100</v>
          </cell>
          <cell r="HL139">
            <v>100</v>
          </cell>
          <cell r="HM139">
            <v>100</v>
          </cell>
          <cell r="HN139" t="str">
            <v>-</v>
          </cell>
          <cell r="HO139">
            <v>1</v>
          </cell>
          <cell r="HP139">
            <v>1</v>
          </cell>
          <cell r="HQ139">
            <v>100</v>
          </cell>
          <cell r="HR139">
            <v>100</v>
          </cell>
          <cell r="HS139">
            <v>100</v>
          </cell>
          <cell r="HT139" t="str">
            <v>-</v>
          </cell>
          <cell r="HU139">
            <v>1</v>
          </cell>
          <cell r="HV139">
            <v>1</v>
          </cell>
          <cell r="HW139">
            <v>100</v>
          </cell>
          <cell r="HX139">
            <v>100</v>
          </cell>
          <cell r="HY139">
            <v>100</v>
          </cell>
          <cell r="HZ139" t="str">
            <v>-</v>
          </cell>
          <cell r="IA139">
            <v>100</v>
          </cell>
          <cell r="IB139">
            <v>100</v>
          </cell>
          <cell r="IC139" t="str">
            <v>-</v>
          </cell>
          <cell r="ID139">
            <v>100</v>
          </cell>
          <cell r="IE139">
            <v>100</v>
          </cell>
          <cell r="IF139" t="str">
            <v>-</v>
          </cell>
          <cell r="IG139">
            <v>1</v>
          </cell>
          <cell r="IH139">
            <v>1</v>
          </cell>
          <cell r="II139">
            <v>100</v>
          </cell>
          <cell r="IJ139">
            <v>1</v>
          </cell>
          <cell r="IK139">
            <v>1</v>
          </cell>
          <cell r="IL139">
            <v>100</v>
          </cell>
          <cell r="IM139">
            <v>100</v>
          </cell>
          <cell r="IN139">
            <v>100</v>
          </cell>
          <cell r="IO139" t="str">
            <v>-</v>
          </cell>
          <cell r="IP139">
            <v>100</v>
          </cell>
          <cell r="IQ139">
            <v>100</v>
          </cell>
          <cell r="IR139" t="str">
            <v>-</v>
          </cell>
          <cell r="IS139">
            <v>100</v>
          </cell>
          <cell r="IT139">
            <v>100</v>
          </cell>
          <cell r="IU139" t="str">
            <v>-</v>
          </cell>
          <cell r="IV139">
            <v>1</v>
          </cell>
          <cell r="IW139">
            <v>1</v>
          </cell>
          <cell r="IX139">
            <v>100</v>
          </cell>
          <cell r="IY139">
            <v>1</v>
          </cell>
          <cell r="IZ139">
            <v>1</v>
          </cell>
          <cell r="JA139">
            <v>100</v>
          </cell>
          <cell r="JB139">
            <v>1</v>
          </cell>
          <cell r="JC139">
            <v>1</v>
          </cell>
          <cell r="JD139">
            <v>100</v>
          </cell>
          <cell r="JE139">
            <v>7</v>
          </cell>
          <cell r="JF139">
            <v>2</v>
          </cell>
          <cell r="JG139">
            <v>77.8</v>
          </cell>
          <cell r="JH139">
            <v>41</v>
          </cell>
          <cell r="JI139">
            <v>2</v>
          </cell>
          <cell r="JJ139">
            <v>95.348837209302332</v>
          </cell>
          <cell r="JK139">
            <v>24</v>
          </cell>
          <cell r="JL139">
            <v>1</v>
          </cell>
          <cell r="JM139">
            <v>96</v>
          </cell>
          <cell r="JN139">
            <v>15</v>
          </cell>
          <cell r="JO139">
            <v>0</v>
          </cell>
          <cell r="JP139">
            <v>100</v>
          </cell>
          <cell r="JQ139">
            <v>75</v>
          </cell>
          <cell r="JR139">
            <v>10</v>
          </cell>
          <cell r="JS139">
            <v>88.235294117647058</v>
          </cell>
          <cell r="JT139">
            <v>56</v>
          </cell>
          <cell r="JU139">
            <v>8</v>
          </cell>
          <cell r="JV139">
            <v>87.5</v>
          </cell>
          <cell r="JW139">
            <v>2</v>
          </cell>
          <cell r="JX139">
            <v>0</v>
          </cell>
          <cell r="JY139">
            <v>100</v>
          </cell>
          <cell r="JZ139">
            <v>7</v>
          </cell>
          <cell r="KA139">
            <v>0</v>
          </cell>
          <cell r="KB139">
            <v>100</v>
          </cell>
          <cell r="KC139">
            <v>6</v>
          </cell>
          <cell r="KD139">
            <v>0</v>
          </cell>
          <cell r="KE139">
            <v>100</v>
          </cell>
          <cell r="KF139">
            <v>23</v>
          </cell>
          <cell r="KG139">
            <v>7</v>
          </cell>
          <cell r="KH139">
            <v>76.666666666666671</v>
          </cell>
          <cell r="KI139">
            <v>2</v>
          </cell>
          <cell r="KJ139">
            <v>0</v>
          </cell>
          <cell r="KK139">
            <v>100</v>
          </cell>
          <cell r="KL139">
            <v>10</v>
          </cell>
          <cell r="KM139">
            <v>2</v>
          </cell>
          <cell r="KN139">
            <v>83.333333333333343</v>
          </cell>
        </row>
        <row r="140">
          <cell r="C140" t="str">
            <v>Kaposvári Rendőrkapitányság</v>
          </cell>
          <cell r="D140">
            <v>83.33331298828125</v>
          </cell>
          <cell r="E140">
            <v>83.33331298828125</v>
          </cell>
          <cell r="F140" t="str">
            <v>-</v>
          </cell>
          <cell r="G140">
            <v>83.33331298828125</v>
          </cell>
          <cell r="H140">
            <v>83.33331298828125</v>
          </cell>
          <cell r="I140" t="str">
            <v>-</v>
          </cell>
          <cell r="J140">
            <v>83.33331298828125</v>
          </cell>
          <cell r="K140">
            <v>83.33331298828125</v>
          </cell>
          <cell r="L140" t="str">
            <v>-</v>
          </cell>
          <cell r="M140">
            <v>83.33331298828125</v>
          </cell>
          <cell r="N140">
            <v>83.33331298828125</v>
          </cell>
          <cell r="O140" t="str">
            <v>-</v>
          </cell>
          <cell r="P140">
            <v>83.33331298828125</v>
          </cell>
          <cell r="Q140">
            <v>83.33331298828125</v>
          </cell>
          <cell r="R140" t="str">
            <v>-</v>
          </cell>
          <cell r="S140">
            <v>83.33331298828125</v>
          </cell>
          <cell r="T140">
            <v>83.33331298828125</v>
          </cell>
          <cell r="U140" t="str">
            <v>-</v>
          </cell>
          <cell r="V140">
            <v>83.33331298828125</v>
          </cell>
          <cell r="W140">
            <v>83.33331298828125</v>
          </cell>
          <cell r="X140" t="str">
            <v>-</v>
          </cell>
          <cell r="Y140">
            <v>83.33331298828125</v>
          </cell>
          <cell r="Z140">
            <v>83.33331298828125</v>
          </cell>
          <cell r="AA140" t="str">
            <v>-</v>
          </cell>
          <cell r="AB140">
            <v>83.33331298828125</v>
          </cell>
          <cell r="AC140">
            <v>83.33331298828125</v>
          </cell>
          <cell r="AD140" t="str">
            <v>-</v>
          </cell>
          <cell r="AE140">
            <v>83.33331298828125</v>
          </cell>
          <cell r="AF140">
            <v>83.33331298828125</v>
          </cell>
          <cell r="AG140" t="str">
            <v>-</v>
          </cell>
          <cell r="AH140">
            <v>83.33331298828125</v>
          </cell>
          <cell r="AI140">
            <v>83.33331298828125</v>
          </cell>
          <cell r="AJ140" t="str">
            <v>-</v>
          </cell>
          <cell r="AK140">
            <v>83.33331298828125</v>
          </cell>
          <cell r="AL140">
            <v>83.33331298828125</v>
          </cell>
          <cell r="AM140" t="str">
            <v>-</v>
          </cell>
          <cell r="AN140">
            <v>83.33331298828125</v>
          </cell>
          <cell r="AO140">
            <v>83.33331298828125</v>
          </cell>
          <cell r="AP140" t="str">
            <v>-</v>
          </cell>
          <cell r="AQ140">
            <v>83.33331298828125</v>
          </cell>
          <cell r="AR140">
            <v>83.33331298828125</v>
          </cell>
          <cell r="AS140" t="str">
            <v>-</v>
          </cell>
          <cell r="AT140">
            <v>83.33331298828125</v>
          </cell>
          <cell r="AU140">
            <v>83.33331298828125</v>
          </cell>
          <cell r="AV140" t="str">
            <v>-</v>
          </cell>
          <cell r="AW140">
            <v>83.33331298828125</v>
          </cell>
          <cell r="AX140">
            <v>83.33331298828125</v>
          </cell>
          <cell r="AY140" t="str">
            <v>-</v>
          </cell>
          <cell r="AZ140">
            <v>83.33331298828125</v>
          </cell>
          <cell r="BA140">
            <v>83.33331298828125</v>
          </cell>
          <cell r="BB140" t="str">
            <v>-</v>
          </cell>
          <cell r="BC140">
            <v>83.33331298828125</v>
          </cell>
          <cell r="BD140">
            <v>83.33331298828125</v>
          </cell>
          <cell r="BE140" t="str">
            <v>-</v>
          </cell>
          <cell r="BF140">
            <v>83.33331298828125</v>
          </cell>
          <cell r="BG140">
            <v>83.33331298828125</v>
          </cell>
          <cell r="BH140" t="str">
            <v>-</v>
          </cell>
          <cell r="BI140">
            <v>83.33331298828125</v>
          </cell>
          <cell r="BJ140">
            <v>83.33331298828125</v>
          </cell>
          <cell r="BK140" t="str">
            <v>-</v>
          </cell>
          <cell r="BL140">
            <v>83.33331298828125</v>
          </cell>
          <cell r="BM140">
            <v>83.33331298828125</v>
          </cell>
          <cell r="BN140" t="str">
            <v>-</v>
          </cell>
          <cell r="BO140">
            <v>83.33331298828125</v>
          </cell>
          <cell r="BP140">
            <v>83.33331298828125</v>
          </cell>
          <cell r="BQ140" t="str">
            <v>-</v>
          </cell>
          <cell r="BR140">
            <v>83.33331298828125</v>
          </cell>
          <cell r="BS140">
            <v>83.33331298828125</v>
          </cell>
          <cell r="BT140" t="str">
            <v>-</v>
          </cell>
          <cell r="BU140">
            <v>83.33331298828125</v>
          </cell>
          <cell r="BV140">
            <v>83.33331298828125</v>
          </cell>
          <cell r="BW140" t="str">
            <v>-</v>
          </cell>
          <cell r="BX140">
            <v>142</v>
          </cell>
          <cell r="BY140">
            <v>41</v>
          </cell>
          <cell r="BZ140">
            <v>77.599999999999994</v>
          </cell>
          <cell r="CA140">
            <v>116</v>
          </cell>
          <cell r="CB140">
            <v>46</v>
          </cell>
          <cell r="CC140">
            <v>71.599999999999994</v>
          </cell>
          <cell r="CD140">
            <v>151</v>
          </cell>
          <cell r="CE140">
            <v>43</v>
          </cell>
          <cell r="CF140">
            <v>77.8</v>
          </cell>
          <cell r="CG140">
            <v>135</v>
          </cell>
          <cell r="CH140">
            <v>53</v>
          </cell>
          <cell r="CI140">
            <v>71.8</v>
          </cell>
          <cell r="CJ140">
            <v>165</v>
          </cell>
          <cell r="CK140">
            <v>55</v>
          </cell>
          <cell r="CL140">
            <v>75</v>
          </cell>
          <cell r="CM140">
            <v>107</v>
          </cell>
          <cell r="CN140">
            <v>38</v>
          </cell>
          <cell r="CO140">
            <v>73.8</v>
          </cell>
          <cell r="CP140">
            <v>113</v>
          </cell>
          <cell r="CQ140">
            <v>31</v>
          </cell>
          <cell r="CR140">
            <v>78.5</v>
          </cell>
          <cell r="CS140">
            <v>78</v>
          </cell>
          <cell r="CT140">
            <v>34</v>
          </cell>
          <cell r="CU140">
            <v>69.599999999999994</v>
          </cell>
          <cell r="CV140">
            <v>89</v>
          </cell>
          <cell r="CW140">
            <v>37</v>
          </cell>
          <cell r="CX140">
            <v>70.599999999999994</v>
          </cell>
          <cell r="CY140">
            <v>69</v>
          </cell>
          <cell r="CZ140">
            <v>37</v>
          </cell>
          <cell r="DA140">
            <v>65.099999999999994</v>
          </cell>
          <cell r="DB140">
            <v>73</v>
          </cell>
          <cell r="DC140">
            <v>30</v>
          </cell>
          <cell r="DD140">
            <v>70.900000000000006</v>
          </cell>
          <cell r="DE140">
            <v>64</v>
          </cell>
          <cell r="DF140">
            <v>43</v>
          </cell>
          <cell r="DG140">
            <v>59.8</v>
          </cell>
          <cell r="DH140">
            <v>78</v>
          </cell>
          <cell r="DI140">
            <v>38</v>
          </cell>
          <cell r="DJ140">
            <v>67.2</v>
          </cell>
          <cell r="DK140">
            <v>55</v>
          </cell>
          <cell r="DL140">
            <v>30</v>
          </cell>
          <cell r="DM140">
            <v>64.7</v>
          </cell>
          <cell r="DN140">
            <v>59</v>
          </cell>
          <cell r="DO140">
            <v>26</v>
          </cell>
          <cell r="DP140">
            <v>69.400000000000006</v>
          </cell>
          <cell r="DQ140">
            <v>35</v>
          </cell>
          <cell r="DR140">
            <v>17</v>
          </cell>
          <cell r="DS140">
            <v>67.3</v>
          </cell>
          <cell r="DT140">
            <v>67.29998779296875</v>
          </cell>
          <cell r="DU140">
            <v>67.29998779296875</v>
          </cell>
          <cell r="DV140" t="str">
            <v>-</v>
          </cell>
          <cell r="DW140">
            <v>67.29998779296875</v>
          </cell>
          <cell r="DX140">
            <v>67.29998779296875</v>
          </cell>
          <cell r="DY140" t="str">
            <v>-</v>
          </cell>
          <cell r="DZ140">
            <v>67.29998779296875</v>
          </cell>
          <cell r="EA140">
            <v>67.29998779296875</v>
          </cell>
          <cell r="EB140" t="str">
            <v>-</v>
          </cell>
          <cell r="EC140">
            <v>67.29998779296875</v>
          </cell>
          <cell r="ED140">
            <v>67.29998779296875</v>
          </cell>
          <cell r="EE140" t="str">
            <v>-</v>
          </cell>
          <cell r="EF140">
            <v>67.29998779296875</v>
          </cell>
          <cell r="EG140">
            <v>67.29998779296875</v>
          </cell>
          <cell r="EH140" t="str">
            <v>-</v>
          </cell>
          <cell r="EI140">
            <v>67.29998779296875</v>
          </cell>
          <cell r="EJ140">
            <v>67.29998779296875</v>
          </cell>
          <cell r="EK140" t="str">
            <v>-</v>
          </cell>
          <cell r="EL140">
            <v>67.29998779296875</v>
          </cell>
          <cell r="EM140">
            <v>67.29998779296875</v>
          </cell>
          <cell r="EN140" t="str">
            <v>-</v>
          </cell>
          <cell r="EO140">
            <v>67.29998779296875</v>
          </cell>
          <cell r="EP140">
            <v>67.29998779296875</v>
          </cell>
          <cell r="EQ140" t="str">
            <v>-</v>
          </cell>
          <cell r="ER140">
            <v>10</v>
          </cell>
          <cell r="ES140">
            <v>21</v>
          </cell>
          <cell r="ET140">
            <v>32.299999999999997</v>
          </cell>
          <cell r="EU140">
            <v>21</v>
          </cell>
          <cell r="EV140">
            <v>11</v>
          </cell>
          <cell r="EW140">
            <v>65.599999999999994</v>
          </cell>
          <cell r="EX140">
            <v>22</v>
          </cell>
          <cell r="EY140">
            <v>23</v>
          </cell>
          <cell r="EZ140">
            <v>48.9</v>
          </cell>
          <cell r="FA140">
            <v>19</v>
          </cell>
          <cell r="FB140">
            <v>23</v>
          </cell>
          <cell r="FC140">
            <v>45.2</v>
          </cell>
          <cell r="FD140">
            <v>11</v>
          </cell>
          <cell r="FE140">
            <v>9</v>
          </cell>
          <cell r="FF140">
            <v>55</v>
          </cell>
          <cell r="FG140">
            <v>17</v>
          </cell>
          <cell r="FH140">
            <v>13</v>
          </cell>
          <cell r="FI140">
            <v>56.7</v>
          </cell>
          <cell r="FJ140">
            <v>45</v>
          </cell>
          <cell r="FK140">
            <v>8</v>
          </cell>
          <cell r="FL140">
            <v>84.9</v>
          </cell>
          <cell r="FM140">
            <v>7</v>
          </cell>
          <cell r="FN140">
            <v>8</v>
          </cell>
          <cell r="FO140">
            <v>46.7</v>
          </cell>
          <cell r="FP140">
            <v>46.699981689453125</v>
          </cell>
          <cell r="FQ140">
            <v>46.699981689453125</v>
          </cell>
          <cell r="FR140" t="str">
            <v>-</v>
          </cell>
          <cell r="FS140">
            <v>46.699981689453125</v>
          </cell>
          <cell r="FT140">
            <v>46.699981689453125</v>
          </cell>
          <cell r="FU140" t="str">
            <v>-</v>
          </cell>
          <cell r="FV140">
            <v>46.699981689453125</v>
          </cell>
          <cell r="FW140">
            <v>46.699981689453125</v>
          </cell>
          <cell r="FX140" t="str">
            <v>-</v>
          </cell>
          <cell r="FY140">
            <v>46.699981689453125</v>
          </cell>
          <cell r="FZ140">
            <v>46.699981689453125</v>
          </cell>
          <cell r="GA140" t="str">
            <v>-</v>
          </cell>
          <cell r="GB140">
            <v>46.699981689453125</v>
          </cell>
          <cell r="GC140">
            <v>46.699981689453125</v>
          </cell>
          <cell r="GD140" t="str">
            <v>-</v>
          </cell>
          <cell r="GE140">
            <v>46.699981689453125</v>
          </cell>
          <cell r="GF140">
            <v>46.699981689453125</v>
          </cell>
          <cell r="GG140" t="str">
            <v>-</v>
          </cell>
          <cell r="GH140">
            <v>46.699981689453125</v>
          </cell>
          <cell r="GI140">
            <v>46.699981689453125</v>
          </cell>
          <cell r="GJ140" t="str">
            <v>-</v>
          </cell>
          <cell r="GK140">
            <v>46.699981689453125</v>
          </cell>
          <cell r="GL140">
            <v>46.699981689453125</v>
          </cell>
          <cell r="GM140" t="str">
            <v>-</v>
          </cell>
          <cell r="GN140">
            <v>50</v>
          </cell>
          <cell r="GO140">
            <v>17</v>
          </cell>
          <cell r="GP140">
            <v>74.599999999999994</v>
          </cell>
          <cell r="GQ140">
            <v>90</v>
          </cell>
          <cell r="GR140">
            <v>21</v>
          </cell>
          <cell r="GS140">
            <v>81.099999999999994</v>
          </cell>
          <cell r="GT140">
            <v>122</v>
          </cell>
          <cell r="GU140">
            <v>36</v>
          </cell>
          <cell r="GV140">
            <v>77.2</v>
          </cell>
          <cell r="GW140">
            <v>132</v>
          </cell>
          <cell r="GX140">
            <v>50</v>
          </cell>
          <cell r="GY140">
            <v>72.5</v>
          </cell>
          <cell r="GZ140">
            <v>146</v>
          </cell>
          <cell r="HA140">
            <v>61</v>
          </cell>
          <cell r="HB140">
            <v>70.5</v>
          </cell>
          <cell r="HC140">
            <v>77</v>
          </cell>
          <cell r="HD140">
            <v>24</v>
          </cell>
          <cell r="HE140">
            <v>76.2</v>
          </cell>
          <cell r="HF140">
            <v>80</v>
          </cell>
          <cell r="HG140">
            <v>17</v>
          </cell>
          <cell r="HH140">
            <v>82.5</v>
          </cell>
          <cell r="HI140">
            <v>65</v>
          </cell>
          <cell r="HJ140">
            <v>25</v>
          </cell>
          <cell r="HK140">
            <v>72.2</v>
          </cell>
          <cell r="HL140">
            <v>11</v>
          </cell>
          <cell r="HM140">
            <v>9</v>
          </cell>
          <cell r="HN140">
            <v>55</v>
          </cell>
          <cell r="HO140">
            <v>3</v>
          </cell>
          <cell r="HP140">
            <v>10</v>
          </cell>
          <cell r="HQ140">
            <v>23.1</v>
          </cell>
          <cell r="HR140">
            <v>5</v>
          </cell>
          <cell r="HS140">
            <v>4</v>
          </cell>
          <cell r="HT140">
            <v>55.6</v>
          </cell>
          <cell r="HU140">
            <v>7</v>
          </cell>
          <cell r="HV140">
            <v>14</v>
          </cell>
          <cell r="HW140">
            <v>33.299999999999997</v>
          </cell>
          <cell r="HX140">
            <v>4</v>
          </cell>
          <cell r="HY140">
            <v>5</v>
          </cell>
          <cell r="HZ140">
            <v>44.4</v>
          </cell>
          <cell r="IA140">
            <v>9</v>
          </cell>
          <cell r="IB140">
            <v>5</v>
          </cell>
          <cell r="IC140">
            <v>64.3</v>
          </cell>
          <cell r="ID140">
            <v>5</v>
          </cell>
          <cell r="IE140">
            <v>1</v>
          </cell>
          <cell r="IF140">
            <v>83.3</v>
          </cell>
          <cell r="IG140">
            <v>4</v>
          </cell>
          <cell r="IH140">
            <v>1</v>
          </cell>
          <cell r="II140">
            <v>80</v>
          </cell>
          <cell r="IJ140">
            <v>5</v>
          </cell>
          <cell r="IK140">
            <v>5</v>
          </cell>
          <cell r="IL140">
            <v>100</v>
          </cell>
          <cell r="IM140">
            <v>3</v>
          </cell>
          <cell r="IN140">
            <v>3</v>
          </cell>
          <cell r="IO140">
            <v>100</v>
          </cell>
          <cell r="IP140">
            <v>1</v>
          </cell>
          <cell r="IQ140">
            <v>2</v>
          </cell>
          <cell r="IR140">
            <v>33.299999999999997</v>
          </cell>
          <cell r="IS140">
            <v>6</v>
          </cell>
          <cell r="IT140">
            <v>6</v>
          </cell>
          <cell r="IU140">
            <v>100</v>
          </cell>
          <cell r="IV140">
            <v>100</v>
          </cell>
          <cell r="IW140">
            <v>2</v>
          </cell>
          <cell r="IX140">
            <v>0</v>
          </cell>
          <cell r="IY140">
            <v>2</v>
          </cell>
          <cell r="IZ140">
            <v>2</v>
          </cell>
          <cell r="JA140">
            <v>50</v>
          </cell>
          <cell r="JB140">
            <v>9</v>
          </cell>
          <cell r="JC140">
            <v>9</v>
          </cell>
          <cell r="JD140">
            <v>100</v>
          </cell>
          <cell r="JE140">
            <v>7</v>
          </cell>
          <cell r="JF140">
            <v>4</v>
          </cell>
          <cell r="JG140">
            <v>63.6</v>
          </cell>
          <cell r="JH140">
            <v>0</v>
          </cell>
          <cell r="JI140">
            <v>0</v>
          </cell>
          <cell r="JJ140" t="str">
            <v>-</v>
          </cell>
          <cell r="JK140">
            <v>0</v>
          </cell>
          <cell r="JL140">
            <v>0</v>
          </cell>
          <cell r="JM140" t="str">
            <v>-</v>
          </cell>
          <cell r="JN140">
            <v>0</v>
          </cell>
          <cell r="JO140">
            <v>0</v>
          </cell>
          <cell r="JP140" t="str">
            <v>-</v>
          </cell>
          <cell r="JQ140">
            <v>598</v>
          </cell>
          <cell r="JR140">
            <v>211</v>
          </cell>
          <cell r="JS140">
            <v>73.918417799752774</v>
          </cell>
          <cell r="JT140">
            <v>291</v>
          </cell>
          <cell r="JU140">
            <v>154</v>
          </cell>
          <cell r="JV140">
            <v>65.393258426966298</v>
          </cell>
          <cell r="JW140">
            <v>0</v>
          </cell>
          <cell r="JX140">
            <v>0</v>
          </cell>
          <cell r="JY140" t="str">
            <v>-</v>
          </cell>
          <cell r="JZ140">
            <v>99</v>
          </cell>
          <cell r="KA140">
            <v>61</v>
          </cell>
          <cell r="KB140">
            <v>61.875</v>
          </cell>
          <cell r="KC140">
            <v>0</v>
          </cell>
          <cell r="KD140">
            <v>0</v>
          </cell>
          <cell r="KE140" t="str">
            <v>-</v>
          </cell>
          <cell r="KF140">
            <v>500</v>
          </cell>
          <cell r="KG140">
            <v>177</v>
          </cell>
          <cell r="KH140">
            <v>73.85524372230428</v>
          </cell>
          <cell r="KI140">
            <v>29</v>
          </cell>
          <cell r="KJ140">
            <v>26</v>
          </cell>
          <cell r="KK140">
            <v>52.72727272727272</v>
          </cell>
          <cell r="KL140">
            <v>24</v>
          </cell>
          <cell r="KM140">
            <v>8</v>
          </cell>
          <cell r="KN140">
            <v>75</v>
          </cell>
        </row>
        <row r="141">
          <cell r="C141" t="str">
            <v>Barcsi Rendőrkapitányság</v>
          </cell>
          <cell r="D141">
            <v>75</v>
          </cell>
          <cell r="E141">
            <v>75</v>
          </cell>
          <cell r="F141" t="str">
            <v>-</v>
          </cell>
          <cell r="G141">
            <v>75</v>
          </cell>
          <cell r="H141">
            <v>75</v>
          </cell>
          <cell r="I141" t="str">
            <v>-</v>
          </cell>
          <cell r="J141">
            <v>75</v>
          </cell>
          <cell r="K141">
            <v>75</v>
          </cell>
          <cell r="L141" t="str">
            <v>-</v>
          </cell>
          <cell r="M141">
            <v>75</v>
          </cell>
          <cell r="N141">
            <v>75</v>
          </cell>
          <cell r="O141" t="str">
            <v>-</v>
          </cell>
          <cell r="P141">
            <v>75</v>
          </cell>
          <cell r="Q141">
            <v>75</v>
          </cell>
          <cell r="R141" t="str">
            <v>-</v>
          </cell>
          <cell r="S141">
            <v>75</v>
          </cell>
          <cell r="T141">
            <v>75</v>
          </cell>
          <cell r="U141" t="str">
            <v>-</v>
          </cell>
          <cell r="V141">
            <v>75</v>
          </cell>
          <cell r="W141">
            <v>75</v>
          </cell>
          <cell r="X141" t="str">
            <v>-</v>
          </cell>
          <cell r="Y141">
            <v>75</v>
          </cell>
          <cell r="Z141">
            <v>75</v>
          </cell>
          <cell r="AA141" t="str">
            <v>-</v>
          </cell>
          <cell r="AB141">
            <v>75</v>
          </cell>
          <cell r="AC141">
            <v>75</v>
          </cell>
          <cell r="AD141" t="str">
            <v>-</v>
          </cell>
          <cell r="AE141">
            <v>75</v>
          </cell>
          <cell r="AF141">
            <v>75</v>
          </cell>
          <cell r="AG141" t="str">
            <v>-</v>
          </cell>
          <cell r="AH141">
            <v>75</v>
          </cell>
          <cell r="AI141">
            <v>75</v>
          </cell>
          <cell r="AJ141" t="str">
            <v>-</v>
          </cell>
          <cell r="AK141">
            <v>75</v>
          </cell>
          <cell r="AL141">
            <v>75</v>
          </cell>
          <cell r="AM141" t="str">
            <v>-</v>
          </cell>
          <cell r="AN141">
            <v>75</v>
          </cell>
          <cell r="AO141">
            <v>75</v>
          </cell>
          <cell r="AP141" t="str">
            <v>-</v>
          </cell>
          <cell r="AQ141">
            <v>75</v>
          </cell>
          <cell r="AR141">
            <v>75</v>
          </cell>
          <cell r="AS141" t="str">
            <v>-</v>
          </cell>
          <cell r="AT141">
            <v>75</v>
          </cell>
          <cell r="AU141">
            <v>75</v>
          </cell>
          <cell r="AV141" t="str">
            <v>-</v>
          </cell>
          <cell r="AW141">
            <v>75</v>
          </cell>
          <cell r="AX141">
            <v>75</v>
          </cell>
          <cell r="AY141" t="str">
            <v>-</v>
          </cell>
          <cell r="AZ141">
            <v>75</v>
          </cell>
          <cell r="BA141">
            <v>75</v>
          </cell>
          <cell r="BB141" t="str">
            <v>-</v>
          </cell>
          <cell r="BC141">
            <v>75</v>
          </cell>
          <cell r="BD141">
            <v>75</v>
          </cell>
          <cell r="BE141" t="str">
            <v>-</v>
          </cell>
          <cell r="BF141">
            <v>75</v>
          </cell>
          <cell r="BG141">
            <v>75</v>
          </cell>
          <cell r="BH141" t="str">
            <v>-</v>
          </cell>
          <cell r="BI141">
            <v>75</v>
          </cell>
          <cell r="BJ141">
            <v>75</v>
          </cell>
          <cell r="BK141" t="str">
            <v>-</v>
          </cell>
          <cell r="BL141">
            <v>75</v>
          </cell>
          <cell r="BM141">
            <v>75</v>
          </cell>
          <cell r="BN141" t="str">
            <v>-</v>
          </cell>
          <cell r="BO141">
            <v>75</v>
          </cell>
          <cell r="BP141">
            <v>75</v>
          </cell>
          <cell r="BQ141" t="str">
            <v>-</v>
          </cell>
          <cell r="BR141">
            <v>75</v>
          </cell>
          <cell r="BS141">
            <v>75</v>
          </cell>
          <cell r="BT141" t="str">
            <v>-</v>
          </cell>
          <cell r="BU141">
            <v>75</v>
          </cell>
          <cell r="BV141">
            <v>75</v>
          </cell>
          <cell r="BW141" t="str">
            <v>-</v>
          </cell>
          <cell r="BX141">
            <v>68</v>
          </cell>
          <cell r="BY141">
            <v>6</v>
          </cell>
          <cell r="BZ141">
            <v>91.9</v>
          </cell>
          <cell r="CA141">
            <v>53</v>
          </cell>
          <cell r="CB141">
            <v>2</v>
          </cell>
          <cell r="CC141">
            <v>96.4</v>
          </cell>
          <cell r="CD141">
            <v>46</v>
          </cell>
          <cell r="CE141">
            <v>7</v>
          </cell>
          <cell r="CF141">
            <v>86.8</v>
          </cell>
          <cell r="CG141">
            <v>37</v>
          </cell>
          <cell r="CH141">
            <v>7</v>
          </cell>
          <cell r="CI141">
            <v>84.1</v>
          </cell>
          <cell r="CJ141">
            <v>47</v>
          </cell>
          <cell r="CK141">
            <v>9</v>
          </cell>
          <cell r="CL141">
            <v>83.9</v>
          </cell>
          <cell r="CM141">
            <v>40</v>
          </cell>
          <cell r="CN141">
            <v>8</v>
          </cell>
          <cell r="CO141">
            <v>83.3</v>
          </cell>
          <cell r="CP141">
            <v>35</v>
          </cell>
          <cell r="CQ141">
            <v>4</v>
          </cell>
          <cell r="CR141">
            <v>89.7</v>
          </cell>
          <cell r="CS141">
            <v>40</v>
          </cell>
          <cell r="CT141">
            <v>6</v>
          </cell>
          <cell r="CU141">
            <v>87</v>
          </cell>
          <cell r="CV141">
            <v>29</v>
          </cell>
          <cell r="CW141">
            <v>6</v>
          </cell>
          <cell r="CX141">
            <v>82.9</v>
          </cell>
          <cell r="CY141">
            <v>21</v>
          </cell>
          <cell r="CZ141">
            <v>2</v>
          </cell>
          <cell r="DA141">
            <v>91.3</v>
          </cell>
          <cell r="DB141">
            <v>20</v>
          </cell>
          <cell r="DC141">
            <v>4</v>
          </cell>
          <cell r="DD141">
            <v>83.3</v>
          </cell>
          <cell r="DE141">
            <v>16</v>
          </cell>
          <cell r="DF141">
            <v>5</v>
          </cell>
          <cell r="DG141">
            <v>76.2</v>
          </cell>
          <cell r="DH141">
            <v>20</v>
          </cell>
          <cell r="DI141">
            <v>3</v>
          </cell>
          <cell r="DJ141">
            <v>87</v>
          </cell>
          <cell r="DK141">
            <v>10</v>
          </cell>
          <cell r="DL141">
            <v>4</v>
          </cell>
          <cell r="DM141">
            <v>71.400000000000006</v>
          </cell>
          <cell r="DN141">
            <v>8</v>
          </cell>
          <cell r="DO141">
            <v>3</v>
          </cell>
          <cell r="DP141">
            <v>72.7</v>
          </cell>
          <cell r="DQ141">
            <v>13</v>
          </cell>
          <cell r="DR141">
            <v>4</v>
          </cell>
          <cell r="DS141">
            <v>76.5</v>
          </cell>
          <cell r="DT141">
            <v>76.5</v>
          </cell>
          <cell r="DU141">
            <v>76.5</v>
          </cell>
          <cell r="DV141" t="str">
            <v>-</v>
          </cell>
          <cell r="DW141">
            <v>76.5</v>
          </cell>
          <cell r="DX141">
            <v>76.5</v>
          </cell>
          <cell r="DY141" t="str">
            <v>-</v>
          </cell>
          <cell r="DZ141">
            <v>76.5</v>
          </cell>
          <cell r="EA141">
            <v>76.5</v>
          </cell>
          <cell r="EB141" t="str">
            <v>-</v>
          </cell>
          <cell r="EC141">
            <v>76.5</v>
          </cell>
          <cell r="ED141">
            <v>76.5</v>
          </cell>
          <cell r="EE141" t="str">
            <v>-</v>
          </cell>
          <cell r="EF141">
            <v>76.5</v>
          </cell>
          <cell r="EG141">
            <v>76.5</v>
          </cell>
          <cell r="EH141" t="str">
            <v>-</v>
          </cell>
          <cell r="EI141">
            <v>76.5</v>
          </cell>
          <cell r="EJ141">
            <v>76.5</v>
          </cell>
          <cell r="EK141" t="str">
            <v>-</v>
          </cell>
          <cell r="EL141">
            <v>76.5</v>
          </cell>
          <cell r="EM141">
            <v>76.5</v>
          </cell>
          <cell r="EN141" t="str">
            <v>-</v>
          </cell>
          <cell r="EO141">
            <v>76.5</v>
          </cell>
          <cell r="EP141">
            <v>76.5</v>
          </cell>
          <cell r="EQ141" t="str">
            <v>-</v>
          </cell>
          <cell r="ER141">
            <v>6</v>
          </cell>
          <cell r="ES141">
            <v>12</v>
          </cell>
          <cell r="ET141">
            <v>33.299999999999997</v>
          </cell>
          <cell r="EU141">
            <v>22</v>
          </cell>
          <cell r="EV141">
            <v>5</v>
          </cell>
          <cell r="EW141">
            <v>81.5</v>
          </cell>
          <cell r="EX141">
            <v>4</v>
          </cell>
          <cell r="EY141">
            <v>4</v>
          </cell>
          <cell r="EZ141">
            <v>100</v>
          </cell>
          <cell r="FA141">
            <v>100</v>
          </cell>
          <cell r="FB141">
            <v>3</v>
          </cell>
          <cell r="FC141">
            <v>0</v>
          </cell>
          <cell r="FD141">
            <v>1</v>
          </cell>
          <cell r="FE141">
            <v>1</v>
          </cell>
          <cell r="FF141">
            <v>100</v>
          </cell>
          <cell r="FG141">
            <v>3</v>
          </cell>
          <cell r="FH141">
            <v>1</v>
          </cell>
          <cell r="FI141">
            <v>75</v>
          </cell>
          <cell r="FJ141">
            <v>2</v>
          </cell>
          <cell r="FK141">
            <v>2</v>
          </cell>
          <cell r="FL141">
            <v>100</v>
          </cell>
          <cell r="FM141">
            <v>3</v>
          </cell>
          <cell r="FN141">
            <v>1</v>
          </cell>
          <cell r="FO141">
            <v>75</v>
          </cell>
          <cell r="FP141">
            <v>75</v>
          </cell>
          <cell r="FQ141">
            <v>75</v>
          </cell>
          <cell r="FR141" t="str">
            <v>-</v>
          </cell>
          <cell r="FS141">
            <v>75</v>
          </cell>
          <cell r="FT141">
            <v>75</v>
          </cell>
          <cell r="FU141" t="str">
            <v>-</v>
          </cell>
          <cell r="FV141">
            <v>75</v>
          </cell>
          <cell r="FW141">
            <v>75</v>
          </cell>
          <cell r="FX141" t="str">
            <v>-</v>
          </cell>
          <cell r="FY141">
            <v>75</v>
          </cell>
          <cell r="FZ141">
            <v>75</v>
          </cell>
          <cell r="GA141" t="str">
            <v>-</v>
          </cell>
          <cell r="GB141">
            <v>75</v>
          </cell>
          <cell r="GC141">
            <v>75</v>
          </cell>
          <cell r="GD141" t="str">
            <v>-</v>
          </cell>
          <cell r="GE141">
            <v>75</v>
          </cell>
          <cell r="GF141">
            <v>75</v>
          </cell>
          <cell r="GG141" t="str">
            <v>-</v>
          </cell>
          <cell r="GH141">
            <v>75</v>
          </cell>
          <cell r="GI141">
            <v>75</v>
          </cell>
          <cell r="GJ141" t="str">
            <v>-</v>
          </cell>
          <cell r="GK141">
            <v>75</v>
          </cell>
          <cell r="GL141">
            <v>75</v>
          </cell>
          <cell r="GM141" t="str">
            <v>-</v>
          </cell>
          <cell r="GN141">
            <v>26</v>
          </cell>
          <cell r="GO141">
            <v>3</v>
          </cell>
          <cell r="GP141">
            <v>89.7</v>
          </cell>
          <cell r="GQ141">
            <v>24</v>
          </cell>
          <cell r="GR141">
            <v>1</v>
          </cell>
          <cell r="GS141">
            <v>96</v>
          </cell>
          <cell r="GT141">
            <v>37</v>
          </cell>
          <cell r="GU141">
            <v>3</v>
          </cell>
          <cell r="GV141">
            <v>92.5</v>
          </cell>
          <cell r="GW141">
            <v>39</v>
          </cell>
          <cell r="GX141">
            <v>9</v>
          </cell>
          <cell r="GY141">
            <v>81.3</v>
          </cell>
          <cell r="GZ141">
            <v>41</v>
          </cell>
          <cell r="HA141">
            <v>8</v>
          </cell>
          <cell r="HB141">
            <v>83.7</v>
          </cell>
          <cell r="HC141">
            <v>16</v>
          </cell>
          <cell r="HD141">
            <v>4</v>
          </cell>
          <cell r="HE141">
            <v>80</v>
          </cell>
          <cell r="HF141">
            <v>20</v>
          </cell>
          <cell r="HG141">
            <v>3</v>
          </cell>
          <cell r="HH141">
            <v>87</v>
          </cell>
          <cell r="HI141">
            <v>27</v>
          </cell>
          <cell r="HJ141">
            <v>8</v>
          </cell>
          <cell r="HK141">
            <v>77.099999999999994</v>
          </cell>
          <cell r="HL141">
            <v>3</v>
          </cell>
          <cell r="HM141">
            <v>1</v>
          </cell>
          <cell r="HN141">
            <v>75</v>
          </cell>
          <cell r="HO141">
            <v>2</v>
          </cell>
          <cell r="HP141">
            <v>3</v>
          </cell>
          <cell r="HQ141">
            <v>40</v>
          </cell>
          <cell r="HR141">
            <v>3</v>
          </cell>
          <cell r="HS141">
            <v>3</v>
          </cell>
          <cell r="HT141">
            <v>50</v>
          </cell>
          <cell r="HU141">
            <v>1</v>
          </cell>
          <cell r="HV141">
            <v>1</v>
          </cell>
          <cell r="HW141">
            <v>50</v>
          </cell>
          <cell r="HX141">
            <v>1</v>
          </cell>
          <cell r="HY141">
            <v>1</v>
          </cell>
          <cell r="HZ141">
            <v>100</v>
          </cell>
          <cell r="IA141">
            <v>100</v>
          </cell>
          <cell r="IB141">
            <v>100</v>
          </cell>
          <cell r="IC141" t="str">
            <v>-</v>
          </cell>
          <cell r="ID141">
            <v>1</v>
          </cell>
          <cell r="IE141">
            <v>1</v>
          </cell>
          <cell r="IF141">
            <v>100</v>
          </cell>
          <cell r="IG141">
            <v>1</v>
          </cell>
          <cell r="IH141">
            <v>1</v>
          </cell>
          <cell r="II141">
            <v>100</v>
          </cell>
          <cell r="IJ141">
            <v>100</v>
          </cell>
          <cell r="IK141">
            <v>100</v>
          </cell>
          <cell r="IL141" t="str">
            <v>-</v>
          </cell>
          <cell r="IM141">
            <v>100</v>
          </cell>
          <cell r="IN141">
            <v>100</v>
          </cell>
          <cell r="IO141" t="str">
            <v>-</v>
          </cell>
          <cell r="IP141">
            <v>100</v>
          </cell>
          <cell r="IQ141">
            <v>100</v>
          </cell>
          <cell r="IR141" t="str">
            <v>-</v>
          </cell>
          <cell r="IS141">
            <v>100</v>
          </cell>
          <cell r="IT141">
            <v>100</v>
          </cell>
          <cell r="IU141" t="str">
            <v>-</v>
          </cell>
          <cell r="IV141">
            <v>100</v>
          </cell>
          <cell r="IW141">
            <v>100</v>
          </cell>
          <cell r="IX141" t="str">
            <v>-</v>
          </cell>
          <cell r="IY141">
            <v>100</v>
          </cell>
          <cell r="IZ141">
            <v>100</v>
          </cell>
          <cell r="JA141" t="str">
            <v>-</v>
          </cell>
          <cell r="JB141">
            <v>100</v>
          </cell>
          <cell r="JC141">
            <v>100</v>
          </cell>
          <cell r="JD141" t="str">
            <v>-</v>
          </cell>
          <cell r="JE141">
            <v>100</v>
          </cell>
          <cell r="JF141">
            <v>100</v>
          </cell>
          <cell r="JG141" t="str">
            <v>-</v>
          </cell>
          <cell r="JH141">
            <v>0</v>
          </cell>
          <cell r="JI141">
            <v>0</v>
          </cell>
          <cell r="JJ141" t="str">
            <v>-</v>
          </cell>
          <cell r="JK141">
            <v>0</v>
          </cell>
          <cell r="JL141">
            <v>0</v>
          </cell>
          <cell r="JM141" t="str">
            <v>-</v>
          </cell>
          <cell r="JN141">
            <v>0</v>
          </cell>
          <cell r="JO141">
            <v>0</v>
          </cell>
          <cell r="JP141" t="str">
            <v>-</v>
          </cell>
          <cell r="JQ141">
            <v>199</v>
          </cell>
          <cell r="JR141">
            <v>34</v>
          </cell>
          <cell r="JS141">
            <v>85.407725321888421</v>
          </cell>
          <cell r="JT141">
            <v>67</v>
          </cell>
          <cell r="JU141">
            <v>19</v>
          </cell>
          <cell r="JV141">
            <v>77.906976744186053</v>
          </cell>
          <cell r="JW141">
            <v>0</v>
          </cell>
          <cell r="JX141">
            <v>0</v>
          </cell>
          <cell r="JY141" t="str">
            <v>-</v>
          </cell>
          <cell r="JZ141">
            <v>9</v>
          </cell>
          <cell r="KA141">
            <v>5</v>
          </cell>
          <cell r="KB141">
            <v>64.285714285714292</v>
          </cell>
          <cell r="KC141">
            <v>0</v>
          </cell>
          <cell r="KD141">
            <v>0</v>
          </cell>
          <cell r="KE141" t="str">
            <v>-</v>
          </cell>
          <cell r="KF141">
            <v>143</v>
          </cell>
          <cell r="KG141">
            <v>32</v>
          </cell>
          <cell r="KH141">
            <v>81.714285714285722</v>
          </cell>
          <cell r="KI141">
            <v>4</v>
          </cell>
          <cell r="KJ141">
            <v>1</v>
          </cell>
          <cell r="KK141">
            <v>80</v>
          </cell>
          <cell r="KL141">
            <v>0</v>
          </cell>
          <cell r="KM141">
            <v>0</v>
          </cell>
          <cell r="KN141" t="str">
            <v>-</v>
          </cell>
        </row>
        <row r="142">
          <cell r="C142" t="str">
            <v>Fonyódi Rendőrkapitányság</v>
          </cell>
          <cell r="D142">
            <v>0</v>
          </cell>
          <cell r="E142">
            <v>0</v>
          </cell>
          <cell r="F142" t="str">
            <v>-</v>
          </cell>
          <cell r="G142">
            <v>0</v>
          </cell>
          <cell r="H142">
            <v>0</v>
          </cell>
          <cell r="I142" t="str">
            <v>-</v>
          </cell>
          <cell r="J142">
            <v>0</v>
          </cell>
          <cell r="K142">
            <v>0</v>
          </cell>
          <cell r="L142" t="str">
            <v>-</v>
          </cell>
          <cell r="M142">
            <v>0</v>
          </cell>
          <cell r="N142">
            <v>0</v>
          </cell>
          <cell r="O142" t="str">
            <v>-</v>
          </cell>
          <cell r="P142">
            <v>0</v>
          </cell>
          <cell r="Q142">
            <v>0</v>
          </cell>
          <cell r="R142" t="str">
            <v>-</v>
          </cell>
          <cell r="S142">
            <v>0</v>
          </cell>
          <cell r="T142">
            <v>0</v>
          </cell>
          <cell r="U142" t="str">
            <v>-</v>
          </cell>
          <cell r="V142">
            <v>0</v>
          </cell>
          <cell r="W142">
            <v>0</v>
          </cell>
          <cell r="X142" t="str">
            <v>-</v>
          </cell>
          <cell r="Y142">
            <v>0</v>
          </cell>
          <cell r="Z142">
            <v>0</v>
          </cell>
          <cell r="AA142" t="str">
            <v>-</v>
          </cell>
          <cell r="AB142">
            <v>0</v>
          </cell>
          <cell r="AC142">
            <v>0</v>
          </cell>
          <cell r="AD142" t="str">
            <v>-</v>
          </cell>
          <cell r="AE142">
            <v>0</v>
          </cell>
          <cell r="AF142">
            <v>0</v>
          </cell>
          <cell r="AG142" t="str">
            <v>-</v>
          </cell>
          <cell r="AH142">
            <v>0</v>
          </cell>
          <cell r="AI142">
            <v>0</v>
          </cell>
          <cell r="AJ142" t="str">
            <v>-</v>
          </cell>
          <cell r="AK142">
            <v>0</v>
          </cell>
          <cell r="AL142">
            <v>0</v>
          </cell>
          <cell r="AM142" t="str">
            <v>-</v>
          </cell>
          <cell r="AN142">
            <v>0</v>
          </cell>
          <cell r="AO142">
            <v>0</v>
          </cell>
          <cell r="AP142" t="str">
            <v>-</v>
          </cell>
          <cell r="AQ142">
            <v>0</v>
          </cell>
          <cell r="AR142">
            <v>0</v>
          </cell>
          <cell r="AS142" t="str">
            <v>-</v>
          </cell>
          <cell r="AT142">
            <v>0</v>
          </cell>
          <cell r="AU142">
            <v>0</v>
          </cell>
          <cell r="AV142" t="str">
            <v>-</v>
          </cell>
          <cell r="AW142">
            <v>0</v>
          </cell>
          <cell r="AX142">
            <v>0</v>
          </cell>
          <cell r="AY142" t="str">
            <v>-</v>
          </cell>
          <cell r="AZ142">
            <v>0</v>
          </cell>
          <cell r="BA142">
            <v>0</v>
          </cell>
          <cell r="BB142" t="str">
            <v>-</v>
          </cell>
          <cell r="BC142">
            <v>0</v>
          </cell>
          <cell r="BD142">
            <v>0</v>
          </cell>
          <cell r="BE142" t="str">
            <v>-</v>
          </cell>
          <cell r="BF142">
            <v>0</v>
          </cell>
          <cell r="BG142">
            <v>0</v>
          </cell>
          <cell r="BH142" t="str">
            <v>-</v>
          </cell>
          <cell r="BI142">
            <v>0</v>
          </cell>
          <cell r="BJ142">
            <v>0</v>
          </cell>
          <cell r="BK142" t="str">
            <v>-</v>
          </cell>
          <cell r="BL142">
            <v>0</v>
          </cell>
          <cell r="BM142">
            <v>0</v>
          </cell>
          <cell r="BN142" t="str">
            <v>-</v>
          </cell>
          <cell r="BO142">
            <v>0</v>
          </cell>
          <cell r="BP142">
            <v>0</v>
          </cell>
          <cell r="BQ142" t="str">
            <v>-</v>
          </cell>
          <cell r="BR142">
            <v>0</v>
          </cell>
          <cell r="BS142">
            <v>0</v>
          </cell>
          <cell r="BT142" t="str">
            <v>-</v>
          </cell>
          <cell r="BU142">
            <v>0</v>
          </cell>
          <cell r="BV142">
            <v>0</v>
          </cell>
          <cell r="BW142" t="str">
            <v>-</v>
          </cell>
          <cell r="BX142">
            <v>32</v>
          </cell>
          <cell r="BY142">
            <v>7</v>
          </cell>
          <cell r="BZ142">
            <v>82.1</v>
          </cell>
          <cell r="CA142">
            <v>34</v>
          </cell>
          <cell r="CB142">
            <v>3</v>
          </cell>
          <cell r="CC142">
            <v>91.9</v>
          </cell>
          <cell r="CD142">
            <v>23</v>
          </cell>
          <cell r="CE142">
            <v>8</v>
          </cell>
          <cell r="CF142">
            <v>74.2</v>
          </cell>
          <cell r="CG142">
            <v>33</v>
          </cell>
          <cell r="CH142">
            <v>13</v>
          </cell>
          <cell r="CI142">
            <v>71.7</v>
          </cell>
          <cell r="CJ142">
            <v>28</v>
          </cell>
          <cell r="CK142">
            <v>14</v>
          </cell>
          <cell r="CL142">
            <v>66.7</v>
          </cell>
          <cell r="CM142">
            <v>25</v>
          </cell>
          <cell r="CN142">
            <v>4</v>
          </cell>
          <cell r="CO142">
            <v>86.2</v>
          </cell>
          <cell r="CP142">
            <v>30</v>
          </cell>
          <cell r="CQ142">
            <v>4</v>
          </cell>
          <cell r="CR142">
            <v>88.2</v>
          </cell>
          <cell r="CS142">
            <v>22</v>
          </cell>
          <cell r="CT142">
            <v>11</v>
          </cell>
          <cell r="CU142">
            <v>66.7</v>
          </cell>
          <cell r="CV142">
            <v>16</v>
          </cell>
          <cell r="CW142">
            <v>6</v>
          </cell>
          <cell r="CX142">
            <v>72.7</v>
          </cell>
          <cell r="CY142">
            <v>16</v>
          </cell>
          <cell r="CZ142">
            <v>2</v>
          </cell>
          <cell r="DA142">
            <v>88.9</v>
          </cell>
          <cell r="DB142">
            <v>11</v>
          </cell>
          <cell r="DC142">
            <v>7</v>
          </cell>
          <cell r="DD142">
            <v>61.1</v>
          </cell>
          <cell r="DE142">
            <v>14</v>
          </cell>
          <cell r="DF142">
            <v>6</v>
          </cell>
          <cell r="DG142">
            <v>70</v>
          </cell>
          <cell r="DH142">
            <v>15</v>
          </cell>
          <cell r="DI142">
            <v>11</v>
          </cell>
          <cell r="DJ142">
            <v>57.7</v>
          </cell>
          <cell r="DK142">
            <v>9</v>
          </cell>
          <cell r="DL142">
            <v>4</v>
          </cell>
          <cell r="DM142">
            <v>69.2</v>
          </cell>
          <cell r="DN142">
            <v>10</v>
          </cell>
          <cell r="DO142">
            <v>2</v>
          </cell>
          <cell r="DP142">
            <v>83.3</v>
          </cell>
          <cell r="DQ142">
            <v>12</v>
          </cell>
          <cell r="DR142">
            <v>3</v>
          </cell>
          <cell r="DS142">
            <v>80</v>
          </cell>
          <cell r="DT142">
            <v>80</v>
          </cell>
          <cell r="DU142">
            <v>80</v>
          </cell>
          <cell r="DV142" t="str">
            <v>-</v>
          </cell>
          <cell r="DW142">
            <v>80</v>
          </cell>
          <cell r="DX142">
            <v>80</v>
          </cell>
          <cell r="DY142" t="str">
            <v>-</v>
          </cell>
          <cell r="DZ142">
            <v>80</v>
          </cell>
          <cell r="EA142">
            <v>80</v>
          </cell>
          <cell r="EB142" t="str">
            <v>-</v>
          </cell>
          <cell r="EC142">
            <v>80</v>
          </cell>
          <cell r="ED142">
            <v>80</v>
          </cell>
          <cell r="EE142" t="str">
            <v>-</v>
          </cell>
          <cell r="EF142">
            <v>80</v>
          </cell>
          <cell r="EG142">
            <v>80</v>
          </cell>
          <cell r="EH142" t="str">
            <v>-</v>
          </cell>
          <cell r="EI142">
            <v>80</v>
          </cell>
          <cell r="EJ142">
            <v>80</v>
          </cell>
          <cell r="EK142" t="str">
            <v>-</v>
          </cell>
          <cell r="EL142">
            <v>80</v>
          </cell>
          <cell r="EM142">
            <v>80</v>
          </cell>
          <cell r="EN142" t="str">
            <v>-</v>
          </cell>
          <cell r="EO142">
            <v>80</v>
          </cell>
          <cell r="EP142">
            <v>80</v>
          </cell>
          <cell r="EQ142" t="str">
            <v>-</v>
          </cell>
          <cell r="ER142">
            <v>2</v>
          </cell>
          <cell r="ES142">
            <v>3</v>
          </cell>
          <cell r="ET142">
            <v>40</v>
          </cell>
          <cell r="EU142">
            <v>5</v>
          </cell>
          <cell r="EV142">
            <v>3</v>
          </cell>
          <cell r="EW142">
            <v>62.5</v>
          </cell>
          <cell r="EX142">
            <v>2</v>
          </cell>
          <cell r="EY142">
            <v>2</v>
          </cell>
          <cell r="EZ142">
            <v>50</v>
          </cell>
          <cell r="FA142">
            <v>13</v>
          </cell>
          <cell r="FB142">
            <v>5</v>
          </cell>
          <cell r="FC142">
            <v>72.2</v>
          </cell>
          <cell r="FD142">
            <v>16</v>
          </cell>
          <cell r="FE142">
            <v>3</v>
          </cell>
          <cell r="FF142">
            <v>84.2</v>
          </cell>
          <cell r="FG142">
            <v>84.199951171875</v>
          </cell>
          <cell r="FH142">
            <v>2</v>
          </cell>
          <cell r="FI142">
            <v>0</v>
          </cell>
          <cell r="FJ142">
            <v>2</v>
          </cell>
          <cell r="FK142">
            <v>1</v>
          </cell>
          <cell r="FL142">
            <v>66.7</v>
          </cell>
          <cell r="FM142">
            <v>3</v>
          </cell>
          <cell r="FN142">
            <v>9</v>
          </cell>
          <cell r="FO142">
            <v>25</v>
          </cell>
          <cell r="FP142">
            <v>25</v>
          </cell>
          <cell r="FQ142">
            <v>25</v>
          </cell>
          <cell r="FR142" t="str">
            <v>-</v>
          </cell>
          <cell r="FS142">
            <v>25</v>
          </cell>
          <cell r="FT142">
            <v>25</v>
          </cell>
          <cell r="FU142" t="str">
            <v>-</v>
          </cell>
          <cell r="FV142">
            <v>25</v>
          </cell>
          <cell r="FW142">
            <v>25</v>
          </cell>
          <cell r="FX142" t="str">
            <v>-</v>
          </cell>
          <cell r="FY142">
            <v>25</v>
          </cell>
          <cell r="FZ142">
            <v>25</v>
          </cell>
          <cell r="GA142" t="str">
            <v>-</v>
          </cell>
          <cell r="GB142">
            <v>25</v>
          </cell>
          <cell r="GC142">
            <v>25</v>
          </cell>
          <cell r="GD142" t="str">
            <v>-</v>
          </cell>
          <cell r="GE142">
            <v>25</v>
          </cell>
          <cell r="GF142">
            <v>25</v>
          </cell>
          <cell r="GG142" t="str">
            <v>-</v>
          </cell>
          <cell r="GH142">
            <v>25</v>
          </cell>
          <cell r="GI142">
            <v>25</v>
          </cell>
          <cell r="GJ142" t="str">
            <v>-</v>
          </cell>
          <cell r="GK142">
            <v>25</v>
          </cell>
          <cell r="GL142">
            <v>25</v>
          </cell>
          <cell r="GM142" t="str">
            <v>-</v>
          </cell>
          <cell r="GN142">
            <v>15</v>
          </cell>
          <cell r="GO142">
            <v>3</v>
          </cell>
          <cell r="GP142">
            <v>83.3</v>
          </cell>
          <cell r="GQ142">
            <v>25</v>
          </cell>
          <cell r="GR142">
            <v>3</v>
          </cell>
          <cell r="GS142">
            <v>89.3</v>
          </cell>
          <cell r="GT142">
            <v>28</v>
          </cell>
          <cell r="GU142">
            <v>14</v>
          </cell>
          <cell r="GV142">
            <v>66.7</v>
          </cell>
          <cell r="GW142">
            <v>44</v>
          </cell>
          <cell r="GX142">
            <v>17</v>
          </cell>
          <cell r="GY142">
            <v>72.099999999999994</v>
          </cell>
          <cell r="GZ142">
            <v>37</v>
          </cell>
          <cell r="HA142">
            <v>15</v>
          </cell>
          <cell r="HB142">
            <v>71.2</v>
          </cell>
          <cell r="HC142">
            <v>28</v>
          </cell>
          <cell r="HD142">
            <v>5</v>
          </cell>
          <cell r="HE142">
            <v>84.8</v>
          </cell>
          <cell r="HF142">
            <v>22</v>
          </cell>
          <cell r="HG142">
            <v>9</v>
          </cell>
          <cell r="HH142">
            <v>71</v>
          </cell>
          <cell r="HI142">
            <v>14</v>
          </cell>
          <cell r="HJ142">
            <v>9</v>
          </cell>
          <cell r="HK142">
            <v>60.9</v>
          </cell>
          <cell r="HL142">
            <v>1</v>
          </cell>
          <cell r="HM142">
            <v>1</v>
          </cell>
          <cell r="HN142">
            <v>100</v>
          </cell>
          <cell r="HO142">
            <v>1</v>
          </cell>
          <cell r="HP142">
            <v>1</v>
          </cell>
          <cell r="HQ142">
            <v>100</v>
          </cell>
          <cell r="HR142">
            <v>6</v>
          </cell>
          <cell r="HS142">
            <v>1</v>
          </cell>
          <cell r="HT142">
            <v>85.7</v>
          </cell>
          <cell r="HU142">
            <v>2</v>
          </cell>
          <cell r="HV142">
            <v>2</v>
          </cell>
          <cell r="HW142">
            <v>50</v>
          </cell>
          <cell r="HX142">
            <v>1</v>
          </cell>
          <cell r="HY142">
            <v>2</v>
          </cell>
          <cell r="HZ142">
            <v>33.299999999999997</v>
          </cell>
          <cell r="IA142">
            <v>1</v>
          </cell>
          <cell r="IB142">
            <v>1</v>
          </cell>
          <cell r="IC142">
            <v>50</v>
          </cell>
          <cell r="ID142">
            <v>1</v>
          </cell>
          <cell r="IE142">
            <v>1</v>
          </cell>
          <cell r="IF142">
            <v>100</v>
          </cell>
          <cell r="IG142">
            <v>100</v>
          </cell>
          <cell r="IH142">
            <v>1</v>
          </cell>
          <cell r="II142">
            <v>0</v>
          </cell>
          <cell r="IJ142">
            <v>1</v>
          </cell>
          <cell r="IK142">
            <v>1</v>
          </cell>
          <cell r="IL142">
            <v>100</v>
          </cell>
          <cell r="IM142">
            <v>1</v>
          </cell>
          <cell r="IN142">
            <v>1</v>
          </cell>
          <cell r="IO142">
            <v>100</v>
          </cell>
          <cell r="IP142">
            <v>100</v>
          </cell>
          <cell r="IQ142">
            <v>100</v>
          </cell>
          <cell r="IR142" t="str">
            <v>-</v>
          </cell>
          <cell r="IS142">
            <v>2</v>
          </cell>
          <cell r="IT142">
            <v>2</v>
          </cell>
          <cell r="IU142">
            <v>100</v>
          </cell>
          <cell r="IV142">
            <v>2</v>
          </cell>
          <cell r="IW142">
            <v>2</v>
          </cell>
          <cell r="IX142">
            <v>100</v>
          </cell>
          <cell r="IY142">
            <v>1</v>
          </cell>
          <cell r="IZ142">
            <v>1</v>
          </cell>
          <cell r="JA142">
            <v>100</v>
          </cell>
          <cell r="JB142">
            <v>100</v>
          </cell>
          <cell r="JC142">
            <v>100</v>
          </cell>
          <cell r="JD142" t="str">
            <v>-</v>
          </cell>
          <cell r="JE142">
            <v>1</v>
          </cell>
          <cell r="JF142">
            <v>1</v>
          </cell>
          <cell r="JG142">
            <v>100</v>
          </cell>
          <cell r="JH142">
            <v>0</v>
          </cell>
          <cell r="JI142">
            <v>0</v>
          </cell>
          <cell r="JJ142" t="str">
            <v>-</v>
          </cell>
          <cell r="JK142">
            <v>0</v>
          </cell>
          <cell r="JL142">
            <v>0</v>
          </cell>
          <cell r="JM142" t="str">
            <v>-</v>
          </cell>
          <cell r="JN142">
            <v>0</v>
          </cell>
          <cell r="JO142">
            <v>0</v>
          </cell>
          <cell r="JP142" t="str">
            <v>-</v>
          </cell>
          <cell r="JQ142">
            <v>138</v>
          </cell>
          <cell r="JR142">
            <v>46</v>
          </cell>
          <cell r="JS142">
            <v>75</v>
          </cell>
          <cell r="JT142">
            <v>60</v>
          </cell>
          <cell r="JU142">
            <v>26</v>
          </cell>
          <cell r="JV142">
            <v>69.767441860465112</v>
          </cell>
          <cell r="JW142">
            <v>0</v>
          </cell>
          <cell r="JX142">
            <v>0</v>
          </cell>
          <cell r="JY142" t="str">
            <v>-</v>
          </cell>
          <cell r="JZ142">
            <v>34</v>
          </cell>
          <cell r="KA142">
            <v>20</v>
          </cell>
          <cell r="KB142">
            <v>62.962962962962962</v>
          </cell>
          <cell r="KC142">
            <v>0</v>
          </cell>
          <cell r="KD142">
            <v>0</v>
          </cell>
          <cell r="KE142" t="str">
            <v>-</v>
          </cell>
          <cell r="KF142">
            <v>145</v>
          </cell>
          <cell r="KG142">
            <v>55</v>
          </cell>
          <cell r="KH142">
            <v>72.5</v>
          </cell>
          <cell r="KI142">
            <v>5</v>
          </cell>
          <cell r="KJ142">
            <v>6</v>
          </cell>
          <cell r="KK142">
            <v>45.454545454545453</v>
          </cell>
          <cell r="KL142">
            <v>6</v>
          </cell>
          <cell r="KM142">
            <v>0</v>
          </cell>
          <cell r="KN142">
            <v>100</v>
          </cell>
        </row>
        <row r="143">
          <cell r="C143" t="str">
            <v>Marcali Rendőrkapitányság</v>
          </cell>
          <cell r="D143">
            <v>100</v>
          </cell>
          <cell r="E143">
            <v>100</v>
          </cell>
          <cell r="F143" t="str">
            <v>-</v>
          </cell>
          <cell r="G143">
            <v>100</v>
          </cell>
          <cell r="H143">
            <v>100</v>
          </cell>
          <cell r="I143" t="str">
            <v>-</v>
          </cell>
          <cell r="J143">
            <v>100</v>
          </cell>
          <cell r="K143">
            <v>100</v>
          </cell>
          <cell r="L143" t="str">
            <v>-</v>
          </cell>
          <cell r="M143">
            <v>100</v>
          </cell>
          <cell r="N143">
            <v>100</v>
          </cell>
          <cell r="O143" t="str">
            <v>-</v>
          </cell>
          <cell r="P143">
            <v>100</v>
          </cell>
          <cell r="Q143">
            <v>100</v>
          </cell>
          <cell r="R143" t="str">
            <v>-</v>
          </cell>
          <cell r="S143">
            <v>100</v>
          </cell>
          <cell r="T143">
            <v>100</v>
          </cell>
          <cell r="U143" t="str">
            <v>-</v>
          </cell>
          <cell r="V143">
            <v>100</v>
          </cell>
          <cell r="W143">
            <v>100</v>
          </cell>
          <cell r="X143" t="str">
            <v>-</v>
          </cell>
          <cell r="Y143">
            <v>100</v>
          </cell>
          <cell r="Z143">
            <v>100</v>
          </cell>
          <cell r="AA143" t="str">
            <v>-</v>
          </cell>
          <cell r="AB143">
            <v>100</v>
          </cell>
          <cell r="AC143">
            <v>100</v>
          </cell>
          <cell r="AD143" t="str">
            <v>-</v>
          </cell>
          <cell r="AE143">
            <v>100</v>
          </cell>
          <cell r="AF143">
            <v>100</v>
          </cell>
          <cell r="AG143" t="str">
            <v>-</v>
          </cell>
          <cell r="AH143">
            <v>100</v>
          </cell>
          <cell r="AI143">
            <v>100</v>
          </cell>
          <cell r="AJ143" t="str">
            <v>-</v>
          </cell>
          <cell r="AK143">
            <v>100</v>
          </cell>
          <cell r="AL143">
            <v>100</v>
          </cell>
          <cell r="AM143" t="str">
            <v>-</v>
          </cell>
          <cell r="AN143">
            <v>100</v>
          </cell>
          <cell r="AO143">
            <v>100</v>
          </cell>
          <cell r="AP143" t="str">
            <v>-</v>
          </cell>
          <cell r="AQ143">
            <v>100</v>
          </cell>
          <cell r="AR143">
            <v>100</v>
          </cell>
          <cell r="AS143" t="str">
            <v>-</v>
          </cell>
          <cell r="AT143">
            <v>100</v>
          </cell>
          <cell r="AU143">
            <v>100</v>
          </cell>
          <cell r="AV143" t="str">
            <v>-</v>
          </cell>
          <cell r="AW143">
            <v>100</v>
          </cell>
          <cell r="AX143">
            <v>100</v>
          </cell>
          <cell r="AY143" t="str">
            <v>-</v>
          </cell>
          <cell r="AZ143">
            <v>100</v>
          </cell>
          <cell r="BA143">
            <v>100</v>
          </cell>
          <cell r="BB143" t="str">
            <v>-</v>
          </cell>
          <cell r="BC143">
            <v>100</v>
          </cell>
          <cell r="BD143">
            <v>100</v>
          </cell>
          <cell r="BE143" t="str">
            <v>-</v>
          </cell>
          <cell r="BF143">
            <v>100</v>
          </cell>
          <cell r="BG143">
            <v>100</v>
          </cell>
          <cell r="BH143" t="str">
            <v>-</v>
          </cell>
          <cell r="BI143">
            <v>100</v>
          </cell>
          <cell r="BJ143">
            <v>100</v>
          </cell>
          <cell r="BK143" t="str">
            <v>-</v>
          </cell>
          <cell r="BL143">
            <v>100</v>
          </cell>
          <cell r="BM143">
            <v>100</v>
          </cell>
          <cell r="BN143" t="str">
            <v>-</v>
          </cell>
          <cell r="BO143">
            <v>100</v>
          </cell>
          <cell r="BP143">
            <v>100</v>
          </cell>
          <cell r="BQ143" t="str">
            <v>-</v>
          </cell>
          <cell r="BR143">
            <v>100</v>
          </cell>
          <cell r="BS143">
            <v>100</v>
          </cell>
          <cell r="BT143" t="str">
            <v>-</v>
          </cell>
          <cell r="BU143">
            <v>100</v>
          </cell>
          <cell r="BV143">
            <v>100</v>
          </cell>
          <cell r="BW143" t="str">
            <v>-</v>
          </cell>
          <cell r="BX143">
            <v>37</v>
          </cell>
          <cell r="BY143">
            <v>12</v>
          </cell>
          <cell r="BZ143">
            <v>75.5</v>
          </cell>
          <cell r="CA143">
            <v>31</v>
          </cell>
          <cell r="CB143">
            <v>14</v>
          </cell>
          <cell r="CC143">
            <v>68.900000000000006</v>
          </cell>
          <cell r="CD143">
            <v>42</v>
          </cell>
          <cell r="CE143">
            <v>14</v>
          </cell>
          <cell r="CF143">
            <v>75</v>
          </cell>
          <cell r="CG143">
            <v>45</v>
          </cell>
          <cell r="CH143">
            <v>11</v>
          </cell>
          <cell r="CI143">
            <v>80.400000000000006</v>
          </cell>
          <cell r="CJ143">
            <v>33</v>
          </cell>
          <cell r="CK143">
            <v>15</v>
          </cell>
          <cell r="CL143">
            <v>68.8</v>
          </cell>
          <cell r="CM143">
            <v>45</v>
          </cell>
          <cell r="CN143">
            <v>2</v>
          </cell>
          <cell r="CO143">
            <v>95.7</v>
          </cell>
          <cell r="CP143">
            <v>67</v>
          </cell>
          <cell r="CQ143">
            <v>9</v>
          </cell>
          <cell r="CR143">
            <v>88.2</v>
          </cell>
          <cell r="CS143">
            <v>45</v>
          </cell>
          <cell r="CT143">
            <v>7</v>
          </cell>
          <cell r="CU143">
            <v>86.5</v>
          </cell>
          <cell r="CV143">
            <v>17</v>
          </cell>
          <cell r="CW143">
            <v>7</v>
          </cell>
          <cell r="CX143">
            <v>70.8</v>
          </cell>
          <cell r="CY143">
            <v>17</v>
          </cell>
          <cell r="CZ143">
            <v>8</v>
          </cell>
          <cell r="DA143">
            <v>68</v>
          </cell>
          <cell r="DB143">
            <v>24</v>
          </cell>
          <cell r="DC143">
            <v>9</v>
          </cell>
          <cell r="DD143">
            <v>72.7</v>
          </cell>
          <cell r="DE143">
            <v>24</v>
          </cell>
          <cell r="DF143">
            <v>7</v>
          </cell>
          <cell r="DG143">
            <v>77.400000000000006</v>
          </cell>
          <cell r="DH143">
            <v>11</v>
          </cell>
          <cell r="DI143">
            <v>13</v>
          </cell>
          <cell r="DJ143">
            <v>45.8</v>
          </cell>
          <cell r="DK143">
            <v>14</v>
          </cell>
          <cell r="DL143">
            <v>1</v>
          </cell>
          <cell r="DM143">
            <v>93.3</v>
          </cell>
          <cell r="DN143">
            <v>24</v>
          </cell>
          <cell r="DO143">
            <v>3</v>
          </cell>
          <cell r="DP143">
            <v>88.9</v>
          </cell>
          <cell r="DQ143">
            <v>18</v>
          </cell>
          <cell r="DR143">
            <v>6</v>
          </cell>
          <cell r="DS143">
            <v>75</v>
          </cell>
          <cell r="DT143">
            <v>75</v>
          </cell>
          <cell r="DU143">
            <v>75</v>
          </cell>
          <cell r="DV143" t="str">
            <v>-</v>
          </cell>
          <cell r="DW143">
            <v>75</v>
          </cell>
          <cell r="DX143">
            <v>75</v>
          </cell>
          <cell r="DY143" t="str">
            <v>-</v>
          </cell>
          <cell r="DZ143">
            <v>75</v>
          </cell>
          <cell r="EA143">
            <v>75</v>
          </cell>
          <cell r="EB143" t="str">
            <v>-</v>
          </cell>
          <cell r="EC143">
            <v>75</v>
          </cell>
          <cell r="ED143">
            <v>75</v>
          </cell>
          <cell r="EE143" t="str">
            <v>-</v>
          </cell>
          <cell r="EF143">
            <v>75</v>
          </cell>
          <cell r="EG143">
            <v>75</v>
          </cell>
          <cell r="EH143" t="str">
            <v>-</v>
          </cell>
          <cell r="EI143">
            <v>75</v>
          </cell>
          <cell r="EJ143">
            <v>75</v>
          </cell>
          <cell r="EK143" t="str">
            <v>-</v>
          </cell>
          <cell r="EL143">
            <v>75</v>
          </cell>
          <cell r="EM143">
            <v>75</v>
          </cell>
          <cell r="EN143" t="str">
            <v>-</v>
          </cell>
          <cell r="EO143">
            <v>75</v>
          </cell>
          <cell r="EP143">
            <v>75</v>
          </cell>
          <cell r="EQ143" t="str">
            <v>-</v>
          </cell>
          <cell r="ER143">
            <v>4</v>
          </cell>
          <cell r="ES143">
            <v>8</v>
          </cell>
          <cell r="ET143">
            <v>33.299999999999997</v>
          </cell>
          <cell r="EU143">
            <v>9</v>
          </cell>
          <cell r="EV143">
            <v>4</v>
          </cell>
          <cell r="EW143">
            <v>69.2</v>
          </cell>
          <cell r="EX143">
            <v>3</v>
          </cell>
          <cell r="EY143">
            <v>5</v>
          </cell>
          <cell r="EZ143">
            <v>37.5</v>
          </cell>
          <cell r="FA143">
            <v>12</v>
          </cell>
          <cell r="FB143">
            <v>4</v>
          </cell>
          <cell r="FC143">
            <v>75</v>
          </cell>
          <cell r="FD143">
            <v>7</v>
          </cell>
          <cell r="FE143">
            <v>7</v>
          </cell>
          <cell r="FF143">
            <v>50</v>
          </cell>
          <cell r="FG143">
            <v>5</v>
          </cell>
          <cell r="FH143">
            <v>2</v>
          </cell>
          <cell r="FI143">
            <v>71.400000000000006</v>
          </cell>
          <cell r="FJ143">
            <v>7</v>
          </cell>
          <cell r="FK143">
            <v>1</v>
          </cell>
          <cell r="FL143">
            <v>87.5</v>
          </cell>
          <cell r="FM143">
            <v>2</v>
          </cell>
          <cell r="FN143">
            <v>2</v>
          </cell>
          <cell r="FO143">
            <v>50</v>
          </cell>
          <cell r="FP143">
            <v>50</v>
          </cell>
          <cell r="FQ143">
            <v>50</v>
          </cell>
          <cell r="FR143" t="str">
            <v>-</v>
          </cell>
          <cell r="FS143">
            <v>50</v>
          </cell>
          <cell r="FT143">
            <v>50</v>
          </cell>
          <cell r="FU143" t="str">
            <v>-</v>
          </cell>
          <cell r="FV143">
            <v>50</v>
          </cell>
          <cell r="FW143">
            <v>50</v>
          </cell>
          <cell r="FX143" t="str">
            <v>-</v>
          </cell>
          <cell r="FY143">
            <v>50</v>
          </cell>
          <cell r="FZ143">
            <v>50</v>
          </cell>
          <cell r="GA143" t="str">
            <v>-</v>
          </cell>
          <cell r="GB143">
            <v>50</v>
          </cell>
          <cell r="GC143">
            <v>50</v>
          </cell>
          <cell r="GD143" t="str">
            <v>-</v>
          </cell>
          <cell r="GE143">
            <v>50</v>
          </cell>
          <cell r="GF143">
            <v>50</v>
          </cell>
          <cell r="GG143" t="str">
            <v>-</v>
          </cell>
          <cell r="GH143">
            <v>50</v>
          </cell>
          <cell r="GI143">
            <v>50</v>
          </cell>
          <cell r="GJ143" t="str">
            <v>-</v>
          </cell>
          <cell r="GK143">
            <v>50</v>
          </cell>
          <cell r="GL143">
            <v>50</v>
          </cell>
          <cell r="GM143" t="str">
            <v>-</v>
          </cell>
          <cell r="GN143">
            <v>18</v>
          </cell>
          <cell r="GO143">
            <v>23</v>
          </cell>
          <cell r="GP143">
            <v>43.9</v>
          </cell>
          <cell r="GQ143">
            <v>10</v>
          </cell>
          <cell r="GR143">
            <v>16</v>
          </cell>
          <cell r="GS143">
            <v>38.5</v>
          </cell>
          <cell r="GT143">
            <v>18</v>
          </cell>
          <cell r="GU143">
            <v>19</v>
          </cell>
          <cell r="GV143">
            <v>48.6</v>
          </cell>
          <cell r="GW143">
            <v>20</v>
          </cell>
          <cell r="GX143">
            <v>7</v>
          </cell>
          <cell r="GY143">
            <v>74.099999999999994</v>
          </cell>
          <cell r="GZ143">
            <v>14</v>
          </cell>
          <cell r="HA143">
            <v>7</v>
          </cell>
          <cell r="HB143">
            <v>66.7</v>
          </cell>
          <cell r="HC143">
            <v>29</v>
          </cell>
          <cell r="HD143">
            <v>9</v>
          </cell>
          <cell r="HE143">
            <v>76.3</v>
          </cell>
          <cell r="HF143">
            <v>53</v>
          </cell>
          <cell r="HG143">
            <v>3</v>
          </cell>
          <cell r="HH143">
            <v>94.6</v>
          </cell>
          <cell r="HI143">
            <v>42</v>
          </cell>
          <cell r="HJ143">
            <v>9</v>
          </cell>
          <cell r="HK143">
            <v>82.4</v>
          </cell>
          <cell r="HL143">
            <v>5</v>
          </cell>
          <cell r="HM143">
            <v>8</v>
          </cell>
          <cell r="HN143">
            <v>38.5</v>
          </cell>
          <cell r="HO143">
            <v>1</v>
          </cell>
          <cell r="HP143">
            <v>8</v>
          </cell>
          <cell r="HQ143">
            <v>11.1</v>
          </cell>
          <cell r="HR143">
            <v>2</v>
          </cell>
          <cell r="HS143">
            <v>7</v>
          </cell>
          <cell r="HT143">
            <v>22.2</v>
          </cell>
          <cell r="HU143">
            <v>1</v>
          </cell>
          <cell r="HV143">
            <v>5</v>
          </cell>
          <cell r="HW143">
            <v>16.7</v>
          </cell>
          <cell r="HX143">
            <v>16.699996948242188</v>
          </cell>
          <cell r="HY143">
            <v>2</v>
          </cell>
          <cell r="HZ143">
            <v>0</v>
          </cell>
          <cell r="IA143">
            <v>2</v>
          </cell>
          <cell r="IB143">
            <v>2</v>
          </cell>
          <cell r="IC143">
            <v>100</v>
          </cell>
          <cell r="ID143">
            <v>3</v>
          </cell>
          <cell r="IE143">
            <v>1</v>
          </cell>
          <cell r="IF143">
            <v>75</v>
          </cell>
          <cell r="IG143">
            <v>1</v>
          </cell>
          <cell r="IH143">
            <v>2</v>
          </cell>
          <cell r="II143">
            <v>33.299999999999997</v>
          </cell>
          <cell r="IJ143">
            <v>1</v>
          </cell>
          <cell r="IK143">
            <v>1</v>
          </cell>
          <cell r="IL143">
            <v>100</v>
          </cell>
          <cell r="IM143">
            <v>100</v>
          </cell>
          <cell r="IN143">
            <v>2</v>
          </cell>
          <cell r="IO143">
            <v>0</v>
          </cell>
          <cell r="IP143">
            <v>0</v>
          </cell>
          <cell r="IQ143">
            <v>0</v>
          </cell>
          <cell r="IR143" t="str">
            <v>-</v>
          </cell>
          <cell r="IS143">
            <v>0</v>
          </cell>
          <cell r="IT143">
            <v>0</v>
          </cell>
          <cell r="IU143" t="str">
            <v>-</v>
          </cell>
          <cell r="IV143">
            <v>2</v>
          </cell>
          <cell r="IW143">
            <v>2</v>
          </cell>
          <cell r="IX143">
            <v>100</v>
          </cell>
          <cell r="IY143">
            <v>100</v>
          </cell>
          <cell r="IZ143">
            <v>100</v>
          </cell>
          <cell r="JA143" t="str">
            <v>-</v>
          </cell>
          <cell r="JB143">
            <v>2</v>
          </cell>
          <cell r="JC143">
            <v>2</v>
          </cell>
          <cell r="JD143">
            <v>100</v>
          </cell>
          <cell r="JE143">
            <v>1</v>
          </cell>
          <cell r="JF143">
            <v>1</v>
          </cell>
          <cell r="JG143">
            <v>100</v>
          </cell>
          <cell r="JH143">
            <v>0</v>
          </cell>
          <cell r="JI143">
            <v>0</v>
          </cell>
          <cell r="JJ143" t="str">
            <v>-</v>
          </cell>
          <cell r="JK143">
            <v>0</v>
          </cell>
          <cell r="JL143">
            <v>0</v>
          </cell>
          <cell r="JM143" t="str">
            <v>-</v>
          </cell>
          <cell r="JN143">
            <v>0</v>
          </cell>
          <cell r="JO143">
            <v>0</v>
          </cell>
          <cell r="JP143" t="str">
            <v>-</v>
          </cell>
          <cell r="JQ143">
            <v>235</v>
          </cell>
          <cell r="JR143">
            <v>44</v>
          </cell>
          <cell r="JS143">
            <v>84.229390681003579</v>
          </cell>
          <cell r="JT143">
            <v>91</v>
          </cell>
          <cell r="JU143">
            <v>30</v>
          </cell>
          <cell r="JV143">
            <v>75.206611570247944</v>
          </cell>
          <cell r="JW143">
            <v>0</v>
          </cell>
          <cell r="JX143">
            <v>0</v>
          </cell>
          <cell r="JY143" t="str">
            <v>-</v>
          </cell>
          <cell r="JZ143">
            <v>33</v>
          </cell>
          <cell r="KA143">
            <v>16</v>
          </cell>
          <cell r="KB143">
            <v>67.346938775510196</v>
          </cell>
          <cell r="KC143">
            <v>0</v>
          </cell>
          <cell r="KD143">
            <v>0</v>
          </cell>
          <cell r="KE143" t="str">
            <v>-</v>
          </cell>
          <cell r="KF143">
            <v>158</v>
          </cell>
          <cell r="KG143">
            <v>35</v>
          </cell>
          <cell r="KH143">
            <v>81.865284974093271</v>
          </cell>
          <cell r="KI143">
            <v>7</v>
          </cell>
          <cell r="KJ143">
            <v>10</v>
          </cell>
          <cell r="KK143">
            <v>41.17647058823529</v>
          </cell>
          <cell r="KL143">
            <v>5</v>
          </cell>
          <cell r="KM143">
            <v>0</v>
          </cell>
          <cell r="KN143">
            <v>100</v>
          </cell>
        </row>
        <row r="144">
          <cell r="C144" t="str">
            <v>Nagyatádi Rendőrkapitányság</v>
          </cell>
          <cell r="D144">
            <v>100</v>
          </cell>
          <cell r="E144">
            <v>100</v>
          </cell>
          <cell r="F144" t="str">
            <v>-</v>
          </cell>
          <cell r="G144">
            <v>100</v>
          </cell>
          <cell r="H144">
            <v>100</v>
          </cell>
          <cell r="I144" t="str">
            <v>-</v>
          </cell>
          <cell r="J144">
            <v>100</v>
          </cell>
          <cell r="K144">
            <v>100</v>
          </cell>
          <cell r="L144" t="str">
            <v>-</v>
          </cell>
          <cell r="M144">
            <v>100</v>
          </cell>
          <cell r="N144">
            <v>100</v>
          </cell>
          <cell r="O144" t="str">
            <v>-</v>
          </cell>
          <cell r="P144">
            <v>100</v>
          </cell>
          <cell r="Q144">
            <v>100</v>
          </cell>
          <cell r="R144" t="str">
            <v>-</v>
          </cell>
          <cell r="S144">
            <v>100</v>
          </cell>
          <cell r="T144">
            <v>100</v>
          </cell>
          <cell r="U144" t="str">
            <v>-</v>
          </cell>
          <cell r="V144">
            <v>100</v>
          </cell>
          <cell r="W144">
            <v>100</v>
          </cell>
          <cell r="X144" t="str">
            <v>-</v>
          </cell>
          <cell r="Y144">
            <v>100</v>
          </cell>
          <cell r="Z144">
            <v>100</v>
          </cell>
          <cell r="AA144" t="str">
            <v>-</v>
          </cell>
          <cell r="AB144">
            <v>100</v>
          </cell>
          <cell r="AC144">
            <v>100</v>
          </cell>
          <cell r="AD144" t="str">
            <v>-</v>
          </cell>
          <cell r="AE144">
            <v>100</v>
          </cell>
          <cell r="AF144">
            <v>100</v>
          </cell>
          <cell r="AG144" t="str">
            <v>-</v>
          </cell>
          <cell r="AH144">
            <v>100</v>
          </cell>
          <cell r="AI144">
            <v>100</v>
          </cell>
          <cell r="AJ144" t="str">
            <v>-</v>
          </cell>
          <cell r="AK144">
            <v>100</v>
          </cell>
          <cell r="AL144">
            <v>100</v>
          </cell>
          <cell r="AM144" t="str">
            <v>-</v>
          </cell>
          <cell r="AN144">
            <v>100</v>
          </cell>
          <cell r="AO144">
            <v>100</v>
          </cell>
          <cell r="AP144" t="str">
            <v>-</v>
          </cell>
          <cell r="AQ144">
            <v>100</v>
          </cell>
          <cell r="AR144">
            <v>100</v>
          </cell>
          <cell r="AS144" t="str">
            <v>-</v>
          </cell>
          <cell r="AT144">
            <v>100</v>
          </cell>
          <cell r="AU144">
            <v>100</v>
          </cell>
          <cell r="AV144" t="str">
            <v>-</v>
          </cell>
          <cell r="AW144">
            <v>100</v>
          </cell>
          <cell r="AX144">
            <v>100</v>
          </cell>
          <cell r="AY144" t="str">
            <v>-</v>
          </cell>
          <cell r="AZ144">
            <v>100</v>
          </cell>
          <cell r="BA144">
            <v>100</v>
          </cell>
          <cell r="BB144" t="str">
            <v>-</v>
          </cell>
          <cell r="BC144">
            <v>100</v>
          </cell>
          <cell r="BD144">
            <v>100</v>
          </cell>
          <cell r="BE144" t="str">
            <v>-</v>
          </cell>
          <cell r="BF144">
            <v>100</v>
          </cell>
          <cell r="BG144">
            <v>100</v>
          </cell>
          <cell r="BH144" t="str">
            <v>-</v>
          </cell>
          <cell r="BI144">
            <v>100</v>
          </cell>
          <cell r="BJ144">
            <v>100</v>
          </cell>
          <cell r="BK144" t="str">
            <v>-</v>
          </cell>
          <cell r="BL144">
            <v>100</v>
          </cell>
          <cell r="BM144">
            <v>100</v>
          </cell>
          <cell r="BN144" t="str">
            <v>-</v>
          </cell>
          <cell r="BO144">
            <v>100</v>
          </cell>
          <cell r="BP144">
            <v>100</v>
          </cell>
          <cell r="BQ144" t="str">
            <v>-</v>
          </cell>
          <cell r="BR144">
            <v>100</v>
          </cell>
          <cell r="BS144">
            <v>100</v>
          </cell>
          <cell r="BT144" t="str">
            <v>-</v>
          </cell>
          <cell r="BU144">
            <v>100</v>
          </cell>
          <cell r="BV144">
            <v>100</v>
          </cell>
          <cell r="BW144" t="str">
            <v>-</v>
          </cell>
          <cell r="BX144">
            <v>98</v>
          </cell>
          <cell r="BY144">
            <v>35</v>
          </cell>
          <cell r="BZ144">
            <v>73.7</v>
          </cell>
          <cell r="CA144">
            <v>68</v>
          </cell>
          <cell r="CB144">
            <v>24</v>
          </cell>
          <cell r="CC144">
            <v>73.900000000000006</v>
          </cell>
          <cell r="CD144">
            <v>87</v>
          </cell>
          <cell r="CE144">
            <v>22</v>
          </cell>
          <cell r="CF144">
            <v>79.8</v>
          </cell>
          <cell r="CG144">
            <v>70</v>
          </cell>
          <cell r="CH144">
            <v>27</v>
          </cell>
          <cell r="CI144">
            <v>72.2</v>
          </cell>
          <cell r="CJ144">
            <v>68</v>
          </cell>
          <cell r="CK144">
            <v>19</v>
          </cell>
          <cell r="CL144">
            <v>78.2</v>
          </cell>
          <cell r="CM144">
            <v>55</v>
          </cell>
          <cell r="CN144">
            <v>18</v>
          </cell>
          <cell r="CO144">
            <v>75.3</v>
          </cell>
          <cell r="CP144">
            <v>81</v>
          </cell>
          <cell r="CQ144">
            <v>7</v>
          </cell>
          <cell r="CR144">
            <v>92</v>
          </cell>
          <cell r="CS144">
            <v>37</v>
          </cell>
          <cell r="CT144">
            <v>16</v>
          </cell>
          <cell r="CU144">
            <v>69.8</v>
          </cell>
          <cell r="CV144">
            <v>31</v>
          </cell>
          <cell r="CW144">
            <v>28</v>
          </cell>
          <cell r="CX144">
            <v>52.5</v>
          </cell>
          <cell r="CY144">
            <v>19</v>
          </cell>
          <cell r="CZ144">
            <v>7</v>
          </cell>
          <cell r="DA144">
            <v>73.099999999999994</v>
          </cell>
          <cell r="DB144">
            <v>34</v>
          </cell>
          <cell r="DC144">
            <v>8</v>
          </cell>
          <cell r="DD144">
            <v>81</v>
          </cell>
          <cell r="DE144">
            <v>35</v>
          </cell>
          <cell r="DF144">
            <v>14</v>
          </cell>
          <cell r="DG144">
            <v>71.400000000000006</v>
          </cell>
          <cell r="DH144">
            <v>18</v>
          </cell>
          <cell r="DI144">
            <v>7</v>
          </cell>
          <cell r="DJ144">
            <v>72</v>
          </cell>
          <cell r="DK144">
            <v>16</v>
          </cell>
          <cell r="DL144">
            <v>7</v>
          </cell>
          <cell r="DM144">
            <v>69.599999999999994</v>
          </cell>
          <cell r="DN144">
            <v>33</v>
          </cell>
          <cell r="DO144">
            <v>4</v>
          </cell>
          <cell r="DP144">
            <v>89.2</v>
          </cell>
          <cell r="DQ144">
            <v>19</v>
          </cell>
          <cell r="DR144">
            <v>4</v>
          </cell>
          <cell r="DS144">
            <v>82.6</v>
          </cell>
          <cell r="DT144">
            <v>82.5999755859375</v>
          </cell>
          <cell r="DU144">
            <v>82.5999755859375</v>
          </cell>
          <cell r="DV144" t="str">
            <v>-</v>
          </cell>
          <cell r="DW144">
            <v>82.5999755859375</v>
          </cell>
          <cell r="DX144">
            <v>82.5999755859375</v>
          </cell>
          <cell r="DY144" t="str">
            <v>-</v>
          </cell>
          <cell r="DZ144">
            <v>82.5999755859375</v>
          </cell>
          <cell r="EA144">
            <v>82.5999755859375</v>
          </cell>
          <cell r="EB144" t="str">
            <v>-</v>
          </cell>
          <cell r="EC144">
            <v>82.5999755859375</v>
          </cell>
          <cell r="ED144">
            <v>82.5999755859375</v>
          </cell>
          <cell r="EE144" t="str">
            <v>-</v>
          </cell>
          <cell r="EF144">
            <v>82.5999755859375</v>
          </cell>
          <cell r="EG144">
            <v>82.5999755859375</v>
          </cell>
          <cell r="EH144" t="str">
            <v>-</v>
          </cell>
          <cell r="EI144">
            <v>82.5999755859375</v>
          </cell>
          <cell r="EJ144">
            <v>82.5999755859375</v>
          </cell>
          <cell r="EK144" t="str">
            <v>-</v>
          </cell>
          <cell r="EL144">
            <v>82.5999755859375</v>
          </cell>
          <cell r="EM144">
            <v>82.5999755859375</v>
          </cell>
          <cell r="EN144" t="str">
            <v>-</v>
          </cell>
          <cell r="EO144">
            <v>82.5999755859375</v>
          </cell>
          <cell r="EP144">
            <v>82.5999755859375</v>
          </cell>
          <cell r="EQ144" t="str">
            <v>-</v>
          </cell>
          <cell r="ER144">
            <v>30</v>
          </cell>
          <cell r="ES144">
            <v>14</v>
          </cell>
          <cell r="ET144">
            <v>68.2</v>
          </cell>
          <cell r="EU144">
            <v>25</v>
          </cell>
          <cell r="EV144">
            <v>13</v>
          </cell>
          <cell r="EW144">
            <v>65.8</v>
          </cell>
          <cell r="EX144">
            <v>13</v>
          </cell>
          <cell r="EY144">
            <v>14</v>
          </cell>
          <cell r="EZ144">
            <v>48.1</v>
          </cell>
          <cell r="FA144">
            <v>13</v>
          </cell>
          <cell r="FB144">
            <v>5</v>
          </cell>
          <cell r="FC144">
            <v>72.2</v>
          </cell>
          <cell r="FD144">
            <v>16</v>
          </cell>
          <cell r="FE144">
            <v>5</v>
          </cell>
          <cell r="FF144">
            <v>76.2</v>
          </cell>
          <cell r="FG144">
            <v>9</v>
          </cell>
          <cell r="FH144">
            <v>7</v>
          </cell>
          <cell r="FI144">
            <v>56.3</v>
          </cell>
          <cell r="FJ144">
            <v>11</v>
          </cell>
          <cell r="FK144">
            <v>1</v>
          </cell>
          <cell r="FL144">
            <v>91.7</v>
          </cell>
          <cell r="FM144">
            <v>9</v>
          </cell>
          <cell r="FN144">
            <v>6</v>
          </cell>
          <cell r="FO144">
            <v>60</v>
          </cell>
          <cell r="FP144">
            <v>60</v>
          </cell>
          <cell r="FQ144">
            <v>60</v>
          </cell>
          <cell r="FR144" t="str">
            <v>-</v>
          </cell>
          <cell r="FS144">
            <v>60</v>
          </cell>
          <cell r="FT144">
            <v>60</v>
          </cell>
          <cell r="FU144" t="str">
            <v>-</v>
          </cell>
          <cell r="FV144">
            <v>60</v>
          </cell>
          <cell r="FW144">
            <v>1</v>
          </cell>
          <cell r="FX144">
            <v>0</v>
          </cell>
          <cell r="FY144">
            <v>1</v>
          </cell>
          <cell r="FZ144">
            <v>1</v>
          </cell>
          <cell r="GA144">
            <v>100</v>
          </cell>
          <cell r="GB144">
            <v>100</v>
          </cell>
          <cell r="GC144">
            <v>100</v>
          </cell>
          <cell r="GD144" t="str">
            <v>-</v>
          </cell>
          <cell r="GE144">
            <v>100</v>
          </cell>
          <cell r="GF144">
            <v>100</v>
          </cell>
          <cell r="GG144" t="str">
            <v>-</v>
          </cell>
          <cell r="GH144">
            <v>100</v>
          </cell>
          <cell r="GI144">
            <v>100</v>
          </cell>
          <cell r="GJ144" t="str">
            <v>-</v>
          </cell>
          <cell r="GK144">
            <v>100</v>
          </cell>
          <cell r="GL144">
            <v>100</v>
          </cell>
          <cell r="GM144" t="str">
            <v>-</v>
          </cell>
          <cell r="GN144">
            <v>66</v>
          </cell>
          <cell r="GO144">
            <v>10</v>
          </cell>
          <cell r="GP144">
            <v>86.8</v>
          </cell>
          <cell r="GQ144">
            <v>83</v>
          </cell>
          <cell r="GR144">
            <v>37</v>
          </cell>
          <cell r="GS144">
            <v>69.2</v>
          </cell>
          <cell r="GT144">
            <v>70</v>
          </cell>
          <cell r="GU144">
            <v>36</v>
          </cell>
          <cell r="GV144">
            <v>66</v>
          </cell>
          <cell r="GW144">
            <v>57</v>
          </cell>
          <cell r="GX144">
            <v>18</v>
          </cell>
          <cell r="GY144">
            <v>76</v>
          </cell>
          <cell r="GZ144">
            <v>66</v>
          </cell>
          <cell r="HA144">
            <v>14</v>
          </cell>
          <cell r="HB144">
            <v>82.5</v>
          </cell>
          <cell r="HC144">
            <v>54</v>
          </cell>
          <cell r="HD144">
            <v>10</v>
          </cell>
          <cell r="HE144">
            <v>84.4</v>
          </cell>
          <cell r="HF144">
            <v>39</v>
          </cell>
          <cell r="HG144">
            <v>12</v>
          </cell>
          <cell r="HH144">
            <v>76.5</v>
          </cell>
          <cell r="HI144">
            <v>24</v>
          </cell>
          <cell r="HJ144">
            <v>15</v>
          </cell>
          <cell r="HK144">
            <v>61.5</v>
          </cell>
          <cell r="HL144">
            <v>7</v>
          </cell>
          <cell r="HM144">
            <v>6</v>
          </cell>
          <cell r="HN144">
            <v>53.8</v>
          </cell>
          <cell r="HO144">
            <v>5</v>
          </cell>
          <cell r="HP144">
            <v>7</v>
          </cell>
          <cell r="HQ144">
            <v>41.7</v>
          </cell>
          <cell r="HR144">
            <v>7</v>
          </cell>
          <cell r="HS144">
            <v>3</v>
          </cell>
          <cell r="HT144">
            <v>70</v>
          </cell>
          <cell r="HU144">
            <v>3</v>
          </cell>
          <cell r="HV144">
            <v>3</v>
          </cell>
          <cell r="HW144">
            <v>50</v>
          </cell>
          <cell r="HX144">
            <v>7</v>
          </cell>
          <cell r="HY144">
            <v>1</v>
          </cell>
          <cell r="HZ144">
            <v>87.5</v>
          </cell>
          <cell r="IA144">
            <v>2</v>
          </cell>
          <cell r="IB144">
            <v>1</v>
          </cell>
          <cell r="IC144">
            <v>66.7</v>
          </cell>
          <cell r="ID144">
            <v>3</v>
          </cell>
          <cell r="IE144">
            <v>3</v>
          </cell>
          <cell r="IF144">
            <v>100</v>
          </cell>
          <cell r="IG144">
            <v>1</v>
          </cell>
          <cell r="IH144">
            <v>1</v>
          </cell>
          <cell r="II144">
            <v>100</v>
          </cell>
          <cell r="IJ144">
            <v>100</v>
          </cell>
          <cell r="IK144">
            <v>1</v>
          </cell>
          <cell r="IL144">
            <v>0</v>
          </cell>
          <cell r="IM144">
            <v>0</v>
          </cell>
          <cell r="IN144">
            <v>0</v>
          </cell>
          <cell r="IO144" t="str">
            <v>-</v>
          </cell>
          <cell r="IP144">
            <v>0</v>
          </cell>
          <cell r="IQ144">
            <v>0</v>
          </cell>
          <cell r="IR144" t="str">
            <v>-</v>
          </cell>
          <cell r="IS144">
            <v>0</v>
          </cell>
          <cell r="IT144">
            <v>1</v>
          </cell>
          <cell r="IU144">
            <v>0</v>
          </cell>
          <cell r="IV144">
            <v>0</v>
          </cell>
          <cell r="IW144">
            <v>0</v>
          </cell>
          <cell r="IX144" t="str">
            <v>-</v>
          </cell>
          <cell r="IY144">
            <v>0</v>
          </cell>
          <cell r="IZ144">
            <v>0</v>
          </cell>
          <cell r="JA144" t="str">
            <v>-</v>
          </cell>
          <cell r="JB144">
            <v>0</v>
          </cell>
          <cell r="JC144">
            <v>0</v>
          </cell>
          <cell r="JD144" t="str">
            <v>-</v>
          </cell>
          <cell r="JE144">
            <v>1</v>
          </cell>
          <cell r="JF144">
            <v>1</v>
          </cell>
          <cell r="JG144">
            <v>100</v>
          </cell>
          <cell r="JH144">
            <v>0</v>
          </cell>
          <cell r="JI144">
            <v>0</v>
          </cell>
          <cell r="JJ144" t="str">
            <v>-</v>
          </cell>
          <cell r="JK144">
            <v>0</v>
          </cell>
          <cell r="JL144">
            <v>0</v>
          </cell>
          <cell r="JM144" t="str">
            <v>-</v>
          </cell>
          <cell r="JN144">
            <v>0</v>
          </cell>
          <cell r="JO144">
            <v>0</v>
          </cell>
          <cell r="JP144" t="str">
            <v>-</v>
          </cell>
          <cell r="JQ144">
            <v>311</v>
          </cell>
          <cell r="JR144">
            <v>87</v>
          </cell>
          <cell r="JS144">
            <v>78.140703517587937</v>
          </cell>
          <cell r="JT144">
            <v>121</v>
          </cell>
          <cell r="JU144">
            <v>36</v>
          </cell>
          <cell r="JV144">
            <v>77.070063694267517</v>
          </cell>
          <cell r="JW144">
            <v>0</v>
          </cell>
          <cell r="JX144">
            <v>0</v>
          </cell>
          <cell r="JY144" t="str">
            <v>-</v>
          </cell>
          <cell r="JZ144">
            <v>58</v>
          </cell>
          <cell r="KA144">
            <v>24</v>
          </cell>
          <cell r="KB144">
            <v>70.731707317073173</v>
          </cell>
          <cell r="KC144">
            <v>1</v>
          </cell>
          <cell r="KD144">
            <v>0</v>
          </cell>
          <cell r="KE144">
            <v>100</v>
          </cell>
          <cell r="KF144">
            <v>240</v>
          </cell>
          <cell r="KG144">
            <v>69</v>
          </cell>
          <cell r="KH144">
            <v>77.669902912621353</v>
          </cell>
          <cell r="KI144">
            <v>16</v>
          </cell>
          <cell r="KJ144">
            <v>5</v>
          </cell>
          <cell r="KK144">
            <v>76.19047619047619</v>
          </cell>
          <cell r="KL144">
            <v>1</v>
          </cell>
          <cell r="KM144">
            <v>1</v>
          </cell>
          <cell r="KN144">
            <v>50</v>
          </cell>
        </row>
        <row r="145">
          <cell r="C145" t="str">
            <v>Siófoki Rendőrkapitányság</v>
          </cell>
          <cell r="D145">
            <v>50</v>
          </cell>
          <cell r="E145">
            <v>50</v>
          </cell>
          <cell r="F145" t="str">
            <v>-</v>
          </cell>
          <cell r="G145">
            <v>50</v>
          </cell>
          <cell r="H145">
            <v>50</v>
          </cell>
          <cell r="I145" t="str">
            <v>-</v>
          </cell>
          <cell r="J145">
            <v>50</v>
          </cell>
          <cell r="K145">
            <v>50</v>
          </cell>
          <cell r="L145" t="str">
            <v>-</v>
          </cell>
          <cell r="M145">
            <v>50</v>
          </cell>
          <cell r="N145">
            <v>50</v>
          </cell>
          <cell r="O145" t="str">
            <v>-</v>
          </cell>
          <cell r="P145">
            <v>50</v>
          </cell>
          <cell r="Q145">
            <v>50</v>
          </cell>
          <cell r="R145" t="str">
            <v>-</v>
          </cell>
          <cell r="S145">
            <v>50</v>
          </cell>
          <cell r="T145">
            <v>50</v>
          </cell>
          <cell r="U145" t="str">
            <v>-</v>
          </cell>
          <cell r="V145">
            <v>50</v>
          </cell>
          <cell r="W145">
            <v>50</v>
          </cell>
          <cell r="X145" t="str">
            <v>-</v>
          </cell>
          <cell r="Y145">
            <v>50</v>
          </cell>
          <cell r="Z145">
            <v>50</v>
          </cell>
          <cell r="AA145" t="str">
            <v>-</v>
          </cell>
          <cell r="AB145">
            <v>50</v>
          </cell>
          <cell r="AC145">
            <v>50</v>
          </cell>
          <cell r="AD145" t="str">
            <v>-</v>
          </cell>
          <cell r="AE145">
            <v>50</v>
          </cell>
          <cell r="AF145">
            <v>50</v>
          </cell>
          <cell r="AG145" t="str">
            <v>-</v>
          </cell>
          <cell r="AH145">
            <v>50</v>
          </cell>
          <cell r="AI145">
            <v>50</v>
          </cell>
          <cell r="AJ145" t="str">
            <v>-</v>
          </cell>
          <cell r="AK145">
            <v>50</v>
          </cell>
          <cell r="AL145">
            <v>50</v>
          </cell>
          <cell r="AM145" t="str">
            <v>-</v>
          </cell>
          <cell r="AN145">
            <v>50</v>
          </cell>
          <cell r="AO145">
            <v>50</v>
          </cell>
          <cell r="AP145" t="str">
            <v>-</v>
          </cell>
          <cell r="AQ145">
            <v>50</v>
          </cell>
          <cell r="AR145">
            <v>50</v>
          </cell>
          <cell r="AS145" t="str">
            <v>-</v>
          </cell>
          <cell r="AT145">
            <v>50</v>
          </cell>
          <cell r="AU145">
            <v>50</v>
          </cell>
          <cell r="AV145" t="str">
            <v>-</v>
          </cell>
          <cell r="AW145">
            <v>50</v>
          </cell>
          <cell r="AX145">
            <v>50</v>
          </cell>
          <cell r="AY145" t="str">
            <v>-</v>
          </cell>
          <cell r="AZ145">
            <v>50</v>
          </cell>
          <cell r="BA145">
            <v>50</v>
          </cell>
          <cell r="BB145" t="str">
            <v>-</v>
          </cell>
          <cell r="BC145">
            <v>50</v>
          </cell>
          <cell r="BD145">
            <v>50</v>
          </cell>
          <cell r="BE145" t="str">
            <v>-</v>
          </cell>
          <cell r="BF145">
            <v>50</v>
          </cell>
          <cell r="BG145">
            <v>50</v>
          </cell>
          <cell r="BH145" t="str">
            <v>-</v>
          </cell>
          <cell r="BI145">
            <v>50</v>
          </cell>
          <cell r="BJ145">
            <v>50</v>
          </cell>
          <cell r="BK145" t="str">
            <v>-</v>
          </cell>
          <cell r="BL145">
            <v>50</v>
          </cell>
          <cell r="BM145">
            <v>50</v>
          </cell>
          <cell r="BN145" t="str">
            <v>-</v>
          </cell>
          <cell r="BO145">
            <v>50</v>
          </cell>
          <cell r="BP145">
            <v>50</v>
          </cell>
          <cell r="BQ145" t="str">
            <v>-</v>
          </cell>
          <cell r="BR145">
            <v>50</v>
          </cell>
          <cell r="BS145">
            <v>50</v>
          </cell>
          <cell r="BT145" t="str">
            <v>-</v>
          </cell>
          <cell r="BU145">
            <v>50</v>
          </cell>
          <cell r="BV145">
            <v>50</v>
          </cell>
          <cell r="BW145" t="str">
            <v>-</v>
          </cell>
          <cell r="BX145">
            <v>68</v>
          </cell>
          <cell r="BY145">
            <v>38</v>
          </cell>
          <cell r="BZ145">
            <v>64.2</v>
          </cell>
          <cell r="CA145">
            <v>52</v>
          </cell>
          <cell r="CB145">
            <v>29</v>
          </cell>
          <cell r="CC145">
            <v>64.2</v>
          </cell>
          <cell r="CD145">
            <v>56</v>
          </cell>
          <cell r="CE145">
            <v>21</v>
          </cell>
          <cell r="CF145">
            <v>72.7</v>
          </cell>
          <cell r="CG145">
            <v>58</v>
          </cell>
          <cell r="CH145">
            <v>51</v>
          </cell>
          <cell r="CI145">
            <v>53.2</v>
          </cell>
          <cell r="CJ145">
            <v>50</v>
          </cell>
          <cell r="CK145">
            <v>41</v>
          </cell>
          <cell r="CL145">
            <v>54.9</v>
          </cell>
          <cell r="CM145">
            <v>47</v>
          </cell>
          <cell r="CN145">
            <v>27</v>
          </cell>
          <cell r="CO145">
            <v>63.5</v>
          </cell>
          <cell r="CP145">
            <v>53</v>
          </cell>
          <cell r="CQ145">
            <v>12</v>
          </cell>
          <cell r="CR145">
            <v>81.5</v>
          </cell>
          <cell r="CS145">
            <v>48</v>
          </cell>
          <cell r="CT145">
            <v>22</v>
          </cell>
          <cell r="CU145">
            <v>68.599999999999994</v>
          </cell>
          <cell r="CV145">
            <v>27</v>
          </cell>
          <cell r="CW145">
            <v>34</v>
          </cell>
          <cell r="CX145">
            <v>44.3</v>
          </cell>
          <cell r="CY145">
            <v>26</v>
          </cell>
          <cell r="CZ145">
            <v>26</v>
          </cell>
          <cell r="DA145">
            <v>50</v>
          </cell>
          <cell r="DB145">
            <v>27</v>
          </cell>
          <cell r="DC145">
            <v>18</v>
          </cell>
          <cell r="DD145">
            <v>60</v>
          </cell>
          <cell r="DE145">
            <v>32</v>
          </cell>
          <cell r="DF145">
            <v>42</v>
          </cell>
          <cell r="DG145">
            <v>43.2</v>
          </cell>
          <cell r="DH145">
            <v>24</v>
          </cell>
          <cell r="DI145">
            <v>34</v>
          </cell>
          <cell r="DJ145">
            <v>41.4</v>
          </cell>
          <cell r="DK145">
            <v>29</v>
          </cell>
          <cell r="DL145">
            <v>19</v>
          </cell>
          <cell r="DM145">
            <v>60.4</v>
          </cell>
          <cell r="DN145">
            <v>20</v>
          </cell>
          <cell r="DO145">
            <v>11</v>
          </cell>
          <cell r="DP145">
            <v>64.5</v>
          </cell>
          <cell r="DQ145">
            <v>17</v>
          </cell>
          <cell r="DR145">
            <v>15</v>
          </cell>
          <cell r="DS145">
            <v>53.1</v>
          </cell>
          <cell r="DT145">
            <v>53.0999755859375</v>
          </cell>
          <cell r="DU145">
            <v>53.0999755859375</v>
          </cell>
          <cell r="DV145" t="str">
            <v>-</v>
          </cell>
          <cell r="DW145">
            <v>53.0999755859375</v>
          </cell>
          <cell r="DX145">
            <v>53.0999755859375</v>
          </cell>
          <cell r="DY145" t="str">
            <v>-</v>
          </cell>
          <cell r="DZ145">
            <v>53.0999755859375</v>
          </cell>
          <cell r="EA145">
            <v>53.0999755859375</v>
          </cell>
          <cell r="EB145" t="str">
            <v>-</v>
          </cell>
          <cell r="EC145">
            <v>53.0999755859375</v>
          </cell>
          <cell r="ED145">
            <v>53.0999755859375</v>
          </cell>
          <cell r="EE145" t="str">
            <v>-</v>
          </cell>
          <cell r="EF145">
            <v>53.0999755859375</v>
          </cell>
          <cell r="EG145">
            <v>53.0999755859375</v>
          </cell>
          <cell r="EH145" t="str">
            <v>-</v>
          </cell>
          <cell r="EI145">
            <v>53.0999755859375</v>
          </cell>
          <cell r="EJ145">
            <v>53.0999755859375</v>
          </cell>
          <cell r="EK145" t="str">
            <v>-</v>
          </cell>
          <cell r="EL145">
            <v>53.0999755859375</v>
          </cell>
          <cell r="EM145">
            <v>53.0999755859375</v>
          </cell>
          <cell r="EN145" t="str">
            <v>-</v>
          </cell>
          <cell r="EO145">
            <v>53.0999755859375</v>
          </cell>
          <cell r="EP145">
            <v>53.0999755859375</v>
          </cell>
          <cell r="EQ145" t="str">
            <v>-</v>
          </cell>
          <cell r="ER145">
            <v>3</v>
          </cell>
          <cell r="ES145">
            <v>7</v>
          </cell>
          <cell r="ET145">
            <v>30</v>
          </cell>
          <cell r="EU145">
            <v>6</v>
          </cell>
          <cell r="EV145">
            <v>7</v>
          </cell>
          <cell r="EW145">
            <v>46.2</v>
          </cell>
          <cell r="EX145">
            <v>3</v>
          </cell>
          <cell r="EY145">
            <v>6</v>
          </cell>
          <cell r="EZ145">
            <v>33.299999999999997</v>
          </cell>
          <cell r="FA145">
            <v>33.29998779296875</v>
          </cell>
          <cell r="FB145">
            <v>5</v>
          </cell>
          <cell r="FC145">
            <v>0</v>
          </cell>
          <cell r="FD145">
            <v>2</v>
          </cell>
          <cell r="FE145">
            <v>2</v>
          </cell>
          <cell r="FF145">
            <v>50</v>
          </cell>
          <cell r="FG145">
            <v>10</v>
          </cell>
          <cell r="FH145">
            <v>1</v>
          </cell>
          <cell r="FI145">
            <v>90.9</v>
          </cell>
          <cell r="FJ145">
            <v>4</v>
          </cell>
          <cell r="FK145">
            <v>4</v>
          </cell>
          <cell r="FL145">
            <v>100</v>
          </cell>
          <cell r="FM145">
            <v>8</v>
          </cell>
          <cell r="FN145">
            <v>3</v>
          </cell>
          <cell r="FO145">
            <v>72.7</v>
          </cell>
          <cell r="FP145">
            <v>72.699951171875</v>
          </cell>
          <cell r="FQ145">
            <v>72.699951171875</v>
          </cell>
          <cell r="FR145" t="str">
            <v>-</v>
          </cell>
          <cell r="FS145">
            <v>72.699951171875</v>
          </cell>
          <cell r="FT145">
            <v>72.699951171875</v>
          </cell>
          <cell r="FU145" t="str">
            <v>-</v>
          </cell>
          <cell r="FV145">
            <v>72.699951171875</v>
          </cell>
          <cell r="FW145">
            <v>72.699951171875</v>
          </cell>
          <cell r="FX145" t="str">
            <v>-</v>
          </cell>
          <cell r="FY145">
            <v>72.699951171875</v>
          </cell>
          <cell r="FZ145">
            <v>72.699951171875</v>
          </cell>
          <cell r="GA145" t="str">
            <v>-</v>
          </cell>
          <cell r="GB145">
            <v>72.699951171875</v>
          </cell>
          <cell r="GC145">
            <v>72.699951171875</v>
          </cell>
          <cell r="GD145" t="str">
            <v>-</v>
          </cell>
          <cell r="GE145">
            <v>72.699951171875</v>
          </cell>
          <cell r="GF145">
            <v>72.699951171875</v>
          </cell>
          <cell r="GG145" t="str">
            <v>-</v>
          </cell>
          <cell r="GH145">
            <v>72.699951171875</v>
          </cell>
          <cell r="GI145">
            <v>72.699951171875</v>
          </cell>
          <cell r="GJ145" t="str">
            <v>-</v>
          </cell>
          <cell r="GK145">
            <v>72.699951171875</v>
          </cell>
          <cell r="GL145">
            <v>72.699951171875</v>
          </cell>
          <cell r="GM145" t="str">
            <v>-</v>
          </cell>
          <cell r="GN145">
            <v>30</v>
          </cell>
          <cell r="GO145">
            <v>19</v>
          </cell>
          <cell r="GP145">
            <v>61.2</v>
          </cell>
          <cell r="GQ145">
            <v>45</v>
          </cell>
          <cell r="GR145">
            <v>22</v>
          </cell>
          <cell r="GS145">
            <v>67.2</v>
          </cell>
          <cell r="GT145">
            <v>46</v>
          </cell>
          <cell r="GU145">
            <v>27</v>
          </cell>
          <cell r="GV145">
            <v>63</v>
          </cell>
          <cell r="GW145">
            <v>49</v>
          </cell>
          <cell r="GX145">
            <v>32</v>
          </cell>
          <cell r="GY145">
            <v>60.5</v>
          </cell>
          <cell r="GZ145">
            <v>58</v>
          </cell>
          <cell r="HA145">
            <v>25</v>
          </cell>
          <cell r="HB145">
            <v>69.900000000000006</v>
          </cell>
          <cell r="HC145">
            <v>43</v>
          </cell>
          <cell r="HD145">
            <v>19</v>
          </cell>
          <cell r="HE145">
            <v>69.400000000000006</v>
          </cell>
          <cell r="HF145">
            <v>66</v>
          </cell>
          <cell r="HG145">
            <v>9</v>
          </cell>
          <cell r="HH145">
            <v>88</v>
          </cell>
          <cell r="HI145">
            <v>53</v>
          </cell>
          <cell r="HJ145">
            <v>20</v>
          </cell>
          <cell r="HK145">
            <v>72.599999999999994</v>
          </cell>
          <cell r="HL145">
            <v>8</v>
          </cell>
          <cell r="HM145">
            <v>17</v>
          </cell>
          <cell r="HN145">
            <v>32</v>
          </cell>
          <cell r="HO145">
            <v>32</v>
          </cell>
          <cell r="HP145">
            <v>18</v>
          </cell>
          <cell r="HQ145">
            <v>0</v>
          </cell>
          <cell r="HR145">
            <v>5</v>
          </cell>
          <cell r="HS145">
            <v>14</v>
          </cell>
          <cell r="HT145">
            <v>26.3</v>
          </cell>
          <cell r="HU145">
            <v>2</v>
          </cell>
          <cell r="HV145">
            <v>7</v>
          </cell>
          <cell r="HW145">
            <v>22.2</v>
          </cell>
          <cell r="HX145">
            <v>22.199996948242188</v>
          </cell>
          <cell r="HY145">
            <v>1</v>
          </cell>
          <cell r="HZ145">
            <v>0</v>
          </cell>
          <cell r="IA145">
            <v>0</v>
          </cell>
          <cell r="IB145">
            <v>4</v>
          </cell>
          <cell r="IC145">
            <v>0</v>
          </cell>
          <cell r="ID145">
            <v>2</v>
          </cell>
          <cell r="IE145">
            <v>4</v>
          </cell>
          <cell r="IF145">
            <v>33.299999999999997</v>
          </cell>
          <cell r="IG145">
            <v>5</v>
          </cell>
          <cell r="IH145">
            <v>2</v>
          </cell>
          <cell r="II145">
            <v>71.400000000000006</v>
          </cell>
          <cell r="IJ145">
            <v>71.39996337890625</v>
          </cell>
          <cell r="IK145">
            <v>71.39996337890625</v>
          </cell>
          <cell r="IL145" t="str">
            <v>-</v>
          </cell>
          <cell r="IM145">
            <v>2</v>
          </cell>
          <cell r="IN145">
            <v>1</v>
          </cell>
          <cell r="IO145">
            <v>66.7</v>
          </cell>
          <cell r="IP145">
            <v>1</v>
          </cell>
          <cell r="IQ145">
            <v>2</v>
          </cell>
          <cell r="IR145">
            <v>33.299999999999997</v>
          </cell>
          <cell r="IS145">
            <v>1</v>
          </cell>
          <cell r="IT145">
            <v>1</v>
          </cell>
          <cell r="IU145">
            <v>50</v>
          </cell>
          <cell r="IV145">
            <v>3</v>
          </cell>
          <cell r="IW145">
            <v>1</v>
          </cell>
          <cell r="IX145">
            <v>75</v>
          </cell>
          <cell r="IY145">
            <v>4</v>
          </cell>
          <cell r="IZ145">
            <v>2</v>
          </cell>
          <cell r="JA145">
            <v>66.7</v>
          </cell>
          <cell r="JB145">
            <v>3</v>
          </cell>
          <cell r="JC145">
            <v>3</v>
          </cell>
          <cell r="JD145">
            <v>100</v>
          </cell>
          <cell r="JE145">
            <v>3</v>
          </cell>
          <cell r="JF145">
            <v>3</v>
          </cell>
          <cell r="JG145">
            <v>100</v>
          </cell>
          <cell r="JH145">
            <v>0</v>
          </cell>
          <cell r="JI145">
            <v>0</v>
          </cell>
          <cell r="JJ145" t="str">
            <v>-</v>
          </cell>
          <cell r="JK145">
            <v>0</v>
          </cell>
          <cell r="JL145">
            <v>0</v>
          </cell>
          <cell r="JM145" t="str">
            <v>-</v>
          </cell>
          <cell r="JN145">
            <v>0</v>
          </cell>
          <cell r="JO145">
            <v>0</v>
          </cell>
          <cell r="JP145" t="str">
            <v>-</v>
          </cell>
          <cell r="JQ145">
            <v>256</v>
          </cell>
          <cell r="JR145">
            <v>153</v>
          </cell>
          <cell r="JS145">
            <v>62.591687041564789</v>
          </cell>
          <cell r="JT145">
            <v>122</v>
          </cell>
          <cell r="JU145">
            <v>121</v>
          </cell>
          <cell r="JV145">
            <v>50.205761316872433</v>
          </cell>
          <cell r="JW145">
            <v>0</v>
          </cell>
          <cell r="JX145">
            <v>0</v>
          </cell>
          <cell r="JY145" t="str">
            <v>-</v>
          </cell>
          <cell r="JZ145">
            <v>24</v>
          </cell>
          <cell r="KA145">
            <v>11</v>
          </cell>
          <cell r="KB145">
            <v>68.571428571428569</v>
          </cell>
          <cell r="KC145">
            <v>0</v>
          </cell>
          <cell r="KD145">
            <v>0</v>
          </cell>
          <cell r="KE145" t="str">
            <v>-</v>
          </cell>
          <cell r="KF145">
            <v>269</v>
          </cell>
          <cell r="KG145">
            <v>105</v>
          </cell>
          <cell r="KH145">
            <v>71.925133689839569</v>
          </cell>
          <cell r="KI145">
            <v>9</v>
          </cell>
          <cell r="KJ145">
            <v>18</v>
          </cell>
          <cell r="KK145">
            <v>33.333333333333329</v>
          </cell>
          <cell r="KL145">
            <v>14</v>
          </cell>
          <cell r="KM145">
            <v>4</v>
          </cell>
          <cell r="KN145">
            <v>77.777777777777786</v>
          </cell>
        </row>
        <row r="146">
          <cell r="C146" t="str">
            <v>Balatoni Vízirendészetii Rendőrkapitányság</v>
          </cell>
          <cell r="D146">
            <v>77.77777099609375</v>
          </cell>
          <cell r="E146">
            <v>77.77777099609375</v>
          </cell>
          <cell r="F146" t="str">
            <v>-</v>
          </cell>
          <cell r="G146">
            <v>77.77777099609375</v>
          </cell>
          <cell r="H146">
            <v>77.77777099609375</v>
          </cell>
          <cell r="I146" t="str">
            <v>-</v>
          </cell>
          <cell r="J146">
            <v>77.77777099609375</v>
          </cell>
          <cell r="K146">
            <v>77.77777099609375</v>
          </cell>
          <cell r="L146" t="str">
            <v>-</v>
          </cell>
          <cell r="M146">
            <v>77.77777099609375</v>
          </cell>
          <cell r="N146">
            <v>77.77777099609375</v>
          </cell>
          <cell r="O146" t="str">
            <v>-</v>
          </cell>
          <cell r="P146">
            <v>77.77777099609375</v>
          </cell>
          <cell r="Q146">
            <v>77.77777099609375</v>
          </cell>
          <cell r="R146" t="str">
            <v>-</v>
          </cell>
          <cell r="S146">
            <v>77.77777099609375</v>
          </cell>
          <cell r="T146">
            <v>77.77777099609375</v>
          </cell>
          <cell r="U146" t="str">
            <v>-</v>
          </cell>
          <cell r="V146">
            <v>77.77777099609375</v>
          </cell>
          <cell r="W146">
            <v>77.77777099609375</v>
          </cell>
          <cell r="X146" t="str">
            <v>-</v>
          </cell>
          <cell r="Y146">
            <v>77.77777099609375</v>
          </cell>
          <cell r="Z146">
            <v>77.77777099609375</v>
          </cell>
          <cell r="AA146" t="str">
            <v>-</v>
          </cell>
          <cell r="AB146">
            <v>77.77777099609375</v>
          </cell>
          <cell r="AC146">
            <v>77.77777099609375</v>
          </cell>
          <cell r="AD146" t="str">
            <v>-</v>
          </cell>
          <cell r="AE146">
            <v>77.77777099609375</v>
          </cell>
          <cell r="AF146">
            <v>77.77777099609375</v>
          </cell>
          <cell r="AG146" t="str">
            <v>-</v>
          </cell>
          <cell r="AH146">
            <v>77.77777099609375</v>
          </cell>
          <cell r="AI146">
            <v>77.77777099609375</v>
          </cell>
          <cell r="AJ146" t="str">
            <v>-</v>
          </cell>
          <cell r="AK146">
            <v>77.77777099609375</v>
          </cell>
          <cell r="AL146">
            <v>77.77777099609375</v>
          </cell>
          <cell r="AM146" t="str">
            <v>-</v>
          </cell>
          <cell r="AN146">
            <v>77.77777099609375</v>
          </cell>
          <cell r="AO146">
            <v>77.77777099609375</v>
          </cell>
          <cell r="AP146" t="str">
            <v>-</v>
          </cell>
          <cell r="AQ146">
            <v>77.77777099609375</v>
          </cell>
          <cell r="AR146">
            <v>77.77777099609375</v>
          </cell>
          <cell r="AS146" t="str">
            <v>-</v>
          </cell>
          <cell r="AT146">
            <v>77.77777099609375</v>
          </cell>
          <cell r="AU146">
            <v>77.77777099609375</v>
          </cell>
          <cell r="AV146" t="str">
            <v>-</v>
          </cell>
          <cell r="AW146">
            <v>77.77777099609375</v>
          </cell>
          <cell r="AX146">
            <v>77.77777099609375</v>
          </cell>
          <cell r="AY146" t="str">
            <v>-</v>
          </cell>
          <cell r="AZ146">
            <v>77.77777099609375</v>
          </cell>
          <cell r="BA146">
            <v>77.77777099609375</v>
          </cell>
          <cell r="BB146" t="str">
            <v>-</v>
          </cell>
          <cell r="BC146">
            <v>77.77777099609375</v>
          </cell>
          <cell r="BD146">
            <v>77.77777099609375</v>
          </cell>
          <cell r="BE146" t="str">
            <v>-</v>
          </cell>
          <cell r="BF146">
            <v>77.77777099609375</v>
          </cell>
          <cell r="BG146">
            <v>77.77777099609375</v>
          </cell>
          <cell r="BH146" t="str">
            <v>-</v>
          </cell>
          <cell r="BI146">
            <v>77.77777099609375</v>
          </cell>
          <cell r="BJ146">
            <v>77.77777099609375</v>
          </cell>
          <cell r="BK146" t="str">
            <v>-</v>
          </cell>
          <cell r="BL146">
            <v>77.77777099609375</v>
          </cell>
          <cell r="BM146">
            <v>77.77777099609375</v>
          </cell>
          <cell r="BN146" t="str">
            <v>-</v>
          </cell>
          <cell r="BO146">
            <v>77.77777099609375</v>
          </cell>
          <cell r="BP146">
            <v>77.77777099609375</v>
          </cell>
          <cell r="BQ146" t="str">
            <v>-</v>
          </cell>
          <cell r="BR146">
            <v>77.77777099609375</v>
          </cell>
          <cell r="BS146">
            <v>77.77777099609375</v>
          </cell>
          <cell r="BT146" t="str">
            <v>-</v>
          </cell>
          <cell r="BU146">
            <v>77.77777099609375</v>
          </cell>
          <cell r="BV146">
            <v>77.77777099609375</v>
          </cell>
          <cell r="BW146" t="str">
            <v>-</v>
          </cell>
          <cell r="BX146">
            <v>77.77777099609375</v>
          </cell>
          <cell r="BY146">
            <v>77.77777099609375</v>
          </cell>
          <cell r="BZ146" t="str">
            <v>-</v>
          </cell>
          <cell r="CA146">
            <v>77.77777099609375</v>
          </cell>
          <cell r="CB146">
            <v>77.77777099609375</v>
          </cell>
          <cell r="CC146" t="str">
            <v>-</v>
          </cell>
          <cell r="CD146">
            <v>77.77777099609375</v>
          </cell>
          <cell r="CE146">
            <v>77.77777099609375</v>
          </cell>
          <cell r="CF146" t="str">
            <v>-</v>
          </cell>
          <cell r="CG146">
            <v>77.77777099609375</v>
          </cell>
          <cell r="CH146">
            <v>77.77777099609375</v>
          </cell>
          <cell r="CI146" t="str">
            <v>-</v>
          </cell>
          <cell r="CJ146">
            <v>5</v>
          </cell>
          <cell r="CK146">
            <v>5</v>
          </cell>
          <cell r="CL146">
            <v>100</v>
          </cell>
          <cell r="CM146">
            <v>100</v>
          </cell>
          <cell r="CN146">
            <v>100</v>
          </cell>
          <cell r="CO146" t="str">
            <v>-</v>
          </cell>
          <cell r="CP146">
            <v>100</v>
          </cell>
          <cell r="CQ146">
            <v>100</v>
          </cell>
          <cell r="CR146" t="str">
            <v>-</v>
          </cell>
          <cell r="CS146">
            <v>100</v>
          </cell>
          <cell r="CT146">
            <v>100</v>
          </cell>
          <cell r="CU146" t="str">
            <v>-</v>
          </cell>
          <cell r="CV146">
            <v>100</v>
          </cell>
          <cell r="CW146">
            <v>100</v>
          </cell>
          <cell r="CX146" t="str">
            <v>-</v>
          </cell>
          <cell r="CY146">
            <v>100</v>
          </cell>
          <cell r="CZ146">
            <v>100</v>
          </cell>
          <cell r="DA146" t="str">
            <v>-</v>
          </cell>
          <cell r="DB146">
            <v>100</v>
          </cell>
          <cell r="DC146">
            <v>100</v>
          </cell>
          <cell r="DD146" t="str">
            <v>-</v>
          </cell>
          <cell r="DE146">
            <v>100</v>
          </cell>
          <cell r="DF146">
            <v>100</v>
          </cell>
          <cell r="DG146" t="str">
            <v>-</v>
          </cell>
          <cell r="DH146">
            <v>4</v>
          </cell>
          <cell r="DI146">
            <v>4</v>
          </cell>
          <cell r="DJ146">
            <v>100</v>
          </cell>
          <cell r="DK146">
            <v>100</v>
          </cell>
          <cell r="DL146">
            <v>100</v>
          </cell>
          <cell r="DM146" t="str">
            <v>-</v>
          </cell>
          <cell r="DN146">
            <v>100</v>
          </cell>
          <cell r="DO146">
            <v>100</v>
          </cell>
          <cell r="DP146" t="str">
            <v>-</v>
          </cell>
          <cell r="DQ146">
            <v>100</v>
          </cell>
          <cell r="DR146">
            <v>100</v>
          </cell>
          <cell r="DS146" t="str">
            <v>-</v>
          </cell>
          <cell r="DT146">
            <v>100</v>
          </cell>
          <cell r="DU146">
            <v>100</v>
          </cell>
          <cell r="DV146" t="str">
            <v>-</v>
          </cell>
          <cell r="DW146">
            <v>100</v>
          </cell>
          <cell r="DX146">
            <v>100</v>
          </cell>
          <cell r="DY146" t="str">
            <v>-</v>
          </cell>
          <cell r="DZ146">
            <v>100</v>
          </cell>
          <cell r="EA146">
            <v>100</v>
          </cell>
          <cell r="EB146" t="str">
            <v>-</v>
          </cell>
          <cell r="EC146">
            <v>100</v>
          </cell>
          <cell r="ED146">
            <v>100</v>
          </cell>
          <cell r="EE146" t="str">
            <v>-</v>
          </cell>
          <cell r="EF146">
            <v>100</v>
          </cell>
          <cell r="EG146">
            <v>100</v>
          </cell>
          <cell r="EH146" t="str">
            <v>-</v>
          </cell>
          <cell r="EI146">
            <v>100</v>
          </cell>
          <cell r="EJ146">
            <v>100</v>
          </cell>
          <cell r="EK146" t="str">
            <v>-</v>
          </cell>
          <cell r="EL146">
            <v>100</v>
          </cell>
          <cell r="EM146">
            <v>100</v>
          </cell>
          <cell r="EN146" t="str">
            <v>-</v>
          </cell>
          <cell r="EO146">
            <v>100</v>
          </cell>
          <cell r="EP146">
            <v>100</v>
          </cell>
          <cell r="EQ146" t="str">
            <v>-</v>
          </cell>
          <cell r="ER146">
            <v>100</v>
          </cell>
          <cell r="ES146">
            <v>100</v>
          </cell>
          <cell r="ET146" t="str">
            <v>-</v>
          </cell>
          <cell r="EU146">
            <v>100</v>
          </cell>
          <cell r="EV146">
            <v>100</v>
          </cell>
          <cell r="EW146" t="str">
            <v>-</v>
          </cell>
          <cell r="EX146">
            <v>100</v>
          </cell>
          <cell r="EY146">
            <v>100</v>
          </cell>
          <cell r="EZ146" t="str">
            <v>-</v>
          </cell>
          <cell r="FA146">
            <v>100</v>
          </cell>
          <cell r="FB146">
            <v>100</v>
          </cell>
          <cell r="FC146" t="str">
            <v>-</v>
          </cell>
          <cell r="FD146">
            <v>100</v>
          </cell>
          <cell r="FE146">
            <v>100</v>
          </cell>
          <cell r="FF146" t="str">
            <v>-</v>
          </cell>
          <cell r="FG146">
            <v>100</v>
          </cell>
          <cell r="FH146">
            <v>100</v>
          </cell>
          <cell r="FI146" t="str">
            <v>-</v>
          </cell>
          <cell r="FJ146">
            <v>100</v>
          </cell>
          <cell r="FK146">
            <v>100</v>
          </cell>
          <cell r="FL146" t="str">
            <v>-</v>
          </cell>
          <cell r="FM146">
            <v>100</v>
          </cell>
          <cell r="FN146">
            <v>100</v>
          </cell>
          <cell r="FO146" t="str">
            <v>-</v>
          </cell>
          <cell r="FP146">
            <v>100</v>
          </cell>
          <cell r="FQ146">
            <v>100</v>
          </cell>
          <cell r="FR146" t="str">
            <v>-</v>
          </cell>
          <cell r="FS146">
            <v>100</v>
          </cell>
          <cell r="FT146">
            <v>100</v>
          </cell>
          <cell r="FU146" t="str">
            <v>-</v>
          </cell>
          <cell r="FV146">
            <v>100</v>
          </cell>
          <cell r="FW146">
            <v>100</v>
          </cell>
          <cell r="FX146" t="str">
            <v>-</v>
          </cell>
          <cell r="FY146">
            <v>100</v>
          </cell>
          <cell r="FZ146">
            <v>100</v>
          </cell>
          <cell r="GA146" t="str">
            <v>-</v>
          </cell>
          <cell r="GB146">
            <v>100</v>
          </cell>
          <cell r="GC146">
            <v>100</v>
          </cell>
          <cell r="GD146" t="str">
            <v>-</v>
          </cell>
          <cell r="GE146">
            <v>100</v>
          </cell>
          <cell r="GF146">
            <v>100</v>
          </cell>
          <cell r="GG146" t="str">
            <v>-</v>
          </cell>
          <cell r="GH146">
            <v>100</v>
          </cell>
          <cell r="GI146">
            <v>100</v>
          </cell>
          <cell r="GJ146" t="str">
            <v>-</v>
          </cell>
          <cell r="GK146">
            <v>100</v>
          </cell>
          <cell r="GL146">
            <v>100</v>
          </cell>
          <cell r="GM146" t="str">
            <v>-</v>
          </cell>
          <cell r="GN146">
            <v>100</v>
          </cell>
          <cell r="GO146">
            <v>100</v>
          </cell>
          <cell r="GP146" t="str">
            <v>-</v>
          </cell>
          <cell r="GQ146">
            <v>100</v>
          </cell>
          <cell r="GR146">
            <v>100</v>
          </cell>
          <cell r="GS146" t="str">
            <v>-</v>
          </cell>
          <cell r="GT146">
            <v>100</v>
          </cell>
          <cell r="GU146">
            <v>100</v>
          </cell>
          <cell r="GV146" t="str">
            <v>-</v>
          </cell>
          <cell r="GW146">
            <v>100</v>
          </cell>
          <cell r="GX146">
            <v>100</v>
          </cell>
          <cell r="GY146" t="str">
            <v>-</v>
          </cell>
          <cell r="GZ146">
            <v>1</v>
          </cell>
          <cell r="HA146">
            <v>1</v>
          </cell>
          <cell r="HB146">
            <v>100</v>
          </cell>
          <cell r="HC146">
            <v>100</v>
          </cell>
          <cell r="HD146">
            <v>100</v>
          </cell>
          <cell r="HE146" t="str">
            <v>-</v>
          </cell>
          <cell r="HF146">
            <v>100</v>
          </cell>
          <cell r="HG146">
            <v>100</v>
          </cell>
          <cell r="HH146" t="str">
            <v>-</v>
          </cell>
          <cell r="HI146">
            <v>100</v>
          </cell>
          <cell r="HJ146">
            <v>1</v>
          </cell>
          <cell r="HK146">
            <v>0</v>
          </cell>
          <cell r="HL146">
            <v>0</v>
          </cell>
          <cell r="HM146">
            <v>0</v>
          </cell>
          <cell r="HN146" t="str">
            <v>-</v>
          </cell>
          <cell r="HO146">
            <v>0</v>
          </cell>
          <cell r="HP146">
            <v>0</v>
          </cell>
          <cell r="HQ146" t="str">
            <v>-</v>
          </cell>
          <cell r="HR146">
            <v>0</v>
          </cell>
          <cell r="HS146">
            <v>0</v>
          </cell>
          <cell r="HT146" t="str">
            <v>-</v>
          </cell>
          <cell r="HU146">
            <v>0</v>
          </cell>
          <cell r="HV146">
            <v>0</v>
          </cell>
          <cell r="HW146" t="str">
            <v>-</v>
          </cell>
          <cell r="HX146">
            <v>0</v>
          </cell>
          <cell r="HY146">
            <v>0</v>
          </cell>
          <cell r="HZ146" t="str">
            <v>-</v>
          </cell>
          <cell r="IA146">
            <v>0</v>
          </cell>
          <cell r="IB146">
            <v>0</v>
          </cell>
          <cell r="IC146" t="str">
            <v>-</v>
          </cell>
          <cell r="ID146">
            <v>0</v>
          </cell>
          <cell r="IE146">
            <v>0</v>
          </cell>
          <cell r="IF146" t="str">
            <v>-</v>
          </cell>
          <cell r="IG146">
            <v>0</v>
          </cell>
          <cell r="IH146">
            <v>0</v>
          </cell>
          <cell r="II146" t="str">
            <v>-</v>
          </cell>
          <cell r="IJ146">
            <v>0</v>
          </cell>
          <cell r="IK146">
            <v>0</v>
          </cell>
          <cell r="IL146" t="str">
            <v>-</v>
          </cell>
          <cell r="IM146">
            <v>0</v>
          </cell>
          <cell r="IN146">
            <v>0</v>
          </cell>
          <cell r="IO146" t="str">
            <v>-</v>
          </cell>
          <cell r="IP146">
            <v>0</v>
          </cell>
          <cell r="IQ146">
            <v>0</v>
          </cell>
          <cell r="IR146" t="str">
            <v>-</v>
          </cell>
          <cell r="IS146">
            <v>0</v>
          </cell>
          <cell r="IT146">
            <v>0</v>
          </cell>
          <cell r="IU146" t="str">
            <v>-</v>
          </cell>
          <cell r="IV146">
            <v>0</v>
          </cell>
          <cell r="IW146">
            <v>0</v>
          </cell>
          <cell r="IX146" t="str">
            <v>-</v>
          </cell>
          <cell r="IY146">
            <v>0</v>
          </cell>
          <cell r="IZ146">
            <v>0</v>
          </cell>
          <cell r="JA146" t="str">
            <v>-</v>
          </cell>
          <cell r="JB146">
            <v>0</v>
          </cell>
          <cell r="JC146">
            <v>0</v>
          </cell>
          <cell r="JD146" t="str">
            <v>-</v>
          </cell>
          <cell r="JE146">
            <v>0</v>
          </cell>
          <cell r="JF146">
            <v>0</v>
          </cell>
          <cell r="JG146" t="str">
            <v>-</v>
          </cell>
          <cell r="JH146">
            <v>0</v>
          </cell>
          <cell r="JI146">
            <v>0</v>
          </cell>
          <cell r="JJ146" t="str">
            <v>-</v>
          </cell>
          <cell r="JK146">
            <v>0</v>
          </cell>
          <cell r="JL146">
            <v>0</v>
          </cell>
          <cell r="JM146" t="str">
            <v>-</v>
          </cell>
          <cell r="JN146">
            <v>0</v>
          </cell>
          <cell r="JO146">
            <v>0</v>
          </cell>
          <cell r="JP146" t="str">
            <v>-</v>
          </cell>
          <cell r="JQ146">
            <v>5</v>
          </cell>
          <cell r="JR146">
            <v>0</v>
          </cell>
          <cell r="JS146">
            <v>100</v>
          </cell>
          <cell r="JT146">
            <v>4</v>
          </cell>
          <cell r="JU146">
            <v>0</v>
          </cell>
          <cell r="JV146">
            <v>100</v>
          </cell>
          <cell r="JW146">
            <v>0</v>
          </cell>
          <cell r="JX146">
            <v>0</v>
          </cell>
          <cell r="JY146" t="str">
            <v>-</v>
          </cell>
          <cell r="JZ146">
            <v>0</v>
          </cell>
          <cell r="KA146">
            <v>0</v>
          </cell>
          <cell r="KB146" t="str">
            <v>-</v>
          </cell>
          <cell r="KC146">
            <v>0</v>
          </cell>
          <cell r="KD146">
            <v>0</v>
          </cell>
          <cell r="KE146" t="str">
            <v>-</v>
          </cell>
          <cell r="KF146">
            <v>1</v>
          </cell>
          <cell r="KG146">
            <v>1</v>
          </cell>
          <cell r="KH146">
            <v>50</v>
          </cell>
          <cell r="KI146">
            <v>0</v>
          </cell>
          <cell r="KJ146">
            <v>0</v>
          </cell>
          <cell r="KK146" t="str">
            <v>-</v>
          </cell>
          <cell r="KL146">
            <v>0</v>
          </cell>
          <cell r="KM146">
            <v>0</v>
          </cell>
          <cell r="KN146" t="str">
            <v>-</v>
          </cell>
        </row>
        <row r="147">
          <cell r="C147" t="str">
            <v>Somogy Megyei Rendőr-főkapitányság</v>
          </cell>
          <cell r="D147">
            <v>11</v>
          </cell>
          <cell r="E147">
            <v>11</v>
          </cell>
          <cell r="F147">
            <v>100</v>
          </cell>
          <cell r="G147">
            <v>8</v>
          </cell>
          <cell r="H147">
            <v>8</v>
          </cell>
          <cell r="I147">
            <v>100</v>
          </cell>
          <cell r="J147">
            <v>10</v>
          </cell>
          <cell r="K147">
            <v>1</v>
          </cell>
          <cell r="L147">
            <v>90.9</v>
          </cell>
          <cell r="M147">
            <v>9</v>
          </cell>
          <cell r="N147">
            <v>1</v>
          </cell>
          <cell r="O147">
            <v>90</v>
          </cell>
          <cell r="P147">
            <v>12</v>
          </cell>
          <cell r="Q147">
            <v>12</v>
          </cell>
          <cell r="R147">
            <v>100</v>
          </cell>
          <cell r="S147">
            <v>7</v>
          </cell>
          <cell r="T147">
            <v>7</v>
          </cell>
          <cell r="U147">
            <v>100</v>
          </cell>
          <cell r="V147">
            <v>10</v>
          </cell>
          <cell r="W147">
            <v>1</v>
          </cell>
          <cell r="X147">
            <v>90.9</v>
          </cell>
          <cell r="Y147">
            <v>3</v>
          </cell>
          <cell r="Z147">
            <v>3</v>
          </cell>
          <cell r="AA147">
            <v>100</v>
          </cell>
          <cell r="AB147">
            <v>5</v>
          </cell>
          <cell r="AC147">
            <v>5</v>
          </cell>
          <cell r="AD147">
            <v>100</v>
          </cell>
          <cell r="AE147">
            <v>2</v>
          </cell>
          <cell r="AF147">
            <v>2</v>
          </cell>
          <cell r="AG147">
            <v>100</v>
          </cell>
          <cell r="AH147">
            <v>6</v>
          </cell>
          <cell r="AI147">
            <v>1</v>
          </cell>
          <cell r="AJ147">
            <v>85.7</v>
          </cell>
          <cell r="AK147">
            <v>5</v>
          </cell>
          <cell r="AL147">
            <v>5</v>
          </cell>
          <cell r="AM147">
            <v>100</v>
          </cell>
          <cell r="AN147">
            <v>7</v>
          </cell>
          <cell r="AO147">
            <v>7</v>
          </cell>
          <cell r="AP147">
            <v>100</v>
          </cell>
          <cell r="AQ147">
            <v>4</v>
          </cell>
          <cell r="AR147">
            <v>4</v>
          </cell>
          <cell r="AS147">
            <v>100</v>
          </cell>
          <cell r="AT147">
            <v>6</v>
          </cell>
          <cell r="AU147">
            <v>1</v>
          </cell>
          <cell r="AV147">
            <v>85.7</v>
          </cell>
          <cell r="AW147">
            <v>2</v>
          </cell>
          <cell r="AX147">
            <v>2</v>
          </cell>
          <cell r="AY147">
            <v>100</v>
          </cell>
          <cell r="AZ147">
            <v>3</v>
          </cell>
          <cell r="BA147">
            <v>3</v>
          </cell>
          <cell r="BB147">
            <v>100</v>
          </cell>
          <cell r="BC147">
            <v>4</v>
          </cell>
          <cell r="BD147">
            <v>4</v>
          </cell>
          <cell r="BE147">
            <v>100</v>
          </cell>
          <cell r="BF147">
            <v>4</v>
          </cell>
          <cell r="BG147">
            <v>4</v>
          </cell>
          <cell r="BH147">
            <v>100</v>
          </cell>
          <cell r="BI147">
            <v>3</v>
          </cell>
          <cell r="BJ147">
            <v>3</v>
          </cell>
          <cell r="BK147">
            <v>100</v>
          </cell>
          <cell r="BL147">
            <v>5</v>
          </cell>
          <cell r="BM147">
            <v>5</v>
          </cell>
          <cell r="BN147">
            <v>100</v>
          </cell>
          <cell r="BO147">
            <v>3</v>
          </cell>
          <cell r="BP147">
            <v>3</v>
          </cell>
          <cell r="BQ147">
            <v>100</v>
          </cell>
          <cell r="BR147">
            <v>3</v>
          </cell>
          <cell r="BS147">
            <v>3</v>
          </cell>
          <cell r="BT147">
            <v>100</v>
          </cell>
          <cell r="BU147">
            <v>1</v>
          </cell>
          <cell r="BV147">
            <v>1</v>
          </cell>
          <cell r="BW147">
            <v>100</v>
          </cell>
          <cell r="BX147">
            <v>461</v>
          </cell>
          <cell r="BY147">
            <v>142</v>
          </cell>
          <cell r="BZ147">
            <v>76.5</v>
          </cell>
          <cell r="CA147">
            <v>371</v>
          </cell>
          <cell r="CB147">
            <v>119</v>
          </cell>
          <cell r="CC147">
            <v>75.7</v>
          </cell>
          <cell r="CD147">
            <v>420</v>
          </cell>
          <cell r="CE147">
            <v>118</v>
          </cell>
          <cell r="CF147">
            <v>78.099999999999994</v>
          </cell>
          <cell r="CG147">
            <v>397</v>
          </cell>
          <cell r="CH147">
            <v>168</v>
          </cell>
          <cell r="CI147">
            <v>70.3</v>
          </cell>
          <cell r="CJ147">
            <v>421</v>
          </cell>
          <cell r="CK147">
            <v>153</v>
          </cell>
          <cell r="CL147">
            <v>73.3</v>
          </cell>
          <cell r="CM147">
            <v>330</v>
          </cell>
          <cell r="CN147">
            <v>98</v>
          </cell>
          <cell r="CO147">
            <v>77.099999999999994</v>
          </cell>
          <cell r="CP147">
            <v>391</v>
          </cell>
          <cell r="CQ147">
            <v>67</v>
          </cell>
          <cell r="CR147">
            <v>85.4</v>
          </cell>
          <cell r="CS147">
            <v>278</v>
          </cell>
          <cell r="CT147">
            <v>99</v>
          </cell>
          <cell r="CU147">
            <v>73.7</v>
          </cell>
          <cell r="CV147">
            <v>225</v>
          </cell>
          <cell r="CW147">
            <v>121</v>
          </cell>
          <cell r="CX147">
            <v>65</v>
          </cell>
          <cell r="CY147">
            <v>181</v>
          </cell>
          <cell r="CZ147">
            <v>83</v>
          </cell>
          <cell r="DA147">
            <v>68.599999999999994</v>
          </cell>
          <cell r="DB147">
            <v>204</v>
          </cell>
          <cell r="DC147">
            <v>79</v>
          </cell>
          <cell r="DD147">
            <v>72.099999999999994</v>
          </cell>
          <cell r="DE147">
            <v>199</v>
          </cell>
          <cell r="DF147">
            <v>123</v>
          </cell>
          <cell r="DG147">
            <v>61.8</v>
          </cell>
          <cell r="DH147">
            <v>188</v>
          </cell>
          <cell r="DI147">
            <v>106</v>
          </cell>
          <cell r="DJ147">
            <v>63.9</v>
          </cell>
          <cell r="DK147">
            <v>143</v>
          </cell>
          <cell r="DL147">
            <v>65</v>
          </cell>
          <cell r="DM147">
            <v>68.8</v>
          </cell>
          <cell r="DN147">
            <v>165</v>
          </cell>
          <cell r="DO147">
            <v>49</v>
          </cell>
          <cell r="DP147">
            <v>77.099999999999994</v>
          </cell>
          <cell r="DQ147">
            <v>117</v>
          </cell>
          <cell r="DR147">
            <v>51</v>
          </cell>
          <cell r="DS147">
            <v>69.599999999999994</v>
          </cell>
          <cell r="DT147">
            <v>2</v>
          </cell>
          <cell r="DU147">
            <v>2</v>
          </cell>
          <cell r="DV147">
            <v>100</v>
          </cell>
          <cell r="DW147">
            <v>1</v>
          </cell>
          <cell r="DX147">
            <v>1</v>
          </cell>
          <cell r="DY147">
            <v>50</v>
          </cell>
          <cell r="DZ147">
            <v>50</v>
          </cell>
          <cell r="EA147">
            <v>50</v>
          </cell>
          <cell r="EB147" t="str">
            <v>-</v>
          </cell>
          <cell r="EC147">
            <v>1</v>
          </cell>
          <cell r="ED147">
            <v>1</v>
          </cell>
          <cell r="EE147">
            <v>100</v>
          </cell>
          <cell r="EF147">
            <v>100</v>
          </cell>
          <cell r="EG147">
            <v>100</v>
          </cell>
          <cell r="EH147" t="str">
            <v>-</v>
          </cell>
          <cell r="EI147">
            <v>100</v>
          </cell>
          <cell r="EJ147">
            <v>100</v>
          </cell>
          <cell r="EK147" t="str">
            <v>-</v>
          </cell>
          <cell r="EL147">
            <v>1</v>
          </cell>
          <cell r="EM147">
            <v>1</v>
          </cell>
          <cell r="EN147">
            <v>100</v>
          </cell>
          <cell r="EO147">
            <v>100</v>
          </cell>
          <cell r="EP147">
            <v>100</v>
          </cell>
          <cell r="EQ147" t="str">
            <v>-</v>
          </cell>
          <cell r="ER147">
            <v>55</v>
          </cell>
          <cell r="ES147">
            <v>65</v>
          </cell>
          <cell r="ET147">
            <v>45.8</v>
          </cell>
          <cell r="EU147">
            <v>96</v>
          </cell>
          <cell r="EV147">
            <v>43</v>
          </cell>
          <cell r="EW147">
            <v>69.099999999999994</v>
          </cell>
          <cell r="EX147">
            <v>47</v>
          </cell>
          <cell r="EY147">
            <v>50</v>
          </cell>
          <cell r="EZ147">
            <v>48.5</v>
          </cell>
          <cell r="FA147">
            <v>63</v>
          </cell>
          <cell r="FB147">
            <v>45</v>
          </cell>
          <cell r="FC147">
            <v>58.3</v>
          </cell>
          <cell r="FD147">
            <v>53</v>
          </cell>
          <cell r="FE147">
            <v>26</v>
          </cell>
          <cell r="FF147">
            <v>67.099999999999994</v>
          </cell>
          <cell r="FG147">
            <v>45</v>
          </cell>
          <cell r="FH147">
            <v>26</v>
          </cell>
          <cell r="FI147">
            <v>63.4</v>
          </cell>
          <cell r="FJ147">
            <v>71</v>
          </cell>
          <cell r="FK147">
            <v>11</v>
          </cell>
          <cell r="FL147">
            <v>86.6</v>
          </cell>
          <cell r="FM147">
            <v>32</v>
          </cell>
          <cell r="FN147">
            <v>29</v>
          </cell>
          <cell r="FO147">
            <v>52.5</v>
          </cell>
          <cell r="FP147">
            <v>52.5</v>
          </cell>
          <cell r="FQ147">
            <v>52.5</v>
          </cell>
          <cell r="FR147" t="str">
            <v>-</v>
          </cell>
          <cell r="FS147">
            <v>52.5</v>
          </cell>
          <cell r="FT147">
            <v>52.5</v>
          </cell>
          <cell r="FU147" t="str">
            <v>-</v>
          </cell>
          <cell r="FV147">
            <v>52.5</v>
          </cell>
          <cell r="FW147">
            <v>1</v>
          </cell>
          <cell r="FX147">
            <v>0</v>
          </cell>
          <cell r="FY147">
            <v>1</v>
          </cell>
          <cell r="FZ147">
            <v>1</v>
          </cell>
          <cell r="GA147">
            <v>100</v>
          </cell>
          <cell r="GB147">
            <v>100</v>
          </cell>
          <cell r="GC147">
            <v>100</v>
          </cell>
          <cell r="GD147" t="str">
            <v>-</v>
          </cell>
          <cell r="GE147">
            <v>1</v>
          </cell>
          <cell r="GF147">
            <v>1</v>
          </cell>
          <cell r="GG147">
            <v>100</v>
          </cell>
          <cell r="GH147">
            <v>2</v>
          </cell>
          <cell r="GI147">
            <v>2</v>
          </cell>
          <cell r="GJ147">
            <v>100</v>
          </cell>
          <cell r="GK147">
            <v>3</v>
          </cell>
          <cell r="GL147">
            <v>3</v>
          </cell>
          <cell r="GM147">
            <v>100</v>
          </cell>
          <cell r="GN147">
            <v>208</v>
          </cell>
          <cell r="GO147">
            <v>75</v>
          </cell>
          <cell r="GP147">
            <v>73.5</v>
          </cell>
          <cell r="GQ147">
            <v>278</v>
          </cell>
          <cell r="GR147">
            <v>101</v>
          </cell>
          <cell r="GS147">
            <v>73.400000000000006</v>
          </cell>
          <cell r="GT147">
            <v>322</v>
          </cell>
          <cell r="GU147">
            <v>135</v>
          </cell>
          <cell r="GV147">
            <v>70.5</v>
          </cell>
          <cell r="GW147">
            <v>346</v>
          </cell>
          <cell r="GX147">
            <v>135</v>
          </cell>
          <cell r="GY147">
            <v>71.900000000000006</v>
          </cell>
          <cell r="GZ147">
            <v>375</v>
          </cell>
          <cell r="HA147">
            <v>135</v>
          </cell>
          <cell r="HB147">
            <v>73.5</v>
          </cell>
          <cell r="HC147">
            <v>250</v>
          </cell>
          <cell r="HD147">
            <v>71</v>
          </cell>
          <cell r="HE147">
            <v>77.900000000000006</v>
          </cell>
          <cell r="HF147">
            <v>281</v>
          </cell>
          <cell r="HG147">
            <v>53</v>
          </cell>
          <cell r="HH147">
            <v>84.1</v>
          </cell>
          <cell r="HI147">
            <v>227</v>
          </cell>
          <cell r="HJ147">
            <v>87</v>
          </cell>
          <cell r="HK147">
            <v>72.3</v>
          </cell>
          <cell r="HL147">
            <v>35</v>
          </cell>
          <cell r="HM147">
            <v>41</v>
          </cell>
          <cell r="HN147">
            <v>46.1</v>
          </cell>
          <cell r="HO147">
            <v>13</v>
          </cell>
          <cell r="HP147">
            <v>46</v>
          </cell>
          <cell r="HQ147">
            <v>22</v>
          </cell>
          <cell r="HR147">
            <v>28</v>
          </cell>
          <cell r="HS147">
            <v>32</v>
          </cell>
          <cell r="HT147">
            <v>46.7</v>
          </cell>
          <cell r="HU147">
            <v>17</v>
          </cell>
          <cell r="HV147">
            <v>32</v>
          </cell>
          <cell r="HW147">
            <v>34.700000000000003</v>
          </cell>
          <cell r="HX147">
            <v>13</v>
          </cell>
          <cell r="HY147">
            <v>11</v>
          </cell>
          <cell r="HZ147">
            <v>54.2</v>
          </cell>
          <cell r="IA147">
            <v>14</v>
          </cell>
          <cell r="IB147">
            <v>11</v>
          </cell>
          <cell r="IC147">
            <v>56</v>
          </cell>
          <cell r="ID147">
            <v>15</v>
          </cell>
          <cell r="IE147">
            <v>6</v>
          </cell>
          <cell r="IF147">
            <v>71.400000000000006</v>
          </cell>
          <cell r="IG147">
            <v>13</v>
          </cell>
          <cell r="IH147">
            <v>6</v>
          </cell>
          <cell r="II147">
            <v>68.400000000000006</v>
          </cell>
          <cell r="IJ147">
            <v>8</v>
          </cell>
          <cell r="IK147">
            <v>1</v>
          </cell>
          <cell r="IL147">
            <v>88.9</v>
          </cell>
          <cell r="IM147">
            <v>6</v>
          </cell>
          <cell r="IN147">
            <v>3</v>
          </cell>
          <cell r="IO147">
            <v>66.7</v>
          </cell>
          <cell r="IP147">
            <v>2</v>
          </cell>
          <cell r="IQ147">
            <v>4</v>
          </cell>
          <cell r="IR147">
            <v>33.299999999999997</v>
          </cell>
          <cell r="IS147">
            <v>9</v>
          </cell>
          <cell r="IT147">
            <v>2</v>
          </cell>
          <cell r="IU147">
            <v>81.8</v>
          </cell>
          <cell r="IV147">
            <v>8</v>
          </cell>
          <cell r="IW147">
            <v>3</v>
          </cell>
          <cell r="IX147">
            <v>72.7</v>
          </cell>
          <cell r="IY147">
            <v>8</v>
          </cell>
          <cell r="IZ147">
            <v>4</v>
          </cell>
          <cell r="JA147">
            <v>66.7</v>
          </cell>
          <cell r="JB147">
            <v>15</v>
          </cell>
          <cell r="JC147">
            <v>15</v>
          </cell>
          <cell r="JD147">
            <v>100</v>
          </cell>
          <cell r="JE147">
            <v>20</v>
          </cell>
          <cell r="JF147">
            <v>6</v>
          </cell>
          <cell r="JG147">
            <v>76.900000000000006</v>
          </cell>
          <cell r="JH147">
            <v>41</v>
          </cell>
          <cell r="JI147">
            <v>2</v>
          </cell>
          <cell r="JJ147">
            <v>95.348837209302332</v>
          </cell>
          <cell r="JK147">
            <v>24</v>
          </cell>
          <cell r="JL147">
            <v>1</v>
          </cell>
          <cell r="JM147">
            <v>96</v>
          </cell>
          <cell r="JN147">
            <v>15</v>
          </cell>
          <cell r="JO147">
            <v>0</v>
          </cell>
          <cell r="JP147">
            <v>100</v>
          </cell>
          <cell r="JQ147">
            <v>1817</v>
          </cell>
          <cell r="JR147">
            <v>585</v>
          </cell>
          <cell r="JS147">
            <v>75.645295587010821</v>
          </cell>
          <cell r="JT147">
            <v>812</v>
          </cell>
          <cell r="JU147">
            <v>394</v>
          </cell>
          <cell r="JV147">
            <v>67.330016583747934</v>
          </cell>
          <cell r="JW147">
            <v>2</v>
          </cell>
          <cell r="JX147">
            <v>0</v>
          </cell>
          <cell r="JY147">
            <v>100</v>
          </cell>
          <cell r="JZ147">
            <v>264</v>
          </cell>
          <cell r="KA147">
            <v>137</v>
          </cell>
          <cell r="KB147">
            <v>65.835411471321692</v>
          </cell>
          <cell r="KC147">
            <v>7</v>
          </cell>
          <cell r="KD147">
            <v>0</v>
          </cell>
          <cell r="KE147">
            <v>100</v>
          </cell>
          <cell r="KF147">
            <v>1479</v>
          </cell>
          <cell r="KG147">
            <v>481</v>
          </cell>
          <cell r="KH147">
            <v>75.459183673469383</v>
          </cell>
          <cell r="KI147">
            <v>72</v>
          </cell>
          <cell r="KJ147">
            <v>66</v>
          </cell>
          <cell r="KK147">
            <v>52.173913043478258</v>
          </cell>
          <cell r="KL147">
            <v>60</v>
          </cell>
          <cell r="KM147">
            <v>15</v>
          </cell>
          <cell r="KN147">
            <v>80</v>
          </cell>
        </row>
        <row r="148">
          <cell r="C148" t="str">
            <v>Szabolcs-Szatmár-Bereg MRFK Központ</v>
          </cell>
          <cell r="D148">
            <v>13</v>
          </cell>
          <cell r="E148">
            <v>1</v>
          </cell>
          <cell r="F148">
            <v>92.9</v>
          </cell>
          <cell r="G148">
            <v>17</v>
          </cell>
          <cell r="H148">
            <v>1</v>
          </cell>
          <cell r="I148">
            <v>94.4</v>
          </cell>
          <cell r="J148">
            <v>12</v>
          </cell>
          <cell r="K148">
            <v>1</v>
          </cell>
          <cell r="L148">
            <v>92.3</v>
          </cell>
          <cell r="M148">
            <v>10</v>
          </cell>
          <cell r="N148">
            <v>10</v>
          </cell>
          <cell r="O148">
            <v>100</v>
          </cell>
          <cell r="P148">
            <v>8</v>
          </cell>
          <cell r="Q148">
            <v>2</v>
          </cell>
          <cell r="R148">
            <v>80</v>
          </cell>
          <cell r="S148">
            <v>9</v>
          </cell>
          <cell r="T148">
            <v>9</v>
          </cell>
          <cell r="U148">
            <v>100</v>
          </cell>
          <cell r="V148">
            <v>10</v>
          </cell>
          <cell r="W148">
            <v>10</v>
          </cell>
          <cell r="X148">
            <v>100</v>
          </cell>
          <cell r="Y148">
            <v>4</v>
          </cell>
          <cell r="Z148">
            <v>1</v>
          </cell>
          <cell r="AA148">
            <v>80</v>
          </cell>
          <cell r="AB148">
            <v>6</v>
          </cell>
          <cell r="AC148">
            <v>1</v>
          </cell>
          <cell r="AD148">
            <v>85.7</v>
          </cell>
          <cell r="AE148">
            <v>4</v>
          </cell>
          <cell r="AF148">
            <v>1</v>
          </cell>
          <cell r="AG148">
            <v>80</v>
          </cell>
          <cell r="AH148">
            <v>6</v>
          </cell>
          <cell r="AI148">
            <v>1</v>
          </cell>
          <cell r="AJ148">
            <v>85.7</v>
          </cell>
          <cell r="AK148">
            <v>4</v>
          </cell>
          <cell r="AL148">
            <v>4</v>
          </cell>
          <cell r="AM148">
            <v>100</v>
          </cell>
          <cell r="AN148">
            <v>3</v>
          </cell>
          <cell r="AO148">
            <v>3</v>
          </cell>
          <cell r="AP148">
            <v>100</v>
          </cell>
          <cell r="AQ148">
            <v>4</v>
          </cell>
          <cell r="AR148">
            <v>4</v>
          </cell>
          <cell r="AS148">
            <v>100</v>
          </cell>
          <cell r="AT148">
            <v>5</v>
          </cell>
          <cell r="AU148">
            <v>5</v>
          </cell>
          <cell r="AV148">
            <v>100</v>
          </cell>
          <cell r="AW148">
            <v>3</v>
          </cell>
          <cell r="AX148">
            <v>1</v>
          </cell>
          <cell r="AY148">
            <v>75</v>
          </cell>
          <cell r="AZ148">
            <v>7</v>
          </cell>
          <cell r="BA148">
            <v>7</v>
          </cell>
          <cell r="BB148">
            <v>100</v>
          </cell>
          <cell r="BC148">
            <v>10</v>
          </cell>
          <cell r="BD148">
            <v>10</v>
          </cell>
          <cell r="BE148">
            <v>100</v>
          </cell>
          <cell r="BF148">
            <v>4</v>
          </cell>
          <cell r="BG148">
            <v>4</v>
          </cell>
          <cell r="BH148">
            <v>100</v>
          </cell>
          <cell r="BI148">
            <v>6</v>
          </cell>
          <cell r="BJ148">
            <v>6</v>
          </cell>
          <cell r="BK148">
            <v>100</v>
          </cell>
          <cell r="BL148">
            <v>4</v>
          </cell>
          <cell r="BM148">
            <v>1</v>
          </cell>
          <cell r="BN148">
            <v>80</v>
          </cell>
          <cell r="BO148">
            <v>3</v>
          </cell>
          <cell r="BP148">
            <v>3</v>
          </cell>
          <cell r="BQ148">
            <v>100</v>
          </cell>
          <cell r="BR148">
            <v>3</v>
          </cell>
          <cell r="BS148">
            <v>3</v>
          </cell>
          <cell r="BT148">
            <v>100</v>
          </cell>
          <cell r="BU148">
            <v>1</v>
          </cell>
          <cell r="BV148">
            <v>1</v>
          </cell>
          <cell r="BW148">
            <v>100</v>
          </cell>
          <cell r="BX148">
            <v>30</v>
          </cell>
          <cell r="BY148">
            <v>6</v>
          </cell>
          <cell r="BZ148">
            <v>83.3</v>
          </cell>
          <cell r="CA148">
            <v>35</v>
          </cell>
          <cell r="CB148">
            <v>1</v>
          </cell>
          <cell r="CC148">
            <v>97.2</v>
          </cell>
          <cell r="CD148">
            <v>25</v>
          </cell>
          <cell r="CE148">
            <v>1</v>
          </cell>
          <cell r="CF148">
            <v>96.2</v>
          </cell>
          <cell r="CG148">
            <v>35</v>
          </cell>
          <cell r="CH148">
            <v>35</v>
          </cell>
          <cell r="CI148">
            <v>100</v>
          </cell>
          <cell r="CJ148">
            <v>21</v>
          </cell>
          <cell r="CK148">
            <v>10</v>
          </cell>
          <cell r="CL148">
            <v>67.7</v>
          </cell>
          <cell r="CM148">
            <v>23</v>
          </cell>
          <cell r="CN148">
            <v>5</v>
          </cell>
          <cell r="CO148">
            <v>82.1</v>
          </cell>
          <cell r="CP148">
            <v>17</v>
          </cell>
          <cell r="CQ148">
            <v>4</v>
          </cell>
          <cell r="CR148">
            <v>81</v>
          </cell>
          <cell r="CS148">
            <v>13</v>
          </cell>
          <cell r="CT148">
            <v>1</v>
          </cell>
          <cell r="CU148">
            <v>92.9</v>
          </cell>
          <cell r="CV148">
            <v>29</v>
          </cell>
          <cell r="CW148">
            <v>5</v>
          </cell>
          <cell r="CX148">
            <v>85.3</v>
          </cell>
          <cell r="CY148">
            <v>32</v>
          </cell>
          <cell r="CZ148">
            <v>1</v>
          </cell>
          <cell r="DA148">
            <v>97</v>
          </cell>
          <cell r="DB148">
            <v>19</v>
          </cell>
          <cell r="DC148">
            <v>1</v>
          </cell>
          <cell r="DD148">
            <v>95</v>
          </cell>
          <cell r="DE148">
            <v>31</v>
          </cell>
          <cell r="DF148">
            <v>31</v>
          </cell>
          <cell r="DG148">
            <v>100</v>
          </cell>
          <cell r="DH148">
            <v>19</v>
          </cell>
          <cell r="DI148">
            <v>9</v>
          </cell>
          <cell r="DJ148">
            <v>67.900000000000006</v>
          </cell>
          <cell r="DK148">
            <v>21</v>
          </cell>
          <cell r="DL148">
            <v>5</v>
          </cell>
          <cell r="DM148">
            <v>80.8</v>
          </cell>
          <cell r="DN148">
            <v>16</v>
          </cell>
          <cell r="DO148">
            <v>4</v>
          </cell>
          <cell r="DP148">
            <v>80</v>
          </cell>
          <cell r="DQ148">
            <v>13</v>
          </cell>
          <cell r="DR148">
            <v>1</v>
          </cell>
          <cell r="DS148">
            <v>92.9</v>
          </cell>
          <cell r="DT148">
            <v>92.89996337890625</v>
          </cell>
          <cell r="DU148">
            <v>1</v>
          </cell>
          <cell r="DV148">
            <v>0</v>
          </cell>
          <cell r="DW148">
            <v>1</v>
          </cell>
          <cell r="DX148">
            <v>1</v>
          </cell>
          <cell r="DY148">
            <v>100</v>
          </cell>
          <cell r="DZ148">
            <v>100</v>
          </cell>
          <cell r="EA148">
            <v>100</v>
          </cell>
          <cell r="EB148" t="str">
            <v>-</v>
          </cell>
          <cell r="EC148">
            <v>3</v>
          </cell>
          <cell r="ED148">
            <v>3</v>
          </cell>
          <cell r="EE148">
            <v>100</v>
          </cell>
          <cell r="EF148">
            <v>100</v>
          </cell>
          <cell r="EG148">
            <v>100</v>
          </cell>
          <cell r="EH148" t="str">
            <v>-</v>
          </cell>
          <cell r="EI148">
            <v>3</v>
          </cell>
          <cell r="EJ148">
            <v>3</v>
          </cell>
          <cell r="EK148">
            <v>100</v>
          </cell>
          <cell r="EL148">
            <v>100</v>
          </cell>
          <cell r="EM148">
            <v>1</v>
          </cell>
          <cell r="EN148">
            <v>0</v>
          </cell>
          <cell r="EO148">
            <v>1</v>
          </cell>
          <cell r="EP148">
            <v>1</v>
          </cell>
          <cell r="EQ148">
            <v>100</v>
          </cell>
          <cell r="ER148">
            <v>2</v>
          </cell>
          <cell r="ES148">
            <v>2</v>
          </cell>
          <cell r="ET148">
            <v>100</v>
          </cell>
          <cell r="EU148">
            <v>12</v>
          </cell>
          <cell r="EV148">
            <v>12</v>
          </cell>
          <cell r="EW148">
            <v>100</v>
          </cell>
          <cell r="EX148">
            <v>100</v>
          </cell>
          <cell r="EY148">
            <v>100</v>
          </cell>
          <cell r="EZ148" t="str">
            <v>-</v>
          </cell>
          <cell r="FA148">
            <v>1</v>
          </cell>
          <cell r="FB148">
            <v>1</v>
          </cell>
          <cell r="FC148">
            <v>100</v>
          </cell>
          <cell r="FD148">
            <v>9</v>
          </cell>
          <cell r="FE148">
            <v>3</v>
          </cell>
          <cell r="FF148">
            <v>75</v>
          </cell>
          <cell r="FG148">
            <v>3</v>
          </cell>
          <cell r="FH148">
            <v>3</v>
          </cell>
          <cell r="FI148">
            <v>100</v>
          </cell>
          <cell r="FJ148">
            <v>5</v>
          </cell>
          <cell r="FK148">
            <v>5</v>
          </cell>
          <cell r="FL148">
            <v>100</v>
          </cell>
          <cell r="FM148">
            <v>1</v>
          </cell>
          <cell r="FN148">
            <v>1</v>
          </cell>
          <cell r="FO148">
            <v>100</v>
          </cell>
          <cell r="FP148">
            <v>7</v>
          </cell>
          <cell r="FQ148">
            <v>2</v>
          </cell>
          <cell r="FR148">
            <v>77.8</v>
          </cell>
          <cell r="FS148">
            <v>3</v>
          </cell>
          <cell r="FT148">
            <v>3</v>
          </cell>
          <cell r="FU148">
            <v>50</v>
          </cell>
          <cell r="FV148">
            <v>4</v>
          </cell>
          <cell r="FW148">
            <v>2</v>
          </cell>
          <cell r="FX148">
            <v>66.7</v>
          </cell>
          <cell r="FY148">
            <v>9</v>
          </cell>
          <cell r="FZ148">
            <v>1</v>
          </cell>
          <cell r="GA148">
            <v>90</v>
          </cell>
          <cell r="GB148">
            <v>8</v>
          </cell>
          <cell r="GC148">
            <v>10</v>
          </cell>
          <cell r="GD148">
            <v>44.4</v>
          </cell>
          <cell r="GE148">
            <v>11</v>
          </cell>
          <cell r="GF148">
            <v>11</v>
          </cell>
          <cell r="GG148">
            <v>50</v>
          </cell>
          <cell r="GH148">
            <v>8</v>
          </cell>
          <cell r="GI148">
            <v>1</v>
          </cell>
          <cell r="GJ148">
            <v>88.9</v>
          </cell>
          <cell r="GK148">
            <v>10</v>
          </cell>
          <cell r="GL148">
            <v>2</v>
          </cell>
          <cell r="GM148">
            <v>83.3</v>
          </cell>
          <cell r="GN148">
            <v>2</v>
          </cell>
          <cell r="GO148">
            <v>1</v>
          </cell>
          <cell r="GP148">
            <v>66.7</v>
          </cell>
          <cell r="GQ148">
            <v>1</v>
          </cell>
          <cell r="GR148">
            <v>1</v>
          </cell>
          <cell r="GS148">
            <v>100</v>
          </cell>
          <cell r="GT148">
            <v>2</v>
          </cell>
          <cell r="GU148">
            <v>2</v>
          </cell>
          <cell r="GV148">
            <v>100</v>
          </cell>
          <cell r="GW148">
            <v>6</v>
          </cell>
          <cell r="GX148">
            <v>6</v>
          </cell>
          <cell r="GY148">
            <v>100</v>
          </cell>
          <cell r="GZ148">
            <v>1</v>
          </cell>
          <cell r="HA148">
            <v>1</v>
          </cell>
          <cell r="HB148">
            <v>100</v>
          </cell>
          <cell r="HC148">
            <v>5</v>
          </cell>
          <cell r="HD148">
            <v>3</v>
          </cell>
          <cell r="HE148">
            <v>62.5</v>
          </cell>
          <cell r="HF148">
            <v>2</v>
          </cell>
          <cell r="HG148">
            <v>2</v>
          </cell>
          <cell r="HH148">
            <v>100</v>
          </cell>
          <cell r="HI148">
            <v>100</v>
          </cell>
          <cell r="HJ148">
            <v>100</v>
          </cell>
          <cell r="HK148" t="str">
            <v>-</v>
          </cell>
          <cell r="HL148">
            <v>1</v>
          </cell>
          <cell r="HM148">
            <v>1</v>
          </cell>
          <cell r="HN148">
            <v>100</v>
          </cell>
          <cell r="HO148">
            <v>100</v>
          </cell>
          <cell r="HP148">
            <v>100</v>
          </cell>
          <cell r="HQ148" t="str">
            <v>-</v>
          </cell>
          <cell r="HR148">
            <v>100</v>
          </cell>
          <cell r="HS148">
            <v>100</v>
          </cell>
          <cell r="HT148" t="str">
            <v>-</v>
          </cell>
          <cell r="HU148">
            <v>100</v>
          </cell>
          <cell r="HV148">
            <v>100</v>
          </cell>
          <cell r="HW148" t="str">
            <v>-</v>
          </cell>
          <cell r="HX148">
            <v>100</v>
          </cell>
          <cell r="HY148">
            <v>100</v>
          </cell>
          <cell r="HZ148" t="str">
            <v>-</v>
          </cell>
          <cell r="IA148">
            <v>1</v>
          </cell>
          <cell r="IB148">
            <v>1</v>
          </cell>
          <cell r="IC148">
            <v>100</v>
          </cell>
          <cell r="ID148">
            <v>100</v>
          </cell>
          <cell r="IE148">
            <v>100</v>
          </cell>
          <cell r="IF148" t="str">
            <v>-</v>
          </cell>
          <cell r="IG148">
            <v>100</v>
          </cell>
          <cell r="IH148">
            <v>100</v>
          </cell>
          <cell r="II148" t="str">
            <v>-</v>
          </cell>
          <cell r="IJ148">
            <v>3</v>
          </cell>
          <cell r="IK148">
            <v>3</v>
          </cell>
          <cell r="IL148">
            <v>100</v>
          </cell>
          <cell r="IM148">
            <v>7</v>
          </cell>
          <cell r="IN148">
            <v>1</v>
          </cell>
          <cell r="IO148">
            <v>87.5</v>
          </cell>
          <cell r="IP148">
            <v>1</v>
          </cell>
          <cell r="IQ148">
            <v>1</v>
          </cell>
          <cell r="IR148">
            <v>100</v>
          </cell>
          <cell r="IS148">
            <v>100</v>
          </cell>
          <cell r="IT148">
            <v>100</v>
          </cell>
          <cell r="IU148" t="str">
            <v>-</v>
          </cell>
          <cell r="IV148">
            <v>11</v>
          </cell>
          <cell r="IW148">
            <v>11</v>
          </cell>
          <cell r="IX148">
            <v>100</v>
          </cell>
          <cell r="IY148">
            <v>7</v>
          </cell>
          <cell r="IZ148">
            <v>1</v>
          </cell>
          <cell r="JA148">
            <v>87.5</v>
          </cell>
          <cell r="JB148">
            <v>1</v>
          </cell>
          <cell r="JC148">
            <v>1</v>
          </cell>
          <cell r="JD148">
            <v>100</v>
          </cell>
          <cell r="JE148">
            <v>1</v>
          </cell>
          <cell r="JF148">
            <v>1</v>
          </cell>
          <cell r="JG148">
            <v>100</v>
          </cell>
          <cell r="JH148">
            <v>41</v>
          </cell>
          <cell r="JI148">
            <v>3</v>
          </cell>
          <cell r="JJ148">
            <v>93.181818181818173</v>
          </cell>
          <cell r="JK148">
            <v>19</v>
          </cell>
          <cell r="JL148">
            <v>1</v>
          </cell>
          <cell r="JM148">
            <v>95</v>
          </cell>
          <cell r="JN148">
            <v>17</v>
          </cell>
          <cell r="JO148">
            <v>1</v>
          </cell>
          <cell r="JP148">
            <v>94.444444444444443</v>
          </cell>
          <cell r="JQ148">
            <v>109</v>
          </cell>
          <cell r="JR148">
            <v>20</v>
          </cell>
          <cell r="JS148">
            <v>84.496124031007753</v>
          </cell>
          <cell r="JT148">
            <v>100</v>
          </cell>
          <cell r="JU148">
            <v>19</v>
          </cell>
          <cell r="JV148">
            <v>84.033613445378151</v>
          </cell>
          <cell r="JW148">
            <v>7</v>
          </cell>
          <cell r="JX148">
            <v>1</v>
          </cell>
          <cell r="JY148">
            <v>87.5</v>
          </cell>
          <cell r="JZ148">
            <v>19</v>
          </cell>
          <cell r="KA148">
            <v>3</v>
          </cell>
          <cell r="KB148">
            <v>86.36363636363636</v>
          </cell>
          <cell r="KC148">
            <v>46</v>
          </cell>
          <cell r="KD148">
            <v>25</v>
          </cell>
          <cell r="KE148">
            <v>64.788732394366207</v>
          </cell>
          <cell r="KF148">
            <v>14</v>
          </cell>
          <cell r="KG148">
            <v>3</v>
          </cell>
          <cell r="KH148">
            <v>82.35294117647058</v>
          </cell>
          <cell r="KI148">
            <v>1</v>
          </cell>
          <cell r="KJ148">
            <v>0</v>
          </cell>
          <cell r="KK148">
            <v>100</v>
          </cell>
          <cell r="KL148">
            <v>20</v>
          </cell>
          <cell r="KM148">
            <v>1</v>
          </cell>
          <cell r="KN148">
            <v>95.238095238095227</v>
          </cell>
        </row>
        <row r="149">
          <cell r="C149" t="str">
            <v>Nyíregyházi Rendőrkapitányság</v>
          </cell>
          <cell r="D149">
            <v>95.238037109375</v>
          </cell>
          <cell r="E149">
            <v>95.238037109375</v>
          </cell>
          <cell r="F149" t="str">
            <v>-</v>
          </cell>
          <cell r="G149">
            <v>95.238037109375</v>
          </cell>
          <cell r="H149">
            <v>95.238037109375</v>
          </cell>
          <cell r="I149" t="str">
            <v>-</v>
          </cell>
          <cell r="J149">
            <v>95.238037109375</v>
          </cell>
          <cell r="K149">
            <v>95.238037109375</v>
          </cell>
          <cell r="L149" t="str">
            <v>-</v>
          </cell>
          <cell r="M149">
            <v>95.238037109375</v>
          </cell>
          <cell r="N149">
            <v>95.238037109375</v>
          </cell>
          <cell r="O149" t="str">
            <v>-</v>
          </cell>
          <cell r="P149">
            <v>95.238037109375</v>
          </cell>
          <cell r="Q149">
            <v>95.238037109375</v>
          </cell>
          <cell r="R149" t="str">
            <v>-</v>
          </cell>
          <cell r="S149">
            <v>95.238037109375</v>
          </cell>
          <cell r="T149">
            <v>95.238037109375</v>
          </cell>
          <cell r="U149" t="str">
            <v>-</v>
          </cell>
          <cell r="V149">
            <v>95.238037109375</v>
          </cell>
          <cell r="W149">
            <v>95.238037109375</v>
          </cell>
          <cell r="X149" t="str">
            <v>-</v>
          </cell>
          <cell r="Y149">
            <v>95.238037109375</v>
          </cell>
          <cell r="Z149">
            <v>95.238037109375</v>
          </cell>
          <cell r="AA149" t="str">
            <v>-</v>
          </cell>
          <cell r="AB149">
            <v>95.238037109375</v>
          </cell>
          <cell r="AC149">
            <v>95.238037109375</v>
          </cell>
          <cell r="AD149" t="str">
            <v>-</v>
          </cell>
          <cell r="AE149">
            <v>95.238037109375</v>
          </cell>
          <cell r="AF149">
            <v>95.238037109375</v>
          </cell>
          <cell r="AG149" t="str">
            <v>-</v>
          </cell>
          <cell r="AH149">
            <v>95.238037109375</v>
          </cell>
          <cell r="AI149">
            <v>95.238037109375</v>
          </cell>
          <cell r="AJ149" t="str">
            <v>-</v>
          </cell>
          <cell r="AK149">
            <v>95.238037109375</v>
          </cell>
          <cell r="AL149">
            <v>95.238037109375</v>
          </cell>
          <cell r="AM149" t="str">
            <v>-</v>
          </cell>
          <cell r="AN149">
            <v>95.238037109375</v>
          </cell>
          <cell r="AO149">
            <v>95.238037109375</v>
          </cell>
          <cell r="AP149" t="str">
            <v>-</v>
          </cell>
          <cell r="AQ149">
            <v>95.238037109375</v>
          </cell>
          <cell r="AR149">
            <v>95.238037109375</v>
          </cell>
          <cell r="AS149" t="str">
            <v>-</v>
          </cell>
          <cell r="AT149">
            <v>95.238037109375</v>
          </cell>
          <cell r="AU149">
            <v>95.238037109375</v>
          </cell>
          <cell r="AV149" t="str">
            <v>-</v>
          </cell>
          <cell r="AW149">
            <v>95.238037109375</v>
          </cell>
          <cell r="AX149">
            <v>95.238037109375</v>
          </cell>
          <cell r="AY149" t="str">
            <v>-</v>
          </cell>
          <cell r="AZ149">
            <v>95.238037109375</v>
          </cell>
          <cell r="BA149">
            <v>95.238037109375</v>
          </cell>
          <cell r="BB149" t="str">
            <v>-</v>
          </cell>
          <cell r="BC149">
            <v>95.238037109375</v>
          </cell>
          <cell r="BD149">
            <v>95.238037109375</v>
          </cell>
          <cell r="BE149" t="str">
            <v>-</v>
          </cell>
          <cell r="BF149">
            <v>95.238037109375</v>
          </cell>
          <cell r="BG149">
            <v>95.238037109375</v>
          </cell>
          <cell r="BH149" t="str">
            <v>-</v>
          </cell>
          <cell r="BI149">
            <v>95.238037109375</v>
          </cell>
          <cell r="BJ149">
            <v>95.238037109375</v>
          </cell>
          <cell r="BK149" t="str">
            <v>-</v>
          </cell>
          <cell r="BL149">
            <v>95.238037109375</v>
          </cell>
          <cell r="BM149">
            <v>95.238037109375</v>
          </cell>
          <cell r="BN149" t="str">
            <v>-</v>
          </cell>
          <cell r="BO149">
            <v>95.238037109375</v>
          </cell>
          <cell r="BP149">
            <v>95.238037109375</v>
          </cell>
          <cell r="BQ149" t="str">
            <v>-</v>
          </cell>
          <cell r="BR149">
            <v>95.238037109375</v>
          </cell>
          <cell r="BS149">
            <v>95.238037109375</v>
          </cell>
          <cell r="BT149" t="str">
            <v>-</v>
          </cell>
          <cell r="BU149">
            <v>95.238037109375</v>
          </cell>
          <cell r="BV149">
            <v>95.238037109375</v>
          </cell>
          <cell r="BW149" t="str">
            <v>-</v>
          </cell>
          <cell r="BX149">
            <v>516</v>
          </cell>
          <cell r="BY149">
            <v>133</v>
          </cell>
          <cell r="BZ149">
            <v>79.5</v>
          </cell>
          <cell r="CA149">
            <v>384</v>
          </cell>
          <cell r="CB149">
            <v>118</v>
          </cell>
          <cell r="CC149">
            <v>76.5</v>
          </cell>
          <cell r="CD149">
            <v>416</v>
          </cell>
          <cell r="CE149">
            <v>118</v>
          </cell>
          <cell r="CF149">
            <v>77.900000000000006</v>
          </cell>
          <cell r="CG149">
            <v>471</v>
          </cell>
          <cell r="CH149">
            <v>125</v>
          </cell>
          <cell r="CI149">
            <v>79</v>
          </cell>
          <cell r="CJ149">
            <v>372</v>
          </cell>
          <cell r="CK149">
            <v>124</v>
          </cell>
          <cell r="CL149">
            <v>75</v>
          </cell>
          <cell r="CM149">
            <v>338</v>
          </cell>
          <cell r="CN149">
            <v>107</v>
          </cell>
          <cell r="CO149">
            <v>76</v>
          </cell>
          <cell r="CP149">
            <v>278</v>
          </cell>
          <cell r="CQ149">
            <v>81</v>
          </cell>
          <cell r="CR149">
            <v>77.400000000000006</v>
          </cell>
          <cell r="CS149">
            <v>241</v>
          </cell>
          <cell r="CT149">
            <v>67</v>
          </cell>
          <cell r="CU149">
            <v>78.2</v>
          </cell>
          <cell r="CV149">
            <v>424</v>
          </cell>
          <cell r="CW149">
            <v>119</v>
          </cell>
          <cell r="CX149">
            <v>78.099999999999994</v>
          </cell>
          <cell r="CY149">
            <v>279</v>
          </cell>
          <cell r="CZ149">
            <v>101</v>
          </cell>
          <cell r="DA149">
            <v>73.400000000000006</v>
          </cell>
          <cell r="DB149">
            <v>255</v>
          </cell>
          <cell r="DC149">
            <v>101</v>
          </cell>
          <cell r="DD149">
            <v>71.599999999999994</v>
          </cell>
          <cell r="DE149">
            <v>297</v>
          </cell>
          <cell r="DF149">
            <v>104</v>
          </cell>
          <cell r="DG149">
            <v>74.099999999999994</v>
          </cell>
          <cell r="DH149">
            <v>192</v>
          </cell>
          <cell r="DI149">
            <v>91</v>
          </cell>
          <cell r="DJ149">
            <v>67.8</v>
          </cell>
          <cell r="DK149">
            <v>179</v>
          </cell>
          <cell r="DL149">
            <v>72</v>
          </cell>
          <cell r="DM149">
            <v>71.3</v>
          </cell>
          <cell r="DN149">
            <v>125</v>
          </cell>
          <cell r="DO149">
            <v>60</v>
          </cell>
          <cell r="DP149">
            <v>67.599999999999994</v>
          </cell>
          <cell r="DQ149">
            <v>143</v>
          </cell>
          <cell r="DR149">
            <v>52</v>
          </cell>
          <cell r="DS149">
            <v>73.3</v>
          </cell>
          <cell r="DT149">
            <v>73.29998779296875</v>
          </cell>
          <cell r="DU149">
            <v>73.29998779296875</v>
          </cell>
          <cell r="DV149" t="str">
            <v>-</v>
          </cell>
          <cell r="DW149">
            <v>1</v>
          </cell>
          <cell r="DX149">
            <v>1</v>
          </cell>
          <cell r="DY149">
            <v>100</v>
          </cell>
          <cell r="DZ149">
            <v>100</v>
          </cell>
          <cell r="EA149">
            <v>100</v>
          </cell>
          <cell r="EB149" t="str">
            <v>-</v>
          </cell>
          <cell r="EC149">
            <v>100</v>
          </cell>
          <cell r="ED149">
            <v>100</v>
          </cell>
          <cell r="EE149" t="str">
            <v>-</v>
          </cell>
          <cell r="EF149">
            <v>100</v>
          </cell>
          <cell r="EG149">
            <v>100</v>
          </cell>
          <cell r="EH149" t="str">
            <v>-</v>
          </cell>
          <cell r="EI149">
            <v>100</v>
          </cell>
          <cell r="EJ149">
            <v>100</v>
          </cell>
          <cell r="EK149" t="str">
            <v>-</v>
          </cell>
          <cell r="EL149">
            <v>100</v>
          </cell>
          <cell r="EM149">
            <v>100</v>
          </cell>
          <cell r="EN149" t="str">
            <v>-</v>
          </cell>
          <cell r="EO149">
            <v>100</v>
          </cell>
          <cell r="EP149">
            <v>100</v>
          </cell>
          <cell r="EQ149" t="str">
            <v>-</v>
          </cell>
          <cell r="ER149">
            <v>70</v>
          </cell>
          <cell r="ES149">
            <v>19</v>
          </cell>
          <cell r="ET149">
            <v>78.7</v>
          </cell>
          <cell r="EU149">
            <v>66</v>
          </cell>
          <cell r="EV149">
            <v>8</v>
          </cell>
          <cell r="EW149">
            <v>89.2</v>
          </cell>
          <cell r="EX149">
            <v>70</v>
          </cell>
          <cell r="EY149">
            <v>19</v>
          </cell>
          <cell r="EZ149">
            <v>78.7</v>
          </cell>
          <cell r="FA149">
            <v>66</v>
          </cell>
          <cell r="FB149">
            <v>18</v>
          </cell>
          <cell r="FC149">
            <v>78.599999999999994</v>
          </cell>
          <cell r="FD149">
            <v>56</v>
          </cell>
          <cell r="FE149">
            <v>31</v>
          </cell>
          <cell r="FF149">
            <v>64.400000000000006</v>
          </cell>
          <cell r="FG149">
            <v>54</v>
          </cell>
          <cell r="FH149">
            <v>23</v>
          </cell>
          <cell r="FI149">
            <v>70.099999999999994</v>
          </cell>
          <cell r="FJ149">
            <v>54</v>
          </cell>
          <cell r="FK149">
            <v>10</v>
          </cell>
          <cell r="FL149">
            <v>84.4</v>
          </cell>
          <cell r="FM149">
            <v>64</v>
          </cell>
          <cell r="FN149">
            <v>14</v>
          </cell>
          <cell r="FO149">
            <v>82.1</v>
          </cell>
          <cell r="FP149">
            <v>82.0999755859375</v>
          </cell>
          <cell r="FQ149">
            <v>82.0999755859375</v>
          </cell>
          <cell r="FR149" t="str">
            <v>-</v>
          </cell>
          <cell r="FS149">
            <v>82.0999755859375</v>
          </cell>
          <cell r="FT149">
            <v>82.0999755859375</v>
          </cell>
          <cell r="FU149" t="str">
            <v>-</v>
          </cell>
          <cell r="FV149">
            <v>82.0999755859375</v>
          </cell>
          <cell r="FW149">
            <v>82.0999755859375</v>
          </cell>
          <cell r="FX149" t="str">
            <v>-</v>
          </cell>
          <cell r="FY149">
            <v>82.0999755859375</v>
          </cell>
          <cell r="FZ149">
            <v>82.0999755859375</v>
          </cell>
          <cell r="GA149" t="str">
            <v>-</v>
          </cell>
          <cell r="GB149">
            <v>82.0999755859375</v>
          </cell>
          <cell r="GC149">
            <v>82.0999755859375</v>
          </cell>
          <cell r="GD149" t="str">
            <v>-</v>
          </cell>
          <cell r="GE149">
            <v>82.0999755859375</v>
          </cell>
          <cell r="GF149">
            <v>82.0999755859375</v>
          </cell>
          <cell r="GG149" t="str">
            <v>-</v>
          </cell>
          <cell r="GH149">
            <v>82.0999755859375</v>
          </cell>
          <cell r="GI149">
            <v>82.0999755859375</v>
          </cell>
          <cell r="GJ149" t="str">
            <v>-</v>
          </cell>
          <cell r="GK149">
            <v>82.0999755859375</v>
          </cell>
          <cell r="GL149">
            <v>82.0999755859375</v>
          </cell>
          <cell r="GM149" t="str">
            <v>-</v>
          </cell>
          <cell r="GN149">
            <v>233</v>
          </cell>
          <cell r="GO149">
            <v>80</v>
          </cell>
          <cell r="GP149">
            <v>74.400000000000006</v>
          </cell>
          <cell r="GQ149">
            <v>287</v>
          </cell>
          <cell r="GR149">
            <v>63</v>
          </cell>
          <cell r="GS149">
            <v>82</v>
          </cell>
          <cell r="GT149">
            <v>343</v>
          </cell>
          <cell r="GU149">
            <v>74</v>
          </cell>
          <cell r="GV149">
            <v>82.3</v>
          </cell>
          <cell r="GW149">
            <v>381</v>
          </cell>
          <cell r="GX149">
            <v>107</v>
          </cell>
          <cell r="GY149">
            <v>78.099999999999994</v>
          </cell>
          <cell r="GZ149">
            <v>317</v>
          </cell>
          <cell r="HA149">
            <v>95</v>
          </cell>
          <cell r="HB149">
            <v>76.900000000000006</v>
          </cell>
          <cell r="HC149">
            <v>307</v>
          </cell>
          <cell r="HD149">
            <v>99</v>
          </cell>
          <cell r="HE149">
            <v>75.599999999999994</v>
          </cell>
          <cell r="HF149">
            <v>210</v>
          </cell>
          <cell r="HG149">
            <v>62</v>
          </cell>
          <cell r="HH149">
            <v>77.2</v>
          </cell>
          <cell r="HI149">
            <v>216</v>
          </cell>
          <cell r="HJ149">
            <v>58</v>
          </cell>
          <cell r="HK149">
            <v>78.8</v>
          </cell>
          <cell r="HL149">
            <v>19</v>
          </cell>
          <cell r="HM149">
            <v>22</v>
          </cell>
          <cell r="HN149">
            <v>46.3</v>
          </cell>
          <cell r="HO149">
            <v>12</v>
          </cell>
          <cell r="HP149">
            <v>26</v>
          </cell>
          <cell r="HQ149">
            <v>31.6</v>
          </cell>
          <cell r="HR149">
            <v>18</v>
          </cell>
          <cell r="HS149">
            <v>18</v>
          </cell>
          <cell r="HT149">
            <v>50</v>
          </cell>
          <cell r="HU149">
            <v>16</v>
          </cell>
          <cell r="HV149">
            <v>12</v>
          </cell>
          <cell r="HW149">
            <v>57.1</v>
          </cell>
          <cell r="HX149">
            <v>18</v>
          </cell>
          <cell r="HY149">
            <v>12</v>
          </cell>
          <cell r="HZ149">
            <v>60</v>
          </cell>
          <cell r="IA149">
            <v>7</v>
          </cell>
          <cell r="IB149">
            <v>9</v>
          </cell>
          <cell r="IC149">
            <v>43.8</v>
          </cell>
          <cell r="ID149">
            <v>5</v>
          </cell>
          <cell r="IE149">
            <v>16</v>
          </cell>
          <cell r="IF149">
            <v>23.8</v>
          </cell>
          <cell r="IG149">
            <v>11</v>
          </cell>
          <cell r="IH149">
            <v>7</v>
          </cell>
          <cell r="II149">
            <v>61.1</v>
          </cell>
          <cell r="IJ149">
            <v>14</v>
          </cell>
          <cell r="IK149">
            <v>1</v>
          </cell>
          <cell r="IL149">
            <v>93.3</v>
          </cell>
          <cell r="IM149">
            <v>11</v>
          </cell>
          <cell r="IN149">
            <v>3</v>
          </cell>
          <cell r="IO149">
            <v>78.599999999999994</v>
          </cell>
          <cell r="IP149">
            <v>5</v>
          </cell>
          <cell r="IQ149">
            <v>3</v>
          </cell>
          <cell r="IR149">
            <v>62.5</v>
          </cell>
          <cell r="IS149">
            <v>2</v>
          </cell>
          <cell r="IT149">
            <v>2</v>
          </cell>
          <cell r="IU149">
            <v>50</v>
          </cell>
          <cell r="IV149">
            <v>19</v>
          </cell>
          <cell r="IW149">
            <v>3</v>
          </cell>
          <cell r="IX149">
            <v>86.4</v>
          </cell>
          <cell r="IY149">
            <v>8</v>
          </cell>
          <cell r="IZ149">
            <v>3</v>
          </cell>
          <cell r="JA149">
            <v>72.7</v>
          </cell>
          <cell r="JB149">
            <v>9</v>
          </cell>
          <cell r="JC149">
            <v>3</v>
          </cell>
          <cell r="JD149">
            <v>75</v>
          </cell>
          <cell r="JE149">
            <v>23</v>
          </cell>
          <cell r="JF149">
            <v>1</v>
          </cell>
          <cell r="JG149">
            <v>95.8</v>
          </cell>
          <cell r="JH149">
            <v>0</v>
          </cell>
          <cell r="JI149">
            <v>0</v>
          </cell>
          <cell r="JJ149" t="str">
            <v>-</v>
          </cell>
          <cell r="JK149">
            <v>0</v>
          </cell>
          <cell r="JL149">
            <v>0</v>
          </cell>
          <cell r="JM149" t="str">
            <v>-</v>
          </cell>
          <cell r="JN149">
            <v>0</v>
          </cell>
          <cell r="JO149">
            <v>0</v>
          </cell>
          <cell r="JP149" t="str">
            <v>-</v>
          </cell>
          <cell r="JQ149">
            <v>1700</v>
          </cell>
          <cell r="JR149">
            <v>504</v>
          </cell>
          <cell r="JS149">
            <v>77.132486388384763</v>
          </cell>
          <cell r="JT149">
            <v>936</v>
          </cell>
          <cell r="JU149">
            <v>379</v>
          </cell>
          <cell r="JV149">
            <v>71.178707224334602</v>
          </cell>
          <cell r="JW149">
            <v>0</v>
          </cell>
          <cell r="JX149">
            <v>0</v>
          </cell>
          <cell r="JY149" t="str">
            <v>-</v>
          </cell>
          <cell r="JZ149">
            <v>294</v>
          </cell>
          <cell r="KA149">
            <v>96</v>
          </cell>
          <cell r="KB149">
            <v>75.384615384615387</v>
          </cell>
          <cell r="KC149">
            <v>0</v>
          </cell>
          <cell r="KD149">
            <v>0</v>
          </cell>
          <cell r="KE149" t="str">
            <v>-</v>
          </cell>
          <cell r="KF149">
            <v>1431</v>
          </cell>
          <cell r="KG149">
            <v>421</v>
          </cell>
          <cell r="KH149">
            <v>77.267818574514038</v>
          </cell>
          <cell r="KI149">
            <v>57</v>
          </cell>
          <cell r="KJ149">
            <v>56</v>
          </cell>
          <cell r="KK149">
            <v>50.442477876106196</v>
          </cell>
          <cell r="KL149">
            <v>61</v>
          </cell>
          <cell r="KM149">
            <v>12</v>
          </cell>
          <cell r="KN149">
            <v>83.561643835616437</v>
          </cell>
        </row>
        <row r="150">
          <cell r="C150" t="str">
            <v>Fehérgyarmati Rendőrkapitányság</v>
          </cell>
          <cell r="D150">
            <v>83.56158447265625</v>
          </cell>
          <cell r="E150">
            <v>83.56158447265625</v>
          </cell>
          <cell r="F150" t="str">
            <v>-</v>
          </cell>
          <cell r="G150">
            <v>83.56158447265625</v>
          </cell>
          <cell r="H150">
            <v>83.56158447265625</v>
          </cell>
          <cell r="I150" t="str">
            <v>-</v>
          </cell>
          <cell r="J150">
            <v>83.56158447265625</v>
          </cell>
          <cell r="K150">
            <v>83.56158447265625</v>
          </cell>
          <cell r="L150" t="str">
            <v>-</v>
          </cell>
          <cell r="M150">
            <v>83.56158447265625</v>
          </cell>
          <cell r="N150">
            <v>83.56158447265625</v>
          </cell>
          <cell r="O150" t="str">
            <v>-</v>
          </cell>
          <cell r="P150">
            <v>83.56158447265625</v>
          </cell>
          <cell r="Q150">
            <v>83.56158447265625</v>
          </cell>
          <cell r="R150" t="str">
            <v>-</v>
          </cell>
          <cell r="S150">
            <v>83.56158447265625</v>
          </cell>
          <cell r="T150">
            <v>83.56158447265625</v>
          </cell>
          <cell r="U150" t="str">
            <v>-</v>
          </cell>
          <cell r="V150">
            <v>83.56158447265625</v>
          </cell>
          <cell r="W150">
            <v>83.56158447265625</v>
          </cell>
          <cell r="X150" t="str">
            <v>-</v>
          </cell>
          <cell r="Y150">
            <v>83.56158447265625</v>
          </cell>
          <cell r="Z150">
            <v>83.56158447265625</v>
          </cell>
          <cell r="AA150" t="str">
            <v>-</v>
          </cell>
          <cell r="AB150">
            <v>83.56158447265625</v>
          </cell>
          <cell r="AC150">
            <v>83.56158447265625</v>
          </cell>
          <cell r="AD150" t="str">
            <v>-</v>
          </cell>
          <cell r="AE150">
            <v>83.56158447265625</v>
          </cell>
          <cell r="AF150">
            <v>83.56158447265625</v>
          </cell>
          <cell r="AG150" t="str">
            <v>-</v>
          </cell>
          <cell r="AH150">
            <v>83.56158447265625</v>
          </cell>
          <cell r="AI150">
            <v>83.56158447265625</v>
          </cell>
          <cell r="AJ150" t="str">
            <v>-</v>
          </cell>
          <cell r="AK150">
            <v>83.56158447265625</v>
          </cell>
          <cell r="AL150">
            <v>83.56158447265625</v>
          </cell>
          <cell r="AM150" t="str">
            <v>-</v>
          </cell>
          <cell r="AN150">
            <v>83.56158447265625</v>
          </cell>
          <cell r="AO150">
            <v>83.56158447265625</v>
          </cell>
          <cell r="AP150" t="str">
            <v>-</v>
          </cell>
          <cell r="AQ150">
            <v>83.56158447265625</v>
          </cell>
          <cell r="AR150">
            <v>83.56158447265625</v>
          </cell>
          <cell r="AS150" t="str">
            <v>-</v>
          </cell>
          <cell r="AT150">
            <v>83.56158447265625</v>
          </cell>
          <cell r="AU150">
            <v>83.56158447265625</v>
          </cell>
          <cell r="AV150" t="str">
            <v>-</v>
          </cell>
          <cell r="AW150">
            <v>83.56158447265625</v>
          </cell>
          <cell r="AX150">
            <v>83.56158447265625</v>
          </cell>
          <cell r="AY150" t="str">
            <v>-</v>
          </cell>
          <cell r="AZ150">
            <v>83.56158447265625</v>
          </cell>
          <cell r="BA150">
            <v>83.56158447265625</v>
          </cell>
          <cell r="BB150" t="str">
            <v>-</v>
          </cell>
          <cell r="BC150">
            <v>83.56158447265625</v>
          </cell>
          <cell r="BD150">
            <v>83.56158447265625</v>
          </cell>
          <cell r="BE150" t="str">
            <v>-</v>
          </cell>
          <cell r="BF150">
            <v>83.56158447265625</v>
          </cell>
          <cell r="BG150">
            <v>83.56158447265625</v>
          </cell>
          <cell r="BH150" t="str">
            <v>-</v>
          </cell>
          <cell r="BI150">
            <v>83.56158447265625</v>
          </cell>
          <cell r="BJ150">
            <v>83.56158447265625</v>
          </cell>
          <cell r="BK150" t="str">
            <v>-</v>
          </cell>
          <cell r="BL150">
            <v>83.56158447265625</v>
          </cell>
          <cell r="BM150">
            <v>83.56158447265625</v>
          </cell>
          <cell r="BN150" t="str">
            <v>-</v>
          </cell>
          <cell r="BO150">
            <v>83.56158447265625</v>
          </cell>
          <cell r="BP150">
            <v>83.56158447265625</v>
          </cell>
          <cell r="BQ150" t="str">
            <v>-</v>
          </cell>
          <cell r="BR150">
            <v>83.56158447265625</v>
          </cell>
          <cell r="BS150">
            <v>83.56158447265625</v>
          </cell>
          <cell r="BT150" t="str">
            <v>-</v>
          </cell>
          <cell r="BU150">
            <v>83.56158447265625</v>
          </cell>
          <cell r="BV150">
            <v>83.56158447265625</v>
          </cell>
          <cell r="BW150" t="str">
            <v>-</v>
          </cell>
          <cell r="BX150">
            <v>119</v>
          </cell>
          <cell r="BY150">
            <v>14</v>
          </cell>
          <cell r="BZ150">
            <v>89.5</v>
          </cell>
          <cell r="CA150">
            <v>104</v>
          </cell>
          <cell r="CB150">
            <v>11</v>
          </cell>
          <cell r="CC150">
            <v>90.4</v>
          </cell>
          <cell r="CD150">
            <v>111</v>
          </cell>
          <cell r="CE150">
            <v>21</v>
          </cell>
          <cell r="CF150">
            <v>84.1</v>
          </cell>
          <cell r="CG150">
            <v>150</v>
          </cell>
          <cell r="CH150">
            <v>17</v>
          </cell>
          <cell r="CI150">
            <v>89.8</v>
          </cell>
          <cell r="CJ150">
            <v>90</v>
          </cell>
          <cell r="CK150">
            <v>12</v>
          </cell>
          <cell r="CL150">
            <v>88.2</v>
          </cell>
          <cell r="CM150">
            <v>87</v>
          </cell>
          <cell r="CN150">
            <v>5</v>
          </cell>
          <cell r="CO150">
            <v>94.6</v>
          </cell>
          <cell r="CP150">
            <v>92</v>
          </cell>
          <cell r="CQ150">
            <v>2</v>
          </cell>
          <cell r="CR150">
            <v>97.9</v>
          </cell>
          <cell r="CS150">
            <v>52</v>
          </cell>
          <cell r="CT150">
            <v>1</v>
          </cell>
          <cell r="CU150">
            <v>98.1</v>
          </cell>
          <cell r="CV150">
            <v>52</v>
          </cell>
          <cell r="CW150">
            <v>11</v>
          </cell>
          <cell r="CX150">
            <v>82.5</v>
          </cell>
          <cell r="CY150">
            <v>57</v>
          </cell>
          <cell r="CZ150">
            <v>5</v>
          </cell>
          <cell r="DA150">
            <v>91.9</v>
          </cell>
          <cell r="DB150">
            <v>56</v>
          </cell>
          <cell r="DC150">
            <v>18</v>
          </cell>
          <cell r="DD150">
            <v>75.7</v>
          </cell>
          <cell r="DE150">
            <v>82</v>
          </cell>
          <cell r="DF150">
            <v>13</v>
          </cell>
          <cell r="DG150">
            <v>86.3</v>
          </cell>
          <cell r="DH150">
            <v>48</v>
          </cell>
          <cell r="DI150">
            <v>9</v>
          </cell>
          <cell r="DJ150">
            <v>84.2</v>
          </cell>
          <cell r="DK150">
            <v>33</v>
          </cell>
          <cell r="DL150">
            <v>3</v>
          </cell>
          <cell r="DM150">
            <v>91.7</v>
          </cell>
          <cell r="DN150">
            <v>40</v>
          </cell>
          <cell r="DO150">
            <v>2</v>
          </cell>
          <cell r="DP150">
            <v>95.2</v>
          </cell>
          <cell r="DQ150">
            <v>28</v>
          </cell>
          <cell r="DR150">
            <v>1</v>
          </cell>
          <cell r="DS150">
            <v>96.6</v>
          </cell>
          <cell r="DT150">
            <v>96.5999755859375</v>
          </cell>
          <cell r="DU150">
            <v>96.5999755859375</v>
          </cell>
          <cell r="DV150" t="str">
            <v>-</v>
          </cell>
          <cell r="DW150">
            <v>96.5999755859375</v>
          </cell>
          <cell r="DX150">
            <v>96.5999755859375</v>
          </cell>
          <cell r="DY150" t="str">
            <v>-</v>
          </cell>
          <cell r="DZ150">
            <v>96.5999755859375</v>
          </cell>
          <cell r="EA150">
            <v>96.5999755859375</v>
          </cell>
          <cell r="EB150" t="str">
            <v>-</v>
          </cell>
          <cell r="EC150">
            <v>96.5999755859375</v>
          </cell>
          <cell r="ED150">
            <v>96.5999755859375</v>
          </cell>
          <cell r="EE150" t="str">
            <v>-</v>
          </cell>
          <cell r="EF150">
            <v>96.5999755859375</v>
          </cell>
          <cell r="EG150">
            <v>96.5999755859375</v>
          </cell>
          <cell r="EH150" t="str">
            <v>-</v>
          </cell>
          <cell r="EI150">
            <v>96.5999755859375</v>
          </cell>
          <cell r="EJ150">
            <v>96.5999755859375</v>
          </cell>
          <cell r="EK150" t="str">
            <v>-</v>
          </cell>
          <cell r="EL150">
            <v>96.5999755859375</v>
          </cell>
          <cell r="EM150">
            <v>96.5999755859375</v>
          </cell>
          <cell r="EN150" t="str">
            <v>-</v>
          </cell>
          <cell r="EO150">
            <v>96.5999755859375</v>
          </cell>
          <cell r="EP150">
            <v>96.5999755859375</v>
          </cell>
          <cell r="EQ150" t="str">
            <v>-</v>
          </cell>
          <cell r="ER150">
            <v>5</v>
          </cell>
          <cell r="ES150">
            <v>6</v>
          </cell>
          <cell r="ET150">
            <v>45.5</v>
          </cell>
          <cell r="EU150">
            <v>8</v>
          </cell>
          <cell r="EV150">
            <v>1</v>
          </cell>
          <cell r="EW150">
            <v>88.9</v>
          </cell>
          <cell r="EX150">
            <v>8</v>
          </cell>
          <cell r="EY150">
            <v>1</v>
          </cell>
          <cell r="EZ150">
            <v>88.9</v>
          </cell>
          <cell r="FA150">
            <v>15</v>
          </cell>
          <cell r="FB150">
            <v>15</v>
          </cell>
          <cell r="FC150">
            <v>100</v>
          </cell>
          <cell r="FD150">
            <v>6</v>
          </cell>
          <cell r="FE150">
            <v>6</v>
          </cell>
          <cell r="FF150">
            <v>100</v>
          </cell>
          <cell r="FG150">
            <v>14</v>
          </cell>
          <cell r="FH150">
            <v>2</v>
          </cell>
          <cell r="FI150">
            <v>87.5</v>
          </cell>
          <cell r="FJ150">
            <v>15</v>
          </cell>
          <cell r="FK150">
            <v>15</v>
          </cell>
          <cell r="FL150">
            <v>100</v>
          </cell>
          <cell r="FM150">
            <v>4</v>
          </cell>
          <cell r="FN150">
            <v>3</v>
          </cell>
          <cell r="FO150">
            <v>57.1</v>
          </cell>
          <cell r="FP150">
            <v>2</v>
          </cell>
          <cell r="FQ150">
            <v>3</v>
          </cell>
          <cell r="FR150">
            <v>40</v>
          </cell>
          <cell r="FS150">
            <v>3</v>
          </cell>
          <cell r="FT150">
            <v>3</v>
          </cell>
          <cell r="FU150">
            <v>100</v>
          </cell>
          <cell r="FV150">
            <v>100</v>
          </cell>
          <cell r="FW150">
            <v>100</v>
          </cell>
          <cell r="FX150" t="str">
            <v>-</v>
          </cell>
          <cell r="FY150">
            <v>100</v>
          </cell>
          <cell r="FZ150">
            <v>100</v>
          </cell>
          <cell r="GA150" t="str">
            <v>-</v>
          </cell>
          <cell r="GB150">
            <v>100</v>
          </cell>
          <cell r="GC150">
            <v>100</v>
          </cell>
          <cell r="GD150" t="str">
            <v>-</v>
          </cell>
          <cell r="GE150">
            <v>100</v>
          </cell>
          <cell r="GF150">
            <v>100</v>
          </cell>
          <cell r="GG150" t="str">
            <v>-</v>
          </cell>
          <cell r="GH150">
            <v>100</v>
          </cell>
          <cell r="GI150">
            <v>100</v>
          </cell>
          <cell r="GJ150" t="str">
            <v>-</v>
          </cell>
          <cell r="GK150">
            <v>100</v>
          </cell>
          <cell r="GL150">
            <v>100</v>
          </cell>
          <cell r="GM150" t="str">
            <v>-</v>
          </cell>
          <cell r="GN150">
            <v>113</v>
          </cell>
          <cell r="GO150">
            <v>24</v>
          </cell>
          <cell r="GP150">
            <v>82.5</v>
          </cell>
          <cell r="GQ150">
            <v>89</v>
          </cell>
          <cell r="GR150">
            <v>18</v>
          </cell>
          <cell r="GS150">
            <v>83.2</v>
          </cell>
          <cell r="GT150">
            <v>105</v>
          </cell>
          <cell r="GU150">
            <v>20</v>
          </cell>
          <cell r="GV150">
            <v>84</v>
          </cell>
          <cell r="GW150">
            <v>131</v>
          </cell>
          <cell r="GX150">
            <v>43</v>
          </cell>
          <cell r="GY150">
            <v>75.3</v>
          </cell>
          <cell r="GZ150">
            <v>75</v>
          </cell>
          <cell r="HA150">
            <v>25</v>
          </cell>
          <cell r="HB150">
            <v>75</v>
          </cell>
          <cell r="HC150">
            <v>89</v>
          </cell>
          <cell r="HD150">
            <v>8</v>
          </cell>
          <cell r="HE150">
            <v>91.8</v>
          </cell>
          <cell r="HF150">
            <v>64</v>
          </cell>
          <cell r="HG150">
            <v>10</v>
          </cell>
          <cell r="HH150">
            <v>86.5</v>
          </cell>
          <cell r="HI150">
            <v>47</v>
          </cell>
          <cell r="HJ150">
            <v>4</v>
          </cell>
          <cell r="HK150">
            <v>92.2</v>
          </cell>
          <cell r="HL150">
            <v>8</v>
          </cell>
          <cell r="HM150">
            <v>1</v>
          </cell>
          <cell r="HN150">
            <v>88.9</v>
          </cell>
          <cell r="HO150">
            <v>3</v>
          </cell>
          <cell r="HP150">
            <v>1</v>
          </cell>
          <cell r="HQ150">
            <v>75</v>
          </cell>
          <cell r="HR150">
            <v>3</v>
          </cell>
          <cell r="HS150">
            <v>4</v>
          </cell>
          <cell r="HT150">
            <v>42.9</v>
          </cell>
          <cell r="HU150">
            <v>4</v>
          </cell>
          <cell r="HV150">
            <v>5</v>
          </cell>
          <cell r="HW150">
            <v>44.4</v>
          </cell>
          <cell r="HX150">
            <v>3</v>
          </cell>
          <cell r="HY150">
            <v>1</v>
          </cell>
          <cell r="HZ150">
            <v>75</v>
          </cell>
          <cell r="IA150">
            <v>3</v>
          </cell>
          <cell r="IB150">
            <v>3</v>
          </cell>
          <cell r="IC150">
            <v>100</v>
          </cell>
          <cell r="ID150">
            <v>4</v>
          </cell>
          <cell r="IE150">
            <v>1</v>
          </cell>
          <cell r="IF150">
            <v>80</v>
          </cell>
          <cell r="IG150">
            <v>1</v>
          </cell>
          <cell r="IH150">
            <v>1</v>
          </cell>
          <cell r="II150">
            <v>100</v>
          </cell>
          <cell r="IJ150">
            <v>100</v>
          </cell>
          <cell r="IK150">
            <v>2</v>
          </cell>
          <cell r="IL150">
            <v>0</v>
          </cell>
          <cell r="IM150">
            <v>1</v>
          </cell>
          <cell r="IN150">
            <v>5</v>
          </cell>
          <cell r="IO150">
            <v>16.7</v>
          </cell>
          <cell r="IP150">
            <v>16.699996948242188</v>
          </cell>
          <cell r="IQ150">
            <v>3</v>
          </cell>
          <cell r="IR150">
            <v>0</v>
          </cell>
          <cell r="IS150">
            <v>0</v>
          </cell>
          <cell r="IT150">
            <v>11</v>
          </cell>
          <cell r="IU150">
            <v>0</v>
          </cell>
          <cell r="IV150">
            <v>0</v>
          </cell>
          <cell r="IW150">
            <v>1</v>
          </cell>
          <cell r="IX150">
            <v>0</v>
          </cell>
          <cell r="IY150">
            <v>1</v>
          </cell>
          <cell r="IZ150">
            <v>1</v>
          </cell>
          <cell r="JA150">
            <v>100</v>
          </cell>
          <cell r="JB150">
            <v>100</v>
          </cell>
          <cell r="JC150">
            <v>100</v>
          </cell>
          <cell r="JD150" t="str">
            <v>-</v>
          </cell>
          <cell r="JE150">
            <v>100</v>
          </cell>
          <cell r="JF150">
            <v>100</v>
          </cell>
          <cell r="JG150" t="str">
            <v>-</v>
          </cell>
          <cell r="JH150">
            <v>0</v>
          </cell>
          <cell r="JI150">
            <v>0</v>
          </cell>
          <cell r="JJ150" t="str">
            <v>-</v>
          </cell>
          <cell r="JK150">
            <v>0</v>
          </cell>
          <cell r="JL150">
            <v>0</v>
          </cell>
          <cell r="JM150" t="str">
            <v>-</v>
          </cell>
          <cell r="JN150">
            <v>0</v>
          </cell>
          <cell r="JO150">
            <v>0</v>
          </cell>
          <cell r="JP150" t="str">
            <v>-</v>
          </cell>
          <cell r="JQ150">
            <v>471</v>
          </cell>
          <cell r="JR150">
            <v>37</v>
          </cell>
          <cell r="JS150">
            <v>92.716535433070874</v>
          </cell>
          <cell r="JT150">
            <v>231</v>
          </cell>
          <cell r="JU150">
            <v>28</v>
          </cell>
          <cell r="JV150">
            <v>89.189189189189193</v>
          </cell>
          <cell r="JW150">
            <v>0</v>
          </cell>
          <cell r="JX150">
            <v>0</v>
          </cell>
          <cell r="JY150" t="str">
            <v>-</v>
          </cell>
          <cell r="JZ150">
            <v>54</v>
          </cell>
          <cell r="KA150">
            <v>5</v>
          </cell>
          <cell r="KB150">
            <v>91.525423728813564</v>
          </cell>
          <cell r="KC150">
            <v>0</v>
          </cell>
          <cell r="KD150">
            <v>0</v>
          </cell>
          <cell r="KE150" t="str">
            <v>-</v>
          </cell>
          <cell r="KF150">
            <v>406</v>
          </cell>
          <cell r="KG150">
            <v>90</v>
          </cell>
          <cell r="KH150">
            <v>81.854838709677423</v>
          </cell>
          <cell r="KI150">
            <v>15</v>
          </cell>
          <cell r="KJ150">
            <v>7</v>
          </cell>
          <cell r="KK150">
            <v>68.181818181818173</v>
          </cell>
          <cell r="KL150">
            <v>1</v>
          </cell>
          <cell r="KM150">
            <v>12</v>
          </cell>
          <cell r="KN150">
            <v>7.6923076923076925</v>
          </cell>
        </row>
        <row r="151">
          <cell r="C151" t="str">
            <v>Kisvárdai Rendőrkapitányság</v>
          </cell>
          <cell r="D151">
            <v>7.6923065185546875</v>
          </cell>
          <cell r="E151">
            <v>7.6923065185546875</v>
          </cell>
          <cell r="F151" t="str">
            <v>-</v>
          </cell>
          <cell r="G151">
            <v>7.6923065185546875</v>
          </cell>
          <cell r="H151">
            <v>7.6923065185546875</v>
          </cell>
          <cell r="I151" t="str">
            <v>-</v>
          </cell>
          <cell r="J151">
            <v>7.6923065185546875</v>
          </cell>
          <cell r="K151">
            <v>7.6923065185546875</v>
          </cell>
          <cell r="L151" t="str">
            <v>-</v>
          </cell>
          <cell r="M151">
            <v>7.6923065185546875</v>
          </cell>
          <cell r="N151">
            <v>7.6923065185546875</v>
          </cell>
          <cell r="O151" t="str">
            <v>-</v>
          </cell>
          <cell r="P151">
            <v>7.6923065185546875</v>
          </cell>
          <cell r="Q151">
            <v>7.6923065185546875</v>
          </cell>
          <cell r="R151" t="str">
            <v>-</v>
          </cell>
          <cell r="S151">
            <v>7.6923065185546875</v>
          </cell>
          <cell r="T151">
            <v>7.6923065185546875</v>
          </cell>
          <cell r="U151" t="str">
            <v>-</v>
          </cell>
          <cell r="V151">
            <v>7.6923065185546875</v>
          </cell>
          <cell r="W151">
            <v>7.6923065185546875</v>
          </cell>
          <cell r="X151" t="str">
            <v>-</v>
          </cell>
          <cell r="Y151">
            <v>7.6923065185546875</v>
          </cell>
          <cell r="Z151">
            <v>7.6923065185546875</v>
          </cell>
          <cell r="AA151" t="str">
            <v>-</v>
          </cell>
          <cell r="AB151">
            <v>7.6923065185546875</v>
          </cell>
          <cell r="AC151">
            <v>7.6923065185546875</v>
          </cell>
          <cell r="AD151" t="str">
            <v>-</v>
          </cell>
          <cell r="AE151">
            <v>7.6923065185546875</v>
          </cell>
          <cell r="AF151">
            <v>7.6923065185546875</v>
          </cell>
          <cell r="AG151" t="str">
            <v>-</v>
          </cell>
          <cell r="AH151">
            <v>7.6923065185546875</v>
          </cell>
          <cell r="AI151">
            <v>7.6923065185546875</v>
          </cell>
          <cell r="AJ151" t="str">
            <v>-</v>
          </cell>
          <cell r="AK151">
            <v>7.6923065185546875</v>
          </cell>
          <cell r="AL151">
            <v>7.6923065185546875</v>
          </cell>
          <cell r="AM151" t="str">
            <v>-</v>
          </cell>
          <cell r="AN151">
            <v>7.6923065185546875</v>
          </cell>
          <cell r="AO151">
            <v>7.6923065185546875</v>
          </cell>
          <cell r="AP151" t="str">
            <v>-</v>
          </cell>
          <cell r="AQ151">
            <v>7.6923065185546875</v>
          </cell>
          <cell r="AR151">
            <v>7.6923065185546875</v>
          </cell>
          <cell r="AS151" t="str">
            <v>-</v>
          </cell>
          <cell r="AT151">
            <v>7.6923065185546875</v>
          </cell>
          <cell r="AU151">
            <v>7.6923065185546875</v>
          </cell>
          <cell r="AV151" t="str">
            <v>-</v>
          </cell>
          <cell r="AW151">
            <v>7.6923065185546875</v>
          </cell>
          <cell r="AX151">
            <v>7.6923065185546875</v>
          </cell>
          <cell r="AY151" t="str">
            <v>-</v>
          </cell>
          <cell r="AZ151">
            <v>7.6923065185546875</v>
          </cell>
          <cell r="BA151">
            <v>7.6923065185546875</v>
          </cell>
          <cell r="BB151" t="str">
            <v>-</v>
          </cell>
          <cell r="BC151">
            <v>7.6923065185546875</v>
          </cell>
          <cell r="BD151">
            <v>7.6923065185546875</v>
          </cell>
          <cell r="BE151" t="str">
            <v>-</v>
          </cell>
          <cell r="BF151">
            <v>7.6923065185546875</v>
          </cell>
          <cell r="BG151">
            <v>7.6923065185546875</v>
          </cell>
          <cell r="BH151" t="str">
            <v>-</v>
          </cell>
          <cell r="BI151">
            <v>7.6923065185546875</v>
          </cell>
          <cell r="BJ151">
            <v>7.6923065185546875</v>
          </cell>
          <cell r="BK151" t="str">
            <v>-</v>
          </cell>
          <cell r="BL151">
            <v>7.6923065185546875</v>
          </cell>
          <cell r="BM151">
            <v>7.6923065185546875</v>
          </cell>
          <cell r="BN151" t="str">
            <v>-</v>
          </cell>
          <cell r="BO151">
            <v>7.6923065185546875</v>
          </cell>
          <cell r="BP151">
            <v>7.6923065185546875</v>
          </cell>
          <cell r="BQ151" t="str">
            <v>-</v>
          </cell>
          <cell r="BR151">
            <v>7.6923065185546875</v>
          </cell>
          <cell r="BS151">
            <v>7.6923065185546875</v>
          </cell>
          <cell r="BT151" t="str">
            <v>-</v>
          </cell>
          <cell r="BU151">
            <v>7.6923065185546875</v>
          </cell>
          <cell r="BV151">
            <v>7.6923065185546875</v>
          </cell>
          <cell r="BW151" t="str">
            <v>-</v>
          </cell>
          <cell r="BX151">
            <v>103</v>
          </cell>
          <cell r="BY151">
            <v>9</v>
          </cell>
          <cell r="BZ151">
            <v>92</v>
          </cell>
          <cell r="CA151">
            <v>97</v>
          </cell>
          <cell r="CB151">
            <v>10</v>
          </cell>
          <cell r="CC151">
            <v>90.7</v>
          </cell>
          <cell r="CD151">
            <v>101</v>
          </cell>
          <cell r="CE151">
            <v>18</v>
          </cell>
          <cell r="CF151">
            <v>84.9</v>
          </cell>
          <cell r="CG151">
            <v>143</v>
          </cell>
          <cell r="CH151">
            <v>12</v>
          </cell>
          <cell r="CI151">
            <v>92.3</v>
          </cell>
          <cell r="CJ151">
            <v>151</v>
          </cell>
          <cell r="CK151">
            <v>29</v>
          </cell>
          <cell r="CL151">
            <v>83.9</v>
          </cell>
          <cell r="CM151">
            <v>130</v>
          </cell>
          <cell r="CN151">
            <v>11</v>
          </cell>
          <cell r="CO151">
            <v>92.2</v>
          </cell>
          <cell r="CP151">
            <v>56</v>
          </cell>
          <cell r="CQ151">
            <v>7</v>
          </cell>
          <cell r="CR151">
            <v>88.9</v>
          </cell>
          <cell r="CS151">
            <v>54</v>
          </cell>
          <cell r="CT151">
            <v>5</v>
          </cell>
          <cell r="CU151">
            <v>91.5</v>
          </cell>
          <cell r="CV151">
            <v>59</v>
          </cell>
          <cell r="CW151">
            <v>9</v>
          </cell>
          <cell r="CX151">
            <v>86.8</v>
          </cell>
          <cell r="CY151">
            <v>36</v>
          </cell>
          <cell r="CZ151">
            <v>7</v>
          </cell>
          <cell r="DA151">
            <v>83.7</v>
          </cell>
          <cell r="DB151">
            <v>49</v>
          </cell>
          <cell r="DC151">
            <v>12</v>
          </cell>
          <cell r="DD151">
            <v>80.3</v>
          </cell>
          <cell r="DE151">
            <v>80</v>
          </cell>
          <cell r="DF151">
            <v>5</v>
          </cell>
          <cell r="DG151">
            <v>94.1</v>
          </cell>
          <cell r="DH151">
            <v>91</v>
          </cell>
          <cell r="DI151">
            <v>27</v>
          </cell>
          <cell r="DJ151">
            <v>77.099999999999994</v>
          </cell>
          <cell r="DK151">
            <v>88</v>
          </cell>
          <cell r="DL151">
            <v>10</v>
          </cell>
          <cell r="DM151">
            <v>89.8</v>
          </cell>
          <cell r="DN151">
            <v>32</v>
          </cell>
          <cell r="DO151">
            <v>5</v>
          </cell>
          <cell r="DP151">
            <v>86.5</v>
          </cell>
          <cell r="DQ151">
            <v>36</v>
          </cell>
          <cell r="DR151">
            <v>5</v>
          </cell>
          <cell r="DS151">
            <v>87.8</v>
          </cell>
          <cell r="DT151">
            <v>87.79998779296875</v>
          </cell>
          <cell r="DU151">
            <v>87.79998779296875</v>
          </cell>
          <cell r="DV151" t="str">
            <v>-</v>
          </cell>
          <cell r="DW151">
            <v>87.79998779296875</v>
          </cell>
          <cell r="DX151">
            <v>87.79998779296875</v>
          </cell>
          <cell r="DY151" t="str">
            <v>-</v>
          </cell>
          <cell r="DZ151">
            <v>87.79998779296875</v>
          </cell>
          <cell r="EA151">
            <v>87.79998779296875</v>
          </cell>
          <cell r="EB151" t="str">
            <v>-</v>
          </cell>
          <cell r="EC151">
            <v>87.79998779296875</v>
          </cell>
          <cell r="ED151">
            <v>87.79998779296875</v>
          </cell>
          <cell r="EE151" t="str">
            <v>-</v>
          </cell>
          <cell r="EF151">
            <v>87.79998779296875</v>
          </cell>
          <cell r="EG151">
            <v>87.79998779296875</v>
          </cell>
          <cell r="EH151" t="str">
            <v>-</v>
          </cell>
          <cell r="EI151">
            <v>87.79998779296875</v>
          </cell>
          <cell r="EJ151">
            <v>87.79998779296875</v>
          </cell>
          <cell r="EK151" t="str">
            <v>-</v>
          </cell>
          <cell r="EL151">
            <v>87.79998779296875</v>
          </cell>
          <cell r="EM151">
            <v>87.79998779296875</v>
          </cell>
          <cell r="EN151" t="str">
            <v>-</v>
          </cell>
          <cell r="EO151">
            <v>87.79998779296875</v>
          </cell>
          <cell r="EP151">
            <v>87.79998779296875</v>
          </cell>
          <cell r="EQ151" t="str">
            <v>-</v>
          </cell>
          <cell r="ER151">
            <v>10</v>
          </cell>
          <cell r="ES151">
            <v>3</v>
          </cell>
          <cell r="ET151">
            <v>76.900000000000006</v>
          </cell>
          <cell r="EU151">
            <v>6</v>
          </cell>
          <cell r="EV151">
            <v>2</v>
          </cell>
          <cell r="EW151">
            <v>75</v>
          </cell>
          <cell r="EX151">
            <v>29</v>
          </cell>
          <cell r="EY151">
            <v>29</v>
          </cell>
          <cell r="EZ151">
            <v>100</v>
          </cell>
          <cell r="FA151">
            <v>15</v>
          </cell>
          <cell r="FB151">
            <v>1</v>
          </cell>
          <cell r="FC151">
            <v>93.8</v>
          </cell>
          <cell r="FD151">
            <v>4</v>
          </cell>
          <cell r="FE151">
            <v>6</v>
          </cell>
          <cell r="FF151">
            <v>40</v>
          </cell>
          <cell r="FG151">
            <v>17</v>
          </cell>
          <cell r="FH151">
            <v>1</v>
          </cell>
          <cell r="FI151">
            <v>94.4</v>
          </cell>
          <cell r="FJ151">
            <v>12</v>
          </cell>
          <cell r="FK151">
            <v>2</v>
          </cell>
          <cell r="FL151">
            <v>85.7</v>
          </cell>
          <cell r="FM151">
            <v>7</v>
          </cell>
          <cell r="FN151">
            <v>1</v>
          </cell>
          <cell r="FO151">
            <v>87.5</v>
          </cell>
          <cell r="FP151">
            <v>87.5</v>
          </cell>
          <cell r="FQ151">
            <v>87.5</v>
          </cell>
          <cell r="FR151" t="str">
            <v>-</v>
          </cell>
          <cell r="FS151">
            <v>87.5</v>
          </cell>
          <cell r="FT151">
            <v>87.5</v>
          </cell>
          <cell r="FU151" t="str">
            <v>-</v>
          </cell>
          <cell r="FV151">
            <v>87.5</v>
          </cell>
          <cell r="FW151">
            <v>87.5</v>
          </cell>
          <cell r="FX151" t="str">
            <v>-</v>
          </cell>
          <cell r="FY151">
            <v>87.5</v>
          </cell>
          <cell r="FZ151">
            <v>87.5</v>
          </cell>
          <cell r="GA151" t="str">
            <v>-</v>
          </cell>
          <cell r="GB151">
            <v>87.5</v>
          </cell>
          <cell r="GC151">
            <v>87.5</v>
          </cell>
          <cell r="GD151" t="str">
            <v>-</v>
          </cell>
          <cell r="GE151">
            <v>87.5</v>
          </cell>
          <cell r="GF151">
            <v>87.5</v>
          </cell>
          <cell r="GG151" t="str">
            <v>-</v>
          </cell>
          <cell r="GH151">
            <v>87.5</v>
          </cell>
          <cell r="GI151">
            <v>87.5</v>
          </cell>
          <cell r="GJ151" t="str">
            <v>-</v>
          </cell>
          <cell r="GK151">
            <v>87.5</v>
          </cell>
          <cell r="GL151">
            <v>87.5</v>
          </cell>
          <cell r="GM151" t="str">
            <v>-</v>
          </cell>
          <cell r="GN151">
            <v>84</v>
          </cell>
          <cell r="GO151">
            <v>5</v>
          </cell>
          <cell r="GP151">
            <v>94.4</v>
          </cell>
          <cell r="GQ151">
            <v>84</v>
          </cell>
          <cell r="GR151">
            <v>11</v>
          </cell>
          <cell r="GS151">
            <v>88.4</v>
          </cell>
          <cell r="GT151">
            <v>88</v>
          </cell>
          <cell r="GU151">
            <v>16</v>
          </cell>
          <cell r="GV151">
            <v>84.6</v>
          </cell>
          <cell r="GW151">
            <v>112</v>
          </cell>
          <cell r="GX151">
            <v>19</v>
          </cell>
          <cell r="GY151">
            <v>85.5</v>
          </cell>
          <cell r="GZ151">
            <v>126</v>
          </cell>
          <cell r="HA151">
            <v>13</v>
          </cell>
          <cell r="HB151">
            <v>90.6</v>
          </cell>
          <cell r="HC151">
            <v>83</v>
          </cell>
          <cell r="HD151">
            <v>4</v>
          </cell>
          <cell r="HE151">
            <v>95.4</v>
          </cell>
          <cell r="HF151">
            <v>59</v>
          </cell>
          <cell r="HG151">
            <v>9</v>
          </cell>
          <cell r="HH151">
            <v>86.8</v>
          </cell>
          <cell r="HI151">
            <v>37</v>
          </cell>
          <cell r="HJ151">
            <v>8</v>
          </cell>
          <cell r="HK151">
            <v>82.2</v>
          </cell>
          <cell r="HL151">
            <v>4</v>
          </cell>
          <cell r="HM151">
            <v>3</v>
          </cell>
          <cell r="HN151">
            <v>57.1</v>
          </cell>
          <cell r="HO151">
            <v>7</v>
          </cell>
          <cell r="HP151">
            <v>1</v>
          </cell>
          <cell r="HQ151">
            <v>87.5</v>
          </cell>
          <cell r="HR151">
            <v>4</v>
          </cell>
          <cell r="HS151">
            <v>1</v>
          </cell>
          <cell r="HT151">
            <v>80</v>
          </cell>
          <cell r="HU151">
            <v>3</v>
          </cell>
          <cell r="HV151">
            <v>4</v>
          </cell>
          <cell r="HW151">
            <v>42.9</v>
          </cell>
          <cell r="HX151">
            <v>5</v>
          </cell>
          <cell r="HY151">
            <v>4</v>
          </cell>
          <cell r="HZ151">
            <v>55.6</v>
          </cell>
          <cell r="IA151">
            <v>3</v>
          </cell>
          <cell r="IB151">
            <v>3</v>
          </cell>
          <cell r="IC151">
            <v>100</v>
          </cell>
          <cell r="ID151">
            <v>2</v>
          </cell>
          <cell r="IE151">
            <v>2</v>
          </cell>
          <cell r="IF151">
            <v>100</v>
          </cell>
          <cell r="IG151">
            <v>100</v>
          </cell>
          <cell r="IH151">
            <v>100</v>
          </cell>
          <cell r="II151" t="str">
            <v>-</v>
          </cell>
          <cell r="IJ151">
            <v>2</v>
          </cell>
          <cell r="IK151">
            <v>2</v>
          </cell>
          <cell r="IL151">
            <v>100</v>
          </cell>
          <cell r="IM151">
            <v>1</v>
          </cell>
          <cell r="IN151">
            <v>1</v>
          </cell>
          <cell r="IO151">
            <v>100</v>
          </cell>
          <cell r="IP151">
            <v>2</v>
          </cell>
          <cell r="IQ151">
            <v>2</v>
          </cell>
          <cell r="IR151">
            <v>100</v>
          </cell>
          <cell r="IS151">
            <v>100</v>
          </cell>
          <cell r="IT151">
            <v>100</v>
          </cell>
          <cell r="IU151" t="str">
            <v>-</v>
          </cell>
          <cell r="IV151">
            <v>1</v>
          </cell>
          <cell r="IW151">
            <v>1</v>
          </cell>
          <cell r="IX151">
            <v>100</v>
          </cell>
          <cell r="IY151">
            <v>100</v>
          </cell>
          <cell r="IZ151">
            <v>100</v>
          </cell>
          <cell r="JA151" t="str">
            <v>-</v>
          </cell>
          <cell r="JB151">
            <v>3</v>
          </cell>
          <cell r="JC151">
            <v>3</v>
          </cell>
          <cell r="JD151">
            <v>100</v>
          </cell>
          <cell r="JE151">
            <v>100</v>
          </cell>
          <cell r="JF151">
            <v>100</v>
          </cell>
          <cell r="JG151" t="str">
            <v>-</v>
          </cell>
          <cell r="JH151">
            <v>0</v>
          </cell>
          <cell r="JI151">
            <v>0</v>
          </cell>
          <cell r="JJ151" t="str">
            <v>-</v>
          </cell>
          <cell r="JK151">
            <v>0</v>
          </cell>
          <cell r="JL151">
            <v>0</v>
          </cell>
          <cell r="JM151" t="str">
            <v>-</v>
          </cell>
          <cell r="JN151">
            <v>0</v>
          </cell>
          <cell r="JO151">
            <v>0</v>
          </cell>
          <cell r="JP151" t="str">
            <v>-</v>
          </cell>
          <cell r="JQ151">
            <v>534</v>
          </cell>
          <cell r="JR151">
            <v>64</v>
          </cell>
          <cell r="JS151">
            <v>89.297658862876247</v>
          </cell>
          <cell r="JT151">
            <v>327</v>
          </cell>
          <cell r="JU151">
            <v>52</v>
          </cell>
          <cell r="JV151">
            <v>86.2796833773087</v>
          </cell>
          <cell r="JW151">
            <v>0</v>
          </cell>
          <cell r="JX151">
            <v>0</v>
          </cell>
          <cell r="JY151" t="str">
            <v>-</v>
          </cell>
          <cell r="JZ151">
            <v>55</v>
          </cell>
          <cell r="KA151">
            <v>11</v>
          </cell>
          <cell r="KB151">
            <v>83.333333333333343</v>
          </cell>
          <cell r="KC151">
            <v>0</v>
          </cell>
          <cell r="KD151">
            <v>0</v>
          </cell>
          <cell r="KE151" t="str">
            <v>-</v>
          </cell>
          <cell r="KF151">
            <v>417</v>
          </cell>
          <cell r="KG151">
            <v>53</v>
          </cell>
          <cell r="KH151">
            <v>88.723404255319153</v>
          </cell>
          <cell r="KI151">
            <v>13</v>
          </cell>
          <cell r="KJ151">
            <v>8</v>
          </cell>
          <cell r="KK151">
            <v>61.904761904761905</v>
          </cell>
          <cell r="KL151">
            <v>4</v>
          </cell>
          <cell r="KM151">
            <v>0</v>
          </cell>
          <cell r="KN151">
            <v>100</v>
          </cell>
        </row>
        <row r="152">
          <cell r="C152" t="str">
            <v>Mátészalkai Rendőrkapitányság</v>
          </cell>
          <cell r="D152">
            <v>100</v>
          </cell>
          <cell r="E152">
            <v>100</v>
          </cell>
          <cell r="F152" t="str">
            <v>-</v>
          </cell>
          <cell r="G152">
            <v>100</v>
          </cell>
          <cell r="H152">
            <v>100</v>
          </cell>
          <cell r="I152" t="str">
            <v>-</v>
          </cell>
          <cell r="J152">
            <v>1</v>
          </cell>
          <cell r="K152">
            <v>1</v>
          </cell>
          <cell r="L152">
            <v>100</v>
          </cell>
          <cell r="M152">
            <v>100</v>
          </cell>
          <cell r="N152">
            <v>100</v>
          </cell>
          <cell r="O152" t="str">
            <v>-</v>
          </cell>
          <cell r="P152">
            <v>100</v>
          </cell>
          <cell r="Q152">
            <v>100</v>
          </cell>
          <cell r="R152" t="str">
            <v>-</v>
          </cell>
          <cell r="S152">
            <v>100</v>
          </cell>
          <cell r="T152">
            <v>100</v>
          </cell>
          <cell r="U152" t="str">
            <v>-</v>
          </cell>
          <cell r="V152">
            <v>100</v>
          </cell>
          <cell r="W152">
            <v>100</v>
          </cell>
          <cell r="X152" t="str">
            <v>-</v>
          </cell>
          <cell r="Y152">
            <v>1</v>
          </cell>
          <cell r="Z152">
            <v>1</v>
          </cell>
          <cell r="AA152">
            <v>100</v>
          </cell>
          <cell r="AB152">
            <v>100</v>
          </cell>
          <cell r="AC152">
            <v>100</v>
          </cell>
          <cell r="AD152" t="str">
            <v>-</v>
          </cell>
          <cell r="AE152">
            <v>100</v>
          </cell>
          <cell r="AF152">
            <v>100</v>
          </cell>
          <cell r="AG152" t="str">
            <v>-</v>
          </cell>
          <cell r="AH152">
            <v>100</v>
          </cell>
          <cell r="AI152">
            <v>100</v>
          </cell>
          <cell r="AJ152" t="str">
            <v>-</v>
          </cell>
          <cell r="AK152">
            <v>100</v>
          </cell>
          <cell r="AL152">
            <v>100</v>
          </cell>
          <cell r="AM152" t="str">
            <v>-</v>
          </cell>
          <cell r="AN152">
            <v>100</v>
          </cell>
          <cell r="AO152">
            <v>100</v>
          </cell>
          <cell r="AP152" t="str">
            <v>-</v>
          </cell>
          <cell r="AQ152">
            <v>100</v>
          </cell>
          <cell r="AR152">
            <v>100</v>
          </cell>
          <cell r="AS152" t="str">
            <v>-</v>
          </cell>
          <cell r="AT152">
            <v>100</v>
          </cell>
          <cell r="AU152">
            <v>100</v>
          </cell>
          <cell r="AV152" t="str">
            <v>-</v>
          </cell>
          <cell r="AW152">
            <v>100</v>
          </cell>
          <cell r="AX152">
            <v>100</v>
          </cell>
          <cell r="AY152" t="str">
            <v>-</v>
          </cell>
          <cell r="AZ152">
            <v>100</v>
          </cell>
          <cell r="BA152">
            <v>100</v>
          </cell>
          <cell r="BB152" t="str">
            <v>-</v>
          </cell>
          <cell r="BC152">
            <v>100</v>
          </cell>
          <cell r="BD152">
            <v>100</v>
          </cell>
          <cell r="BE152" t="str">
            <v>-</v>
          </cell>
          <cell r="BF152">
            <v>1</v>
          </cell>
          <cell r="BG152">
            <v>1</v>
          </cell>
          <cell r="BH152">
            <v>100</v>
          </cell>
          <cell r="BI152">
            <v>100</v>
          </cell>
          <cell r="BJ152">
            <v>100</v>
          </cell>
          <cell r="BK152" t="str">
            <v>-</v>
          </cell>
          <cell r="BL152">
            <v>100</v>
          </cell>
          <cell r="BM152">
            <v>100</v>
          </cell>
          <cell r="BN152" t="str">
            <v>-</v>
          </cell>
          <cell r="BO152">
            <v>100</v>
          </cell>
          <cell r="BP152">
            <v>100</v>
          </cell>
          <cell r="BQ152" t="str">
            <v>-</v>
          </cell>
          <cell r="BR152">
            <v>100</v>
          </cell>
          <cell r="BS152">
            <v>100</v>
          </cell>
          <cell r="BT152" t="str">
            <v>-</v>
          </cell>
          <cell r="BU152">
            <v>100</v>
          </cell>
          <cell r="BV152">
            <v>100</v>
          </cell>
          <cell r="BW152" t="str">
            <v>-</v>
          </cell>
          <cell r="BX152">
            <v>248</v>
          </cell>
          <cell r="BY152">
            <v>24</v>
          </cell>
          <cell r="BZ152">
            <v>91.2</v>
          </cell>
          <cell r="CA152">
            <v>181</v>
          </cell>
          <cell r="CB152">
            <v>23</v>
          </cell>
          <cell r="CC152">
            <v>88.7</v>
          </cell>
          <cell r="CD152">
            <v>258</v>
          </cell>
          <cell r="CE152">
            <v>44</v>
          </cell>
          <cell r="CF152">
            <v>85.4</v>
          </cell>
          <cell r="CG152">
            <v>276</v>
          </cell>
          <cell r="CH152">
            <v>64</v>
          </cell>
          <cell r="CI152">
            <v>81.2</v>
          </cell>
          <cell r="CJ152">
            <v>225</v>
          </cell>
          <cell r="CK152">
            <v>89</v>
          </cell>
          <cell r="CL152">
            <v>71.7</v>
          </cell>
          <cell r="CM152">
            <v>232</v>
          </cell>
          <cell r="CN152">
            <v>60</v>
          </cell>
          <cell r="CO152">
            <v>79.5</v>
          </cell>
          <cell r="CP152">
            <v>182</v>
          </cell>
          <cell r="CQ152">
            <v>41</v>
          </cell>
          <cell r="CR152">
            <v>81.599999999999994</v>
          </cell>
          <cell r="CS152">
            <v>130</v>
          </cell>
          <cell r="CT152">
            <v>42</v>
          </cell>
          <cell r="CU152">
            <v>75.599999999999994</v>
          </cell>
          <cell r="CV152">
            <v>131</v>
          </cell>
          <cell r="CW152">
            <v>20</v>
          </cell>
          <cell r="CX152">
            <v>86.8</v>
          </cell>
          <cell r="CY152">
            <v>92</v>
          </cell>
          <cell r="CZ152">
            <v>17</v>
          </cell>
          <cell r="DA152">
            <v>84.4</v>
          </cell>
          <cell r="DB152">
            <v>169</v>
          </cell>
          <cell r="DC152">
            <v>35</v>
          </cell>
          <cell r="DD152">
            <v>82.8</v>
          </cell>
          <cell r="DE152">
            <v>198</v>
          </cell>
          <cell r="DF152">
            <v>51</v>
          </cell>
          <cell r="DG152">
            <v>79.5</v>
          </cell>
          <cell r="DH152">
            <v>175</v>
          </cell>
          <cell r="DI152">
            <v>81</v>
          </cell>
          <cell r="DJ152">
            <v>68.400000000000006</v>
          </cell>
          <cell r="DK152">
            <v>152</v>
          </cell>
          <cell r="DL152">
            <v>56</v>
          </cell>
          <cell r="DM152">
            <v>73.099999999999994</v>
          </cell>
          <cell r="DN152">
            <v>132</v>
          </cell>
          <cell r="DO152">
            <v>32</v>
          </cell>
          <cell r="DP152">
            <v>80.5</v>
          </cell>
          <cell r="DQ152">
            <v>92</v>
          </cell>
          <cell r="DR152">
            <v>37</v>
          </cell>
          <cell r="DS152">
            <v>71.3</v>
          </cell>
          <cell r="DT152">
            <v>71.29998779296875</v>
          </cell>
          <cell r="DU152">
            <v>71.29998779296875</v>
          </cell>
          <cell r="DV152" t="str">
            <v>-</v>
          </cell>
          <cell r="DW152">
            <v>71.29998779296875</v>
          </cell>
          <cell r="DX152">
            <v>71.29998779296875</v>
          </cell>
          <cell r="DY152" t="str">
            <v>-</v>
          </cell>
          <cell r="DZ152">
            <v>71.29998779296875</v>
          </cell>
          <cell r="EA152">
            <v>71.29998779296875</v>
          </cell>
          <cell r="EB152" t="str">
            <v>-</v>
          </cell>
          <cell r="EC152">
            <v>71.29998779296875</v>
          </cell>
          <cell r="ED152">
            <v>71.29998779296875</v>
          </cell>
          <cell r="EE152" t="str">
            <v>-</v>
          </cell>
          <cell r="EF152">
            <v>71.29998779296875</v>
          </cell>
          <cell r="EG152">
            <v>71.29998779296875</v>
          </cell>
          <cell r="EH152" t="str">
            <v>-</v>
          </cell>
          <cell r="EI152">
            <v>71.29998779296875</v>
          </cell>
          <cell r="EJ152">
            <v>71.29998779296875</v>
          </cell>
          <cell r="EK152" t="str">
            <v>-</v>
          </cell>
          <cell r="EL152">
            <v>71.29998779296875</v>
          </cell>
          <cell r="EM152">
            <v>71.29998779296875</v>
          </cell>
          <cell r="EN152" t="str">
            <v>-</v>
          </cell>
          <cell r="EO152">
            <v>71.29998779296875</v>
          </cell>
          <cell r="EP152">
            <v>71.29998779296875</v>
          </cell>
          <cell r="EQ152" t="str">
            <v>-</v>
          </cell>
          <cell r="ER152">
            <v>20</v>
          </cell>
          <cell r="ES152">
            <v>1</v>
          </cell>
          <cell r="ET152">
            <v>95.2</v>
          </cell>
          <cell r="EU152">
            <v>23</v>
          </cell>
          <cell r="EV152">
            <v>2</v>
          </cell>
          <cell r="EW152">
            <v>92</v>
          </cell>
          <cell r="EX152">
            <v>17</v>
          </cell>
          <cell r="EY152">
            <v>17</v>
          </cell>
          <cell r="EZ152">
            <v>50</v>
          </cell>
          <cell r="FA152">
            <v>11</v>
          </cell>
          <cell r="FB152">
            <v>15</v>
          </cell>
          <cell r="FC152">
            <v>42.3</v>
          </cell>
          <cell r="FD152">
            <v>14</v>
          </cell>
          <cell r="FE152">
            <v>6</v>
          </cell>
          <cell r="FF152">
            <v>70</v>
          </cell>
          <cell r="FG152">
            <v>16</v>
          </cell>
          <cell r="FH152">
            <v>5</v>
          </cell>
          <cell r="FI152">
            <v>76.2</v>
          </cell>
          <cell r="FJ152">
            <v>9</v>
          </cell>
          <cell r="FK152">
            <v>4</v>
          </cell>
          <cell r="FL152">
            <v>69.2</v>
          </cell>
          <cell r="FM152">
            <v>6</v>
          </cell>
          <cell r="FN152">
            <v>1</v>
          </cell>
          <cell r="FO152">
            <v>85.7</v>
          </cell>
          <cell r="FP152">
            <v>85.699951171875</v>
          </cell>
          <cell r="FQ152">
            <v>85.699951171875</v>
          </cell>
          <cell r="FR152" t="str">
            <v>-</v>
          </cell>
          <cell r="FS152">
            <v>85.699951171875</v>
          </cell>
          <cell r="FT152">
            <v>85.699951171875</v>
          </cell>
          <cell r="FU152" t="str">
            <v>-</v>
          </cell>
          <cell r="FV152">
            <v>85.699951171875</v>
          </cell>
          <cell r="FW152">
            <v>85.699951171875</v>
          </cell>
          <cell r="FX152" t="str">
            <v>-</v>
          </cell>
          <cell r="FY152">
            <v>85.699951171875</v>
          </cell>
          <cell r="FZ152">
            <v>85.699951171875</v>
          </cell>
          <cell r="GA152" t="str">
            <v>-</v>
          </cell>
          <cell r="GB152">
            <v>85.699951171875</v>
          </cell>
          <cell r="GC152">
            <v>85.699951171875</v>
          </cell>
          <cell r="GD152" t="str">
            <v>-</v>
          </cell>
          <cell r="GE152">
            <v>85.699951171875</v>
          </cell>
          <cell r="GF152">
            <v>85.699951171875</v>
          </cell>
          <cell r="GG152" t="str">
            <v>-</v>
          </cell>
          <cell r="GH152">
            <v>85.699951171875</v>
          </cell>
          <cell r="GI152">
            <v>85.699951171875</v>
          </cell>
          <cell r="GJ152" t="str">
            <v>-</v>
          </cell>
          <cell r="GK152">
            <v>85.699951171875</v>
          </cell>
          <cell r="GL152">
            <v>85.699951171875</v>
          </cell>
          <cell r="GM152" t="str">
            <v>-</v>
          </cell>
          <cell r="GN152">
            <v>175</v>
          </cell>
          <cell r="GO152">
            <v>20</v>
          </cell>
          <cell r="GP152">
            <v>89.7</v>
          </cell>
          <cell r="GQ152">
            <v>168</v>
          </cell>
          <cell r="GR152">
            <v>21</v>
          </cell>
          <cell r="GS152">
            <v>88.9</v>
          </cell>
          <cell r="GT152">
            <v>186</v>
          </cell>
          <cell r="GU152">
            <v>35</v>
          </cell>
          <cell r="GV152">
            <v>84.2</v>
          </cell>
          <cell r="GW152">
            <v>160</v>
          </cell>
          <cell r="GX152">
            <v>32</v>
          </cell>
          <cell r="GY152">
            <v>83.3</v>
          </cell>
          <cell r="GZ152">
            <v>151</v>
          </cell>
          <cell r="HA152">
            <v>35</v>
          </cell>
          <cell r="HB152">
            <v>81.2</v>
          </cell>
          <cell r="HC152">
            <v>154</v>
          </cell>
          <cell r="HD152">
            <v>38</v>
          </cell>
          <cell r="HE152">
            <v>80.2</v>
          </cell>
          <cell r="HF152">
            <v>109</v>
          </cell>
          <cell r="HG152">
            <v>22</v>
          </cell>
          <cell r="HH152">
            <v>83.2</v>
          </cell>
          <cell r="HI152">
            <v>75</v>
          </cell>
          <cell r="HJ152">
            <v>10</v>
          </cell>
          <cell r="HK152">
            <v>88.2</v>
          </cell>
          <cell r="HL152">
            <v>7</v>
          </cell>
          <cell r="HM152">
            <v>7</v>
          </cell>
          <cell r="HN152">
            <v>50</v>
          </cell>
          <cell r="HO152">
            <v>7</v>
          </cell>
          <cell r="HP152">
            <v>10</v>
          </cell>
          <cell r="HQ152">
            <v>41.2</v>
          </cell>
          <cell r="HR152">
            <v>11</v>
          </cell>
          <cell r="HS152">
            <v>7</v>
          </cell>
          <cell r="HT152">
            <v>61.1</v>
          </cell>
          <cell r="HU152">
            <v>7</v>
          </cell>
          <cell r="HV152">
            <v>7</v>
          </cell>
          <cell r="HW152">
            <v>50</v>
          </cell>
          <cell r="HX152">
            <v>12</v>
          </cell>
          <cell r="HY152">
            <v>5</v>
          </cell>
          <cell r="HZ152">
            <v>70.599999999999994</v>
          </cell>
          <cell r="IA152">
            <v>10</v>
          </cell>
          <cell r="IB152">
            <v>4</v>
          </cell>
          <cell r="IC152">
            <v>71.400000000000006</v>
          </cell>
          <cell r="ID152">
            <v>2</v>
          </cell>
          <cell r="IE152">
            <v>2</v>
          </cell>
          <cell r="IF152">
            <v>100</v>
          </cell>
          <cell r="IG152">
            <v>3</v>
          </cell>
          <cell r="IH152">
            <v>3</v>
          </cell>
          <cell r="II152">
            <v>100</v>
          </cell>
          <cell r="IJ152">
            <v>13</v>
          </cell>
          <cell r="IK152">
            <v>1</v>
          </cell>
          <cell r="IL152">
            <v>92.9</v>
          </cell>
          <cell r="IM152">
            <v>3</v>
          </cell>
          <cell r="IN152">
            <v>3</v>
          </cell>
          <cell r="IO152">
            <v>100</v>
          </cell>
          <cell r="IP152">
            <v>1</v>
          </cell>
          <cell r="IQ152">
            <v>1</v>
          </cell>
          <cell r="IR152">
            <v>50</v>
          </cell>
          <cell r="IS152">
            <v>2</v>
          </cell>
          <cell r="IT152">
            <v>2</v>
          </cell>
          <cell r="IU152">
            <v>100</v>
          </cell>
          <cell r="IV152">
            <v>3</v>
          </cell>
          <cell r="IW152">
            <v>3</v>
          </cell>
          <cell r="IX152">
            <v>100</v>
          </cell>
          <cell r="IY152">
            <v>2</v>
          </cell>
          <cell r="IZ152">
            <v>1</v>
          </cell>
          <cell r="JA152">
            <v>66.7</v>
          </cell>
          <cell r="JB152">
            <v>3</v>
          </cell>
          <cell r="JC152">
            <v>3</v>
          </cell>
          <cell r="JD152">
            <v>100</v>
          </cell>
          <cell r="JE152">
            <v>1</v>
          </cell>
          <cell r="JF152">
            <v>1</v>
          </cell>
          <cell r="JG152">
            <v>50</v>
          </cell>
          <cell r="JH152">
            <v>1</v>
          </cell>
          <cell r="JI152">
            <v>0</v>
          </cell>
          <cell r="JJ152">
            <v>100</v>
          </cell>
          <cell r="JK152">
            <v>0</v>
          </cell>
          <cell r="JL152">
            <v>0</v>
          </cell>
          <cell r="JM152" t="str">
            <v>-</v>
          </cell>
          <cell r="JN152">
            <v>0</v>
          </cell>
          <cell r="JO152">
            <v>0</v>
          </cell>
          <cell r="JP152" t="str">
            <v>-</v>
          </cell>
          <cell r="JQ152">
            <v>1045</v>
          </cell>
          <cell r="JR152">
            <v>296</v>
          </cell>
          <cell r="JS152">
            <v>77.926920208799402</v>
          </cell>
          <cell r="JT152">
            <v>749</v>
          </cell>
          <cell r="JU152">
            <v>257</v>
          </cell>
          <cell r="JV152">
            <v>74.453280318091458</v>
          </cell>
          <cell r="JW152">
            <v>0</v>
          </cell>
          <cell r="JX152">
            <v>0</v>
          </cell>
          <cell r="JY152" t="str">
            <v>-</v>
          </cell>
          <cell r="JZ152">
            <v>56</v>
          </cell>
          <cell r="KA152">
            <v>31</v>
          </cell>
          <cell r="KB152">
            <v>64.367816091954026</v>
          </cell>
          <cell r="KC152">
            <v>0</v>
          </cell>
          <cell r="KD152">
            <v>0</v>
          </cell>
          <cell r="KE152" t="str">
            <v>-</v>
          </cell>
          <cell r="KF152">
            <v>649</v>
          </cell>
          <cell r="KG152">
            <v>137</v>
          </cell>
          <cell r="KH152">
            <v>82.569974554707386</v>
          </cell>
          <cell r="KI152">
            <v>34</v>
          </cell>
          <cell r="KJ152">
            <v>16</v>
          </cell>
          <cell r="KK152">
            <v>68</v>
          </cell>
          <cell r="KL152">
            <v>11</v>
          </cell>
          <cell r="KM152">
            <v>2</v>
          </cell>
          <cell r="KN152">
            <v>84.615384615384613</v>
          </cell>
        </row>
        <row r="153">
          <cell r="C153" t="str">
            <v>Tiszavasvári Rendőrkapitányság</v>
          </cell>
          <cell r="D153">
            <v>84.6153564453125</v>
          </cell>
          <cell r="E153">
            <v>84.6153564453125</v>
          </cell>
          <cell r="F153" t="str">
            <v>-</v>
          </cell>
          <cell r="G153">
            <v>84.6153564453125</v>
          </cell>
          <cell r="H153">
            <v>84.6153564453125</v>
          </cell>
          <cell r="I153" t="str">
            <v>-</v>
          </cell>
          <cell r="J153">
            <v>84.6153564453125</v>
          </cell>
          <cell r="K153">
            <v>84.6153564453125</v>
          </cell>
          <cell r="L153" t="str">
            <v>-</v>
          </cell>
          <cell r="M153">
            <v>84.6153564453125</v>
          </cell>
          <cell r="N153">
            <v>84.6153564453125</v>
          </cell>
          <cell r="O153" t="str">
            <v>-</v>
          </cell>
          <cell r="P153">
            <v>84.6153564453125</v>
          </cell>
          <cell r="Q153">
            <v>84.6153564453125</v>
          </cell>
          <cell r="R153" t="str">
            <v>-</v>
          </cell>
          <cell r="S153">
            <v>84.6153564453125</v>
          </cell>
          <cell r="T153">
            <v>84.6153564453125</v>
          </cell>
          <cell r="U153" t="str">
            <v>-</v>
          </cell>
          <cell r="V153">
            <v>84.6153564453125</v>
          </cell>
          <cell r="W153">
            <v>84.6153564453125</v>
          </cell>
          <cell r="X153" t="str">
            <v>-</v>
          </cell>
          <cell r="Y153">
            <v>84.6153564453125</v>
          </cell>
          <cell r="Z153">
            <v>84.6153564453125</v>
          </cell>
          <cell r="AA153" t="str">
            <v>-</v>
          </cell>
          <cell r="AB153">
            <v>84.6153564453125</v>
          </cell>
          <cell r="AC153">
            <v>84.6153564453125</v>
          </cell>
          <cell r="AD153" t="str">
            <v>-</v>
          </cell>
          <cell r="AE153">
            <v>84.6153564453125</v>
          </cell>
          <cell r="AF153">
            <v>84.6153564453125</v>
          </cell>
          <cell r="AG153" t="str">
            <v>-</v>
          </cell>
          <cell r="AH153">
            <v>84.6153564453125</v>
          </cell>
          <cell r="AI153">
            <v>84.6153564453125</v>
          </cell>
          <cell r="AJ153" t="str">
            <v>-</v>
          </cell>
          <cell r="AK153">
            <v>84.6153564453125</v>
          </cell>
          <cell r="AL153">
            <v>84.6153564453125</v>
          </cell>
          <cell r="AM153" t="str">
            <v>-</v>
          </cell>
          <cell r="AN153">
            <v>84.6153564453125</v>
          </cell>
          <cell r="AO153">
            <v>84.6153564453125</v>
          </cell>
          <cell r="AP153" t="str">
            <v>-</v>
          </cell>
          <cell r="AQ153">
            <v>84.6153564453125</v>
          </cell>
          <cell r="AR153">
            <v>84.6153564453125</v>
          </cell>
          <cell r="AS153" t="str">
            <v>-</v>
          </cell>
          <cell r="AT153">
            <v>84.6153564453125</v>
          </cell>
          <cell r="AU153">
            <v>84.6153564453125</v>
          </cell>
          <cell r="AV153" t="str">
            <v>-</v>
          </cell>
          <cell r="AW153">
            <v>84.6153564453125</v>
          </cell>
          <cell r="AX153">
            <v>84.6153564453125</v>
          </cell>
          <cell r="AY153" t="str">
            <v>-</v>
          </cell>
          <cell r="AZ153">
            <v>84.6153564453125</v>
          </cell>
          <cell r="BA153">
            <v>84.6153564453125</v>
          </cell>
          <cell r="BB153" t="str">
            <v>-</v>
          </cell>
          <cell r="BC153">
            <v>84.6153564453125</v>
          </cell>
          <cell r="BD153">
            <v>84.6153564453125</v>
          </cell>
          <cell r="BE153" t="str">
            <v>-</v>
          </cell>
          <cell r="BF153">
            <v>84.6153564453125</v>
          </cell>
          <cell r="BG153">
            <v>84.6153564453125</v>
          </cell>
          <cell r="BH153" t="str">
            <v>-</v>
          </cell>
          <cell r="BI153">
            <v>84.6153564453125</v>
          </cell>
          <cell r="BJ153">
            <v>84.6153564453125</v>
          </cell>
          <cell r="BK153" t="str">
            <v>-</v>
          </cell>
          <cell r="BL153">
            <v>84.6153564453125</v>
          </cell>
          <cell r="BM153">
            <v>84.6153564453125</v>
          </cell>
          <cell r="BN153" t="str">
            <v>-</v>
          </cell>
          <cell r="BO153">
            <v>84.6153564453125</v>
          </cell>
          <cell r="BP153">
            <v>84.6153564453125</v>
          </cell>
          <cell r="BQ153" t="str">
            <v>-</v>
          </cell>
          <cell r="BR153">
            <v>84.6153564453125</v>
          </cell>
          <cell r="BS153">
            <v>84.6153564453125</v>
          </cell>
          <cell r="BT153" t="str">
            <v>-</v>
          </cell>
          <cell r="BU153">
            <v>84.6153564453125</v>
          </cell>
          <cell r="BV153">
            <v>84.6153564453125</v>
          </cell>
          <cell r="BW153" t="str">
            <v>-</v>
          </cell>
          <cell r="BX153">
            <v>61</v>
          </cell>
          <cell r="BY153">
            <v>4</v>
          </cell>
          <cell r="BZ153">
            <v>93.8</v>
          </cell>
          <cell r="CA153">
            <v>48</v>
          </cell>
          <cell r="CB153">
            <v>14</v>
          </cell>
          <cell r="CC153">
            <v>77.400000000000006</v>
          </cell>
          <cell r="CD153">
            <v>60</v>
          </cell>
          <cell r="CE153">
            <v>4</v>
          </cell>
          <cell r="CF153">
            <v>93.8</v>
          </cell>
          <cell r="CG153">
            <v>96</v>
          </cell>
          <cell r="CH153">
            <v>6</v>
          </cell>
          <cell r="CI153">
            <v>94.1</v>
          </cell>
          <cell r="CJ153">
            <v>49</v>
          </cell>
          <cell r="CK153">
            <v>12</v>
          </cell>
          <cell r="CL153">
            <v>80.3</v>
          </cell>
          <cell r="CM153">
            <v>52</v>
          </cell>
          <cell r="CN153">
            <v>10</v>
          </cell>
          <cell r="CO153">
            <v>83.9</v>
          </cell>
          <cell r="CP153">
            <v>60</v>
          </cell>
          <cell r="CQ153">
            <v>16</v>
          </cell>
          <cell r="CR153">
            <v>78.900000000000006</v>
          </cell>
          <cell r="CS153">
            <v>49</v>
          </cell>
          <cell r="CT153">
            <v>13</v>
          </cell>
          <cell r="CU153">
            <v>79</v>
          </cell>
          <cell r="CV153">
            <v>38</v>
          </cell>
          <cell r="CW153">
            <v>4</v>
          </cell>
          <cell r="CX153">
            <v>90.5</v>
          </cell>
          <cell r="CY153">
            <v>35</v>
          </cell>
          <cell r="CZ153">
            <v>9</v>
          </cell>
          <cell r="DA153">
            <v>79.5</v>
          </cell>
          <cell r="DB153">
            <v>38</v>
          </cell>
          <cell r="DC153">
            <v>3</v>
          </cell>
          <cell r="DD153">
            <v>92.7</v>
          </cell>
          <cell r="DE153">
            <v>67</v>
          </cell>
          <cell r="DF153">
            <v>5</v>
          </cell>
          <cell r="DG153">
            <v>93.1</v>
          </cell>
          <cell r="DH153">
            <v>38</v>
          </cell>
          <cell r="DI153">
            <v>7</v>
          </cell>
          <cell r="DJ153">
            <v>84.4</v>
          </cell>
          <cell r="DK153">
            <v>32</v>
          </cell>
          <cell r="DL153">
            <v>9</v>
          </cell>
          <cell r="DM153">
            <v>78</v>
          </cell>
          <cell r="DN153">
            <v>41</v>
          </cell>
          <cell r="DO153">
            <v>15</v>
          </cell>
          <cell r="DP153">
            <v>73.2</v>
          </cell>
          <cell r="DQ153">
            <v>36</v>
          </cell>
          <cell r="DR153">
            <v>12</v>
          </cell>
          <cell r="DS153">
            <v>75</v>
          </cell>
          <cell r="DT153">
            <v>75</v>
          </cell>
          <cell r="DU153">
            <v>75</v>
          </cell>
          <cell r="DV153" t="str">
            <v>-</v>
          </cell>
          <cell r="DW153">
            <v>75</v>
          </cell>
          <cell r="DX153">
            <v>75</v>
          </cell>
          <cell r="DY153" t="str">
            <v>-</v>
          </cell>
          <cell r="DZ153">
            <v>75</v>
          </cell>
          <cell r="EA153">
            <v>75</v>
          </cell>
          <cell r="EB153" t="str">
            <v>-</v>
          </cell>
          <cell r="EC153">
            <v>75</v>
          </cell>
          <cell r="ED153">
            <v>75</v>
          </cell>
          <cell r="EE153" t="str">
            <v>-</v>
          </cell>
          <cell r="EF153">
            <v>75</v>
          </cell>
          <cell r="EG153">
            <v>75</v>
          </cell>
          <cell r="EH153" t="str">
            <v>-</v>
          </cell>
          <cell r="EI153">
            <v>75</v>
          </cell>
          <cell r="EJ153">
            <v>75</v>
          </cell>
          <cell r="EK153" t="str">
            <v>-</v>
          </cell>
          <cell r="EL153">
            <v>75</v>
          </cell>
          <cell r="EM153">
            <v>75</v>
          </cell>
          <cell r="EN153" t="str">
            <v>-</v>
          </cell>
          <cell r="EO153">
            <v>75</v>
          </cell>
          <cell r="EP153">
            <v>75</v>
          </cell>
          <cell r="EQ153" t="str">
            <v>-</v>
          </cell>
          <cell r="ER153">
            <v>12</v>
          </cell>
          <cell r="ES153">
            <v>1</v>
          </cell>
          <cell r="ET153">
            <v>92.3</v>
          </cell>
          <cell r="EU153">
            <v>9</v>
          </cell>
          <cell r="EV153">
            <v>2</v>
          </cell>
          <cell r="EW153">
            <v>81.8</v>
          </cell>
          <cell r="EX153">
            <v>12</v>
          </cell>
          <cell r="EY153">
            <v>2</v>
          </cell>
          <cell r="EZ153">
            <v>85.7</v>
          </cell>
          <cell r="FA153">
            <v>13</v>
          </cell>
          <cell r="FB153">
            <v>2</v>
          </cell>
          <cell r="FC153">
            <v>86.7</v>
          </cell>
          <cell r="FD153">
            <v>14</v>
          </cell>
          <cell r="FE153">
            <v>2</v>
          </cell>
          <cell r="FF153">
            <v>87.5</v>
          </cell>
          <cell r="FG153">
            <v>26</v>
          </cell>
          <cell r="FH153">
            <v>3</v>
          </cell>
          <cell r="FI153">
            <v>89.7</v>
          </cell>
          <cell r="FJ153">
            <v>36</v>
          </cell>
          <cell r="FK153">
            <v>6</v>
          </cell>
          <cell r="FL153">
            <v>85.7</v>
          </cell>
          <cell r="FM153">
            <v>7</v>
          </cell>
          <cell r="FN153">
            <v>1</v>
          </cell>
          <cell r="FO153">
            <v>87.5</v>
          </cell>
          <cell r="FP153">
            <v>87.5</v>
          </cell>
          <cell r="FQ153">
            <v>87.5</v>
          </cell>
          <cell r="FR153" t="str">
            <v>-</v>
          </cell>
          <cell r="FS153">
            <v>87.5</v>
          </cell>
          <cell r="FT153">
            <v>87.5</v>
          </cell>
          <cell r="FU153" t="str">
            <v>-</v>
          </cell>
          <cell r="FV153">
            <v>87.5</v>
          </cell>
          <cell r="FW153">
            <v>87.5</v>
          </cell>
          <cell r="FX153" t="str">
            <v>-</v>
          </cell>
          <cell r="FY153">
            <v>87.5</v>
          </cell>
          <cell r="FZ153">
            <v>87.5</v>
          </cell>
          <cell r="GA153" t="str">
            <v>-</v>
          </cell>
          <cell r="GB153">
            <v>87.5</v>
          </cell>
          <cell r="GC153">
            <v>87.5</v>
          </cell>
          <cell r="GD153" t="str">
            <v>-</v>
          </cell>
          <cell r="GE153">
            <v>87.5</v>
          </cell>
          <cell r="GF153">
            <v>87.5</v>
          </cell>
          <cell r="GG153" t="str">
            <v>-</v>
          </cell>
          <cell r="GH153">
            <v>87.5</v>
          </cell>
          <cell r="GI153">
            <v>87.5</v>
          </cell>
          <cell r="GJ153" t="str">
            <v>-</v>
          </cell>
          <cell r="GK153">
            <v>87.5</v>
          </cell>
          <cell r="GL153">
            <v>87.5</v>
          </cell>
          <cell r="GM153" t="str">
            <v>-</v>
          </cell>
          <cell r="GN153">
            <v>34</v>
          </cell>
          <cell r="GO153">
            <v>3</v>
          </cell>
          <cell r="GP153">
            <v>91.9</v>
          </cell>
          <cell r="GQ153">
            <v>30</v>
          </cell>
          <cell r="GR153">
            <v>13</v>
          </cell>
          <cell r="GS153">
            <v>69.8</v>
          </cell>
          <cell r="GT153">
            <v>41</v>
          </cell>
          <cell r="GU153">
            <v>3</v>
          </cell>
          <cell r="GV153">
            <v>93.2</v>
          </cell>
          <cell r="GW153">
            <v>62</v>
          </cell>
          <cell r="GX153">
            <v>13</v>
          </cell>
          <cell r="GY153">
            <v>82.7</v>
          </cell>
          <cell r="GZ153">
            <v>37</v>
          </cell>
          <cell r="HA153">
            <v>15</v>
          </cell>
          <cell r="HB153">
            <v>71.2</v>
          </cell>
          <cell r="HC153">
            <v>34</v>
          </cell>
          <cell r="HD153">
            <v>4</v>
          </cell>
          <cell r="HE153">
            <v>89.5</v>
          </cell>
          <cell r="HF153">
            <v>30</v>
          </cell>
          <cell r="HG153">
            <v>4</v>
          </cell>
          <cell r="HH153">
            <v>88.2</v>
          </cell>
          <cell r="HI153">
            <v>33</v>
          </cell>
          <cell r="HJ153">
            <v>5</v>
          </cell>
          <cell r="HK153">
            <v>86.8</v>
          </cell>
          <cell r="HL153">
            <v>8</v>
          </cell>
          <cell r="HM153">
            <v>1</v>
          </cell>
          <cell r="HN153">
            <v>88.9</v>
          </cell>
          <cell r="HO153">
            <v>1</v>
          </cell>
          <cell r="HP153">
            <v>2</v>
          </cell>
          <cell r="HQ153">
            <v>33.299999999999997</v>
          </cell>
          <cell r="HR153">
            <v>33.29998779296875</v>
          </cell>
          <cell r="HS153">
            <v>2</v>
          </cell>
          <cell r="HT153">
            <v>0</v>
          </cell>
          <cell r="HU153">
            <v>4</v>
          </cell>
          <cell r="HV153">
            <v>4</v>
          </cell>
          <cell r="HW153">
            <v>100</v>
          </cell>
          <cell r="HX153">
            <v>2</v>
          </cell>
          <cell r="HY153">
            <v>1</v>
          </cell>
          <cell r="HZ153">
            <v>66.7</v>
          </cell>
          <cell r="IA153">
            <v>1</v>
          </cell>
          <cell r="IB153">
            <v>1</v>
          </cell>
          <cell r="IC153">
            <v>50</v>
          </cell>
          <cell r="ID153">
            <v>1</v>
          </cell>
          <cell r="IE153">
            <v>1</v>
          </cell>
          <cell r="IF153">
            <v>50</v>
          </cell>
          <cell r="IG153">
            <v>3</v>
          </cell>
          <cell r="IH153">
            <v>1</v>
          </cell>
          <cell r="II153">
            <v>75</v>
          </cell>
          <cell r="IJ153">
            <v>75</v>
          </cell>
          <cell r="IK153">
            <v>75</v>
          </cell>
          <cell r="IL153" t="str">
            <v>-</v>
          </cell>
          <cell r="IM153">
            <v>75</v>
          </cell>
          <cell r="IN153">
            <v>75</v>
          </cell>
          <cell r="IO153" t="str">
            <v>-</v>
          </cell>
          <cell r="IP153">
            <v>75</v>
          </cell>
          <cell r="IQ153">
            <v>75</v>
          </cell>
          <cell r="IR153" t="str">
            <v>-</v>
          </cell>
          <cell r="IS153">
            <v>75</v>
          </cell>
          <cell r="IT153">
            <v>75</v>
          </cell>
          <cell r="IU153" t="str">
            <v>-</v>
          </cell>
          <cell r="IV153">
            <v>1</v>
          </cell>
          <cell r="IW153">
            <v>1</v>
          </cell>
          <cell r="IX153">
            <v>50</v>
          </cell>
          <cell r="IY153">
            <v>1</v>
          </cell>
          <cell r="IZ153">
            <v>2</v>
          </cell>
          <cell r="JA153">
            <v>33.299999999999997</v>
          </cell>
          <cell r="JB153">
            <v>3</v>
          </cell>
          <cell r="JC153">
            <v>1</v>
          </cell>
          <cell r="JD153">
            <v>75</v>
          </cell>
          <cell r="JE153">
            <v>75</v>
          </cell>
          <cell r="JF153">
            <v>3</v>
          </cell>
          <cell r="JG153">
            <v>0</v>
          </cell>
          <cell r="JH153">
            <v>0</v>
          </cell>
          <cell r="JI153">
            <v>0</v>
          </cell>
          <cell r="JJ153" t="str">
            <v>-</v>
          </cell>
          <cell r="JK153">
            <v>0</v>
          </cell>
          <cell r="JL153">
            <v>0</v>
          </cell>
          <cell r="JM153" t="str">
            <v>-</v>
          </cell>
          <cell r="JN153">
            <v>0</v>
          </cell>
          <cell r="JO153">
            <v>0</v>
          </cell>
          <cell r="JP153" t="str">
            <v>-</v>
          </cell>
          <cell r="JQ153">
            <v>306</v>
          </cell>
          <cell r="JR153">
            <v>57</v>
          </cell>
          <cell r="JS153">
            <v>84.297520661157023</v>
          </cell>
          <cell r="JT153">
            <v>214</v>
          </cell>
          <cell r="JU153">
            <v>48</v>
          </cell>
          <cell r="JV153">
            <v>81.679389312977108</v>
          </cell>
          <cell r="JW153">
            <v>0</v>
          </cell>
          <cell r="JX153">
            <v>0</v>
          </cell>
          <cell r="JY153" t="str">
            <v>-</v>
          </cell>
          <cell r="JZ153">
            <v>96</v>
          </cell>
          <cell r="KA153">
            <v>14</v>
          </cell>
          <cell r="KB153">
            <v>87.272727272727266</v>
          </cell>
          <cell r="KC153">
            <v>0</v>
          </cell>
          <cell r="KD153">
            <v>0</v>
          </cell>
          <cell r="KE153" t="str">
            <v>-</v>
          </cell>
          <cell r="KF153">
            <v>196</v>
          </cell>
          <cell r="KG153">
            <v>41</v>
          </cell>
          <cell r="KH153">
            <v>82.700421940928265</v>
          </cell>
          <cell r="KI153">
            <v>11</v>
          </cell>
          <cell r="KJ153">
            <v>4</v>
          </cell>
          <cell r="KK153">
            <v>73.333333333333329</v>
          </cell>
          <cell r="KL153">
            <v>5</v>
          </cell>
          <cell r="KM153">
            <v>7</v>
          </cell>
          <cell r="KN153">
            <v>41.666666666666671</v>
          </cell>
        </row>
        <row r="154">
          <cell r="C154" t="str">
            <v>Nyírbátori Rendőrkapitányság</v>
          </cell>
          <cell r="D154">
            <v>41.666656494140625</v>
          </cell>
          <cell r="E154">
            <v>41.666656494140625</v>
          </cell>
          <cell r="F154" t="str">
            <v>-</v>
          </cell>
          <cell r="G154">
            <v>41.666656494140625</v>
          </cell>
          <cell r="H154">
            <v>41.666656494140625</v>
          </cell>
          <cell r="I154" t="str">
            <v>-</v>
          </cell>
          <cell r="J154">
            <v>41.666656494140625</v>
          </cell>
          <cell r="K154">
            <v>41.666656494140625</v>
          </cell>
          <cell r="L154" t="str">
            <v>-</v>
          </cell>
          <cell r="M154">
            <v>41.666656494140625</v>
          </cell>
          <cell r="N154">
            <v>41.666656494140625</v>
          </cell>
          <cell r="O154" t="str">
            <v>-</v>
          </cell>
          <cell r="P154">
            <v>41.666656494140625</v>
          </cell>
          <cell r="Q154">
            <v>41.666656494140625</v>
          </cell>
          <cell r="R154" t="str">
            <v>-</v>
          </cell>
          <cell r="S154">
            <v>41.666656494140625</v>
          </cell>
          <cell r="T154">
            <v>41.666656494140625</v>
          </cell>
          <cell r="U154" t="str">
            <v>-</v>
          </cell>
          <cell r="V154">
            <v>41.666656494140625</v>
          </cell>
          <cell r="W154">
            <v>41.666656494140625</v>
          </cell>
          <cell r="X154" t="str">
            <v>-</v>
          </cell>
          <cell r="Y154">
            <v>41.666656494140625</v>
          </cell>
          <cell r="Z154">
            <v>41.666656494140625</v>
          </cell>
          <cell r="AA154" t="str">
            <v>-</v>
          </cell>
          <cell r="AB154">
            <v>41.666656494140625</v>
          </cell>
          <cell r="AC154">
            <v>41.666656494140625</v>
          </cell>
          <cell r="AD154" t="str">
            <v>-</v>
          </cell>
          <cell r="AE154">
            <v>41.666656494140625</v>
          </cell>
          <cell r="AF154">
            <v>41.666656494140625</v>
          </cell>
          <cell r="AG154" t="str">
            <v>-</v>
          </cell>
          <cell r="AH154">
            <v>41.666656494140625</v>
          </cell>
          <cell r="AI154">
            <v>41.666656494140625</v>
          </cell>
          <cell r="AJ154" t="str">
            <v>-</v>
          </cell>
          <cell r="AK154">
            <v>41.666656494140625</v>
          </cell>
          <cell r="AL154">
            <v>41.666656494140625</v>
          </cell>
          <cell r="AM154" t="str">
            <v>-</v>
          </cell>
          <cell r="AN154">
            <v>41.666656494140625</v>
          </cell>
          <cell r="AO154">
            <v>41.666656494140625</v>
          </cell>
          <cell r="AP154" t="str">
            <v>-</v>
          </cell>
          <cell r="AQ154">
            <v>41.666656494140625</v>
          </cell>
          <cell r="AR154">
            <v>41.666656494140625</v>
          </cell>
          <cell r="AS154" t="str">
            <v>-</v>
          </cell>
          <cell r="AT154">
            <v>41.666656494140625</v>
          </cell>
          <cell r="AU154">
            <v>41.666656494140625</v>
          </cell>
          <cell r="AV154" t="str">
            <v>-</v>
          </cell>
          <cell r="AW154">
            <v>41.666656494140625</v>
          </cell>
          <cell r="AX154">
            <v>41.666656494140625</v>
          </cell>
          <cell r="AY154" t="str">
            <v>-</v>
          </cell>
          <cell r="AZ154">
            <v>41.666656494140625</v>
          </cell>
          <cell r="BA154">
            <v>41.666656494140625</v>
          </cell>
          <cell r="BB154" t="str">
            <v>-</v>
          </cell>
          <cell r="BC154">
            <v>41.666656494140625</v>
          </cell>
          <cell r="BD154">
            <v>41.666656494140625</v>
          </cell>
          <cell r="BE154" t="str">
            <v>-</v>
          </cell>
          <cell r="BF154">
            <v>41.666656494140625</v>
          </cell>
          <cell r="BG154">
            <v>41.666656494140625</v>
          </cell>
          <cell r="BH154" t="str">
            <v>-</v>
          </cell>
          <cell r="BI154">
            <v>41.666656494140625</v>
          </cell>
          <cell r="BJ154">
            <v>41.666656494140625</v>
          </cell>
          <cell r="BK154" t="str">
            <v>-</v>
          </cell>
          <cell r="BL154">
            <v>41.666656494140625</v>
          </cell>
          <cell r="BM154">
            <v>41.666656494140625</v>
          </cell>
          <cell r="BN154" t="str">
            <v>-</v>
          </cell>
          <cell r="BO154">
            <v>41.666656494140625</v>
          </cell>
          <cell r="BP154">
            <v>41.666656494140625</v>
          </cell>
          <cell r="BQ154" t="str">
            <v>-</v>
          </cell>
          <cell r="BR154">
            <v>41.666656494140625</v>
          </cell>
          <cell r="BS154">
            <v>41.666656494140625</v>
          </cell>
          <cell r="BT154" t="str">
            <v>-</v>
          </cell>
          <cell r="BU154">
            <v>41.666656494140625</v>
          </cell>
          <cell r="BV154">
            <v>41.666656494140625</v>
          </cell>
          <cell r="BW154" t="str">
            <v>-</v>
          </cell>
          <cell r="BX154">
            <v>156</v>
          </cell>
          <cell r="BY154">
            <v>41</v>
          </cell>
          <cell r="BZ154">
            <v>79.2</v>
          </cell>
          <cell r="CA154">
            <v>114</v>
          </cell>
          <cell r="CB154">
            <v>34</v>
          </cell>
          <cell r="CC154">
            <v>77</v>
          </cell>
          <cell r="CD154">
            <v>138</v>
          </cell>
          <cell r="CE154">
            <v>49</v>
          </cell>
          <cell r="CF154">
            <v>73.8</v>
          </cell>
          <cell r="CG154">
            <v>103</v>
          </cell>
          <cell r="CH154">
            <v>33</v>
          </cell>
          <cell r="CI154">
            <v>75.7</v>
          </cell>
          <cell r="CJ154">
            <v>88</v>
          </cell>
          <cell r="CK154">
            <v>29</v>
          </cell>
          <cell r="CL154">
            <v>75.2</v>
          </cell>
          <cell r="CM154">
            <v>94</v>
          </cell>
          <cell r="CN154">
            <v>20</v>
          </cell>
          <cell r="CO154">
            <v>82.5</v>
          </cell>
          <cell r="CP154">
            <v>90</v>
          </cell>
          <cell r="CQ154">
            <v>8</v>
          </cell>
          <cell r="CR154">
            <v>91.8</v>
          </cell>
          <cell r="CS154">
            <v>67</v>
          </cell>
          <cell r="CT154">
            <v>17</v>
          </cell>
          <cell r="CU154">
            <v>79.8</v>
          </cell>
          <cell r="CV154">
            <v>90</v>
          </cell>
          <cell r="CW154">
            <v>30</v>
          </cell>
          <cell r="CX154">
            <v>75</v>
          </cell>
          <cell r="CY154">
            <v>85</v>
          </cell>
          <cell r="CZ154">
            <v>22</v>
          </cell>
          <cell r="DA154">
            <v>79.400000000000006</v>
          </cell>
          <cell r="DB154">
            <v>101</v>
          </cell>
          <cell r="DC154">
            <v>36</v>
          </cell>
          <cell r="DD154">
            <v>73.7</v>
          </cell>
          <cell r="DE154">
            <v>68</v>
          </cell>
          <cell r="DF154">
            <v>23</v>
          </cell>
          <cell r="DG154">
            <v>74.7</v>
          </cell>
          <cell r="DH154">
            <v>63</v>
          </cell>
          <cell r="DI154">
            <v>21</v>
          </cell>
          <cell r="DJ154">
            <v>75</v>
          </cell>
          <cell r="DK154">
            <v>72</v>
          </cell>
          <cell r="DL154">
            <v>19</v>
          </cell>
          <cell r="DM154">
            <v>79.099999999999994</v>
          </cell>
          <cell r="DN154">
            <v>71</v>
          </cell>
          <cell r="DO154">
            <v>7</v>
          </cell>
          <cell r="DP154">
            <v>91</v>
          </cell>
          <cell r="DQ154">
            <v>51</v>
          </cell>
          <cell r="DR154">
            <v>14</v>
          </cell>
          <cell r="DS154">
            <v>78.5</v>
          </cell>
          <cell r="DT154">
            <v>78.5</v>
          </cell>
          <cell r="DU154">
            <v>78.5</v>
          </cell>
          <cell r="DV154" t="str">
            <v>-</v>
          </cell>
          <cell r="DW154">
            <v>78.5</v>
          </cell>
          <cell r="DX154">
            <v>78.5</v>
          </cell>
          <cell r="DY154" t="str">
            <v>-</v>
          </cell>
          <cell r="DZ154">
            <v>78.5</v>
          </cell>
          <cell r="EA154">
            <v>78.5</v>
          </cell>
          <cell r="EB154" t="str">
            <v>-</v>
          </cell>
          <cell r="EC154">
            <v>78.5</v>
          </cell>
          <cell r="ED154">
            <v>78.5</v>
          </cell>
          <cell r="EE154" t="str">
            <v>-</v>
          </cell>
          <cell r="EF154">
            <v>78.5</v>
          </cell>
          <cell r="EG154">
            <v>78.5</v>
          </cell>
          <cell r="EH154" t="str">
            <v>-</v>
          </cell>
          <cell r="EI154">
            <v>78.5</v>
          </cell>
          <cell r="EJ154">
            <v>78.5</v>
          </cell>
          <cell r="EK154" t="str">
            <v>-</v>
          </cell>
          <cell r="EL154">
            <v>78.5</v>
          </cell>
          <cell r="EM154">
            <v>78.5</v>
          </cell>
          <cell r="EN154" t="str">
            <v>-</v>
          </cell>
          <cell r="EO154">
            <v>78.5</v>
          </cell>
          <cell r="EP154">
            <v>78.5</v>
          </cell>
          <cell r="EQ154" t="str">
            <v>-</v>
          </cell>
          <cell r="ER154">
            <v>60</v>
          </cell>
          <cell r="ES154">
            <v>8</v>
          </cell>
          <cell r="ET154">
            <v>88.2</v>
          </cell>
          <cell r="EU154">
            <v>16</v>
          </cell>
          <cell r="EV154">
            <v>7</v>
          </cell>
          <cell r="EW154">
            <v>69.599999999999994</v>
          </cell>
          <cell r="EX154">
            <v>29</v>
          </cell>
          <cell r="EY154">
            <v>9</v>
          </cell>
          <cell r="EZ154">
            <v>76.3</v>
          </cell>
          <cell r="FA154">
            <v>19</v>
          </cell>
          <cell r="FB154">
            <v>2</v>
          </cell>
          <cell r="FC154">
            <v>90.5</v>
          </cell>
          <cell r="FD154">
            <v>18</v>
          </cell>
          <cell r="FE154">
            <v>4</v>
          </cell>
          <cell r="FF154">
            <v>81.8</v>
          </cell>
          <cell r="FG154">
            <v>16</v>
          </cell>
          <cell r="FH154">
            <v>1</v>
          </cell>
          <cell r="FI154">
            <v>94.1</v>
          </cell>
          <cell r="FJ154">
            <v>13</v>
          </cell>
          <cell r="FK154">
            <v>2</v>
          </cell>
          <cell r="FL154">
            <v>86.7</v>
          </cell>
          <cell r="FM154">
            <v>4</v>
          </cell>
          <cell r="FN154">
            <v>1</v>
          </cell>
          <cell r="FO154">
            <v>80</v>
          </cell>
          <cell r="FP154">
            <v>80</v>
          </cell>
          <cell r="FQ154">
            <v>80</v>
          </cell>
          <cell r="FR154" t="str">
            <v>-</v>
          </cell>
          <cell r="FS154">
            <v>80</v>
          </cell>
          <cell r="FT154">
            <v>80</v>
          </cell>
          <cell r="FU154" t="str">
            <v>-</v>
          </cell>
          <cell r="FV154">
            <v>80</v>
          </cell>
          <cell r="FW154">
            <v>80</v>
          </cell>
          <cell r="FX154" t="str">
            <v>-</v>
          </cell>
          <cell r="FY154">
            <v>80</v>
          </cell>
          <cell r="FZ154">
            <v>80</v>
          </cell>
          <cell r="GA154" t="str">
            <v>-</v>
          </cell>
          <cell r="GB154">
            <v>80</v>
          </cell>
          <cell r="GC154">
            <v>80</v>
          </cell>
          <cell r="GD154" t="str">
            <v>-</v>
          </cell>
          <cell r="GE154">
            <v>80</v>
          </cell>
          <cell r="GF154">
            <v>80</v>
          </cell>
          <cell r="GG154" t="str">
            <v>-</v>
          </cell>
          <cell r="GH154">
            <v>80</v>
          </cell>
          <cell r="GI154">
            <v>80</v>
          </cell>
          <cell r="GJ154" t="str">
            <v>-</v>
          </cell>
          <cell r="GK154">
            <v>80</v>
          </cell>
          <cell r="GL154">
            <v>80</v>
          </cell>
          <cell r="GM154" t="str">
            <v>-</v>
          </cell>
          <cell r="GN154">
            <v>134</v>
          </cell>
          <cell r="GO154">
            <v>25</v>
          </cell>
          <cell r="GP154">
            <v>84.3</v>
          </cell>
          <cell r="GQ154">
            <v>98</v>
          </cell>
          <cell r="GR154">
            <v>27</v>
          </cell>
          <cell r="GS154">
            <v>78.400000000000006</v>
          </cell>
          <cell r="GT154">
            <v>104</v>
          </cell>
          <cell r="GU154">
            <v>38</v>
          </cell>
          <cell r="GV154">
            <v>73.2</v>
          </cell>
          <cell r="GW154">
            <v>110</v>
          </cell>
          <cell r="GX154">
            <v>32</v>
          </cell>
          <cell r="GY154">
            <v>77.5</v>
          </cell>
          <cell r="GZ154">
            <v>122</v>
          </cell>
          <cell r="HA154">
            <v>35</v>
          </cell>
          <cell r="HB154">
            <v>77.7</v>
          </cell>
          <cell r="HC154">
            <v>77</v>
          </cell>
          <cell r="HD154">
            <v>15</v>
          </cell>
          <cell r="HE154">
            <v>83.7</v>
          </cell>
          <cell r="HF154">
            <v>65</v>
          </cell>
          <cell r="HG154">
            <v>14</v>
          </cell>
          <cell r="HH154">
            <v>82.3</v>
          </cell>
          <cell r="HI154">
            <v>59</v>
          </cell>
          <cell r="HJ154">
            <v>13</v>
          </cell>
          <cell r="HK154">
            <v>81.900000000000006</v>
          </cell>
          <cell r="HL154">
            <v>7</v>
          </cell>
          <cell r="HM154">
            <v>11</v>
          </cell>
          <cell r="HN154">
            <v>38.9</v>
          </cell>
          <cell r="HO154">
            <v>8</v>
          </cell>
          <cell r="HP154">
            <v>5</v>
          </cell>
          <cell r="HQ154">
            <v>61.5</v>
          </cell>
          <cell r="HR154">
            <v>5</v>
          </cell>
          <cell r="HS154">
            <v>3</v>
          </cell>
          <cell r="HT154">
            <v>62.5</v>
          </cell>
          <cell r="HU154">
            <v>2</v>
          </cell>
          <cell r="HV154">
            <v>3</v>
          </cell>
          <cell r="HW154">
            <v>40</v>
          </cell>
          <cell r="HX154">
            <v>2</v>
          </cell>
          <cell r="HY154">
            <v>7</v>
          </cell>
          <cell r="HZ154">
            <v>22.2</v>
          </cell>
          <cell r="IA154">
            <v>4</v>
          </cell>
          <cell r="IB154">
            <v>5</v>
          </cell>
          <cell r="IC154">
            <v>44.4</v>
          </cell>
          <cell r="ID154">
            <v>1</v>
          </cell>
          <cell r="IE154">
            <v>2</v>
          </cell>
          <cell r="IF154">
            <v>33.299999999999997</v>
          </cell>
          <cell r="IG154">
            <v>1</v>
          </cell>
          <cell r="IH154">
            <v>1</v>
          </cell>
          <cell r="II154">
            <v>100</v>
          </cell>
          <cell r="IJ154">
            <v>100</v>
          </cell>
          <cell r="IK154">
            <v>1</v>
          </cell>
          <cell r="IL154">
            <v>0</v>
          </cell>
          <cell r="IM154">
            <v>0</v>
          </cell>
          <cell r="IN154">
            <v>0</v>
          </cell>
          <cell r="IO154" t="str">
            <v>-</v>
          </cell>
          <cell r="IP154">
            <v>1</v>
          </cell>
          <cell r="IQ154">
            <v>1</v>
          </cell>
          <cell r="IR154">
            <v>100</v>
          </cell>
          <cell r="IS154">
            <v>1</v>
          </cell>
          <cell r="IT154">
            <v>1</v>
          </cell>
          <cell r="IU154">
            <v>100</v>
          </cell>
          <cell r="IV154">
            <v>100</v>
          </cell>
          <cell r="IW154">
            <v>100</v>
          </cell>
          <cell r="IX154" t="str">
            <v>-</v>
          </cell>
          <cell r="IY154">
            <v>1</v>
          </cell>
          <cell r="IZ154">
            <v>1</v>
          </cell>
          <cell r="JA154">
            <v>100</v>
          </cell>
          <cell r="JB154">
            <v>1</v>
          </cell>
          <cell r="JC154">
            <v>1</v>
          </cell>
          <cell r="JD154">
            <v>100</v>
          </cell>
          <cell r="JE154">
            <v>1</v>
          </cell>
          <cell r="JF154">
            <v>1</v>
          </cell>
          <cell r="JG154">
            <v>50</v>
          </cell>
          <cell r="JH154">
            <v>0</v>
          </cell>
          <cell r="JI154">
            <v>0</v>
          </cell>
          <cell r="JJ154" t="str">
            <v>-</v>
          </cell>
          <cell r="JK154">
            <v>0</v>
          </cell>
          <cell r="JL154">
            <v>0</v>
          </cell>
          <cell r="JM154" t="str">
            <v>-</v>
          </cell>
          <cell r="JN154">
            <v>0</v>
          </cell>
          <cell r="JO154">
            <v>0</v>
          </cell>
          <cell r="JP154" t="str">
            <v>-</v>
          </cell>
          <cell r="JQ154">
            <v>442</v>
          </cell>
          <cell r="JR154">
            <v>107</v>
          </cell>
          <cell r="JS154">
            <v>80.510018214936252</v>
          </cell>
          <cell r="JT154">
            <v>325</v>
          </cell>
          <cell r="JU154">
            <v>84</v>
          </cell>
          <cell r="JV154">
            <v>79.462102689486557</v>
          </cell>
          <cell r="JW154">
            <v>0</v>
          </cell>
          <cell r="JX154">
            <v>0</v>
          </cell>
          <cell r="JY154" t="str">
            <v>-</v>
          </cell>
          <cell r="JZ154">
            <v>70</v>
          </cell>
          <cell r="KA154">
            <v>10</v>
          </cell>
          <cell r="KB154">
            <v>87.5</v>
          </cell>
          <cell r="KC154">
            <v>0</v>
          </cell>
          <cell r="KD154">
            <v>0</v>
          </cell>
          <cell r="KE154" t="str">
            <v>-</v>
          </cell>
          <cell r="KF154">
            <v>433</v>
          </cell>
          <cell r="KG154">
            <v>109</v>
          </cell>
          <cell r="KH154">
            <v>79.889298892988919</v>
          </cell>
          <cell r="KI154">
            <v>10</v>
          </cell>
          <cell r="KJ154">
            <v>17</v>
          </cell>
          <cell r="KK154">
            <v>37.037037037037038</v>
          </cell>
          <cell r="KL154">
            <v>4</v>
          </cell>
          <cell r="KM154">
            <v>1</v>
          </cell>
          <cell r="KN154">
            <v>80</v>
          </cell>
        </row>
        <row r="155">
          <cell r="C155" t="str">
            <v>Vásárosnaményi Rendőrkapitányság</v>
          </cell>
          <cell r="D155">
            <v>80</v>
          </cell>
          <cell r="E155">
            <v>80</v>
          </cell>
          <cell r="F155" t="str">
            <v>-</v>
          </cell>
          <cell r="G155">
            <v>80</v>
          </cell>
          <cell r="H155">
            <v>80</v>
          </cell>
          <cell r="I155" t="str">
            <v>-</v>
          </cell>
          <cell r="J155">
            <v>80</v>
          </cell>
          <cell r="K155">
            <v>80</v>
          </cell>
          <cell r="L155" t="str">
            <v>-</v>
          </cell>
          <cell r="M155">
            <v>80</v>
          </cell>
          <cell r="N155">
            <v>80</v>
          </cell>
          <cell r="O155" t="str">
            <v>-</v>
          </cell>
          <cell r="P155">
            <v>80</v>
          </cell>
          <cell r="Q155">
            <v>80</v>
          </cell>
          <cell r="R155" t="str">
            <v>-</v>
          </cell>
          <cell r="S155">
            <v>80</v>
          </cell>
          <cell r="T155">
            <v>80</v>
          </cell>
          <cell r="U155" t="str">
            <v>-</v>
          </cell>
          <cell r="V155">
            <v>80</v>
          </cell>
          <cell r="W155">
            <v>80</v>
          </cell>
          <cell r="X155" t="str">
            <v>-</v>
          </cell>
          <cell r="Y155">
            <v>80</v>
          </cell>
          <cell r="Z155">
            <v>80</v>
          </cell>
          <cell r="AA155" t="str">
            <v>-</v>
          </cell>
          <cell r="AB155">
            <v>80</v>
          </cell>
          <cell r="AC155">
            <v>80</v>
          </cell>
          <cell r="AD155" t="str">
            <v>-</v>
          </cell>
          <cell r="AE155">
            <v>80</v>
          </cell>
          <cell r="AF155">
            <v>80</v>
          </cell>
          <cell r="AG155" t="str">
            <v>-</v>
          </cell>
          <cell r="AH155">
            <v>80</v>
          </cell>
          <cell r="AI155">
            <v>80</v>
          </cell>
          <cell r="AJ155" t="str">
            <v>-</v>
          </cell>
          <cell r="AK155">
            <v>80</v>
          </cell>
          <cell r="AL155">
            <v>80</v>
          </cell>
          <cell r="AM155" t="str">
            <v>-</v>
          </cell>
          <cell r="AN155">
            <v>80</v>
          </cell>
          <cell r="AO155">
            <v>80</v>
          </cell>
          <cell r="AP155" t="str">
            <v>-</v>
          </cell>
          <cell r="AQ155">
            <v>80</v>
          </cell>
          <cell r="AR155">
            <v>80</v>
          </cell>
          <cell r="AS155" t="str">
            <v>-</v>
          </cell>
          <cell r="AT155">
            <v>80</v>
          </cell>
          <cell r="AU155">
            <v>80</v>
          </cell>
          <cell r="AV155" t="str">
            <v>-</v>
          </cell>
          <cell r="AW155">
            <v>80</v>
          </cell>
          <cell r="AX155">
            <v>80</v>
          </cell>
          <cell r="AY155" t="str">
            <v>-</v>
          </cell>
          <cell r="AZ155">
            <v>80</v>
          </cell>
          <cell r="BA155">
            <v>80</v>
          </cell>
          <cell r="BB155" t="str">
            <v>-</v>
          </cell>
          <cell r="BC155">
            <v>80</v>
          </cell>
          <cell r="BD155">
            <v>80</v>
          </cell>
          <cell r="BE155" t="str">
            <v>-</v>
          </cell>
          <cell r="BF155">
            <v>80</v>
          </cell>
          <cell r="BG155">
            <v>80</v>
          </cell>
          <cell r="BH155" t="str">
            <v>-</v>
          </cell>
          <cell r="BI155">
            <v>80</v>
          </cell>
          <cell r="BJ155">
            <v>80</v>
          </cell>
          <cell r="BK155" t="str">
            <v>-</v>
          </cell>
          <cell r="BL155">
            <v>80</v>
          </cell>
          <cell r="BM155">
            <v>80</v>
          </cell>
          <cell r="BN155" t="str">
            <v>-</v>
          </cell>
          <cell r="BO155">
            <v>80</v>
          </cell>
          <cell r="BP155">
            <v>80</v>
          </cell>
          <cell r="BQ155" t="str">
            <v>-</v>
          </cell>
          <cell r="BR155">
            <v>80</v>
          </cell>
          <cell r="BS155">
            <v>80</v>
          </cell>
          <cell r="BT155" t="str">
            <v>-</v>
          </cell>
          <cell r="BU155">
            <v>80</v>
          </cell>
          <cell r="BV155">
            <v>80</v>
          </cell>
          <cell r="BW155" t="str">
            <v>-</v>
          </cell>
          <cell r="BX155">
            <v>100</v>
          </cell>
          <cell r="BY155">
            <v>43</v>
          </cell>
          <cell r="BZ155">
            <v>69.900000000000006</v>
          </cell>
          <cell r="CA155">
            <v>98</v>
          </cell>
          <cell r="CB155">
            <v>30</v>
          </cell>
          <cell r="CC155">
            <v>76.599999999999994</v>
          </cell>
          <cell r="CD155">
            <v>74</v>
          </cell>
          <cell r="CE155">
            <v>20</v>
          </cell>
          <cell r="CF155">
            <v>78.7</v>
          </cell>
          <cell r="CG155">
            <v>103</v>
          </cell>
          <cell r="CH155">
            <v>18</v>
          </cell>
          <cell r="CI155">
            <v>85.1</v>
          </cell>
          <cell r="CJ155">
            <v>73</v>
          </cell>
          <cell r="CK155">
            <v>9</v>
          </cell>
          <cell r="CL155">
            <v>89</v>
          </cell>
          <cell r="CM155">
            <v>71</v>
          </cell>
          <cell r="CN155">
            <v>8</v>
          </cell>
          <cell r="CO155">
            <v>89.9</v>
          </cell>
          <cell r="CP155">
            <v>54</v>
          </cell>
          <cell r="CQ155">
            <v>11</v>
          </cell>
          <cell r="CR155">
            <v>83.1</v>
          </cell>
          <cell r="CS155">
            <v>46</v>
          </cell>
          <cell r="CT155">
            <v>16</v>
          </cell>
          <cell r="CU155">
            <v>74.2</v>
          </cell>
          <cell r="CV155">
            <v>68</v>
          </cell>
          <cell r="CW155">
            <v>38</v>
          </cell>
          <cell r="CX155">
            <v>64.2</v>
          </cell>
          <cell r="CY155">
            <v>76</v>
          </cell>
          <cell r="CZ155">
            <v>26</v>
          </cell>
          <cell r="DA155">
            <v>74.5</v>
          </cell>
          <cell r="DB155">
            <v>49</v>
          </cell>
          <cell r="DC155">
            <v>14</v>
          </cell>
          <cell r="DD155">
            <v>77.8</v>
          </cell>
          <cell r="DE155">
            <v>54</v>
          </cell>
          <cell r="DF155">
            <v>9</v>
          </cell>
          <cell r="DG155">
            <v>85.7</v>
          </cell>
          <cell r="DH155">
            <v>32</v>
          </cell>
          <cell r="DI155">
            <v>6</v>
          </cell>
          <cell r="DJ155">
            <v>84.2</v>
          </cell>
          <cell r="DK155">
            <v>51</v>
          </cell>
          <cell r="DL155">
            <v>5</v>
          </cell>
          <cell r="DM155">
            <v>91.1</v>
          </cell>
          <cell r="DN155">
            <v>32</v>
          </cell>
          <cell r="DO155">
            <v>9</v>
          </cell>
          <cell r="DP155">
            <v>78</v>
          </cell>
          <cell r="DQ155">
            <v>25</v>
          </cell>
          <cell r="DR155">
            <v>9</v>
          </cell>
          <cell r="DS155">
            <v>73.5</v>
          </cell>
          <cell r="DT155">
            <v>73.5</v>
          </cell>
          <cell r="DU155">
            <v>73.5</v>
          </cell>
          <cell r="DV155" t="str">
            <v>-</v>
          </cell>
          <cell r="DW155">
            <v>73.5</v>
          </cell>
          <cell r="DX155">
            <v>73.5</v>
          </cell>
          <cell r="DY155" t="str">
            <v>-</v>
          </cell>
          <cell r="DZ155">
            <v>73.5</v>
          </cell>
          <cell r="EA155">
            <v>73.5</v>
          </cell>
          <cell r="EB155" t="str">
            <v>-</v>
          </cell>
          <cell r="EC155">
            <v>73.5</v>
          </cell>
          <cell r="ED155">
            <v>73.5</v>
          </cell>
          <cell r="EE155" t="str">
            <v>-</v>
          </cell>
          <cell r="EF155">
            <v>73.5</v>
          </cell>
          <cell r="EG155">
            <v>73.5</v>
          </cell>
          <cell r="EH155" t="str">
            <v>-</v>
          </cell>
          <cell r="EI155">
            <v>73.5</v>
          </cell>
          <cell r="EJ155">
            <v>73.5</v>
          </cell>
          <cell r="EK155" t="str">
            <v>-</v>
          </cell>
          <cell r="EL155">
            <v>73.5</v>
          </cell>
          <cell r="EM155">
            <v>73.5</v>
          </cell>
          <cell r="EN155" t="str">
            <v>-</v>
          </cell>
          <cell r="EO155">
            <v>73.5</v>
          </cell>
          <cell r="EP155">
            <v>73.5</v>
          </cell>
          <cell r="EQ155" t="str">
            <v>-</v>
          </cell>
          <cell r="ER155">
            <v>5</v>
          </cell>
          <cell r="ES155">
            <v>5</v>
          </cell>
          <cell r="ET155">
            <v>100</v>
          </cell>
          <cell r="EU155">
            <v>2</v>
          </cell>
          <cell r="EV155">
            <v>2</v>
          </cell>
          <cell r="EW155">
            <v>100</v>
          </cell>
          <cell r="EX155">
            <v>3</v>
          </cell>
          <cell r="EY155">
            <v>3</v>
          </cell>
          <cell r="EZ155">
            <v>50</v>
          </cell>
          <cell r="FA155">
            <v>21</v>
          </cell>
          <cell r="FB155">
            <v>21</v>
          </cell>
          <cell r="FC155">
            <v>100</v>
          </cell>
          <cell r="FD155">
            <v>2</v>
          </cell>
          <cell r="FE155">
            <v>2</v>
          </cell>
          <cell r="FF155">
            <v>100</v>
          </cell>
          <cell r="FG155">
            <v>6</v>
          </cell>
          <cell r="FH155">
            <v>1</v>
          </cell>
          <cell r="FI155">
            <v>85.7</v>
          </cell>
          <cell r="FJ155">
            <v>23</v>
          </cell>
          <cell r="FK155">
            <v>3</v>
          </cell>
          <cell r="FL155">
            <v>88.5</v>
          </cell>
          <cell r="FM155">
            <v>3</v>
          </cell>
          <cell r="FN155">
            <v>3</v>
          </cell>
          <cell r="FO155">
            <v>50</v>
          </cell>
          <cell r="FP155">
            <v>2</v>
          </cell>
          <cell r="FQ155">
            <v>1</v>
          </cell>
          <cell r="FR155">
            <v>66.7</v>
          </cell>
          <cell r="FS155">
            <v>66.699951171875</v>
          </cell>
          <cell r="FT155">
            <v>66.699951171875</v>
          </cell>
          <cell r="FU155" t="str">
            <v>-</v>
          </cell>
          <cell r="FV155">
            <v>66.699951171875</v>
          </cell>
          <cell r="FW155">
            <v>66.699951171875</v>
          </cell>
          <cell r="FX155" t="str">
            <v>-</v>
          </cell>
          <cell r="FY155">
            <v>66.699951171875</v>
          </cell>
          <cell r="FZ155">
            <v>66.699951171875</v>
          </cell>
          <cell r="GA155" t="str">
            <v>-</v>
          </cell>
          <cell r="GB155">
            <v>66.699951171875</v>
          </cell>
          <cell r="GC155">
            <v>66.699951171875</v>
          </cell>
          <cell r="GD155" t="str">
            <v>-</v>
          </cell>
          <cell r="GE155">
            <v>66.699951171875</v>
          </cell>
          <cell r="GF155">
            <v>66.699951171875</v>
          </cell>
          <cell r="GG155" t="str">
            <v>-</v>
          </cell>
          <cell r="GH155">
            <v>66.699951171875</v>
          </cell>
          <cell r="GI155">
            <v>66.699951171875</v>
          </cell>
          <cell r="GJ155" t="str">
            <v>-</v>
          </cell>
          <cell r="GK155">
            <v>66.699951171875</v>
          </cell>
          <cell r="GL155">
            <v>66.699951171875</v>
          </cell>
          <cell r="GM155" t="str">
            <v>-</v>
          </cell>
          <cell r="GN155">
            <v>98</v>
          </cell>
          <cell r="GO155">
            <v>22</v>
          </cell>
          <cell r="GP155">
            <v>81.7</v>
          </cell>
          <cell r="GQ155">
            <v>100</v>
          </cell>
          <cell r="GR155">
            <v>26</v>
          </cell>
          <cell r="GS155">
            <v>79.400000000000006</v>
          </cell>
          <cell r="GT155">
            <v>79</v>
          </cell>
          <cell r="GU155">
            <v>18</v>
          </cell>
          <cell r="GV155">
            <v>81.400000000000006</v>
          </cell>
          <cell r="GW155">
            <v>100</v>
          </cell>
          <cell r="GX155">
            <v>25</v>
          </cell>
          <cell r="GY155">
            <v>80</v>
          </cell>
          <cell r="GZ155">
            <v>90</v>
          </cell>
          <cell r="HA155">
            <v>15</v>
          </cell>
          <cell r="HB155">
            <v>85.7</v>
          </cell>
          <cell r="HC155">
            <v>94</v>
          </cell>
          <cell r="HD155">
            <v>12</v>
          </cell>
          <cell r="HE155">
            <v>88.7</v>
          </cell>
          <cell r="HF155">
            <v>60</v>
          </cell>
          <cell r="HG155">
            <v>16</v>
          </cell>
          <cell r="HH155">
            <v>78.900000000000006</v>
          </cell>
          <cell r="HI155">
            <v>58</v>
          </cell>
          <cell r="HJ155">
            <v>11</v>
          </cell>
          <cell r="HK155">
            <v>84.1</v>
          </cell>
          <cell r="HL155">
            <v>1</v>
          </cell>
          <cell r="HM155">
            <v>6</v>
          </cell>
          <cell r="HN155">
            <v>14.3</v>
          </cell>
          <cell r="HO155">
            <v>1</v>
          </cell>
          <cell r="HP155">
            <v>7</v>
          </cell>
          <cell r="HQ155">
            <v>12.5</v>
          </cell>
          <cell r="HR155">
            <v>2</v>
          </cell>
          <cell r="HS155">
            <v>1</v>
          </cell>
          <cell r="HT155">
            <v>66.7</v>
          </cell>
          <cell r="HU155">
            <v>2</v>
          </cell>
          <cell r="HV155">
            <v>2</v>
          </cell>
          <cell r="HW155">
            <v>50</v>
          </cell>
          <cell r="HX155">
            <v>3</v>
          </cell>
          <cell r="HY155">
            <v>5</v>
          </cell>
          <cell r="HZ155">
            <v>37.5</v>
          </cell>
          <cell r="IA155">
            <v>5</v>
          </cell>
          <cell r="IB155">
            <v>2</v>
          </cell>
          <cell r="IC155">
            <v>71.400000000000006</v>
          </cell>
          <cell r="ID155">
            <v>3</v>
          </cell>
          <cell r="IE155">
            <v>2</v>
          </cell>
          <cell r="IF155">
            <v>60</v>
          </cell>
          <cell r="IG155">
            <v>60</v>
          </cell>
          <cell r="IH155">
            <v>60</v>
          </cell>
          <cell r="II155" t="str">
            <v>-</v>
          </cell>
          <cell r="IJ155">
            <v>60</v>
          </cell>
          <cell r="IK155">
            <v>1</v>
          </cell>
          <cell r="IL155">
            <v>0</v>
          </cell>
          <cell r="IM155">
            <v>1</v>
          </cell>
          <cell r="IN155">
            <v>1</v>
          </cell>
          <cell r="IO155">
            <v>100</v>
          </cell>
          <cell r="IP155">
            <v>4</v>
          </cell>
          <cell r="IQ155">
            <v>4</v>
          </cell>
          <cell r="IR155">
            <v>100</v>
          </cell>
          <cell r="IS155">
            <v>100</v>
          </cell>
          <cell r="IT155">
            <v>100</v>
          </cell>
          <cell r="IU155" t="str">
            <v>-</v>
          </cell>
          <cell r="IV155">
            <v>1</v>
          </cell>
          <cell r="IW155">
            <v>1</v>
          </cell>
          <cell r="IX155">
            <v>100</v>
          </cell>
          <cell r="IY155">
            <v>100</v>
          </cell>
          <cell r="IZ155">
            <v>100</v>
          </cell>
          <cell r="JA155" t="str">
            <v>-</v>
          </cell>
          <cell r="JB155">
            <v>3</v>
          </cell>
          <cell r="JC155">
            <v>3</v>
          </cell>
          <cell r="JD155">
            <v>100</v>
          </cell>
          <cell r="JE155">
            <v>1</v>
          </cell>
          <cell r="JF155">
            <v>1</v>
          </cell>
          <cell r="JG155">
            <v>50</v>
          </cell>
          <cell r="JH155">
            <v>0</v>
          </cell>
          <cell r="JI155">
            <v>0</v>
          </cell>
          <cell r="JJ155" t="str">
            <v>-</v>
          </cell>
          <cell r="JK155">
            <v>0</v>
          </cell>
          <cell r="JL155">
            <v>0</v>
          </cell>
          <cell r="JM155" t="str">
            <v>-</v>
          </cell>
          <cell r="JN155">
            <v>0</v>
          </cell>
          <cell r="JO155">
            <v>0</v>
          </cell>
          <cell r="JP155" t="str">
            <v>-</v>
          </cell>
          <cell r="JQ155">
            <v>347</v>
          </cell>
          <cell r="JR155">
            <v>62</v>
          </cell>
          <cell r="JS155">
            <v>84.84107579462102</v>
          </cell>
          <cell r="JT155">
            <v>194</v>
          </cell>
          <cell r="JU155">
            <v>38</v>
          </cell>
          <cell r="JV155">
            <v>83.620689655172413</v>
          </cell>
          <cell r="JW155">
            <v>0</v>
          </cell>
          <cell r="JX155">
            <v>0</v>
          </cell>
          <cell r="JY155" t="str">
            <v>-</v>
          </cell>
          <cell r="JZ155">
            <v>55</v>
          </cell>
          <cell r="KA155">
            <v>7</v>
          </cell>
          <cell r="KB155">
            <v>88.709677419354833</v>
          </cell>
          <cell r="KC155">
            <v>0</v>
          </cell>
          <cell r="KD155">
            <v>0</v>
          </cell>
          <cell r="KE155" t="str">
            <v>-</v>
          </cell>
          <cell r="KF155">
            <v>402</v>
          </cell>
          <cell r="KG155">
            <v>79</v>
          </cell>
          <cell r="KH155">
            <v>83.57588357588358</v>
          </cell>
          <cell r="KI155">
            <v>13</v>
          </cell>
          <cell r="KJ155">
            <v>11</v>
          </cell>
          <cell r="KK155">
            <v>54.166666666666664</v>
          </cell>
          <cell r="KL155">
            <v>5</v>
          </cell>
          <cell r="KM155">
            <v>1</v>
          </cell>
          <cell r="KN155">
            <v>83.333333333333343</v>
          </cell>
        </row>
        <row r="156">
          <cell r="C156" t="str">
            <v>Záhonyi Rendőrkapitányság</v>
          </cell>
          <cell r="D156">
            <v>83.33331298828125</v>
          </cell>
          <cell r="E156">
            <v>83.33331298828125</v>
          </cell>
          <cell r="F156" t="str">
            <v>-</v>
          </cell>
          <cell r="G156">
            <v>83.33331298828125</v>
          </cell>
          <cell r="H156">
            <v>83.33331298828125</v>
          </cell>
          <cell r="I156" t="str">
            <v>-</v>
          </cell>
          <cell r="J156">
            <v>83.33331298828125</v>
          </cell>
          <cell r="K156">
            <v>83.33331298828125</v>
          </cell>
          <cell r="L156" t="str">
            <v>-</v>
          </cell>
          <cell r="M156">
            <v>83.33331298828125</v>
          </cell>
          <cell r="N156">
            <v>83.33331298828125</v>
          </cell>
          <cell r="O156" t="str">
            <v>-</v>
          </cell>
          <cell r="P156">
            <v>83.33331298828125</v>
          </cell>
          <cell r="Q156">
            <v>83.33331298828125</v>
          </cell>
          <cell r="R156" t="str">
            <v>-</v>
          </cell>
          <cell r="S156">
            <v>83.33331298828125</v>
          </cell>
          <cell r="T156">
            <v>83.33331298828125</v>
          </cell>
          <cell r="U156" t="str">
            <v>-</v>
          </cell>
          <cell r="V156">
            <v>83.33331298828125</v>
          </cell>
          <cell r="W156">
            <v>83.33331298828125</v>
          </cell>
          <cell r="X156" t="str">
            <v>-</v>
          </cell>
          <cell r="Y156">
            <v>83.33331298828125</v>
          </cell>
          <cell r="Z156">
            <v>83.33331298828125</v>
          </cell>
          <cell r="AA156" t="str">
            <v>-</v>
          </cell>
          <cell r="AB156">
            <v>83.33331298828125</v>
          </cell>
          <cell r="AC156">
            <v>83.33331298828125</v>
          </cell>
          <cell r="AD156" t="str">
            <v>-</v>
          </cell>
          <cell r="AE156">
            <v>83.33331298828125</v>
          </cell>
          <cell r="AF156">
            <v>83.33331298828125</v>
          </cell>
          <cell r="AG156" t="str">
            <v>-</v>
          </cell>
          <cell r="AH156">
            <v>83.33331298828125</v>
          </cell>
          <cell r="AI156">
            <v>83.33331298828125</v>
          </cell>
          <cell r="AJ156" t="str">
            <v>-</v>
          </cell>
          <cell r="AK156">
            <v>83.33331298828125</v>
          </cell>
          <cell r="AL156">
            <v>83.33331298828125</v>
          </cell>
          <cell r="AM156" t="str">
            <v>-</v>
          </cell>
          <cell r="AN156">
            <v>83.33331298828125</v>
          </cell>
          <cell r="AO156">
            <v>83.33331298828125</v>
          </cell>
          <cell r="AP156" t="str">
            <v>-</v>
          </cell>
          <cell r="AQ156">
            <v>83.33331298828125</v>
          </cell>
          <cell r="AR156">
            <v>83.33331298828125</v>
          </cell>
          <cell r="AS156" t="str">
            <v>-</v>
          </cell>
          <cell r="AT156">
            <v>83.33331298828125</v>
          </cell>
          <cell r="AU156">
            <v>83.33331298828125</v>
          </cell>
          <cell r="AV156" t="str">
            <v>-</v>
          </cell>
          <cell r="AW156">
            <v>83.33331298828125</v>
          </cell>
          <cell r="AX156">
            <v>83.33331298828125</v>
          </cell>
          <cell r="AY156" t="str">
            <v>-</v>
          </cell>
          <cell r="AZ156">
            <v>83.33331298828125</v>
          </cell>
          <cell r="BA156">
            <v>83.33331298828125</v>
          </cell>
          <cell r="BB156" t="str">
            <v>-</v>
          </cell>
          <cell r="BC156">
            <v>83.33331298828125</v>
          </cell>
          <cell r="BD156">
            <v>83.33331298828125</v>
          </cell>
          <cell r="BE156" t="str">
            <v>-</v>
          </cell>
          <cell r="BF156">
            <v>83.33331298828125</v>
          </cell>
          <cell r="BG156">
            <v>83.33331298828125</v>
          </cell>
          <cell r="BH156" t="str">
            <v>-</v>
          </cell>
          <cell r="BI156">
            <v>83.33331298828125</v>
          </cell>
          <cell r="BJ156">
            <v>83.33331298828125</v>
          </cell>
          <cell r="BK156" t="str">
            <v>-</v>
          </cell>
          <cell r="BL156">
            <v>83.33331298828125</v>
          </cell>
          <cell r="BM156">
            <v>83.33331298828125</v>
          </cell>
          <cell r="BN156" t="str">
            <v>-</v>
          </cell>
          <cell r="BO156">
            <v>83.33331298828125</v>
          </cell>
          <cell r="BP156">
            <v>83.33331298828125</v>
          </cell>
          <cell r="BQ156" t="str">
            <v>-</v>
          </cell>
          <cell r="BR156">
            <v>83.33331298828125</v>
          </cell>
          <cell r="BS156">
            <v>83.33331298828125</v>
          </cell>
          <cell r="BT156" t="str">
            <v>-</v>
          </cell>
          <cell r="BU156">
            <v>83.33331298828125</v>
          </cell>
          <cell r="BV156">
            <v>83.33331298828125</v>
          </cell>
          <cell r="BW156" t="str">
            <v>-</v>
          </cell>
          <cell r="BX156">
            <v>57</v>
          </cell>
          <cell r="BY156">
            <v>12</v>
          </cell>
          <cell r="BZ156">
            <v>82.6</v>
          </cell>
          <cell r="CA156">
            <v>59</v>
          </cell>
          <cell r="CB156">
            <v>8</v>
          </cell>
          <cell r="CC156">
            <v>88.1</v>
          </cell>
          <cell r="CD156">
            <v>49</v>
          </cell>
          <cell r="CE156">
            <v>8</v>
          </cell>
          <cell r="CF156">
            <v>86</v>
          </cell>
          <cell r="CG156">
            <v>59</v>
          </cell>
          <cell r="CH156">
            <v>3</v>
          </cell>
          <cell r="CI156">
            <v>95.2</v>
          </cell>
          <cell r="CJ156">
            <v>44</v>
          </cell>
          <cell r="CK156">
            <v>10</v>
          </cell>
          <cell r="CL156">
            <v>81.5</v>
          </cell>
          <cell r="CM156">
            <v>66</v>
          </cell>
          <cell r="CN156">
            <v>5</v>
          </cell>
          <cell r="CO156">
            <v>93</v>
          </cell>
          <cell r="CP156">
            <v>39</v>
          </cell>
          <cell r="CQ156">
            <v>4</v>
          </cell>
          <cell r="CR156">
            <v>90.7</v>
          </cell>
          <cell r="CS156">
            <v>25</v>
          </cell>
          <cell r="CT156">
            <v>4</v>
          </cell>
          <cell r="CU156">
            <v>86.2</v>
          </cell>
          <cell r="CV156">
            <v>32</v>
          </cell>
          <cell r="CW156">
            <v>11</v>
          </cell>
          <cell r="CX156">
            <v>74.400000000000006</v>
          </cell>
          <cell r="CY156">
            <v>31</v>
          </cell>
          <cell r="CZ156">
            <v>7</v>
          </cell>
          <cell r="DA156">
            <v>81.599999999999994</v>
          </cell>
          <cell r="DB156">
            <v>24</v>
          </cell>
          <cell r="DC156">
            <v>7</v>
          </cell>
          <cell r="DD156">
            <v>77.400000000000006</v>
          </cell>
          <cell r="DE156">
            <v>44</v>
          </cell>
          <cell r="DF156">
            <v>1</v>
          </cell>
          <cell r="DG156">
            <v>97.8</v>
          </cell>
          <cell r="DH156">
            <v>26</v>
          </cell>
          <cell r="DI156">
            <v>10</v>
          </cell>
          <cell r="DJ156">
            <v>72.2</v>
          </cell>
          <cell r="DK156">
            <v>45</v>
          </cell>
          <cell r="DL156">
            <v>5</v>
          </cell>
          <cell r="DM156">
            <v>90</v>
          </cell>
          <cell r="DN156">
            <v>26</v>
          </cell>
          <cell r="DO156">
            <v>3</v>
          </cell>
          <cell r="DP156">
            <v>89.7</v>
          </cell>
          <cell r="DQ156">
            <v>13</v>
          </cell>
          <cell r="DR156">
            <v>4</v>
          </cell>
          <cell r="DS156">
            <v>76.5</v>
          </cell>
          <cell r="DT156">
            <v>76.5</v>
          </cell>
          <cell r="DU156">
            <v>76.5</v>
          </cell>
          <cell r="DV156" t="str">
            <v>-</v>
          </cell>
          <cell r="DW156">
            <v>76.5</v>
          </cell>
          <cell r="DX156">
            <v>76.5</v>
          </cell>
          <cell r="DY156" t="str">
            <v>-</v>
          </cell>
          <cell r="DZ156">
            <v>76.5</v>
          </cell>
          <cell r="EA156">
            <v>76.5</v>
          </cell>
          <cell r="EB156" t="str">
            <v>-</v>
          </cell>
          <cell r="EC156">
            <v>76.5</v>
          </cell>
          <cell r="ED156">
            <v>76.5</v>
          </cell>
          <cell r="EE156" t="str">
            <v>-</v>
          </cell>
          <cell r="EF156">
            <v>76.5</v>
          </cell>
          <cell r="EG156">
            <v>76.5</v>
          </cell>
          <cell r="EH156" t="str">
            <v>-</v>
          </cell>
          <cell r="EI156">
            <v>76.5</v>
          </cell>
          <cell r="EJ156">
            <v>76.5</v>
          </cell>
          <cell r="EK156" t="str">
            <v>-</v>
          </cell>
          <cell r="EL156">
            <v>76.5</v>
          </cell>
          <cell r="EM156">
            <v>76.5</v>
          </cell>
          <cell r="EN156" t="str">
            <v>-</v>
          </cell>
          <cell r="EO156">
            <v>76.5</v>
          </cell>
          <cell r="EP156">
            <v>76.5</v>
          </cell>
          <cell r="EQ156" t="str">
            <v>-</v>
          </cell>
          <cell r="ER156">
            <v>7</v>
          </cell>
          <cell r="ES156">
            <v>7</v>
          </cell>
          <cell r="ET156">
            <v>100</v>
          </cell>
          <cell r="EU156">
            <v>21</v>
          </cell>
          <cell r="EV156">
            <v>1</v>
          </cell>
          <cell r="EW156">
            <v>95.5</v>
          </cell>
          <cell r="EX156">
            <v>8</v>
          </cell>
          <cell r="EY156">
            <v>2</v>
          </cell>
          <cell r="EZ156">
            <v>80</v>
          </cell>
          <cell r="FA156">
            <v>7</v>
          </cell>
          <cell r="FB156">
            <v>9</v>
          </cell>
          <cell r="FC156">
            <v>43.8</v>
          </cell>
          <cell r="FD156">
            <v>5</v>
          </cell>
          <cell r="FE156">
            <v>5</v>
          </cell>
          <cell r="FF156">
            <v>100</v>
          </cell>
          <cell r="FG156">
            <v>17</v>
          </cell>
          <cell r="FH156">
            <v>17</v>
          </cell>
          <cell r="FI156">
            <v>100</v>
          </cell>
          <cell r="FJ156">
            <v>11</v>
          </cell>
          <cell r="FK156">
            <v>11</v>
          </cell>
          <cell r="FL156">
            <v>100</v>
          </cell>
          <cell r="FM156">
            <v>5</v>
          </cell>
          <cell r="FN156">
            <v>1</v>
          </cell>
          <cell r="FO156">
            <v>83.3</v>
          </cell>
          <cell r="FP156">
            <v>1</v>
          </cell>
          <cell r="FQ156">
            <v>2</v>
          </cell>
          <cell r="FR156">
            <v>33.299999999999997</v>
          </cell>
          <cell r="FS156">
            <v>33.29998779296875</v>
          </cell>
          <cell r="FT156">
            <v>33.29998779296875</v>
          </cell>
          <cell r="FU156" t="str">
            <v>-</v>
          </cell>
          <cell r="FV156">
            <v>33.29998779296875</v>
          </cell>
          <cell r="FW156">
            <v>33.29998779296875</v>
          </cell>
          <cell r="FX156" t="str">
            <v>-</v>
          </cell>
          <cell r="FY156">
            <v>33.29998779296875</v>
          </cell>
          <cell r="FZ156">
            <v>33.29998779296875</v>
          </cell>
          <cell r="GA156" t="str">
            <v>-</v>
          </cell>
          <cell r="GB156">
            <v>33.29998779296875</v>
          </cell>
          <cell r="GC156">
            <v>33.29998779296875</v>
          </cell>
          <cell r="GD156" t="str">
            <v>-</v>
          </cell>
          <cell r="GE156">
            <v>33.29998779296875</v>
          </cell>
          <cell r="GF156">
            <v>33.29998779296875</v>
          </cell>
          <cell r="GG156" t="str">
            <v>-</v>
          </cell>
          <cell r="GH156">
            <v>33.29998779296875</v>
          </cell>
          <cell r="GI156">
            <v>33.29998779296875</v>
          </cell>
          <cell r="GJ156" t="str">
            <v>-</v>
          </cell>
          <cell r="GK156">
            <v>33.29998779296875</v>
          </cell>
          <cell r="GL156">
            <v>33.29998779296875</v>
          </cell>
          <cell r="GM156" t="str">
            <v>-</v>
          </cell>
          <cell r="GN156">
            <v>45</v>
          </cell>
          <cell r="GO156">
            <v>5</v>
          </cell>
          <cell r="GP156">
            <v>90</v>
          </cell>
          <cell r="GQ156">
            <v>45</v>
          </cell>
          <cell r="GR156">
            <v>4</v>
          </cell>
          <cell r="GS156">
            <v>91.8</v>
          </cell>
          <cell r="GT156">
            <v>44</v>
          </cell>
          <cell r="GU156">
            <v>3</v>
          </cell>
          <cell r="GV156">
            <v>93.6</v>
          </cell>
          <cell r="GW156">
            <v>42</v>
          </cell>
          <cell r="GX156">
            <v>1</v>
          </cell>
          <cell r="GY156">
            <v>97.7</v>
          </cell>
          <cell r="GZ156">
            <v>52</v>
          </cell>
          <cell r="HA156">
            <v>6</v>
          </cell>
          <cell r="HB156">
            <v>89.7</v>
          </cell>
          <cell r="HC156">
            <v>64</v>
          </cell>
          <cell r="HD156">
            <v>6</v>
          </cell>
          <cell r="HE156">
            <v>91.4</v>
          </cell>
          <cell r="HF156">
            <v>24</v>
          </cell>
          <cell r="HG156">
            <v>1</v>
          </cell>
          <cell r="HH156">
            <v>96</v>
          </cell>
          <cell r="HI156">
            <v>34</v>
          </cell>
          <cell r="HJ156">
            <v>3</v>
          </cell>
          <cell r="HK156">
            <v>91.9</v>
          </cell>
          <cell r="HL156">
            <v>1</v>
          </cell>
          <cell r="HM156">
            <v>1</v>
          </cell>
          <cell r="HN156">
            <v>100</v>
          </cell>
          <cell r="HO156">
            <v>2</v>
          </cell>
          <cell r="HP156">
            <v>3</v>
          </cell>
          <cell r="HQ156">
            <v>40</v>
          </cell>
          <cell r="HR156">
            <v>1</v>
          </cell>
          <cell r="HS156">
            <v>4</v>
          </cell>
          <cell r="HT156">
            <v>20</v>
          </cell>
          <cell r="HU156">
            <v>1</v>
          </cell>
          <cell r="HV156">
            <v>1</v>
          </cell>
          <cell r="HW156">
            <v>100</v>
          </cell>
          <cell r="HX156">
            <v>2</v>
          </cell>
          <cell r="HY156">
            <v>2</v>
          </cell>
          <cell r="HZ156">
            <v>100</v>
          </cell>
          <cell r="IA156">
            <v>4</v>
          </cell>
          <cell r="IB156">
            <v>4</v>
          </cell>
          <cell r="IC156">
            <v>100</v>
          </cell>
          <cell r="ID156">
            <v>100</v>
          </cell>
          <cell r="IE156">
            <v>100</v>
          </cell>
          <cell r="IF156" t="str">
            <v>-</v>
          </cell>
          <cell r="IG156">
            <v>1</v>
          </cell>
          <cell r="IH156">
            <v>1</v>
          </cell>
          <cell r="II156">
            <v>100</v>
          </cell>
          <cell r="IJ156">
            <v>100</v>
          </cell>
          <cell r="IK156">
            <v>100</v>
          </cell>
          <cell r="IL156" t="str">
            <v>-</v>
          </cell>
          <cell r="IM156">
            <v>100</v>
          </cell>
          <cell r="IN156">
            <v>100</v>
          </cell>
          <cell r="IO156" t="str">
            <v>-</v>
          </cell>
          <cell r="IP156">
            <v>100</v>
          </cell>
          <cell r="IQ156">
            <v>100</v>
          </cell>
          <cell r="IR156" t="str">
            <v>-</v>
          </cell>
          <cell r="IS156">
            <v>100</v>
          </cell>
          <cell r="IT156">
            <v>100</v>
          </cell>
          <cell r="IU156" t="str">
            <v>-</v>
          </cell>
          <cell r="IV156">
            <v>2</v>
          </cell>
          <cell r="IW156">
            <v>2</v>
          </cell>
          <cell r="IX156">
            <v>100</v>
          </cell>
          <cell r="IY156">
            <v>100</v>
          </cell>
          <cell r="IZ156">
            <v>100</v>
          </cell>
          <cell r="JA156" t="str">
            <v>-</v>
          </cell>
          <cell r="JB156">
            <v>100</v>
          </cell>
          <cell r="JC156">
            <v>100</v>
          </cell>
          <cell r="JD156" t="str">
            <v>-</v>
          </cell>
          <cell r="JE156">
            <v>100</v>
          </cell>
          <cell r="JF156">
            <v>100</v>
          </cell>
          <cell r="JG156" t="str">
            <v>-</v>
          </cell>
          <cell r="JH156">
            <v>0</v>
          </cell>
          <cell r="JI156">
            <v>0</v>
          </cell>
          <cell r="JJ156" t="str">
            <v>-</v>
          </cell>
          <cell r="JK156">
            <v>0</v>
          </cell>
          <cell r="JL156">
            <v>0</v>
          </cell>
          <cell r="JM156" t="str">
            <v>-</v>
          </cell>
          <cell r="JN156">
            <v>0</v>
          </cell>
          <cell r="JO156">
            <v>0</v>
          </cell>
          <cell r="JP156" t="str">
            <v>-</v>
          </cell>
          <cell r="JQ156">
            <v>233</v>
          </cell>
          <cell r="JR156">
            <v>26</v>
          </cell>
          <cell r="JS156">
            <v>89.961389961389955</v>
          </cell>
          <cell r="JT156">
            <v>154</v>
          </cell>
          <cell r="JU156">
            <v>23</v>
          </cell>
          <cell r="JV156">
            <v>87.005649717514117</v>
          </cell>
          <cell r="JW156">
            <v>0</v>
          </cell>
          <cell r="JX156">
            <v>0</v>
          </cell>
          <cell r="JY156" t="str">
            <v>-</v>
          </cell>
          <cell r="JZ156">
            <v>45</v>
          </cell>
          <cell r="KA156">
            <v>10</v>
          </cell>
          <cell r="KB156">
            <v>81.818181818181827</v>
          </cell>
          <cell r="KC156">
            <v>0</v>
          </cell>
          <cell r="KD156">
            <v>0</v>
          </cell>
          <cell r="KE156" t="str">
            <v>-</v>
          </cell>
          <cell r="KF156">
            <v>216</v>
          </cell>
          <cell r="KG156">
            <v>17</v>
          </cell>
          <cell r="KH156">
            <v>92.703862660944196</v>
          </cell>
          <cell r="KI156">
            <v>8</v>
          </cell>
          <cell r="KJ156">
            <v>0</v>
          </cell>
          <cell r="KK156">
            <v>100</v>
          </cell>
          <cell r="KL156">
            <v>2</v>
          </cell>
          <cell r="KM156">
            <v>0</v>
          </cell>
          <cell r="KN156">
            <v>100</v>
          </cell>
        </row>
        <row r="157">
          <cell r="C157" t="str">
            <v>Szabolcs-Szatmár-Bereg Megyei Rendőr-főkapitányság</v>
          </cell>
          <cell r="D157">
            <v>13</v>
          </cell>
          <cell r="E157">
            <v>1</v>
          </cell>
          <cell r="F157">
            <v>92.9</v>
          </cell>
          <cell r="G157">
            <v>17</v>
          </cell>
          <cell r="H157">
            <v>1</v>
          </cell>
          <cell r="I157">
            <v>94.4</v>
          </cell>
          <cell r="J157">
            <v>13</v>
          </cell>
          <cell r="K157">
            <v>1</v>
          </cell>
          <cell r="L157">
            <v>92.9</v>
          </cell>
          <cell r="M157">
            <v>10</v>
          </cell>
          <cell r="N157">
            <v>10</v>
          </cell>
          <cell r="O157">
            <v>100</v>
          </cell>
          <cell r="P157">
            <v>8</v>
          </cell>
          <cell r="Q157">
            <v>2</v>
          </cell>
          <cell r="R157">
            <v>80</v>
          </cell>
          <cell r="S157">
            <v>9</v>
          </cell>
          <cell r="T157">
            <v>9</v>
          </cell>
          <cell r="U157">
            <v>100</v>
          </cell>
          <cell r="V157">
            <v>10</v>
          </cell>
          <cell r="W157">
            <v>10</v>
          </cell>
          <cell r="X157">
            <v>100</v>
          </cell>
          <cell r="Y157">
            <v>5</v>
          </cell>
          <cell r="Z157">
            <v>1</v>
          </cell>
          <cell r="AA157">
            <v>83.3</v>
          </cell>
          <cell r="AB157">
            <v>6</v>
          </cell>
          <cell r="AC157">
            <v>1</v>
          </cell>
          <cell r="AD157">
            <v>85.7</v>
          </cell>
          <cell r="AE157">
            <v>4</v>
          </cell>
          <cell r="AF157">
            <v>1</v>
          </cell>
          <cell r="AG157">
            <v>80</v>
          </cell>
          <cell r="AH157">
            <v>6</v>
          </cell>
          <cell r="AI157">
            <v>1</v>
          </cell>
          <cell r="AJ157">
            <v>85.7</v>
          </cell>
          <cell r="AK157">
            <v>4</v>
          </cell>
          <cell r="AL157">
            <v>4</v>
          </cell>
          <cell r="AM157">
            <v>100</v>
          </cell>
          <cell r="AN157">
            <v>3</v>
          </cell>
          <cell r="AO157">
            <v>3</v>
          </cell>
          <cell r="AP157">
            <v>100</v>
          </cell>
          <cell r="AQ157">
            <v>4</v>
          </cell>
          <cell r="AR157">
            <v>4</v>
          </cell>
          <cell r="AS157">
            <v>100</v>
          </cell>
          <cell r="AT157">
            <v>5</v>
          </cell>
          <cell r="AU157">
            <v>5</v>
          </cell>
          <cell r="AV157">
            <v>100</v>
          </cell>
          <cell r="AW157">
            <v>3</v>
          </cell>
          <cell r="AX157">
            <v>1</v>
          </cell>
          <cell r="AY157">
            <v>75</v>
          </cell>
          <cell r="AZ157">
            <v>7</v>
          </cell>
          <cell r="BA157">
            <v>7</v>
          </cell>
          <cell r="BB157">
            <v>100</v>
          </cell>
          <cell r="BC157">
            <v>10</v>
          </cell>
          <cell r="BD157">
            <v>10</v>
          </cell>
          <cell r="BE157">
            <v>100</v>
          </cell>
          <cell r="BF157">
            <v>5</v>
          </cell>
          <cell r="BG157">
            <v>5</v>
          </cell>
          <cell r="BH157">
            <v>100</v>
          </cell>
          <cell r="BI157">
            <v>6</v>
          </cell>
          <cell r="BJ157">
            <v>6</v>
          </cell>
          <cell r="BK157">
            <v>100</v>
          </cell>
          <cell r="BL157">
            <v>4</v>
          </cell>
          <cell r="BM157">
            <v>1</v>
          </cell>
          <cell r="BN157">
            <v>80</v>
          </cell>
          <cell r="BO157">
            <v>3</v>
          </cell>
          <cell r="BP157">
            <v>3</v>
          </cell>
          <cell r="BQ157">
            <v>100</v>
          </cell>
          <cell r="BR157">
            <v>3</v>
          </cell>
          <cell r="BS157">
            <v>3</v>
          </cell>
          <cell r="BT157">
            <v>100</v>
          </cell>
          <cell r="BU157">
            <v>1</v>
          </cell>
          <cell r="BV157">
            <v>1</v>
          </cell>
          <cell r="BW157">
            <v>100</v>
          </cell>
          <cell r="BX157">
            <v>1390</v>
          </cell>
          <cell r="BY157">
            <v>286</v>
          </cell>
          <cell r="BZ157">
            <v>82.9</v>
          </cell>
          <cell r="CA157">
            <v>1120</v>
          </cell>
          <cell r="CB157">
            <v>249</v>
          </cell>
          <cell r="CC157">
            <v>81.8</v>
          </cell>
          <cell r="CD157">
            <v>1232</v>
          </cell>
          <cell r="CE157">
            <v>283</v>
          </cell>
          <cell r="CF157">
            <v>81.3</v>
          </cell>
          <cell r="CG157">
            <v>1436</v>
          </cell>
          <cell r="CH157">
            <v>278</v>
          </cell>
          <cell r="CI157">
            <v>83.8</v>
          </cell>
          <cell r="CJ157">
            <v>1113</v>
          </cell>
          <cell r="CK157">
            <v>324</v>
          </cell>
          <cell r="CL157">
            <v>77.5</v>
          </cell>
          <cell r="CM157">
            <v>1093</v>
          </cell>
          <cell r="CN157">
            <v>231</v>
          </cell>
          <cell r="CO157">
            <v>82.6</v>
          </cell>
          <cell r="CP157">
            <v>868</v>
          </cell>
          <cell r="CQ157">
            <v>174</v>
          </cell>
          <cell r="CR157">
            <v>83.3</v>
          </cell>
          <cell r="CS157">
            <v>677</v>
          </cell>
          <cell r="CT157">
            <v>166</v>
          </cell>
          <cell r="CU157">
            <v>80.3</v>
          </cell>
          <cell r="CV157">
            <v>923</v>
          </cell>
          <cell r="CW157">
            <v>247</v>
          </cell>
          <cell r="CX157">
            <v>78.900000000000006</v>
          </cell>
          <cell r="CY157">
            <v>723</v>
          </cell>
          <cell r="CZ157">
            <v>195</v>
          </cell>
          <cell r="DA157">
            <v>78.8</v>
          </cell>
          <cell r="DB157">
            <v>760</v>
          </cell>
          <cell r="DC157">
            <v>227</v>
          </cell>
          <cell r="DD157">
            <v>77</v>
          </cell>
          <cell r="DE157">
            <v>921</v>
          </cell>
          <cell r="DF157">
            <v>211</v>
          </cell>
          <cell r="DG157">
            <v>81.400000000000006</v>
          </cell>
          <cell r="DH157">
            <v>684</v>
          </cell>
          <cell r="DI157">
            <v>261</v>
          </cell>
          <cell r="DJ157">
            <v>72.400000000000006</v>
          </cell>
          <cell r="DK157">
            <v>673</v>
          </cell>
          <cell r="DL157">
            <v>184</v>
          </cell>
          <cell r="DM157">
            <v>78.5</v>
          </cell>
          <cell r="DN157">
            <v>515</v>
          </cell>
          <cell r="DO157">
            <v>137</v>
          </cell>
          <cell r="DP157">
            <v>79</v>
          </cell>
          <cell r="DQ157">
            <v>437</v>
          </cell>
          <cell r="DR157">
            <v>135</v>
          </cell>
          <cell r="DS157">
            <v>76.400000000000006</v>
          </cell>
          <cell r="DT157">
            <v>76.39996337890625</v>
          </cell>
          <cell r="DU157">
            <v>1</v>
          </cell>
          <cell r="DV157">
            <v>0</v>
          </cell>
          <cell r="DW157">
            <v>2</v>
          </cell>
          <cell r="DX157">
            <v>2</v>
          </cell>
          <cell r="DY157">
            <v>100</v>
          </cell>
          <cell r="DZ157">
            <v>100</v>
          </cell>
          <cell r="EA157">
            <v>100</v>
          </cell>
          <cell r="EB157" t="str">
            <v>-</v>
          </cell>
          <cell r="EC157">
            <v>3</v>
          </cell>
          <cell r="ED157">
            <v>3</v>
          </cell>
          <cell r="EE157">
            <v>100</v>
          </cell>
          <cell r="EF157">
            <v>100</v>
          </cell>
          <cell r="EG157">
            <v>100</v>
          </cell>
          <cell r="EH157" t="str">
            <v>-</v>
          </cell>
          <cell r="EI157">
            <v>3</v>
          </cell>
          <cell r="EJ157">
            <v>3</v>
          </cell>
          <cell r="EK157">
            <v>100</v>
          </cell>
          <cell r="EL157">
            <v>100</v>
          </cell>
          <cell r="EM157">
            <v>1</v>
          </cell>
          <cell r="EN157">
            <v>0</v>
          </cell>
          <cell r="EO157">
            <v>1</v>
          </cell>
          <cell r="EP157">
            <v>1</v>
          </cell>
          <cell r="EQ157">
            <v>100</v>
          </cell>
          <cell r="ER157">
            <v>191</v>
          </cell>
          <cell r="ES157">
            <v>38</v>
          </cell>
          <cell r="ET157">
            <v>83.4</v>
          </cell>
          <cell r="EU157">
            <v>163</v>
          </cell>
          <cell r="EV157">
            <v>23</v>
          </cell>
          <cell r="EW157">
            <v>87.6</v>
          </cell>
          <cell r="EX157">
            <v>176</v>
          </cell>
          <cell r="EY157">
            <v>53</v>
          </cell>
          <cell r="EZ157">
            <v>76.900000000000006</v>
          </cell>
          <cell r="FA157">
            <v>168</v>
          </cell>
          <cell r="FB157">
            <v>47</v>
          </cell>
          <cell r="FC157">
            <v>78.099999999999994</v>
          </cell>
          <cell r="FD157">
            <v>128</v>
          </cell>
          <cell r="FE157">
            <v>52</v>
          </cell>
          <cell r="FF157">
            <v>71.099999999999994</v>
          </cell>
          <cell r="FG157">
            <v>169</v>
          </cell>
          <cell r="FH157">
            <v>36</v>
          </cell>
          <cell r="FI157">
            <v>82.4</v>
          </cell>
          <cell r="FJ157">
            <v>178</v>
          </cell>
          <cell r="FK157">
            <v>27</v>
          </cell>
          <cell r="FL157">
            <v>86.8</v>
          </cell>
          <cell r="FM157">
            <v>101</v>
          </cell>
          <cell r="FN157">
            <v>25</v>
          </cell>
          <cell r="FO157">
            <v>80.2</v>
          </cell>
          <cell r="FP157">
            <v>12</v>
          </cell>
          <cell r="FQ157">
            <v>8</v>
          </cell>
          <cell r="FR157">
            <v>60</v>
          </cell>
          <cell r="FS157">
            <v>6</v>
          </cell>
          <cell r="FT157">
            <v>3</v>
          </cell>
          <cell r="FU157">
            <v>66.7</v>
          </cell>
          <cell r="FV157">
            <v>4</v>
          </cell>
          <cell r="FW157">
            <v>2</v>
          </cell>
          <cell r="FX157">
            <v>66.7</v>
          </cell>
          <cell r="FY157">
            <v>9</v>
          </cell>
          <cell r="FZ157">
            <v>1</v>
          </cell>
          <cell r="GA157">
            <v>90</v>
          </cell>
          <cell r="GB157">
            <v>8</v>
          </cell>
          <cell r="GC157">
            <v>10</v>
          </cell>
          <cell r="GD157">
            <v>44.4</v>
          </cell>
          <cell r="GE157">
            <v>11</v>
          </cell>
          <cell r="GF157">
            <v>11</v>
          </cell>
          <cell r="GG157">
            <v>50</v>
          </cell>
          <cell r="GH157">
            <v>8</v>
          </cell>
          <cell r="GI157">
            <v>1</v>
          </cell>
          <cell r="GJ157">
            <v>88.9</v>
          </cell>
          <cell r="GK157">
            <v>10</v>
          </cell>
          <cell r="GL157">
            <v>2</v>
          </cell>
          <cell r="GM157">
            <v>83.3</v>
          </cell>
          <cell r="GN157">
            <v>918</v>
          </cell>
          <cell r="GO157">
            <v>185</v>
          </cell>
          <cell r="GP157">
            <v>83.2</v>
          </cell>
          <cell r="GQ157">
            <v>902</v>
          </cell>
          <cell r="GR157">
            <v>183</v>
          </cell>
          <cell r="GS157">
            <v>83.1</v>
          </cell>
          <cell r="GT157">
            <v>992</v>
          </cell>
          <cell r="GU157">
            <v>207</v>
          </cell>
          <cell r="GV157">
            <v>82.7</v>
          </cell>
          <cell r="GW157">
            <v>1104</v>
          </cell>
          <cell r="GX157">
            <v>272</v>
          </cell>
          <cell r="GY157">
            <v>80.2</v>
          </cell>
          <cell r="GZ157">
            <v>971</v>
          </cell>
          <cell r="HA157">
            <v>239</v>
          </cell>
          <cell r="HB157">
            <v>80.2</v>
          </cell>
          <cell r="HC157">
            <v>907</v>
          </cell>
          <cell r="HD157">
            <v>189</v>
          </cell>
          <cell r="HE157">
            <v>82.8</v>
          </cell>
          <cell r="HF157">
            <v>623</v>
          </cell>
          <cell r="HG157">
            <v>138</v>
          </cell>
          <cell r="HH157">
            <v>81.900000000000006</v>
          </cell>
          <cell r="HI157">
            <v>559</v>
          </cell>
          <cell r="HJ157">
            <v>112</v>
          </cell>
          <cell r="HK157">
            <v>83.3</v>
          </cell>
          <cell r="HL157">
            <v>56</v>
          </cell>
          <cell r="HM157">
            <v>51</v>
          </cell>
          <cell r="HN157">
            <v>52.3</v>
          </cell>
          <cell r="HO157">
            <v>41</v>
          </cell>
          <cell r="HP157">
            <v>55</v>
          </cell>
          <cell r="HQ157">
            <v>42.7</v>
          </cell>
          <cell r="HR157">
            <v>44</v>
          </cell>
          <cell r="HS157">
            <v>40</v>
          </cell>
          <cell r="HT157">
            <v>52.4</v>
          </cell>
          <cell r="HU157">
            <v>39</v>
          </cell>
          <cell r="HV157">
            <v>33</v>
          </cell>
          <cell r="HW157">
            <v>54.2</v>
          </cell>
          <cell r="HX157">
            <v>47</v>
          </cell>
          <cell r="HY157">
            <v>35</v>
          </cell>
          <cell r="HZ157">
            <v>57.3</v>
          </cell>
          <cell r="IA157">
            <v>38</v>
          </cell>
          <cell r="IB157">
            <v>21</v>
          </cell>
          <cell r="IC157">
            <v>64.400000000000006</v>
          </cell>
          <cell r="ID157">
            <v>18</v>
          </cell>
          <cell r="IE157">
            <v>22</v>
          </cell>
          <cell r="IF157">
            <v>45</v>
          </cell>
          <cell r="IG157">
            <v>20</v>
          </cell>
          <cell r="IH157">
            <v>8</v>
          </cell>
          <cell r="II157">
            <v>71.400000000000006</v>
          </cell>
          <cell r="IJ157">
            <v>32</v>
          </cell>
          <cell r="IK157">
            <v>6</v>
          </cell>
          <cell r="IL157">
            <v>84.2</v>
          </cell>
          <cell r="IM157">
            <v>24</v>
          </cell>
          <cell r="IN157">
            <v>9</v>
          </cell>
          <cell r="IO157">
            <v>72.7</v>
          </cell>
          <cell r="IP157">
            <v>14</v>
          </cell>
          <cell r="IQ157">
            <v>7</v>
          </cell>
          <cell r="IR157">
            <v>66.7</v>
          </cell>
          <cell r="IS157">
            <v>5</v>
          </cell>
          <cell r="IT157">
            <v>13</v>
          </cell>
          <cell r="IU157">
            <v>27.8</v>
          </cell>
          <cell r="IV157">
            <v>38</v>
          </cell>
          <cell r="IW157">
            <v>5</v>
          </cell>
          <cell r="IX157">
            <v>88.4</v>
          </cell>
          <cell r="IY157">
            <v>20</v>
          </cell>
          <cell r="IZ157">
            <v>7</v>
          </cell>
          <cell r="JA157">
            <v>74.099999999999994</v>
          </cell>
          <cell r="JB157">
            <v>23</v>
          </cell>
          <cell r="JC157">
            <v>4</v>
          </cell>
          <cell r="JD157">
            <v>85.2</v>
          </cell>
          <cell r="JE157">
            <v>27</v>
          </cell>
          <cell r="JF157">
            <v>7</v>
          </cell>
          <cell r="JG157">
            <v>79.400000000000006</v>
          </cell>
          <cell r="JH157">
            <v>42</v>
          </cell>
          <cell r="JI157">
            <v>3</v>
          </cell>
          <cell r="JJ157">
            <v>93.333333333333329</v>
          </cell>
          <cell r="JK157">
            <v>19</v>
          </cell>
          <cell r="JL157">
            <v>1</v>
          </cell>
          <cell r="JM157">
            <v>95</v>
          </cell>
          <cell r="JN157">
            <v>17</v>
          </cell>
          <cell r="JO157">
            <v>1</v>
          </cell>
          <cell r="JP157">
            <v>94.444444444444443</v>
          </cell>
          <cell r="JQ157">
            <v>5187</v>
          </cell>
          <cell r="JR157">
            <v>1173</v>
          </cell>
          <cell r="JS157">
            <v>81.556603773584897</v>
          </cell>
          <cell r="JT157">
            <v>3230</v>
          </cell>
          <cell r="JU157">
            <v>928</v>
          </cell>
          <cell r="JV157">
            <v>77.681577681577679</v>
          </cell>
          <cell r="JW157">
            <v>7</v>
          </cell>
          <cell r="JX157">
            <v>1</v>
          </cell>
          <cell r="JY157">
            <v>87.5</v>
          </cell>
          <cell r="JZ157">
            <v>744</v>
          </cell>
          <cell r="KA157">
            <v>187</v>
          </cell>
          <cell r="KB157">
            <v>79.914070891514498</v>
          </cell>
          <cell r="KC157">
            <v>46</v>
          </cell>
          <cell r="KD157">
            <v>25</v>
          </cell>
          <cell r="KE157">
            <v>64.788732394366207</v>
          </cell>
          <cell r="KF157">
            <v>4164</v>
          </cell>
          <cell r="KG157">
            <v>950</v>
          </cell>
          <cell r="KH157">
            <v>81.423543214704736</v>
          </cell>
          <cell r="KI157">
            <v>162</v>
          </cell>
          <cell r="KJ157">
            <v>119</v>
          </cell>
          <cell r="KK157">
            <v>57.651245551601427</v>
          </cell>
          <cell r="KL157">
            <v>113</v>
          </cell>
          <cell r="KM157">
            <v>36</v>
          </cell>
          <cell r="KN157">
            <v>75.838926174496649</v>
          </cell>
        </row>
        <row r="158">
          <cell r="C158" t="str">
            <v>Jász-Nagykun-Szolnok MRFK Központ</v>
          </cell>
          <cell r="D158">
            <v>10</v>
          </cell>
          <cell r="E158">
            <v>4</v>
          </cell>
          <cell r="F158">
            <v>71.400000000000006</v>
          </cell>
          <cell r="G158">
            <v>20</v>
          </cell>
          <cell r="H158">
            <v>20</v>
          </cell>
          <cell r="I158">
            <v>100</v>
          </cell>
          <cell r="J158">
            <v>7</v>
          </cell>
          <cell r="K158">
            <v>7</v>
          </cell>
          <cell r="L158">
            <v>100</v>
          </cell>
          <cell r="M158">
            <v>12</v>
          </cell>
          <cell r="N158">
            <v>12</v>
          </cell>
          <cell r="O158">
            <v>100</v>
          </cell>
          <cell r="P158">
            <v>13</v>
          </cell>
          <cell r="Q158">
            <v>13</v>
          </cell>
          <cell r="R158">
            <v>100</v>
          </cell>
          <cell r="S158">
            <v>9</v>
          </cell>
          <cell r="T158">
            <v>9</v>
          </cell>
          <cell r="U158">
            <v>100</v>
          </cell>
          <cell r="V158">
            <v>4</v>
          </cell>
          <cell r="W158">
            <v>4</v>
          </cell>
          <cell r="X158">
            <v>100</v>
          </cell>
          <cell r="Y158">
            <v>8</v>
          </cell>
          <cell r="Z158">
            <v>1</v>
          </cell>
          <cell r="AA158">
            <v>88.9</v>
          </cell>
          <cell r="AB158">
            <v>2</v>
          </cell>
          <cell r="AC158">
            <v>2</v>
          </cell>
          <cell r="AD158">
            <v>50</v>
          </cell>
          <cell r="AE158">
            <v>8</v>
          </cell>
          <cell r="AF158">
            <v>8</v>
          </cell>
          <cell r="AG158">
            <v>100</v>
          </cell>
          <cell r="AH158">
            <v>4</v>
          </cell>
          <cell r="AI158">
            <v>4</v>
          </cell>
          <cell r="AJ158">
            <v>100</v>
          </cell>
          <cell r="AK158">
            <v>6</v>
          </cell>
          <cell r="AL158">
            <v>6</v>
          </cell>
          <cell r="AM158">
            <v>100</v>
          </cell>
          <cell r="AN158">
            <v>8</v>
          </cell>
          <cell r="AO158">
            <v>8</v>
          </cell>
          <cell r="AP158">
            <v>100</v>
          </cell>
          <cell r="AQ158">
            <v>2</v>
          </cell>
          <cell r="AR158">
            <v>2</v>
          </cell>
          <cell r="AS158">
            <v>100</v>
          </cell>
          <cell r="AT158">
            <v>3</v>
          </cell>
          <cell r="AU158">
            <v>3</v>
          </cell>
          <cell r="AV158">
            <v>100</v>
          </cell>
          <cell r="AW158">
            <v>5</v>
          </cell>
          <cell r="AX158">
            <v>1</v>
          </cell>
          <cell r="AY158">
            <v>83.3</v>
          </cell>
          <cell r="AZ158">
            <v>7</v>
          </cell>
          <cell r="BA158">
            <v>2</v>
          </cell>
          <cell r="BB158">
            <v>77.8</v>
          </cell>
          <cell r="BC158">
            <v>10</v>
          </cell>
          <cell r="BD158">
            <v>10</v>
          </cell>
          <cell r="BE158">
            <v>100</v>
          </cell>
          <cell r="BF158">
            <v>1</v>
          </cell>
          <cell r="BG158">
            <v>1</v>
          </cell>
          <cell r="BH158">
            <v>100</v>
          </cell>
          <cell r="BI158">
            <v>6</v>
          </cell>
          <cell r="BJ158">
            <v>6</v>
          </cell>
          <cell r="BK158">
            <v>100</v>
          </cell>
          <cell r="BL158">
            <v>4</v>
          </cell>
          <cell r="BM158">
            <v>4</v>
          </cell>
          <cell r="BN158">
            <v>100</v>
          </cell>
          <cell r="BO158">
            <v>7</v>
          </cell>
          <cell r="BP158">
            <v>7</v>
          </cell>
          <cell r="BQ158">
            <v>100</v>
          </cell>
          <cell r="BR158">
            <v>1</v>
          </cell>
          <cell r="BS158">
            <v>1</v>
          </cell>
          <cell r="BT158">
            <v>100</v>
          </cell>
          <cell r="BU158">
            <v>2</v>
          </cell>
          <cell r="BV158">
            <v>2</v>
          </cell>
          <cell r="BW158">
            <v>100</v>
          </cell>
          <cell r="BX158">
            <v>29</v>
          </cell>
          <cell r="BY158">
            <v>5</v>
          </cell>
          <cell r="BZ158">
            <v>85.3</v>
          </cell>
          <cell r="CA158">
            <v>29</v>
          </cell>
          <cell r="CB158">
            <v>1</v>
          </cell>
          <cell r="CC158">
            <v>96.7</v>
          </cell>
          <cell r="CD158">
            <v>17</v>
          </cell>
          <cell r="CE158">
            <v>3</v>
          </cell>
          <cell r="CF158">
            <v>85</v>
          </cell>
          <cell r="CG158">
            <v>10</v>
          </cell>
          <cell r="CH158">
            <v>3</v>
          </cell>
          <cell r="CI158">
            <v>76.900000000000006</v>
          </cell>
          <cell r="CJ158">
            <v>12</v>
          </cell>
          <cell r="CK158">
            <v>12</v>
          </cell>
          <cell r="CL158">
            <v>100</v>
          </cell>
          <cell r="CM158">
            <v>11</v>
          </cell>
          <cell r="CN158">
            <v>11</v>
          </cell>
          <cell r="CO158">
            <v>100</v>
          </cell>
          <cell r="CP158">
            <v>14</v>
          </cell>
          <cell r="CQ158">
            <v>2</v>
          </cell>
          <cell r="CR158">
            <v>87.5</v>
          </cell>
          <cell r="CS158">
            <v>20</v>
          </cell>
          <cell r="CT158">
            <v>3</v>
          </cell>
          <cell r="CU158">
            <v>87</v>
          </cell>
          <cell r="CV158">
            <v>25</v>
          </cell>
          <cell r="CW158">
            <v>5</v>
          </cell>
          <cell r="CX158">
            <v>83.3</v>
          </cell>
          <cell r="CY158">
            <v>24</v>
          </cell>
          <cell r="CZ158">
            <v>24</v>
          </cell>
          <cell r="DA158">
            <v>100</v>
          </cell>
          <cell r="DB158">
            <v>14</v>
          </cell>
          <cell r="DC158">
            <v>3</v>
          </cell>
          <cell r="DD158">
            <v>82.4</v>
          </cell>
          <cell r="DE158">
            <v>7</v>
          </cell>
          <cell r="DF158">
            <v>2</v>
          </cell>
          <cell r="DG158">
            <v>77.8</v>
          </cell>
          <cell r="DH158">
            <v>10</v>
          </cell>
          <cell r="DI158">
            <v>10</v>
          </cell>
          <cell r="DJ158">
            <v>100</v>
          </cell>
          <cell r="DK158">
            <v>7</v>
          </cell>
          <cell r="DL158">
            <v>7</v>
          </cell>
          <cell r="DM158">
            <v>100</v>
          </cell>
          <cell r="DN158">
            <v>12</v>
          </cell>
          <cell r="DO158">
            <v>2</v>
          </cell>
          <cell r="DP158">
            <v>85.7</v>
          </cell>
          <cell r="DQ158">
            <v>17</v>
          </cell>
          <cell r="DR158">
            <v>1</v>
          </cell>
          <cell r="DS158">
            <v>94.4</v>
          </cell>
          <cell r="DT158">
            <v>2</v>
          </cell>
          <cell r="DU158">
            <v>1</v>
          </cell>
          <cell r="DV158">
            <v>66.7</v>
          </cell>
          <cell r="DW158">
            <v>1</v>
          </cell>
          <cell r="DX158">
            <v>1</v>
          </cell>
          <cell r="DY158">
            <v>100</v>
          </cell>
          <cell r="DZ158">
            <v>3</v>
          </cell>
          <cell r="EA158">
            <v>1</v>
          </cell>
          <cell r="EB158">
            <v>75</v>
          </cell>
          <cell r="EC158">
            <v>75</v>
          </cell>
          <cell r="ED158">
            <v>75</v>
          </cell>
          <cell r="EE158" t="str">
            <v>-</v>
          </cell>
          <cell r="EF158">
            <v>75</v>
          </cell>
          <cell r="EG158">
            <v>75</v>
          </cell>
          <cell r="EH158" t="str">
            <v>-</v>
          </cell>
          <cell r="EI158">
            <v>1</v>
          </cell>
          <cell r="EJ158">
            <v>1</v>
          </cell>
          <cell r="EK158">
            <v>100</v>
          </cell>
          <cell r="EL158">
            <v>1</v>
          </cell>
          <cell r="EM158">
            <v>1</v>
          </cell>
          <cell r="EN158">
            <v>100</v>
          </cell>
          <cell r="EO158">
            <v>1</v>
          </cell>
          <cell r="EP158">
            <v>1</v>
          </cell>
          <cell r="EQ158">
            <v>100</v>
          </cell>
          <cell r="ER158">
            <v>5</v>
          </cell>
          <cell r="ES158">
            <v>1</v>
          </cell>
          <cell r="ET158">
            <v>83.3</v>
          </cell>
          <cell r="EU158">
            <v>3</v>
          </cell>
          <cell r="EV158">
            <v>3</v>
          </cell>
          <cell r="EW158">
            <v>100</v>
          </cell>
          <cell r="EX158">
            <v>7</v>
          </cell>
          <cell r="EY158">
            <v>7</v>
          </cell>
          <cell r="EZ158">
            <v>100</v>
          </cell>
          <cell r="FA158">
            <v>100</v>
          </cell>
          <cell r="FB158">
            <v>100</v>
          </cell>
          <cell r="FC158" t="str">
            <v>-</v>
          </cell>
          <cell r="FD158">
            <v>6</v>
          </cell>
          <cell r="FE158">
            <v>6</v>
          </cell>
          <cell r="FF158">
            <v>100</v>
          </cell>
          <cell r="FG158">
            <v>7</v>
          </cell>
          <cell r="FH158">
            <v>7</v>
          </cell>
          <cell r="FI158">
            <v>100</v>
          </cell>
          <cell r="FJ158">
            <v>6</v>
          </cell>
          <cell r="FK158">
            <v>1</v>
          </cell>
          <cell r="FL158">
            <v>85.7</v>
          </cell>
          <cell r="FM158">
            <v>4</v>
          </cell>
          <cell r="FN158">
            <v>4</v>
          </cell>
          <cell r="FO158">
            <v>100</v>
          </cell>
          <cell r="FP158">
            <v>100</v>
          </cell>
          <cell r="FQ158">
            <v>100</v>
          </cell>
          <cell r="FR158" t="str">
            <v>-</v>
          </cell>
          <cell r="FS158">
            <v>100</v>
          </cell>
          <cell r="FT158">
            <v>100</v>
          </cell>
          <cell r="FU158" t="str">
            <v>-</v>
          </cell>
          <cell r="FV158">
            <v>100</v>
          </cell>
          <cell r="FW158">
            <v>100</v>
          </cell>
          <cell r="FX158" t="str">
            <v>-</v>
          </cell>
          <cell r="FY158">
            <v>100</v>
          </cell>
          <cell r="FZ158">
            <v>100</v>
          </cell>
          <cell r="GA158" t="str">
            <v>-</v>
          </cell>
          <cell r="GB158">
            <v>100</v>
          </cell>
          <cell r="GC158">
            <v>100</v>
          </cell>
          <cell r="GD158" t="str">
            <v>-</v>
          </cell>
          <cell r="GE158">
            <v>100</v>
          </cell>
          <cell r="GF158">
            <v>100</v>
          </cell>
          <cell r="GG158" t="str">
            <v>-</v>
          </cell>
          <cell r="GH158">
            <v>100</v>
          </cell>
          <cell r="GI158">
            <v>100</v>
          </cell>
          <cell r="GJ158" t="str">
            <v>-</v>
          </cell>
          <cell r="GK158">
            <v>100</v>
          </cell>
          <cell r="GL158">
            <v>100</v>
          </cell>
          <cell r="GM158" t="str">
            <v>-</v>
          </cell>
          <cell r="GN158">
            <v>11</v>
          </cell>
          <cell r="GO158">
            <v>1</v>
          </cell>
          <cell r="GP158">
            <v>91.7</v>
          </cell>
          <cell r="GQ158">
            <v>8</v>
          </cell>
          <cell r="GR158">
            <v>8</v>
          </cell>
          <cell r="GS158">
            <v>100</v>
          </cell>
          <cell r="GT158">
            <v>5</v>
          </cell>
          <cell r="GU158">
            <v>5</v>
          </cell>
          <cell r="GV158">
            <v>100</v>
          </cell>
          <cell r="GW158">
            <v>5</v>
          </cell>
          <cell r="GX158">
            <v>1</v>
          </cell>
          <cell r="GY158">
            <v>83.3</v>
          </cell>
          <cell r="GZ158">
            <v>2</v>
          </cell>
          <cell r="HA158">
            <v>2</v>
          </cell>
          <cell r="HB158">
            <v>100</v>
          </cell>
          <cell r="HC158">
            <v>6</v>
          </cell>
          <cell r="HD158">
            <v>6</v>
          </cell>
          <cell r="HE158">
            <v>100</v>
          </cell>
          <cell r="HF158">
            <v>7</v>
          </cell>
          <cell r="HG158">
            <v>1</v>
          </cell>
          <cell r="HH158">
            <v>87.5</v>
          </cell>
          <cell r="HI158">
            <v>2</v>
          </cell>
          <cell r="HJ158">
            <v>2</v>
          </cell>
          <cell r="HK158">
            <v>100</v>
          </cell>
          <cell r="HL158">
            <v>1</v>
          </cell>
          <cell r="HM158">
            <v>1</v>
          </cell>
          <cell r="HN158">
            <v>100</v>
          </cell>
          <cell r="HO158">
            <v>1</v>
          </cell>
          <cell r="HP158">
            <v>1</v>
          </cell>
          <cell r="HQ158">
            <v>100</v>
          </cell>
          <cell r="HR158">
            <v>1</v>
          </cell>
          <cell r="HS158">
            <v>1</v>
          </cell>
          <cell r="HT158">
            <v>50</v>
          </cell>
          <cell r="HU158">
            <v>2</v>
          </cell>
          <cell r="HV158">
            <v>4</v>
          </cell>
          <cell r="HW158">
            <v>33.299999999999997</v>
          </cell>
          <cell r="HX158">
            <v>2</v>
          </cell>
          <cell r="HY158">
            <v>1</v>
          </cell>
          <cell r="HZ158">
            <v>66.7</v>
          </cell>
          <cell r="IA158">
            <v>1</v>
          </cell>
          <cell r="IB158">
            <v>1</v>
          </cell>
          <cell r="IC158">
            <v>100</v>
          </cell>
          <cell r="ID158">
            <v>100</v>
          </cell>
          <cell r="IE158">
            <v>100</v>
          </cell>
          <cell r="IF158" t="str">
            <v>-</v>
          </cell>
          <cell r="IG158">
            <v>100</v>
          </cell>
          <cell r="IH158">
            <v>100</v>
          </cell>
          <cell r="II158" t="str">
            <v>-</v>
          </cell>
          <cell r="IJ158">
            <v>9</v>
          </cell>
          <cell r="IK158">
            <v>2</v>
          </cell>
          <cell r="IL158">
            <v>81.8</v>
          </cell>
          <cell r="IM158">
            <v>7</v>
          </cell>
          <cell r="IN158">
            <v>7</v>
          </cell>
          <cell r="IO158">
            <v>100</v>
          </cell>
          <cell r="IP158">
            <v>5</v>
          </cell>
          <cell r="IQ158">
            <v>5</v>
          </cell>
          <cell r="IR158">
            <v>100</v>
          </cell>
          <cell r="IS158">
            <v>2</v>
          </cell>
          <cell r="IT158">
            <v>2</v>
          </cell>
          <cell r="IU158">
            <v>100</v>
          </cell>
          <cell r="IV158">
            <v>100</v>
          </cell>
          <cell r="IW158">
            <v>100</v>
          </cell>
          <cell r="IX158" t="str">
            <v>-</v>
          </cell>
          <cell r="IY158">
            <v>100</v>
          </cell>
          <cell r="IZ158">
            <v>100</v>
          </cell>
          <cell r="JA158" t="str">
            <v>-</v>
          </cell>
          <cell r="JB158">
            <v>2</v>
          </cell>
          <cell r="JC158">
            <v>2</v>
          </cell>
          <cell r="JD158">
            <v>100</v>
          </cell>
          <cell r="JE158">
            <v>1</v>
          </cell>
          <cell r="JF158">
            <v>1</v>
          </cell>
          <cell r="JG158">
            <v>100</v>
          </cell>
          <cell r="JH158">
            <v>46</v>
          </cell>
          <cell r="JI158">
            <v>1</v>
          </cell>
          <cell r="JJ158">
            <v>97.872340425531917</v>
          </cell>
          <cell r="JK158">
            <v>24</v>
          </cell>
          <cell r="JL158">
            <v>1</v>
          </cell>
          <cell r="JM158">
            <v>96</v>
          </cell>
          <cell r="JN158">
            <v>20</v>
          </cell>
          <cell r="JO158">
            <v>0</v>
          </cell>
          <cell r="JP158">
            <v>100</v>
          </cell>
          <cell r="JQ158">
            <v>67</v>
          </cell>
          <cell r="JR158">
            <v>8</v>
          </cell>
          <cell r="JS158">
            <v>89.333333333333329</v>
          </cell>
          <cell r="JT158">
            <v>53</v>
          </cell>
          <cell r="JU158">
            <v>5</v>
          </cell>
          <cell r="JV158">
            <v>91.379310344827587</v>
          </cell>
          <cell r="JW158">
            <v>3</v>
          </cell>
          <cell r="JX158">
            <v>0</v>
          </cell>
          <cell r="JY158">
            <v>100</v>
          </cell>
          <cell r="JZ158">
            <v>23</v>
          </cell>
          <cell r="KA158">
            <v>1</v>
          </cell>
          <cell r="KB158">
            <v>95.833333333333343</v>
          </cell>
          <cell r="KC158">
            <v>0</v>
          </cell>
          <cell r="KD158">
            <v>0</v>
          </cell>
          <cell r="KE158" t="str">
            <v>-</v>
          </cell>
          <cell r="KF158">
            <v>22</v>
          </cell>
          <cell r="KG158">
            <v>2</v>
          </cell>
          <cell r="KH158">
            <v>91.666666666666657</v>
          </cell>
          <cell r="KI158">
            <v>5</v>
          </cell>
          <cell r="KJ158">
            <v>5</v>
          </cell>
          <cell r="KK158">
            <v>50</v>
          </cell>
          <cell r="KL158">
            <v>5</v>
          </cell>
          <cell r="KM158">
            <v>0</v>
          </cell>
          <cell r="KN158">
            <v>100</v>
          </cell>
        </row>
        <row r="159">
          <cell r="C159" t="str">
            <v>Szolnoki Rendőrkapitányság</v>
          </cell>
          <cell r="D159">
            <v>100</v>
          </cell>
          <cell r="E159">
            <v>100</v>
          </cell>
          <cell r="F159" t="str">
            <v>-</v>
          </cell>
          <cell r="G159">
            <v>100</v>
          </cell>
          <cell r="H159">
            <v>100</v>
          </cell>
          <cell r="I159" t="str">
            <v>-</v>
          </cell>
          <cell r="J159">
            <v>100</v>
          </cell>
          <cell r="K159">
            <v>100</v>
          </cell>
          <cell r="L159" t="str">
            <v>-</v>
          </cell>
          <cell r="M159">
            <v>100</v>
          </cell>
          <cell r="N159">
            <v>100</v>
          </cell>
          <cell r="O159" t="str">
            <v>-</v>
          </cell>
          <cell r="P159">
            <v>100</v>
          </cell>
          <cell r="Q159">
            <v>100</v>
          </cell>
          <cell r="R159" t="str">
            <v>-</v>
          </cell>
          <cell r="S159">
            <v>100</v>
          </cell>
          <cell r="T159">
            <v>100</v>
          </cell>
          <cell r="U159" t="str">
            <v>-</v>
          </cell>
          <cell r="V159">
            <v>100</v>
          </cell>
          <cell r="W159">
            <v>100</v>
          </cell>
          <cell r="X159" t="str">
            <v>-</v>
          </cell>
          <cell r="Y159">
            <v>100</v>
          </cell>
          <cell r="Z159">
            <v>100</v>
          </cell>
          <cell r="AA159" t="str">
            <v>-</v>
          </cell>
          <cell r="AB159">
            <v>100</v>
          </cell>
          <cell r="AC159">
            <v>100</v>
          </cell>
          <cell r="AD159" t="str">
            <v>-</v>
          </cell>
          <cell r="AE159">
            <v>100</v>
          </cell>
          <cell r="AF159">
            <v>100</v>
          </cell>
          <cell r="AG159" t="str">
            <v>-</v>
          </cell>
          <cell r="AH159">
            <v>100</v>
          </cell>
          <cell r="AI159">
            <v>100</v>
          </cell>
          <cell r="AJ159" t="str">
            <v>-</v>
          </cell>
          <cell r="AK159">
            <v>100</v>
          </cell>
          <cell r="AL159">
            <v>100</v>
          </cell>
          <cell r="AM159" t="str">
            <v>-</v>
          </cell>
          <cell r="AN159">
            <v>100</v>
          </cell>
          <cell r="AO159">
            <v>100</v>
          </cell>
          <cell r="AP159" t="str">
            <v>-</v>
          </cell>
          <cell r="AQ159">
            <v>100</v>
          </cell>
          <cell r="AR159">
            <v>100</v>
          </cell>
          <cell r="AS159" t="str">
            <v>-</v>
          </cell>
          <cell r="AT159">
            <v>100</v>
          </cell>
          <cell r="AU159">
            <v>100</v>
          </cell>
          <cell r="AV159" t="str">
            <v>-</v>
          </cell>
          <cell r="AW159">
            <v>100</v>
          </cell>
          <cell r="AX159">
            <v>100</v>
          </cell>
          <cell r="AY159" t="str">
            <v>-</v>
          </cell>
          <cell r="AZ159">
            <v>100</v>
          </cell>
          <cell r="BA159">
            <v>100</v>
          </cell>
          <cell r="BB159" t="str">
            <v>-</v>
          </cell>
          <cell r="BC159">
            <v>100</v>
          </cell>
          <cell r="BD159">
            <v>100</v>
          </cell>
          <cell r="BE159" t="str">
            <v>-</v>
          </cell>
          <cell r="BF159">
            <v>100</v>
          </cell>
          <cell r="BG159">
            <v>100</v>
          </cell>
          <cell r="BH159" t="str">
            <v>-</v>
          </cell>
          <cell r="BI159">
            <v>100</v>
          </cell>
          <cell r="BJ159">
            <v>100</v>
          </cell>
          <cell r="BK159" t="str">
            <v>-</v>
          </cell>
          <cell r="BL159">
            <v>100</v>
          </cell>
          <cell r="BM159">
            <v>100</v>
          </cell>
          <cell r="BN159" t="str">
            <v>-</v>
          </cell>
          <cell r="BO159">
            <v>100</v>
          </cell>
          <cell r="BP159">
            <v>100</v>
          </cell>
          <cell r="BQ159" t="str">
            <v>-</v>
          </cell>
          <cell r="BR159">
            <v>100</v>
          </cell>
          <cell r="BS159">
            <v>100</v>
          </cell>
          <cell r="BT159" t="str">
            <v>-</v>
          </cell>
          <cell r="BU159">
            <v>100</v>
          </cell>
          <cell r="BV159">
            <v>100</v>
          </cell>
          <cell r="BW159" t="str">
            <v>-</v>
          </cell>
          <cell r="BX159">
            <v>129</v>
          </cell>
          <cell r="BY159">
            <v>92</v>
          </cell>
          <cell r="BZ159">
            <v>58.4</v>
          </cell>
          <cell r="CA159">
            <v>142</v>
          </cell>
          <cell r="CB159">
            <v>54</v>
          </cell>
          <cell r="CC159">
            <v>72.400000000000006</v>
          </cell>
          <cell r="CD159">
            <v>116</v>
          </cell>
          <cell r="CE159">
            <v>45</v>
          </cell>
          <cell r="CF159">
            <v>72</v>
          </cell>
          <cell r="CG159">
            <v>99</v>
          </cell>
          <cell r="CH159">
            <v>53</v>
          </cell>
          <cell r="CI159">
            <v>65.099999999999994</v>
          </cell>
          <cell r="CJ159">
            <v>76</v>
          </cell>
          <cell r="CK159">
            <v>58</v>
          </cell>
          <cell r="CL159">
            <v>56.7</v>
          </cell>
          <cell r="CM159">
            <v>100</v>
          </cell>
          <cell r="CN159">
            <v>60</v>
          </cell>
          <cell r="CO159">
            <v>62.5</v>
          </cell>
          <cell r="CP159">
            <v>75</v>
          </cell>
          <cell r="CQ159">
            <v>36</v>
          </cell>
          <cell r="CR159">
            <v>67.599999999999994</v>
          </cell>
          <cell r="CS159">
            <v>74</v>
          </cell>
          <cell r="CT159">
            <v>25</v>
          </cell>
          <cell r="CU159">
            <v>74.7</v>
          </cell>
          <cell r="CV159">
            <v>32</v>
          </cell>
          <cell r="CW159">
            <v>37</v>
          </cell>
          <cell r="CX159">
            <v>46.4</v>
          </cell>
          <cell r="CY159">
            <v>40</v>
          </cell>
          <cell r="CZ159">
            <v>18</v>
          </cell>
          <cell r="DA159">
            <v>69</v>
          </cell>
          <cell r="DB159">
            <v>38</v>
          </cell>
          <cell r="DC159">
            <v>21</v>
          </cell>
          <cell r="DD159">
            <v>64.400000000000006</v>
          </cell>
          <cell r="DE159">
            <v>29</v>
          </cell>
          <cell r="DF159">
            <v>30</v>
          </cell>
          <cell r="DG159">
            <v>49.2</v>
          </cell>
          <cell r="DH159">
            <v>23</v>
          </cell>
          <cell r="DI159">
            <v>21</v>
          </cell>
          <cell r="DJ159">
            <v>52.3</v>
          </cell>
          <cell r="DK159">
            <v>36</v>
          </cell>
          <cell r="DL159">
            <v>28</v>
          </cell>
          <cell r="DM159">
            <v>56.3</v>
          </cell>
          <cell r="DN159">
            <v>17</v>
          </cell>
          <cell r="DO159">
            <v>16</v>
          </cell>
          <cell r="DP159">
            <v>51.5</v>
          </cell>
          <cell r="DQ159">
            <v>21</v>
          </cell>
          <cell r="DR159">
            <v>9</v>
          </cell>
          <cell r="DS159">
            <v>70</v>
          </cell>
          <cell r="DT159">
            <v>70</v>
          </cell>
          <cell r="DU159">
            <v>70</v>
          </cell>
          <cell r="DV159" t="str">
            <v>-</v>
          </cell>
          <cell r="DW159">
            <v>70</v>
          </cell>
          <cell r="DX159">
            <v>70</v>
          </cell>
          <cell r="DY159" t="str">
            <v>-</v>
          </cell>
          <cell r="DZ159">
            <v>70</v>
          </cell>
          <cell r="EA159">
            <v>70</v>
          </cell>
          <cell r="EB159" t="str">
            <v>-</v>
          </cell>
          <cell r="EC159">
            <v>70</v>
          </cell>
          <cell r="ED159">
            <v>70</v>
          </cell>
          <cell r="EE159" t="str">
            <v>-</v>
          </cell>
          <cell r="EF159">
            <v>70</v>
          </cell>
          <cell r="EG159">
            <v>70</v>
          </cell>
          <cell r="EH159" t="str">
            <v>-</v>
          </cell>
          <cell r="EI159">
            <v>70</v>
          </cell>
          <cell r="EJ159">
            <v>70</v>
          </cell>
          <cell r="EK159" t="str">
            <v>-</v>
          </cell>
          <cell r="EL159">
            <v>70</v>
          </cell>
          <cell r="EM159">
            <v>70</v>
          </cell>
          <cell r="EN159" t="str">
            <v>-</v>
          </cell>
          <cell r="EO159">
            <v>70</v>
          </cell>
          <cell r="EP159">
            <v>70</v>
          </cell>
          <cell r="EQ159" t="str">
            <v>-</v>
          </cell>
          <cell r="ER159">
            <v>26</v>
          </cell>
          <cell r="ES159">
            <v>37</v>
          </cell>
          <cell r="ET159">
            <v>41.3</v>
          </cell>
          <cell r="EU159">
            <v>41</v>
          </cell>
          <cell r="EV159">
            <v>32</v>
          </cell>
          <cell r="EW159">
            <v>56.2</v>
          </cell>
          <cell r="EX159">
            <v>24</v>
          </cell>
          <cell r="EY159">
            <v>25</v>
          </cell>
          <cell r="EZ159">
            <v>49</v>
          </cell>
          <cell r="FA159">
            <v>10</v>
          </cell>
          <cell r="FB159">
            <v>12</v>
          </cell>
          <cell r="FC159">
            <v>45.5</v>
          </cell>
          <cell r="FD159">
            <v>23</v>
          </cell>
          <cell r="FE159">
            <v>12</v>
          </cell>
          <cell r="FF159">
            <v>65.7</v>
          </cell>
          <cell r="FG159">
            <v>22</v>
          </cell>
          <cell r="FH159">
            <v>13</v>
          </cell>
          <cell r="FI159">
            <v>62.9</v>
          </cell>
          <cell r="FJ159">
            <v>20</v>
          </cell>
          <cell r="FK159">
            <v>5</v>
          </cell>
          <cell r="FL159">
            <v>80</v>
          </cell>
          <cell r="FM159">
            <v>11</v>
          </cell>
          <cell r="FN159">
            <v>6</v>
          </cell>
          <cell r="FO159">
            <v>64.7</v>
          </cell>
          <cell r="FP159">
            <v>64.699951171875</v>
          </cell>
          <cell r="FQ159">
            <v>64.699951171875</v>
          </cell>
          <cell r="FR159" t="str">
            <v>-</v>
          </cell>
          <cell r="FS159">
            <v>64.699951171875</v>
          </cell>
          <cell r="FT159">
            <v>64.699951171875</v>
          </cell>
          <cell r="FU159" t="str">
            <v>-</v>
          </cell>
          <cell r="FV159">
            <v>64.699951171875</v>
          </cell>
          <cell r="FW159">
            <v>64.699951171875</v>
          </cell>
          <cell r="FX159" t="str">
            <v>-</v>
          </cell>
          <cell r="FY159">
            <v>64.699951171875</v>
          </cell>
          <cell r="FZ159">
            <v>64.699951171875</v>
          </cell>
          <cell r="GA159" t="str">
            <v>-</v>
          </cell>
          <cell r="GB159">
            <v>64.699951171875</v>
          </cell>
          <cell r="GC159">
            <v>64.699951171875</v>
          </cell>
          <cell r="GD159" t="str">
            <v>-</v>
          </cell>
          <cell r="GE159">
            <v>64.699951171875</v>
          </cell>
          <cell r="GF159">
            <v>64.699951171875</v>
          </cell>
          <cell r="GG159" t="str">
            <v>-</v>
          </cell>
          <cell r="GH159">
            <v>64.699951171875</v>
          </cell>
          <cell r="GI159">
            <v>64.699951171875</v>
          </cell>
          <cell r="GJ159" t="str">
            <v>-</v>
          </cell>
          <cell r="GK159">
            <v>64.699951171875</v>
          </cell>
          <cell r="GL159">
            <v>64.699951171875</v>
          </cell>
          <cell r="GM159" t="str">
            <v>-</v>
          </cell>
          <cell r="GN159">
            <v>186</v>
          </cell>
          <cell r="GO159">
            <v>98</v>
          </cell>
          <cell r="GP159">
            <v>65.5</v>
          </cell>
          <cell r="GQ159">
            <v>191</v>
          </cell>
          <cell r="GR159">
            <v>83</v>
          </cell>
          <cell r="GS159">
            <v>69.7</v>
          </cell>
          <cell r="GT159">
            <v>197</v>
          </cell>
          <cell r="GU159">
            <v>94</v>
          </cell>
          <cell r="GV159">
            <v>67.7</v>
          </cell>
          <cell r="GW159">
            <v>156</v>
          </cell>
          <cell r="GX159">
            <v>89</v>
          </cell>
          <cell r="GY159">
            <v>63.7</v>
          </cell>
          <cell r="GZ159">
            <v>137</v>
          </cell>
          <cell r="HA159">
            <v>118</v>
          </cell>
          <cell r="HB159">
            <v>53.7</v>
          </cell>
          <cell r="HC159">
            <v>127</v>
          </cell>
          <cell r="HD159">
            <v>86</v>
          </cell>
          <cell r="HE159">
            <v>59.6</v>
          </cell>
          <cell r="HF159">
            <v>127</v>
          </cell>
          <cell r="HG159">
            <v>74</v>
          </cell>
          <cell r="HH159">
            <v>63.2</v>
          </cell>
          <cell r="HI159">
            <v>115</v>
          </cell>
          <cell r="HJ159">
            <v>35</v>
          </cell>
          <cell r="HK159">
            <v>76.7</v>
          </cell>
          <cell r="HL159">
            <v>9</v>
          </cell>
          <cell r="HM159">
            <v>15</v>
          </cell>
          <cell r="HN159">
            <v>37.5</v>
          </cell>
          <cell r="HO159">
            <v>6</v>
          </cell>
          <cell r="HP159">
            <v>14</v>
          </cell>
          <cell r="HQ159">
            <v>30</v>
          </cell>
          <cell r="HR159">
            <v>3</v>
          </cell>
          <cell r="HS159">
            <v>12</v>
          </cell>
          <cell r="HT159">
            <v>20</v>
          </cell>
          <cell r="HU159">
            <v>4</v>
          </cell>
          <cell r="HV159">
            <v>3</v>
          </cell>
          <cell r="HW159">
            <v>57.1</v>
          </cell>
          <cell r="HX159">
            <v>3</v>
          </cell>
          <cell r="HY159">
            <v>9</v>
          </cell>
          <cell r="HZ159">
            <v>25</v>
          </cell>
          <cell r="IA159">
            <v>5</v>
          </cell>
          <cell r="IB159">
            <v>1</v>
          </cell>
          <cell r="IC159">
            <v>83.3</v>
          </cell>
          <cell r="ID159">
            <v>1</v>
          </cell>
          <cell r="IE159">
            <v>2</v>
          </cell>
          <cell r="IF159">
            <v>33.299999999999997</v>
          </cell>
          <cell r="IG159">
            <v>1</v>
          </cell>
          <cell r="IH159">
            <v>3</v>
          </cell>
          <cell r="II159">
            <v>25</v>
          </cell>
          <cell r="IJ159">
            <v>17</v>
          </cell>
          <cell r="IK159">
            <v>10</v>
          </cell>
          <cell r="IL159">
            <v>63</v>
          </cell>
          <cell r="IM159">
            <v>19</v>
          </cell>
          <cell r="IN159">
            <v>21</v>
          </cell>
          <cell r="IO159">
            <v>47.5</v>
          </cell>
          <cell r="IP159">
            <v>1</v>
          </cell>
          <cell r="IQ159">
            <v>1</v>
          </cell>
          <cell r="IR159">
            <v>100</v>
          </cell>
          <cell r="IS159">
            <v>100</v>
          </cell>
          <cell r="IT159">
            <v>3</v>
          </cell>
          <cell r="IU159">
            <v>0</v>
          </cell>
          <cell r="IV159">
            <v>0</v>
          </cell>
          <cell r="IW159">
            <v>2</v>
          </cell>
          <cell r="IX159">
            <v>0</v>
          </cell>
          <cell r="IY159">
            <v>0</v>
          </cell>
          <cell r="IZ159">
            <v>0</v>
          </cell>
          <cell r="JA159" t="str">
            <v>-</v>
          </cell>
          <cell r="JB159">
            <v>2</v>
          </cell>
          <cell r="JC159">
            <v>1</v>
          </cell>
          <cell r="JD159">
            <v>66.7</v>
          </cell>
          <cell r="JE159">
            <v>1</v>
          </cell>
          <cell r="JF159">
            <v>1</v>
          </cell>
          <cell r="JG159">
            <v>50</v>
          </cell>
          <cell r="JH159">
            <v>0</v>
          </cell>
          <cell r="JI159">
            <v>0</v>
          </cell>
          <cell r="JJ159" t="str">
            <v>-</v>
          </cell>
          <cell r="JK159">
            <v>0</v>
          </cell>
          <cell r="JL159">
            <v>0</v>
          </cell>
          <cell r="JM159" t="str">
            <v>-</v>
          </cell>
          <cell r="JN159">
            <v>0</v>
          </cell>
          <cell r="JO159">
            <v>0</v>
          </cell>
          <cell r="JP159" t="str">
            <v>-</v>
          </cell>
          <cell r="JQ159">
            <v>424</v>
          </cell>
          <cell r="JR159">
            <v>232</v>
          </cell>
          <cell r="JS159">
            <v>64.634146341463421</v>
          </cell>
          <cell r="JT159">
            <v>126</v>
          </cell>
          <cell r="JU159">
            <v>104</v>
          </cell>
          <cell r="JV159">
            <v>54.782608695652172</v>
          </cell>
          <cell r="JW159">
            <v>0</v>
          </cell>
          <cell r="JX159">
            <v>0</v>
          </cell>
          <cell r="JY159" t="str">
            <v>-</v>
          </cell>
          <cell r="JZ159">
            <v>86</v>
          </cell>
          <cell r="KA159">
            <v>48</v>
          </cell>
          <cell r="KB159">
            <v>64.179104477611943</v>
          </cell>
          <cell r="KC159">
            <v>0</v>
          </cell>
          <cell r="KD159">
            <v>0</v>
          </cell>
          <cell r="KE159" t="str">
            <v>-</v>
          </cell>
          <cell r="KF159">
            <v>662</v>
          </cell>
          <cell r="KG159">
            <v>402</v>
          </cell>
          <cell r="KH159">
            <v>62.218045112781951</v>
          </cell>
          <cell r="KI159">
            <v>14</v>
          </cell>
          <cell r="KJ159">
            <v>18</v>
          </cell>
          <cell r="KK159">
            <v>43.75</v>
          </cell>
          <cell r="KL159">
            <v>3</v>
          </cell>
          <cell r="KM159">
            <v>7</v>
          </cell>
          <cell r="KN159">
            <v>30</v>
          </cell>
        </row>
        <row r="160">
          <cell r="C160" t="str">
            <v>Jászberényi Rendőrkapitányság</v>
          </cell>
          <cell r="D160">
            <v>30</v>
          </cell>
          <cell r="E160">
            <v>30</v>
          </cell>
          <cell r="F160" t="str">
            <v>-</v>
          </cell>
          <cell r="G160">
            <v>30</v>
          </cell>
          <cell r="H160">
            <v>30</v>
          </cell>
          <cell r="I160" t="str">
            <v>-</v>
          </cell>
          <cell r="J160">
            <v>30</v>
          </cell>
          <cell r="K160">
            <v>30</v>
          </cell>
          <cell r="L160" t="str">
            <v>-</v>
          </cell>
          <cell r="M160">
            <v>30</v>
          </cell>
          <cell r="N160">
            <v>30</v>
          </cell>
          <cell r="O160" t="str">
            <v>-</v>
          </cell>
          <cell r="P160">
            <v>30</v>
          </cell>
          <cell r="Q160">
            <v>30</v>
          </cell>
          <cell r="R160" t="str">
            <v>-</v>
          </cell>
          <cell r="S160">
            <v>30</v>
          </cell>
          <cell r="T160">
            <v>30</v>
          </cell>
          <cell r="U160" t="str">
            <v>-</v>
          </cell>
          <cell r="V160">
            <v>30</v>
          </cell>
          <cell r="W160">
            <v>30</v>
          </cell>
          <cell r="X160" t="str">
            <v>-</v>
          </cell>
          <cell r="Y160">
            <v>30</v>
          </cell>
          <cell r="Z160">
            <v>30</v>
          </cell>
          <cell r="AA160" t="str">
            <v>-</v>
          </cell>
          <cell r="AB160">
            <v>30</v>
          </cell>
          <cell r="AC160">
            <v>30</v>
          </cell>
          <cell r="AD160" t="str">
            <v>-</v>
          </cell>
          <cell r="AE160">
            <v>30</v>
          </cell>
          <cell r="AF160">
            <v>30</v>
          </cell>
          <cell r="AG160" t="str">
            <v>-</v>
          </cell>
          <cell r="AH160">
            <v>30</v>
          </cell>
          <cell r="AI160">
            <v>30</v>
          </cell>
          <cell r="AJ160" t="str">
            <v>-</v>
          </cell>
          <cell r="AK160">
            <v>30</v>
          </cell>
          <cell r="AL160">
            <v>30</v>
          </cell>
          <cell r="AM160" t="str">
            <v>-</v>
          </cell>
          <cell r="AN160">
            <v>30</v>
          </cell>
          <cell r="AO160">
            <v>30</v>
          </cell>
          <cell r="AP160" t="str">
            <v>-</v>
          </cell>
          <cell r="AQ160">
            <v>30</v>
          </cell>
          <cell r="AR160">
            <v>30</v>
          </cell>
          <cell r="AS160" t="str">
            <v>-</v>
          </cell>
          <cell r="AT160">
            <v>30</v>
          </cell>
          <cell r="AU160">
            <v>30</v>
          </cell>
          <cell r="AV160" t="str">
            <v>-</v>
          </cell>
          <cell r="AW160">
            <v>30</v>
          </cell>
          <cell r="AX160">
            <v>30</v>
          </cell>
          <cell r="AY160" t="str">
            <v>-</v>
          </cell>
          <cell r="AZ160">
            <v>30</v>
          </cell>
          <cell r="BA160">
            <v>30</v>
          </cell>
          <cell r="BB160" t="str">
            <v>-</v>
          </cell>
          <cell r="BC160">
            <v>30</v>
          </cell>
          <cell r="BD160">
            <v>30</v>
          </cell>
          <cell r="BE160" t="str">
            <v>-</v>
          </cell>
          <cell r="BF160">
            <v>30</v>
          </cell>
          <cell r="BG160">
            <v>30</v>
          </cell>
          <cell r="BH160" t="str">
            <v>-</v>
          </cell>
          <cell r="BI160">
            <v>30</v>
          </cell>
          <cell r="BJ160">
            <v>30</v>
          </cell>
          <cell r="BK160" t="str">
            <v>-</v>
          </cell>
          <cell r="BL160">
            <v>30</v>
          </cell>
          <cell r="BM160">
            <v>30</v>
          </cell>
          <cell r="BN160" t="str">
            <v>-</v>
          </cell>
          <cell r="BO160">
            <v>30</v>
          </cell>
          <cell r="BP160">
            <v>30</v>
          </cell>
          <cell r="BQ160" t="str">
            <v>-</v>
          </cell>
          <cell r="BR160">
            <v>30</v>
          </cell>
          <cell r="BS160">
            <v>30</v>
          </cell>
          <cell r="BT160" t="str">
            <v>-</v>
          </cell>
          <cell r="BU160">
            <v>30</v>
          </cell>
          <cell r="BV160">
            <v>30</v>
          </cell>
          <cell r="BW160" t="str">
            <v>-</v>
          </cell>
          <cell r="BX160">
            <v>98</v>
          </cell>
          <cell r="BY160">
            <v>45</v>
          </cell>
          <cell r="BZ160">
            <v>68.5</v>
          </cell>
          <cell r="CA160">
            <v>103</v>
          </cell>
          <cell r="CB160">
            <v>35</v>
          </cell>
          <cell r="CC160">
            <v>74.599999999999994</v>
          </cell>
          <cell r="CD160">
            <v>99</v>
          </cell>
          <cell r="CE160">
            <v>48</v>
          </cell>
          <cell r="CF160">
            <v>67.3</v>
          </cell>
          <cell r="CG160">
            <v>90</v>
          </cell>
          <cell r="CH160">
            <v>41</v>
          </cell>
          <cell r="CI160">
            <v>68.7</v>
          </cell>
          <cell r="CJ160">
            <v>105</v>
          </cell>
          <cell r="CK160">
            <v>36</v>
          </cell>
          <cell r="CL160">
            <v>74.5</v>
          </cell>
          <cell r="CM160">
            <v>106</v>
          </cell>
          <cell r="CN160">
            <v>34</v>
          </cell>
          <cell r="CO160">
            <v>75.7</v>
          </cell>
          <cell r="CP160">
            <v>88</v>
          </cell>
          <cell r="CQ160">
            <v>23</v>
          </cell>
          <cell r="CR160">
            <v>79.3</v>
          </cell>
          <cell r="CS160">
            <v>70</v>
          </cell>
          <cell r="CT160">
            <v>27</v>
          </cell>
          <cell r="CU160">
            <v>72.2</v>
          </cell>
          <cell r="CV160">
            <v>35</v>
          </cell>
          <cell r="CW160">
            <v>22</v>
          </cell>
          <cell r="CX160">
            <v>61.4</v>
          </cell>
          <cell r="CY160">
            <v>29</v>
          </cell>
          <cell r="CZ160">
            <v>11</v>
          </cell>
          <cell r="DA160">
            <v>72.5</v>
          </cell>
          <cell r="DB160">
            <v>31</v>
          </cell>
          <cell r="DC160">
            <v>26</v>
          </cell>
          <cell r="DD160">
            <v>54.4</v>
          </cell>
          <cell r="DE160">
            <v>33</v>
          </cell>
          <cell r="DF160">
            <v>20</v>
          </cell>
          <cell r="DG160">
            <v>62.3</v>
          </cell>
          <cell r="DH160">
            <v>29</v>
          </cell>
          <cell r="DI160">
            <v>21</v>
          </cell>
          <cell r="DJ160">
            <v>58</v>
          </cell>
          <cell r="DK160">
            <v>37</v>
          </cell>
          <cell r="DL160">
            <v>19</v>
          </cell>
          <cell r="DM160">
            <v>66.099999999999994</v>
          </cell>
          <cell r="DN160">
            <v>29</v>
          </cell>
          <cell r="DO160">
            <v>10</v>
          </cell>
          <cell r="DP160">
            <v>74.400000000000006</v>
          </cell>
          <cell r="DQ160">
            <v>26</v>
          </cell>
          <cell r="DR160">
            <v>9</v>
          </cell>
          <cell r="DS160">
            <v>74.3</v>
          </cell>
          <cell r="DT160">
            <v>74.29998779296875</v>
          </cell>
          <cell r="DU160">
            <v>74.29998779296875</v>
          </cell>
          <cell r="DV160" t="str">
            <v>-</v>
          </cell>
          <cell r="DW160">
            <v>74.29998779296875</v>
          </cell>
          <cell r="DX160">
            <v>74.29998779296875</v>
          </cell>
          <cell r="DY160" t="str">
            <v>-</v>
          </cell>
          <cell r="DZ160">
            <v>74.29998779296875</v>
          </cell>
          <cell r="EA160">
            <v>74.29998779296875</v>
          </cell>
          <cell r="EB160" t="str">
            <v>-</v>
          </cell>
          <cell r="EC160">
            <v>74.29998779296875</v>
          </cell>
          <cell r="ED160">
            <v>74.29998779296875</v>
          </cell>
          <cell r="EE160" t="str">
            <v>-</v>
          </cell>
          <cell r="EF160">
            <v>74.29998779296875</v>
          </cell>
          <cell r="EG160">
            <v>74.29998779296875</v>
          </cell>
          <cell r="EH160" t="str">
            <v>-</v>
          </cell>
          <cell r="EI160">
            <v>74.29998779296875</v>
          </cell>
          <cell r="EJ160">
            <v>74.29998779296875</v>
          </cell>
          <cell r="EK160" t="str">
            <v>-</v>
          </cell>
          <cell r="EL160">
            <v>74.29998779296875</v>
          </cell>
          <cell r="EM160">
            <v>74.29998779296875</v>
          </cell>
          <cell r="EN160" t="str">
            <v>-</v>
          </cell>
          <cell r="EO160">
            <v>74.29998779296875</v>
          </cell>
          <cell r="EP160">
            <v>74.29998779296875</v>
          </cell>
          <cell r="EQ160" t="str">
            <v>-</v>
          </cell>
          <cell r="ER160">
            <v>11</v>
          </cell>
          <cell r="ES160">
            <v>17</v>
          </cell>
          <cell r="ET160">
            <v>39.299999999999997</v>
          </cell>
          <cell r="EU160">
            <v>50</v>
          </cell>
          <cell r="EV160">
            <v>20</v>
          </cell>
          <cell r="EW160">
            <v>71.400000000000006</v>
          </cell>
          <cell r="EX160">
            <v>22</v>
          </cell>
          <cell r="EY160">
            <v>35</v>
          </cell>
          <cell r="EZ160">
            <v>38.6</v>
          </cell>
          <cell r="FA160">
            <v>23</v>
          </cell>
          <cell r="FB160">
            <v>9</v>
          </cell>
          <cell r="FC160">
            <v>71.900000000000006</v>
          </cell>
          <cell r="FD160">
            <v>45</v>
          </cell>
          <cell r="FE160">
            <v>25</v>
          </cell>
          <cell r="FF160">
            <v>64.3</v>
          </cell>
          <cell r="FG160">
            <v>36</v>
          </cell>
          <cell r="FH160">
            <v>23</v>
          </cell>
          <cell r="FI160">
            <v>61</v>
          </cell>
          <cell r="FJ160">
            <v>15</v>
          </cell>
          <cell r="FK160">
            <v>6</v>
          </cell>
          <cell r="FL160">
            <v>71.400000000000006</v>
          </cell>
          <cell r="FM160">
            <v>15</v>
          </cell>
          <cell r="FN160">
            <v>8</v>
          </cell>
          <cell r="FO160">
            <v>65.2</v>
          </cell>
          <cell r="FP160">
            <v>65.199951171875</v>
          </cell>
          <cell r="FQ160">
            <v>65.199951171875</v>
          </cell>
          <cell r="FR160" t="str">
            <v>-</v>
          </cell>
          <cell r="FS160">
            <v>65.199951171875</v>
          </cell>
          <cell r="FT160">
            <v>65.199951171875</v>
          </cell>
          <cell r="FU160" t="str">
            <v>-</v>
          </cell>
          <cell r="FV160">
            <v>65.199951171875</v>
          </cell>
          <cell r="FW160">
            <v>65.199951171875</v>
          </cell>
          <cell r="FX160" t="str">
            <v>-</v>
          </cell>
          <cell r="FY160">
            <v>65.199951171875</v>
          </cell>
          <cell r="FZ160">
            <v>65.199951171875</v>
          </cell>
          <cell r="GA160" t="str">
            <v>-</v>
          </cell>
          <cell r="GB160">
            <v>65.199951171875</v>
          </cell>
          <cell r="GC160">
            <v>65.199951171875</v>
          </cell>
          <cell r="GD160" t="str">
            <v>-</v>
          </cell>
          <cell r="GE160">
            <v>65.199951171875</v>
          </cell>
          <cell r="GF160">
            <v>65.199951171875</v>
          </cell>
          <cell r="GG160" t="str">
            <v>-</v>
          </cell>
          <cell r="GH160">
            <v>65.199951171875</v>
          </cell>
          <cell r="GI160">
            <v>65.199951171875</v>
          </cell>
          <cell r="GJ160" t="str">
            <v>-</v>
          </cell>
          <cell r="GK160">
            <v>65.199951171875</v>
          </cell>
          <cell r="GL160">
            <v>65.199951171875</v>
          </cell>
          <cell r="GM160" t="str">
            <v>-</v>
          </cell>
          <cell r="GN160">
            <v>166</v>
          </cell>
          <cell r="GO160">
            <v>66</v>
          </cell>
          <cell r="GP160">
            <v>71.599999999999994</v>
          </cell>
          <cell r="GQ160">
            <v>162</v>
          </cell>
          <cell r="GR160">
            <v>54</v>
          </cell>
          <cell r="GS160">
            <v>75</v>
          </cell>
          <cell r="GT160">
            <v>145</v>
          </cell>
          <cell r="GU160">
            <v>71</v>
          </cell>
          <cell r="GV160">
            <v>67.099999999999994</v>
          </cell>
          <cell r="GW160">
            <v>155</v>
          </cell>
          <cell r="GX160">
            <v>81</v>
          </cell>
          <cell r="GY160">
            <v>65.7</v>
          </cell>
          <cell r="GZ160">
            <v>190</v>
          </cell>
          <cell r="HA160">
            <v>104</v>
          </cell>
          <cell r="HB160">
            <v>64.599999999999994</v>
          </cell>
          <cell r="HC160">
            <v>219</v>
          </cell>
          <cell r="HD160">
            <v>90</v>
          </cell>
          <cell r="HE160">
            <v>70.900000000000006</v>
          </cell>
          <cell r="HF160">
            <v>183</v>
          </cell>
          <cell r="HG160">
            <v>44</v>
          </cell>
          <cell r="HH160">
            <v>80.599999999999994</v>
          </cell>
          <cell r="HI160">
            <v>100</v>
          </cell>
          <cell r="HJ160">
            <v>36</v>
          </cell>
          <cell r="HK160">
            <v>73.5</v>
          </cell>
          <cell r="HL160">
            <v>2</v>
          </cell>
          <cell r="HM160">
            <v>11</v>
          </cell>
          <cell r="HN160">
            <v>15.4</v>
          </cell>
          <cell r="HO160">
            <v>3</v>
          </cell>
          <cell r="HP160">
            <v>5</v>
          </cell>
          <cell r="HQ160">
            <v>37.5</v>
          </cell>
          <cell r="HR160">
            <v>5</v>
          </cell>
          <cell r="HS160">
            <v>6</v>
          </cell>
          <cell r="HT160">
            <v>45.5</v>
          </cell>
          <cell r="HU160">
            <v>2</v>
          </cell>
          <cell r="HV160">
            <v>4</v>
          </cell>
          <cell r="HW160">
            <v>33.299999999999997</v>
          </cell>
          <cell r="HX160">
            <v>8</v>
          </cell>
          <cell r="HY160">
            <v>4</v>
          </cell>
          <cell r="HZ160">
            <v>66.7</v>
          </cell>
          <cell r="IA160">
            <v>5</v>
          </cell>
          <cell r="IB160">
            <v>2</v>
          </cell>
          <cell r="IC160">
            <v>71.400000000000006</v>
          </cell>
          <cell r="ID160">
            <v>2</v>
          </cell>
          <cell r="IE160">
            <v>1</v>
          </cell>
          <cell r="IF160">
            <v>66.7</v>
          </cell>
          <cell r="IG160">
            <v>4</v>
          </cell>
          <cell r="IH160">
            <v>2</v>
          </cell>
          <cell r="II160">
            <v>66.7</v>
          </cell>
          <cell r="IJ160">
            <v>3</v>
          </cell>
          <cell r="IK160">
            <v>1</v>
          </cell>
          <cell r="IL160">
            <v>75</v>
          </cell>
          <cell r="IM160">
            <v>1</v>
          </cell>
          <cell r="IN160">
            <v>1</v>
          </cell>
          <cell r="IO160">
            <v>50</v>
          </cell>
          <cell r="IP160">
            <v>3</v>
          </cell>
          <cell r="IQ160">
            <v>3</v>
          </cell>
          <cell r="IR160">
            <v>50</v>
          </cell>
          <cell r="IS160">
            <v>4</v>
          </cell>
          <cell r="IT160">
            <v>1</v>
          </cell>
          <cell r="IU160">
            <v>80</v>
          </cell>
          <cell r="IV160">
            <v>6</v>
          </cell>
          <cell r="IW160">
            <v>2</v>
          </cell>
          <cell r="IX160">
            <v>75</v>
          </cell>
          <cell r="IY160">
            <v>2</v>
          </cell>
          <cell r="IZ160">
            <v>2</v>
          </cell>
          <cell r="JA160">
            <v>100</v>
          </cell>
          <cell r="JB160">
            <v>100</v>
          </cell>
          <cell r="JC160">
            <v>1</v>
          </cell>
          <cell r="JD160">
            <v>0</v>
          </cell>
          <cell r="JE160">
            <v>1</v>
          </cell>
          <cell r="JF160">
            <v>1</v>
          </cell>
          <cell r="JG160">
            <v>100</v>
          </cell>
          <cell r="JH160">
            <v>0</v>
          </cell>
          <cell r="JI160">
            <v>0</v>
          </cell>
          <cell r="JJ160" t="str">
            <v>-</v>
          </cell>
          <cell r="JK160">
            <v>0</v>
          </cell>
          <cell r="JL160">
            <v>0</v>
          </cell>
          <cell r="JM160" t="str">
            <v>-</v>
          </cell>
          <cell r="JN160">
            <v>0</v>
          </cell>
          <cell r="JO160">
            <v>0</v>
          </cell>
          <cell r="JP160" t="str">
            <v>-</v>
          </cell>
          <cell r="JQ160">
            <v>459</v>
          </cell>
          <cell r="JR160">
            <v>161</v>
          </cell>
          <cell r="JS160">
            <v>74.032258064516128</v>
          </cell>
          <cell r="JT160">
            <v>154</v>
          </cell>
          <cell r="JU160">
            <v>79</v>
          </cell>
          <cell r="JV160">
            <v>66.094420600858371</v>
          </cell>
          <cell r="JW160">
            <v>0</v>
          </cell>
          <cell r="JX160">
            <v>0</v>
          </cell>
          <cell r="JY160" t="str">
            <v>-</v>
          </cell>
          <cell r="JZ160">
            <v>134</v>
          </cell>
          <cell r="KA160">
            <v>71</v>
          </cell>
          <cell r="KB160">
            <v>65.365853658536594</v>
          </cell>
          <cell r="KC160">
            <v>0</v>
          </cell>
          <cell r="KD160">
            <v>0</v>
          </cell>
          <cell r="KE160" t="str">
            <v>-</v>
          </cell>
          <cell r="KF160">
            <v>847</v>
          </cell>
          <cell r="KG160">
            <v>355</v>
          </cell>
          <cell r="KH160">
            <v>70.465890183028293</v>
          </cell>
          <cell r="KI160">
            <v>21</v>
          </cell>
          <cell r="KJ160">
            <v>13</v>
          </cell>
          <cell r="KK160">
            <v>61.764705882352942</v>
          </cell>
          <cell r="KL160">
            <v>13</v>
          </cell>
          <cell r="KM160">
            <v>4</v>
          </cell>
          <cell r="KN160">
            <v>76.470588235294116</v>
          </cell>
        </row>
        <row r="161">
          <cell r="C161" t="str">
            <v>Karcagi Rendőrkapitányság</v>
          </cell>
          <cell r="D161">
            <v>76.4705810546875</v>
          </cell>
          <cell r="E161">
            <v>76.4705810546875</v>
          </cell>
          <cell r="F161" t="str">
            <v>-</v>
          </cell>
          <cell r="G161">
            <v>76.4705810546875</v>
          </cell>
          <cell r="H161">
            <v>76.4705810546875</v>
          </cell>
          <cell r="I161" t="str">
            <v>-</v>
          </cell>
          <cell r="J161">
            <v>76.4705810546875</v>
          </cell>
          <cell r="K161">
            <v>76.4705810546875</v>
          </cell>
          <cell r="L161" t="str">
            <v>-</v>
          </cell>
          <cell r="M161">
            <v>76.4705810546875</v>
          </cell>
          <cell r="N161">
            <v>76.4705810546875</v>
          </cell>
          <cell r="O161" t="str">
            <v>-</v>
          </cell>
          <cell r="P161">
            <v>76.4705810546875</v>
          </cell>
          <cell r="Q161">
            <v>76.4705810546875</v>
          </cell>
          <cell r="R161" t="str">
            <v>-</v>
          </cell>
          <cell r="S161">
            <v>76.4705810546875</v>
          </cell>
          <cell r="T161">
            <v>76.4705810546875</v>
          </cell>
          <cell r="U161" t="str">
            <v>-</v>
          </cell>
          <cell r="V161">
            <v>76.4705810546875</v>
          </cell>
          <cell r="W161">
            <v>76.4705810546875</v>
          </cell>
          <cell r="X161" t="str">
            <v>-</v>
          </cell>
          <cell r="Y161">
            <v>76.4705810546875</v>
          </cell>
          <cell r="Z161">
            <v>76.4705810546875</v>
          </cell>
          <cell r="AA161" t="str">
            <v>-</v>
          </cell>
          <cell r="AB161">
            <v>76.4705810546875</v>
          </cell>
          <cell r="AC161">
            <v>76.4705810546875</v>
          </cell>
          <cell r="AD161" t="str">
            <v>-</v>
          </cell>
          <cell r="AE161">
            <v>76.4705810546875</v>
          </cell>
          <cell r="AF161">
            <v>76.4705810546875</v>
          </cell>
          <cell r="AG161" t="str">
            <v>-</v>
          </cell>
          <cell r="AH161">
            <v>76.4705810546875</v>
          </cell>
          <cell r="AI161">
            <v>76.4705810546875</v>
          </cell>
          <cell r="AJ161" t="str">
            <v>-</v>
          </cell>
          <cell r="AK161">
            <v>76.4705810546875</v>
          </cell>
          <cell r="AL161">
            <v>76.4705810546875</v>
          </cell>
          <cell r="AM161" t="str">
            <v>-</v>
          </cell>
          <cell r="AN161">
            <v>76.4705810546875</v>
          </cell>
          <cell r="AO161">
            <v>76.4705810546875</v>
          </cell>
          <cell r="AP161" t="str">
            <v>-</v>
          </cell>
          <cell r="AQ161">
            <v>76.4705810546875</v>
          </cell>
          <cell r="AR161">
            <v>76.4705810546875</v>
          </cell>
          <cell r="AS161" t="str">
            <v>-</v>
          </cell>
          <cell r="AT161">
            <v>76.4705810546875</v>
          </cell>
          <cell r="AU161">
            <v>76.4705810546875</v>
          </cell>
          <cell r="AV161" t="str">
            <v>-</v>
          </cell>
          <cell r="AW161">
            <v>76.4705810546875</v>
          </cell>
          <cell r="AX161">
            <v>76.4705810546875</v>
          </cell>
          <cell r="AY161" t="str">
            <v>-</v>
          </cell>
          <cell r="AZ161">
            <v>76.4705810546875</v>
          </cell>
          <cell r="BA161">
            <v>76.4705810546875</v>
          </cell>
          <cell r="BB161" t="str">
            <v>-</v>
          </cell>
          <cell r="BC161">
            <v>76.4705810546875</v>
          </cell>
          <cell r="BD161">
            <v>76.4705810546875</v>
          </cell>
          <cell r="BE161" t="str">
            <v>-</v>
          </cell>
          <cell r="BF161">
            <v>76.4705810546875</v>
          </cell>
          <cell r="BG161">
            <v>76.4705810546875</v>
          </cell>
          <cell r="BH161" t="str">
            <v>-</v>
          </cell>
          <cell r="BI161">
            <v>76.4705810546875</v>
          </cell>
          <cell r="BJ161">
            <v>76.4705810546875</v>
          </cell>
          <cell r="BK161" t="str">
            <v>-</v>
          </cell>
          <cell r="BL161">
            <v>76.4705810546875</v>
          </cell>
          <cell r="BM161">
            <v>76.4705810546875</v>
          </cell>
          <cell r="BN161" t="str">
            <v>-</v>
          </cell>
          <cell r="BO161">
            <v>76.4705810546875</v>
          </cell>
          <cell r="BP161">
            <v>76.4705810546875</v>
          </cell>
          <cell r="BQ161" t="str">
            <v>-</v>
          </cell>
          <cell r="BR161">
            <v>76.4705810546875</v>
          </cell>
          <cell r="BS161">
            <v>76.4705810546875</v>
          </cell>
          <cell r="BT161" t="str">
            <v>-</v>
          </cell>
          <cell r="BU161">
            <v>76.4705810546875</v>
          </cell>
          <cell r="BV161">
            <v>76.4705810546875</v>
          </cell>
          <cell r="BW161" t="str">
            <v>-</v>
          </cell>
          <cell r="BX161">
            <v>83</v>
          </cell>
          <cell r="BY161">
            <v>30</v>
          </cell>
          <cell r="BZ161">
            <v>73.5</v>
          </cell>
          <cell r="CA161">
            <v>75</v>
          </cell>
          <cell r="CB161">
            <v>29</v>
          </cell>
          <cell r="CC161">
            <v>72.099999999999994</v>
          </cell>
          <cell r="CD161">
            <v>69</v>
          </cell>
          <cell r="CE161">
            <v>15</v>
          </cell>
          <cell r="CF161">
            <v>82.1</v>
          </cell>
          <cell r="CG161">
            <v>71</v>
          </cell>
          <cell r="CH161">
            <v>25</v>
          </cell>
          <cell r="CI161">
            <v>74</v>
          </cell>
          <cell r="CJ161">
            <v>72</v>
          </cell>
          <cell r="CK161">
            <v>19</v>
          </cell>
          <cell r="CL161">
            <v>79.099999999999994</v>
          </cell>
          <cell r="CM161">
            <v>87</v>
          </cell>
          <cell r="CN161">
            <v>18</v>
          </cell>
          <cell r="CO161">
            <v>82.9</v>
          </cell>
          <cell r="CP161">
            <v>90</v>
          </cell>
          <cell r="CQ161">
            <v>21</v>
          </cell>
          <cell r="CR161">
            <v>81.099999999999994</v>
          </cell>
          <cell r="CS161">
            <v>65</v>
          </cell>
          <cell r="CT161">
            <v>20</v>
          </cell>
          <cell r="CU161">
            <v>76.5</v>
          </cell>
          <cell r="CV161">
            <v>16</v>
          </cell>
          <cell r="CW161">
            <v>5</v>
          </cell>
          <cell r="CX161">
            <v>76.2</v>
          </cell>
          <cell r="CY161">
            <v>15</v>
          </cell>
          <cell r="CZ161">
            <v>6</v>
          </cell>
          <cell r="DA161">
            <v>71.400000000000006</v>
          </cell>
          <cell r="DB161">
            <v>19</v>
          </cell>
          <cell r="DC161">
            <v>6</v>
          </cell>
          <cell r="DD161">
            <v>76</v>
          </cell>
          <cell r="DE161">
            <v>18</v>
          </cell>
          <cell r="DF161">
            <v>7</v>
          </cell>
          <cell r="DG161">
            <v>72</v>
          </cell>
          <cell r="DH161">
            <v>24</v>
          </cell>
          <cell r="DI161">
            <v>9</v>
          </cell>
          <cell r="DJ161">
            <v>72.7</v>
          </cell>
          <cell r="DK161">
            <v>19</v>
          </cell>
          <cell r="DL161">
            <v>5</v>
          </cell>
          <cell r="DM161">
            <v>79.2</v>
          </cell>
          <cell r="DN161">
            <v>23</v>
          </cell>
          <cell r="DO161">
            <v>4</v>
          </cell>
          <cell r="DP161">
            <v>85.2</v>
          </cell>
          <cell r="DQ161">
            <v>26</v>
          </cell>
          <cell r="DR161">
            <v>6</v>
          </cell>
          <cell r="DS161">
            <v>81.3</v>
          </cell>
          <cell r="DT161">
            <v>81.29998779296875</v>
          </cell>
          <cell r="DU161">
            <v>81.29998779296875</v>
          </cell>
          <cell r="DV161" t="str">
            <v>-</v>
          </cell>
          <cell r="DW161">
            <v>81.29998779296875</v>
          </cell>
          <cell r="DX161">
            <v>81.29998779296875</v>
          </cell>
          <cell r="DY161" t="str">
            <v>-</v>
          </cell>
          <cell r="DZ161">
            <v>81.29998779296875</v>
          </cell>
          <cell r="EA161">
            <v>81.29998779296875</v>
          </cell>
          <cell r="EB161" t="str">
            <v>-</v>
          </cell>
          <cell r="EC161">
            <v>81.29998779296875</v>
          </cell>
          <cell r="ED161">
            <v>81.29998779296875</v>
          </cell>
          <cell r="EE161" t="str">
            <v>-</v>
          </cell>
          <cell r="EF161">
            <v>81.29998779296875</v>
          </cell>
          <cell r="EG161">
            <v>81.29998779296875</v>
          </cell>
          <cell r="EH161" t="str">
            <v>-</v>
          </cell>
          <cell r="EI161">
            <v>81.29998779296875</v>
          </cell>
          <cell r="EJ161">
            <v>81.29998779296875</v>
          </cell>
          <cell r="EK161" t="str">
            <v>-</v>
          </cell>
          <cell r="EL161">
            <v>81.29998779296875</v>
          </cell>
          <cell r="EM161">
            <v>81.29998779296875</v>
          </cell>
          <cell r="EN161" t="str">
            <v>-</v>
          </cell>
          <cell r="EO161">
            <v>81.29998779296875</v>
          </cell>
          <cell r="EP161">
            <v>81.29998779296875</v>
          </cell>
          <cell r="EQ161" t="str">
            <v>-</v>
          </cell>
          <cell r="ER161">
            <v>5</v>
          </cell>
          <cell r="ES161">
            <v>11</v>
          </cell>
          <cell r="ET161">
            <v>31.3</v>
          </cell>
          <cell r="EU161">
            <v>8</v>
          </cell>
          <cell r="EV161">
            <v>3</v>
          </cell>
          <cell r="EW161">
            <v>72.7</v>
          </cell>
          <cell r="EX161">
            <v>22</v>
          </cell>
          <cell r="EY161">
            <v>4</v>
          </cell>
          <cell r="EZ161">
            <v>84.6</v>
          </cell>
          <cell r="FA161">
            <v>8</v>
          </cell>
          <cell r="FB161">
            <v>7</v>
          </cell>
          <cell r="FC161">
            <v>53.3</v>
          </cell>
          <cell r="FD161">
            <v>14</v>
          </cell>
          <cell r="FE161">
            <v>3</v>
          </cell>
          <cell r="FF161">
            <v>82.4</v>
          </cell>
          <cell r="FG161">
            <v>42</v>
          </cell>
          <cell r="FH161">
            <v>7</v>
          </cell>
          <cell r="FI161">
            <v>85.7</v>
          </cell>
          <cell r="FJ161">
            <v>20</v>
          </cell>
          <cell r="FK161">
            <v>16</v>
          </cell>
          <cell r="FL161">
            <v>55.6</v>
          </cell>
          <cell r="FM161">
            <v>10</v>
          </cell>
          <cell r="FN161">
            <v>1</v>
          </cell>
          <cell r="FO161">
            <v>90.9</v>
          </cell>
          <cell r="FP161">
            <v>90.89996337890625</v>
          </cell>
          <cell r="FQ161">
            <v>90.89996337890625</v>
          </cell>
          <cell r="FR161" t="str">
            <v>-</v>
          </cell>
          <cell r="FS161">
            <v>90.89996337890625</v>
          </cell>
          <cell r="FT161">
            <v>90.89996337890625</v>
          </cell>
          <cell r="FU161" t="str">
            <v>-</v>
          </cell>
          <cell r="FV161">
            <v>90.89996337890625</v>
          </cell>
          <cell r="FW161">
            <v>90.89996337890625</v>
          </cell>
          <cell r="FX161" t="str">
            <v>-</v>
          </cell>
          <cell r="FY161">
            <v>90.89996337890625</v>
          </cell>
          <cell r="FZ161">
            <v>90.89996337890625</v>
          </cell>
          <cell r="GA161" t="str">
            <v>-</v>
          </cell>
          <cell r="GB161">
            <v>90.89996337890625</v>
          </cell>
          <cell r="GC161">
            <v>90.89996337890625</v>
          </cell>
          <cell r="GD161" t="str">
            <v>-</v>
          </cell>
          <cell r="GE161">
            <v>90.89996337890625</v>
          </cell>
          <cell r="GF161">
            <v>90.89996337890625</v>
          </cell>
          <cell r="GG161" t="str">
            <v>-</v>
          </cell>
          <cell r="GH161">
            <v>90.89996337890625</v>
          </cell>
          <cell r="GI161">
            <v>90.89996337890625</v>
          </cell>
          <cell r="GJ161" t="str">
            <v>-</v>
          </cell>
          <cell r="GK161">
            <v>90.89996337890625</v>
          </cell>
          <cell r="GL161">
            <v>90.89996337890625</v>
          </cell>
          <cell r="GM161" t="str">
            <v>-</v>
          </cell>
          <cell r="GN161">
            <v>130</v>
          </cell>
          <cell r="GO161">
            <v>67</v>
          </cell>
          <cell r="GP161">
            <v>66</v>
          </cell>
          <cell r="GQ161">
            <v>132</v>
          </cell>
          <cell r="GR161">
            <v>57</v>
          </cell>
          <cell r="GS161">
            <v>69.8</v>
          </cell>
          <cell r="GT161">
            <v>135</v>
          </cell>
          <cell r="GU161">
            <v>73</v>
          </cell>
          <cell r="GV161">
            <v>64.900000000000006</v>
          </cell>
          <cell r="GW161">
            <v>135</v>
          </cell>
          <cell r="GX161">
            <v>62</v>
          </cell>
          <cell r="GY161">
            <v>68.5</v>
          </cell>
          <cell r="GZ161">
            <v>124</v>
          </cell>
          <cell r="HA161">
            <v>63</v>
          </cell>
          <cell r="HB161">
            <v>66.3</v>
          </cell>
          <cell r="HC161">
            <v>150</v>
          </cell>
          <cell r="HD161">
            <v>61</v>
          </cell>
          <cell r="HE161">
            <v>71.099999999999994</v>
          </cell>
          <cell r="HF161">
            <v>182</v>
          </cell>
          <cell r="HG161">
            <v>58</v>
          </cell>
          <cell r="HH161">
            <v>75.8</v>
          </cell>
          <cell r="HI161">
            <v>111</v>
          </cell>
          <cell r="HJ161">
            <v>37</v>
          </cell>
          <cell r="HK161">
            <v>75</v>
          </cell>
          <cell r="HL161">
            <v>8</v>
          </cell>
          <cell r="HM161">
            <v>10</v>
          </cell>
          <cell r="HN161">
            <v>44.4</v>
          </cell>
          <cell r="HO161">
            <v>7</v>
          </cell>
          <cell r="HP161">
            <v>9</v>
          </cell>
          <cell r="HQ161">
            <v>43.8</v>
          </cell>
          <cell r="HR161">
            <v>9</v>
          </cell>
          <cell r="HS161">
            <v>3</v>
          </cell>
          <cell r="HT161">
            <v>75</v>
          </cell>
          <cell r="HU161">
            <v>6</v>
          </cell>
          <cell r="HV161">
            <v>3</v>
          </cell>
          <cell r="HW161">
            <v>66.7</v>
          </cell>
          <cell r="HX161">
            <v>9</v>
          </cell>
          <cell r="HY161">
            <v>5</v>
          </cell>
          <cell r="HZ161">
            <v>64.3</v>
          </cell>
          <cell r="IA161">
            <v>4</v>
          </cell>
          <cell r="IB161">
            <v>3</v>
          </cell>
          <cell r="IC161">
            <v>57.1</v>
          </cell>
          <cell r="ID161">
            <v>7</v>
          </cell>
          <cell r="IE161">
            <v>2</v>
          </cell>
          <cell r="IF161">
            <v>77.8</v>
          </cell>
          <cell r="IG161">
            <v>7</v>
          </cell>
          <cell r="IH161">
            <v>2</v>
          </cell>
          <cell r="II161">
            <v>77.8</v>
          </cell>
          <cell r="IJ161">
            <v>8</v>
          </cell>
          <cell r="IK161">
            <v>4</v>
          </cell>
          <cell r="IL161">
            <v>66.7</v>
          </cell>
          <cell r="IM161">
            <v>3</v>
          </cell>
          <cell r="IN161">
            <v>3</v>
          </cell>
          <cell r="IO161">
            <v>100</v>
          </cell>
          <cell r="IP161">
            <v>100</v>
          </cell>
          <cell r="IQ161">
            <v>100</v>
          </cell>
          <cell r="IR161" t="str">
            <v>-</v>
          </cell>
          <cell r="IS161">
            <v>100</v>
          </cell>
          <cell r="IT161">
            <v>100</v>
          </cell>
          <cell r="IU161" t="str">
            <v>-</v>
          </cell>
          <cell r="IV161">
            <v>1</v>
          </cell>
          <cell r="IW161">
            <v>2</v>
          </cell>
          <cell r="IX161">
            <v>33.299999999999997</v>
          </cell>
          <cell r="IY161">
            <v>2</v>
          </cell>
          <cell r="IZ161">
            <v>1</v>
          </cell>
          <cell r="JA161">
            <v>66.7</v>
          </cell>
          <cell r="JB161">
            <v>3</v>
          </cell>
          <cell r="JC161">
            <v>1</v>
          </cell>
          <cell r="JD161">
            <v>75</v>
          </cell>
          <cell r="JE161">
            <v>6</v>
          </cell>
          <cell r="JF161">
            <v>2</v>
          </cell>
          <cell r="JG161">
            <v>75</v>
          </cell>
          <cell r="JH161">
            <v>0</v>
          </cell>
          <cell r="JI161">
            <v>0</v>
          </cell>
          <cell r="JJ161" t="str">
            <v>-</v>
          </cell>
          <cell r="JK161">
            <v>0</v>
          </cell>
          <cell r="JL161">
            <v>0</v>
          </cell>
          <cell r="JM161" t="str">
            <v>-</v>
          </cell>
          <cell r="JN161">
            <v>0</v>
          </cell>
          <cell r="JO161">
            <v>0</v>
          </cell>
          <cell r="JP161" t="str">
            <v>-</v>
          </cell>
          <cell r="JQ161">
            <v>385</v>
          </cell>
          <cell r="JR161">
            <v>103</v>
          </cell>
          <cell r="JS161">
            <v>78.893442622950815</v>
          </cell>
          <cell r="JT161">
            <v>110</v>
          </cell>
          <cell r="JU161">
            <v>31</v>
          </cell>
          <cell r="JV161">
            <v>78.01418439716312</v>
          </cell>
          <cell r="JW161">
            <v>0</v>
          </cell>
          <cell r="JX161">
            <v>0</v>
          </cell>
          <cell r="JY161" t="str">
            <v>-</v>
          </cell>
          <cell r="JZ161">
            <v>94</v>
          </cell>
          <cell r="KA161">
            <v>34</v>
          </cell>
          <cell r="KB161">
            <v>73.4375</v>
          </cell>
          <cell r="KC161">
            <v>0</v>
          </cell>
          <cell r="KD161">
            <v>0</v>
          </cell>
          <cell r="KE161" t="str">
            <v>-</v>
          </cell>
          <cell r="KF161">
            <v>702</v>
          </cell>
          <cell r="KG161">
            <v>281</v>
          </cell>
          <cell r="KH161">
            <v>71.414038657171915</v>
          </cell>
          <cell r="KI161">
            <v>33</v>
          </cell>
          <cell r="KJ161">
            <v>15</v>
          </cell>
          <cell r="KK161">
            <v>68.75</v>
          </cell>
          <cell r="KL161">
            <v>12</v>
          </cell>
          <cell r="KM161">
            <v>6</v>
          </cell>
          <cell r="KN161">
            <v>66.666666666666657</v>
          </cell>
        </row>
        <row r="162">
          <cell r="C162" t="str">
            <v>Kunszentmártoni Rendőrkapitányság</v>
          </cell>
          <cell r="D162">
            <v>66.6666259765625</v>
          </cell>
          <cell r="E162">
            <v>66.6666259765625</v>
          </cell>
          <cell r="F162" t="str">
            <v>-</v>
          </cell>
          <cell r="G162">
            <v>66.6666259765625</v>
          </cell>
          <cell r="H162">
            <v>66.6666259765625</v>
          </cell>
          <cell r="I162" t="str">
            <v>-</v>
          </cell>
          <cell r="J162">
            <v>66.6666259765625</v>
          </cell>
          <cell r="K162">
            <v>66.6666259765625</v>
          </cell>
          <cell r="L162" t="str">
            <v>-</v>
          </cell>
          <cell r="M162">
            <v>1</v>
          </cell>
          <cell r="N162">
            <v>1</v>
          </cell>
          <cell r="O162">
            <v>100</v>
          </cell>
          <cell r="P162">
            <v>100</v>
          </cell>
          <cell r="Q162">
            <v>100</v>
          </cell>
          <cell r="R162" t="str">
            <v>-</v>
          </cell>
          <cell r="S162">
            <v>100</v>
          </cell>
          <cell r="T162">
            <v>100</v>
          </cell>
          <cell r="U162" t="str">
            <v>-</v>
          </cell>
          <cell r="V162">
            <v>100</v>
          </cell>
          <cell r="W162">
            <v>100</v>
          </cell>
          <cell r="X162" t="str">
            <v>-</v>
          </cell>
          <cell r="Y162">
            <v>100</v>
          </cell>
          <cell r="Z162">
            <v>100</v>
          </cell>
          <cell r="AA162" t="str">
            <v>-</v>
          </cell>
          <cell r="AB162">
            <v>100</v>
          </cell>
          <cell r="AC162">
            <v>100</v>
          </cell>
          <cell r="AD162" t="str">
            <v>-</v>
          </cell>
          <cell r="AE162">
            <v>100</v>
          </cell>
          <cell r="AF162">
            <v>100</v>
          </cell>
          <cell r="AG162" t="str">
            <v>-</v>
          </cell>
          <cell r="AH162">
            <v>100</v>
          </cell>
          <cell r="AI162">
            <v>100</v>
          </cell>
          <cell r="AJ162" t="str">
            <v>-</v>
          </cell>
          <cell r="AK162">
            <v>100</v>
          </cell>
          <cell r="AL162">
            <v>100</v>
          </cell>
          <cell r="AM162" t="str">
            <v>-</v>
          </cell>
          <cell r="AN162">
            <v>100</v>
          </cell>
          <cell r="AO162">
            <v>100</v>
          </cell>
          <cell r="AP162" t="str">
            <v>-</v>
          </cell>
          <cell r="AQ162">
            <v>100</v>
          </cell>
          <cell r="AR162">
            <v>100</v>
          </cell>
          <cell r="AS162" t="str">
            <v>-</v>
          </cell>
          <cell r="AT162">
            <v>100</v>
          </cell>
          <cell r="AU162">
            <v>100</v>
          </cell>
          <cell r="AV162" t="str">
            <v>-</v>
          </cell>
          <cell r="AW162">
            <v>100</v>
          </cell>
          <cell r="AX162">
            <v>100</v>
          </cell>
          <cell r="AY162" t="str">
            <v>-</v>
          </cell>
          <cell r="AZ162">
            <v>100</v>
          </cell>
          <cell r="BA162">
            <v>100</v>
          </cell>
          <cell r="BB162" t="str">
            <v>-</v>
          </cell>
          <cell r="BC162">
            <v>100</v>
          </cell>
          <cell r="BD162">
            <v>100</v>
          </cell>
          <cell r="BE162" t="str">
            <v>-</v>
          </cell>
          <cell r="BF162">
            <v>100</v>
          </cell>
          <cell r="BG162">
            <v>100</v>
          </cell>
          <cell r="BH162" t="str">
            <v>-</v>
          </cell>
          <cell r="BI162">
            <v>100</v>
          </cell>
          <cell r="BJ162">
            <v>100</v>
          </cell>
          <cell r="BK162" t="str">
            <v>-</v>
          </cell>
          <cell r="BL162">
            <v>100</v>
          </cell>
          <cell r="BM162">
            <v>100</v>
          </cell>
          <cell r="BN162" t="str">
            <v>-</v>
          </cell>
          <cell r="BO162">
            <v>100</v>
          </cell>
          <cell r="BP162">
            <v>100</v>
          </cell>
          <cell r="BQ162" t="str">
            <v>-</v>
          </cell>
          <cell r="BR162">
            <v>100</v>
          </cell>
          <cell r="BS162">
            <v>100</v>
          </cell>
          <cell r="BT162" t="str">
            <v>-</v>
          </cell>
          <cell r="BU162">
            <v>100</v>
          </cell>
          <cell r="BV162">
            <v>100</v>
          </cell>
          <cell r="BW162" t="str">
            <v>-</v>
          </cell>
          <cell r="BX162">
            <v>39</v>
          </cell>
          <cell r="BY162">
            <v>6</v>
          </cell>
          <cell r="BZ162">
            <v>86.7</v>
          </cell>
          <cell r="CA162">
            <v>52</v>
          </cell>
          <cell r="CB162">
            <v>9</v>
          </cell>
          <cell r="CC162">
            <v>85.2</v>
          </cell>
          <cell r="CD162">
            <v>61</v>
          </cell>
          <cell r="CE162">
            <v>9</v>
          </cell>
          <cell r="CF162">
            <v>87.1</v>
          </cell>
          <cell r="CG162">
            <v>44</v>
          </cell>
          <cell r="CH162">
            <v>5</v>
          </cell>
          <cell r="CI162">
            <v>89.8</v>
          </cell>
          <cell r="CJ162">
            <v>25</v>
          </cell>
          <cell r="CK162">
            <v>3</v>
          </cell>
          <cell r="CL162">
            <v>89.3</v>
          </cell>
          <cell r="CM162">
            <v>81</v>
          </cell>
          <cell r="CN162">
            <v>8</v>
          </cell>
          <cell r="CO162">
            <v>91</v>
          </cell>
          <cell r="CP162">
            <v>53</v>
          </cell>
          <cell r="CQ162">
            <v>11</v>
          </cell>
          <cell r="CR162">
            <v>82.8</v>
          </cell>
          <cell r="CS162">
            <v>25</v>
          </cell>
          <cell r="CT162">
            <v>5</v>
          </cell>
          <cell r="CU162">
            <v>83.3</v>
          </cell>
          <cell r="CV162">
            <v>12</v>
          </cell>
          <cell r="CW162">
            <v>2</v>
          </cell>
          <cell r="CX162">
            <v>85.7</v>
          </cell>
          <cell r="CY162">
            <v>10</v>
          </cell>
          <cell r="CZ162">
            <v>3</v>
          </cell>
          <cell r="DA162">
            <v>76.900000000000006</v>
          </cell>
          <cell r="DB162">
            <v>12</v>
          </cell>
          <cell r="DC162">
            <v>4</v>
          </cell>
          <cell r="DD162">
            <v>75</v>
          </cell>
          <cell r="DE162">
            <v>10</v>
          </cell>
          <cell r="DF162">
            <v>1</v>
          </cell>
          <cell r="DG162">
            <v>90.9</v>
          </cell>
          <cell r="DH162">
            <v>5</v>
          </cell>
          <cell r="DI162">
            <v>3</v>
          </cell>
          <cell r="DJ162">
            <v>62.5</v>
          </cell>
          <cell r="DK162">
            <v>23</v>
          </cell>
          <cell r="DL162">
            <v>4</v>
          </cell>
          <cell r="DM162">
            <v>85.2</v>
          </cell>
          <cell r="DN162">
            <v>14</v>
          </cell>
          <cell r="DO162">
            <v>5</v>
          </cell>
          <cell r="DP162">
            <v>73.7</v>
          </cell>
          <cell r="DQ162">
            <v>10</v>
          </cell>
          <cell r="DR162">
            <v>3</v>
          </cell>
          <cell r="DS162">
            <v>76.900000000000006</v>
          </cell>
          <cell r="DT162">
            <v>76.89996337890625</v>
          </cell>
          <cell r="DU162">
            <v>76.89996337890625</v>
          </cell>
          <cell r="DV162" t="str">
            <v>-</v>
          </cell>
          <cell r="DW162">
            <v>76.89996337890625</v>
          </cell>
          <cell r="DX162">
            <v>76.89996337890625</v>
          </cell>
          <cell r="DY162" t="str">
            <v>-</v>
          </cell>
          <cell r="DZ162">
            <v>76.89996337890625</v>
          </cell>
          <cell r="EA162">
            <v>76.89996337890625</v>
          </cell>
          <cell r="EB162" t="str">
            <v>-</v>
          </cell>
          <cell r="EC162">
            <v>76.89996337890625</v>
          </cell>
          <cell r="ED162">
            <v>76.89996337890625</v>
          </cell>
          <cell r="EE162" t="str">
            <v>-</v>
          </cell>
          <cell r="EF162">
            <v>76.89996337890625</v>
          </cell>
          <cell r="EG162">
            <v>76.89996337890625</v>
          </cell>
          <cell r="EH162" t="str">
            <v>-</v>
          </cell>
          <cell r="EI162">
            <v>76.89996337890625</v>
          </cell>
          <cell r="EJ162">
            <v>76.89996337890625</v>
          </cell>
          <cell r="EK162" t="str">
            <v>-</v>
          </cell>
          <cell r="EL162">
            <v>76.89996337890625</v>
          </cell>
          <cell r="EM162">
            <v>76.89996337890625</v>
          </cell>
          <cell r="EN162" t="str">
            <v>-</v>
          </cell>
          <cell r="EO162">
            <v>76.89996337890625</v>
          </cell>
          <cell r="EP162">
            <v>76.89996337890625</v>
          </cell>
          <cell r="EQ162" t="str">
            <v>-</v>
          </cell>
          <cell r="ER162">
            <v>24</v>
          </cell>
          <cell r="ES162">
            <v>15</v>
          </cell>
          <cell r="ET162">
            <v>61.5</v>
          </cell>
          <cell r="EU162">
            <v>26</v>
          </cell>
          <cell r="EV162">
            <v>9</v>
          </cell>
          <cell r="EW162">
            <v>74.3</v>
          </cell>
          <cell r="EX162">
            <v>6</v>
          </cell>
          <cell r="EY162">
            <v>1</v>
          </cell>
          <cell r="EZ162">
            <v>85.7</v>
          </cell>
          <cell r="FA162">
            <v>25</v>
          </cell>
          <cell r="FB162">
            <v>25</v>
          </cell>
          <cell r="FC162">
            <v>100</v>
          </cell>
          <cell r="FD162">
            <v>1</v>
          </cell>
          <cell r="FE162">
            <v>4</v>
          </cell>
          <cell r="FF162">
            <v>20</v>
          </cell>
          <cell r="FG162">
            <v>19</v>
          </cell>
          <cell r="FH162">
            <v>5</v>
          </cell>
          <cell r="FI162">
            <v>79.2</v>
          </cell>
          <cell r="FJ162">
            <v>19</v>
          </cell>
          <cell r="FK162">
            <v>14</v>
          </cell>
          <cell r="FL162">
            <v>57.6</v>
          </cell>
          <cell r="FM162">
            <v>1</v>
          </cell>
          <cell r="FN162">
            <v>2</v>
          </cell>
          <cell r="FO162">
            <v>33.299999999999997</v>
          </cell>
          <cell r="FP162">
            <v>33.29998779296875</v>
          </cell>
          <cell r="FQ162">
            <v>33.29998779296875</v>
          </cell>
          <cell r="FR162" t="str">
            <v>-</v>
          </cell>
          <cell r="FS162">
            <v>33.29998779296875</v>
          </cell>
          <cell r="FT162">
            <v>33.29998779296875</v>
          </cell>
          <cell r="FU162" t="str">
            <v>-</v>
          </cell>
          <cell r="FV162">
            <v>33.29998779296875</v>
          </cell>
          <cell r="FW162">
            <v>33.29998779296875</v>
          </cell>
          <cell r="FX162" t="str">
            <v>-</v>
          </cell>
          <cell r="FY162">
            <v>33.29998779296875</v>
          </cell>
          <cell r="FZ162">
            <v>33.29998779296875</v>
          </cell>
          <cell r="GA162" t="str">
            <v>-</v>
          </cell>
          <cell r="GB162">
            <v>33.29998779296875</v>
          </cell>
          <cell r="GC162">
            <v>33.29998779296875</v>
          </cell>
          <cell r="GD162" t="str">
            <v>-</v>
          </cell>
          <cell r="GE162">
            <v>1</v>
          </cell>
          <cell r="GF162">
            <v>1</v>
          </cell>
          <cell r="GG162">
            <v>100</v>
          </cell>
          <cell r="GH162">
            <v>100</v>
          </cell>
          <cell r="GI162">
            <v>100</v>
          </cell>
          <cell r="GJ162" t="str">
            <v>-</v>
          </cell>
          <cell r="GK162">
            <v>100</v>
          </cell>
          <cell r="GL162">
            <v>100</v>
          </cell>
          <cell r="GM162" t="str">
            <v>-</v>
          </cell>
          <cell r="GN162">
            <v>51</v>
          </cell>
          <cell r="GO162">
            <v>12</v>
          </cell>
          <cell r="GP162">
            <v>81</v>
          </cell>
          <cell r="GQ162">
            <v>60</v>
          </cell>
          <cell r="GR162">
            <v>13</v>
          </cell>
          <cell r="GS162">
            <v>82.2</v>
          </cell>
          <cell r="GT162">
            <v>88</v>
          </cell>
          <cell r="GU162">
            <v>15</v>
          </cell>
          <cell r="GV162">
            <v>85.4</v>
          </cell>
          <cell r="GW162">
            <v>60</v>
          </cell>
          <cell r="GX162">
            <v>19</v>
          </cell>
          <cell r="GY162">
            <v>75.900000000000006</v>
          </cell>
          <cell r="GZ162">
            <v>57</v>
          </cell>
          <cell r="HA162">
            <v>39</v>
          </cell>
          <cell r="HB162">
            <v>59.4</v>
          </cell>
          <cell r="HC162">
            <v>85</v>
          </cell>
          <cell r="HD162">
            <v>15</v>
          </cell>
          <cell r="HE162">
            <v>85</v>
          </cell>
          <cell r="HF162">
            <v>68</v>
          </cell>
          <cell r="HG162">
            <v>24</v>
          </cell>
          <cell r="HH162">
            <v>73.900000000000006</v>
          </cell>
          <cell r="HI162">
            <v>34</v>
          </cell>
          <cell r="HJ162">
            <v>8</v>
          </cell>
          <cell r="HK162">
            <v>81</v>
          </cell>
          <cell r="HL162">
            <v>1</v>
          </cell>
          <cell r="HM162">
            <v>1</v>
          </cell>
          <cell r="HN162">
            <v>100</v>
          </cell>
          <cell r="HO162">
            <v>2</v>
          </cell>
          <cell r="HP162">
            <v>2</v>
          </cell>
          <cell r="HQ162">
            <v>50</v>
          </cell>
          <cell r="HR162">
            <v>1</v>
          </cell>
          <cell r="HS162">
            <v>2</v>
          </cell>
          <cell r="HT162">
            <v>33.299999999999997</v>
          </cell>
          <cell r="HU162">
            <v>1</v>
          </cell>
          <cell r="HV162">
            <v>5</v>
          </cell>
          <cell r="HW162">
            <v>16.7</v>
          </cell>
          <cell r="HX162">
            <v>1</v>
          </cell>
          <cell r="HY162">
            <v>1</v>
          </cell>
          <cell r="HZ162">
            <v>50</v>
          </cell>
          <cell r="IA162">
            <v>1</v>
          </cell>
          <cell r="IB162">
            <v>2</v>
          </cell>
          <cell r="IC162">
            <v>33.299999999999997</v>
          </cell>
          <cell r="ID162">
            <v>33.29998779296875</v>
          </cell>
          <cell r="IE162">
            <v>2</v>
          </cell>
          <cell r="IF162">
            <v>0</v>
          </cell>
          <cell r="IG162">
            <v>1</v>
          </cell>
          <cell r="IH162">
            <v>2</v>
          </cell>
          <cell r="II162">
            <v>33.299999999999997</v>
          </cell>
          <cell r="IJ162">
            <v>1</v>
          </cell>
          <cell r="IK162">
            <v>1</v>
          </cell>
          <cell r="IL162">
            <v>50</v>
          </cell>
          <cell r="IM162">
            <v>50</v>
          </cell>
          <cell r="IN162">
            <v>1</v>
          </cell>
          <cell r="IO162">
            <v>0</v>
          </cell>
          <cell r="IP162">
            <v>1</v>
          </cell>
          <cell r="IQ162">
            <v>1</v>
          </cell>
          <cell r="IR162">
            <v>100</v>
          </cell>
          <cell r="IS162">
            <v>3</v>
          </cell>
          <cell r="IT162">
            <v>2</v>
          </cell>
          <cell r="IU162">
            <v>60</v>
          </cell>
          <cell r="IV162">
            <v>60</v>
          </cell>
          <cell r="IW162">
            <v>60</v>
          </cell>
          <cell r="IX162" t="str">
            <v>-</v>
          </cell>
          <cell r="IY162">
            <v>60</v>
          </cell>
          <cell r="IZ162">
            <v>60</v>
          </cell>
          <cell r="JA162" t="str">
            <v>-</v>
          </cell>
          <cell r="JB162">
            <v>60</v>
          </cell>
          <cell r="JC162">
            <v>60</v>
          </cell>
          <cell r="JD162" t="str">
            <v>-</v>
          </cell>
          <cell r="JE162">
            <v>1</v>
          </cell>
          <cell r="JF162">
            <v>1</v>
          </cell>
          <cell r="JG162">
            <v>100</v>
          </cell>
          <cell r="JH162">
            <v>1</v>
          </cell>
          <cell r="JI162">
            <v>0</v>
          </cell>
          <cell r="JJ162">
            <v>100</v>
          </cell>
          <cell r="JK162">
            <v>0</v>
          </cell>
          <cell r="JL162">
            <v>0</v>
          </cell>
          <cell r="JM162" t="str">
            <v>-</v>
          </cell>
          <cell r="JN162">
            <v>0</v>
          </cell>
          <cell r="JO162">
            <v>0</v>
          </cell>
          <cell r="JP162" t="str">
            <v>-</v>
          </cell>
          <cell r="JQ162">
            <v>228</v>
          </cell>
          <cell r="JR162">
            <v>32</v>
          </cell>
          <cell r="JS162">
            <v>87.692307692307693</v>
          </cell>
          <cell r="JT162">
            <v>62</v>
          </cell>
          <cell r="JU162">
            <v>16</v>
          </cell>
          <cell r="JV162">
            <v>79.487179487179489</v>
          </cell>
          <cell r="JW162">
            <v>0</v>
          </cell>
          <cell r="JX162">
            <v>0</v>
          </cell>
          <cell r="JY162" t="str">
            <v>-</v>
          </cell>
          <cell r="JZ162">
            <v>65</v>
          </cell>
          <cell r="KA162">
            <v>25</v>
          </cell>
          <cell r="KB162">
            <v>72.222222222222214</v>
          </cell>
          <cell r="KC162">
            <v>1</v>
          </cell>
          <cell r="KD162">
            <v>0</v>
          </cell>
          <cell r="KE162">
            <v>100</v>
          </cell>
          <cell r="KF162">
            <v>304</v>
          </cell>
          <cell r="KG162">
            <v>105</v>
          </cell>
          <cell r="KH162">
            <v>74.327628361858189</v>
          </cell>
          <cell r="KI162">
            <v>4</v>
          </cell>
          <cell r="KJ162">
            <v>12</v>
          </cell>
          <cell r="KK162">
            <v>25</v>
          </cell>
          <cell r="KL162">
            <v>4</v>
          </cell>
          <cell r="KM162">
            <v>2</v>
          </cell>
          <cell r="KN162">
            <v>66.666666666666657</v>
          </cell>
        </row>
        <row r="163">
          <cell r="C163" t="str">
            <v>Mezőtúri Rendőrkapitányság</v>
          </cell>
          <cell r="D163">
            <v>66.6666259765625</v>
          </cell>
          <cell r="E163">
            <v>66.6666259765625</v>
          </cell>
          <cell r="F163" t="str">
            <v>-</v>
          </cell>
          <cell r="G163">
            <v>66.6666259765625</v>
          </cell>
          <cell r="H163">
            <v>66.6666259765625</v>
          </cell>
          <cell r="I163" t="str">
            <v>-</v>
          </cell>
          <cell r="J163">
            <v>66.6666259765625</v>
          </cell>
          <cell r="K163">
            <v>66.6666259765625</v>
          </cell>
          <cell r="L163" t="str">
            <v>-</v>
          </cell>
          <cell r="M163">
            <v>66.6666259765625</v>
          </cell>
          <cell r="N163">
            <v>66.6666259765625</v>
          </cell>
          <cell r="O163" t="str">
            <v>-</v>
          </cell>
          <cell r="P163">
            <v>66.6666259765625</v>
          </cell>
          <cell r="Q163">
            <v>66.6666259765625</v>
          </cell>
          <cell r="R163" t="str">
            <v>-</v>
          </cell>
          <cell r="S163">
            <v>66.6666259765625</v>
          </cell>
          <cell r="T163">
            <v>66.6666259765625</v>
          </cell>
          <cell r="U163" t="str">
            <v>-</v>
          </cell>
          <cell r="V163">
            <v>66.6666259765625</v>
          </cell>
          <cell r="W163">
            <v>66.6666259765625</v>
          </cell>
          <cell r="X163" t="str">
            <v>-</v>
          </cell>
          <cell r="Y163">
            <v>66.6666259765625</v>
          </cell>
          <cell r="Z163">
            <v>66.6666259765625</v>
          </cell>
          <cell r="AA163" t="str">
            <v>-</v>
          </cell>
          <cell r="AB163">
            <v>66.6666259765625</v>
          </cell>
          <cell r="AC163">
            <v>66.6666259765625</v>
          </cell>
          <cell r="AD163" t="str">
            <v>-</v>
          </cell>
          <cell r="AE163">
            <v>66.6666259765625</v>
          </cell>
          <cell r="AF163">
            <v>66.6666259765625</v>
          </cell>
          <cell r="AG163" t="str">
            <v>-</v>
          </cell>
          <cell r="AH163">
            <v>66.6666259765625</v>
          </cell>
          <cell r="AI163">
            <v>66.6666259765625</v>
          </cell>
          <cell r="AJ163" t="str">
            <v>-</v>
          </cell>
          <cell r="AK163">
            <v>66.6666259765625</v>
          </cell>
          <cell r="AL163">
            <v>66.6666259765625</v>
          </cell>
          <cell r="AM163" t="str">
            <v>-</v>
          </cell>
          <cell r="AN163">
            <v>66.6666259765625</v>
          </cell>
          <cell r="AO163">
            <v>66.6666259765625</v>
          </cell>
          <cell r="AP163" t="str">
            <v>-</v>
          </cell>
          <cell r="AQ163">
            <v>66.6666259765625</v>
          </cell>
          <cell r="AR163">
            <v>66.6666259765625</v>
          </cell>
          <cell r="AS163" t="str">
            <v>-</v>
          </cell>
          <cell r="AT163">
            <v>66.6666259765625</v>
          </cell>
          <cell r="AU163">
            <v>66.6666259765625</v>
          </cell>
          <cell r="AV163" t="str">
            <v>-</v>
          </cell>
          <cell r="AW163">
            <v>66.6666259765625</v>
          </cell>
          <cell r="AX163">
            <v>66.6666259765625</v>
          </cell>
          <cell r="AY163" t="str">
            <v>-</v>
          </cell>
          <cell r="AZ163">
            <v>66.6666259765625</v>
          </cell>
          <cell r="BA163">
            <v>66.6666259765625</v>
          </cell>
          <cell r="BB163" t="str">
            <v>-</v>
          </cell>
          <cell r="BC163">
            <v>66.6666259765625</v>
          </cell>
          <cell r="BD163">
            <v>66.6666259765625</v>
          </cell>
          <cell r="BE163" t="str">
            <v>-</v>
          </cell>
          <cell r="BF163">
            <v>66.6666259765625</v>
          </cell>
          <cell r="BG163">
            <v>66.6666259765625</v>
          </cell>
          <cell r="BH163" t="str">
            <v>-</v>
          </cell>
          <cell r="BI163">
            <v>66.6666259765625</v>
          </cell>
          <cell r="BJ163">
            <v>66.6666259765625</v>
          </cell>
          <cell r="BK163" t="str">
            <v>-</v>
          </cell>
          <cell r="BL163">
            <v>66.6666259765625</v>
          </cell>
          <cell r="BM163">
            <v>66.6666259765625</v>
          </cell>
          <cell r="BN163" t="str">
            <v>-</v>
          </cell>
          <cell r="BO163">
            <v>66.6666259765625</v>
          </cell>
          <cell r="BP163">
            <v>66.6666259765625</v>
          </cell>
          <cell r="BQ163" t="str">
            <v>-</v>
          </cell>
          <cell r="BR163">
            <v>66.6666259765625</v>
          </cell>
          <cell r="BS163">
            <v>66.6666259765625</v>
          </cell>
          <cell r="BT163" t="str">
            <v>-</v>
          </cell>
          <cell r="BU163">
            <v>66.6666259765625</v>
          </cell>
          <cell r="BV163">
            <v>66.6666259765625</v>
          </cell>
          <cell r="BW163" t="str">
            <v>-</v>
          </cell>
          <cell r="BX163">
            <v>38</v>
          </cell>
          <cell r="BY163">
            <v>13</v>
          </cell>
          <cell r="BZ163">
            <v>74.5</v>
          </cell>
          <cell r="CA163">
            <v>29</v>
          </cell>
          <cell r="CB163">
            <v>11</v>
          </cell>
          <cell r="CC163">
            <v>72.5</v>
          </cell>
          <cell r="CD163">
            <v>26</v>
          </cell>
          <cell r="CE163">
            <v>12</v>
          </cell>
          <cell r="CF163">
            <v>68.400000000000006</v>
          </cell>
          <cell r="CG163">
            <v>38</v>
          </cell>
          <cell r="CH163">
            <v>1</v>
          </cell>
          <cell r="CI163">
            <v>97.4</v>
          </cell>
          <cell r="CJ163">
            <v>33</v>
          </cell>
          <cell r="CK163">
            <v>9</v>
          </cell>
          <cell r="CL163">
            <v>78.599999999999994</v>
          </cell>
          <cell r="CM163">
            <v>20</v>
          </cell>
          <cell r="CN163">
            <v>5</v>
          </cell>
          <cell r="CO163">
            <v>80</v>
          </cell>
          <cell r="CP163">
            <v>26</v>
          </cell>
          <cell r="CQ163">
            <v>2</v>
          </cell>
          <cell r="CR163">
            <v>92.9</v>
          </cell>
          <cell r="CS163">
            <v>17</v>
          </cell>
          <cell r="CT163">
            <v>3</v>
          </cell>
          <cell r="CU163">
            <v>85</v>
          </cell>
          <cell r="CV163">
            <v>17</v>
          </cell>
          <cell r="CW163">
            <v>7</v>
          </cell>
          <cell r="CX163">
            <v>70.8</v>
          </cell>
          <cell r="CY163">
            <v>12</v>
          </cell>
          <cell r="CZ163">
            <v>6</v>
          </cell>
          <cell r="DA163">
            <v>66.7</v>
          </cell>
          <cell r="DB163">
            <v>6</v>
          </cell>
          <cell r="DC163">
            <v>6</v>
          </cell>
          <cell r="DD163">
            <v>50</v>
          </cell>
          <cell r="DE163">
            <v>14</v>
          </cell>
          <cell r="DF163">
            <v>14</v>
          </cell>
          <cell r="DG163">
            <v>100</v>
          </cell>
          <cell r="DH163">
            <v>12</v>
          </cell>
          <cell r="DI163">
            <v>6</v>
          </cell>
          <cell r="DJ163">
            <v>66.7</v>
          </cell>
          <cell r="DK163">
            <v>6</v>
          </cell>
          <cell r="DL163">
            <v>1</v>
          </cell>
          <cell r="DM163">
            <v>85.7</v>
          </cell>
          <cell r="DN163">
            <v>11</v>
          </cell>
          <cell r="DO163">
            <v>1</v>
          </cell>
          <cell r="DP163">
            <v>91.7</v>
          </cell>
          <cell r="DQ163">
            <v>6</v>
          </cell>
          <cell r="DR163">
            <v>3</v>
          </cell>
          <cell r="DS163">
            <v>66.7</v>
          </cell>
          <cell r="DT163">
            <v>66.699951171875</v>
          </cell>
          <cell r="DU163">
            <v>66.699951171875</v>
          </cell>
          <cell r="DV163" t="str">
            <v>-</v>
          </cell>
          <cell r="DW163">
            <v>66.699951171875</v>
          </cell>
          <cell r="DX163">
            <v>66.699951171875</v>
          </cell>
          <cell r="DY163" t="str">
            <v>-</v>
          </cell>
          <cell r="DZ163">
            <v>66.699951171875</v>
          </cell>
          <cell r="EA163">
            <v>66.699951171875</v>
          </cell>
          <cell r="EB163" t="str">
            <v>-</v>
          </cell>
          <cell r="EC163">
            <v>66.699951171875</v>
          </cell>
          <cell r="ED163">
            <v>66.699951171875</v>
          </cell>
          <cell r="EE163" t="str">
            <v>-</v>
          </cell>
          <cell r="EF163">
            <v>66.699951171875</v>
          </cell>
          <cell r="EG163">
            <v>66.699951171875</v>
          </cell>
          <cell r="EH163" t="str">
            <v>-</v>
          </cell>
          <cell r="EI163">
            <v>66.699951171875</v>
          </cell>
          <cell r="EJ163">
            <v>66.699951171875</v>
          </cell>
          <cell r="EK163" t="str">
            <v>-</v>
          </cell>
          <cell r="EL163">
            <v>66.699951171875</v>
          </cell>
          <cell r="EM163">
            <v>66.699951171875</v>
          </cell>
          <cell r="EN163" t="str">
            <v>-</v>
          </cell>
          <cell r="EO163">
            <v>66.699951171875</v>
          </cell>
          <cell r="EP163">
            <v>66.699951171875</v>
          </cell>
          <cell r="EQ163" t="str">
            <v>-</v>
          </cell>
          <cell r="ER163">
            <v>6</v>
          </cell>
          <cell r="ES163">
            <v>1</v>
          </cell>
          <cell r="ET163">
            <v>85.7</v>
          </cell>
          <cell r="EU163">
            <v>7</v>
          </cell>
          <cell r="EV163">
            <v>3</v>
          </cell>
          <cell r="EW163">
            <v>70</v>
          </cell>
          <cell r="EX163">
            <v>8</v>
          </cell>
          <cell r="EY163">
            <v>8</v>
          </cell>
          <cell r="EZ163">
            <v>100</v>
          </cell>
          <cell r="FA163">
            <v>9</v>
          </cell>
          <cell r="FB163">
            <v>1</v>
          </cell>
          <cell r="FC163">
            <v>90</v>
          </cell>
          <cell r="FD163">
            <v>3</v>
          </cell>
          <cell r="FE163">
            <v>3</v>
          </cell>
          <cell r="FF163">
            <v>100</v>
          </cell>
          <cell r="FG163">
            <v>5</v>
          </cell>
          <cell r="FH163">
            <v>5</v>
          </cell>
          <cell r="FI163">
            <v>100</v>
          </cell>
          <cell r="FJ163">
            <v>7</v>
          </cell>
          <cell r="FK163">
            <v>1</v>
          </cell>
          <cell r="FL163">
            <v>87.5</v>
          </cell>
          <cell r="FM163">
            <v>10</v>
          </cell>
          <cell r="FN163">
            <v>2</v>
          </cell>
          <cell r="FO163">
            <v>83.3</v>
          </cell>
          <cell r="FP163">
            <v>83.29998779296875</v>
          </cell>
          <cell r="FQ163">
            <v>83.29998779296875</v>
          </cell>
          <cell r="FR163" t="str">
            <v>-</v>
          </cell>
          <cell r="FS163">
            <v>83.29998779296875</v>
          </cell>
          <cell r="FT163">
            <v>83.29998779296875</v>
          </cell>
          <cell r="FU163" t="str">
            <v>-</v>
          </cell>
          <cell r="FV163">
            <v>83.29998779296875</v>
          </cell>
          <cell r="FW163">
            <v>83.29998779296875</v>
          </cell>
          <cell r="FX163" t="str">
            <v>-</v>
          </cell>
          <cell r="FY163">
            <v>83.29998779296875</v>
          </cell>
          <cell r="FZ163">
            <v>83.29998779296875</v>
          </cell>
          <cell r="GA163" t="str">
            <v>-</v>
          </cell>
          <cell r="GB163">
            <v>83.29998779296875</v>
          </cell>
          <cell r="GC163">
            <v>83.29998779296875</v>
          </cell>
          <cell r="GD163" t="str">
            <v>-</v>
          </cell>
          <cell r="GE163">
            <v>83.29998779296875</v>
          </cell>
          <cell r="GF163">
            <v>83.29998779296875</v>
          </cell>
          <cell r="GG163" t="str">
            <v>-</v>
          </cell>
          <cell r="GH163">
            <v>83.29998779296875</v>
          </cell>
          <cell r="GI163">
            <v>83.29998779296875</v>
          </cell>
          <cell r="GJ163" t="str">
            <v>-</v>
          </cell>
          <cell r="GK163">
            <v>83.29998779296875</v>
          </cell>
          <cell r="GL163">
            <v>83.29998779296875</v>
          </cell>
          <cell r="GM163" t="str">
            <v>-</v>
          </cell>
          <cell r="GN163">
            <v>73</v>
          </cell>
          <cell r="GO163">
            <v>13</v>
          </cell>
          <cell r="GP163">
            <v>84.9</v>
          </cell>
          <cell r="GQ163">
            <v>57</v>
          </cell>
          <cell r="GR163">
            <v>13</v>
          </cell>
          <cell r="GS163">
            <v>81.400000000000006</v>
          </cell>
          <cell r="GT163">
            <v>63</v>
          </cell>
          <cell r="GU163">
            <v>22</v>
          </cell>
          <cell r="GV163">
            <v>74.099999999999994</v>
          </cell>
          <cell r="GW163">
            <v>71</v>
          </cell>
          <cell r="GX163">
            <v>8</v>
          </cell>
          <cell r="GY163">
            <v>89.9</v>
          </cell>
          <cell r="GZ163">
            <v>63</v>
          </cell>
          <cell r="HA163">
            <v>24</v>
          </cell>
          <cell r="HB163">
            <v>72.400000000000006</v>
          </cell>
          <cell r="HC163">
            <v>48</v>
          </cell>
          <cell r="HD163">
            <v>21</v>
          </cell>
          <cell r="HE163">
            <v>69.599999999999994</v>
          </cell>
          <cell r="HF163">
            <v>50</v>
          </cell>
          <cell r="HG163">
            <v>14</v>
          </cell>
          <cell r="HH163">
            <v>78.099999999999994</v>
          </cell>
          <cell r="HI163">
            <v>31</v>
          </cell>
          <cell r="HJ163">
            <v>12</v>
          </cell>
          <cell r="HK163">
            <v>72.099999999999994</v>
          </cell>
          <cell r="HL163">
            <v>72.0999755859375</v>
          </cell>
          <cell r="HM163">
            <v>5</v>
          </cell>
          <cell r="HN163">
            <v>0</v>
          </cell>
          <cell r="HO163">
            <v>2</v>
          </cell>
          <cell r="HP163">
            <v>2</v>
          </cell>
          <cell r="HQ163">
            <v>50</v>
          </cell>
          <cell r="HR163">
            <v>50</v>
          </cell>
          <cell r="HS163">
            <v>2</v>
          </cell>
          <cell r="HT163">
            <v>0</v>
          </cell>
          <cell r="HU163">
            <v>2</v>
          </cell>
          <cell r="HV163">
            <v>2</v>
          </cell>
          <cell r="HW163">
            <v>50</v>
          </cell>
          <cell r="HX163">
            <v>2</v>
          </cell>
          <cell r="HY163">
            <v>1</v>
          </cell>
          <cell r="HZ163">
            <v>66.7</v>
          </cell>
          <cell r="IA163">
            <v>2</v>
          </cell>
          <cell r="IB163">
            <v>1</v>
          </cell>
          <cell r="IC163">
            <v>66.7</v>
          </cell>
          <cell r="ID163">
            <v>66.699951171875</v>
          </cell>
          <cell r="IE163">
            <v>66.699951171875</v>
          </cell>
          <cell r="IF163" t="str">
            <v>-</v>
          </cell>
          <cell r="IG163">
            <v>66.699951171875</v>
          </cell>
          <cell r="IH163">
            <v>66.699951171875</v>
          </cell>
          <cell r="II163" t="str">
            <v>-</v>
          </cell>
          <cell r="IJ163">
            <v>66.699951171875</v>
          </cell>
          <cell r="IK163">
            <v>66.699951171875</v>
          </cell>
          <cell r="IL163" t="str">
            <v>-</v>
          </cell>
          <cell r="IM163">
            <v>2</v>
          </cell>
          <cell r="IN163">
            <v>2</v>
          </cell>
          <cell r="IO163">
            <v>100</v>
          </cell>
          <cell r="IP163">
            <v>100</v>
          </cell>
          <cell r="IQ163">
            <v>100</v>
          </cell>
          <cell r="IR163" t="str">
            <v>-</v>
          </cell>
          <cell r="IS163">
            <v>100</v>
          </cell>
          <cell r="IT163">
            <v>1</v>
          </cell>
          <cell r="IU163">
            <v>0</v>
          </cell>
          <cell r="IV163">
            <v>0</v>
          </cell>
          <cell r="IW163">
            <v>0</v>
          </cell>
          <cell r="IX163" t="str">
            <v>-</v>
          </cell>
          <cell r="IY163">
            <v>0</v>
          </cell>
          <cell r="IZ163">
            <v>0</v>
          </cell>
          <cell r="JA163" t="str">
            <v>-</v>
          </cell>
          <cell r="JB163">
            <v>0</v>
          </cell>
          <cell r="JC163">
            <v>1</v>
          </cell>
          <cell r="JD163">
            <v>0</v>
          </cell>
          <cell r="JE163">
            <v>0</v>
          </cell>
          <cell r="JF163">
            <v>0</v>
          </cell>
          <cell r="JG163" t="str">
            <v>-</v>
          </cell>
          <cell r="JH163">
            <v>0</v>
          </cell>
          <cell r="JI163">
            <v>0</v>
          </cell>
          <cell r="JJ163" t="str">
            <v>-</v>
          </cell>
          <cell r="JK163">
            <v>0</v>
          </cell>
          <cell r="JL163">
            <v>0</v>
          </cell>
          <cell r="JM163" t="str">
            <v>-</v>
          </cell>
          <cell r="JN163">
            <v>0</v>
          </cell>
          <cell r="JO163">
            <v>0</v>
          </cell>
          <cell r="JP163" t="str">
            <v>-</v>
          </cell>
          <cell r="JQ163">
            <v>134</v>
          </cell>
          <cell r="JR163">
            <v>20</v>
          </cell>
          <cell r="JS163">
            <v>87.012987012987011</v>
          </cell>
          <cell r="JT163">
            <v>49</v>
          </cell>
          <cell r="JU163">
            <v>11</v>
          </cell>
          <cell r="JV163">
            <v>81.666666666666671</v>
          </cell>
          <cell r="JW163">
            <v>0</v>
          </cell>
          <cell r="JX163">
            <v>0</v>
          </cell>
          <cell r="JY163" t="str">
            <v>-</v>
          </cell>
          <cell r="JZ163">
            <v>34</v>
          </cell>
          <cell r="KA163">
            <v>4</v>
          </cell>
          <cell r="KB163">
            <v>89.473684210526315</v>
          </cell>
          <cell r="KC163">
            <v>0</v>
          </cell>
          <cell r="KD163">
            <v>0</v>
          </cell>
          <cell r="KE163" t="str">
            <v>-</v>
          </cell>
          <cell r="KF163">
            <v>263</v>
          </cell>
          <cell r="KG163">
            <v>79</v>
          </cell>
          <cell r="KH163">
            <v>76.900584795321635</v>
          </cell>
          <cell r="KI163">
            <v>6</v>
          </cell>
          <cell r="KJ163">
            <v>4</v>
          </cell>
          <cell r="KK163">
            <v>60</v>
          </cell>
          <cell r="KL163">
            <v>0</v>
          </cell>
          <cell r="KM163">
            <v>2</v>
          </cell>
          <cell r="KN163">
            <v>0</v>
          </cell>
        </row>
        <row r="164">
          <cell r="C164" t="str">
            <v>Tiszafüredi Rendőrkapitányság</v>
          </cell>
          <cell r="D164">
            <v>0</v>
          </cell>
          <cell r="E164">
            <v>0</v>
          </cell>
          <cell r="F164" t="str">
            <v>-</v>
          </cell>
          <cell r="G164">
            <v>0</v>
          </cell>
          <cell r="H164">
            <v>0</v>
          </cell>
          <cell r="I164" t="str">
            <v>-</v>
          </cell>
          <cell r="J164">
            <v>0</v>
          </cell>
          <cell r="K164">
            <v>0</v>
          </cell>
          <cell r="L164" t="str">
            <v>-</v>
          </cell>
          <cell r="M164">
            <v>0</v>
          </cell>
          <cell r="N164">
            <v>0</v>
          </cell>
          <cell r="O164" t="str">
            <v>-</v>
          </cell>
          <cell r="P164">
            <v>1</v>
          </cell>
          <cell r="Q164">
            <v>1</v>
          </cell>
          <cell r="R164">
            <v>100</v>
          </cell>
          <cell r="S164">
            <v>100</v>
          </cell>
          <cell r="T164">
            <v>100</v>
          </cell>
          <cell r="U164" t="str">
            <v>-</v>
          </cell>
          <cell r="V164">
            <v>100</v>
          </cell>
          <cell r="W164">
            <v>100</v>
          </cell>
          <cell r="X164" t="str">
            <v>-</v>
          </cell>
          <cell r="Y164">
            <v>100</v>
          </cell>
          <cell r="Z164">
            <v>100</v>
          </cell>
          <cell r="AA164" t="str">
            <v>-</v>
          </cell>
          <cell r="AB164">
            <v>100</v>
          </cell>
          <cell r="AC164">
            <v>100</v>
          </cell>
          <cell r="AD164" t="str">
            <v>-</v>
          </cell>
          <cell r="AE164">
            <v>100</v>
          </cell>
          <cell r="AF164">
            <v>100</v>
          </cell>
          <cell r="AG164" t="str">
            <v>-</v>
          </cell>
          <cell r="AH164">
            <v>100</v>
          </cell>
          <cell r="AI164">
            <v>100</v>
          </cell>
          <cell r="AJ164" t="str">
            <v>-</v>
          </cell>
          <cell r="AK164">
            <v>100</v>
          </cell>
          <cell r="AL164">
            <v>100</v>
          </cell>
          <cell r="AM164" t="str">
            <v>-</v>
          </cell>
          <cell r="AN164">
            <v>100</v>
          </cell>
          <cell r="AO164">
            <v>100</v>
          </cell>
          <cell r="AP164" t="str">
            <v>-</v>
          </cell>
          <cell r="AQ164">
            <v>100</v>
          </cell>
          <cell r="AR164">
            <v>100</v>
          </cell>
          <cell r="AS164" t="str">
            <v>-</v>
          </cell>
          <cell r="AT164">
            <v>100</v>
          </cell>
          <cell r="AU164">
            <v>100</v>
          </cell>
          <cell r="AV164" t="str">
            <v>-</v>
          </cell>
          <cell r="AW164">
            <v>100</v>
          </cell>
          <cell r="AX164">
            <v>100</v>
          </cell>
          <cell r="AY164" t="str">
            <v>-</v>
          </cell>
          <cell r="AZ164">
            <v>100</v>
          </cell>
          <cell r="BA164">
            <v>100</v>
          </cell>
          <cell r="BB164" t="str">
            <v>-</v>
          </cell>
          <cell r="BC164">
            <v>100</v>
          </cell>
          <cell r="BD164">
            <v>100</v>
          </cell>
          <cell r="BE164" t="str">
            <v>-</v>
          </cell>
          <cell r="BF164">
            <v>100</v>
          </cell>
          <cell r="BG164">
            <v>100</v>
          </cell>
          <cell r="BH164" t="str">
            <v>-</v>
          </cell>
          <cell r="BI164">
            <v>100</v>
          </cell>
          <cell r="BJ164">
            <v>100</v>
          </cell>
          <cell r="BK164" t="str">
            <v>-</v>
          </cell>
          <cell r="BL164">
            <v>1</v>
          </cell>
          <cell r="BM164">
            <v>1</v>
          </cell>
          <cell r="BN164">
            <v>100</v>
          </cell>
          <cell r="BO164">
            <v>100</v>
          </cell>
          <cell r="BP164">
            <v>100</v>
          </cell>
          <cell r="BQ164" t="str">
            <v>-</v>
          </cell>
          <cell r="BR164">
            <v>100</v>
          </cell>
          <cell r="BS164">
            <v>100</v>
          </cell>
          <cell r="BT164" t="str">
            <v>-</v>
          </cell>
          <cell r="BU164">
            <v>100</v>
          </cell>
          <cell r="BV164">
            <v>100</v>
          </cell>
          <cell r="BW164" t="str">
            <v>-</v>
          </cell>
          <cell r="BX164">
            <v>61</v>
          </cell>
          <cell r="BY164">
            <v>9</v>
          </cell>
          <cell r="BZ164">
            <v>87.1</v>
          </cell>
          <cell r="CA164">
            <v>78</v>
          </cell>
          <cell r="CB164">
            <v>10</v>
          </cell>
          <cell r="CC164">
            <v>88.6</v>
          </cell>
          <cell r="CD164">
            <v>54</v>
          </cell>
          <cell r="CE164">
            <v>8</v>
          </cell>
          <cell r="CF164">
            <v>87.1</v>
          </cell>
          <cell r="CG164">
            <v>66</v>
          </cell>
          <cell r="CH164">
            <v>11</v>
          </cell>
          <cell r="CI164">
            <v>85.7</v>
          </cell>
          <cell r="CJ164">
            <v>58</v>
          </cell>
          <cell r="CK164">
            <v>8</v>
          </cell>
          <cell r="CL164">
            <v>87.9</v>
          </cell>
          <cell r="CM164">
            <v>55</v>
          </cell>
          <cell r="CN164">
            <v>9</v>
          </cell>
          <cell r="CO164">
            <v>85.9</v>
          </cell>
          <cell r="CP164">
            <v>15</v>
          </cell>
          <cell r="CQ164">
            <v>4</v>
          </cell>
          <cell r="CR164">
            <v>78.900000000000006</v>
          </cell>
          <cell r="CS164">
            <v>21</v>
          </cell>
          <cell r="CT164">
            <v>21</v>
          </cell>
          <cell r="CU164">
            <v>100</v>
          </cell>
          <cell r="CV164">
            <v>11</v>
          </cell>
          <cell r="CW164">
            <v>2</v>
          </cell>
          <cell r="CX164">
            <v>84.6</v>
          </cell>
          <cell r="CY164">
            <v>13</v>
          </cell>
          <cell r="CZ164">
            <v>3</v>
          </cell>
          <cell r="DA164">
            <v>81.3</v>
          </cell>
          <cell r="DB164">
            <v>7</v>
          </cell>
          <cell r="DC164">
            <v>1</v>
          </cell>
          <cell r="DD164">
            <v>87.5</v>
          </cell>
          <cell r="DE164">
            <v>18</v>
          </cell>
          <cell r="DF164">
            <v>3</v>
          </cell>
          <cell r="DG164">
            <v>85.7</v>
          </cell>
          <cell r="DH164">
            <v>9</v>
          </cell>
          <cell r="DI164">
            <v>3</v>
          </cell>
          <cell r="DJ164">
            <v>75</v>
          </cell>
          <cell r="DK164">
            <v>13</v>
          </cell>
          <cell r="DL164">
            <v>3</v>
          </cell>
          <cell r="DM164">
            <v>81.3</v>
          </cell>
          <cell r="DN164">
            <v>8</v>
          </cell>
          <cell r="DO164">
            <v>8</v>
          </cell>
          <cell r="DP164">
            <v>100</v>
          </cell>
          <cell r="DQ164">
            <v>4</v>
          </cell>
          <cell r="DR164">
            <v>4</v>
          </cell>
          <cell r="DS164">
            <v>100</v>
          </cell>
          <cell r="DT164">
            <v>100</v>
          </cell>
          <cell r="DU164">
            <v>100</v>
          </cell>
          <cell r="DV164" t="str">
            <v>-</v>
          </cell>
          <cell r="DW164">
            <v>100</v>
          </cell>
          <cell r="DX164">
            <v>100</v>
          </cell>
          <cell r="DY164" t="str">
            <v>-</v>
          </cell>
          <cell r="DZ164">
            <v>100</v>
          </cell>
          <cell r="EA164">
            <v>100</v>
          </cell>
          <cell r="EB164" t="str">
            <v>-</v>
          </cell>
          <cell r="EC164">
            <v>100</v>
          </cell>
          <cell r="ED164">
            <v>100</v>
          </cell>
          <cell r="EE164" t="str">
            <v>-</v>
          </cell>
          <cell r="EF164">
            <v>100</v>
          </cell>
          <cell r="EG164">
            <v>100</v>
          </cell>
          <cell r="EH164" t="str">
            <v>-</v>
          </cell>
          <cell r="EI164">
            <v>100</v>
          </cell>
          <cell r="EJ164">
            <v>100</v>
          </cell>
          <cell r="EK164" t="str">
            <v>-</v>
          </cell>
          <cell r="EL164">
            <v>100</v>
          </cell>
          <cell r="EM164">
            <v>100</v>
          </cell>
          <cell r="EN164" t="str">
            <v>-</v>
          </cell>
          <cell r="EO164">
            <v>100</v>
          </cell>
          <cell r="EP164">
            <v>100</v>
          </cell>
          <cell r="EQ164" t="str">
            <v>-</v>
          </cell>
          <cell r="ER164">
            <v>12</v>
          </cell>
          <cell r="ES164">
            <v>7</v>
          </cell>
          <cell r="ET164">
            <v>63.2</v>
          </cell>
          <cell r="EU164">
            <v>12</v>
          </cell>
          <cell r="EV164">
            <v>12</v>
          </cell>
          <cell r="EW164">
            <v>100</v>
          </cell>
          <cell r="EX164">
            <v>5</v>
          </cell>
          <cell r="EY164">
            <v>1</v>
          </cell>
          <cell r="EZ164">
            <v>83.3</v>
          </cell>
          <cell r="FA164">
            <v>83.29998779296875</v>
          </cell>
          <cell r="FB164">
            <v>83.29998779296875</v>
          </cell>
          <cell r="FC164" t="str">
            <v>-</v>
          </cell>
          <cell r="FD164">
            <v>7</v>
          </cell>
          <cell r="FE164">
            <v>2</v>
          </cell>
          <cell r="FF164">
            <v>77.8</v>
          </cell>
          <cell r="FG164">
            <v>8</v>
          </cell>
          <cell r="FH164">
            <v>8</v>
          </cell>
          <cell r="FI164">
            <v>100</v>
          </cell>
          <cell r="FJ164">
            <v>1</v>
          </cell>
          <cell r="FK164">
            <v>1</v>
          </cell>
          <cell r="FL164">
            <v>100</v>
          </cell>
          <cell r="FM164">
            <v>2</v>
          </cell>
          <cell r="FN164">
            <v>2</v>
          </cell>
          <cell r="FO164">
            <v>100</v>
          </cell>
          <cell r="FP164">
            <v>100</v>
          </cell>
          <cell r="FQ164">
            <v>100</v>
          </cell>
          <cell r="FR164" t="str">
            <v>-</v>
          </cell>
          <cell r="FS164">
            <v>100</v>
          </cell>
          <cell r="FT164">
            <v>100</v>
          </cell>
          <cell r="FU164" t="str">
            <v>-</v>
          </cell>
          <cell r="FV164">
            <v>100</v>
          </cell>
          <cell r="FW164">
            <v>100</v>
          </cell>
          <cell r="FX164" t="str">
            <v>-</v>
          </cell>
          <cell r="FY164">
            <v>100</v>
          </cell>
          <cell r="FZ164">
            <v>100</v>
          </cell>
          <cell r="GA164" t="str">
            <v>-</v>
          </cell>
          <cell r="GB164">
            <v>100</v>
          </cell>
          <cell r="GC164">
            <v>100</v>
          </cell>
          <cell r="GD164" t="str">
            <v>-</v>
          </cell>
          <cell r="GE164">
            <v>100</v>
          </cell>
          <cell r="GF164">
            <v>100</v>
          </cell>
          <cell r="GG164" t="str">
            <v>-</v>
          </cell>
          <cell r="GH164">
            <v>100</v>
          </cell>
          <cell r="GI164">
            <v>100</v>
          </cell>
          <cell r="GJ164" t="str">
            <v>-</v>
          </cell>
          <cell r="GK164">
            <v>100</v>
          </cell>
          <cell r="GL164">
            <v>100</v>
          </cell>
          <cell r="GM164" t="str">
            <v>-</v>
          </cell>
          <cell r="GN164">
            <v>97</v>
          </cell>
          <cell r="GO164">
            <v>24</v>
          </cell>
          <cell r="GP164">
            <v>80.2</v>
          </cell>
          <cell r="GQ164">
            <v>99</v>
          </cell>
          <cell r="GR164">
            <v>23</v>
          </cell>
          <cell r="GS164">
            <v>81.099999999999994</v>
          </cell>
          <cell r="GT164">
            <v>64</v>
          </cell>
          <cell r="GU164">
            <v>22</v>
          </cell>
          <cell r="GV164">
            <v>74.400000000000006</v>
          </cell>
          <cell r="GW164">
            <v>81</v>
          </cell>
          <cell r="GX164">
            <v>14</v>
          </cell>
          <cell r="GY164">
            <v>85.3</v>
          </cell>
          <cell r="GZ164">
            <v>69</v>
          </cell>
          <cell r="HA164">
            <v>20</v>
          </cell>
          <cell r="HB164">
            <v>77.5</v>
          </cell>
          <cell r="HC164">
            <v>68</v>
          </cell>
          <cell r="HD164">
            <v>9</v>
          </cell>
          <cell r="HE164">
            <v>88.3</v>
          </cell>
          <cell r="HF164">
            <v>39</v>
          </cell>
          <cell r="HG164">
            <v>9</v>
          </cell>
          <cell r="HH164">
            <v>81.3</v>
          </cell>
          <cell r="HI164">
            <v>28</v>
          </cell>
          <cell r="HJ164">
            <v>2</v>
          </cell>
          <cell r="HK164">
            <v>93.3</v>
          </cell>
          <cell r="HL164">
            <v>3</v>
          </cell>
          <cell r="HM164">
            <v>8</v>
          </cell>
          <cell r="HN164">
            <v>27.3</v>
          </cell>
          <cell r="HO164">
            <v>8</v>
          </cell>
          <cell r="HP164">
            <v>6</v>
          </cell>
          <cell r="HQ164">
            <v>57.1</v>
          </cell>
          <cell r="HR164">
            <v>3</v>
          </cell>
          <cell r="HS164">
            <v>9</v>
          </cell>
          <cell r="HT164">
            <v>25</v>
          </cell>
          <cell r="HU164">
            <v>9</v>
          </cell>
          <cell r="HV164">
            <v>1</v>
          </cell>
          <cell r="HW164">
            <v>90</v>
          </cell>
          <cell r="HX164">
            <v>6</v>
          </cell>
          <cell r="HY164">
            <v>8</v>
          </cell>
          <cell r="HZ164">
            <v>42.9</v>
          </cell>
          <cell r="IA164">
            <v>5</v>
          </cell>
          <cell r="IB164">
            <v>5</v>
          </cell>
          <cell r="IC164">
            <v>100</v>
          </cell>
          <cell r="ID164">
            <v>100</v>
          </cell>
          <cell r="IE164">
            <v>2</v>
          </cell>
          <cell r="IF164">
            <v>0</v>
          </cell>
          <cell r="IG164">
            <v>1</v>
          </cell>
          <cell r="IH164">
            <v>1</v>
          </cell>
          <cell r="II164">
            <v>100</v>
          </cell>
          <cell r="IJ164">
            <v>100</v>
          </cell>
          <cell r="IK164">
            <v>100</v>
          </cell>
          <cell r="IL164" t="str">
            <v>-</v>
          </cell>
          <cell r="IM164">
            <v>100</v>
          </cell>
          <cell r="IN164">
            <v>100</v>
          </cell>
          <cell r="IO164" t="str">
            <v>-</v>
          </cell>
          <cell r="IP164">
            <v>100</v>
          </cell>
          <cell r="IQ164">
            <v>100</v>
          </cell>
          <cell r="IR164" t="str">
            <v>-</v>
          </cell>
          <cell r="IS164">
            <v>100</v>
          </cell>
          <cell r="IT164">
            <v>100</v>
          </cell>
          <cell r="IU164" t="str">
            <v>-</v>
          </cell>
          <cell r="IV164">
            <v>100</v>
          </cell>
          <cell r="IW164">
            <v>100</v>
          </cell>
          <cell r="IX164" t="str">
            <v>-</v>
          </cell>
          <cell r="IY164">
            <v>100</v>
          </cell>
          <cell r="IZ164">
            <v>100</v>
          </cell>
          <cell r="JA164" t="str">
            <v>-</v>
          </cell>
          <cell r="JB164">
            <v>100</v>
          </cell>
          <cell r="JC164">
            <v>100</v>
          </cell>
          <cell r="JD164" t="str">
            <v>-</v>
          </cell>
          <cell r="JE164">
            <v>100</v>
          </cell>
          <cell r="JF164">
            <v>100</v>
          </cell>
          <cell r="JG164" t="str">
            <v>-</v>
          </cell>
          <cell r="JH164">
            <v>1</v>
          </cell>
          <cell r="JI164">
            <v>0</v>
          </cell>
          <cell r="JJ164">
            <v>100</v>
          </cell>
          <cell r="JK164">
            <v>0</v>
          </cell>
          <cell r="JL164">
            <v>0</v>
          </cell>
          <cell r="JM164" t="str">
            <v>-</v>
          </cell>
          <cell r="JN164">
            <v>1</v>
          </cell>
          <cell r="JO164">
            <v>0</v>
          </cell>
          <cell r="JP164">
            <v>100</v>
          </cell>
          <cell r="JQ164">
            <v>215</v>
          </cell>
          <cell r="JR164">
            <v>32</v>
          </cell>
          <cell r="JS164">
            <v>87.044534412955471</v>
          </cell>
          <cell r="JT164">
            <v>52</v>
          </cell>
          <cell r="JU164">
            <v>9</v>
          </cell>
          <cell r="JV164">
            <v>85.245901639344254</v>
          </cell>
          <cell r="JW164">
            <v>0</v>
          </cell>
          <cell r="JX164">
            <v>0</v>
          </cell>
          <cell r="JY164" t="str">
            <v>-</v>
          </cell>
          <cell r="JZ164">
            <v>18</v>
          </cell>
          <cell r="KA164">
            <v>2</v>
          </cell>
          <cell r="KB164">
            <v>90</v>
          </cell>
          <cell r="KC164">
            <v>0</v>
          </cell>
          <cell r="KD164">
            <v>0</v>
          </cell>
          <cell r="KE164" t="str">
            <v>-</v>
          </cell>
          <cell r="KF164">
            <v>285</v>
          </cell>
          <cell r="KG164">
            <v>54</v>
          </cell>
          <cell r="KH164">
            <v>84.070796460176993</v>
          </cell>
          <cell r="KI164">
            <v>21</v>
          </cell>
          <cell r="KJ164">
            <v>11</v>
          </cell>
          <cell r="KK164">
            <v>65.625</v>
          </cell>
          <cell r="KL164">
            <v>0</v>
          </cell>
          <cell r="KM164">
            <v>0</v>
          </cell>
          <cell r="KN164" t="str">
            <v>-</v>
          </cell>
        </row>
        <row r="165">
          <cell r="C165" t="str">
            <v>Törökszentmiklósi Rendőrkapitányság</v>
          </cell>
          <cell r="D165">
            <v>0</v>
          </cell>
          <cell r="E165">
            <v>0</v>
          </cell>
          <cell r="F165" t="str">
            <v>-</v>
          </cell>
          <cell r="G165">
            <v>0</v>
          </cell>
          <cell r="H165">
            <v>0</v>
          </cell>
          <cell r="I165" t="str">
            <v>-</v>
          </cell>
          <cell r="J165">
            <v>0</v>
          </cell>
          <cell r="K165">
            <v>0</v>
          </cell>
          <cell r="L165" t="str">
            <v>-</v>
          </cell>
          <cell r="M165">
            <v>0</v>
          </cell>
          <cell r="N165">
            <v>0</v>
          </cell>
          <cell r="O165" t="str">
            <v>-</v>
          </cell>
          <cell r="P165">
            <v>0</v>
          </cell>
          <cell r="Q165">
            <v>0</v>
          </cell>
          <cell r="R165" t="str">
            <v>-</v>
          </cell>
          <cell r="S165">
            <v>0</v>
          </cell>
          <cell r="T165">
            <v>0</v>
          </cell>
          <cell r="U165" t="str">
            <v>-</v>
          </cell>
          <cell r="V165">
            <v>0</v>
          </cell>
          <cell r="W165">
            <v>0</v>
          </cell>
          <cell r="X165" t="str">
            <v>-</v>
          </cell>
          <cell r="Y165">
            <v>0</v>
          </cell>
          <cell r="Z165">
            <v>0</v>
          </cell>
          <cell r="AA165" t="str">
            <v>-</v>
          </cell>
          <cell r="AB165">
            <v>0</v>
          </cell>
          <cell r="AC165">
            <v>0</v>
          </cell>
          <cell r="AD165" t="str">
            <v>-</v>
          </cell>
          <cell r="AE165">
            <v>0</v>
          </cell>
          <cell r="AF165">
            <v>0</v>
          </cell>
          <cell r="AG165" t="str">
            <v>-</v>
          </cell>
          <cell r="AH165">
            <v>0</v>
          </cell>
          <cell r="AI165">
            <v>0</v>
          </cell>
          <cell r="AJ165" t="str">
            <v>-</v>
          </cell>
          <cell r="AK165">
            <v>0</v>
          </cell>
          <cell r="AL165">
            <v>0</v>
          </cell>
          <cell r="AM165" t="str">
            <v>-</v>
          </cell>
          <cell r="AN165">
            <v>0</v>
          </cell>
          <cell r="AO165">
            <v>0</v>
          </cell>
          <cell r="AP165" t="str">
            <v>-</v>
          </cell>
          <cell r="AQ165">
            <v>0</v>
          </cell>
          <cell r="AR165">
            <v>0</v>
          </cell>
          <cell r="AS165" t="str">
            <v>-</v>
          </cell>
          <cell r="AT165">
            <v>0</v>
          </cell>
          <cell r="AU165">
            <v>0</v>
          </cell>
          <cell r="AV165" t="str">
            <v>-</v>
          </cell>
          <cell r="AW165">
            <v>0</v>
          </cell>
          <cell r="AX165">
            <v>0</v>
          </cell>
          <cell r="AY165" t="str">
            <v>-</v>
          </cell>
          <cell r="AZ165">
            <v>0</v>
          </cell>
          <cell r="BA165">
            <v>0</v>
          </cell>
          <cell r="BB165" t="str">
            <v>-</v>
          </cell>
          <cell r="BC165">
            <v>0</v>
          </cell>
          <cell r="BD165">
            <v>0</v>
          </cell>
          <cell r="BE165" t="str">
            <v>-</v>
          </cell>
          <cell r="BF165">
            <v>0</v>
          </cell>
          <cell r="BG165">
            <v>0</v>
          </cell>
          <cell r="BH165" t="str">
            <v>-</v>
          </cell>
          <cell r="BI165">
            <v>0</v>
          </cell>
          <cell r="BJ165">
            <v>0</v>
          </cell>
          <cell r="BK165" t="str">
            <v>-</v>
          </cell>
          <cell r="BL165">
            <v>0</v>
          </cell>
          <cell r="BM165">
            <v>0</v>
          </cell>
          <cell r="BN165" t="str">
            <v>-</v>
          </cell>
          <cell r="BO165">
            <v>0</v>
          </cell>
          <cell r="BP165">
            <v>0</v>
          </cell>
          <cell r="BQ165" t="str">
            <v>-</v>
          </cell>
          <cell r="BR165">
            <v>0</v>
          </cell>
          <cell r="BS165">
            <v>0</v>
          </cell>
          <cell r="BT165" t="str">
            <v>-</v>
          </cell>
          <cell r="BU165">
            <v>0</v>
          </cell>
          <cell r="BV165">
            <v>0</v>
          </cell>
          <cell r="BW165" t="str">
            <v>-</v>
          </cell>
          <cell r="BX165">
            <v>55</v>
          </cell>
          <cell r="BY165">
            <v>27</v>
          </cell>
          <cell r="BZ165">
            <v>67.099999999999994</v>
          </cell>
          <cell r="CA165">
            <v>40</v>
          </cell>
          <cell r="CB165">
            <v>13</v>
          </cell>
          <cell r="CC165">
            <v>75.5</v>
          </cell>
          <cell r="CD165">
            <v>34</v>
          </cell>
          <cell r="CE165">
            <v>8</v>
          </cell>
          <cell r="CF165">
            <v>81</v>
          </cell>
          <cell r="CG165">
            <v>62</v>
          </cell>
          <cell r="CH165">
            <v>10</v>
          </cell>
          <cell r="CI165">
            <v>86.1</v>
          </cell>
          <cell r="CJ165">
            <v>74</v>
          </cell>
          <cell r="CK165">
            <v>38</v>
          </cell>
          <cell r="CL165">
            <v>66.099999999999994</v>
          </cell>
          <cell r="CM165">
            <v>64</v>
          </cell>
          <cell r="CN165">
            <v>13</v>
          </cell>
          <cell r="CO165">
            <v>83.1</v>
          </cell>
          <cell r="CP165">
            <v>59</v>
          </cell>
          <cell r="CQ165">
            <v>17</v>
          </cell>
          <cell r="CR165">
            <v>77.599999999999994</v>
          </cell>
          <cell r="CS165">
            <v>48</v>
          </cell>
          <cell r="CT165">
            <v>8</v>
          </cell>
          <cell r="CU165">
            <v>85.7</v>
          </cell>
          <cell r="CV165">
            <v>22</v>
          </cell>
          <cell r="CW165">
            <v>17</v>
          </cell>
          <cell r="CX165">
            <v>56.4</v>
          </cell>
          <cell r="CY165">
            <v>11</v>
          </cell>
          <cell r="CZ165">
            <v>6</v>
          </cell>
          <cell r="DA165">
            <v>64.7</v>
          </cell>
          <cell r="DB165">
            <v>16</v>
          </cell>
          <cell r="DC165">
            <v>3</v>
          </cell>
          <cell r="DD165">
            <v>84.2</v>
          </cell>
          <cell r="DE165">
            <v>8</v>
          </cell>
          <cell r="DF165">
            <v>2</v>
          </cell>
          <cell r="DG165">
            <v>80</v>
          </cell>
          <cell r="DH165">
            <v>19</v>
          </cell>
          <cell r="DI165">
            <v>10</v>
          </cell>
          <cell r="DJ165">
            <v>65.5</v>
          </cell>
          <cell r="DK165">
            <v>17</v>
          </cell>
          <cell r="DL165">
            <v>4</v>
          </cell>
          <cell r="DM165">
            <v>81</v>
          </cell>
          <cell r="DN165">
            <v>14</v>
          </cell>
          <cell r="DO165">
            <v>1</v>
          </cell>
          <cell r="DP165">
            <v>93.3</v>
          </cell>
          <cell r="DQ165">
            <v>9</v>
          </cell>
          <cell r="DR165">
            <v>5</v>
          </cell>
          <cell r="DS165">
            <v>64.3</v>
          </cell>
          <cell r="DT165">
            <v>64.29998779296875</v>
          </cell>
          <cell r="DU165">
            <v>64.29998779296875</v>
          </cell>
          <cell r="DV165" t="str">
            <v>-</v>
          </cell>
          <cell r="DW165">
            <v>64.29998779296875</v>
          </cell>
          <cell r="DX165">
            <v>64.29998779296875</v>
          </cell>
          <cell r="DY165" t="str">
            <v>-</v>
          </cell>
          <cell r="DZ165">
            <v>64.29998779296875</v>
          </cell>
          <cell r="EA165">
            <v>64.29998779296875</v>
          </cell>
          <cell r="EB165" t="str">
            <v>-</v>
          </cell>
          <cell r="EC165">
            <v>64.29998779296875</v>
          </cell>
          <cell r="ED165">
            <v>64.29998779296875</v>
          </cell>
          <cell r="EE165" t="str">
            <v>-</v>
          </cell>
          <cell r="EF165">
            <v>64.29998779296875</v>
          </cell>
          <cell r="EG165">
            <v>64.29998779296875</v>
          </cell>
          <cell r="EH165" t="str">
            <v>-</v>
          </cell>
          <cell r="EI165">
            <v>64.29998779296875</v>
          </cell>
          <cell r="EJ165">
            <v>64.29998779296875</v>
          </cell>
          <cell r="EK165" t="str">
            <v>-</v>
          </cell>
          <cell r="EL165">
            <v>64.29998779296875</v>
          </cell>
          <cell r="EM165">
            <v>64.29998779296875</v>
          </cell>
          <cell r="EN165" t="str">
            <v>-</v>
          </cell>
          <cell r="EO165">
            <v>64.29998779296875</v>
          </cell>
          <cell r="EP165">
            <v>64.29998779296875</v>
          </cell>
          <cell r="EQ165" t="str">
            <v>-</v>
          </cell>
          <cell r="ER165">
            <v>21</v>
          </cell>
          <cell r="ES165">
            <v>10</v>
          </cell>
          <cell r="ET165">
            <v>67.7</v>
          </cell>
          <cell r="EU165">
            <v>27</v>
          </cell>
          <cell r="EV165">
            <v>24</v>
          </cell>
          <cell r="EW165">
            <v>52.9</v>
          </cell>
          <cell r="EX165">
            <v>32</v>
          </cell>
          <cell r="EY165">
            <v>7</v>
          </cell>
          <cell r="EZ165">
            <v>82.1</v>
          </cell>
          <cell r="FA165">
            <v>10</v>
          </cell>
          <cell r="FB165">
            <v>10</v>
          </cell>
          <cell r="FC165">
            <v>50</v>
          </cell>
          <cell r="FD165">
            <v>21</v>
          </cell>
          <cell r="FE165">
            <v>5</v>
          </cell>
          <cell r="FF165">
            <v>80.8</v>
          </cell>
          <cell r="FG165">
            <v>31</v>
          </cell>
          <cell r="FH165">
            <v>11</v>
          </cell>
          <cell r="FI165">
            <v>73.8</v>
          </cell>
          <cell r="FJ165">
            <v>14</v>
          </cell>
          <cell r="FK165">
            <v>4</v>
          </cell>
          <cell r="FL165">
            <v>77.8</v>
          </cell>
          <cell r="FM165">
            <v>18</v>
          </cell>
          <cell r="FN165">
            <v>6</v>
          </cell>
          <cell r="FO165">
            <v>75</v>
          </cell>
          <cell r="FP165">
            <v>75</v>
          </cell>
          <cell r="FQ165">
            <v>75</v>
          </cell>
          <cell r="FR165" t="str">
            <v>-</v>
          </cell>
          <cell r="FS165">
            <v>75</v>
          </cell>
          <cell r="FT165">
            <v>75</v>
          </cell>
          <cell r="FU165" t="str">
            <v>-</v>
          </cell>
          <cell r="FV165">
            <v>75</v>
          </cell>
          <cell r="FW165">
            <v>75</v>
          </cell>
          <cell r="FX165" t="str">
            <v>-</v>
          </cell>
          <cell r="FY165">
            <v>75</v>
          </cell>
          <cell r="FZ165">
            <v>75</v>
          </cell>
          <cell r="GA165" t="str">
            <v>-</v>
          </cell>
          <cell r="GB165">
            <v>75</v>
          </cell>
          <cell r="GC165">
            <v>75</v>
          </cell>
          <cell r="GD165" t="str">
            <v>-</v>
          </cell>
          <cell r="GE165">
            <v>75</v>
          </cell>
          <cell r="GF165">
            <v>75</v>
          </cell>
          <cell r="GG165" t="str">
            <v>-</v>
          </cell>
          <cell r="GH165">
            <v>75</v>
          </cell>
          <cell r="GI165">
            <v>75</v>
          </cell>
          <cell r="GJ165" t="str">
            <v>-</v>
          </cell>
          <cell r="GK165">
            <v>75</v>
          </cell>
          <cell r="GL165">
            <v>75</v>
          </cell>
          <cell r="GM165" t="str">
            <v>-</v>
          </cell>
          <cell r="GN165">
            <v>57</v>
          </cell>
          <cell r="GO165">
            <v>18</v>
          </cell>
          <cell r="GP165">
            <v>76</v>
          </cell>
          <cell r="GQ165">
            <v>46</v>
          </cell>
          <cell r="GR165">
            <v>27</v>
          </cell>
          <cell r="GS165">
            <v>63</v>
          </cell>
          <cell r="GT165">
            <v>46</v>
          </cell>
          <cell r="GU165">
            <v>12</v>
          </cell>
          <cell r="GV165">
            <v>79.3</v>
          </cell>
          <cell r="GW165">
            <v>73</v>
          </cell>
          <cell r="GX165">
            <v>21</v>
          </cell>
          <cell r="GY165">
            <v>77.7</v>
          </cell>
          <cell r="GZ165">
            <v>74</v>
          </cell>
          <cell r="HA165">
            <v>50</v>
          </cell>
          <cell r="HB165">
            <v>59.7</v>
          </cell>
          <cell r="HC165">
            <v>60</v>
          </cell>
          <cell r="HD165">
            <v>14</v>
          </cell>
          <cell r="HE165">
            <v>81.099999999999994</v>
          </cell>
          <cell r="HF165">
            <v>63</v>
          </cell>
          <cell r="HG165">
            <v>23</v>
          </cell>
          <cell r="HH165">
            <v>73.3</v>
          </cell>
          <cell r="HI165">
            <v>42</v>
          </cell>
          <cell r="HJ165">
            <v>11</v>
          </cell>
          <cell r="HK165">
            <v>79.2</v>
          </cell>
          <cell r="HL165">
            <v>79.199951171875</v>
          </cell>
          <cell r="HM165">
            <v>3</v>
          </cell>
          <cell r="HN165">
            <v>0</v>
          </cell>
          <cell r="HO165">
            <v>2</v>
          </cell>
          <cell r="HP165">
            <v>4</v>
          </cell>
          <cell r="HQ165">
            <v>33.299999999999997</v>
          </cell>
          <cell r="HR165">
            <v>33.29998779296875</v>
          </cell>
          <cell r="HS165">
            <v>1</v>
          </cell>
          <cell r="HT165">
            <v>0</v>
          </cell>
          <cell r="HU165">
            <v>5</v>
          </cell>
          <cell r="HV165">
            <v>1</v>
          </cell>
          <cell r="HW165">
            <v>83.3</v>
          </cell>
          <cell r="HX165">
            <v>2</v>
          </cell>
          <cell r="HY165">
            <v>3</v>
          </cell>
          <cell r="HZ165">
            <v>40</v>
          </cell>
          <cell r="IA165">
            <v>6</v>
          </cell>
          <cell r="IB165">
            <v>6</v>
          </cell>
          <cell r="IC165">
            <v>100</v>
          </cell>
          <cell r="ID165">
            <v>1</v>
          </cell>
          <cell r="IE165">
            <v>1</v>
          </cell>
          <cell r="IF165">
            <v>100</v>
          </cell>
          <cell r="IG165">
            <v>100</v>
          </cell>
          <cell r="IH165">
            <v>1</v>
          </cell>
          <cell r="II165">
            <v>0</v>
          </cell>
          <cell r="IJ165">
            <v>0</v>
          </cell>
          <cell r="IK165">
            <v>0</v>
          </cell>
          <cell r="IL165" t="str">
            <v>-</v>
          </cell>
          <cell r="IM165">
            <v>1</v>
          </cell>
          <cell r="IN165">
            <v>1</v>
          </cell>
          <cell r="IO165">
            <v>50</v>
          </cell>
          <cell r="IP165">
            <v>50</v>
          </cell>
          <cell r="IQ165">
            <v>1</v>
          </cell>
          <cell r="IR165">
            <v>0</v>
          </cell>
          <cell r="IS165">
            <v>0</v>
          </cell>
          <cell r="IT165">
            <v>0</v>
          </cell>
          <cell r="IU165" t="str">
            <v>-</v>
          </cell>
          <cell r="IV165">
            <v>0</v>
          </cell>
          <cell r="IW165">
            <v>0</v>
          </cell>
          <cell r="IX165" t="str">
            <v>-</v>
          </cell>
          <cell r="IY165">
            <v>2</v>
          </cell>
          <cell r="IZ165">
            <v>2</v>
          </cell>
          <cell r="JA165">
            <v>100</v>
          </cell>
          <cell r="JB165">
            <v>1</v>
          </cell>
          <cell r="JC165">
            <v>1</v>
          </cell>
          <cell r="JD165">
            <v>50</v>
          </cell>
          <cell r="JE165">
            <v>2</v>
          </cell>
          <cell r="JF165">
            <v>1</v>
          </cell>
          <cell r="JG165">
            <v>66.7</v>
          </cell>
          <cell r="JH165">
            <v>0</v>
          </cell>
          <cell r="JI165">
            <v>0</v>
          </cell>
          <cell r="JJ165" t="str">
            <v>-</v>
          </cell>
          <cell r="JK165">
            <v>0</v>
          </cell>
          <cell r="JL165">
            <v>0</v>
          </cell>
          <cell r="JM165" t="str">
            <v>-</v>
          </cell>
          <cell r="JN165">
            <v>0</v>
          </cell>
          <cell r="JO165">
            <v>0</v>
          </cell>
          <cell r="JP165" t="str">
            <v>-</v>
          </cell>
          <cell r="JQ165">
            <v>307</v>
          </cell>
          <cell r="JR165">
            <v>86</v>
          </cell>
          <cell r="JS165">
            <v>78.117048346055981</v>
          </cell>
          <cell r="JT165">
            <v>67</v>
          </cell>
          <cell r="JU165">
            <v>22</v>
          </cell>
          <cell r="JV165">
            <v>75.280898876404493</v>
          </cell>
          <cell r="JW165">
            <v>0</v>
          </cell>
          <cell r="JX165">
            <v>0</v>
          </cell>
          <cell r="JY165" t="str">
            <v>-</v>
          </cell>
          <cell r="JZ165">
            <v>94</v>
          </cell>
          <cell r="KA165">
            <v>36</v>
          </cell>
          <cell r="KB165">
            <v>72.307692307692307</v>
          </cell>
          <cell r="KC165">
            <v>0</v>
          </cell>
          <cell r="KD165">
            <v>0</v>
          </cell>
          <cell r="KE165" t="str">
            <v>-</v>
          </cell>
          <cell r="KF165">
            <v>312</v>
          </cell>
          <cell r="KG165">
            <v>119</v>
          </cell>
          <cell r="KH165">
            <v>72.389791183294662</v>
          </cell>
          <cell r="KI165">
            <v>14</v>
          </cell>
          <cell r="KJ165">
            <v>5</v>
          </cell>
          <cell r="KK165">
            <v>73.68421052631578</v>
          </cell>
          <cell r="KL165">
            <v>5</v>
          </cell>
          <cell r="KM165">
            <v>2</v>
          </cell>
          <cell r="KN165">
            <v>71.428571428571431</v>
          </cell>
        </row>
        <row r="166">
          <cell r="C166" t="str">
            <v>Tiszai Vízirendészetii Rendőrkapitányság</v>
          </cell>
          <cell r="D166">
            <v>71.42852783203125</v>
          </cell>
          <cell r="E166">
            <v>71.42852783203125</v>
          </cell>
          <cell r="F166" t="str">
            <v>-</v>
          </cell>
          <cell r="G166">
            <v>71.42852783203125</v>
          </cell>
          <cell r="H166">
            <v>71.42852783203125</v>
          </cell>
          <cell r="I166" t="str">
            <v>-</v>
          </cell>
          <cell r="J166">
            <v>71.42852783203125</v>
          </cell>
          <cell r="K166">
            <v>71.42852783203125</v>
          </cell>
          <cell r="L166" t="str">
            <v>-</v>
          </cell>
          <cell r="M166">
            <v>71.42852783203125</v>
          </cell>
          <cell r="N166">
            <v>71.42852783203125</v>
          </cell>
          <cell r="O166" t="str">
            <v>-</v>
          </cell>
          <cell r="P166">
            <v>71.42852783203125</v>
          </cell>
          <cell r="Q166">
            <v>71.42852783203125</v>
          </cell>
          <cell r="R166" t="str">
            <v>-</v>
          </cell>
          <cell r="S166">
            <v>71.42852783203125</v>
          </cell>
          <cell r="T166">
            <v>71.42852783203125</v>
          </cell>
          <cell r="U166" t="str">
            <v>-</v>
          </cell>
          <cell r="V166">
            <v>71.42852783203125</v>
          </cell>
          <cell r="W166">
            <v>71.42852783203125</v>
          </cell>
          <cell r="X166" t="str">
            <v>-</v>
          </cell>
          <cell r="Y166">
            <v>71.42852783203125</v>
          </cell>
          <cell r="Z166">
            <v>71.42852783203125</v>
          </cell>
          <cell r="AA166" t="str">
            <v>-</v>
          </cell>
          <cell r="AB166">
            <v>71.42852783203125</v>
          </cell>
          <cell r="AC166">
            <v>71.42852783203125</v>
          </cell>
          <cell r="AD166" t="str">
            <v>-</v>
          </cell>
          <cell r="AE166">
            <v>71.42852783203125</v>
          </cell>
          <cell r="AF166">
            <v>71.42852783203125</v>
          </cell>
          <cell r="AG166" t="str">
            <v>-</v>
          </cell>
          <cell r="AH166">
            <v>71.42852783203125</v>
          </cell>
          <cell r="AI166">
            <v>71.42852783203125</v>
          </cell>
          <cell r="AJ166" t="str">
            <v>-</v>
          </cell>
          <cell r="AK166">
            <v>71.42852783203125</v>
          </cell>
          <cell r="AL166">
            <v>71.42852783203125</v>
          </cell>
          <cell r="AM166" t="str">
            <v>-</v>
          </cell>
          <cell r="AN166">
            <v>71.42852783203125</v>
          </cell>
          <cell r="AO166">
            <v>71.42852783203125</v>
          </cell>
          <cell r="AP166" t="str">
            <v>-</v>
          </cell>
          <cell r="AQ166">
            <v>71.42852783203125</v>
          </cell>
          <cell r="AR166">
            <v>71.42852783203125</v>
          </cell>
          <cell r="AS166" t="str">
            <v>-</v>
          </cell>
          <cell r="AT166">
            <v>71.42852783203125</v>
          </cell>
          <cell r="AU166">
            <v>71.42852783203125</v>
          </cell>
          <cell r="AV166" t="str">
            <v>-</v>
          </cell>
          <cell r="AW166">
            <v>71.42852783203125</v>
          </cell>
          <cell r="AX166">
            <v>71.42852783203125</v>
          </cell>
          <cell r="AY166" t="str">
            <v>-</v>
          </cell>
          <cell r="AZ166">
            <v>71.42852783203125</v>
          </cell>
          <cell r="BA166">
            <v>71.42852783203125</v>
          </cell>
          <cell r="BB166" t="str">
            <v>-</v>
          </cell>
          <cell r="BC166">
            <v>71.42852783203125</v>
          </cell>
          <cell r="BD166">
            <v>71.42852783203125</v>
          </cell>
          <cell r="BE166" t="str">
            <v>-</v>
          </cell>
          <cell r="BF166">
            <v>71.42852783203125</v>
          </cell>
          <cell r="BG166">
            <v>71.42852783203125</v>
          </cell>
          <cell r="BH166" t="str">
            <v>-</v>
          </cell>
          <cell r="BI166">
            <v>71.42852783203125</v>
          </cell>
          <cell r="BJ166">
            <v>71.42852783203125</v>
          </cell>
          <cell r="BK166" t="str">
            <v>-</v>
          </cell>
          <cell r="BL166">
            <v>71.42852783203125</v>
          </cell>
          <cell r="BM166">
            <v>71.42852783203125</v>
          </cell>
          <cell r="BN166" t="str">
            <v>-</v>
          </cell>
          <cell r="BO166">
            <v>71.42852783203125</v>
          </cell>
          <cell r="BP166">
            <v>71.42852783203125</v>
          </cell>
          <cell r="BQ166" t="str">
            <v>-</v>
          </cell>
          <cell r="BR166">
            <v>71.42852783203125</v>
          </cell>
          <cell r="BS166">
            <v>71.42852783203125</v>
          </cell>
          <cell r="BT166" t="str">
            <v>-</v>
          </cell>
          <cell r="BU166">
            <v>71.42852783203125</v>
          </cell>
          <cell r="BV166">
            <v>71.42852783203125</v>
          </cell>
          <cell r="BW166" t="str">
            <v>-</v>
          </cell>
          <cell r="BX166">
            <v>71.42852783203125</v>
          </cell>
          <cell r="BY166">
            <v>71.42852783203125</v>
          </cell>
          <cell r="BZ166" t="str">
            <v>-</v>
          </cell>
          <cell r="CA166">
            <v>71.42852783203125</v>
          </cell>
          <cell r="CB166">
            <v>71.42852783203125</v>
          </cell>
          <cell r="CC166" t="str">
            <v>-</v>
          </cell>
          <cell r="CD166">
            <v>71.42852783203125</v>
          </cell>
          <cell r="CE166">
            <v>71.42852783203125</v>
          </cell>
          <cell r="CF166" t="str">
            <v>-</v>
          </cell>
          <cell r="CG166">
            <v>71.42852783203125</v>
          </cell>
          <cell r="CH166">
            <v>71.42852783203125</v>
          </cell>
          <cell r="CI166" t="str">
            <v>-</v>
          </cell>
          <cell r="CJ166">
            <v>71.42852783203125</v>
          </cell>
          <cell r="CK166">
            <v>71.42852783203125</v>
          </cell>
          <cell r="CL166" t="str">
            <v>-</v>
          </cell>
          <cell r="CM166">
            <v>71.42852783203125</v>
          </cell>
          <cell r="CN166">
            <v>71.42852783203125</v>
          </cell>
          <cell r="CO166" t="str">
            <v>-</v>
          </cell>
          <cell r="CP166">
            <v>71.42852783203125</v>
          </cell>
          <cell r="CQ166">
            <v>71.42852783203125</v>
          </cell>
          <cell r="CR166" t="str">
            <v>-</v>
          </cell>
          <cell r="CS166">
            <v>71.42852783203125</v>
          </cell>
          <cell r="CT166">
            <v>71.42852783203125</v>
          </cell>
          <cell r="CU166" t="str">
            <v>-</v>
          </cell>
          <cell r="CV166">
            <v>71.42852783203125</v>
          </cell>
          <cell r="CW166">
            <v>71.42852783203125</v>
          </cell>
          <cell r="CX166" t="str">
            <v>-</v>
          </cell>
          <cell r="CY166">
            <v>71.42852783203125</v>
          </cell>
          <cell r="CZ166">
            <v>71.42852783203125</v>
          </cell>
          <cell r="DA166" t="str">
            <v>-</v>
          </cell>
          <cell r="DB166">
            <v>71.42852783203125</v>
          </cell>
          <cell r="DC166">
            <v>71.42852783203125</v>
          </cell>
          <cell r="DD166" t="str">
            <v>-</v>
          </cell>
          <cell r="DE166">
            <v>71.42852783203125</v>
          </cell>
          <cell r="DF166">
            <v>71.42852783203125</v>
          </cell>
          <cell r="DG166" t="str">
            <v>-</v>
          </cell>
          <cell r="DH166">
            <v>71.42852783203125</v>
          </cell>
          <cell r="DI166">
            <v>71.42852783203125</v>
          </cell>
          <cell r="DJ166" t="str">
            <v>-</v>
          </cell>
          <cell r="DK166">
            <v>71.42852783203125</v>
          </cell>
          <cell r="DL166">
            <v>71.42852783203125</v>
          </cell>
          <cell r="DM166" t="str">
            <v>-</v>
          </cell>
          <cell r="DN166">
            <v>71.42852783203125</v>
          </cell>
          <cell r="DO166">
            <v>71.42852783203125</v>
          </cell>
          <cell r="DP166" t="str">
            <v>-</v>
          </cell>
          <cell r="DQ166">
            <v>71.42852783203125</v>
          </cell>
          <cell r="DR166">
            <v>71.42852783203125</v>
          </cell>
          <cell r="DS166" t="str">
            <v>-</v>
          </cell>
          <cell r="DT166">
            <v>71.42852783203125</v>
          </cell>
          <cell r="DU166">
            <v>71.42852783203125</v>
          </cell>
          <cell r="DV166" t="str">
            <v>-</v>
          </cell>
          <cell r="DW166">
            <v>71.42852783203125</v>
          </cell>
          <cell r="DX166">
            <v>71.42852783203125</v>
          </cell>
          <cell r="DY166" t="str">
            <v>-</v>
          </cell>
          <cell r="DZ166">
            <v>71.42852783203125</v>
          </cell>
          <cell r="EA166">
            <v>71.42852783203125</v>
          </cell>
          <cell r="EB166" t="str">
            <v>-</v>
          </cell>
          <cell r="EC166">
            <v>71.42852783203125</v>
          </cell>
          <cell r="ED166">
            <v>71.42852783203125</v>
          </cell>
          <cell r="EE166" t="str">
            <v>-</v>
          </cell>
          <cell r="EF166">
            <v>71.42852783203125</v>
          </cell>
          <cell r="EG166">
            <v>71.42852783203125</v>
          </cell>
          <cell r="EH166" t="str">
            <v>-</v>
          </cell>
          <cell r="EI166">
            <v>71.42852783203125</v>
          </cell>
          <cell r="EJ166">
            <v>71.42852783203125</v>
          </cell>
          <cell r="EK166" t="str">
            <v>-</v>
          </cell>
          <cell r="EL166">
            <v>71.42852783203125</v>
          </cell>
          <cell r="EM166">
            <v>71.42852783203125</v>
          </cell>
          <cell r="EN166" t="str">
            <v>-</v>
          </cell>
          <cell r="EO166">
            <v>71.42852783203125</v>
          </cell>
          <cell r="EP166">
            <v>71.42852783203125</v>
          </cell>
          <cell r="EQ166" t="str">
            <v>-</v>
          </cell>
          <cell r="ER166">
            <v>1</v>
          </cell>
          <cell r="ES166">
            <v>1</v>
          </cell>
          <cell r="ET166">
            <v>100</v>
          </cell>
          <cell r="EU166">
            <v>100</v>
          </cell>
          <cell r="EV166">
            <v>1</v>
          </cell>
          <cell r="EW166">
            <v>0</v>
          </cell>
          <cell r="EX166">
            <v>3</v>
          </cell>
          <cell r="EY166">
            <v>3</v>
          </cell>
          <cell r="EZ166">
            <v>100</v>
          </cell>
          <cell r="FA166">
            <v>100</v>
          </cell>
          <cell r="FB166">
            <v>100</v>
          </cell>
          <cell r="FC166" t="str">
            <v>-</v>
          </cell>
          <cell r="FD166">
            <v>3</v>
          </cell>
          <cell r="FE166">
            <v>1</v>
          </cell>
          <cell r="FF166">
            <v>75</v>
          </cell>
          <cell r="FG166">
            <v>2</v>
          </cell>
          <cell r="FH166">
            <v>2</v>
          </cell>
          <cell r="FI166">
            <v>100</v>
          </cell>
          <cell r="FJ166">
            <v>100</v>
          </cell>
          <cell r="FK166">
            <v>100</v>
          </cell>
          <cell r="FL166" t="str">
            <v>-</v>
          </cell>
          <cell r="FM166">
            <v>2</v>
          </cell>
          <cell r="FN166">
            <v>2</v>
          </cell>
          <cell r="FO166">
            <v>100</v>
          </cell>
          <cell r="FP166">
            <v>100</v>
          </cell>
          <cell r="FQ166">
            <v>100</v>
          </cell>
          <cell r="FR166" t="str">
            <v>-</v>
          </cell>
          <cell r="FS166">
            <v>100</v>
          </cell>
          <cell r="FT166">
            <v>100</v>
          </cell>
          <cell r="FU166" t="str">
            <v>-</v>
          </cell>
          <cell r="FV166">
            <v>100</v>
          </cell>
          <cell r="FW166">
            <v>100</v>
          </cell>
          <cell r="FX166" t="str">
            <v>-</v>
          </cell>
          <cell r="FY166">
            <v>100</v>
          </cell>
          <cell r="FZ166">
            <v>100</v>
          </cell>
          <cell r="GA166" t="str">
            <v>-</v>
          </cell>
          <cell r="GB166">
            <v>100</v>
          </cell>
          <cell r="GC166">
            <v>100</v>
          </cell>
          <cell r="GD166" t="str">
            <v>-</v>
          </cell>
          <cell r="GE166">
            <v>100</v>
          </cell>
          <cell r="GF166">
            <v>100</v>
          </cell>
          <cell r="GG166" t="str">
            <v>-</v>
          </cell>
          <cell r="GH166">
            <v>100</v>
          </cell>
          <cell r="GI166">
            <v>100</v>
          </cell>
          <cell r="GJ166" t="str">
            <v>-</v>
          </cell>
          <cell r="GK166">
            <v>100</v>
          </cell>
          <cell r="GL166">
            <v>100</v>
          </cell>
          <cell r="GM166" t="str">
            <v>-</v>
          </cell>
          <cell r="GN166">
            <v>7</v>
          </cell>
          <cell r="GO166">
            <v>7</v>
          </cell>
          <cell r="GP166">
            <v>100</v>
          </cell>
          <cell r="GQ166">
            <v>100</v>
          </cell>
          <cell r="GR166">
            <v>100</v>
          </cell>
          <cell r="GS166" t="str">
            <v>-</v>
          </cell>
          <cell r="GT166">
            <v>1</v>
          </cell>
          <cell r="GU166">
            <v>1</v>
          </cell>
          <cell r="GV166">
            <v>100</v>
          </cell>
          <cell r="GW166">
            <v>100</v>
          </cell>
          <cell r="GX166">
            <v>100</v>
          </cell>
          <cell r="GY166" t="str">
            <v>-</v>
          </cell>
          <cell r="GZ166">
            <v>100</v>
          </cell>
          <cell r="HA166">
            <v>100</v>
          </cell>
          <cell r="HB166" t="str">
            <v>-</v>
          </cell>
          <cell r="HC166">
            <v>100</v>
          </cell>
          <cell r="HD166">
            <v>100</v>
          </cell>
          <cell r="HE166" t="str">
            <v>-</v>
          </cell>
          <cell r="HF166">
            <v>100</v>
          </cell>
          <cell r="HG166">
            <v>100</v>
          </cell>
          <cell r="HH166" t="str">
            <v>-</v>
          </cell>
          <cell r="HI166">
            <v>100</v>
          </cell>
          <cell r="HJ166">
            <v>100</v>
          </cell>
          <cell r="HK166" t="str">
            <v>-</v>
          </cell>
          <cell r="HL166">
            <v>100</v>
          </cell>
          <cell r="HM166">
            <v>100</v>
          </cell>
          <cell r="HN166" t="str">
            <v>-</v>
          </cell>
          <cell r="HO166">
            <v>100</v>
          </cell>
          <cell r="HP166">
            <v>100</v>
          </cell>
          <cell r="HQ166" t="str">
            <v>-</v>
          </cell>
          <cell r="HR166">
            <v>100</v>
          </cell>
          <cell r="HS166">
            <v>100</v>
          </cell>
          <cell r="HT166" t="str">
            <v>-</v>
          </cell>
          <cell r="HU166">
            <v>100</v>
          </cell>
          <cell r="HV166">
            <v>100</v>
          </cell>
          <cell r="HW166" t="str">
            <v>-</v>
          </cell>
          <cell r="HX166">
            <v>100</v>
          </cell>
          <cell r="HY166">
            <v>100</v>
          </cell>
          <cell r="HZ166" t="str">
            <v>-</v>
          </cell>
          <cell r="IA166">
            <v>100</v>
          </cell>
          <cell r="IB166">
            <v>100</v>
          </cell>
          <cell r="IC166" t="str">
            <v>-</v>
          </cell>
          <cell r="ID166">
            <v>100</v>
          </cell>
          <cell r="IE166">
            <v>100</v>
          </cell>
          <cell r="IF166" t="str">
            <v>-</v>
          </cell>
          <cell r="IG166">
            <v>100</v>
          </cell>
          <cell r="IH166">
            <v>100</v>
          </cell>
          <cell r="II166" t="str">
            <v>-</v>
          </cell>
          <cell r="IJ166">
            <v>100</v>
          </cell>
          <cell r="IK166">
            <v>100</v>
          </cell>
          <cell r="IL166" t="str">
            <v>-</v>
          </cell>
          <cell r="IM166">
            <v>100</v>
          </cell>
          <cell r="IN166">
            <v>100</v>
          </cell>
          <cell r="IO166" t="str">
            <v>-</v>
          </cell>
          <cell r="IP166">
            <v>100</v>
          </cell>
          <cell r="IQ166">
            <v>100</v>
          </cell>
          <cell r="IR166" t="str">
            <v>-</v>
          </cell>
          <cell r="IS166">
            <v>100</v>
          </cell>
          <cell r="IT166">
            <v>100</v>
          </cell>
          <cell r="IU166" t="str">
            <v>-</v>
          </cell>
          <cell r="IV166">
            <v>100</v>
          </cell>
          <cell r="IW166">
            <v>100</v>
          </cell>
          <cell r="IX166" t="str">
            <v>-</v>
          </cell>
          <cell r="IY166">
            <v>100</v>
          </cell>
          <cell r="IZ166">
            <v>100</v>
          </cell>
          <cell r="JA166" t="str">
            <v>-</v>
          </cell>
          <cell r="JB166">
            <v>100</v>
          </cell>
          <cell r="JC166">
            <v>100</v>
          </cell>
          <cell r="JD166" t="str">
            <v>-</v>
          </cell>
          <cell r="JE166">
            <v>100</v>
          </cell>
          <cell r="JF166">
            <v>100</v>
          </cell>
          <cell r="JG166" t="str">
            <v>-</v>
          </cell>
          <cell r="JH166">
            <v>0</v>
          </cell>
          <cell r="JI166">
            <v>0</v>
          </cell>
          <cell r="JJ166" t="str">
            <v>-</v>
          </cell>
          <cell r="JK166">
            <v>0</v>
          </cell>
          <cell r="JL166">
            <v>0</v>
          </cell>
          <cell r="JM166" t="str">
            <v>-</v>
          </cell>
          <cell r="JN166">
            <v>0</v>
          </cell>
          <cell r="JO166">
            <v>0</v>
          </cell>
          <cell r="JP166" t="str">
            <v>-</v>
          </cell>
          <cell r="JQ166">
            <v>0</v>
          </cell>
          <cell r="JR166">
            <v>0</v>
          </cell>
          <cell r="JS166" t="str">
            <v>-</v>
          </cell>
          <cell r="JT166">
            <v>0</v>
          </cell>
          <cell r="JU166">
            <v>0</v>
          </cell>
          <cell r="JV166" t="str">
            <v>-</v>
          </cell>
          <cell r="JW166">
            <v>0</v>
          </cell>
          <cell r="JX166">
            <v>0</v>
          </cell>
          <cell r="JY166" t="str">
            <v>-</v>
          </cell>
          <cell r="JZ166">
            <v>7</v>
          </cell>
          <cell r="KA166">
            <v>1</v>
          </cell>
          <cell r="KB166">
            <v>87.5</v>
          </cell>
          <cell r="KC166">
            <v>0</v>
          </cell>
          <cell r="KD166">
            <v>0</v>
          </cell>
          <cell r="KE166" t="str">
            <v>-</v>
          </cell>
          <cell r="KF166">
            <v>0</v>
          </cell>
          <cell r="KG166">
            <v>0</v>
          </cell>
          <cell r="KH166" t="str">
            <v>-</v>
          </cell>
          <cell r="KI166">
            <v>0</v>
          </cell>
          <cell r="KJ166">
            <v>0</v>
          </cell>
          <cell r="KK166" t="str">
            <v>-</v>
          </cell>
          <cell r="KL166">
            <v>0</v>
          </cell>
          <cell r="KM166">
            <v>0</v>
          </cell>
          <cell r="KN166" t="str">
            <v>-</v>
          </cell>
        </row>
        <row r="167">
          <cell r="C167" t="str">
            <v>Jász-Nagykun-Szolnok Megyei Rendőr-főkapitányság</v>
          </cell>
          <cell r="D167">
            <v>10</v>
          </cell>
          <cell r="E167">
            <v>4</v>
          </cell>
          <cell r="F167">
            <v>71.400000000000006</v>
          </cell>
          <cell r="G167">
            <v>20</v>
          </cell>
          <cell r="H167">
            <v>20</v>
          </cell>
          <cell r="I167">
            <v>100</v>
          </cell>
          <cell r="J167">
            <v>7</v>
          </cell>
          <cell r="K167">
            <v>7</v>
          </cell>
          <cell r="L167">
            <v>100</v>
          </cell>
          <cell r="M167">
            <v>13</v>
          </cell>
          <cell r="N167">
            <v>13</v>
          </cell>
          <cell r="O167">
            <v>100</v>
          </cell>
          <cell r="P167">
            <v>14</v>
          </cell>
          <cell r="Q167">
            <v>14</v>
          </cell>
          <cell r="R167">
            <v>100</v>
          </cell>
          <cell r="S167">
            <v>9</v>
          </cell>
          <cell r="T167">
            <v>9</v>
          </cell>
          <cell r="U167">
            <v>100</v>
          </cell>
          <cell r="V167">
            <v>4</v>
          </cell>
          <cell r="W167">
            <v>4</v>
          </cell>
          <cell r="X167">
            <v>100</v>
          </cell>
          <cell r="Y167">
            <v>8</v>
          </cell>
          <cell r="Z167">
            <v>1</v>
          </cell>
          <cell r="AA167">
            <v>88.9</v>
          </cell>
          <cell r="AB167">
            <v>2</v>
          </cell>
          <cell r="AC167">
            <v>2</v>
          </cell>
          <cell r="AD167">
            <v>50</v>
          </cell>
          <cell r="AE167">
            <v>8</v>
          </cell>
          <cell r="AF167">
            <v>8</v>
          </cell>
          <cell r="AG167">
            <v>100</v>
          </cell>
          <cell r="AH167">
            <v>4</v>
          </cell>
          <cell r="AI167">
            <v>4</v>
          </cell>
          <cell r="AJ167">
            <v>100</v>
          </cell>
          <cell r="AK167">
            <v>6</v>
          </cell>
          <cell r="AL167">
            <v>6</v>
          </cell>
          <cell r="AM167">
            <v>100</v>
          </cell>
          <cell r="AN167">
            <v>8</v>
          </cell>
          <cell r="AO167">
            <v>8</v>
          </cell>
          <cell r="AP167">
            <v>100</v>
          </cell>
          <cell r="AQ167">
            <v>2</v>
          </cell>
          <cell r="AR167">
            <v>2</v>
          </cell>
          <cell r="AS167">
            <v>100</v>
          </cell>
          <cell r="AT167">
            <v>3</v>
          </cell>
          <cell r="AU167">
            <v>3</v>
          </cell>
          <cell r="AV167">
            <v>100</v>
          </cell>
          <cell r="AW167">
            <v>5</v>
          </cell>
          <cell r="AX167">
            <v>1</v>
          </cell>
          <cell r="AY167">
            <v>83.3</v>
          </cell>
          <cell r="AZ167">
            <v>7</v>
          </cell>
          <cell r="BA167">
            <v>2</v>
          </cell>
          <cell r="BB167">
            <v>77.8</v>
          </cell>
          <cell r="BC167">
            <v>10</v>
          </cell>
          <cell r="BD167">
            <v>10</v>
          </cell>
          <cell r="BE167">
            <v>100</v>
          </cell>
          <cell r="BF167">
            <v>1</v>
          </cell>
          <cell r="BG167">
            <v>1</v>
          </cell>
          <cell r="BH167">
            <v>100</v>
          </cell>
          <cell r="BI167">
            <v>6</v>
          </cell>
          <cell r="BJ167">
            <v>6</v>
          </cell>
          <cell r="BK167">
            <v>100</v>
          </cell>
          <cell r="BL167">
            <v>5</v>
          </cell>
          <cell r="BM167">
            <v>5</v>
          </cell>
          <cell r="BN167">
            <v>100</v>
          </cell>
          <cell r="BO167">
            <v>7</v>
          </cell>
          <cell r="BP167">
            <v>7</v>
          </cell>
          <cell r="BQ167">
            <v>100</v>
          </cell>
          <cell r="BR167">
            <v>1</v>
          </cell>
          <cell r="BS167">
            <v>1</v>
          </cell>
          <cell r="BT167">
            <v>100</v>
          </cell>
          <cell r="BU167">
            <v>2</v>
          </cell>
          <cell r="BV167">
            <v>2</v>
          </cell>
          <cell r="BW167">
            <v>100</v>
          </cell>
          <cell r="BX167">
            <v>532</v>
          </cell>
          <cell r="BY167">
            <v>227</v>
          </cell>
          <cell r="BZ167">
            <v>70.099999999999994</v>
          </cell>
          <cell r="CA167">
            <v>548</v>
          </cell>
          <cell r="CB167">
            <v>162</v>
          </cell>
          <cell r="CC167">
            <v>77.2</v>
          </cell>
          <cell r="CD167">
            <v>476</v>
          </cell>
          <cell r="CE167">
            <v>148</v>
          </cell>
          <cell r="CF167">
            <v>76.3</v>
          </cell>
          <cell r="CG167">
            <v>480</v>
          </cell>
          <cell r="CH167">
            <v>149</v>
          </cell>
          <cell r="CI167">
            <v>76.3</v>
          </cell>
          <cell r="CJ167">
            <v>455</v>
          </cell>
          <cell r="CK167">
            <v>171</v>
          </cell>
          <cell r="CL167">
            <v>72.7</v>
          </cell>
          <cell r="CM167">
            <v>524</v>
          </cell>
          <cell r="CN167">
            <v>147</v>
          </cell>
          <cell r="CO167">
            <v>78.099999999999994</v>
          </cell>
          <cell r="CP167">
            <v>420</v>
          </cell>
          <cell r="CQ167">
            <v>116</v>
          </cell>
          <cell r="CR167">
            <v>78.400000000000006</v>
          </cell>
          <cell r="CS167">
            <v>340</v>
          </cell>
          <cell r="CT167">
            <v>91</v>
          </cell>
          <cell r="CU167">
            <v>78.900000000000006</v>
          </cell>
          <cell r="CV167">
            <v>170</v>
          </cell>
          <cell r="CW167">
            <v>97</v>
          </cell>
          <cell r="CX167">
            <v>63.7</v>
          </cell>
          <cell r="CY167">
            <v>154</v>
          </cell>
          <cell r="CZ167">
            <v>53</v>
          </cell>
          <cell r="DA167">
            <v>74.400000000000006</v>
          </cell>
          <cell r="DB167">
            <v>143</v>
          </cell>
          <cell r="DC167">
            <v>70</v>
          </cell>
          <cell r="DD167">
            <v>67.099999999999994</v>
          </cell>
          <cell r="DE167">
            <v>137</v>
          </cell>
          <cell r="DF167">
            <v>65</v>
          </cell>
          <cell r="DG167">
            <v>67.8</v>
          </cell>
          <cell r="DH167">
            <v>131</v>
          </cell>
          <cell r="DI167">
            <v>73</v>
          </cell>
          <cell r="DJ167">
            <v>64.2</v>
          </cell>
          <cell r="DK167">
            <v>158</v>
          </cell>
          <cell r="DL167">
            <v>64</v>
          </cell>
          <cell r="DM167">
            <v>71.2</v>
          </cell>
          <cell r="DN167">
            <v>128</v>
          </cell>
          <cell r="DO167">
            <v>39</v>
          </cell>
          <cell r="DP167">
            <v>76.599999999999994</v>
          </cell>
          <cell r="DQ167">
            <v>119</v>
          </cell>
          <cell r="DR167">
            <v>36</v>
          </cell>
          <cell r="DS167">
            <v>76.8</v>
          </cell>
          <cell r="DT167">
            <v>2</v>
          </cell>
          <cell r="DU167">
            <v>1</v>
          </cell>
          <cell r="DV167">
            <v>66.7</v>
          </cell>
          <cell r="DW167">
            <v>1</v>
          </cell>
          <cell r="DX167">
            <v>1</v>
          </cell>
          <cell r="DY167">
            <v>100</v>
          </cell>
          <cell r="DZ167">
            <v>3</v>
          </cell>
          <cell r="EA167">
            <v>1</v>
          </cell>
          <cell r="EB167">
            <v>75</v>
          </cell>
          <cell r="EC167">
            <v>75</v>
          </cell>
          <cell r="ED167">
            <v>75</v>
          </cell>
          <cell r="EE167" t="str">
            <v>-</v>
          </cell>
          <cell r="EF167">
            <v>75</v>
          </cell>
          <cell r="EG167">
            <v>75</v>
          </cell>
          <cell r="EH167" t="str">
            <v>-</v>
          </cell>
          <cell r="EI167">
            <v>1</v>
          </cell>
          <cell r="EJ167">
            <v>1</v>
          </cell>
          <cell r="EK167">
            <v>100</v>
          </cell>
          <cell r="EL167">
            <v>1</v>
          </cell>
          <cell r="EM167">
            <v>1</v>
          </cell>
          <cell r="EN167">
            <v>100</v>
          </cell>
          <cell r="EO167">
            <v>1</v>
          </cell>
          <cell r="EP167">
            <v>1</v>
          </cell>
          <cell r="EQ167">
            <v>100</v>
          </cell>
          <cell r="ER167">
            <v>111</v>
          </cell>
          <cell r="ES167">
            <v>99</v>
          </cell>
          <cell r="ET167">
            <v>52.9</v>
          </cell>
          <cell r="EU167">
            <v>174</v>
          </cell>
          <cell r="EV167">
            <v>92</v>
          </cell>
          <cell r="EW167">
            <v>65.400000000000006</v>
          </cell>
          <cell r="EX167">
            <v>129</v>
          </cell>
          <cell r="EY167">
            <v>73</v>
          </cell>
          <cell r="EZ167">
            <v>63.9</v>
          </cell>
          <cell r="FA167">
            <v>85</v>
          </cell>
          <cell r="FB167">
            <v>39</v>
          </cell>
          <cell r="FC167">
            <v>68.5</v>
          </cell>
          <cell r="FD167">
            <v>123</v>
          </cell>
          <cell r="FE167">
            <v>52</v>
          </cell>
          <cell r="FF167">
            <v>70.3</v>
          </cell>
          <cell r="FG167">
            <v>172</v>
          </cell>
          <cell r="FH167">
            <v>59</v>
          </cell>
          <cell r="FI167">
            <v>74.5</v>
          </cell>
          <cell r="FJ167">
            <v>102</v>
          </cell>
          <cell r="FK167">
            <v>47</v>
          </cell>
          <cell r="FL167">
            <v>68.5</v>
          </cell>
          <cell r="FM167">
            <v>73</v>
          </cell>
          <cell r="FN167">
            <v>25</v>
          </cell>
          <cell r="FO167">
            <v>74.5</v>
          </cell>
          <cell r="FP167">
            <v>74.5</v>
          </cell>
          <cell r="FQ167">
            <v>74.5</v>
          </cell>
          <cell r="FR167" t="str">
            <v>-</v>
          </cell>
          <cell r="FS167">
            <v>74.5</v>
          </cell>
          <cell r="FT167">
            <v>74.5</v>
          </cell>
          <cell r="FU167" t="str">
            <v>-</v>
          </cell>
          <cell r="FV167">
            <v>74.5</v>
          </cell>
          <cell r="FW167">
            <v>74.5</v>
          </cell>
          <cell r="FX167" t="str">
            <v>-</v>
          </cell>
          <cell r="FY167">
            <v>74.5</v>
          </cell>
          <cell r="FZ167">
            <v>74.5</v>
          </cell>
          <cell r="GA167" t="str">
            <v>-</v>
          </cell>
          <cell r="GB167">
            <v>74.5</v>
          </cell>
          <cell r="GC167">
            <v>74.5</v>
          </cell>
          <cell r="GD167" t="str">
            <v>-</v>
          </cell>
          <cell r="GE167">
            <v>1</v>
          </cell>
          <cell r="GF167">
            <v>1</v>
          </cell>
          <cell r="GG167">
            <v>100</v>
          </cell>
          <cell r="GH167">
            <v>100</v>
          </cell>
          <cell r="GI167">
            <v>100</v>
          </cell>
          <cell r="GJ167" t="str">
            <v>-</v>
          </cell>
          <cell r="GK167">
            <v>100</v>
          </cell>
          <cell r="GL167">
            <v>100</v>
          </cell>
          <cell r="GM167" t="str">
            <v>-</v>
          </cell>
          <cell r="GN167">
            <v>778</v>
          </cell>
          <cell r="GO167">
            <v>299</v>
          </cell>
          <cell r="GP167">
            <v>72.2</v>
          </cell>
          <cell r="GQ167">
            <v>755</v>
          </cell>
          <cell r="GR167">
            <v>270</v>
          </cell>
          <cell r="GS167">
            <v>73.7</v>
          </cell>
          <cell r="GT167">
            <v>744</v>
          </cell>
          <cell r="GU167">
            <v>309</v>
          </cell>
          <cell r="GV167">
            <v>70.7</v>
          </cell>
          <cell r="GW167">
            <v>736</v>
          </cell>
          <cell r="GX167">
            <v>295</v>
          </cell>
          <cell r="GY167">
            <v>71.400000000000006</v>
          </cell>
          <cell r="GZ167">
            <v>716</v>
          </cell>
          <cell r="HA167">
            <v>418</v>
          </cell>
          <cell r="HB167">
            <v>63.1</v>
          </cell>
          <cell r="HC167">
            <v>763</v>
          </cell>
          <cell r="HD167">
            <v>296</v>
          </cell>
          <cell r="HE167">
            <v>72</v>
          </cell>
          <cell r="HF167">
            <v>719</v>
          </cell>
          <cell r="HG167">
            <v>247</v>
          </cell>
          <cell r="HH167">
            <v>74.400000000000006</v>
          </cell>
          <cell r="HI167">
            <v>463</v>
          </cell>
          <cell r="HJ167">
            <v>141</v>
          </cell>
          <cell r="HK167">
            <v>76.7</v>
          </cell>
          <cell r="HL167">
            <v>24</v>
          </cell>
          <cell r="HM167">
            <v>52</v>
          </cell>
          <cell r="HN167">
            <v>31.6</v>
          </cell>
          <cell r="HO167">
            <v>31</v>
          </cell>
          <cell r="HP167">
            <v>42</v>
          </cell>
          <cell r="HQ167">
            <v>42.5</v>
          </cell>
          <cell r="HR167">
            <v>22</v>
          </cell>
          <cell r="HS167">
            <v>36</v>
          </cell>
          <cell r="HT167">
            <v>37.9</v>
          </cell>
          <cell r="HU167">
            <v>31</v>
          </cell>
          <cell r="HV167">
            <v>23</v>
          </cell>
          <cell r="HW167">
            <v>57.4</v>
          </cell>
          <cell r="HX167">
            <v>33</v>
          </cell>
          <cell r="HY167">
            <v>32</v>
          </cell>
          <cell r="HZ167">
            <v>50.8</v>
          </cell>
          <cell r="IA167">
            <v>29</v>
          </cell>
          <cell r="IB167">
            <v>9</v>
          </cell>
          <cell r="IC167">
            <v>76.3</v>
          </cell>
          <cell r="ID167">
            <v>11</v>
          </cell>
          <cell r="IE167">
            <v>9</v>
          </cell>
          <cell r="IF167">
            <v>55</v>
          </cell>
          <cell r="IG167">
            <v>14</v>
          </cell>
          <cell r="IH167">
            <v>10</v>
          </cell>
          <cell r="II167">
            <v>58.3</v>
          </cell>
          <cell r="IJ167">
            <v>38</v>
          </cell>
          <cell r="IK167">
            <v>18</v>
          </cell>
          <cell r="IL167">
            <v>67.900000000000006</v>
          </cell>
          <cell r="IM167">
            <v>33</v>
          </cell>
          <cell r="IN167">
            <v>24</v>
          </cell>
          <cell r="IO167">
            <v>57.9</v>
          </cell>
          <cell r="IP167">
            <v>10</v>
          </cell>
          <cell r="IQ167">
            <v>4</v>
          </cell>
          <cell r="IR167">
            <v>71.400000000000006</v>
          </cell>
          <cell r="IS167">
            <v>9</v>
          </cell>
          <cell r="IT167">
            <v>7</v>
          </cell>
          <cell r="IU167">
            <v>56.3</v>
          </cell>
          <cell r="IV167">
            <v>7</v>
          </cell>
          <cell r="IW167">
            <v>6</v>
          </cell>
          <cell r="IX167">
            <v>53.8</v>
          </cell>
          <cell r="IY167">
            <v>6</v>
          </cell>
          <cell r="IZ167">
            <v>1</v>
          </cell>
          <cell r="JA167">
            <v>85.7</v>
          </cell>
          <cell r="JB167">
            <v>8</v>
          </cell>
          <cell r="JC167">
            <v>5</v>
          </cell>
          <cell r="JD167">
            <v>61.5</v>
          </cell>
          <cell r="JE167">
            <v>12</v>
          </cell>
          <cell r="JF167">
            <v>4</v>
          </cell>
          <cell r="JG167">
            <v>75</v>
          </cell>
          <cell r="JH167">
            <v>48</v>
          </cell>
          <cell r="JI167">
            <v>1</v>
          </cell>
          <cell r="JJ167">
            <v>97.959183673469383</v>
          </cell>
          <cell r="JK167">
            <v>24</v>
          </cell>
          <cell r="JL167">
            <v>1</v>
          </cell>
          <cell r="JM167">
            <v>96</v>
          </cell>
          <cell r="JN167">
            <v>21</v>
          </cell>
          <cell r="JO167">
            <v>0</v>
          </cell>
          <cell r="JP167">
            <v>100</v>
          </cell>
          <cell r="JQ167">
            <v>2219</v>
          </cell>
          <cell r="JR167">
            <v>674</v>
          </cell>
          <cell r="JS167">
            <v>76.70238506740408</v>
          </cell>
          <cell r="JT167">
            <v>673</v>
          </cell>
          <cell r="JU167">
            <v>277</v>
          </cell>
          <cell r="JV167">
            <v>70.84210526315789</v>
          </cell>
          <cell r="JW167">
            <v>3</v>
          </cell>
          <cell r="JX167">
            <v>0</v>
          </cell>
          <cell r="JY167">
            <v>100</v>
          </cell>
          <cell r="JZ167">
            <v>555</v>
          </cell>
          <cell r="KA167">
            <v>222</v>
          </cell>
          <cell r="KB167">
            <v>71.428571428571431</v>
          </cell>
          <cell r="KC167">
            <v>1</v>
          </cell>
          <cell r="KD167">
            <v>0</v>
          </cell>
          <cell r="KE167">
            <v>100</v>
          </cell>
          <cell r="KF167">
            <v>3397</v>
          </cell>
          <cell r="KG167">
            <v>1397</v>
          </cell>
          <cell r="KH167">
            <v>70.859407592824368</v>
          </cell>
          <cell r="KI167">
            <v>118</v>
          </cell>
          <cell r="KJ167">
            <v>83</v>
          </cell>
          <cell r="KK167">
            <v>58.706467661691541</v>
          </cell>
          <cell r="KL167">
            <v>42</v>
          </cell>
          <cell r="KM167">
            <v>23</v>
          </cell>
          <cell r="KN167">
            <v>64.615384615384613</v>
          </cell>
        </row>
        <row r="168">
          <cell r="C168" t="str">
            <v>Tolna MRFK Központ</v>
          </cell>
          <cell r="D168">
            <v>7</v>
          </cell>
          <cell r="E168">
            <v>2</v>
          </cell>
          <cell r="F168">
            <v>77.8</v>
          </cell>
          <cell r="G168">
            <v>4</v>
          </cell>
          <cell r="H168">
            <v>1</v>
          </cell>
          <cell r="I168">
            <v>80</v>
          </cell>
          <cell r="J168">
            <v>4</v>
          </cell>
          <cell r="K168">
            <v>2</v>
          </cell>
          <cell r="L168">
            <v>66.7</v>
          </cell>
          <cell r="M168">
            <v>5</v>
          </cell>
          <cell r="N168">
            <v>5</v>
          </cell>
          <cell r="O168">
            <v>100</v>
          </cell>
          <cell r="P168">
            <v>4</v>
          </cell>
          <cell r="Q168">
            <v>4</v>
          </cell>
          <cell r="R168">
            <v>100</v>
          </cell>
          <cell r="S168">
            <v>1</v>
          </cell>
          <cell r="T168">
            <v>1</v>
          </cell>
          <cell r="U168">
            <v>100</v>
          </cell>
          <cell r="V168">
            <v>2</v>
          </cell>
          <cell r="W168">
            <v>1</v>
          </cell>
          <cell r="X168">
            <v>66.7</v>
          </cell>
          <cell r="Y168">
            <v>1</v>
          </cell>
          <cell r="Z168">
            <v>1</v>
          </cell>
          <cell r="AA168">
            <v>100</v>
          </cell>
          <cell r="AB168">
            <v>2</v>
          </cell>
          <cell r="AC168">
            <v>2</v>
          </cell>
          <cell r="AD168">
            <v>100</v>
          </cell>
          <cell r="AE168">
            <v>4</v>
          </cell>
          <cell r="AF168">
            <v>1</v>
          </cell>
          <cell r="AG168">
            <v>80</v>
          </cell>
          <cell r="AH168">
            <v>1</v>
          </cell>
          <cell r="AI168">
            <v>1</v>
          </cell>
          <cell r="AJ168">
            <v>100</v>
          </cell>
          <cell r="AK168">
            <v>3</v>
          </cell>
          <cell r="AL168">
            <v>3</v>
          </cell>
          <cell r="AM168">
            <v>100</v>
          </cell>
          <cell r="AN168">
            <v>2</v>
          </cell>
          <cell r="AO168">
            <v>2</v>
          </cell>
          <cell r="AP168">
            <v>100</v>
          </cell>
          <cell r="AQ168">
            <v>1</v>
          </cell>
          <cell r="AR168">
            <v>1</v>
          </cell>
          <cell r="AS168">
            <v>100</v>
          </cell>
          <cell r="AT168">
            <v>1</v>
          </cell>
          <cell r="AU168">
            <v>1</v>
          </cell>
          <cell r="AV168">
            <v>50</v>
          </cell>
          <cell r="AW168">
            <v>1</v>
          </cell>
          <cell r="AX168">
            <v>1</v>
          </cell>
          <cell r="AY168">
            <v>100</v>
          </cell>
          <cell r="AZ168">
            <v>5</v>
          </cell>
          <cell r="BA168">
            <v>1</v>
          </cell>
          <cell r="BB168">
            <v>83.3</v>
          </cell>
          <cell r="BC168">
            <v>83.29998779296875</v>
          </cell>
          <cell r="BD168">
            <v>83.29998779296875</v>
          </cell>
          <cell r="BE168" t="str">
            <v>-</v>
          </cell>
          <cell r="BF168">
            <v>3</v>
          </cell>
          <cell r="BG168">
            <v>1</v>
          </cell>
          <cell r="BH168">
            <v>75</v>
          </cell>
          <cell r="BI168">
            <v>1</v>
          </cell>
          <cell r="BJ168">
            <v>1</v>
          </cell>
          <cell r="BK168">
            <v>100</v>
          </cell>
          <cell r="BL168">
            <v>2</v>
          </cell>
          <cell r="BM168">
            <v>2</v>
          </cell>
          <cell r="BN168">
            <v>100</v>
          </cell>
          <cell r="BO168">
            <v>100</v>
          </cell>
          <cell r="BP168">
            <v>100</v>
          </cell>
          <cell r="BQ168" t="str">
            <v>-</v>
          </cell>
          <cell r="BR168">
            <v>100</v>
          </cell>
          <cell r="BS168">
            <v>100</v>
          </cell>
          <cell r="BT168" t="str">
            <v>-</v>
          </cell>
          <cell r="BU168">
            <v>100</v>
          </cell>
          <cell r="BV168">
            <v>100</v>
          </cell>
          <cell r="BW168" t="str">
            <v>-</v>
          </cell>
          <cell r="BX168">
            <v>17</v>
          </cell>
          <cell r="BY168">
            <v>3</v>
          </cell>
          <cell r="BZ168">
            <v>85</v>
          </cell>
          <cell r="CA168">
            <v>11</v>
          </cell>
          <cell r="CB168">
            <v>9</v>
          </cell>
          <cell r="CC168">
            <v>55</v>
          </cell>
          <cell r="CD168">
            <v>4</v>
          </cell>
          <cell r="CE168">
            <v>3</v>
          </cell>
          <cell r="CF168">
            <v>57.1</v>
          </cell>
          <cell r="CG168">
            <v>8</v>
          </cell>
          <cell r="CH168">
            <v>3</v>
          </cell>
          <cell r="CI168">
            <v>72.7</v>
          </cell>
          <cell r="CJ168">
            <v>14</v>
          </cell>
          <cell r="CK168">
            <v>2</v>
          </cell>
          <cell r="CL168">
            <v>87.5</v>
          </cell>
          <cell r="CM168">
            <v>11</v>
          </cell>
          <cell r="CN168">
            <v>3</v>
          </cell>
          <cell r="CO168">
            <v>78.599999999999994</v>
          </cell>
          <cell r="CP168">
            <v>9</v>
          </cell>
          <cell r="CQ168">
            <v>2</v>
          </cell>
          <cell r="CR168">
            <v>81.8</v>
          </cell>
          <cell r="CS168">
            <v>9</v>
          </cell>
          <cell r="CT168">
            <v>2</v>
          </cell>
          <cell r="CU168">
            <v>81.8</v>
          </cell>
          <cell r="CV168">
            <v>16</v>
          </cell>
          <cell r="CW168">
            <v>3</v>
          </cell>
          <cell r="CX168">
            <v>84.2</v>
          </cell>
          <cell r="CY168">
            <v>11</v>
          </cell>
          <cell r="CZ168">
            <v>6</v>
          </cell>
          <cell r="DA168">
            <v>64.7</v>
          </cell>
          <cell r="DB168">
            <v>4</v>
          </cell>
          <cell r="DC168">
            <v>3</v>
          </cell>
          <cell r="DD168">
            <v>57.1</v>
          </cell>
          <cell r="DE168">
            <v>6</v>
          </cell>
          <cell r="DF168">
            <v>3</v>
          </cell>
          <cell r="DG168">
            <v>66.7</v>
          </cell>
          <cell r="DH168">
            <v>13</v>
          </cell>
          <cell r="DI168">
            <v>2</v>
          </cell>
          <cell r="DJ168">
            <v>86.7</v>
          </cell>
          <cell r="DK168">
            <v>9</v>
          </cell>
          <cell r="DL168">
            <v>3</v>
          </cell>
          <cell r="DM168">
            <v>75</v>
          </cell>
          <cell r="DN168">
            <v>9</v>
          </cell>
          <cell r="DO168">
            <v>2</v>
          </cell>
          <cell r="DP168">
            <v>81.8</v>
          </cell>
          <cell r="DQ168">
            <v>8</v>
          </cell>
          <cell r="DR168">
            <v>2</v>
          </cell>
          <cell r="DS168">
            <v>80</v>
          </cell>
          <cell r="DT168">
            <v>1</v>
          </cell>
          <cell r="DU168">
            <v>1</v>
          </cell>
          <cell r="DV168">
            <v>100</v>
          </cell>
          <cell r="DW168">
            <v>100</v>
          </cell>
          <cell r="DX168">
            <v>100</v>
          </cell>
          <cell r="DY168" t="str">
            <v>-</v>
          </cell>
          <cell r="DZ168">
            <v>100</v>
          </cell>
          <cell r="EA168">
            <v>100</v>
          </cell>
          <cell r="EB168" t="str">
            <v>-</v>
          </cell>
          <cell r="EC168">
            <v>100</v>
          </cell>
          <cell r="ED168">
            <v>100</v>
          </cell>
          <cell r="EE168" t="str">
            <v>-</v>
          </cell>
          <cell r="EF168">
            <v>1</v>
          </cell>
          <cell r="EG168">
            <v>1</v>
          </cell>
          <cell r="EH168">
            <v>100</v>
          </cell>
          <cell r="EI168">
            <v>100</v>
          </cell>
          <cell r="EJ168">
            <v>100</v>
          </cell>
          <cell r="EK168" t="str">
            <v>-</v>
          </cell>
          <cell r="EL168">
            <v>100</v>
          </cell>
          <cell r="EM168">
            <v>100</v>
          </cell>
          <cell r="EN168" t="str">
            <v>-</v>
          </cell>
          <cell r="EO168">
            <v>1</v>
          </cell>
          <cell r="EP168">
            <v>1</v>
          </cell>
          <cell r="EQ168">
            <v>100</v>
          </cell>
          <cell r="ER168">
            <v>100</v>
          </cell>
          <cell r="ES168">
            <v>100</v>
          </cell>
          <cell r="ET168" t="str">
            <v>-</v>
          </cell>
          <cell r="EU168">
            <v>100</v>
          </cell>
          <cell r="EV168">
            <v>100</v>
          </cell>
          <cell r="EW168" t="str">
            <v>-</v>
          </cell>
          <cell r="EX168">
            <v>100</v>
          </cell>
          <cell r="EY168">
            <v>100</v>
          </cell>
          <cell r="EZ168" t="str">
            <v>-</v>
          </cell>
          <cell r="FA168">
            <v>100</v>
          </cell>
          <cell r="FB168">
            <v>2</v>
          </cell>
          <cell r="FC168">
            <v>0</v>
          </cell>
          <cell r="FD168">
            <v>2</v>
          </cell>
          <cell r="FE168">
            <v>2</v>
          </cell>
          <cell r="FF168">
            <v>100</v>
          </cell>
          <cell r="FG168">
            <v>100</v>
          </cell>
          <cell r="FH168">
            <v>100</v>
          </cell>
          <cell r="FI168" t="str">
            <v>-</v>
          </cell>
          <cell r="FJ168">
            <v>100</v>
          </cell>
          <cell r="FK168">
            <v>100</v>
          </cell>
          <cell r="FL168" t="str">
            <v>-</v>
          </cell>
          <cell r="FM168">
            <v>100</v>
          </cell>
          <cell r="FN168">
            <v>100</v>
          </cell>
          <cell r="FO168" t="str">
            <v>-</v>
          </cell>
          <cell r="FP168">
            <v>100</v>
          </cell>
          <cell r="FQ168">
            <v>100</v>
          </cell>
          <cell r="FR168" t="str">
            <v>-</v>
          </cell>
          <cell r="FS168">
            <v>100</v>
          </cell>
          <cell r="FT168">
            <v>100</v>
          </cell>
          <cell r="FU168" t="str">
            <v>-</v>
          </cell>
          <cell r="FV168">
            <v>100</v>
          </cell>
          <cell r="FW168">
            <v>100</v>
          </cell>
          <cell r="FX168" t="str">
            <v>-</v>
          </cell>
          <cell r="FY168">
            <v>100</v>
          </cell>
          <cell r="FZ168">
            <v>100</v>
          </cell>
          <cell r="GA168" t="str">
            <v>-</v>
          </cell>
          <cell r="GB168">
            <v>1</v>
          </cell>
          <cell r="GC168">
            <v>1</v>
          </cell>
          <cell r="GD168">
            <v>50</v>
          </cell>
          <cell r="GE168">
            <v>2</v>
          </cell>
          <cell r="GF168">
            <v>3</v>
          </cell>
          <cell r="GG168">
            <v>40</v>
          </cell>
          <cell r="GH168">
            <v>1</v>
          </cell>
          <cell r="GI168">
            <v>1</v>
          </cell>
          <cell r="GJ168">
            <v>100</v>
          </cell>
          <cell r="GK168">
            <v>1</v>
          </cell>
          <cell r="GL168">
            <v>1</v>
          </cell>
          <cell r="GM168">
            <v>50</v>
          </cell>
          <cell r="GN168">
            <v>1</v>
          </cell>
          <cell r="GO168">
            <v>1</v>
          </cell>
          <cell r="GP168">
            <v>50</v>
          </cell>
          <cell r="GQ168">
            <v>1</v>
          </cell>
          <cell r="GR168">
            <v>1</v>
          </cell>
          <cell r="GS168">
            <v>100</v>
          </cell>
          <cell r="GT168">
            <v>1</v>
          </cell>
          <cell r="GU168">
            <v>1</v>
          </cell>
          <cell r="GV168">
            <v>100</v>
          </cell>
          <cell r="GW168">
            <v>100</v>
          </cell>
          <cell r="GX168">
            <v>100</v>
          </cell>
          <cell r="GY168" t="str">
            <v>-</v>
          </cell>
          <cell r="GZ168">
            <v>3</v>
          </cell>
          <cell r="HA168">
            <v>1</v>
          </cell>
          <cell r="HB168">
            <v>75</v>
          </cell>
          <cell r="HC168">
            <v>2</v>
          </cell>
          <cell r="HD168">
            <v>2</v>
          </cell>
          <cell r="HE168">
            <v>100</v>
          </cell>
          <cell r="HF168">
            <v>100</v>
          </cell>
          <cell r="HG168">
            <v>1</v>
          </cell>
          <cell r="HH168">
            <v>0</v>
          </cell>
          <cell r="HI168">
            <v>0</v>
          </cell>
          <cell r="HJ168">
            <v>0</v>
          </cell>
          <cell r="HK168" t="str">
            <v>-</v>
          </cell>
          <cell r="HL168">
            <v>0</v>
          </cell>
          <cell r="HM168">
            <v>0</v>
          </cell>
          <cell r="HN168" t="str">
            <v>-</v>
          </cell>
          <cell r="HO168">
            <v>0</v>
          </cell>
          <cell r="HP168">
            <v>0</v>
          </cell>
          <cell r="HQ168" t="str">
            <v>-</v>
          </cell>
          <cell r="HR168">
            <v>0</v>
          </cell>
          <cell r="HS168">
            <v>0</v>
          </cell>
          <cell r="HT168" t="str">
            <v>-</v>
          </cell>
          <cell r="HU168">
            <v>0</v>
          </cell>
          <cell r="HV168">
            <v>0</v>
          </cell>
          <cell r="HW168" t="str">
            <v>-</v>
          </cell>
          <cell r="HX168">
            <v>1</v>
          </cell>
          <cell r="HY168">
            <v>1</v>
          </cell>
          <cell r="HZ168">
            <v>100</v>
          </cell>
          <cell r="IA168">
            <v>100</v>
          </cell>
          <cell r="IB168">
            <v>100</v>
          </cell>
          <cell r="IC168" t="str">
            <v>-</v>
          </cell>
          <cell r="ID168">
            <v>100</v>
          </cell>
          <cell r="IE168">
            <v>100</v>
          </cell>
          <cell r="IF168" t="str">
            <v>-</v>
          </cell>
          <cell r="IG168">
            <v>100</v>
          </cell>
          <cell r="IH168">
            <v>100</v>
          </cell>
          <cell r="II168" t="str">
            <v>-</v>
          </cell>
          <cell r="IJ168">
            <v>10</v>
          </cell>
          <cell r="IK168">
            <v>10</v>
          </cell>
          <cell r="IL168">
            <v>100</v>
          </cell>
          <cell r="IM168">
            <v>2</v>
          </cell>
          <cell r="IN168">
            <v>1</v>
          </cell>
          <cell r="IO168">
            <v>66.7</v>
          </cell>
          <cell r="IP168">
            <v>66.699951171875</v>
          </cell>
          <cell r="IQ168">
            <v>66.699951171875</v>
          </cell>
          <cell r="IR168" t="str">
            <v>-</v>
          </cell>
          <cell r="IS168">
            <v>1</v>
          </cell>
          <cell r="IT168">
            <v>1</v>
          </cell>
          <cell r="IU168">
            <v>100</v>
          </cell>
          <cell r="IV168">
            <v>2</v>
          </cell>
          <cell r="IW168">
            <v>2</v>
          </cell>
          <cell r="IX168">
            <v>100</v>
          </cell>
          <cell r="IY168">
            <v>2</v>
          </cell>
          <cell r="IZ168">
            <v>2</v>
          </cell>
          <cell r="JA168">
            <v>100</v>
          </cell>
          <cell r="JB168">
            <v>1</v>
          </cell>
          <cell r="JC168">
            <v>1</v>
          </cell>
          <cell r="JD168">
            <v>100</v>
          </cell>
          <cell r="JE168">
            <v>4</v>
          </cell>
          <cell r="JF168">
            <v>4</v>
          </cell>
          <cell r="JG168">
            <v>100</v>
          </cell>
          <cell r="JH168">
            <v>13</v>
          </cell>
          <cell r="JI168">
            <v>1</v>
          </cell>
          <cell r="JJ168">
            <v>92.857142857142861</v>
          </cell>
          <cell r="JK168">
            <v>8</v>
          </cell>
          <cell r="JL168">
            <v>1</v>
          </cell>
          <cell r="JM168">
            <v>88.888888888888886</v>
          </cell>
          <cell r="JN168">
            <v>3</v>
          </cell>
          <cell r="JO168">
            <v>0</v>
          </cell>
          <cell r="JP168">
            <v>100</v>
          </cell>
          <cell r="JQ168">
            <v>51</v>
          </cell>
          <cell r="JR168">
            <v>12</v>
          </cell>
          <cell r="JS168">
            <v>80.952380952380949</v>
          </cell>
          <cell r="JT168">
            <v>45</v>
          </cell>
          <cell r="JU168">
            <v>12</v>
          </cell>
          <cell r="JV168">
            <v>78.94736842105263</v>
          </cell>
          <cell r="JW168">
            <v>2</v>
          </cell>
          <cell r="JX168">
            <v>0</v>
          </cell>
          <cell r="JY168">
            <v>100</v>
          </cell>
          <cell r="JZ168">
            <v>2</v>
          </cell>
          <cell r="KA168">
            <v>2</v>
          </cell>
          <cell r="KB168">
            <v>50</v>
          </cell>
          <cell r="KC168">
            <v>5</v>
          </cell>
          <cell r="KD168">
            <v>5</v>
          </cell>
          <cell r="KE168">
            <v>50</v>
          </cell>
          <cell r="KF168">
            <v>5</v>
          </cell>
          <cell r="KG168">
            <v>2</v>
          </cell>
          <cell r="KH168">
            <v>71.428571428571431</v>
          </cell>
          <cell r="KI168">
            <v>1</v>
          </cell>
          <cell r="KJ168">
            <v>0</v>
          </cell>
          <cell r="KK168">
            <v>100</v>
          </cell>
          <cell r="KL168">
            <v>10</v>
          </cell>
          <cell r="KM168">
            <v>0</v>
          </cell>
          <cell r="KN168">
            <v>100</v>
          </cell>
        </row>
        <row r="169">
          <cell r="C169" t="str">
            <v>Szekszárdi Rendőrkapitányság</v>
          </cell>
          <cell r="D169">
            <v>100</v>
          </cell>
          <cell r="E169">
            <v>100</v>
          </cell>
          <cell r="F169" t="str">
            <v>-</v>
          </cell>
          <cell r="G169">
            <v>100</v>
          </cell>
          <cell r="H169">
            <v>100</v>
          </cell>
          <cell r="I169" t="str">
            <v>-</v>
          </cell>
          <cell r="J169">
            <v>100</v>
          </cell>
          <cell r="K169">
            <v>100</v>
          </cell>
          <cell r="L169" t="str">
            <v>-</v>
          </cell>
          <cell r="M169">
            <v>100</v>
          </cell>
          <cell r="N169">
            <v>100</v>
          </cell>
          <cell r="O169" t="str">
            <v>-</v>
          </cell>
          <cell r="P169">
            <v>100</v>
          </cell>
          <cell r="Q169">
            <v>100</v>
          </cell>
          <cell r="R169" t="str">
            <v>-</v>
          </cell>
          <cell r="S169">
            <v>100</v>
          </cell>
          <cell r="T169">
            <v>100</v>
          </cell>
          <cell r="U169" t="str">
            <v>-</v>
          </cell>
          <cell r="V169">
            <v>100</v>
          </cell>
          <cell r="W169">
            <v>100</v>
          </cell>
          <cell r="X169" t="str">
            <v>-</v>
          </cell>
          <cell r="Y169">
            <v>100</v>
          </cell>
          <cell r="Z169">
            <v>100</v>
          </cell>
          <cell r="AA169" t="str">
            <v>-</v>
          </cell>
          <cell r="AB169">
            <v>100</v>
          </cell>
          <cell r="AC169">
            <v>100</v>
          </cell>
          <cell r="AD169" t="str">
            <v>-</v>
          </cell>
          <cell r="AE169">
            <v>100</v>
          </cell>
          <cell r="AF169">
            <v>100</v>
          </cell>
          <cell r="AG169" t="str">
            <v>-</v>
          </cell>
          <cell r="AH169">
            <v>100</v>
          </cell>
          <cell r="AI169">
            <v>100</v>
          </cell>
          <cell r="AJ169" t="str">
            <v>-</v>
          </cell>
          <cell r="AK169">
            <v>100</v>
          </cell>
          <cell r="AL169">
            <v>100</v>
          </cell>
          <cell r="AM169" t="str">
            <v>-</v>
          </cell>
          <cell r="AN169">
            <v>100</v>
          </cell>
          <cell r="AO169">
            <v>100</v>
          </cell>
          <cell r="AP169" t="str">
            <v>-</v>
          </cell>
          <cell r="AQ169">
            <v>100</v>
          </cell>
          <cell r="AR169">
            <v>100</v>
          </cell>
          <cell r="AS169" t="str">
            <v>-</v>
          </cell>
          <cell r="AT169">
            <v>100</v>
          </cell>
          <cell r="AU169">
            <v>100</v>
          </cell>
          <cell r="AV169" t="str">
            <v>-</v>
          </cell>
          <cell r="AW169">
            <v>100</v>
          </cell>
          <cell r="AX169">
            <v>100</v>
          </cell>
          <cell r="AY169" t="str">
            <v>-</v>
          </cell>
          <cell r="AZ169">
            <v>100</v>
          </cell>
          <cell r="BA169">
            <v>100</v>
          </cell>
          <cell r="BB169" t="str">
            <v>-</v>
          </cell>
          <cell r="BC169">
            <v>100</v>
          </cell>
          <cell r="BD169">
            <v>100</v>
          </cell>
          <cell r="BE169" t="str">
            <v>-</v>
          </cell>
          <cell r="BF169">
            <v>100</v>
          </cell>
          <cell r="BG169">
            <v>100</v>
          </cell>
          <cell r="BH169" t="str">
            <v>-</v>
          </cell>
          <cell r="BI169">
            <v>100</v>
          </cell>
          <cell r="BJ169">
            <v>100</v>
          </cell>
          <cell r="BK169" t="str">
            <v>-</v>
          </cell>
          <cell r="BL169">
            <v>100</v>
          </cell>
          <cell r="BM169">
            <v>100</v>
          </cell>
          <cell r="BN169" t="str">
            <v>-</v>
          </cell>
          <cell r="BO169">
            <v>100</v>
          </cell>
          <cell r="BP169">
            <v>100</v>
          </cell>
          <cell r="BQ169" t="str">
            <v>-</v>
          </cell>
          <cell r="BR169">
            <v>100</v>
          </cell>
          <cell r="BS169">
            <v>100</v>
          </cell>
          <cell r="BT169" t="str">
            <v>-</v>
          </cell>
          <cell r="BU169">
            <v>100</v>
          </cell>
          <cell r="BV169">
            <v>100</v>
          </cell>
          <cell r="BW169" t="str">
            <v>-</v>
          </cell>
          <cell r="BX169">
            <v>135</v>
          </cell>
          <cell r="BY169">
            <v>26</v>
          </cell>
          <cell r="BZ169">
            <v>83.9</v>
          </cell>
          <cell r="CA169">
            <v>133</v>
          </cell>
          <cell r="CB169">
            <v>31</v>
          </cell>
          <cell r="CC169">
            <v>81.099999999999994</v>
          </cell>
          <cell r="CD169">
            <v>115</v>
          </cell>
          <cell r="CE169">
            <v>29</v>
          </cell>
          <cell r="CF169">
            <v>79.900000000000006</v>
          </cell>
          <cell r="CG169">
            <v>110</v>
          </cell>
          <cell r="CH169">
            <v>34</v>
          </cell>
          <cell r="CI169">
            <v>76.400000000000006</v>
          </cell>
          <cell r="CJ169">
            <v>90</v>
          </cell>
          <cell r="CK169">
            <v>26</v>
          </cell>
          <cell r="CL169">
            <v>77.599999999999994</v>
          </cell>
          <cell r="CM169">
            <v>113</v>
          </cell>
          <cell r="CN169">
            <v>34</v>
          </cell>
          <cell r="CO169">
            <v>76.900000000000006</v>
          </cell>
          <cell r="CP169">
            <v>107</v>
          </cell>
          <cell r="CQ169">
            <v>16</v>
          </cell>
          <cell r="CR169">
            <v>87</v>
          </cell>
          <cell r="CS169">
            <v>74</v>
          </cell>
          <cell r="CT169">
            <v>10</v>
          </cell>
          <cell r="CU169">
            <v>88.1</v>
          </cell>
          <cell r="CV169">
            <v>45</v>
          </cell>
          <cell r="CW169">
            <v>19</v>
          </cell>
          <cell r="CX169">
            <v>70.3</v>
          </cell>
          <cell r="CY169">
            <v>40</v>
          </cell>
          <cell r="CZ169">
            <v>17</v>
          </cell>
          <cell r="DA169">
            <v>70.2</v>
          </cell>
          <cell r="DB169">
            <v>67</v>
          </cell>
          <cell r="DC169">
            <v>20</v>
          </cell>
          <cell r="DD169">
            <v>77</v>
          </cell>
          <cell r="DE169">
            <v>58</v>
          </cell>
          <cell r="DF169">
            <v>24</v>
          </cell>
          <cell r="DG169">
            <v>70.7</v>
          </cell>
          <cell r="DH169">
            <v>48</v>
          </cell>
          <cell r="DI169">
            <v>22</v>
          </cell>
          <cell r="DJ169">
            <v>68.599999999999994</v>
          </cell>
          <cell r="DK169">
            <v>60</v>
          </cell>
          <cell r="DL169">
            <v>26</v>
          </cell>
          <cell r="DM169">
            <v>69.8</v>
          </cell>
          <cell r="DN169">
            <v>59</v>
          </cell>
          <cell r="DO169">
            <v>9</v>
          </cell>
          <cell r="DP169">
            <v>86.8</v>
          </cell>
          <cell r="DQ169">
            <v>29</v>
          </cell>
          <cell r="DR169">
            <v>4</v>
          </cell>
          <cell r="DS169">
            <v>87.9</v>
          </cell>
          <cell r="DT169">
            <v>87.89996337890625</v>
          </cell>
          <cell r="DU169">
            <v>87.89996337890625</v>
          </cell>
          <cell r="DV169" t="str">
            <v>-</v>
          </cell>
          <cell r="DW169">
            <v>87.89996337890625</v>
          </cell>
          <cell r="DX169">
            <v>87.89996337890625</v>
          </cell>
          <cell r="DY169" t="str">
            <v>-</v>
          </cell>
          <cell r="DZ169">
            <v>87.89996337890625</v>
          </cell>
          <cell r="EA169">
            <v>87.89996337890625</v>
          </cell>
          <cell r="EB169" t="str">
            <v>-</v>
          </cell>
          <cell r="EC169">
            <v>87.89996337890625</v>
          </cell>
          <cell r="ED169">
            <v>87.89996337890625</v>
          </cell>
          <cell r="EE169" t="str">
            <v>-</v>
          </cell>
          <cell r="EF169">
            <v>87.89996337890625</v>
          </cell>
          <cell r="EG169">
            <v>87.89996337890625</v>
          </cell>
          <cell r="EH169" t="str">
            <v>-</v>
          </cell>
          <cell r="EI169">
            <v>87.89996337890625</v>
          </cell>
          <cell r="EJ169">
            <v>87.89996337890625</v>
          </cell>
          <cell r="EK169" t="str">
            <v>-</v>
          </cell>
          <cell r="EL169">
            <v>87.89996337890625</v>
          </cell>
          <cell r="EM169">
            <v>87.89996337890625</v>
          </cell>
          <cell r="EN169" t="str">
            <v>-</v>
          </cell>
          <cell r="EO169">
            <v>87.89996337890625</v>
          </cell>
          <cell r="EP169">
            <v>87.89996337890625</v>
          </cell>
          <cell r="EQ169" t="str">
            <v>-</v>
          </cell>
          <cell r="ER169">
            <v>16</v>
          </cell>
          <cell r="ES169">
            <v>3</v>
          </cell>
          <cell r="ET169">
            <v>84.2</v>
          </cell>
          <cell r="EU169">
            <v>13</v>
          </cell>
          <cell r="EV169">
            <v>16</v>
          </cell>
          <cell r="EW169">
            <v>44.8</v>
          </cell>
          <cell r="EX169">
            <v>8</v>
          </cell>
          <cell r="EY169">
            <v>3</v>
          </cell>
          <cell r="EZ169">
            <v>72.7</v>
          </cell>
          <cell r="FA169">
            <v>16</v>
          </cell>
          <cell r="FB169">
            <v>12</v>
          </cell>
          <cell r="FC169">
            <v>57.1</v>
          </cell>
          <cell r="FD169">
            <v>13</v>
          </cell>
          <cell r="FE169">
            <v>4</v>
          </cell>
          <cell r="FF169">
            <v>76.5</v>
          </cell>
          <cell r="FG169">
            <v>5</v>
          </cell>
          <cell r="FH169">
            <v>8</v>
          </cell>
          <cell r="FI169">
            <v>38.5</v>
          </cell>
          <cell r="FJ169">
            <v>10</v>
          </cell>
          <cell r="FK169">
            <v>1</v>
          </cell>
          <cell r="FL169">
            <v>90.9</v>
          </cell>
          <cell r="FM169">
            <v>4</v>
          </cell>
          <cell r="FN169">
            <v>1</v>
          </cell>
          <cell r="FO169">
            <v>80</v>
          </cell>
          <cell r="FP169">
            <v>80</v>
          </cell>
          <cell r="FQ169">
            <v>80</v>
          </cell>
          <cell r="FR169" t="str">
            <v>-</v>
          </cell>
          <cell r="FS169">
            <v>80</v>
          </cell>
          <cell r="FT169">
            <v>80</v>
          </cell>
          <cell r="FU169" t="str">
            <v>-</v>
          </cell>
          <cell r="FV169">
            <v>80</v>
          </cell>
          <cell r="FW169">
            <v>80</v>
          </cell>
          <cell r="FX169" t="str">
            <v>-</v>
          </cell>
          <cell r="FY169">
            <v>80</v>
          </cell>
          <cell r="FZ169">
            <v>80</v>
          </cell>
          <cell r="GA169" t="str">
            <v>-</v>
          </cell>
          <cell r="GB169">
            <v>80</v>
          </cell>
          <cell r="GC169">
            <v>80</v>
          </cell>
          <cell r="GD169" t="str">
            <v>-</v>
          </cell>
          <cell r="GE169">
            <v>80</v>
          </cell>
          <cell r="GF169">
            <v>80</v>
          </cell>
          <cell r="GG169" t="str">
            <v>-</v>
          </cell>
          <cell r="GH169">
            <v>80</v>
          </cell>
          <cell r="GI169">
            <v>80</v>
          </cell>
          <cell r="GJ169" t="str">
            <v>-</v>
          </cell>
          <cell r="GK169">
            <v>80</v>
          </cell>
          <cell r="GL169">
            <v>80</v>
          </cell>
          <cell r="GM169" t="str">
            <v>-</v>
          </cell>
          <cell r="GN169">
            <v>114</v>
          </cell>
          <cell r="GO169">
            <v>14</v>
          </cell>
          <cell r="GP169">
            <v>89.1</v>
          </cell>
          <cell r="GQ169">
            <v>76</v>
          </cell>
          <cell r="GR169">
            <v>18</v>
          </cell>
          <cell r="GS169">
            <v>80.900000000000006</v>
          </cell>
          <cell r="GT169">
            <v>63</v>
          </cell>
          <cell r="GU169">
            <v>12</v>
          </cell>
          <cell r="GV169">
            <v>84</v>
          </cell>
          <cell r="GW169">
            <v>45</v>
          </cell>
          <cell r="GX169">
            <v>18</v>
          </cell>
          <cell r="GY169">
            <v>71.400000000000006</v>
          </cell>
          <cell r="GZ169">
            <v>57</v>
          </cell>
          <cell r="HA169">
            <v>15</v>
          </cell>
          <cell r="HB169">
            <v>79.2</v>
          </cell>
          <cell r="HC169">
            <v>39</v>
          </cell>
          <cell r="HD169">
            <v>12</v>
          </cell>
          <cell r="HE169">
            <v>76.5</v>
          </cell>
          <cell r="HF169">
            <v>45</v>
          </cell>
          <cell r="HG169">
            <v>2</v>
          </cell>
          <cell r="HH169">
            <v>95.7</v>
          </cell>
          <cell r="HI169">
            <v>41</v>
          </cell>
          <cell r="HJ169">
            <v>6</v>
          </cell>
          <cell r="HK169">
            <v>87.2</v>
          </cell>
          <cell r="HL169">
            <v>3</v>
          </cell>
          <cell r="HM169">
            <v>6</v>
          </cell>
          <cell r="HN169">
            <v>33.299999999999997</v>
          </cell>
          <cell r="HO169">
            <v>9</v>
          </cell>
          <cell r="HP169">
            <v>5</v>
          </cell>
          <cell r="HQ169">
            <v>64.3</v>
          </cell>
          <cell r="HR169">
            <v>8</v>
          </cell>
          <cell r="HS169">
            <v>6</v>
          </cell>
          <cell r="HT169">
            <v>57.1</v>
          </cell>
          <cell r="HU169">
            <v>6</v>
          </cell>
          <cell r="HV169">
            <v>4</v>
          </cell>
          <cell r="HW169">
            <v>60</v>
          </cell>
          <cell r="HX169">
            <v>2</v>
          </cell>
          <cell r="HY169">
            <v>3</v>
          </cell>
          <cell r="HZ169">
            <v>40</v>
          </cell>
          <cell r="IA169">
            <v>5</v>
          </cell>
          <cell r="IB169">
            <v>1</v>
          </cell>
          <cell r="IC169">
            <v>83.3</v>
          </cell>
          <cell r="ID169">
            <v>2</v>
          </cell>
          <cell r="IE169">
            <v>2</v>
          </cell>
          <cell r="IF169">
            <v>100</v>
          </cell>
          <cell r="IG169">
            <v>1</v>
          </cell>
          <cell r="IH169">
            <v>1</v>
          </cell>
          <cell r="II169">
            <v>100</v>
          </cell>
          <cell r="IJ169">
            <v>14</v>
          </cell>
          <cell r="IK169">
            <v>4</v>
          </cell>
          <cell r="IL169">
            <v>77.8</v>
          </cell>
          <cell r="IM169">
            <v>3</v>
          </cell>
          <cell r="IN169">
            <v>6</v>
          </cell>
          <cell r="IO169">
            <v>33.299999999999997</v>
          </cell>
          <cell r="IP169">
            <v>5</v>
          </cell>
          <cell r="IQ169">
            <v>1</v>
          </cell>
          <cell r="IR169">
            <v>83.3</v>
          </cell>
          <cell r="IS169">
            <v>1</v>
          </cell>
          <cell r="IT169">
            <v>1</v>
          </cell>
          <cell r="IU169">
            <v>100</v>
          </cell>
          <cell r="IV169">
            <v>1</v>
          </cell>
          <cell r="IW169">
            <v>1</v>
          </cell>
          <cell r="IX169">
            <v>50</v>
          </cell>
          <cell r="IY169">
            <v>1</v>
          </cell>
          <cell r="IZ169">
            <v>1</v>
          </cell>
          <cell r="JA169">
            <v>50</v>
          </cell>
          <cell r="JB169">
            <v>1</v>
          </cell>
          <cell r="JC169">
            <v>1</v>
          </cell>
          <cell r="JD169">
            <v>100</v>
          </cell>
          <cell r="JE169">
            <v>2</v>
          </cell>
          <cell r="JF169">
            <v>2</v>
          </cell>
          <cell r="JG169">
            <v>100</v>
          </cell>
          <cell r="JH169">
            <v>0</v>
          </cell>
          <cell r="JI169">
            <v>0</v>
          </cell>
          <cell r="JJ169" t="str">
            <v>-</v>
          </cell>
          <cell r="JK169">
            <v>0</v>
          </cell>
          <cell r="JL169">
            <v>0</v>
          </cell>
          <cell r="JM169" t="str">
            <v>-</v>
          </cell>
          <cell r="JN169">
            <v>0</v>
          </cell>
          <cell r="JO169">
            <v>0</v>
          </cell>
          <cell r="JP169" t="str">
            <v>-</v>
          </cell>
          <cell r="JQ169">
            <v>494</v>
          </cell>
          <cell r="JR169">
            <v>120</v>
          </cell>
          <cell r="JS169">
            <v>80.45602605863192</v>
          </cell>
          <cell r="JT169">
            <v>254</v>
          </cell>
          <cell r="JU169">
            <v>85</v>
          </cell>
          <cell r="JV169">
            <v>74.926253687315636</v>
          </cell>
          <cell r="JW169">
            <v>0</v>
          </cell>
          <cell r="JX169">
            <v>0</v>
          </cell>
          <cell r="JY169" t="str">
            <v>-</v>
          </cell>
          <cell r="JZ169">
            <v>48</v>
          </cell>
          <cell r="KA169">
            <v>26</v>
          </cell>
          <cell r="KB169">
            <v>64.86486486486487</v>
          </cell>
          <cell r="KC169">
            <v>0</v>
          </cell>
          <cell r="KD169">
            <v>0</v>
          </cell>
          <cell r="KE169" t="str">
            <v>-</v>
          </cell>
          <cell r="KF169">
            <v>227</v>
          </cell>
          <cell r="KG169">
            <v>53</v>
          </cell>
          <cell r="KH169">
            <v>81.071428571428569</v>
          </cell>
          <cell r="KI169">
            <v>16</v>
          </cell>
          <cell r="KJ169">
            <v>8</v>
          </cell>
          <cell r="KK169">
            <v>66.666666666666657</v>
          </cell>
          <cell r="KL169">
            <v>6</v>
          </cell>
          <cell r="KM169">
            <v>2</v>
          </cell>
          <cell r="KN169">
            <v>75</v>
          </cell>
        </row>
        <row r="170">
          <cell r="C170" t="str">
            <v>Bonyhádi Rendőrkapitányság</v>
          </cell>
          <cell r="D170">
            <v>75</v>
          </cell>
          <cell r="E170">
            <v>75</v>
          </cell>
          <cell r="F170" t="str">
            <v>-</v>
          </cell>
          <cell r="G170">
            <v>1</v>
          </cell>
          <cell r="H170">
            <v>1</v>
          </cell>
          <cell r="I170">
            <v>100</v>
          </cell>
          <cell r="J170">
            <v>100</v>
          </cell>
          <cell r="K170">
            <v>100</v>
          </cell>
          <cell r="L170" t="str">
            <v>-</v>
          </cell>
          <cell r="M170">
            <v>100</v>
          </cell>
          <cell r="N170">
            <v>100</v>
          </cell>
          <cell r="O170" t="str">
            <v>-</v>
          </cell>
          <cell r="P170">
            <v>100</v>
          </cell>
          <cell r="Q170">
            <v>100</v>
          </cell>
          <cell r="R170" t="str">
            <v>-</v>
          </cell>
          <cell r="S170">
            <v>100</v>
          </cell>
          <cell r="T170">
            <v>100</v>
          </cell>
          <cell r="U170" t="str">
            <v>-</v>
          </cell>
          <cell r="V170">
            <v>100</v>
          </cell>
          <cell r="W170">
            <v>100</v>
          </cell>
          <cell r="X170" t="str">
            <v>-</v>
          </cell>
          <cell r="Y170">
            <v>100</v>
          </cell>
          <cell r="Z170">
            <v>100</v>
          </cell>
          <cell r="AA170" t="str">
            <v>-</v>
          </cell>
          <cell r="AB170">
            <v>100</v>
          </cell>
          <cell r="AC170">
            <v>100</v>
          </cell>
          <cell r="AD170" t="str">
            <v>-</v>
          </cell>
          <cell r="AE170">
            <v>1</v>
          </cell>
          <cell r="AF170">
            <v>1</v>
          </cell>
          <cell r="AG170">
            <v>100</v>
          </cell>
          <cell r="AH170">
            <v>100</v>
          </cell>
          <cell r="AI170">
            <v>100</v>
          </cell>
          <cell r="AJ170" t="str">
            <v>-</v>
          </cell>
          <cell r="AK170">
            <v>100</v>
          </cell>
          <cell r="AL170">
            <v>100</v>
          </cell>
          <cell r="AM170" t="str">
            <v>-</v>
          </cell>
          <cell r="AN170">
            <v>100</v>
          </cell>
          <cell r="AO170">
            <v>100</v>
          </cell>
          <cell r="AP170" t="str">
            <v>-</v>
          </cell>
          <cell r="AQ170">
            <v>100</v>
          </cell>
          <cell r="AR170">
            <v>100</v>
          </cell>
          <cell r="AS170" t="str">
            <v>-</v>
          </cell>
          <cell r="AT170">
            <v>100</v>
          </cell>
          <cell r="AU170">
            <v>100</v>
          </cell>
          <cell r="AV170" t="str">
            <v>-</v>
          </cell>
          <cell r="AW170">
            <v>100</v>
          </cell>
          <cell r="AX170">
            <v>100</v>
          </cell>
          <cell r="AY170" t="str">
            <v>-</v>
          </cell>
          <cell r="AZ170">
            <v>100</v>
          </cell>
          <cell r="BA170">
            <v>100</v>
          </cell>
          <cell r="BB170" t="str">
            <v>-</v>
          </cell>
          <cell r="BC170">
            <v>100</v>
          </cell>
          <cell r="BD170">
            <v>100</v>
          </cell>
          <cell r="BE170" t="str">
            <v>-</v>
          </cell>
          <cell r="BF170">
            <v>100</v>
          </cell>
          <cell r="BG170">
            <v>100</v>
          </cell>
          <cell r="BH170" t="str">
            <v>-</v>
          </cell>
          <cell r="BI170">
            <v>100</v>
          </cell>
          <cell r="BJ170">
            <v>100</v>
          </cell>
          <cell r="BK170" t="str">
            <v>-</v>
          </cell>
          <cell r="BL170">
            <v>100</v>
          </cell>
          <cell r="BM170">
            <v>100</v>
          </cell>
          <cell r="BN170" t="str">
            <v>-</v>
          </cell>
          <cell r="BO170">
            <v>100</v>
          </cell>
          <cell r="BP170">
            <v>100</v>
          </cell>
          <cell r="BQ170" t="str">
            <v>-</v>
          </cell>
          <cell r="BR170">
            <v>100</v>
          </cell>
          <cell r="BS170">
            <v>100</v>
          </cell>
          <cell r="BT170" t="str">
            <v>-</v>
          </cell>
          <cell r="BU170">
            <v>100</v>
          </cell>
          <cell r="BV170">
            <v>100</v>
          </cell>
          <cell r="BW170" t="str">
            <v>-</v>
          </cell>
          <cell r="BX170">
            <v>71</v>
          </cell>
          <cell r="BY170">
            <v>6</v>
          </cell>
          <cell r="BZ170">
            <v>92.2</v>
          </cell>
          <cell r="CA170">
            <v>42</v>
          </cell>
          <cell r="CB170">
            <v>3</v>
          </cell>
          <cell r="CC170">
            <v>93.3</v>
          </cell>
          <cell r="CD170">
            <v>59</v>
          </cell>
          <cell r="CE170">
            <v>4</v>
          </cell>
          <cell r="CF170">
            <v>93.7</v>
          </cell>
          <cell r="CG170">
            <v>43</v>
          </cell>
          <cell r="CH170">
            <v>6</v>
          </cell>
          <cell r="CI170">
            <v>87.8</v>
          </cell>
          <cell r="CJ170">
            <v>71</v>
          </cell>
          <cell r="CK170">
            <v>2</v>
          </cell>
          <cell r="CL170">
            <v>97.3</v>
          </cell>
          <cell r="CM170">
            <v>36</v>
          </cell>
          <cell r="CN170">
            <v>8</v>
          </cell>
          <cell r="CO170">
            <v>81.8</v>
          </cell>
          <cell r="CP170">
            <v>50</v>
          </cell>
          <cell r="CQ170">
            <v>50</v>
          </cell>
          <cell r="CR170">
            <v>100</v>
          </cell>
          <cell r="CS170">
            <v>40</v>
          </cell>
          <cell r="CT170">
            <v>40</v>
          </cell>
          <cell r="CU170">
            <v>100</v>
          </cell>
          <cell r="CV170">
            <v>25</v>
          </cell>
          <cell r="CW170">
            <v>5</v>
          </cell>
          <cell r="CX170">
            <v>83.3</v>
          </cell>
          <cell r="CY170">
            <v>7</v>
          </cell>
          <cell r="CZ170">
            <v>2</v>
          </cell>
          <cell r="DA170">
            <v>77.8</v>
          </cell>
          <cell r="DB170">
            <v>13</v>
          </cell>
          <cell r="DC170">
            <v>4</v>
          </cell>
          <cell r="DD170">
            <v>76.5</v>
          </cell>
          <cell r="DE170">
            <v>9</v>
          </cell>
          <cell r="DF170">
            <v>2</v>
          </cell>
          <cell r="DG170">
            <v>81.8</v>
          </cell>
          <cell r="DH170">
            <v>18</v>
          </cell>
          <cell r="DI170">
            <v>1</v>
          </cell>
          <cell r="DJ170">
            <v>94.7</v>
          </cell>
          <cell r="DK170">
            <v>13</v>
          </cell>
          <cell r="DL170">
            <v>4</v>
          </cell>
          <cell r="DM170">
            <v>76.5</v>
          </cell>
          <cell r="DN170">
            <v>12</v>
          </cell>
          <cell r="DO170">
            <v>12</v>
          </cell>
          <cell r="DP170">
            <v>100</v>
          </cell>
          <cell r="DQ170">
            <v>13</v>
          </cell>
          <cell r="DR170">
            <v>13</v>
          </cell>
          <cell r="DS170">
            <v>100</v>
          </cell>
          <cell r="DT170">
            <v>100</v>
          </cell>
          <cell r="DU170">
            <v>100</v>
          </cell>
          <cell r="DV170" t="str">
            <v>-</v>
          </cell>
          <cell r="DW170">
            <v>100</v>
          </cell>
          <cell r="DX170">
            <v>100</v>
          </cell>
          <cell r="DY170" t="str">
            <v>-</v>
          </cell>
          <cell r="DZ170">
            <v>100</v>
          </cell>
          <cell r="EA170">
            <v>100</v>
          </cell>
          <cell r="EB170" t="str">
            <v>-</v>
          </cell>
          <cell r="EC170">
            <v>100</v>
          </cell>
          <cell r="ED170">
            <v>100</v>
          </cell>
          <cell r="EE170" t="str">
            <v>-</v>
          </cell>
          <cell r="EF170">
            <v>100</v>
          </cell>
          <cell r="EG170">
            <v>100</v>
          </cell>
          <cell r="EH170" t="str">
            <v>-</v>
          </cell>
          <cell r="EI170">
            <v>100</v>
          </cell>
          <cell r="EJ170">
            <v>100</v>
          </cell>
          <cell r="EK170" t="str">
            <v>-</v>
          </cell>
          <cell r="EL170">
            <v>100</v>
          </cell>
          <cell r="EM170">
            <v>100</v>
          </cell>
          <cell r="EN170" t="str">
            <v>-</v>
          </cell>
          <cell r="EO170">
            <v>100</v>
          </cell>
          <cell r="EP170">
            <v>100</v>
          </cell>
          <cell r="EQ170" t="str">
            <v>-</v>
          </cell>
          <cell r="ER170">
            <v>20</v>
          </cell>
          <cell r="ES170">
            <v>1</v>
          </cell>
          <cell r="ET170">
            <v>95.2</v>
          </cell>
          <cell r="EU170">
            <v>8</v>
          </cell>
          <cell r="EV170">
            <v>8</v>
          </cell>
          <cell r="EW170">
            <v>100</v>
          </cell>
          <cell r="EX170">
            <v>12</v>
          </cell>
          <cell r="EY170">
            <v>12</v>
          </cell>
          <cell r="EZ170">
            <v>100</v>
          </cell>
          <cell r="FA170">
            <v>4</v>
          </cell>
          <cell r="FB170">
            <v>4</v>
          </cell>
          <cell r="FC170">
            <v>100</v>
          </cell>
          <cell r="FD170">
            <v>1</v>
          </cell>
          <cell r="FE170">
            <v>1</v>
          </cell>
          <cell r="FF170">
            <v>100</v>
          </cell>
          <cell r="FG170">
            <v>2</v>
          </cell>
          <cell r="FH170">
            <v>2</v>
          </cell>
          <cell r="FI170">
            <v>100</v>
          </cell>
          <cell r="FJ170">
            <v>1</v>
          </cell>
          <cell r="FK170">
            <v>1</v>
          </cell>
          <cell r="FL170">
            <v>100</v>
          </cell>
          <cell r="FM170">
            <v>1</v>
          </cell>
          <cell r="FN170">
            <v>1</v>
          </cell>
          <cell r="FO170">
            <v>100</v>
          </cell>
          <cell r="FP170">
            <v>100</v>
          </cell>
          <cell r="FQ170">
            <v>100</v>
          </cell>
          <cell r="FR170" t="str">
            <v>-</v>
          </cell>
          <cell r="FS170">
            <v>100</v>
          </cell>
          <cell r="FT170">
            <v>100</v>
          </cell>
          <cell r="FU170" t="str">
            <v>-</v>
          </cell>
          <cell r="FV170">
            <v>100</v>
          </cell>
          <cell r="FW170">
            <v>100</v>
          </cell>
          <cell r="FX170" t="str">
            <v>-</v>
          </cell>
          <cell r="FY170">
            <v>100</v>
          </cell>
          <cell r="FZ170">
            <v>100</v>
          </cell>
          <cell r="GA170" t="str">
            <v>-</v>
          </cell>
          <cell r="GB170">
            <v>100</v>
          </cell>
          <cell r="GC170">
            <v>100</v>
          </cell>
          <cell r="GD170" t="str">
            <v>-</v>
          </cell>
          <cell r="GE170">
            <v>100</v>
          </cell>
          <cell r="GF170">
            <v>100</v>
          </cell>
          <cell r="GG170" t="str">
            <v>-</v>
          </cell>
          <cell r="GH170">
            <v>100</v>
          </cell>
          <cell r="GI170">
            <v>100</v>
          </cell>
          <cell r="GJ170" t="str">
            <v>-</v>
          </cell>
          <cell r="GK170">
            <v>100</v>
          </cell>
          <cell r="GL170">
            <v>100</v>
          </cell>
          <cell r="GM170" t="str">
            <v>-</v>
          </cell>
          <cell r="GN170">
            <v>60</v>
          </cell>
          <cell r="GO170">
            <v>2</v>
          </cell>
          <cell r="GP170">
            <v>96.8</v>
          </cell>
          <cell r="GQ170">
            <v>15</v>
          </cell>
          <cell r="GR170">
            <v>1</v>
          </cell>
          <cell r="GS170">
            <v>93.8</v>
          </cell>
          <cell r="GT170">
            <v>26</v>
          </cell>
          <cell r="GU170">
            <v>2</v>
          </cell>
          <cell r="GV170">
            <v>92.9</v>
          </cell>
          <cell r="GW170">
            <v>22</v>
          </cell>
          <cell r="GX170">
            <v>2</v>
          </cell>
          <cell r="GY170">
            <v>91.7</v>
          </cell>
          <cell r="GZ170">
            <v>62</v>
          </cell>
          <cell r="HA170">
            <v>2</v>
          </cell>
          <cell r="HB170">
            <v>96.9</v>
          </cell>
          <cell r="HC170">
            <v>19</v>
          </cell>
          <cell r="HD170">
            <v>1</v>
          </cell>
          <cell r="HE170">
            <v>95</v>
          </cell>
          <cell r="HF170">
            <v>23</v>
          </cell>
          <cell r="HG170">
            <v>2</v>
          </cell>
          <cell r="HH170">
            <v>92</v>
          </cell>
          <cell r="HI170">
            <v>27</v>
          </cell>
          <cell r="HJ170">
            <v>2</v>
          </cell>
          <cell r="HK170">
            <v>93.1</v>
          </cell>
          <cell r="HL170">
            <v>2</v>
          </cell>
          <cell r="HM170">
            <v>1</v>
          </cell>
          <cell r="HN170">
            <v>66.7</v>
          </cell>
          <cell r="HO170">
            <v>2</v>
          </cell>
          <cell r="HP170">
            <v>1</v>
          </cell>
          <cell r="HQ170">
            <v>66.7</v>
          </cell>
          <cell r="HR170">
            <v>4</v>
          </cell>
          <cell r="HS170">
            <v>5</v>
          </cell>
          <cell r="HT170">
            <v>44.4</v>
          </cell>
          <cell r="HU170">
            <v>7</v>
          </cell>
          <cell r="HV170">
            <v>2</v>
          </cell>
          <cell r="HW170">
            <v>77.8</v>
          </cell>
          <cell r="HX170">
            <v>1</v>
          </cell>
          <cell r="HY170">
            <v>2</v>
          </cell>
          <cell r="HZ170">
            <v>33.299999999999997</v>
          </cell>
          <cell r="IA170">
            <v>1</v>
          </cell>
          <cell r="IB170">
            <v>1</v>
          </cell>
          <cell r="IC170">
            <v>50</v>
          </cell>
          <cell r="ID170">
            <v>3</v>
          </cell>
          <cell r="IE170">
            <v>3</v>
          </cell>
          <cell r="IF170">
            <v>100</v>
          </cell>
          <cell r="IG170">
            <v>1</v>
          </cell>
          <cell r="IH170">
            <v>1</v>
          </cell>
          <cell r="II170">
            <v>100</v>
          </cell>
          <cell r="IJ170">
            <v>4</v>
          </cell>
          <cell r="IK170">
            <v>1</v>
          </cell>
          <cell r="IL170">
            <v>80</v>
          </cell>
          <cell r="IM170">
            <v>20</v>
          </cell>
          <cell r="IN170">
            <v>20</v>
          </cell>
          <cell r="IO170">
            <v>100</v>
          </cell>
          <cell r="IP170">
            <v>100</v>
          </cell>
          <cell r="IQ170">
            <v>100</v>
          </cell>
          <cell r="IR170" t="str">
            <v>-</v>
          </cell>
          <cell r="IS170">
            <v>1</v>
          </cell>
          <cell r="IT170">
            <v>1</v>
          </cell>
          <cell r="IU170">
            <v>100</v>
          </cell>
          <cell r="IV170">
            <v>100</v>
          </cell>
          <cell r="IW170">
            <v>100</v>
          </cell>
          <cell r="IX170" t="str">
            <v>-</v>
          </cell>
          <cell r="IY170">
            <v>100</v>
          </cell>
          <cell r="IZ170">
            <v>100</v>
          </cell>
          <cell r="JA170" t="str">
            <v>-</v>
          </cell>
          <cell r="JB170">
            <v>100</v>
          </cell>
          <cell r="JC170">
            <v>100</v>
          </cell>
          <cell r="JD170" t="str">
            <v>-</v>
          </cell>
          <cell r="JE170">
            <v>100</v>
          </cell>
          <cell r="JF170">
            <v>100</v>
          </cell>
          <cell r="JG170" t="str">
            <v>-</v>
          </cell>
          <cell r="JH170">
            <v>0</v>
          </cell>
          <cell r="JI170">
            <v>0</v>
          </cell>
          <cell r="JJ170" t="str">
            <v>-</v>
          </cell>
          <cell r="JK170">
            <v>0</v>
          </cell>
          <cell r="JL170">
            <v>0</v>
          </cell>
          <cell r="JM170" t="str">
            <v>-</v>
          </cell>
          <cell r="JN170">
            <v>0</v>
          </cell>
          <cell r="JO170">
            <v>0</v>
          </cell>
          <cell r="JP170" t="str">
            <v>-</v>
          </cell>
          <cell r="JQ170">
            <v>240</v>
          </cell>
          <cell r="JR170">
            <v>16</v>
          </cell>
          <cell r="JS170">
            <v>93.75</v>
          </cell>
          <cell r="JT170">
            <v>65</v>
          </cell>
          <cell r="JU170">
            <v>7</v>
          </cell>
          <cell r="JV170">
            <v>90.277777777777786</v>
          </cell>
          <cell r="JW170">
            <v>0</v>
          </cell>
          <cell r="JX170">
            <v>0</v>
          </cell>
          <cell r="JY170" t="str">
            <v>-</v>
          </cell>
          <cell r="JZ170">
            <v>9</v>
          </cell>
          <cell r="KA170">
            <v>0</v>
          </cell>
          <cell r="KB170">
            <v>100</v>
          </cell>
          <cell r="KC170">
            <v>0</v>
          </cell>
          <cell r="KD170">
            <v>0</v>
          </cell>
          <cell r="KE170" t="str">
            <v>-</v>
          </cell>
          <cell r="KF170">
            <v>153</v>
          </cell>
          <cell r="KG170">
            <v>9</v>
          </cell>
          <cell r="KH170">
            <v>94.444444444444443</v>
          </cell>
          <cell r="KI170">
            <v>13</v>
          </cell>
          <cell r="KJ170">
            <v>5</v>
          </cell>
          <cell r="KK170">
            <v>72.222222222222214</v>
          </cell>
          <cell r="KL170">
            <v>1</v>
          </cell>
          <cell r="KM170">
            <v>0</v>
          </cell>
          <cell r="KN170">
            <v>100</v>
          </cell>
        </row>
        <row r="171">
          <cell r="C171" t="str">
            <v>Dombóvári Rendőrkapitányság</v>
          </cell>
          <cell r="D171">
            <v>100</v>
          </cell>
          <cell r="E171">
            <v>100</v>
          </cell>
          <cell r="F171" t="str">
            <v>-</v>
          </cell>
          <cell r="G171">
            <v>100</v>
          </cell>
          <cell r="H171">
            <v>100</v>
          </cell>
          <cell r="I171" t="str">
            <v>-</v>
          </cell>
          <cell r="J171">
            <v>100</v>
          </cell>
          <cell r="K171">
            <v>100</v>
          </cell>
          <cell r="L171" t="str">
            <v>-</v>
          </cell>
          <cell r="M171">
            <v>100</v>
          </cell>
          <cell r="N171">
            <v>100</v>
          </cell>
          <cell r="O171" t="str">
            <v>-</v>
          </cell>
          <cell r="P171">
            <v>100</v>
          </cell>
          <cell r="Q171">
            <v>100</v>
          </cell>
          <cell r="R171" t="str">
            <v>-</v>
          </cell>
          <cell r="S171">
            <v>100</v>
          </cell>
          <cell r="T171">
            <v>100</v>
          </cell>
          <cell r="U171" t="str">
            <v>-</v>
          </cell>
          <cell r="V171">
            <v>100</v>
          </cell>
          <cell r="W171">
            <v>100</v>
          </cell>
          <cell r="X171" t="str">
            <v>-</v>
          </cell>
          <cell r="Y171">
            <v>100</v>
          </cell>
          <cell r="Z171">
            <v>100</v>
          </cell>
          <cell r="AA171" t="str">
            <v>-</v>
          </cell>
          <cell r="AB171">
            <v>100</v>
          </cell>
          <cell r="AC171">
            <v>100</v>
          </cell>
          <cell r="AD171" t="str">
            <v>-</v>
          </cell>
          <cell r="AE171">
            <v>100</v>
          </cell>
          <cell r="AF171">
            <v>100</v>
          </cell>
          <cell r="AG171" t="str">
            <v>-</v>
          </cell>
          <cell r="AH171">
            <v>100</v>
          </cell>
          <cell r="AI171">
            <v>100</v>
          </cell>
          <cell r="AJ171" t="str">
            <v>-</v>
          </cell>
          <cell r="AK171">
            <v>100</v>
          </cell>
          <cell r="AL171">
            <v>100</v>
          </cell>
          <cell r="AM171" t="str">
            <v>-</v>
          </cell>
          <cell r="AN171">
            <v>100</v>
          </cell>
          <cell r="AO171">
            <v>100</v>
          </cell>
          <cell r="AP171" t="str">
            <v>-</v>
          </cell>
          <cell r="AQ171">
            <v>100</v>
          </cell>
          <cell r="AR171">
            <v>100</v>
          </cell>
          <cell r="AS171" t="str">
            <v>-</v>
          </cell>
          <cell r="AT171">
            <v>100</v>
          </cell>
          <cell r="AU171">
            <v>100</v>
          </cell>
          <cell r="AV171" t="str">
            <v>-</v>
          </cell>
          <cell r="AW171">
            <v>100</v>
          </cell>
          <cell r="AX171">
            <v>100</v>
          </cell>
          <cell r="AY171" t="str">
            <v>-</v>
          </cell>
          <cell r="AZ171">
            <v>100</v>
          </cell>
          <cell r="BA171">
            <v>100</v>
          </cell>
          <cell r="BB171" t="str">
            <v>-</v>
          </cell>
          <cell r="BC171">
            <v>100</v>
          </cell>
          <cell r="BD171">
            <v>100</v>
          </cell>
          <cell r="BE171" t="str">
            <v>-</v>
          </cell>
          <cell r="BF171">
            <v>100</v>
          </cell>
          <cell r="BG171">
            <v>100</v>
          </cell>
          <cell r="BH171" t="str">
            <v>-</v>
          </cell>
          <cell r="BI171">
            <v>100</v>
          </cell>
          <cell r="BJ171">
            <v>100</v>
          </cell>
          <cell r="BK171" t="str">
            <v>-</v>
          </cell>
          <cell r="BL171">
            <v>100</v>
          </cell>
          <cell r="BM171">
            <v>100</v>
          </cell>
          <cell r="BN171" t="str">
            <v>-</v>
          </cell>
          <cell r="BO171">
            <v>100</v>
          </cell>
          <cell r="BP171">
            <v>100</v>
          </cell>
          <cell r="BQ171" t="str">
            <v>-</v>
          </cell>
          <cell r="BR171">
            <v>100</v>
          </cell>
          <cell r="BS171">
            <v>100</v>
          </cell>
          <cell r="BT171" t="str">
            <v>-</v>
          </cell>
          <cell r="BU171">
            <v>100</v>
          </cell>
          <cell r="BV171">
            <v>100</v>
          </cell>
          <cell r="BW171" t="str">
            <v>-</v>
          </cell>
          <cell r="BX171">
            <v>45</v>
          </cell>
          <cell r="BY171">
            <v>16</v>
          </cell>
          <cell r="BZ171">
            <v>73.8</v>
          </cell>
          <cell r="CA171">
            <v>67</v>
          </cell>
          <cell r="CB171">
            <v>12</v>
          </cell>
          <cell r="CC171">
            <v>84.8</v>
          </cell>
          <cell r="CD171">
            <v>85</v>
          </cell>
          <cell r="CE171">
            <v>13</v>
          </cell>
          <cell r="CF171">
            <v>86.7</v>
          </cell>
          <cell r="CG171">
            <v>51</v>
          </cell>
          <cell r="CH171">
            <v>9</v>
          </cell>
          <cell r="CI171">
            <v>85</v>
          </cell>
          <cell r="CJ171">
            <v>58</v>
          </cell>
          <cell r="CK171">
            <v>6</v>
          </cell>
          <cell r="CL171">
            <v>90.6</v>
          </cell>
          <cell r="CM171">
            <v>34</v>
          </cell>
          <cell r="CN171">
            <v>2</v>
          </cell>
          <cell r="CO171">
            <v>94.4</v>
          </cell>
          <cell r="CP171">
            <v>37</v>
          </cell>
          <cell r="CQ171">
            <v>2</v>
          </cell>
          <cell r="CR171">
            <v>94.9</v>
          </cell>
          <cell r="CS171">
            <v>50</v>
          </cell>
          <cell r="CT171">
            <v>4</v>
          </cell>
          <cell r="CU171">
            <v>92.6</v>
          </cell>
          <cell r="CV171">
            <v>13</v>
          </cell>
          <cell r="CW171">
            <v>3</v>
          </cell>
          <cell r="CX171">
            <v>81.3</v>
          </cell>
          <cell r="CY171">
            <v>24</v>
          </cell>
          <cell r="CZ171">
            <v>9</v>
          </cell>
          <cell r="DA171">
            <v>72.7</v>
          </cell>
          <cell r="DB171">
            <v>21</v>
          </cell>
          <cell r="DC171">
            <v>8</v>
          </cell>
          <cell r="DD171">
            <v>72.400000000000006</v>
          </cell>
          <cell r="DE171">
            <v>18</v>
          </cell>
          <cell r="DF171">
            <v>2</v>
          </cell>
          <cell r="DG171">
            <v>90</v>
          </cell>
          <cell r="DH171">
            <v>17</v>
          </cell>
          <cell r="DI171">
            <v>3</v>
          </cell>
          <cell r="DJ171">
            <v>85</v>
          </cell>
          <cell r="DK171">
            <v>7</v>
          </cell>
          <cell r="DL171">
            <v>1</v>
          </cell>
          <cell r="DM171">
            <v>87.5</v>
          </cell>
          <cell r="DN171">
            <v>8</v>
          </cell>
          <cell r="DO171">
            <v>2</v>
          </cell>
          <cell r="DP171">
            <v>80</v>
          </cell>
          <cell r="DQ171">
            <v>15</v>
          </cell>
          <cell r="DR171">
            <v>15</v>
          </cell>
          <cell r="DS171">
            <v>100</v>
          </cell>
          <cell r="DT171">
            <v>100</v>
          </cell>
          <cell r="DU171">
            <v>100</v>
          </cell>
          <cell r="DV171" t="str">
            <v>-</v>
          </cell>
          <cell r="DW171">
            <v>100</v>
          </cell>
          <cell r="DX171">
            <v>100</v>
          </cell>
          <cell r="DY171" t="str">
            <v>-</v>
          </cell>
          <cell r="DZ171">
            <v>100</v>
          </cell>
          <cell r="EA171">
            <v>100</v>
          </cell>
          <cell r="EB171" t="str">
            <v>-</v>
          </cell>
          <cell r="EC171">
            <v>100</v>
          </cell>
          <cell r="ED171">
            <v>100</v>
          </cell>
          <cell r="EE171" t="str">
            <v>-</v>
          </cell>
          <cell r="EF171">
            <v>100</v>
          </cell>
          <cell r="EG171">
            <v>100</v>
          </cell>
          <cell r="EH171" t="str">
            <v>-</v>
          </cell>
          <cell r="EI171">
            <v>100</v>
          </cell>
          <cell r="EJ171">
            <v>100</v>
          </cell>
          <cell r="EK171" t="str">
            <v>-</v>
          </cell>
          <cell r="EL171">
            <v>100</v>
          </cell>
          <cell r="EM171">
            <v>100</v>
          </cell>
          <cell r="EN171" t="str">
            <v>-</v>
          </cell>
          <cell r="EO171">
            <v>100</v>
          </cell>
          <cell r="EP171">
            <v>100</v>
          </cell>
          <cell r="EQ171" t="str">
            <v>-</v>
          </cell>
          <cell r="ER171">
            <v>3</v>
          </cell>
          <cell r="ES171">
            <v>3</v>
          </cell>
          <cell r="ET171">
            <v>100</v>
          </cell>
          <cell r="EU171">
            <v>14</v>
          </cell>
          <cell r="EV171">
            <v>7</v>
          </cell>
          <cell r="EW171">
            <v>66.7</v>
          </cell>
          <cell r="EX171">
            <v>2</v>
          </cell>
          <cell r="EY171">
            <v>4</v>
          </cell>
          <cell r="EZ171">
            <v>33.299999999999997</v>
          </cell>
          <cell r="FA171">
            <v>3</v>
          </cell>
          <cell r="FB171">
            <v>3</v>
          </cell>
          <cell r="FC171">
            <v>100</v>
          </cell>
          <cell r="FD171">
            <v>10</v>
          </cell>
          <cell r="FE171">
            <v>12</v>
          </cell>
          <cell r="FF171">
            <v>45.5</v>
          </cell>
          <cell r="FG171">
            <v>14</v>
          </cell>
          <cell r="FH171">
            <v>2</v>
          </cell>
          <cell r="FI171">
            <v>87.5</v>
          </cell>
          <cell r="FJ171">
            <v>87.5</v>
          </cell>
          <cell r="FK171">
            <v>87.5</v>
          </cell>
          <cell r="FL171" t="str">
            <v>-</v>
          </cell>
          <cell r="FM171">
            <v>9</v>
          </cell>
          <cell r="FN171">
            <v>9</v>
          </cell>
          <cell r="FO171">
            <v>100</v>
          </cell>
          <cell r="FP171">
            <v>100</v>
          </cell>
          <cell r="FQ171">
            <v>100</v>
          </cell>
          <cell r="FR171" t="str">
            <v>-</v>
          </cell>
          <cell r="FS171">
            <v>100</v>
          </cell>
          <cell r="FT171">
            <v>100</v>
          </cell>
          <cell r="FU171" t="str">
            <v>-</v>
          </cell>
          <cell r="FV171">
            <v>100</v>
          </cell>
          <cell r="FW171">
            <v>100</v>
          </cell>
          <cell r="FX171" t="str">
            <v>-</v>
          </cell>
          <cell r="FY171">
            <v>100</v>
          </cell>
          <cell r="FZ171">
            <v>100</v>
          </cell>
          <cell r="GA171" t="str">
            <v>-</v>
          </cell>
          <cell r="GB171">
            <v>100</v>
          </cell>
          <cell r="GC171">
            <v>100</v>
          </cell>
          <cell r="GD171" t="str">
            <v>-</v>
          </cell>
          <cell r="GE171">
            <v>100</v>
          </cell>
          <cell r="GF171">
            <v>100</v>
          </cell>
          <cell r="GG171" t="str">
            <v>-</v>
          </cell>
          <cell r="GH171">
            <v>100</v>
          </cell>
          <cell r="GI171">
            <v>100</v>
          </cell>
          <cell r="GJ171" t="str">
            <v>-</v>
          </cell>
          <cell r="GK171">
            <v>100</v>
          </cell>
          <cell r="GL171">
            <v>100</v>
          </cell>
          <cell r="GM171" t="str">
            <v>-</v>
          </cell>
          <cell r="GN171">
            <v>39</v>
          </cell>
          <cell r="GO171">
            <v>8</v>
          </cell>
          <cell r="GP171">
            <v>83</v>
          </cell>
          <cell r="GQ171">
            <v>45</v>
          </cell>
          <cell r="GR171">
            <v>2</v>
          </cell>
          <cell r="GS171">
            <v>95.7</v>
          </cell>
          <cell r="GT171">
            <v>61</v>
          </cell>
          <cell r="GU171">
            <v>12</v>
          </cell>
          <cell r="GV171">
            <v>83.6</v>
          </cell>
          <cell r="GW171">
            <v>54</v>
          </cell>
          <cell r="GX171">
            <v>10</v>
          </cell>
          <cell r="GY171">
            <v>84.4</v>
          </cell>
          <cell r="GZ171">
            <v>44</v>
          </cell>
          <cell r="HA171">
            <v>10</v>
          </cell>
          <cell r="HB171">
            <v>81.5</v>
          </cell>
          <cell r="HC171">
            <v>24</v>
          </cell>
          <cell r="HD171">
            <v>1</v>
          </cell>
          <cell r="HE171">
            <v>96</v>
          </cell>
          <cell r="HF171">
            <v>22</v>
          </cell>
          <cell r="HG171">
            <v>1</v>
          </cell>
          <cell r="HH171">
            <v>95.7</v>
          </cell>
          <cell r="HI171">
            <v>35</v>
          </cell>
          <cell r="HJ171">
            <v>4</v>
          </cell>
          <cell r="HK171">
            <v>89.7</v>
          </cell>
          <cell r="HL171">
            <v>4</v>
          </cell>
          <cell r="HM171">
            <v>3</v>
          </cell>
          <cell r="HN171">
            <v>57.1</v>
          </cell>
          <cell r="HO171">
            <v>9</v>
          </cell>
          <cell r="HP171">
            <v>12</v>
          </cell>
          <cell r="HQ171">
            <v>42.9</v>
          </cell>
          <cell r="HR171">
            <v>7</v>
          </cell>
          <cell r="HS171">
            <v>3</v>
          </cell>
          <cell r="HT171">
            <v>70</v>
          </cell>
          <cell r="HU171">
            <v>4</v>
          </cell>
          <cell r="HV171">
            <v>8</v>
          </cell>
          <cell r="HW171">
            <v>33.299999999999997</v>
          </cell>
          <cell r="HX171">
            <v>1</v>
          </cell>
          <cell r="HY171">
            <v>4</v>
          </cell>
          <cell r="HZ171">
            <v>20</v>
          </cell>
          <cell r="IA171">
            <v>1</v>
          </cell>
          <cell r="IB171">
            <v>1</v>
          </cell>
          <cell r="IC171">
            <v>100</v>
          </cell>
          <cell r="ID171">
            <v>100</v>
          </cell>
          <cell r="IE171">
            <v>100</v>
          </cell>
          <cell r="IF171" t="str">
            <v>-</v>
          </cell>
          <cell r="IG171">
            <v>2</v>
          </cell>
          <cell r="IH171">
            <v>2</v>
          </cell>
          <cell r="II171">
            <v>100</v>
          </cell>
          <cell r="IJ171">
            <v>12</v>
          </cell>
          <cell r="IK171">
            <v>12</v>
          </cell>
          <cell r="IL171">
            <v>100</v>
          </cell>
          <cell r="IM171">
            <v>3</v>
          </cell>
          <cell r="IN171">
            <v>3</v>
          </cell>
          <cell r="IO171">
            <v>100</v>
          </cell>
          <cell r="IP171">
            <v>100</v>
          </cell>
          <cell r="IQ171">
            <v>100</v>
          </cell>
          <cell r="IR171" t="str">
            <v>-</v>
          </cell>
          <cell r="IS171">
            <v>1</v>
          </cell>
          <cell r="IT171">
            <v>3</v>
          </cell>
          <cell r="IU171">
            <v>25</v>
          </cell>
          <cell r="IV171">
            <v>25</v>
          </cell>
          <cell r="IW171">
            <v>25</v>
          </cell>
          <cell r="IX171" t="str">
            <v>-</v>
          </cell>
          <cell r="IY171">
            <v>25</v>
          </cell>
          <cell r="IZ171">
            <v>25</v>
          </cell>
          <cell r="JA171" t="str">
            <v>-</v>
          </cell>
          <cell r="JB171">
            <v>25</v>
          </cell>
          <cell r="JC171">
            <v>25</v>
          </cell>
          <cell r="JD171" t="str">
            <v>-</v>
          </cell>
          <cell r="JE171">
            <v>4</v>
          </cell>
          <cell r="JF171">
            <v>4</v>
          </cell>
          <cell r="JG171">
            <v>100</v>
          </cell>
          <cell r="JH171">
            <v>0</v>
          </cell>
          <cell r="JI171">
            <v>0</v>
          </cell>
          <cell r="JJ171" t="str">
            <v>-</v>
          </cell>
          <cell r="JK171">
            <v>0</v>
          </cell>
          <cell r="JL171">
            <v>0</v>
          </cell>
          <cell r="JM171" t="str">
            <v>-</v>
          </cell>
          <cell r="JN171">
            <v>0</v>
          </cell>
          <cell r="JO171">
            <v>0</v>
          </cell>
          <cell r="JP171" t="str">
            <v>-</v>
          </cell>
          <cell r="JQ171">
            <v>230</v>
          </cell>
          <cell r="JR171">
            <v>23</v>
          </cell>
          <cell r="JS171">
            <v>90.909090909090907</v>
          </cell>
          <cell r="JT171">
            <v>65</v>
          </cell>
          <cell r="JU171">
            <v>8</v>
          </cell>
          <cell r="JV171">
            <v>89.041095890410958</v>
          </cell>
          <cell r="JW171">
            <v>0</v>
          </cell>
          <cell r="JX171">
            <v>0</v>
          </cell>
          <cell r="JY171" t="str">
            <v>-</v>
          </cell>
          <cell r="JZ171">
            <v>36</v>
          </cell>
          <cell r="KA171">
            <v>14</v>
          </cell>
          <cell r="KB171">
            <v>72</v>
          </cell>
          <cell r="KC171">
            <v>0</v>
          </cell>
          <cell r="KD171">
            <v>0</v>
          </cell>
          <cell r="KE171" t="str">
            <v>-</v>
          </cell>
          <cell r="KF171">
            <v>179</v>
          </cell>
          <cell r="KG171">
            <v>26</v>
          </cell>
          <cell r="KH171">
            <v>87.317073170731703</v>
          </cell>
          <cell r="KI171">
            <v>8</v>
          </cell>
          <cell r="KJ171">
            <v>12</v>
          </cell>
          <cell r="KK171">
            <v>40</v>
          </cell>
          <cell r="KL171">
            <v>5</v>
          </cell>
          <cell r="KM171">
            <v>3</v>
          </cell>
          <cell r="KN171">
            <v>62.5</v>
          </cell>
        </row>
        <row r="172">
          <cell r="C172" t="str">
            <v>Paksi Rendőrkapitányság</v>
          </cell>
          <cell r="D172">
            <v>62.5</v>
          </cell>
          <cell r="E172">
            <v>62.5</v>
          </cell>
          <cell r="F172" t="str">
            <v>-</v>
          </cell>
          <cell r="G172">
            <v>62.5</v>
          </cell>
          <cell r="H172">
            <v>62.5</v>
          </cell>
          <cell r="I172" t="str">
            <v>-</v>
          </cell>
          <cell r="J172">
            <v>62.5</v>
          </cell>
          <cell r="K172">
            <v>62.5</v>
          </cell>
          <cell r="L172" t="str">
            <v>-</v>
          </cell>
          <cell r="M172">
            <v>62.5</v>
          </cell>
          <cell r="N172">
            <v>62.5</v>
          </cell>
          <cell r="O172" t="str">
            <v>-</v>
          </cell>
          <cell r="P172">
            <v>62.5</v>
          </cell>
          <cell r="Q172">
            <v>62.5</v>
          </cell>
          <cell r="R172" t="str">
            <v>-</v>
          </cell>
          <cell r="S172">
            <v>62.5</v>
          </cell>
          <cell r="T172">
            <v>62.5</v>
          </cell>
          <cell r="U172" t="str">
            <v>-</v>
          </cell>
          <cell r="V172">
            <v>62.5</v>
          </cell>
          <cell r="W172">
            <v>62.5</v>
          </cell>
          <cell r="X172" t="str">
            <v>-</v>
          </cell>
          <cell r="Y172">
            <v>62.5</v>
          </cell>
          <cell r="Z172">
            <v>62.5</v>
          </cell>
          <cell r="AA172" t="str">
            <v>-</v>
          </cell>
          <cell r="AB172">
            <v>62.5</v>
          </cell>
          <cell r="AC172">
            <v>62.5</v>
          </cell>
          <cell r="AD172" t="str">
            <v>-</v>
          </cell>
          <cell r="AE172">
            <v>62.5</v>
          </cell>
          <cell r="AF172">
            <v>62.5</v>
          </cell>
          <cell r="AG172" t="str">
            <v>-</v>
          </cell>
          <cell r="AH172">
            <v>62.5</v>
          </cell>
          <cell r="AI172">
            <v>62.5</v>
          </cell>
          <cell r="AJ172" t="str">
            <v>-</v>
          </cell>
          <cell r="AK172">
            <v>62.5</v>
          </cell>
          <cell r="AL172">
            <v>62.5</v>
          </cell>
          <cell r="AM172" t="str">
            <v>-</v>
          </cell>
          <cell r="AN172">
            <v>62.5</v>
          </cell>
          <cell r="AO172">
            <v>62.5</v>
          </cell>
          <cell r="AP172" t="str">
            <v>-</v>
          </cell>
          <cell r="AQ172">
            <v>62.5</v>
          </cell>
          <cell r="AR172">
            <v>62.5</v>
          </cell>
          <cell r="AS172" t="str">
            <v>-</v>
          </cell>
          <cell r="AT172">
            <v>62.5</v>
          </cell>
          <cell r="AU172">
            <v>62.5</v>
          </cell>
          <cell r="AV172" t="str">
            <v>-</v>
          </cell>
          <cell r="AW172">
            <v>62.5</v>
          </cell>
          <cell r="AX172">
            <v>62.5</v>
          </cell>
          <cell r="AY172" t="str">
            <v>-</v>
          </cell>
          <cell r="AZ172">
            <v>62.5</v>
          </cell>
          <cell r="BA172">
            <v>62.5</v>
          </cell>
          <cell r="BB172" t="str">
            <v>-</v>
          </cell>
          <cell r="BC172">
            <v>62.5</v>
          </cell>
          <cell r="BD172">
            <v>62.5</v>
          </cell>
          <cell r="BE172" t="str">
            <v>-</v>
          </cell>
          <cell r="BF172">
            <v>62.5</v>
          </cell>
          <cell r="BG172">
            <v>62.5</v>
          </cell>
          <cell r="BH172" t="str">
            <v>-</v>
          </cell>
          <cell r="BI172">
            <v>62.5</v>
          </cell>
          <cell r="BJ172">
            <v>62.5</v>
          </cell>
          <cell r="BK172" t="str">
            <v>-</v>
          </cell>
          <cell r="BL172">
            <v>62.5</v>
          </cell>
          <cell r="BM172">
            <v>62.5</v>
          </cell>
          <cell r="BN172" t="str">
            <v>-</v>
          </cell>
          <cell r="BO172">
            <v>62.5</v>
          </cell>
          <cell r="BP172">
            <v>62.5</v>
          </cell>
          <cell r="BQ172" t="str">
            <v>-</v>
          </cell>
          <cell r="BR172">
            <v>62.5</v>
          </cell>
          <cell r="BS172">
            <v>62.5</v>
          </cell>
          <cell r="BT172" t="str">
            <v>-</v>
          </cell>
          <cell r="BU172">
            <v>62.5</v>
          </cell>
          <cell r="BV172">
            <v>62.5</v>
          </cell>
          <cell r="BW172" t="str">
            <v>-</v>
          </cell>
          <cell r="BX172">
            <v>74</v>
          </cell>
          <cell r="BY172">
            <v>6</v>
          </cell>
          <cell r="BZ172">
            <v>92.5</v>
          </cell>
          <cell r="CA172">
            <v>51</v>
          </cell>
          <cell r="CB172">
            <v>11</v>
          </cell>
          <cell r="CC172">
            <v>82.3</v>
          </cell>
          <cell r="CD172">
            <v>39</v>
          </cell>
          <cell r="CE172">
            <v>12</v>
          </cell>
          <cell r="CF172">
            <v>76.5</v>
          </cell>
          <cell r="CG172">
            <v>45</v>
          </cell>
          <cell r="CH172">
            <v>19</v>
          </cell>
          <cell r="CI172">
            <v>70.3</v>
          </cell>
          <cell r="CJ172">
            <v>39</v>
          </cell>
          <cell r="CK172">
            <v>5</v>
          </cell>
          <cell r="CL172">
            <v>88.6</v>
          </cell>
          <cell r="CM172">
            <v>41</v>
          </cell>
          <cell r="CN172">
            <v>6</v>
          </cell>
          <cell r="CO172">
            <v>87.2</v>
          </cell>
          <cell r="CP172">
            <v>40</v>
          </cell>
          <cell r="CQ172">
            <v>3</v>
          </cell>
          <cell r="CR172">
            <v>93</v>
          </cell>
          <cell r="CS172">
            <v>31</v>
          </cell>
          <cell r="CT172">
            <v>5</v>
          </cell>
          <cell r="CU172">
            <v>86.1</v>
          </cell>
          <cell r="CV172">
            <v>38</v>
          </cell>
          <cell r="CW172">
            <v>5</v>
          </cell>
          <cell r="CX172">
            <v>88.4</v>
          </cell>
          <cell r="CY172">
            <v>20</v>
          </cell>
          <cell r="CZ172">
            <v>7</v>
          </cell>
          <cell r="DA172">
            <v>74.099999999999994</v>
          </cell>
          <cell r="DB172">
            <v>10</v>
          </cell>
          <cell r="DC172">
            <v>5</v>
          </cell>
          <cell r="DD172">
            <v>66.7</v>
          </cell>
          <cell r="DE172">
            <v>24</v>
          </cell>
          <cell r="DF172">
            <v>11</v>
          </cell>
          <cell r="DG172">
            <v>68.599999999999994</v>
          </cell>
          <cell r="DH172">
            <v>14</v>
          </cell>
          <cell r="DI172">
            <v>3</v>
          </cell>
          <cell r="DJ172">
            <v>82.4</v>
          </cell>
          <cell r="DK172">
            <v>24</v>
          </cell>
          <cell r="DL172">
            <v>6</v>
          </cell>
          <cell r="DM172">
            <v>80</v>
          </cell>
          <cell r="DN172">
            <v>21</v>
          </cell>
          <cell r="DO172">
            <v>2</v>
          </cell>
          <cell r="DP172">
            <v>91.3</v>
          </cell>
          <cell r="DQ172">
            <v>14</v>
          </cell>
          <cell r="DR172">
            <v>14</v>
          </cell>
          <cell r="DS172">
            <v>100</v>
          </cell>
          <cell r="DT172">
            <v>100</v>
          </cell>
          <cell r="DU172">
            <v>100</v>
          </cell>
          <cell r="DV172" t="str">
            <v>-</v>
          </cell>
          <cell r="DW172">
            <v>100</v>
          </cell>
          <cell r="DX172">
            <v>100</v>
          </cell>
          <cell r="DY172" t="str">
            <v>-</v>
          </cell>
          <cell r="DZ172">
            <v>100</v>
          </cell>
          <cell r="EA172">
            <v>100</v>
          </cell>
          <cell r="EB172" t="str">
            <v>-</v>
          </cell>
          <cell r="EC172">
            <v>100</v>
          </cell>
          <cell r="ED172">
            <v>100</v>
          </cell>
          <cell r="EE172" t="str">
            <v>-</v>
          </cell>
          <cell r="EF172">
            <v>100</v>
          </cell>
          <cell r="EG172">
            <v>100</v>
          </cell>
          <cell r="EH172" t="str">
            <v>-</v>
          </cell>
          <cell r="EI172">
            <v>100</v>
          </cell>
          <cell r="EJ172">
            <v>100</v>
          </cell>
          <cell r="EK172" t="str">
            <v>-</v>
          </cell>
          <cell r="EL172">
            <v>100</v>
          </cell>
          <cell r="EM172">
            <v>100</v>
          </cell>
          <cell r="EN172" t="str">
            <v>-</v>
          </cell>
          <cell r="EO172">
            <v>100</v>
          </cell>
          <cell r="EP172">
            <v>100</v>
          </cell>
          <cell r="EQ172" t="str">
            <v>-</v>
          </cell>
          <cell r="ER172">
            <v>1</v>
          </cell>
          <cell r="ES172">
            <v>1</v>
          </cell>
          <cell r="ET172">
            <v>50</v>
          </cell>
          <cell r="EU172">
            <v>2</v>
          </cell>
          <cell r="EV172">
            <v>2</v>
          </cell>
          <cell r="EW172">
            <v>100</v>
          </cell>
          <cell r="EX172">
            <v>3</v>
          </cell>
          <cell r="EY172">
            <v>3</v>
          </cell>
          <cell r="EZ172">
            <v>100</v>
          </cell>
          <cell r="FA172">
            <v>100</v>
          </cell>
          <cell r="FB172">
            <v>1</v>
          </cell>
          <cell r="FC172">
            <v>0</v>
          </cell>
          <cell r="FD172">
            <v>8</v>
          </cell>
          <cell r="FE172">
            <v>8</v>
          </cell>
          <cell r="FF172">
            <v>100</v>
          </cell>
          <cell r="FG172">
            <v>8</v>
          </cell>
          <cell r="FH172">
            <v>8</v>
          </cell>
          <cell r="FI172">
            <v>100</v>
          </cell>
          <cell r="FJ172">
            <v>4</v>
          </cell>
          <cell r="FK172">
            <v>4</v>
          </cell>
          <cell r="FL172">
            <v>100</v>
          </cell>
          <cell r="FM172">
            <v>6</v>
          </cell>
          <cell r="FN172">
            <v>1</v>
          </cell>
          <cell r="FO172">
            <v>85.7</v>
          </cell>
          <cell r="FP172">
            <v>85.699951171875</v>
          </cell>
          <cell r="FQ172">
            <v>85.699951171875</v>
          </cell>
          <cell r="FR172" t="str">
            <v>-</v>
          </cell>
          <cell r="FS172">
            <v>85.699951171875</v>
          </cell>
          <cell r="FT172">
            <v>85.699951171875</v>
          </cell>
          <cell r="FU172" t="str">
            <v>-</v>
          </cell>
          <cell r="FV172">
            <v>85.699951171875</v>
          </cell>
          <cell r="FW172">
            <v>85.699951171875</v>
          </cell>
          <cell r="FX172" t="str">
            <v>-</v>
          </cell>
          <cell r="FY172">
            <v>85.699951171875</v>
          </cell>
          <cell r="FZ172">
            <v>85.699951171875</v>
          </cell>
          <cell r="GA172" t="str">
            <v>-</v>
          </cell>
          <cell r="GB172">
            <v>85.699951171875</v>
          </cell>
          <cell r="GC172">
            <v>85.699951171875</v>
          </cell>
          <cell r="GD172" t="str">
            <v>-</v>
          </cell>
          <cell r="GE172">
            <v>85.699951171875</v>
          </cell>
          <cell r="GF172">
            <v>85.699951171875</v>
          </cell>
          <cell r="GG172" t="str">
            <v>-</v>
          </cell>
          <cell r="GH172">
            <v>85.699951171875</v>
          </cell>
          <cell r="GI172">
            <v>85.699951171875</v>
          </cell>
          <cell r="GJ172" t="str">
            <v>-</v>
          </cell>
          <cell r="GK172">
            <v>85.699951171875</v>
          </cell>
          <cell r="GL172">
            <v>85.699951171875</v>
          </cell>
          <cell r="GM172" t="str">
            <v>-</v>
          </cell>
          <cell r="GN172">
            <v>91</v>
          </cell>
          <cell r="GO172">
            <v>15</v>
          </cell>
          <cell r="GP172">
            <v>85.8</v>
          </cell>
          <cell r="GQ172">
            <v>76</v>
          </cell>
          <cell r="GR172">
            <v>20</v>
          </cell>
          <cell r="GS172">
            <v>79.2</v>
          </cell>
          <cell r="GT172">
            <v>60</v>
          </cell>
          <cell r="GU172">
            <v>8</v>
          </cell>
          <cell r="GV172">
            <v>88.2</v>
          </cell>
          <cell r="GW172">
            <v>63</v>
          </cell>
          <cell r="GX172">
            <v>16</v>
          </cell>
          <cell r="GY172">
            <v>79.7</v>
          </cell>
          <cell r="GZ172">
            <v>56</v>
          </cell>
          <cell r="HA172">
            <v>11</v>
          </cell>
          <cell r="HB172">
            <v>83.6</v>
          </cell>
          <cell r="HC172">
            <v>37</v>
          </cell>
          <cell r="HD172">
            <v>8</v>
          </cell>
          <cell r="HE172">
            <v>82.2</v>
          </cell>
          <cell r="HF172">
            <v>27</v>
          </cell>
          <cell r="HG172">
            <v>2</v>
          </cell>
          <cell r="HH172">
            <v>93.1</v>
          </cell>
          <cell r="HI172">
            <v>34</v>
          </cell>
          <cell r="HJ172">
            <v>1</v>
          </cell>
          <cell r="HK172">
            <v>97.1</v>
          </cell>
          <cell r="HL172">
            <v>8</v>
          </cell>
          <cell r="HM172">
            <v>8</v>
          </cell>
          <cell r="HN172">
            <v>100</v>
          </cell>
          <cell r="HO172">
            <v>100</v>
          </cell>
          <cell r="HP172">
            <v>100</v>
          </cell>
          <cell r="HQ172" t="str">
            <v>-</v>
          </cell>
          <cell r="HR172">
            <v>2</v>
          </cell>
          <cell r="HS172">
            <v>2</v>
          </cell>
          <cell r="HT172">
            <v>50</v>
          </cell>
          <cell r="HU172">
            <v>1</v>
          </cell>
          <cell r="HV172">
            <v>1</v>
          </cell>
          <cell r="HW172">
            <v>50</v>
          </cell>
          <cell r="HX172">
            <v>50</v>
          </cell>
          <cell r="HY172">
            <v>1</v>
          </cell>
          <cell r="HZ172">
            <v>0</v>
          </cell>
          <cell r="IA172">
            <v>0</v>
          </cell>
          <cell r="IB172">
            <v>0</v>
          </cell>
          <cell r="IC172" t="str">
            <v>-</v>
          </cell>
          <cell r="ID172">
            <v>0</v>
          </cell>
          <cell r="IE172">
            <v>0</v>
          </cell>
          <cell r="IF172" t="str">
            <v>-</v>
          </cell>
          <cell r="IG172">
            <v>0</v>
          </cell>
          <cell r="IH172">
            <v>0</v>
          </cell>
          <cell r="II172" t="str">
            <v>-</v>
          </cell>
          <cell r="IJ172">
            <v>3</v>
          </cell>
          <cell r="IK172">
            <v>3</v>
          </cell>
          <cell r="IL172">
            <v>100</v>
          </cell>
          <cell r="IM172">
            <v>100</v>
          </cell>
          <cell r="IN172">
            <v>100</v>
          </cell>
          <cell r="IO172" t="str">
            <v>-</v>
          </cell>
          <cell r="IP172">
            <v>1</v>
          </cell>
          <cell r="IQ172">
            <v>1</v>
          </cell>
          <cell r="IR172">
            <v>100</v>
          </cell>
          <cell r="IS172">
            <v>11</v>
          </cell>
          <cell r="IT172">
            <v>1</v>
          </cell>
          <cell r="IU172">
            <v>91.7</v>
          </cell>
          <cell r="IV172">
            <v>91.699951171875</v>
          </cell>
          <cell r="IW172">
            <v>91.699951171875</v>
          </cell>
          <cell r="IX172" t="str">
            <v>-</v>
          </cell>
          <cell r="IY172">
            <v>1</v>
          </cell>
          <cell r="IZ172">
            <v>1</v>
          </cell>
          <cell r="JA172">
            <v>50</v>
          </cell>
          <cell r="JB172">
            <v>1</v>
          </cell>
          <cell r="JC172">
            <v>1</v>
          </cell>
          <cell r="JD172">
            <v>100</v>
          </cell>
          <cell r="JE172">
            <v>2</v>
          </cell>
          <cell r="JF172">
            <v>2</v>
          </cell>
          <cell r="JG172">
            <v>100</v>
          </cell>
          <cell r="JH172">
            <v>0</v>
          </cell>
          <cell r="JI172">
            <v>0</v>
          </cell>
          <cell r="JJ172" t="str">
            <v>-</v>
          </cell>
          <cell r="JK172">
            <v>0</v>
          </cell>
          <cell r="JL172">
            <v>0</v>
          </cell>
          <cell r="JM172" t="str">
            <v>-</v>
          </cell>
          <cell r="JN172">
            <v>0</v>
          </cell>
          <cell r="JO172">
            <v>0</v>
          </cell>
          <cell r="JP172" t="str">
            <v>-</v>
          </cell>
          <cell r="JQ172">
            <v>196</v>
          </cell>
          <cell r="JR172">
            <v>38</v>
          </cell>
          <cell r="JS172">
            <v>83.760683760683762</v>
          </cell>
          <cell r="JT172">
            <v>97</v>
          </cell>
          <cell r="JU172">
            <v>22</v>
          </cell>
          <cell r="JV172">
            <v>81.512605042016801</v>
          </cell>
          <cell r="JW172">
            <v>0</v>
          </cell>
          <cell r="JX172">
            <v>0</v>
          </cell>
          <cell r="JY172" t="str">
            <v>-</v>
          </cell>
          <cell r="JZ172">
            <v>26</v>
          </cell>
          <cell r="KA172">
            <v>2</v>
          </cell>
          <cell r="KB172">
            <v>92.857142857142861</v>
          </cell>
          <cell r="KC172">
            <v>0</v>
          </cell>
          <cell r="KD172">
            <v>0</v>
          </cell>
          <cell r="KE172" t="str">
            <v>-</v>
          </cell>
          <cell r="KF172">
            <v>217</v>
          </cell>
          <cell r="KG172">
            <v>38</v>
          </cell>
          <cell r="KH172">
            <v>85.098039215686271</v>
          </cell>
          <cell r="KI172">
            <v>1</v>
          </cell>
          <cell r="KJ172">
            <v>2</v>
          </cell>
          <cell r="KK172">
            <v>33.333333333333329</v>
          </cell>
          <cell r="KL172">
            <v>15</v>
          </cell>
          <cell r="KM172">
            <v>2</v>
          </cell>
          <cell r="KN172">
            <v>88.235294117647058</v>
          </cell>
        </row>
        <row r="173">
          <cell r="C173" t="str">
            <v>Tamási Rendőrkapitányság</v>
          </cell>
          <cell r="D173">
            <v>88.23529052734375</v>
          </cell>
          <cell r="E173">
            <v>88.23529052734375</v>
          </cell>
          <cell r="F173" t="str">
            <v>-</v>
          </cell>
          <cell r="G173">
            <v>88.23529052734375</v>
          </cell>
          <cell r="H173">
            <v>88.23529052734375</v>
          </cell>
          <cell r="I173" t="str">
            <v>-</v>
          </cell>
          <cell r="J173">
            <v>88.23529052734375</v>
          </cell>
          <cell r="K173">
            <v>88.23529052734375</v>
          </cell>
          <cell r="L173" t="str">
            <v>-</v>
          </cell>
          <cell r="M173">
            <v>88.23529052734375</v>
          </cell>
          <cell r="N173">
            <v>88.23529052734375</v>
          </cell>
          <cell r="O173" t="str">
            <v>-</v>
          </cell>
          <cell r="P173">
            <v>88.23529052734375</v>
          </cell>
          <cell r="Q173">
            <v>88.23529052734375</v>
          </cell>
          <cell r="R173" t="str">
            <v>-</v>
          </cell>
          <cell r="S173">
            <v>88.23529052734375</v>
          </cell>
          <cell r="T173">
            <v>88.23529052734375</v>
          </cell>
          <cell r="U173" t="str">
            <v>-</v>
          </cell>
          <cell r="V173">
            <v>88.23529052734375</v>
          </cell>
          <cell r="W173">
            <v>88.23529052734375</v>
          </cell>
          <cell r="X173" t="str">
            <v>-</v>
          </cell>
          <cell r="Y173">
            <v>88.23529052734375</v>
          </cell>
          <cell r="Z173">
            <v>88.23529052734375</v>
          </cell>
          <cell r="AA173" t="str">
            <v>-</v>
          </cell>
          <cell r="AB173">
            <v>88.23529052734375</v>
          </cell>
          <cell r="AC173">
            <v>88.23529052734375</v>
          </cell>
          <cell r="AD173" t="str">
            <v>-</v>
          </cell>
          <cell r="AE173">
            <v>88.23529052734375</v>
          </cell>
          <cell r="AF173">
            <v>88.23529052734375</v>
          </cell>
          <cell r="AG173" t="str">
            <v>-</v>
          </cell>
          <cell r="AH173">
            <v>88.23529052734375</v>
          </cell>
          <cell r="AI173">
            <v>88.23529052734375</v>
          </cell>
          <cell r="AJ173" t="str">
            <v>-</v>
          </cell>
          <cell r="AK173">
            <v>88.23529052734375</v>
          </cell>
          <cell r="AL173">
            <v>88.23529052734375</v>
          </cell>
          <cell r="AM173" t="str">
            <v>-</v>
          </cell>
          <cell r="AN173">
            <v>88.23529052734375</v>
          </cell>
          <cell r="AO173">
            <v>88.23529052734375</v>
          </cell>
          <cell r="AP173" t="str">
            <v>-</v>
          </cell>
          <cell r="AQ173">
            <v>88.23529052734375</v>
          </cell>
          <cell r="AR173">
            <v>88.23529052734375</v>
          </cell>
          <cell r="AS173" t="str">
            <v>-</v>
          </cell>
          <cell r="AT173">
            <v>88.23529052734375</v>
          </cell>
          <cell r="AU173">
            <v>88.23529052734375</v>
          </cell>
          <cell r="AV173" t="str">
            <v>-</v>
          </cell>
          <cell r="AW173">
            <v>88.23529052734375</v>
          </cell>
          <cell r="AX173">
            <v>88.23529052734375</v>
          </cell>
          <cell r="AY173" t="str">
            <v>-</v>
          </cell>
          <cell r="AZ173">
            <v>88.23529052734375</v>
          </cell>
          <cell r="BA173">
            <v>88.23529052734375</v>
          </cell>
          <cell r="BB173" t="str">
            <v>-</v>
          </cell>
          <cell r="BC173">
            <v>88.23529052734375</v>
          </cell>
          <cell r="BD173">
            <v>88.23529052734375</v>
          </cell>
          <cell r="BE173" t="str">
            <v>-</v>
          </cell>
          <cell r="BF173">
            <v>88.23529052734375</v>
          </cell>
          <cell r="BG173">
            <v>88.23529052734375</v>
          </cell>
          <cell r="BH173" t="str">
            <v>-</v>
          </cell>
          <cell r="BI173">
            <v>88.23529052734375</v>
          </cell>
          <cell r="BJ173">
            <v>88.23529052734375</v>
          </cell>
          <cell r="BK173" t="str">
            <v>-</v>
          </cell>
          <cell r="BL173">
            <v>88.23529052734375</v>
          </cell>
          <cell r="BM173">
            <v>88.23529052734375</v>
          </cell>
          <cell r="BN173" t="str">
            <v>-</v>
          </cell>
          <cell r="BO173">
            <v>88.23529052734375</v>
          </cell>
          <cell r="BP173">
            <v>88.23529052734375</v>
          </cell>
          <cell r="BQ173" t="str">
            <v>-</v>
          </cell>
          <cell r="BR173">
            <v>88.23529052734375</v>
          </cell>
          <cell r="BS173">
            <v>88.23529052734375</v>
          </cell>
          <cell r="BT173" t="str">
            <v>-</v>
          </cell>
          <cell r="BU173">
            <v>88.23529052734375</v>
          </cell>
          <cell r="BV173">
            <v>88.23529052734375</v>
          </cell>
          <cell r="BW173" t="str">
            <v>-</v>
          </cell>
          <cell r="BX173">
            <v>63</v>
          </cell>
          <cell r="BY173">
            <v>5</v>
          </cell>
          <cell r="BZ173">
            <v>92.6</v>
          </cell>
          <cell r="CA173">
            <v>42</v>
          </cell>
          <cell r="CB173">
            <v>9</v>
          </cell>
          <cell r="CC173">
            <v>82.4</v>
          </cell>
          <cell r="CD173">
            <v>37</v>
          </cell>
          <cell r="CE173">
            <v>3</v>
          </cell>
          <cell r="CF173">
            <v>92.5</v>
          </cell>
          <cell r="CG173">
            <v>60</v>
          </cell>
          <cell r="CH173">
            <v>5</v>
          </cell>
          <cell r="CI173">
            <v>92.3</v>
          </cell>
          <cell r="CJ173">
            <v>77</v>
          </cell>
          <cell r="CK173">
            <v>5</v>
          </cell>
          <cell r="CL173">
            <v>93.9</v>
          </cell>
          <cell r="CM173">
            <v>66</v>
          </cell>
          <cell r="CN173">
            <v>10</v>
          </cell>
          <cell r="CO173">
            <v>86.8</v>
          </cell>
          <cell r="CP173">
            <v>81</v>
          </cell>
          <cell r="CQ173">
            <v>2</v>
          </cell>
          <cell r="CR173">
            <v>97.6</v>
          </cell>
          <cell r="CS173">
            <v>60</v>
          </cell>
          <cell r="CT173">
            <v>1</v>
          </cell>
          <cell r="CU173">
            <v>98.4</v>
          </cell>
          <cell r="CV173">
            <v>20</v>
          </cell>
          <cell r="CW173">
            <v>3</v>
          </cell>
          <cell r="CX173">
            <v>87</v>
          </cell>
          <cell r="CY173">
            <v>10</v>
          </cell>
          <cell r="CZ173">
            <v>2</v>
          </cell>
          <cell r="DA173">
            <v>83.3</v>
          </cell>
          <cell r="DB173">
            <v>16</v>
          </cell>
          <cell r="DC173">
            <v>16</v>
          </cell>
          <cell r="DD173">
            <v>100</v>
          </cell>
          <cell r="DE173">
            <v>27</v>
          </cell>
          <cell r="DF173">
            <v>2</v>
          </cell>
          <cell r="DG173">
            <v>93.1</v>
          </cell>
          <cell r="DH173">
            <v>23</v>
          </cell>
          <cell r="DI173">
            <v>4</v>
          </cell>
          <cell r="DJ173">
            <v>85.2</v>
          </cell>
          <cell r="DK173">
            <v>19</v>
          </cell>
          <cell r="DL173">
            <v>4</v>
          </cell>
          <cell r="DM173">
            <v>82.6</v>
          </cell>
          <cell r="DN173">
            <v>32</v>
          </cell>
          <cell r="DO173">
            <v>1</v>
          </cell>
          <cell r="DP173">
            <v>97</v>
          </cell>
          <cell r="DQ173">
            <v>17</v>
          </cell>
          <cell r="DR173">
            <v>1</v>
          </cell>
          <cell r="DS173">
            <v>94.4</v>
          </cell>
          <cell r="DT173">
            <v>94.39996337890625</v>
          </cell>
          <cell r="DU173">
            <v>94.39996337890625</v>
          </cell>
          <cell r="DV173" t="str">
            <v>-</v>
          </cell>
          <cell r="DW173">
            <v>94.39996337890625</v>
          </cell>
          <cell r="DX173">
            <v>94.39996337890625</v>
          </cell>
          <cell r="DY173" t="str">
            <v>-</v>
          </cell>
          <cell r="DZ173">
            <v>94.39996337890625</v>
          </cell>
          <cell r="EA173">
            <v>94.39996337890625</v>
          </cell>
          <cell r="EB173" t="str">
            <v>-</v>
          </cell>
          <cell r="EC173">
            <v>94.39996337890625</v>
          </cell>
          <cell r="ED173">
            <v>94.39996337890625</v>
          </cell>
          <cell r="EE173" t="str">
            <v>-</v>
          </cell>
          <cell r="EF173">
            <v>94.39996337890625</v>
          </cell>
          <cell r="EG173">
            <v>94.39996337890625</v>
          </cell>
          <cell r="EH173" t="str">
            <v>-</v>
          </cell>
          <cell r="EI173">
            <v>94.39996337890625</v>
          </cell>
          <cell r="EJ173">
            <v>94.39996337890625</v>
          </cell>
          <cell r="EK173" t="str">
            <v>-</v>
          </cell>
          <cell r="EL173">
            <v>94.39996337890625</v>
          </cell>
          <cell r="EM173">
            <v>94.39996337890625</v>
          </cell>
          <cell r="EN173" t="str">
            <v>-</v>
          </cell>
          <cell r="EO173">
            <v>94.39996337890625</v>
          </cell>
          <cell r="EP173">
            <v>94.39996337890625</v>
          </cell>
          <cell r="EQ173" t="str">
            <v>-</v>
          </cell>
          <cell r="ER173">
            <v>8</v>
          </cell>
          <cell r="ES173">
            <v>1</v>
          </cell>
          <cell r="ET173">
            <v>88.9</v>
          </cell>
          <cell r="EU173">
            <v>9</v>
          </cell>
          <cell r="EV173">
            <v>9</v>
          </cell>
          <cell r="EW173">
            <v>100</v>
          </cell>
          <cell r="EX173">
            <v>14</v>
          </cell>
          <cell r="EY173">
            <v>1</v>
          </cell>
          <cell r="EZ173">
            <v>93.3</v>
          </cell>
          <cell r="FA173">
            <v>1</v>
          </cell>
          <cell r="FB173">
            <v>1</v>
          </cell>
          <cell r="FC173">
            <v>100</v>
          </cell>
          <cell r="FD173">
            <v>3</v>
          </cell>
          <cell r="FE173">
            <v>3</v>
          </cell>
          <cell r="FF173">
            <v>100</v>
          </cell>
          <cell r="FG173">
            <v>9</v>
          </cell>
          <cell r="FH173">
            <v>4</v>
          </cell>
          <cell r="FI173">
            <v>69.2</v>
          </cell>
          <cell r="FJ173">
            <v>3</v>
          </cell>
          <cell r="FK173">
            <v>3</v>
          </cell>
          <cell r="FL173">
            <v>100</v>
          </cell>
          <cell r="FM173">
            <v>2</v>
          </cell>
          <cell r="FN173">
            <v>1</v>
          </cell>
          <cell r="FO173">
            <v>66.7</v>
          </cell>
          <cell r="FP173">
            <v>66.699951171875</v>
          </cell>
          <cell r="FQ173">
            <v>66.699951171875</v>
          </cell>
          <cell r="FR173" t="str">
            <v>-</v>
          </cell>
          <cell r="FS173">
            <v>66.699951171875</v>
          </cell>
          <cell r="FT173">
            <v>66.699951171875</v>
          </cell>
          <cell r="FU173" t="str">
            <v>-</v>
          </cell>
          <cell r="FV173">
            <v>66.699951171875</v>
          </cell>
          <cell r="FW173">
            <v>66.699951171875</v>
          </cell>
          <cell r="FX173" t="str">
            <v>-</v>
          </cell>
          <cell r="FY173">
            <v>66.699951171875</v>
          </cell>
          <cell r="FZ173">
            <v>66.699951171875</v>
          </cell>
          <cell r="GA173" t="str">
            <v>-</v>
          </cell>
          <cell r="GB173">
            <v>66.699951171875</v>
          </cell>
          <cell r="GC173">
            <v>66.699951171875</v>
          </cell>
          <cell r="GD173" t="str">
            <v>-</v>
          </cell>
          <cell r="GE173">
            <v>66.699951171875</v>
          </cell>
          <cell r="GF173">
            <v>66.699951171875</v>
          </cell>
          <cell r="GG173" t="str">
            <v>-</v>
          </cell>
          <cell r="GH173">
            <v>66.699951171875</v>
          </cell>
          <cell r="GI173">
            <v>66.699951171875</v>
          </cell>
          <cell r="GJ173" t="str">
            <v>-</v>
          </cell>
          <cell r="GK173">
            <v>66.699951171875</v>
          </cell>
          <cell r="GL173">
            <v>66.699951171875</v>
          </cell>
          <cell r="GM173" t="str">
            <v>-</v>
          </cell>
          <cell r="GN173">
            <v>69</v>
          </cell>
          <cell r="GO173">
            <v>6</v>
          </cell>
          <cell r="GP173">
            <v>92</v>
          </cell>
          <cell r="GQ173">
            <v>30</v>
          </cell>
          <cell r="GR173">
            <v>11</v>
          </cell>
          <cell r="GS173">
            <v>73.2</v>
          </cell>
          <cell r="GT173">
            <v>20</v>
          </cell>
          <cell r="GU173">
            <v>6</v>
          </cell>
          <cell r="GV173">
            <v>76.900000000000006</v>
          </cell>
          <cell r="GW173">
            <v>45</v>
          </cell>
          <cell r="GX173">
            <v>3</v>
          </cell>
          <cell r="GY173">
            <v>93.8</v>
          </cell>
          <cell r="GZ173">
            <v>59</v>
          </cell>
          <cell r="HA173">
            <v>5</v>
          </cell>
          <cell r="HB173">
            <v>92.2</v>
          </cell>
          <cell r="HC173">
            <v>70</v>
          </cell>
          <cell r="HD173">
            <v>7</v>
          </cell>
          <cell r="HE173">
            <v>90.9</v>
          </cell>
          <cell r="HF173">
            <v>59</v>
          </cell>
          <cell r="HG173">
            <v>4</v>
          </cell>
          <cell r="HH173">
            <v>93.7</v>
          </cell>
          <cell r="HI173">
            <v>61</v>
          </cell>
          <cell r="HJ173">
            <v>3</v>
          </cell>
          <cell r="HK173">
            <v>95.3</v>
          </cell>
          <cell r="HL173">
            <v>7</v>
          </cell>
          <cell r="HM173">
            <v>1</v>
          </cell>
          <cell r="HN173">
            <v>87.5</v>
          </cell>
          <cell r="HO173">
            <v>5</v>
          </cell>
          <cell r="HP173">
            <v>5</v>
          </cell>
          <cell r="HQ173">
            <v>50</v>
          </cell>
          <cell r="HR173">
            <v>5</v>
          </cell>
          <cell r="HS173">
            <v>2</v>
          </cell>
          <cell r="HT173">
            <v>71.400000000000006</v>
          </cell>
          <cell r="HU173">
            <v>3</v>
          </cell>
          <cell r="HV173">
            <v>2</v>
          </cell>
          <cell r="HW173">
            <v>60</v>
          </cell>
          <cell r="HX173">
            <v>6</v>
          </cell>
          <cell r="HY173">
            <v>2</v>
          </cell>
          <cell r="HZ173">
            <v>75</v>
          </cell>
          <cell r="IA173">
            <v>2</v>
          </cell>
          <cell r="IB173">
            <v>1</v>
          </cell>
          <cell r="IC173">
            <v>66.7</v>
          </cell>
          <cell r="ID173">
            <v>4</v>
          </cell>
          <cell r="IE173">
            <v>1</v>
          </cell>
          <cell r="IF173">
            <v>80</v>
          </cell>
          <cell r="IG173">
            <v>3</v>
          </cell>
          <cell r="IH173">
            <v>2</v>
          </cell>
          <cell r="II173">
            <v>60</v>
          </cell>
          <cell r="IJ173">
            <v>7</v>
          </cell>
          <cell r="IK173">
            <v>7</v>
          </cell>
          <cell r="IL173">
            <v>100</v>
          </cell>
          <cell r="IM173">
            <v>5</v>
          </cell>
          <cell r="IN173">
            <v>5</v>
          </cell>
          <cell r="IO173">
            <v>100</v>
          </cell>
          <cell r="IP173">
            <v>7</v>
          </cell>
          <cell r="IQ173">
            <v>7</v>
          </cell>
          <cell r="IR173">
            <v>100</v>
          </cell>
          <cell r="IS173">
            <v>9</v>
          </cell>
          <cell r="IT173">
            <v>1</v>
          </cell>
          <cell r="IU173">
            <v>90</v>
          </cell>
          <cell r="IV173">
            <v>2</v>
          </cell>
          <cell r="IW173">
            <v>2</v>
          </cell>
          <cell r="IX173">
            <v>50</v>
          </cell>
          <cell r="IY173">
            <v>3</v>
          </cell>
          <cell r="IZ173">
            <v>2</v>
          </cell>
          <cell r="JA173">
            <v>60</v>
          </cell>
          <cell r="JB173">
            <v>60</v>
          </cell>
          <cell r="JC173">
            <v>1</v>
          </cell>
          <cell r="JD173">
            <v>0</v>
          </cell>
          <cell r="JE173">
            <v>1</v>
          </cell>
          <cell r="JF173">
            <v>2</v>
          </cell>
          <cell r="JG173">
            <v>33.299999999999997</v>
          </cell>
          <cell r="JH173">
            <v>0</v>
          </cell>
          <cell r="JI173">
            <v>0</v>
          </cell>
          <cell r="JJ173" t="str">
            <v>-</v>
          </cell>
          <cell r="JK173">
            <v>0</v>
          </cell>
          <cell r="JL173">
            <v>0</v>
          </cell>
          <cell r="JM173" t="str">
            <v>-</v>
          </cell>
          <cell r="JN173">
            <v>0</v>
          </cell>
          <cell r="JO173">
            <v>0</v>
          </cell>
          <cell r="JP173" t="str">
            <v>-</v>
          </cell>
          <cell r="JQ173">
            <v>344</v>
          </cell>
          <cell r="JR173">
            <v>23</v>
          </cell>
          <cell r="JS173">
            <v>93.732970027247958</v>
          </cell>
          <cell r="JT173">
            <v>118</v>
          </cell>
          <cell r="JU173">
            <v>12</v>
          </cell>
          <cell r="JV173">
            <v>90.769230769230774</v>
          </cell>
          <cell r="JW173">
            <v>0</v>
          </cell>
          <cell r="JX173">
            <v>0</v>
          </cell>
          <cell r="JY173" t="str">
            <v>-</v>
          </cell>
          <cell r="JZ173">
            <v>18</v>
          </cell>
          <cell r="KA173">
            <v>5</v>
          </cell>
          <cell r="KB173">
            <v>78.260869565217391</v>
          </cell>
          <cell r="KC173">
            <v>0</v>
          </cell>
          <cell r="KD173">
            <v>0</v>
          </cell>
          <cell r="KE173" t="str">
            <v>-</v>
          </cell>
          <cell r="KF173">
            <v>294</v>
          </cell>
          <cell r="KG173">
            <v>22</v>
          </cell>
          <cell r="KH173">
            <v>93.037974683544306</v>
          </cell>
          <cell r="KI173">
            <v>18</v>
          </cell>
          <cell r="KJ173">
            <v>8</v>
          </cell>
          <cell r="KK173">
            <v>69.230769230769226</v>
          </cell>
          <cell r="KL173">
            <v>15</v>
          </cell>
          <cell r="KM173">
            <v>8</v>
          </cell>
          <cell r="KN173">
            <v>65.217391304347828</v>
          </cell>
        </row>
        <row r="174">
          <cell r="C174" t="str">
            <v>Tolna Megyei Rendőr-főkapitányság</v>
          </cell>
          <cell r="D174">
            <v>7</v>
          </cell>
          <cell r="E174">
            <v>2</v>
          </cell>
          <cell r="F174">
            <v>77.8</v>
          </cell>
          <cell r="G174">
            <v>5</v>
          </cell>
          <cell r="H174">
            <v>1</v>
          </cell>
          <cell r="I174">
            <v>83.3</v>
          </cell>
          <cell r="J174">
            <v>4</v>
          </cell>
          <cell r="K174">
            <v>2</v>
          </cell>
          <cell r="L174">
            <v>66.7</v>
          </cell>
          <cell r="M174">
            <v>5</v>
          </cell>
          <cell r="N174">
            <v>5</v>
          </cell>
          <cell r="O174">
            <v>100</v>
          </cell>
          <cell r="P174">
            <v>4</v>
          </cell>
          <cell r="Q174">
            <v>4</v>
          </cell>
          <cell r="R174">
            <v>100</v>
          </cell>
          <cell r="S174">
            <v>1</v>
          </cell>
          <cell r="T174">
            <v>1</v>
          </cell>
          <cell r="U174">
            <v>100</v>
          </cell>
          <cell r="V174">
            <v>2</v>
          </cell>
          <cell r="W174">
            <v>1</v>
          </cell>
          <cell r="X174">
            <v>66.7</v>
          </cell>
          <cell r="Y174">
            <v>1</v>
          </cell>
          <cell r="Z174">
            <v>1</v>
          </cell>
          <cell r="AA174">
            <v>100</v>
          </cell>
          <cell r="AB174">
            <v>2</v>
          </cell>
          <cell r="AC174">
            <v>2</v>
          </cell>
          <cell r="AD174">
            <v>100</v>
          </cell>
          <cell r="AE174">
            <v>5</v>
          </cell>
          <cell r="AF174">
            <v>1</v>
          </cell>
          <cell r="AG174">
            <v>83.3</v>
          </cell>
          <cell r="AH174">
            <v>1</v>
          </cell>
          <cell r="AI174">
            <v>1</v>
          </cell>
          <cell r="AJ174">
            <v>100</v>
          </cell>
          <cell r="AK174">
            <v>3</v>
          </cell>
          <cell r="AL174">
            <v>3</v>
          </cell>
          <cell r="AM174">
            <v>100</v>
          </cell>
          <cell r="AN174">
            <v>2</v>
          </cell>
          <cell r="AO174">
            <v>2</v>
          </cell>
          <cell r="AP174">
            <v>100</v>
          </cell>
          <cell r="AQ174">
            <v>1</v>
          </cell>
          <cell r="AR174">
            <v>1</v>
          </cell>
          <cell r="AS174">
            <v>100</v>
          </cell>
          <cell r="AT174">
            <v>1</v>
          </cell>
          <cell r="AU174">
            <v>1</v>
          </cell>
          <cell r="AV174">
            <v>50</v>
          </cell>
          <cell r="AW174">
            <v>1</v>
          </cell>
          <cell r="AX174">
            <v>1</v>
          </cell>
          <cell r="AY174">
            <v>100</v>
          </cell>
          <cell r="AZ174">
            <v>5</v>
          </cell>
          <cell r="BA174">
            <v>1</v>
          </cell>
          <cell r="BB174">
            <v>83.3</v>
          </cell>
          <cell r="BC174">
            <v>83.29998779296875</v>
          </cell>
          <cell r="BD174">
            <v>83.29998779296875</v>
          </cell>
          <cell r="BE174" t="str">
            <v>-</v>
          </cell>
          <cell r="BF174">
            <v>3</v>
          </cell>
          <cell r="BG174">
            <v>1</v>
          </cell>
          <cell r="BH174">
            <v>75</v>
          </cell>
          <cell r="BI174">
            <v>1</v>
          </cell>
          <cell r="BJ174">
            <v>1</v>
          </cell>
          <cell r="BK174">
            <v>100</v>
          </cell>
          <cell r="BL174">
            <v>2</v>
          </cell>
          <cell r="BM174">
            <v>2</v>
          </cell>
          <cell r="BN174">
            <v>100</v>
          </cell>
          <cell r="BO174">
            <v>100</v>
          </cell>
          <cell r="BP174">
            <v>100</v>
          </cell>
          <cell r="BQ174" t="str">
            <v>-</v>
          </cell>
          <cell r="BR174">
            <v>100</v>
          </cell>
          <cell r="BS174">
            <v>100</v>
          </cell>
          <cell r="BT174" t="str">
            <v>-</v>
          </cell>
          <cell r="BU174">
            <v>100</v>
          </cell>
          <cell r="BV174">
            <v>100</v>
          </cell>
          <cell r="BW174" t="str">
            <v>-</v>
          </cell>
          <cell r="BX174">
            <v>405</v>
          </cell>
          <cell r="BY174">
            <v>62</v>
          </cell>
          <cell r="BZ174">
            <v>86.7</v>
          </cell>
          <cell r="CA174">
            <v>346</v>
          </cell>
          <cell r="CB174">
            <v>75</v>
          </cell>
          <cell r="CC174">
            <v>82.2</v>
          </cell>
          <cell r="CD174">
            <v>339</v>
          </cell>
          <cell r="CE174">
            <v>64</v>
          </cell>
          <cell r="CF174">
            <v>84.1</v>
          </cell>
          <cell r="CG174">
            <v>317</v>
          </cell>
          <cell r="CH174">
            <v>76</v>
          </cell>
          <cell r="CI174">
            <v>80.7</v>
          </cell>
          <cell r="CJ174">
            <v>349</v>
          </cell>
          <cell r="CK174">
            <v>46</v>
          </cell>
          <cell r="CL174">
            <v>88.4</v>
          </cell>
          <cell r="CM174">
            <v>301</v>
          </cell>
          <cell r="CN174">
            <v>63</v>
          </cell>
          <cell r="CO174">
            <v>82.7</v>
          </cell>
          <cell r="CP174">
            <v>324</v>
          </cell>
          <cell r="CQ174">
            <v>25</v>
          </cell>
          <cell r="CR174">
            <v>92.8</v>
          </cell>
          <cell r="CS174">
            <v>264</v>
          </cell>
          <cell r="CT174">
            <v>22</v>
          </cell>
          <cell r="CU174">
            <v>92.3</v>
          </cell>
          <cell r="CV174">
            <v>157</v>
          </cell>
          <cell r="CW174">
            <v>38</v>
          </cell>
          <cell r="CX174">
            <v>80.5</v>
          </cell>
          <cell r="CY174">
            <v>112</v>
          </cell>
          <cell r="CZ174">
            <v>43</v>
          </cell>
          <cell r="DA174">
            <v>72.3</v>
          </cell>
          <cell r="DB174">
            <v>131</v>
          </cell>
          <cell r="DC174">
            <v>40</v>
          </cell>
          <cell r="DD174">
            <v>76.599999999999994</v>
          </cell>
          <cell r="DE174">
            <v>142</v>
          </cell>
          <cell r="DF174">
            <v>44</v>
          </cell>
          <cell r="DG174">
            <v>76.3</v>
          </cell>
          <cell r="DH174">
            <v>133</v>
          </cell>
          <cell r="DI174">
            <v>35</v>
          </cell>
          <cell r="DJ174">
            <v>79.2</v>
          </cell>
          <cell r="DK174">
            <v>132</v>
          </cell>
          <cell r="DL174">
            <v>44</v>
          </cell>
          <cell r="DM174">
            <v>75</v>
          </cell>
          <cell r="DN174">
            <v>141</v>
          </cell>
          <cell r="DO174">
            <v>16</v>
          </cell>
          <cell r="DP174">
            <v>89.8</v>
          </cell>
          <cell r="DQ174">
            <v>96</v>
          </cell>
          <cell r="DR174">
            <v>7</v>
          </cell>
          <cell r="DS174">
            <v>93.2</v>
          </cell>
          <cell r="DT174">
            <v>1</v>
          </cell>
          <cell r="DU174">
            <v>1</v>
          </cell>
          <cell r="DV174">
            <v>100</v>
          </cell>
          <cell r="DW174">
            <v>100</v>
          </cell>
          <cell r="DX174">
            <v>100</v>
          </cell>
          <cell r="DY174" t="str">
            <v>-</v>
          </cell>
          <cell r="DZ174">
            <v>100</v>
          </cell>
          <cell r="EA174">
            <v>100</v>
          </cell>
          <cell r="EB174" t="str">
            <v>-</v>
          </cell>
          <cell r="EC174">
            <v>100</v>
          </cell>
          <cell r="ED174">
            <v>100</v>
          </cell>
          <cell r="EE174" t="str">
            <v>-</v>
          </cell>
          <cell r="EF174">
            <v>1</v>
          </cell>
          <cell r="EG174">
            <v>1</v>
          </cell>
          <cell r="EH174">
            <v>100</v>
          </cell>
          <cell r="EI174">
            <v>100</v>
          </cell>
          <cell r="EJ174">
            <v>100</v>
          </cell>
          <cell r="EK174" t="str">
            <v>-</v>
          </cell>
          <cell r="EL174">
            <v>100</v>
          </cell>
          <cell r="EM174">
            <v>100</v>
          </cell>
          <cell r="EN174" t="str">
            <v>-</v>
          </cell>
          <cell r="EO174">
            <v>1</v>
          </cell>
          <cell r="EP174">
            <v>1</v>
          </cell>
          <cell r="EQ174">
            <v>100</v>
          </cell>
          <cell r="ER174">
            <v>48</v>
          </cell>
          <cell r="ES174">
            <v>6</v>
          </cell>
          <cell r="ET174">
            <v>88.9</v>
          </cell>
          <cell r="EU174">
            <v>46</v>
          </cell>
          <cell r="EV174">
            <v>23</v>
          </cell>
          <cell r="EW174">
            <v>66.7</v>
          </cell>
          <cell r="EX174">
            <v>39</v>
          </cell>
          <cell r="EY174">
            <v>8</v>
          </cell>
          <cell r="EZ174">
            <v>83</v>
          </cell>
          <cell r="FA174">
            <v>24</v>
          </cell>
          <cell r="FB174">
            <v>15</v>
          </cell>
          <cell r="FC174">
            <v>61.5</v>
          </cell>
          <cell r="FD174">
            <v>37</v>
          </cell>
          <cell r="FE174">
            <v>16</v>
          </cell>
          <cell r="FF174">
            <v>69.8</v>
          </cell>
          <cell r="FG174">
            <v>38</v>
          </cell>
          <cell r="FH174">
            <v>14</v>
          </cell>
          <cell r="FI174">
            <v>73.099999999999994</v>
          </cell>
          <cell r="FJ174">
            <v>18</v>
          </cell>
          <cell r="FK174">
            <v>1</v>
          </cell>
          <cell r="FL174">
            <v>94.7</v>
          </cell>
          <cell r="FM174">
            <v>22</v>
          </cell>
          <cell r="FN174">
            <v>3</v>
          </cell>
          <cell r="FO174">
            <v>88</v>
          </cell>
          <cell r="FP174">
            <v>88</v>
          </cell>
          <cell r="FQ174">
            <v>88</v>
          </cell>
          <cell r="FR174" t="str">
            <v>-</v>
          </cell>
          <cell r="FS174">
            <v>88</v>
          </cell>
          <cell r="FT174">
            <v>88</v>
          </cell>
          <cell r="FU174" t="str">
            <v>-</v>
          </cell>
          <cell r="FV174">
            <v>88</v>
          </cell>
          <cell r="FW174">
            <v>88</v>
          </cell>
          <cell r="FX174" t="str">
            <v>-</v>
          </cell>
          <cell r="FY174">
            <v>88</v>
          </cell>
          <cell r="FZ174">
            <v>88</v>
          </cell>
          <cell r="GA174" t="str">
            <v>-</v>
          </cell>
          <cell r="GB174">
            <v>1</v>
          </cell>
          <cell r="GC174">
            <v>1</v>
          </cell>
          <cell r="GD174">
            <v>50</v>
          </cell>
          <cell r="GE174">
            <v>2</v>
          </cell>
          <cell r="GF174">
            <v>3</v>
          </cell>
          <cell r="GG174">
            <v>40</v>
          </cell>
          <cell r="GH174">
            <v>1</v>
          </cell>
          <cell r="GI174">
            <v>1</v>
          </cell>
          <cell r="GJ174">
            <v>100</v>
          </cell>
          <cell r="GK174">
            <v>1</v>
          </cell>
          <cell r="GL174">
            <v>1</v>
          </cell>
          <cell r="GM174">
            <v>50</v>
          </cell>
          <cell r="GN174">
            <v>374</v>
          </cell>
          <cell r="GO174">
            <v>46</v>
          </cell>
          <cell r="GP174">
            <v>89</v>
          </cell>
          <cell r="GQ174">
            <v>243</v>
          </cell>
          <cell r="GR174">
            <v>52</v>
          </cell>
          <cell r="GS174">
            <v>82.4</v>
          </cell>
          <cell r="GT174">
            <v>231</v>
          </cell>
          <cell r="GU174">
            <v>40</v>
          </cell>
          <cell r="GV174">
            <v>85.2</v>
          </cell>
          <cell r="GW174">
            <v>229</v>
          </cell>
          <cell r="GX174">
            <v>49</v>
          </cell>
          <cell r="GY174">
            <v>82.4</v>
          </cell>
          <cell r="GZ174">
            <v>281</v>
          </cell>
          <cell r="HA174">
            <v>44</v>
          </cell>
          <cell r="HB174">
            <v>86.5</v>
          </cell>
          <cell r="HC174">
            <v>191</v>
          </cell>
          <cell r="HD174">
            <v>29</v>
          </cell>
          <cell r="HE174">
            <v>86.8</v>
          </cell>
          <cell r="HF174">
            <v>176</v>
          </cell>
          <cell r="HG174">
            <v>12</v>
          </cell>
          <cell r="HH174">
            <v>93.6</v>
          </cell>
          <cell r="HI174">
            <v>198</v>
          </cell>
          <cell r="HJ174">
            <v>16</v>
          </cell>
          <cell r="HK174">
            <v>92.5</v>
          </cell>
          <cell r="HL174">
            <v>24</v>
          </cell>
          <cell r="HM174">
            <v>11</v>
          </cell>
          <cell r="HN174">
            <v>68.599999999999994</v>
          </cell>
          <cell r="HO174">
            <v>25</v>
          </cell>
          <cell r="HP174">
            <v>23</v>
          </cell>
          <cell r="HQ174">
            <v>52.1</v>
          </cell>
          <cell r="HR174">
            <v>26</v>
          </cell>
          <cell r="HS174">
            <v>18</v>
          </cell>
          <cell r="HT174">
            <v>59.1</v>
          </cell>
          <cell r="HU174">
            <v>21</v>
          </cell>
          <cell r="HV174">
            <v>17</v>
          </cell>
          <cell r="HW174">
            <v>55.3</v>
          </cell>
          <cell r="HX174">
            <v>11</v>
          </cell>
          <cell r="HY174">
            <v>12</v>
          </cell>
          <cell r="HZ174">
            <v>47.8</v>
          </cell>
          <cell r="IA174">
            <v>9</v>
          </cell>
          <cell r="IB174">
            <v>3</v>
          </cell>
          <cell r="IC174">
            <v>75</v>
          </cell>
          <cell r="ID174">
            <v>9</v>
          </cell>
          <cell r="IE174">
            <v>1</v>
          </cell>
          <cell r="IF174">
            <v>90</v>
          </cell>
          <cell r="IG174">
            <v>7</v>
          </cell>
          <cell r="IH174">
            <v>2</v>
          </cell>
          <cell r="II174">
            <v>77.8</v>
          </cell>
          <cell r="IJ174">
            <v>50</v>
          </cell>
          <cell r="IK174">
            <v>5</v>
          </cell>
          <cell r="IL174">
            <v>90.9</v>
          </cell>
          <cell r="IM174">
            <v>33</v>
          </cell>
          <cell r="IN174">
            <v>7</v>
          </cell>
          <cell r="IO174">
            <v>82.5</v>
          </cell>
          <cell r="IP174">
            <v>13</v>
          </cell>
          <cell r="IQ174">
            <v>1</v>
          </cell>
          <cell r="IR174">
            <v>92.9</v>
          </cell>
          <cell r="IS174">
            <v>24</v>
          </cell>
          <cell r="IT174">
            <v>5</v>
          </cell>
          <cell r="IU174">
            <v>82.8</v>
          </cell>
          <cell r="IV174">
            <v>5</v>
          </cell>
          <cell r="IW174">
            <v>3</v>
          </cell>
          <cell r="IX174">
            <v>62.5</v>
          </cell>
          <cell r="IY174">
            <v>7</v>
          </cell>
          <cell r="IZ174">
            <v>4</v>
          </cell>
          <cell r="JA174">
            <v>63.6</v>
          </cell>
          <cell r="JB174">
            <v>3</v>
          </cell>
          <cell r="JC174">
            <v>1</v>
          </cell>
          <cell r="JD174">
            <v>75</v>
          </cell>
          <cell r="JE174">
            <v>13</v>
          </cell>
          <cell r="JF174">
            <v>2</v>
          </cell>
          <cell r="JG174">
            <v>86.7</v>
          </cell>
          <cell r="JH174">
            <v>13</v>
          </cell>
          <cell r="JI174">
            <v>1</v>
          </cell>
          <cell r="JJ174">
            <v>92.857142857142861</v>
          </cell>
          <cell r="JK174">
            <v>8</v>
          </cell>
          <cell r="JL174">
            <v>1</v>
          </cell>
          <cell r="JM174">
            <v>88.888888888888886</v>
          </cell>
          <cell r="JN174">
            <v>3</v>
          </cell>
          <cell r="JO174">
            <v>0</v>
          </cell>
          <cell r="JP174">
            <v>100</v>
          </cell>
          <cell r="JQ174">
            <v>1555</v>
          </cell>
          <cell r="JR174">
            <v>232</v>
          </cell>
          <cell r="JS174">
            <v>87.017347509792955</v>
          </cell>
          <cell r="JT174">
            <v>644</v>
          </cell>
          <cell r="JU174">
            <v>146</v>
          </cell>
          <cell r="JV174">
            <v>81.51898734177216</v>
          </cell>
          <cell r="JW174">
            <v>2</v>
          </cell>
          <cell r="JX174">
            <v>0</v>
          </cell>
          <cell r="JY174">
            <v>100</v>
          </cell>
          <cell r="JZ174">
            <v>139</v>
          </cell>
          <cell r="KA174">
            <v>49</v>
          </cell>
          <cell r="KB174">
            <v>73.936170212765958</v>
          </cell>
          <cell r="KC174">
            <v>5</v>
          </cell>
          <cell r="KD174">
            <v>5</v>
          </cell>
          <cell r="KE174">
            <v>50</v>
          </cell>
          <cell r="KF174">
            <v>1075</v>
          </cell>
          <cell r="KG174">
            <v>150</v>
          </cell>
          <cell r="KH174">
            <v>87.755102040816325</v>
          </cell>
          <cell r="KI174">
            <v>57</v>
          </cell>
          <cell r="KJ174">
            <v>35</v>
          </cell>
          <cell r="KK174">
            <v>61.95652173913043</v>
          </cell>
          <cell r="KL174">
            <v>52</v>
          </cell>
          <cell r="KM174">
            <v>15</v>
          </cell>
          <cell r="KN174">
            <v>77.611940298507463</v>
          </cell>
        </row>
        <row r="175">
          <cell r="C175" t="str">
            <v>Vas MRFK Központ</v>
          </cell>
          <cell r="D175">
            <v>3</v>
          </cell>
          <cell r="E175">
            <v>3</v>
          </cell>
          <cell r="F175">
            <v>100</v>
          </cell>
          <cell r="G175">
            <v>6</v>
          </cell>
          <cell r="H175">
            <v>6</v>
          </cell>
          <cell r="I175">
            <v>100</v>
          </cell>
          <cell r="J175">
            <v>5</v>
          </cell>
          <cell r="K175">
            <v>5</v>
          </cell>
          <cell r="L175">
            <v>100</v>
          </cell>
          <cell r="M175">
            <v>6</v>
          </cell>
          <cell r="N175">
            <v>6</v>
          </cell>
          <cell r="O175">
            <v>100</v>
          </cell>
          <cell r="P175">
            <v>2</v>
          </cell>
          <cell r="Q175">
            <v>2</v>
          </cell>
          <cell r="R175">
            <v>100</v>
          </cell>
          <cell r="S175">
            <v>2</v>
          </cell>
          <cell r="T175">
            <v>2</v>
          </cell>
          <cell r="U175">
            <v>100</v>
          </cell>
          <cell r="V175">
            <v>6</v>
          </cell>
          <cell r="W175">
            <v>6</v>
          </cell>
          <cell r="X175">
            <v>100</v>
          </cell>
          <cell r="Y175">
            <v>2</v>
          </cell>
          <cell r="Z175">
            <v>2</v>
          </cell>
          <cell r="AA175">
            <v>100</v>
          </cell>
          <cell r="AB175">
            <v>3</v>
          </cell>
          <cell r="AC175">
            <v>3</v>
          </cell>
          <cell r="AD175">
            <v>100</v>
          </cell>
          <cell r="AE175">
            <v>4</v>
          </cell>
          <cell r="AF175">
            <v>4</v>
          </cell>
          <cell r="AG175">
            <v>100</v>
          </cell>
          <cell r="AH175">
            <v>1</v>
          </cell>
          <cell r="AI175">
            <v>1</v>
          </cell>
          <cell r="AJ175">
            <v>100</v>
          </cell>
          <cell r="AK175">
            <v>4</v>
          </cell>
          <cell r="AL175">
            <v>4</v>
          </cell>
          <cell r="AM175">
            <v>100</v>
          </cell>
          <cell r="AN175">
            <v>1</v>
          </cell>
          <cell r="AO175">
            <v>1</v>
          </cell>
          <cell r="AP175">
            <v>100</v>
          </cell>
          <cell r="AQ175">
            <v>2</v>
          </cell>
          <cell r="AR175">
            <v>2</v>
          </cell>
          <cell r="AS175">
            <v>100</v>
          </cell>
          <cell r="AT175">
            <v>2</v>
          </cell>
          <cell r="AU175">
            <v>2</v>
          </cell>
          <cell r="AV175">
            <v>100</v>
          </cell>
          <cell r="AW175">
            <v>1</v>
          </cell>
          <cell r="AX175">
            <v>1</v>
          </cell>
          <cell r="AY175">
            <v>100</v>
          </cell>
          <cell r="AZ175">
            <v>100</v>
          </cell>
          <cell r="BA175">
            <v>100</v>
          </cell>
          <cell r="BB175" t="str">
            <v>-</v>
          </cell>
          <cell r="BC175">
            <v>1</v>
          </cell>
          <cell r="BD175">
            <v>1</v>
          </cell>
          <cell r="BE175">
            <v>100</v>
          </cell>
          <cell r="BF175">
            <v>4</v>
          </cell>
          <cell r="BG175">
            <v>4</v>
          </cell>
          <cell r="BH175">
            <v>100</v>
          </cell>
          <cell r="BI175">
            <v>1</v>
          </cell>
          <cell r="BJ175">
            <v>1</v>
          </cell>
          <cell r="BK175">
            <v>100</v>
          </cell>
          <cell r="BL175">
            <v>1</v>
          </cell>
          <cell r="BM175">
            <v>1</v>
          </cell>
          <cell r="BN175">
            <v>100</v>
          </cell>
          <cell r="BO175">
            <v>100</v>
          </cell>
          <cell r="BP175">
            <v>100</v>
          </cell>
          <cell r="BQ175" t="str">
            <v>-</v>
          </cell>
          <cell r="BR175">
            <v>1</v>
          </cell>
          <cell r="BS175">
            <v>1</v>
          </cell>
          <cell r="BT175">
            <v>100</v>
          </cell>
          <cell r="BU175">
            <v>1</v>
          </cell>
          <cell r="BV175">
            <v>1</v>
          </cell>
          <cell r="BW175">
            <v>100</v>
          </cell>
          <cell r="BX175">
            <v>6</v>
          </cell>
          <cell r="BY175">
            <v>2</v>
          </cell>
          <cell r="BZ175">
            <v>75</v>
          </cell>
          <cell r="CA175">
            <v>8</v>
          </cell>
          <cell r="CB175">
            <v>8</v>
          </cell>
          <cell r="CC175">
            <v>100</v>
          </cell>
          <cell r="CD175">
            <v>9</v>
          </cell>
          <cell r="CE175">
            <v>1</v>
          </cell>
          <cell r="CF175">
            <v>90</v>
          </cell>
          <cell r="CG175">
            <v>9</v>
          </cell>
          <cell r="CH175">
            <v>9</v>
          </cell>
          <cell r="CI175">
            <v>100</v>
          </cell>
          <cell r="CJ175">
            <v>10</v>
          </cell>
          <cell r="CK175">
            <v>10</v>
          </cell>
          <cell r="CL175">
            <v>100</v>
          </cell>
          <cell r="CM175">
            <v>10</v>
          </cell>
          <cell r="CN175">
            <v>1</v>
          </cell>
          <cell r="CO175">
            <v>90.9</v>
          </cell>
          <cell r="CP175">
            <v>6</v>
          </cell>
          <cell r="CQ175">
            <v>6</v>
          </cell>
          <cell r="CR175">
            <v>100</v>
          </cell>
          <cell r="CS175">
            <v>1</v>
          </cell>
          <cell r="CT175">
            <v>2</v>
          </cell>
          <cell r="CU175">
            <v>33.299999999999997</v>
          </cell>
          <cell r="CV175">
            <v>5</v>
          </cell>
          <cell r="CW175">
            <v>1</v>
          </cell>
          <cell r="CX175">
            <v>83.3</v>
          </cell>
          <cell r="CY175">
            <v>7</v>
          </cell>
          <cell r="CZ175">
            <v>7</v>
          </cell>
          <cell r="DA175">
            <v>100</v>
          </cell>
          <cell r="DB175">
            <v>6</v>
          </cell>
          <cell r="DC175">
            <v>1</v>
          </cell>
          <cell r="DD175">
            <v>85.7</v>
          </cell>
          <cell r="DE175">
            <v>8</v>
          </cell>
          <cell r="DF175">
            <v>8</v>
          </cell>
          <cell r="DG175">
            <v>100</v>
          </cell>
          <cell r="DH175">
            <v>9</v>
          </cell>
          <cell r="DI175">
            <v>9</v>
          </cell>
          <cell r="DJ175">
            <v>100</v>
          </cell>
          <cell r="DK175">
            <v>8</v>
          </cell>
          <cell r="DL175">
            <v>1</v>
          </cell>
          <cell r="DM175">
            <v>88.9</v>
          </cell>
          <cell r="DN175">
            <v>6</v>
          </cell>
          <cell r="DO175">
            <v>6</v>
          </cell>
          <cell r="DP175">
            <v>100</v>
          </cell>
          <cell r="DQ175">
            <v>100</v>
          </cell>
          <cell r="DR175">
            <v>2</v>
          </cell>
          <cell r="DS175">
            <v>0</v>
          </cell>
          <cell r="DT175">
            <v>1</v>
          </cell>
          <cell r="DU175">
            <v>1</v>
          </cell>
          <cell r="DV175">
            <v>100</v>
          </cell>
          <cell r="DW175">
            <v>100</v>
          </cell>
          <cell r="DX175">
            <v>100</v>
          </cell>
          <cell r="DY175" t="str">
            <v>-</v>
          </cell>
          <cell r="DZ175">
            <v>1</v>
          </cell>
          <cell r="EA175">
            <v>1</v>
          </cell>
          <cell r="EB175">
            <v>100</v>
          </cell>
          <cell r="EC175">
            <v>100</v>
          </cell>
          <cell r="ED175">
            <v>100</v>
          </cell>
          <cell r="EE175" t="str">
            <v>-</v>
          </cell>
          <cell r="EF175">
            <v>1</v>
          </cell>
          <cell r="EG175">
            <v>1</v>
          </cell>
          <cell r="EH175">
            <v>100</v>
          </cell>
          <cell r="EI175">
            <v>1</v>
          </cell>
          <cell r="EJ175">
            <v>1</v>
          </cell>
          <cell r="EK175">
            <v>100</v>
          </cell>
          <cell r="EL175">
            <v>100</v>
          </cell>
          <cell r="EM175">
            <v>100</v>
          </cell>
          <cell r="EN175" t="str">
            <v>-</v>
          </cell>
          <cell r="EO175">
            <v>100</v>
          </cell>
          <cell r="EP175">
            <v>100</v>
          </cell>
          <cell r="EQ175" t="str">
            <v>-</v>
          </cell>
          <cell r="ER175">
            <v>100</v>
          </cell>
          <cell r="ES175">
            <v>100</v>
          </cell>
          <cell r="ET175" t="str">
            <v>-</v>
          </cell>
          <cell r="EU175">
            <v>100</v>
          </cell>
          <cell r="EV175">
            <v>100</v>
          </cell>
          <cell r="EW175" t="str">
            <v>-</v>
          </cell>
          <cell r="EX175">
            <v>100</v>
          </cell>
          <cell r="EY175">
            <v>100</v>
          </cell>
          <cell r="EZ175" t="str">
            <v>-</v>
          </cell>
          <cell r="FA175">
            <v>4</v>
          </cell>
          <cell r="FB175">
            <v>4</v>
          </cell>
          <cell r="FC175">
            <v>100</v>
          </cell>
          <cell r="FD175">
            <v>2</v>
          </cell>
          <cell r="FE175">
            <v>2</v>
          </cell>
          <cell r="FF175">
            <v>100</v>
          </cell>
          <cell r="FG175">
            <v>100</v>
          </cell>
          <cell r="FH175">
            <v>100</v>
          </cell>
          <cell r="FI175" t="str">
            <v>-</v>
          </cell>
          <cell r="FJ175">
            <v>4</v>
          </cell>
          <cell r="FK175">
            <v>4</v>
          </cell>
          <cell r="FL175">
            <v>100</v>
          </cell>
          <cell r="FM175">
            <v>3</v>
          </cell>
          <cell r="FN175">
            <v>3</v>
          </cell>
          <cell r="FO175">
            <v>100</v>
          </cell>
          <cell r="FP175">
            <v>100</v>
          </cell>
          <cell r="FQ175">
            <v>100</v>
          </cell>
          <cell r="FR175" t="str">
            <v>-</v>
          </cell>
          <cell r="FS175">
            <v>1</v>
          </cell>
          <cell r="FT175">
            <v>1</v>
          </cell>
          <cell r="FU175">
            <v>100</v>
          </cell>
          <cell r="FV175">
            <v>100</v>
          </cell>
          <cell r="FW175">
            <v>100</v>
          </cell>
          <cell r="FX175" t="str">
            <v>-</v>
          </cell>
          <cell r="FY175">
            <v>100</v>
          </cell>
          <cell r="FZ175">
            <v>100</v>
          </cell>
          <cell r="GA175" t="str">
            <v>-</v>
          </cell>
          <cell r="GB175">
            <v>3</v>
          </cell>
          <cell r="GC175">
            <v>3</v>
          </cell>
          <cell r="GD175">
            <v>100</v>
          </cell>
          <cell r="GE175">
            <v>100</v>
          </cell>
          <cell r="GF175">
            <v>100</v>
          </cell>
          <cell r="GG175" t="str">
            <v>-</v>
          </cell>
          <cell r="GH175">
            <v>100</v>
          </cell>
          <cell r="GI175">
            <v>100</v>
          </cell>
          <cell r="GJ175" t="str">
            <v>-</v>
          </cell>
          <cell r="GK175">
            <v>100</v>
          </cell>
          <cell r="GL175">
            <v>100</v>
          </cell>
          <cell r="GM175" t="str">
            <v>-</v>
          </cell>
          <cell r="GN175">
            <v>5</v>
          </cell>
          <cell r="GO175">
            <v>3</v>
          </cell>
          <cell r="GP175">
            <v>62.5</v>
          </cell>
          <cell r="GQ175">
            <v>3</v>
          </cell>
          <cell r="GR175">
            <v>14</v>
          </cell>
          <cell r="GS175">
            <v>17.600000000000001</v>
          </cell>
          <cell r="GT175">
            <v>9</v>
          </cell>
          <cell r="GU175">
            <v>3</v>
          </cell>
          <cell r="GV175">
            <v>75</v>
          </cell>
          <cell r="GW175">
            <v>6</v>
          </cell>
          <cell r="GX175">
            <v>1</v>
          </cell>
          <cell r="GY175">
            <v>85.7</v>
          </cell>
          <cell r="GZ175">
            <v>7</v>
          </cell>
          <cell r="HA175">
            <v>5</v>
          </cell>
          <cell r="HB175">
            <v>58.3</v>
          </cell>
          <cell r="HC175">
            <v>5</v>
          </cell>
          <cell r="HD175">
            <v>1</v>
          </cell>
          <cell r="HE175">
            <v>83.3</v>
          </cell>
          <cell r="HF175">
            <v>1</v>
          </cell>
          <cell r="HG175">
            <v>1</v>
          </cell>
          <cell r="HH175">
            <v>50</v>
          </cell>
          <cell r="HI175">
            <v>2</v>
          </cell>
          <cell r="HJ175">
            <v>2</v>
          </cell>
          <cell r="HK175">
            <v>50</v>
          </cell>
          <cell r="HL175">
            <v>50</v>
          </cell>
          <cell r="HM175">
            <v>1</v>
          </cell>
          <cell r="HN175">
            <v>0</v>
          </cell>
          <cell r="HO175">
            <v>0</v>
          </cell>
          <cell r="HP175">
            <v>0</v>
          </cell>
          <cell r="HQ175" t="str">
            <v>-</v>
          </cell>
          <cell r="HR175">
            <v>0</v>
          </cell>
          <cell r="HS175">
            <v>0</v>
          </cell>
          <cell r="HT175" t="str">
            <v>-</v>
          </cell>
          <cell r="HU175">
            <v>0</v>
          </cell>
          <cell r="HV175">
            <v>0</v>
          </cell>
          <cell r="HW175" t="str">
            <v>-</v>
          </cell>
          <cell r="HX175">
            <v>0</v>
          </cell>
          <cell r="HY175">
            <v>0</v>
          </cell>
          <cell r="HZ175" t="str">
            <v>-</v>
          </cell>
          <cell r="IA175">
            <v>0</v>
          </cell>
          <cell r="IB175">
            <v>0</v>
          </cell>
          <cell r="IC175" t="str">
            <v>-</v>
          </cell>
          <cell r="ID175">
            <v>1</v>
          </cell>
          <cell r="IE175">
            <v>1</v>
          </cell>
          <cell r="IF175">
            <v>100</v>
          </cell>
          <cell r="IG175">
            <v>100</v>
          </cell>
          <cell r="IH175">
            <v>100</v>
          </cell>
          <cell r="II175" t="str">
            <v>-</v>
          </cell>
          <cell r="IJ175">
            <v>2</v>
          </cell>
          <cell r="IK175">
            <v>2</v>
          </cell>
          <cell r="IL175">
            <v>100</v>
          </cell>
          <cell r="IM175">
            <v>6</v>
          </cell>
          <cell r="IN175">
            <v>6</v>
          </cell>
          <cell r="IO175">
            <v>100</v>
          </cell>
          <cell r="IP175">
            <v>7</v>
          </cell>
          <cell r="IQ175">
            <v>7</v>
          </cell>
          <cell r="IR175">
            <v>100</v>
          </cell>
          <cell r="IS175">
            <v>13</v>
          </cell>
          <cell r="IT175">
            <v>13</v>
          </cell>
          <cell r="IU175">
            <v>100</v>
          </cell>
          <cell r="IV175">
            <v>6</v>
          </cell>
          <cell r="IW175">
            <v>6</v>
          </cell>
          <cell r="IX175">
            <v>100</v>
          </cell>
          <cell r="IY175">
            <v>7</v>
          </cell>
          <cell r="IZ175">
            <v>7</v>
          </cell>
          <cell r="JA175">
            <v>100</v>
          </cell>
          <cell r="JB175">
            <v>1</v>
          </cell>
          <cell r="JC175">
            <v>1</v>
          </cell>
          <cell r="JD175">
            <v>100</v>
          </cell>
          <cell r="JE175">
            <v>2</v>
          </cell>
          <cell r="JF175">
            <v>2</v>
          </cell>
          <cell r="JG175">
            <v>100</v>
          </cell>
          <cell r="JH175">
            <v>18</v>
          </cell>
          <cell r="JI175">
            <v>0</v>
          </cell>
          <cell r="JJ175">
            <v>100</v>
          </cell>
          <cell r="JK175">
            <v>10</v>
          </cell>
          <cell r="JL175">
            <v>0</v>
          </cell>
          <cell r="JM175">
            <v>100</v>
          </cell>
          <cell r="JN175">
            <v>4</v>
          </cell>
          <cell r="JO175">
            <v>0</v>
          </cell>
          <cell r="JP175">
            <v>100</v>
          </cell>
          <cell r="JQ175">
            <v>36</v>
          </cell>
          <cell r="JR175">
            <v>3</v>
          </cell>
          <cell r="JS175">
            <v>92.307692307692307</v>
          </cell>
          <cell r="JT175">
            <v>31</v>
          </cell>
          <cell r="JU175">
            <v>3</v>
          </cell>
          <cell r="JV175">
            <v>91.17647058823529</v>
          </cell>
          <cell r="JW175">
            <v>2</v>
          </cell>
          <cell r="JX175">
            <v>0</v>
          </cell>
          <cell r="JY175">
            <v>100</v>
          </cell>
          <cell r="JZ175">
            <v>13</v>
          </cell>
          <cell r="KA175">
            <v>0</v>
          </cell>
          <cell r="KB175">
            <v>100</v>
          </cell>
          <cell r="KC175">
            <v>3</v>
          </cell>
          <cell r="KD175">
            <v>0</v>
          </cell>
          <cell r="KE175">
            <v>100</v>
          </cell>
          <cell r="KF175">
            <v>21</v>
          </cell>
          <cell r="KG175">
            <v>10</v>
          </cell>
          <cell r="KH175">
            <v>67.741935483870961</v>
          </cell>
          <cell r="KI175">
            <v>1</v>
          </cell>
          <cell r="KJ175">
            <v>0</v>
          </cell>
          <cell r="KK175">
            <v>100</v>
          </cell>
          <cell r="KL175">
            <v>29</v>
          </cell>
          <cell r="KM175">
            <v>0</v>
          </cell>
          <cell r="KN175">
            <v>100</v>
          </cell>
        </row>
        <row r="176">
          <cell r="C176" t="str">
            <v>Szombathelyi Rendőrkapitányság</v>
          </cell>
          <cell r="D176">
            <v>100</v>
          </cell>
          <cell r="E176">
            <v>100</v>
          </cell>
          <cell r="F176" t="str">
            <v>-</v>
          </cell>
          <cell r="G176">
            <v>100</v>
          </cell>
          <cell r="H176">
            <v>100</v>
          </cell>
          <cell r="I176" t="str">
            <v>-</v>
          </cell>
          <cell r="J176">
            <v>100</v>
          </cell>
          <cell r="K176">
            <v>100</v>
          </cell>
          <cell r="L176" t="str">
            <v>-</v>
          </cell>
          <cell r="M176">
            <v>100</v>
          </cell>
          <cell r="N176">
            <v>100</v>
          </cell>
          <cell r="O176" t="str">
            <v>-</v>
          </cell>
          <cell r="P176">
            <v>100</v>
          </cell>
          <cell r="Q176">
            <v>100</v>
          </cell>
          <cell r="R176" t="str">
            <v>-</v>
          </cell>
          <cell r="S176">
            <v>100</v>
          </cell>
          <cell r="T176">
            <v>100</v>
          </cell>
          <cell r="U176" t="str">
            <v>-</v>
          </cell>
          <cell r="V176">
            <v>100</v>
          </cell>
          <cell r="W176">
            <v>100</v>
          </cell>
          <cell r="X176" t="str">
            <v>-</v>
          </cell>
          <cell r="Y176">
            <v>100</v>
          </cell>
          <cell r="Z176">
            <v>100</v>
          </cell>
          <cell r="AA176" t="str">
            <v>-</v>
          </cell>
          <cell r="AB176">
            <v>100</v>
          </cell>
          <cell r="AC176">
            <v>100</v>
          </cell>
          <cell r="AD176" t="str">
            <v>-</v>
          </cell>
          <cell r="AE176">
            <v>100</v>
          </cell>
          <cell r="AF176">
            <v>100</v>
          </cell>
          <cell r="AG176" t="str">
            <v>-</v>
          </cell>
          <cell r="AH176">
            <v>100</v>
          </cell>
          <cell r="AI176">
            <v>100</v>
          </cell>
          <cell r="AJ176" t="str">
            <v>-</v>
          </cell>
          <cell r="AK176">
            <v>100</v>
          </cell>
          <cell r="AL176">
            <v>100</v>
          </cell>
          <cell r="AM176" t="str">
            <v>-</v>
          </cell>
          <cell r="AN176">
            <v>100</v>
          </cell>
          <cell r="AO176">
            <v>100</v>
          </cell>
          <cell r="AP176" t="str">
            <v>-</v>
          </cell>
          <cell r="AQ176">
            <v>100</v>
          </cell>
          <cell r="AR176">
            <v>100</v>
          </cell>
          <cell r="AS176" t="str">
            <v>-</v>
          </cell>
          <cell r="AT176">
            <v>100</v>
          </cell>
          <cell r="AU176">
            <v>100</v>
          </cell>
          <cell r="AV176" t="str">
            <v>-</v>
          </cell>
          <cell r="AW176">
            <v>100</v>
          </cell>
          <cell r="AX176">
            <v>100</v>
          </cell>
          <cell r="AY176" t="str">
            <v>-</v>
          </cell>
          <cell r="AZ176">
            <v>100</v>
          </cell>
          <cell r="BA176">
            <v>100</v>
          </cell>
          <cell r="BB176" t="str">
            <v>-</v>
          </cell>
          <cell r="BC176">
            <v>100</v>
          </cell>
          <cell r="BD176">
            <v>100</v>
          </cell>
          <cell r="BE176" t="str">
            <v>-</v>
          </cell>
          <cell r="BF176">
            <v>100</v>
          </cell>
          <cell r="BG176">
            <v>100</v>
          </cell>
          <cell r="BH176" t="str">
            <v>-</v>
          </cell>
          <cell r="BI176">
            <v>100</v>
          </cell>
          <cell r="BJ176">
            <v>100</v>
          </cell>
          <cell r="BK176" t="str">
            <v>-</v>
          </cell>
          <cell r="BL176">
            <v>100</v>
          </cell>
          <cell r="BM176">
            <v>100</v>
          </cell>
          <cell r="BN176" t="str">
            <v>-</v>
          </cell>
          <cell r="BO176">
            <v>100</v>
          </cell>
          <cell r="BP176">
            <v>100</v>
          </cell>
          <cell r="BQ176" t="str">
            <v>-</v>
          </cell>
          <cell r="BR176">
            <v>100</v>
          </cell>
          <cell r="BS176">
            <v>100</v>
          </cell>
          <cell r="BT176" t="str">
            <v>-</v>
          </cell>
          <cell r="BU176">
            <v>100</v>
          </cell>
          <cell r="BV176">
            <v>100</v>
          </cell>
          <cell r="BW176" t="str">
            <v>-</v>
          </cell>
          <cell r="BX176">
            <v>120</v>
          </cell>
          <cell r="BY176">
            <v>16</v>
          </cell>
          <cell r="BZ176">
            <v>88.2</v>
          </cell>
          <cell r="CA176">
            <v>141</v>
          </cell>
          <cell r="CB176">
            <v>20</v>
          </cell>
          <cell r="CC176">
            <v>87.6</v>
          </cell>
          <cell r="CD176">
            <v>125</v>
          </cell>
          <cell r="CE176">
            <v>16</v>
          </cell>
          <cell r="CF176">
            <v>88.7</v>
          </cell>
          <cell r="CG176">
            <v>110</v>
          </cell>
          <cell r="CH176">
            <v>20</v>
          </cell>
          <cell r="CI176">
            <v>84.6</v>
          </cell>
          <cell r="CJ176">
            <v>108</v>
          </cell>
          <cell r="CK176">
            <v>18</v>
          </cell>
          <cell r="CL176">
            <v>85.7</v>
          </cell>
          <cell r="CM176">
            <v>89</v>
          </cell>
          <cell r="CN176">
            <v>11</v>
          </cell>
          <cell r="CO176">
            <v>89</v>
          </cell>
          <cell r="CP176">
            <v>60</v>
          </cell>
          <cell r="CQ176">
            <v>13</v>
          </cell>
          <cell r="CR176">
            <v>82.2</v>
          </cell>
          <cell r="CS176">
            <v>53</v>
          </cell>
          <cell r="CT176">
            <v>16</v>
          </cell>
          <cell r="CU176">
            <v>76.8</v>
          </cell>
          <cell r="CV176">
            <v>46</v>
          </cell>
          <cell r="CW176">
            <v>14</v>
          </cell>
          <cell r="CX176">
            <v>76.7</v>
          </cell>
          <cell r="CY176">
            <v>40</v>
          </cell>
          <cell r="CZ176">
            <v>16</v>
          </cell>
          <cell r="DA176">
            <v>71.400000000000006</v>
          </cell>
          <cell r="DB176">
            <v>34</v>
          </cell>
          <cell r="DC176">
            <v>11</v>
          </cell>
          <cell r="DD176">
            <v>75.599999999999994</v>
          </cell>
          <cell r="DE176">
            <v>43</v>
          </cell>
          <cell r="DF176">
            <v>16</v>
          </cell>
          <cell r="DG176">
            <v>72.900000000000006</v>
          </cell>
          <cell r="DH176">
            <v>34</v>
          </cell>
          <cell r="DI176">
            <v>13</v>
          </cell>
          <cell r="DJ176">
            <v>72.3</v>
          </cell>
          <cell r="DK176">
            <v>34</v>
          </cell>
          <cell r="DL176">
            <v>11</v>
          </cell>
          <cell r="DM176">
            <v>75.599999999999994</v>
          </cell>
          <cell r="DN176">
            <v>24</v>
          </cell>
          <cell r="DO176">
            <v>10</v>
          </cell>
          <cell r="DP176">
            <v>70.599999999999994</v>
          </cell>
          <cell r="DQ176">
            <v>22</v>
          </cell>
          <cell r="DR176">
            <v>13</v>
          </cell>
          <cell r="DS176">
            <v>62.9</v>
          </cell>
          <cell r="DT176">
            <v>62.899993896484375</v>
          </cell>
          <cell r="DU176">
            <v>62.899993896484375</v>
          </cell>
          <cell r="DV176" t="str">
            <v>-</v>
          </cell>
          <cell r="DW176">
            <v>62.899993896484375</v>
          </cell>
          <cell r="DX176">
            <v>62.899993896484375</v>
          </cell>
          <cell r="DY176" t="str">
            <v>-</v>
          </cell>
          <cell r="DZ176">
            <v>62.899993896484375</v>
          </cell>
          <cell r="EA176">
            <v>62.899993896484375</v>
          </cell>
          <cell r="EB176" t="str">
            <v>-</v>
          </cell>
          <cell r="EC176">
            <v>62.899993896484375</v>
          </cell>
          <cell r="ED176">
            <v>62.899993896484375</v>
          </cell>
          <cell r="EE176" t="str">
            <v>-</v>
          </cell>
          <cell r="EF176">
            <v>62.899993896484375</v>
          </cell>
          <cell r="EG176">
            <v>62.899993896484375</v>
          </cell>
          <cell r="EH176" t="str">
            <v>-</v>
          </cell>
          <cell r="EI176">
            <v>62.899993896484375</v>
          </cell>
          <cell r="EJ176">
            <v>62.899993896484375</v>
          </cell>
          <cell r="EK176" t="str">
            <v>-</v>
          </cell>
          <cell r="EL176">
            <v>62.899993896484375</v>
          </cell>
          <cell r="EM176">
            <v>62.899993896484375</v>
          </cell>
          <cell r="EN176" t="str">
            <v>-</v>
          </cell>
          <cell r="EO176">
            <v>62.899993896484375</v>
          </cell>
          <cell r="EP176">
            <v>62.899993896484375</v>
          </cell>
          <cell r="EQ176" t="str">
            <v>-</v>
          </cell>
          <cell r="ER176">
            <v>14</v>
          </cell>
          <cell r="ES176">
            <v>8</v>
          </cell>
          <cell r="ET176">
            <v>63.6</v>
          </cell>
          <cell r="EU176">
            <v>26</v>
          </cell>
          <cell r="EV176">
            <v>3</v>
          </cell>
          <cell r="EW176">
            <v>89.7</v>
          </cell>
          <cell r="EX176">
            <v>6</v>
          </cell>
          <cell r="EY176">
            <v>13</v>
          </cell>
          <cell r="EZ176">
            <v>31.6</v>
          </cell>
          <cell r="FA176">
            <v>1</v>
          </cell>
          <cell r="FB176">
            <v>2</v>
          </cell>
          <cell r="FC176">
            <v>33.299999999999997</v>
          </cell>
          <cell r="FD176">
            <v>5</v>
          </cell>
          <cell r="FE176">
            <v>4</v>
          </cell>
          <cell r="FF176">
            <v>55.6</v>
          </cell>
          <cell r="FG176">
            <v>1</v>
          </cell>
          <cell r="FH176">
            <v>2</v>
          </cell>
          <cell r="FI176">
            <v>33.299999999999997</v>
          </cell>
          <cell r="FJ176">
            <v>5</v>
          </cell>
          <cell r="FK176">
            <v>6</v>
          </cell>
          <cell r="FL176">
            <v>45.5</v>
          </cell>
          <cell r="FM176">
            <v>22</v>
          </cell>
          <cell r="FN176">
            <v>7</v>
          </cell>
          <cell r="FO176">
            <v>75.900000000000006</v>
          </cell>
          <cell r="FP176">
            <v>75.89996337890625</v>
          </cell>
          <cell r="FQ176">
            <v>75.89996337890625</v>
          </cell>
          <cell r="FR176" t="str">
            <v>-</v>
          </cell>
          <cell r="FS176">
            <v>75.89996337890625</v>
          </cell>
          <cell r="FT176">
            <v>75.89996337890625</v>
          </cell>
          <cell r="FU176" t="str">
            <v>-</v>
          </cell>
          <cell r="FV176">
            <v>75.89996337890625</v>
          </cell>
          <cell r="FW176">
            <v>3</v>
          </cell>
          <cell r="FX176">
            <v>0</v>
          </cell>
          <cell r="FY176">
            <v>0</v>
          </cell>
          <cell r="FZ176">
            <v>0</v>
          </cell>
          <cell r="GA176" t="str">
            <v>-</v>
          </cell>
          <cell r="GB176">
            <v>0</v>
          </cell>
          <cell r="GC176">
            <v>0</v>
          </cell>
          <cell r="GD176" t="str">
            <v>-</v>
          </cell>
          <cell r="GE176">
            <v>0</v>
          </cell>
          <cell r="GF176">
            <v>0</v>
          </cell>
          <cell r="GG176" t="str">
            <v>-</v>
          </cell>
          <cell r="GH176">
            <v>2</v>
          </cell>
          <cell r="GI176">
            <v>2</v>
          </cell>
          <cell r="GJ176">
            <v>100</v>
          </cell>
          <cell r="GK176">
            <v>100</v>
          </cell>
          <cell r="GL176">
            <v>100</v>
          </cell>
          <cell r="GM176" t="str">
            <v>-</v>
          </cell>
          <cell r="GN176">
            <v>210</v>
          </cell>
          <cell r="GO176">
            <v>71</v>
          </cell>
          <cell r="GP176">
            <v>74.7</v>
          </cell>
          <cell r="GQ176">
            <v>183</v>
          </cell>
          <cell r="GR176">
            <v>55</v>
          </cell>
          <cell r="GS176">
            <v>76.900000000000006</v>
          </cell>
          <cell r="GT176">
            <v>212</v>
          </cell>
          <cell r="GU176">
            <v>79</v>
          </cell>
          <cell r="GV176">
            <v>72.900000000000006</v>
          </cell>
          <cell r="GW176">
            <v>191</v>
          </cell>
          <cell r="GX176">
            <v>62</v>
          </cell>
          <cell r="GY176">
            <v>75.5</v>
          </cell>
          <cell r="GZ176">
            <v>196</v>
          </cell>
          <cell r="HA176">
            <v>56</v>
          </cell>
          <cell r="HB176">
            <v>77.8</v>
          </cell>
          <cell r="HC176">
            <v>157</v>
          </cell>
          <cell r="HD176">
            <v>39</v>
          </cell>
          <cell r="HE176">
            <v>80.099999999999994</v>
          </cell>
          <cell r="HF176">
            <v>114</v>
          </cell>
          <cell r="HG176">
            <v>50</v>
          </cell>
          <cell r="HH176">
            <v>69.5</v>
          </cell>
          <cell r="HI176">
            <v>126</v>
          </cell>
          <cell r="HJ176">
            <v>45</v>
          </cell>
          <cell r="HK176">
            <v>73.7</v>
          </cell>
          <cell r="HL176">
            <v>4</v>
          </cell>
          <cell r="HM176">
            <v>4</v>
          </cell>
          <cell r="HN176">
            <v>50</v>
          </cell>
          <cell r="HO176">
            <v>4</v>
          </cell>
          <cell r="HP176">
            <v>5</v>
          </cell>
          <cell r="HQ176">
            <v>44.4</v>
          </cell>
          <cell r="HR176">
            <v>3</v>
          </cell>
          <cell r="HS176">
            <v>2</v>
          </cell>
          <cell r="HT176">
            <v>60</v>
          </cell>
          <cell r="HU176">
            <v>7</v>
          </cell>
          <cell r="HV176">
            <v>2</v>
          </cell>
          <cell r="HW176">
            <v>77.8</v>
          </cell>
          <cell r="HX176">
            <v>2</v>
          </cell>
          <cell r="HY176">
            <v>1</v>
          </cell>
          <cell r="HZ176">
            <v>66.7</v>
          </cell>
          <cell r="IA176">
            <v>66.699951171875</v>
          </cell>
          <cell r="IB176">
            <v>66.699951171875</v>
          </cell>
          <cell r="IC176" t="str">
            <v>-</v>
          </cell>
          <cell r="ID176">
            <v>3</v>
          </cell>
          <cell r="IE176">
            <v>3</v>
          </cell>
          <cell r="IF176">
            <v>50</v>
          </cell>
          <cell r="IG176">
            <v>1</v>
          </cell>
          <cell r="IH176">
            <v>1</v>
          </cell>
          <cell r="II176">
            <v>50</v>
          </cell>
          <cell r="IJ176">
            <v>11</v>
          </cell>
          <cell r="IK176">
            <v>1</v>
          </cell>
          <cell r="IL176">
            <v>91.7</v>
          </cell>
          <cell r="IM176">
            <v>18</v>
          </cell>
          <cell r="IN176">
            <v>1</v>
          </cell>
          <cell r="IO176">
            <v>94.7</v>
          </cell>
          <cell r="IP176">
            <v>12</v>
          </cell>
          <cell r="IQ176">
            <v>12</v>
          </cell>
          <cell r="IR176">
            <v>100</v>
          </cell>
          <cell r="IS176">
            <v>12</v>
          </cell>
          <cell r="IT176">
            <v>2</v>
          </cell>
          <cell r="IU176">
            <v>85.7</v>
          </cell>
          <cell r="IV176">
            <v>12</v>
          </cell>
          <cell r="IW176">
            <v>1</v>
          </cell>
          <cell r="IX176">
            <v>92.3</v>
          </cell>
          <cell r="IY176">
            <v>5</v>
          </cell>
          <cell r="IZ176">
            <v>2</v>
          </cell>
          <cell r="JA176">
            <v>71.400000000000006</v>
          </cell>
          <cell r="JB176">
            <v>2</v>
          </cell>
          <cell r="JC176">
            <v>2</v>
          </cell>
          <cell r="JD176">
            <v>50</v>
          </cell>
          <cell r="JE176">
            <v>8</v>
          </cell>
          <cell r="JF176">
            <v>5</v>
          </cell>
          <cell r="JG176">
            <v>61.5</v>
          </cell>
          <cell r="JH176">
            <v>0</v>
          </cell>
          <cell r="JI176">
            <v>0</v>
          </cell>
          <cell r="JJ176" t="str">
            <v>-</v>
          </cell>
          <cell r="JK176">
            <v>0</v>
          </cell>
          <cell r="JL176">
            <v>0</v>
          </cell>
          <cell r="JM176" t="str">
            <v>-</v>
          </cell>
          <cell r="JN176">
            <v>0</v>
          </cell>
          <cell r="JO176">
            <v>0</v>
          </cell>
          <cell r="JP176" t="str">
            <v>-</v>
          </cell>
          <cell r="JQ176">
            <v>420</v>
          </cell>
          <cell r="JR176">
            <v>78</v>
          </cell>
          <cell r="JS176">
            <v>84.337349397590373</v>
          </cell>
          <cell r="JT176">
            <v>157</v>
          </cell>
          <cell r="JU176">
            <v>63</v>
          </cell>
          <cell r="JV176">
            <v>71.36363636363636</v>
          </cell>
          <cell r="JW176">
            <v>0</v>
          </cell>
          <cell r="JX176">
            <v>0</v>
          </cell>
          <cell r="JY176" t="str">
            <v>-</v>
          </cell>
          <cell r="JZ176">
            <v>34</v>
          </cell>
          <cell r="KA176">
            <v>21</v>
          </cell>
          <cell r="KB176">
            <v>61.818181818181813</v>
          </cell>
          <cell r="KC176">
            <v>2</v>
          </cell>
          <cell r="KD176">
            <v>0</v>
          </cell>
          <cell r="KE176">
            <v>100</v>
          </cell>
          <cell r="KF176">
            <v>784</v>
          </cell>
          <cell r="KG176">
            <v>252</v>
          </cell>
          <cell r="KH176">
            <v>75.675675675675677</v>
          </cell>
          <cell r="KI176">
            <v>13</v>
          </cell>
          <cell r="KJ176">
            <v>7</v>
          </cell>
          <cell r="KK176">
            <v>65</v>
          </cell>
          <cell r="KL176">
            <v>39</v>
          </cell>
          <cell r="KM176">
            <v>12</v>
          </cell>
          <cell r="KN176">
            <v>76.470588235294116</v>
          </cell>
        </row>
        <row r="177">
          <cell r="C177" t="str">
            <v>Celldömölki Rendőrkapitányság</v>
          </cell>
          <cell r="D177">
            <v>76.4705810546875</v>
          </cell>
          <cell r="E177">
            <v>76.4705810546875</v>
          </cell>
          <cell r="F177" t="str">
            <v>-</v>
          </cell>
          <cell r="G177">
            <v>76.4705810546875</v>
          </cell>
          <cell r="H177">
            <v>76.4705810546875</v>
          </cell>
          <cell r="I177" t="str">
            <v>-</v>
          </cell>
          <cell r="J177">
            <v>76.4705810546875</v>
          </cell>
          <cell r="K177">
            <v>76.4705810546875</v>
          </cell>
          <cell r="L177" t="str">
            <v>-</v>
          </cell>
          <cell r="M177">
            <v>76.4705810546875</v>
          </cell>
          <cell r="N177">
            <v>76.4705810546875</v>
          </cell>
          <cell r="O177" t="str">
            <v>-</v>
          </cell>
          <cell r="P177">
            <v>76.4705810546875</v>
          </cell>
          <cell r="Q177">
            <v>76.4705810546875</v>
          </cell>
          <cell r="R177" t="str">
            <v>-</v>
          </cell>
          <cell r="S177">
            <v>76.4705810546875</v>
          </cell>
          <cell r="T177">
            <v>76.4705810546875</v>
          </cell>
          <cell r="U177" t="str">
            <v>-</v>
          </cell>
          <cell r="V177">
            <v>76.4705810546875</v>
          </cell>
          <cell r="W177">
            <v>76.4705810546875</v>
          </cell>
          <cell r="X177" t="str">
            <v>-</v>
          </cell>
          <cell r="Y177">
            <v>76.4705810546875</v>
          </cell>
          <cell r="Z177">
            <v>76.4705810546875</v>
          </cell>
          <cell r="AA177" t="str">
            <v>-</v>
          </cell>
          <cell r="AB177">
            <v>76.4705810546875</v>
          </cell>
          <cell r="AC177">
            <v>76.4705810546875</v>
          </cell>
          <cell r="AD177" t="str">
            <v>-</v>
          </cell>
          <cell r="AE177">
            <v>76.4705810546875</v>
          </cell>
          <cell r="AF177">
            <v>76.4705810546875</v>
          </cell>
          <cell r="AG177" t="str">
            <v>-</v>
          </cell>
          <cell r="AH177">
            <v>76.4705810546875</v>
          </cell>
          <cell r="AI177">
            <v>76.4705810546875</v>
          </cell>
          <cell r="AJ177" t="str">
            <v>-</v>
          </cell>
          <cell r="AK177">
            <v>76.4705810546875</v>
          </cell>
          <cell r="AL177">
            <v>76.4705810546875</v>
          </cell>
          <cell r="AM177" t="str">
            <v>-</v>
          </cell>
          <cell r="AN177">
            <v>76.4705810546875</v>
          </cell>
          <cell r="AO177">
            <v>76.4705810546875</v>
          </cell>
          <cell r="AP177" t="str">
            <v>-</v>
          </cell>
          <cell r="AQ177">
            <v>76.4705810546875</v>
          </cell>
          <cell r="AR177">
            <v>76.4705810546875</v>
          </cell>
          <cell r="AS177" t="str">
            <v>-</v>
          </cell>
          <cell r="AT177">
            <v>76.4705810546875</v>
          </cell>
          <cell r="AU177">
            <v>76.4705810546875</v>
          </cell>
          <cell r="AV177" t="str">
            <v>-</v>
          </cell>
          <cell r="AW177">
            <v>76.4705810546875</v>
          </cell>
          <cell r="AX177">
            <v>76.4705810546875</v>
          </cell>
          <cell r="AY177" t="str">
            <v>-</v>
          </cell>
          <cell r="AZ177">
            <v>76.4705810546875</v>
          </cell>
          <cell r="BA177">
            <v>76.4705810546875</v>
          </cell>
          <cell r="BB177" t="str">
            <v>-</v>
          </cell>
          <cell r="BC177">
            <v>76.4705810546875</v>
          </cell>
          <cell r="BD177">
            <v>76.4705810546875</v>
          </cell>
          <cell r="BE177" t="str">
            <v>-</v>
          </cell>
          <cell r="BF177">
            <v>76.4705810546875</v>
          </cell>
          <cell r="BG177">
            <v>76.4705810546875</v>
          </cell>
          <cell r="BH177" t="str">
            <v>-</v>
          </cell>
          <cell r="BI177">
            <v>76.4705810546875</v>
          </cell>
          <cell r="BJ177">
            <v>76.4705810546875</v>
          </cell>
          <cell r="BK177" t="str">
            <v>-</v>
          </cell>
          <cell r="BL177">
            <v>76.4705810546875</v>
          </cell>
          <cell r="BM177">
            <v>76.4705810546875</v>
          </cell>
          <cell r="BN177" t="str">
            <v>-</v>
          </cell>
          <cell r="BO177">
            <v>76.4705810546875</v>
          </cell>
          <cell r="BP177">
            <v>76.4705810546875</v>
          </cell>
          <cell r="BQ177" t="str">
            <v>-</v>
          </cell>
          <cell r="BR177">
            <v>76.4705810546875</v>
          </cell>
          <cell r="BS177">
            <v>76.4705810546875</v>
          </cell>
          <cell r="BT177" t="str">
            <v>-</v>
          </cell>
          <cell r="BU177">
            <v>76.4705810546875</v>
          </cell>
          <cell r="BV177">
            <v>76.4705810546875</v>
          </cell>
          <cell r="BW177" t="str">
            <v>-</v>
          </cell>
          <cell r="BX177">
            <v>6</v>
          </cell>
          <cell r="BY177">
            <v>1</v>
          </cell>
          <cell r="BZ177">
            <v>85.7</v>
          </cell>
          <cell r="CA177">
            <v>11</v>
          </cell>
          <cell r="CB177">
            <v>1</v>
          </cell>
          <cell r="CC177">
            <v>91.7</v>
          </cell>
          <cell r="CD177">
            <v>10</v>
          </cell>
          <cell r="CE177">
            <v>2</v>
          </cell>
          <cell r="CF177">
            <v>83.3</v>
          </cell>
          <cell r="CG177">
            <v>9</v>
          </cell>
          <cell r="CH177">
            <v>2</v>
          </cell>
          <cell r="CI177">
            <v>81.8</v>
          </cell>
          <cell r="CJ177">
            <v>11</v>
          </cell>
          <cell r="CK177">
            <v>2</v>
          </cell>
          <cell r="CL177">
            <v>84.6</v>
          </cell>
          <cell r="CM177">
            <v>16</v>
          </cell>
          <cell r="CN177">
            <v>3</v>
          </cell>
          <cell r="CO177">
            <v>84.2</v>
          </cell>
          <cell r="CP177">
            <v>9</v>
          </cell>
          <cell r="CQ177">
            <v>1</v>
          </cell>
          <cell r="CR177">
            <v>90</v>
          </cell>
          <cell r="CS177">
            <v>10</v>
          </cell>
          <cell r="CT177">
            <v>1</v>
          </cell>
          <cell r="CU177">
            <v>90.9</v>
          </cell>
          <cell r="CV177">
            <v>5</v>
          </cell>
          <cell r="CW177">
            <v>1</v>
          </cell>
          <cell r="CX177">
            <v>83.3</v>
          </cell>
          <cell r="CY177">
            <v>5</v>
          </cell>
          <cell r="CZ177">
            <v>1</v>
          </cell>
          <cell r="DA177">
            <v>83.3</v>
          </cell>
          <cell r="DB177">
            <v>2</v>
          </cell>
          <cell r="DC177">
            <v>2</v>
          </cell>
          <cell r="DD177">
            <v>50</v>
          </cell>
          <cell r="DE177">
            <v>5</v>
          </cell>
          <cell r="DF177">
            <v>2</v>
          </cell>
          <cell r="DG177">
            <v>71.400000000000006</v>
          </cell>
          <cell r="DH177">
            <v>4</v>
          </cell>
          <cell r="DI177">
            <v>2</v>
          </cell>
          <cell r="DJ177">
            <v>66.7</v>
          </cell>
          <cell r="DK177">
            <v>5</v>
          </cell>
          <cell r="DL177">
            <v>3</v>
          </cell>
          <cell r="DM177">
            <v>62.5</v>
          </cell>
          <cell r="DN177">
            <v>4</v>
          </cell>
          <cell r="DO177">
            <v>1</v>
          </cell>
          <cell r="DP177">
            <v>80</v>
          </cell>
          <cell r="DQ177">
            <v>1</v>
          </cell>
          <cell r="DR177">
            <v>1</v>
          </cell>
          <cell r="DS177">
            <v>100</v>
          </cell>
          <cell r="DT177">
            <v>100</v>
          </cell>
          <cell r="DU177">
            <v>100</v>
          </cell>
          <cell r="DV177" t="str">
            <v>-</v>
          </cell>
          <cell r="DW177">
            <v>100</v>
          </cell>
          <cell r="DX177">
            <v>100</v>
          </cell>
          <cell r="DY177" t="str">
            <v>-</v>
          </cell>
          <cell r="DZ177">
            <v>100</v>
          </cell>
          <cell r="EA177">
            <v>100</v>
          </cell>
          <cell r="EB177" t="str">
            <v>-</v>
          </cell>
          <cell r="EC177">
            <v>100</v>
          </cell>
          <cell r="ED177">
            <v>100</v>
          </cell>
          <cell r="EE177" t="str">
            <v>-</v>
          </cell>
          <cell r="EF177">
            <v>100</v>
          </cell>
          <cell r="EG177">
            <v>100</v>
          </cell>
          <cell r="EH177" t="str">
            <v>-</v>
          </cell>
          <cell r="EI177">
            <v>100</v>
          </cell>
          <cell r="EJ177">
            <v>100</v>
          </cell>
          <cell r="EK177" t="str">
            <v>-</v>
          </cell>
          <cell r="EL177">
            <v>100</v>
          </cell>
          <cell r="EM177">
            <v>100</v>
          </cell>
          <cell r="EN177" t="str">
            <v>-</v>
          </cell>
          <cell r="EO177">
            <v>100</v>
          </cell>
          <cell r="EP177">
            <v>100</v>
          </cell>
          <cell r="EQ177" t="str">
            <v>-</v>
          </cell>
          <cell r="ER177">
            <v>3</v>
          </cell>
          <cell r="ES177">
            <v>3</v>
          </cell>
          <cell r="ET177">
            <v>100</v>
          </cell>
          <cell r="EU177">
            <v>1</v>
          </cell>
          <cell r="EV177">
            <v>8</v>
          </cell>
          <cell r="EW177">
            <v>11.1</v>
          </cell>
          <cell r="EX177">
            <v>8</v>
          </cell>
          <cell r="EY177">
            <v>8</v>
          </cell>
          <cell r="EZ177">
            <v>100</v>
          </cell>
          <cell r="FA177">
            <v>1</v>
          </cell>
          <cell r="FB177">
            <v>1</v>
          </cell>
          <cell r="FC177">
            <v>50</v>
          </cell>
          <cell r="FD177">
            <v>5</v>
          </cell>
          <cell r="FE177">
            <v>5</v>
          </cell>
          <cell r="FF177">
            <v>50</v>
          </cell>
          <cell r="FG177">
            <v>50</v>
          </cell>
          <cell r="FH177">
            <v>50</v>
          </cell>
          <cell r="FI177" t="str">
            <v>-</v>
          </cell>
          <cell r="FJ177">
            <v>50</v>
          </cell>
          <cell r="FK177">
            <v>50</v>
          </cell>
          <cell r="FL177" t="str">
            <v>-</v>
          </cell>
          <cell r="FM177">
            <v>50</v>
          </cell>
          <cell r="FN177">
            <v>50</v>
          </cell>
          <cell r="FO177" t="str">
            <v>-</v>
          </cell>
          <cell r="FP177">
            <v>50</v>
          </cell>
          <cell r="FQ177">
            <v>50</v>
          </cell>
          <cell r="FR177" t="str">
            <v>-</v>
          </cell>
          <cell r="FS177">
            <v>50</v>
          </cell>
          <cell r="FT177">
            <v>50</v>
          </cell>
          <cell r="FU177" t="str">
            <v>-</v>
          </cell>
          <cell r="FV177">
            <v>50</v>
          </cell>
          <cell r="FW177">
            <v>50</v>
          </cell>
          <cell r="FX177" t="str">
            <v>-</v>
          </cell>
          <cell r="FY177">
            <v>50</v>
          </cell>
          <cell r="FZ177">
            <v>50</v>
          </cell>
          <cell r="GA177" t="str">
            <v>-</v>
          </cell>
          <cell r="GB177">
            <v>50</v>
          </cell>
          <cell r="GC177">
            <v>50</v>
          </cell>
          <cell r="GD177" t="str">
            <v>-</v>
          </cell>
          <cell r="GE177">
            <v>50</v>
          </cell>
          <cell r="GF177">
            <v>50</v>
          </cell>
          <cell r="GG177" t="str">
            <v>-</v>
          </cell>
          <cell r="GH177">
            <v>50</v>
          </cell>
          <cell r="GI177">
            <v>1</v>
          </cell>
          <cell r="GJ177">
            <v>0</v>
          </cell>
          <cell r="GK177">
            <v>1</v>
          </cell>
          <cell r="GL177">
            <v>1</v>
          </cell>
          <cell r="GM177">
            <v>100</v>
          </cell>
          <cell r="GN177">
            <v>13</v>
          </cell>
          <cell r="GO177">
            <v>1</v>
          </cell>
          <cell r="GP177">
            <v>92.9</v>
          </cell>
          <cell r="GQ177">
            <v>23</v>
          </cell>
          <cell r="GR177">
            <v>14</v>
          </cell>
          <cell r="GS177">
            <v>62.2</v>
          </cell>
          <cell r="GT177">
            <v>19</v>
          </cell>
          <cell r="GU177">
            <v>4</v>
          </cell>
          <cell r="GV177">
            <v>82.6</v>
          </cell>
          <cell r="GW177">
            <v>22</v>
          </cell>
          <cell r="GX177">
            <v>11</v>
          </cell>
          <cell r="GY177">
            <v>66.7</v>
          </cell>
          <cell r="GZ177">
            <v>31</v>
          </cell>
          <cell r="HA177">
            <v>4</v>
          </cell>
          <cell r="HB177">
            <v>88.6</v>
          </cell>
          <cell r="HC177">
            <v>34</v>
          </cell>
          <cell r="HD177">
            <v>7</v>
          </cell>
          <cell r="HE177">
            <v>82.9</v>
          </cell>
          <cell r="HF177">
            <v>21</v>
          </cell>
          <cell r="HG177">
            <v>7</v>
          </cell>
          <cell r="HH177">
            <v>75</v>
          </cell>
          <cell r="HI177">
            <v>20</v>
          </cell>
          <cell r="HJ177">
            <v>7</v>
          </cell>
          <cell r="HK177">
            <v>74.099999999999994</v>
          </cell>
          <cell r="HL177">
            <v>1</v>
          </cell>
          <cell r="HM177">
            <v>1</v>
          </cell>
          <cell r="HN177">
            <v>100</v>
          </cell>
          <cell r="HO177">
            <v>1</v>
          </cell>
          <cell r="HP177">
            <v>1</v>
          </cell>
          <cell r="HQ177">
            <v>100</v>
          </cell>
          <cell r="HR177">
            <v>100</v>
          </cell>
          <cell r="HS177">
            <v>100</v>
          </cell>
          <cell r="HT177" t="str">
            <v>-</v>
          </cell>
          <cell r="HU177">
            <v>100</v>
          </cell>
          <cell r="HV177">
            <v>100</v>
          </cell>
          <cell r="HW177" t="str">
            <v>-</v>
          </cell>
          <cell r="HX177">
            <v>100</v>
          </cell>
          <cell r="HY177">
            <v>100</v>
          </cell>
          <cell r="HZ177" t="str">
            <v>-</v>
          </cell>
          <cell r="IA177">
            <v>100</v>
          </cell>
          <cell r="IB177">
            <v>1</v>
          </cell>
          <cell r="IC177">
            <v>0</v>
          </cell>
          <cell r="ID177">
            <v>2</v>
          </cell>
          <cell r="IE177">
            <v>1</v>
          </cell>
          <cell r="IF177">
            <v>66.7</v>
          </cell>
          <cell r="IG177">
            <v>66.699951171875</v>
          </cell>
          <cell r="IH177">
            <v>66.699951171875</v>
          </cell>
          <cell r="II177" t="str">
            <v>-</v>
          </cell>
          <cell r="IJ177">
            <v>1</v>
          </cell>
          <cell r="IK177">
            <v>1</v>
          </cell>
          <cell r="IL177">
            <v>100</v>
          </cell>
          <cell r="IM177">
            <v>100</v>
          </cell>
          <cell r="IN177">
            <v>100</v>
          </cell>
          <cell r="IO177" t="str">
            <v>-</v>
          </cell>
          <cell r="IP177">
            <v>100</v>
          </cell>
          <cell r="IQ177">
            <v>100</v>
          </cell>
          <cell r="IR177" t="str">
            <v>-</v>
          </cell>
          <cell r="IS177">
            <v>100</v>
          </cell>
          <cell r="IT177">
            <v>100</v>
          </cell>
          <cell r="IU177" t="str">
            <v>-</v>
          </cell>
          <cell r="IV177">
            <v>1</v>
          </cell>
          <cell r="IW177">
            <v>1</v>
          </cell>
          <cell r="IX177">
            <v>100</v>
          </cell>
          <cell r="IY177">
            <v>100</v>
          </cell>
          <cell r="IZ177">
            <v>100</v>
          </cell>
          <cell r="JA177" t="str">
            <v>-</v>
          </cell>
          <cell r="JB177">
            <v>100</v>
          </cell>
          <cell r="JC177">
            <v>100</v>
          </cell>
          <cell r="JD177" t="str">
            <v>-</v>
          </cell>
          <cell r="JE177">
            <v>100</v>
          </cell>
          <cell r="JF177">
            <v>100</v>
          </cell>
          <cell r="JG177" t="str">
            <v>-</v>
          </cell>
          <cell r="JH177">
            <v>0</v>
          </cell>
          <cell r="JI177">
            <v>0</v>
          </cell>
          <cell r="JJ177" t="str">
            <v>-</v>
          </cell>
          <cell r="JK177">
            <v>0</v>
          </cell>
          <cell r="JL177">
            <v>0</v>
          </cell>
          <cell r="JM177" t="str">
            <v>-</v>
          </cell>
          <cell r="JN177">
            <v>0</v>
          </cell>
          <cell r="JO177">
            <v>0</v>
          </cell>
          <cell r="JP177" t="str">
            <v>-</v>
          </cell>
          <cell r="JQ177">
            <v>55</v>
          </cell>
          <cell r="JR177">
            <v>9</v>
          </cell>
          <cell r="JS177">
            <v>85.9375</v>
          </cell>
          <cell r="JT177">
            <v>19</v>
          </cell>
          <cell r="JU177">
            <v>8</v>
          </cell>
          <cell r="JV177">
            <v>70.370370370370367</v>
          </cell>
          <cell r="JW177">
            <v>0</v>
          </cell>
          <cell r="JX177">
            <v>0</v>
          </cell>
          <cell r="JY177" t="str">
            <v>-</v>
          </cell>
          <cell r="JZ177">
            <v>6</v>
          </cell>
          <cell r="KA177">
            <v>6</v>
          </cell>
          <cell r="KB177">
            <v>50</v>
          </cell>
          <cell r="KC177">
            <v>1</v>
          </cell>
          <cell r="KD177">
            <v>1</v>
          </cell>
          <cell r="KE177">
            <v>50</v>
          </cell>
          <cell r="KF177">
            <v>128</v>
          </cell>
          <cell r="KG177">
            <v>36</v>
          </cell>
          <cell r="KH177">
            <v>78.048780487804876</v>
          </cell>
          <cell r="KI177">
            <v>2</v>
          </cell>
          <cell r="KJ177">
            <v>2</v>
          </cell>
          <cell r="KK177">
            <v>50</v>
          </cell>
          <cell r="KL177">
            <v>1</v>
          </cell>
          <cell r="KM177">
            <v>0</v>
          </cell>
          <cell r="KN177">
            <v>100</v>
          </cell>
        </row>
        <row r="178">
          <cell r="C178" t="str">
            <v>Körmendi Rendőrkapitányság</v>
          </cell>
          <cell r="D178">
            <v>100</v>
          </cell>
          <cell r="E178">
            <v>100</v>
          </cell>
          <cell r="F178" t="str">
            <v>-</v>
          </cell>
          <cell r="G178">
            <v>100</v>
          </cell>
          <cell r="H178">
            <v>100</v>
          </cell>
          <cell r="I178" t="str">
            <v>-</v>
          </cell>
          <cell r="J178">
            <v>100</v>
          </cell>
          <cell r="K178">
            <v>100</v>
          </cell>
          <cell r="L178" t="str">
            <v>-</v>
          </cell>
          <cell r="M178">
            <v>100</v>
          </cell>
          <cell r="N178">
            <v>100</v>
          </cell>
          <cell r="O178" t="str">
            <v>-</v>
          </cell>
          <cell r="P178">
            <v>100</v>
          </cell>
          <cell r="Q178">
            <v>100</v>
          </cell>
          <cell r="R178" t="str">
            <v>-</v>
          </cell>
          <cell r="S178">
            <v>100</v>
          </cell>
          <cell r="T178">
            <v>100</v>
          </cell>
          <cell r="U178" t="str">
            <v>-</v>
          </cell>
          <cell r="V178">
            <v>100</v>
          </cell>
          <cell r="W178">
            <v>100</v>
          </cell>
          <cell r="X178" t="str">
            <v>-</v>
          </cell>
          <cell r="Y178">
            <v>100</v>
          </cell>
          <cell r="Z178">
            <v>100</v>
          </cell>
          <cell r="AA178" t="str">
            <v>-</v>
          </cell>
          <cell r="AB178">
            <v>100</v>
          </cell>
          <cell r="AC178">
            <v>100</v>
          </cell>
          <cell r="AD178" t="str">
            <v>-</v>
          </cell>
          <cell r="AE178">
            <v>100</v>
          </cell>
          <cell r="AF178">
            <v>100</v>
          </cell>
          <cell r="AG178" t="str">
            <v>-</v>
          </cell>
          <cell r="AH178">
            <v>100</v>
          </cell>
          <cell r="AI178">
            <v>100</v>
          </cell>
          <cell r="AJ178" t="str">
            <v>-</v>
          </cell>
          <cell r="AK178">
            <v>100</v>
          </cell>
          <cell r="AL178">
            <v>100</v>
          </cell>
          <cell r="AM178" t="str">
            <v>-</v>
          </cell>
          <cell r="AN178">
            <v>100</v>
          </cell>
          <cell r="AO178">
            <v>100</v>
          </cell>
          <cell r="AP178" t="str">
            <v>-</v>
          </cell>
          <cell r="AQ178">
            <v>100</v>
          </cell>
          <cell r="AR178">
            <v>100</v>
          </cell>
          <cell r="AS178" t="str">
            <v>-</v>
          </cell>
          <cell r="AT178">
            <v>100</v>
          </cell>
          <cell r="AU178">
            <v>100</v>
          </cell>
          <cell r="AV178" t="str">
            <v>-</v>
          </cell>
          <cell r="AW178">
            <v>100</v>
          </cell>
          <cell r="AX178">
            <v>100</v>
          </cell>
          <cell r="AY178" t="str">
            <v>-</v>
          </cell>
          <cell r="AZ178">
            <v>100</v>
          </cell>
          <cell r="BA178">
            <v>100</v>
          </cell>
          <cell r="BB178" t="str">
            <v>-</v>
          </cell>
          <cell r="BC178">
            <v>100</v>
          </cell>
          <cell r="BD178">
            <v>100</v>
          </cell>
          <cell r="BE178" t="str">
            <v>-</v>
          </cell>
          <cell r="BF178">
            <v>100</v>
          </cell>
          <cell r="BG178">
            <v>100</v>
          </cell>
          <cell r="BH178" t="str">
            <v>-</v>
          </cell>
          <cell r="BI178">
            <v>100</v>
          </cell>
          <cell r="BJ178">
            <v>100</v>
          </cell>
          <cell r="BK178" t="str">
            <v>-</v>
          </cell>
          <cell r="BL178">
            <v>100</v>
          </cell>
          <cell r="BM178">
            <v>100</v>
          </cell>
          <cell r="BN178" t="str">
            <v>-</v>
          </cell>
          <cell r="BO178">
            <v>100</v>
          </cell>
          <cell r="BP178">
            <v>100</v>
          </cell>
          <cell r="BQ178" t="str">
            <v>-</v>
          </cell>
          <cell r="BR178">
            <v>100</v>
          </cell>
          <cell r="BS178">
            <v>100</v>
          </cell>
          <cell r="BT178" t="str">
            <v>-</v>
          </cell>
          <cell r="BU178">
            <v>100</v>
          </cell>
          <cell r="BV178">
            <v>100</v>
          </cell>
          <cell r="BW178" t="str">
            <v>-</v>
          </cell>
          <cell r="BX178">
            <v>41</v>
          </cell>
          <cell r="BY178">
            <v>3</v>
          </cell>
          <cell r="BZ178">
            <v>93.2</v>
          </cell>
          <cell r="CA178">
            <v>26</v>
          </cell>
          <cell r="CB178">
            <v>3</v>
          </cell>
          <cell r="CC178">
            <v>89.7</v>
          </cell>
          <cell r="CD178">
            <v>32</v>
          </cell>
          <cell r="CE178">
            <v>2</v>
          </cell>
          <cell r="CF178">
            <v>94.1</v>
          </cell>
          <cell r="CG178">
            <v>23</v>
          </cell>
          <cell r="CH178">
            <v>3</v>
          </cell>
          <cell r="CI178">
            <v>88.5</v>
          </cell>
          <cell r="CJ178">
            <v>22</v>
          </cell>
          <cell r="CK178">
            <v>3</v>
          </cell>
          <cell r="CL178">
            <v>88</v>
          </cell>
          <cell r="CM178">
            <v>18</v>
          </cell>
          <cell r="CN178">
            <v>1</v>
          </cell>
          <cell r="CO178">
            <v>94.7</v>
          </cell>
          <cell r="CP178">
            <v>18</v>
          </cell>
          <cell r="CQ178">
            <v>3</v>
          </cell>
          <cell r="CR178">
            <v>85.7</v>
          </cell>
          <cell r="CS178">
            <v>14</v>
          </cell>
          <cell r="CT178">
            <v>2</v>
          </cell>
          <cell r="CU178">
            <v>87.5</v>
          </cell>
          <cell r="CV178">
            <v>10</v>
          </cell>
          <cell r="CW178">
            <v>10</v>
          </cell>
          <cell r="CX178">
            <v>100</v>
          </cell>
          <cell r="CY178">
            <v>9</v>
          </cell>
          <cell r="CZ178">
            <v>3</v>
          </cell>
          <cell r="DA178">
            <v>75</v>
          </cell>
          <cell r="DB178">
            <v>10</v>
          </cell>
          <cell r="DC178">
            <v>1</v>
          </cell>
          <cell r="DD178">
            <v>90.9</v>
          </cell>
          <cell r="DE178">
            <v>11</v>
          </cell>
          <cell r="DF178">
            <v>3</v>
          </cell>
          <cell r="DG178">
            <v>78.599999999999994</v>
          </cell>
          <cell r="DH178">
            <v>9</v>
          </cell>
          <cell r="DI178">
            <v>3</v>
          </cell>
          <cell r="DJ178">
            <v>75</v>
          </cell>
          <cell r="DK178">
            <v>8</v>
          </cell>
          <cell r="DL178">
            <v>8</v>
          </cell>
          <cell r="DM178">
            <v>100</v>
          </cell>
          <cell r="DN178">
            <v>7</v>
          </cell>
          <cell r="DO178">
            <v>3</v>
          </cell>
          <cell r="DP178">
            <v>70</v>
          </cell>
          <cell r="DQ178">
            <v>7</v>
          </cell>
          <cell r="DR178">
            <v>2</v>
          </cell>
          <cell r="DS178">
            <v>77.8</v>
          </cell>
          <cell r="DT178">
            <v>1</v>
          </cell>
          <cell r="DU178">
            <v>1</v>
          </cell>
          <cell r="DV178">
            <v>100</v>
          </cell>
          <cell r="DW178">
            <v>100</v>
          </cell>
          <cell r="DX178">
            <v>100</v>
          </cell>
          <cell r="DY178" t="str">
            <v>-</v>
          </cell>
          <cell r="DZ178">
            <v>100</v>
          </cell>
          <cell r="EA178">
            <v>100</v>
          </cell>
          <cell r="EB178" t="str">
            <v>-</v>
          </cell>
          <cell r="EC178">
            <v>100</v>
          </cell>
          <cell r="ED178">
            <v>100</v>
          </cell>
          <cell r="EE178" t="str">
            <v>-</v>
          </cell>
          <cell r="EF178">
            <v>100</v>
          </cell>
          <cell r="EG178">
            <v>100</v>
          </cell>
          <cell r="EH178" t="str">
            <v>-</v>
          </cell>
          <cell r="EI178">
            <v>100</v>
          </cell>
          <cell r="EJ178">
            <v>100</v>
          </cell>
          <cell r="EK178" t="str">
            <v>-</v>
          </cell>
          <cell r="EL178">
            <v>100</v>
          </cell>
          <cell r="EM178">
            <v>100</v>
          </cell>
          <cell r="EN178" t="str">
            <v>-</v>
          </cell>
          <cell r="EO178">
            <v>100</v>
          </cell>
          <cell r="EP178">
            <v>100</v>
          </cell>
          <cell r="EQ178" t="str">
            <v>-</v>
          </cell>
          <cell r="ER178">
            <v>9</v>
          </cell>
          <cell r="ES178">
            <v>1</v>
          </cell>
          <cell r="ET178">
            <v>90</v>
          </cell>
          <cell r="EU178">
            <v>9</v>
          </cell>
          <cell r="EV178">
            <v>2</v>
          </cell>
          <cell r="EW178">
            <v>81.8</v>
          </cell>
          <cell r="EX178">
            <v>15</v>
          </cell>
          <cell r="EY178">
            <v>3</v>
          </cell>
          <cell r="EZ178">
            <v>83.3</v>
          </cell>
          <cell r="FA178">
            <v>12</v>
          </cell>
          <cell r="FB178">
            <v>1</v>
          </cell>
          <cell r="FC178">
            <v>92.3</v>
          </cell>
          <cell r="FD178">
            <v>92.29998779296875</v>
          </cell>
          <cell r="FE178">
            <v>92.29998779296875</v>
          </cell>
          <cell r="FF178" t="str">
            <v>-</v>
          </cell>
          <cell r="FG178">
            <v>3</v>
          </cell>
          <cell r="FH178">
            <v>1</v>
          </cell>
          <cell r="FI178">
            <v>75</v>
          </cell>
          <cell r="FJ178">
            <v>7</v>
          </cell>
          <cell r="FK178">
            <v>7</v>
          </cell>
          <cell r="FL178">
            <v>100</v>
          </cell>
          <cell r="FM178">
            <v>10</v>
          </cell>
          <cell r="FN178">
            <v>2</v>
          </cell>
          <cell r="FO178">
            <v>83.3</v>
          </cell>
          <cell r="FP178">
            <v>1</v>
          </cell>
          <cell r="FQ178">
            <v>1</v>
          </cell>
          <cell r="FR178">
            <v>100</v>
          </cell>
          <cell r="FS178">
            <v>2</v>
          </cell>
          <cell r="FT178">
            <v>2</v>
          </cell>
          <cell r="FU178">
            <v>100</v>
          </cell>
          <cell r="FV178">
            <v>2</v>
          </cell>
          <cell r="FW178">
            <v>2</v>
          </cell>
          <cell r="FX178">
            <v>100</v>
          </cell>
          <cell r="FY178">
            <v>13</v>
          </cell>
          <cell r="FZ178">
            <v>13</v>
          </cell>
          <cell r="GA178">
            <v>100</v>
          </cell>
          <cell r="GB178">
            <v>6</v>
          </cell>
          <cell r="GC178">
            <v>6</v>
          </cell>
          <cell r="GD178">
            <v>100</v>
          </cell>
          <cell r="GE178">
            <v>5</v>
          </cell>
          <cell r="GF178">
            <v>5</v>
          </cell>
          <cell r="GG178">
            <v>100</v>
          </cell>
          <cell r="GH178">
            <v>1</v>
          </cell>
          <cell r="GI178">
            <v>1</v>
          </cell>
          <cell r="GJ178">
            <v>100</v>
          </cell>
          <cell r="GK178">
            <v>100</v>
          </cell>
          <cell r="GL178">
            <v>100</v>
          </cell>
          <cell r="GM178" t="str">
            <v>-</v>
          </cell>
          <cell r="GN178">
            <v>72</v>
          </cell>
          <cell r="GO178">
            <v>7</v>
          </cell>
          <cell r="GP178">
            <v>91.1</v>
          </cell>
          <cell r="GQ178">
            <v>55</v>
          </cell>
          <cell r="GR178">
            <v>6</v>
          </cell>
          <cell r="GS178">
            <v>90.2</v>
          </cell>
          <cell r="GT178">
            <v>44</v>
          </cell>
          <cell r="GU178">
            <v>8</v>
          </cell>
          <cell r="GV178">
            <v>84.6</v>
          </cell>
          <cell r="GW178">
            <v>29</v>
          </cell>
          <cell r="GX178">
            <v>12</v>
          </cell>
          <cell r="GY178">
            <v>70.7</v>
          </cell>
          <cell r="GZ178">
            <v>41</v>
          </cell>
          <cell r="HA178">
            <v>9</v>
          </cell>
          <cell r="HB178">
            <v>82</v>
          </cell>
          <cell r="HC178">
            <v>45</v>
          </cell>
          <cell r="HD178">
            <v>9</v>
          </cell>
          <cell r="HE178">
            <v>83.3</v>
          </cell>
          <cell r="HF178">
            <v>30</v>
          </cell>
          <cell r="HG178">
            <v>5</v>
          </cell>
          <cell r="HH178">
            <v>85.7</v>
          </cell>
          <cell r="HI178">
            <v>26</v>
          </cell>
          <cell r="HJ178">
            <v>5</v>
          </cell>
          <cell r="HK178">
            <v>83.9</v>
          </cell>
          <cell r="HL178">
            <v>1</v>
          </cell>
          <cell r="HM178">
            <v>2</v>
          </cell>
          <cell r="HN178">
            <v>33.299999999999997</v>
          </cell>
          <cell r="HO178">
            <v>33.29998779296875</v>
          </cell>
          <cell r="HP178">
            <v>33.29998779296875</v>
          </cell>
          <cell r="HQ178" t="str">
            <v>-</v>
          </cell>
          <cell r="HR178">
            <v>1</v>
          </cell>
          <cell r="HS178">
            <v>1</v>
          </cell>
          <cell r="HT178">
            <v>100</v>
          </cell>
          <cell r="HU178">
            <v>1</v>
          </cell>
          <cell r="HV178">
            <v>1</v>
          </cell>
          <cell r="HW178">
            <v>100</v>
          </cell>
          <cell r="HX178">
            <v>100</v>
          </cell>
          <cell r="HY178">
            <v>100</v>
          </cell>
          <cell r="HZ178" t="str">
            <v>-</v>
          </cell>
          <cell r="IA178">
            <v>100</v>
          </cell>
          <cell r="IB178">
            <v>100</v>
          </cell>
          <cell r="IC178" t="str">
            <v>-</v>
          </cell>
          <cell r="ID178">
            <v>1</v>
          </cell>
          <cell r="IE178">
            <v>1</v>
          </cell>
          <cell r="IF178">
            <v>100</v>
          </cell>
          <cell r="IG178">
            <v>1</v>
          </cell>
          <cell r="IH178">
            <v>1</v>
          </cell>
          <cell r="II178">
            <v>100</v>
          </cell>
          <cell r="IJ178">
            <v>12</v>
          </cell>
          <cell r="IK178">
            <v>3</v>
          </cell>
          <cell r="IL178">
            <v>80</v>
          </cell>
          <cell r="IM178">
            <v>10</v>
          </cell>
          <cell r="IN178">
            <v>3</v>
          </cell>
          <cell r="IO178">
            <v>76.900000000000006</v>
          </cell>
          <cell r="IP178">
            <v>3</v>
          </cell>
          <cell r="IQ178">
            <v>3</v>
          </cell>
          <cell r="IR178">
            <v>100</v>
          </cell>
          <cell r="IS178">
            <v>5</v>
          </cell>
          <cell r="IT178">
            <v>5</v>
          </cell>
          <cell r="IU178">
            <v>100</v>
          </cell>
          <cell r="IV178">
            <v>3</v>
          </cell>
          <cell r="IW178">
            <v>1</v>
          </cell>
          <cell r="IX178">
            <v>75</v>
          </cell>
          <cell r="IY178">
            <v>5</v>
          </cell>
          <cell r="IZ178">
            <v>5</v>
          </cell>
          <cell r="JA178">
            <v>100</v>
          </cell>
          <cell r="JB178">
            <v>10</v>
          </cell>
          <cell r="JC178">
            <v>2</v>
          </cell>
          <cell r="JD178">
            <v>83.3</v>
          </cell>
          <cell r="JE178">
            <v>2</v>
          </cell>
          <cell r="JF178">
            <v>2</v>
          </cell>
          <cell r="JG178">
            <v>100</v>
          </cell>
          <cell r="JH178">
            <v>0</v>
          </cell>
          <cell r="JI178">
            <v>0</v>
          </cell>
          <cell r="JJ178" t="str">
            <v>-</v>
          </cell>
          <cell r="JK178">
            <v>0</v>
          </cell>
          <cell r="JL178">
            <v>0</v>
          </cell>
          <cell r="JM178" t="str">
            <v>-</v>
          </cell>
          <cell r="JN178">
            <v>0</v>
          </cell>
          <cell r="JO178">
            <v>0</v>
          </cell>
          <cell r="JP178" t="str">
            <v>-</v>
          </cell>
          <cell r="JQ178">
            <v>95</v>
          </cell>
          <cell r="JR178">
            <v>12</v>
          </cell>
          <cell r="JS178">
            <v>88.785046728971963</v>
          </cell>
          <cell r="JT178">
            <v>42</v>
          </cell>
          <cell r="JU178">
            <v>11</v>
          </cell>
          <cell r="JV178">
            <v>79.245283018867923</v>
          </cell>
          <cell r="JW178">
            <v>0</v>
          </cell>
          <cell r="JX178">
            <v>0</v>
          </cell>
          <cell r="JY178" t="str">
            <v>-</v>
          </cell>
          <cell r="JZ178">
            <v>32</v>
          </cell>
          <cell r="KA178">
            <v>4</v>
          </cell>
          <cell r="KB178">
            <v>88.888888888888886</v>
          </cell>
          <cell r="KC178">
            <v>25</v>
          </cell>
          <cell r="KD178">
            <v>0</v>
          </cell>
          <cell r="KE178">
            <v>100</v>
          </cell>
          <cell r="KF178">
            <v>171</v>
          </cell>
          <cell r="KG178">
            <v>40</v>
          </cell>
          <cell r="KH178">
            <v>81.042654028436019</v>
          </cell>
          <cell r="KI178">
            <v>3</v>
          </cell>
          <cell r="KJ178">
            <v>0</v>
          </cell>
          <cell r="KK178">
            <v>100</v>
          </cell>
          <cell r="KL178">
            <v>25</v>
          </cell>
          <cell r="KM178">
            <v>3</v>
          </cell>
          <cell r="KN178">
            <v>89.285714285714292</v>
          </cell>
        </row>
        <row r="179">
          <cell r="C179" t="str">
            <v>Sárvári Rendőrkapitányság</v>
          </cell>
          <cell r="D179">
            <v>89.28570556640625</v>
          </cell>
          <cell r="E179">
            <v>89.28570556640625</v>
          </cell>
          <cell r="F179" t="str">
            <v>-</v>
          </cell>
          <cell r="G179">
            <v>89.28570556640625</v>
          </cell>
          <cell r="H179">
            <v>89.28570556640625</v>
          </cell>
          <cell r="I179" t="str">
            <v>-</v>
          </cell>
          <cell r="J179">
            <v>89.28570556640625</v>
          </cell>
          <cell r="K179">
            <v>89.28570556640625</v>
          </cell>
          <cell r="L179" t="str">
            <v>-</v>
          </cell>
          <cell r="M179">
            <v>89.28570556640625</v>
          </cell>
          <cell r="N179">
            <v>89.28570556640625</v>
          </cell>
          <cell r="O179" t="str">
            <v>-</v>
          </cell>
          <cell r="P179">
            <v>89.28570556640625</v>
          </cell>
          <cell r="Q179">
            <v>89.28570556640625</v>
          </cell>
          <cell r="R179" t="str">
            <v>-</v>
          </cell>
          <cell r="S179">
            <v>89.28570556640625</v>
          </cell>
          <cell r="T179">
            <v>89.28570556640625</v>
          </cell>
          <cell r="U179" t="str">
            <v>-</v>
          </cell>
          <cell r="V179">
            <v>89.28570556640625</v>
          </cell>
          <cell r="W179">
            <v>89.28570556640625</v>
          </cell>
          <cell r="X179" t="str">
            <v>-</v>
          </cell>
          <cell r="Y179">
            <v>89.28570556640625</v>
          </cell>
          <cell r="Z179">
            <v>89.28570556640625</v>
          </cell>
          <cell r="AA179" t="str">
            <v>-</v>
          </cell>
          <cell r="AB179">
            <v>89.28570556640625</v>
          </cell>
          <cell r="AC179">
            <v>89.28570556640625</v>
          </cell>
          <cell r="AD179" t="str">
            <v>-</v>
          </cell>
          <cell r="AE179">
            <v>89.28570556640625</v>
          </cell>
          <cell r="AF179">
            <v>89.28570556640625</v>
          </cell>
          <cell r="AG179" t="str">
            <v>-</v>
          </cell>
          <cell r="AH179">
            <v>89.28570556640625</v>
          </cell>
          <cell r="AI179">
            <v>89.28570556640625</v>
          </cell>
          <cell r="AJ179" t="str">
            <v>-</v>
          </cell>
          <cell r="AK179">
            <v>89.28570556640625</v>
          </cell>
          <cell r="AL179">
            <v>89.28570556640625</v>
          </cell>
          <cell r="AM179" t="str">
            <v>-</v>
          </cell>
          <cell r="AN179">
            <v>89.28570556640625</v>
          </cell>
          <cell r="AO179">
            <v>89.28570556640625</v>
          </cell>
          <cell r="AP179" t="str">
            <v>-</v>
          </cell>
          <cell r="AQ179">
            <v>89.28570556640625</v>
          </cell>
          <cell r="AR179">
            <v>89.28570556640625</v>
          </cell>
          <cell r="AS179" t="str">
            <v>-</v>
          </cell>
          <cell r="AT179">
            <v>89.28570556640625</v>
          </cell>
          <cell r="AU179">
            <v>89.28570556640625</v>
          </cell>
          <cell r="AV179" t="str">
            <v>-</v>
          </cell>
          <cell r="AW179">
            <v>89.28570556640625</v>
          </cell>
          <cell r="AX179">
            <v>89.28570556640625</v>
          </cell>
          <cell r="AY179" t="str">
            <v>-</v>
          </cell>
          <cell r="AZ179">
            <v>89.28570556640625</v>
          </cell>
          <cell r="BA179">
            <v>89.28570556640625</v>
          </cell>
          <cell r="BB179" t="str">
            <v>-</v>
          </cell>
          <cell r="BC179">
            <v>89.28570556640625</v>
          </cell>
          <cell r="BD179">
            <v>89.28570556640625</v>
          </cell>
          <cell r="BE179" t="str">
            <v>-</v>
          </cell>
          <cell r="BF179">
            <v>89.28570556640625</v>
          </cell>
          <cell r="BG179">
            <v>89.28570556640625</v>
          </cell>
          <cell r="BH179" t="str">
            <v>-</v>
          </cell>
          <cell r="BI179">
            <v>89.28570556640625</v>
          </cell>
          <cell r="BJ179">
            <v>89.28570556640625</v>
          </cell>
          <cell r="BK179" t="str">
            <v>-</v>
          </cell>
          <cell r="BL179">
            <v>89.28570556640625</v>
          </cell>
          <cell r="BM179">
            <v>89.28570556640625</v>
          </cell>
          <cell r="BN179" t="str">
            <v>-</v>
          </cell>
          <cell r="BO179">
            <v>89.28570556640625</v>
          </cell>
          <cell r="BP179">
            <v>89.28570556640625</v>
          </cell>
          <cell r="BQ179" t="str">
            <v>-</v>
          </cell>
          <cell r="BR179">
            <v>89.28570556640625</v>
          </cell>
          <cell r="BS179">
            <v>89.28570556640625</v>
          </cell>
          <cell r="BT179" t="str">
            <v>-</v>
          </cell>
          <cell r="BU179">
            <v>89.28570556640625</v>
          </cell>
          <cell r="BV179">
            <v>89.28570556640625</v>
          </cell>
          <cell r="BW179" t="str">
            <v>-</v>
          </cell>
          <cell r="BX179">
            <v>27</v>
          </cell>
          <cell r="BY179">
            <v>4</v>
          </cell>
          <cell r="BZ179">
            <v>87.1</v>
          </cell>
          <cell r="CA179">
            <v>27</v>
          </cell>
          <cell r="CB179">
            <v>5</v>
          </cell>
          <cell r="CC179">
            <v>84.4</v>
          </cell>
          <cell r="CD179">
            <v>14</v>
          </cell>
          <cell r="CE179">
            <v>4</v>
          </cell>
          <cell r="CF179">
            <v>77.8</v>
          </cell>
          <cell r="CG179">
            <v>17</v>
          </cell>
          <cell r="CH179">
            <v>4</v>
          </cell>
          <cell r="CI179">
            <v>81</v>
          </cell>
          <cell r="CJ179">
            <v>18</v>
          </cell>
          <cell r="CK179">
            <v>2</v>
          </cell>
          <cell r="CL179">
            <v>90</v>
          </cell>
          <cell r="CM179">
            <v>22</v>
          </cell>
          <cell r="CN179">
            <v>1</v>
          </cell>
          <cell r="CO179">
            <v>95.7</v>
          </cell>
          <cell r="CP179">
            <v>26</v>
          </cell>
          <cell r="CQ179">
            <v>2</v>
          </cell>
          <cell r="CR179">
            <v>92.9</v>
          </cell>
          <cell r="CS179">
            <v>20</v>
          </cell>
          <cell r="CT179">
            <v>2</v>
          </cell>
          <cell r="CU179">
            <v>90.9</v>
          </cell>
          <cell r="CV179">
            <v>17</v>
          </cell>
          <cell r="CW179">
            <v>4</v>
          </cell>
          <cell r="CX179">
            <v>81</v>
          </cell>
          <cell r="CY179">
            <v>14</v>
          </cell>
          <cell r="CZ179">
            <v>3</v>
          </cell>
          <cell r="DA179">
            <v>82.4</v>
          </cell>
          <cell r="DB179">
            <v>7</v>
          </cell>
          <cell r="DC179">
            <v>4</v>
          </cell>
          <cell r="DD179">
            <v>63.6</v>
          </cell>
          <cell r="DE179">
            <v>5</v>
          </cell>
          <cell r="DF179">
            <v>4</v>
          </cell>
          <cell r="DG179">
            <v>55.6</v>
          </cell>
          <cell r="DH179">
            <v>10</v>
          </cell>
          <cell r="DI179">
            <v>1</v>
          </cell>
          <cell r="DJ179">
            <v>90.9</v>
          </cell>
          <cell r="DK179">
            <v>11</v>
          </cell>
          <cell r="DL179">
            <v>1</v>
          </cell>
          <cell r="DM179">
            <v>91.7</v>
          </cell>
          <cell r="DN179">
            <v>10</v>
          </cell>
          <cell r="DO179">
            <v>2</v>
          </cell>
          <cell r="DP179">
            <v>83.3</v>
          </cell>
          <cell r="DQ179">
            <v>13</v>
          </cell>
          <cell r="DR179">
            <v>2</v>
          </cell>
          <cell r="DS179">
            <v>86.7</v>
          </cell>
          <cell r="DT179">
            <v>86.699951171875</v>
          </cell>
          <cell r="DU179">
            <v>86.699951171875</v>
          </cell>
          <cell r="DV179" t="str">
            <v>-</v>
          </cell>
          <cell r="DW179">
            <v>86.699951171875</v>
          </cell>
          <cell r="DX179">
            <v>86.699951171875</v>
          </cell>
          <cell r="DY179" t="str">
            <v>-</v>
          </cell>
          <cell r="DZ179">
            <v>86.699951171875</v>
          </cell>
          <cell r="EA179">
            <v>86.699951171875</v>
          </cell>
          <cell r="EB179" t="str">
            <v>-</v>
          </cell>
          <cell r="EC179">
            <v>86.699951171875</v>
          </cell>
          <cell r="ED179">
            <v>86.699951171875</v>
          </cell>
          <cell r="EE179" t="str">
            <v>-</v>
          </cell>
          <cell r="EF179">
            <v>86.699951171875</v>
          </cell>
          <cell r="EG179">
            <v>86.699951171875</v>
          </cell>
          <cell r="EH179" t="str">
            <v>-</v>
          </cell>
          <cell r="EI179">
            <v>86.699951171875</v>
          </cell>
          <cell r="EJ179">
            <v>86.699951171875</v>
          </cell>
          <cell r="EK179" t="str">
            <v>-</v>
          </cell>
          <cell r="EL179">
            <v>86.699951171875</v>
          </cell>
          <cell r="EM179">
            <v>86.699951171875</v>
          </cell>
          <cell r="EN179" t="str">
            <v>-</v>
          </cell>
          <cell r="EO179">
            <v>86.699951171875</v>
          </cell>
          <cell r="EP179">
            <v>86.699951171875</v>
          </cell>
          <cell r="EQ179" t="str">
            <v>-</v>
          </cell>
          <cell r="ER179">
            <v>8</v>
          </cell>
          <cell r="ES179">
            <v>1</v>
          </cell>
          <cell r="ET179">
            <v>88.9</v>
          </cell>
          <cell r="EU179">
            <v>13</v>
          </cell>
          <cell r="EV179">
            <v>13</v>
          </cell>
          <cell r="EW179">
            <v>100</v>
          </cell>
          <cell r="EX179">
            <v>2</v>
          </cell>
          <cell r="EY179">
            <v>2</v>
          </cell>
          <cell r="EZ179">
            <v>100</v>
          </cell>
          <cell r="FA179">
            <v>2</v>
          </cell>
          <cell r="FB179">
            <v>1</v>
          </cell>
          <cell r="FC179">
            <v>66.7</v>
          </cell>
          <cell r="FD179">
            <v>66.699951171875</v>
          </cell>
          <cell r="FE179">
            <v>1</v>
          </cell>
          <cell r="FF179">
            <v>0</v>
          </cell>
          <cell r="FG179">
            <v>2</v>
          </cell>
          <cell r="FH179">
            <v>1</v>
          </cell>
          <cell r="FI179">
            <v>66.7</v>
          </cell>
          <cell r="FJ179">
            <v>3</v>
          </cell>
          <cell r="FK179">
            <v>2</v>
          </cell>
          <cell r="FL179">
            <v>60</v>
          </cell>
          <cell r="FM179">
            <v>2</v>
          </cell>
          <cell r="FN179">
            <v>1</v>
          </cell>
          <cell r="FO179">
            <v>66.7</v>
          </cell>
          <cell r="FP179">
            <v>66.699951171875</v>
          </cell>
          <cell r="FQ179">
            <v>66.699951171875</v>
          </cell>
          <cell r="FR179" t="str">
            <v>-</v>
          </cell>
          <cell r="FS179">
            <v>1</v>
          </cell>
          <cell r="FT179">
            <v>1</v>
          </cell>
          <cell r="FU179">
            <v>100</v>
          </cell>
          <cell r="FV179">
            <v>100</v>
          </cell>
          <cell r="FW179">
            <v>100</v>
          </cell>
          <cell r="FX179" t="str">
            <v>-</v>
          </cell>
          <cell r="FY179">
            <v>100</v>
          </cell>
          <cell r="FZ179">
            <v>100</v>
          </cell>
          <cell r="GA179" t="str">
            <v>-</v>
          </cell>
          <cell r="GB179">
            <v>100</v>
          </cell>
          <cell r="GC179">
            <v>100</v>
          </cell>
          <cell r="GD179" t="str">
            <v>-</v>
          </cell>
          <cell r="GE179">
            <v>100</v>
          </cell>
          <cell r="GF179">
            <v>100</v>
          </cell>
          <cell r="GG179" t="str">
            <v>-</v>
          </cell>
          <cell r="GH179">
            <v>1</v>
          </cell>
          <cell r="GI179">
            <v>1</v>
          </cell>
          <cell r="GJ179">
            <v>100</v>
          </cell>
          <cell r="GK179">
            <v>100</v>
          </cell>
          <cell r="GL179">
            <v>100</v>
          </cell>
          <cell r="GM179" t="str">
            <v>-</v>
          </cell>
          <cell r="GN179">
            <v>38</v>
          </cell>
          <cell r="GO179">
            <v>14</v>
          </cell>
          <cell r="GP179">
            <v>73.099999999999994</v>
          </cell>
          <cell r="GQ179">
            <v>50</v>
          </cell>
          <cell r="GR179">
            <v>11</v>
          </cell>
          <cell r="GS179">
            <v>82</v>
          </cell>
          <cell r="GT179">
            <v>37</v>
          </cell>
          <cell r="GU179">
            <v>12</v>
          </cell>
          <cell r="GV179">
            <v>75.5</v>
          </cell>
          <cell r="GW179">
            <v>35</v>
          </cell>
          <cell r="GX179">
            <v>8</v>
          </cell>
          <cell r="GY179">
            <v>81.400000000000006</v>
          </cell>
          <cell r="GZ179">
            <v>36</v>
          </cell>
          <cell r="HA179">
            <v>20</v>
          </cell>
          <cell r="HB179">
            <v>64.3</v>
          </cell>
          <cell r="HC179">
            <v>41</v>
          </cell>
          <cell r="HD179">
            <v>5</v>
          </cell>
          <cell r="HE179">
            <v>89.1</v>
          </cell>
          <cell r="HF179">
            <v>42</v>
          </cell>
          <cell r="HG179">
            <v>11</v>
          </cell>
          <cell r="HH179">
            <v>79.2</v>
          </cell>
          <cell r="HI179">
            <v>28</v>
          </cell>
          <cell r="HJ179">
            <v>9</v>
          </cell>
          <cell r="HK179">
            <v>75.7</v>
          </cell>
          <cell r="HL179">
            <v>3</v>
          </cell>
          <cell r="HM179">
            <v>2</v>
          </cell>
          <cell r="HN179">
            <v>60</v>
          </cell>
          <cell r="HO179">
            <v>1</v>
          </cell>
          <cell r="HP179">
            <v>1</v>
          </cell>
          <cell r="HQ179">
            <v>100</v>
          </cell>
          <cell r="HR179">
            <v>1</v>
          </cell>
          <cell r="HS179">
            <v>2</v>
          </cell>
          <cell r="HT179">
            <v>33.299999999999997</v>
          </cell>
          <cell r="HU179">
            <v>33.29998779296875</v>
          </cell>
          <cell r="HV179">
            <v>33.29998779296875</v>
          </cell>
          <cell r="HW179" t="str">
            <v>-</v>
          </cell>
          <cell r="HX179">
            <v>2</v>
          </cell>
          <cell r="HY179">
            <v>2</v>
          </cell>
          <cell r="HZ179">
            <v>100</v>
          </cell>
          <cell r="IA179">
            <v>1</v>
          </cell>
          <cell r="IB179">
            <v>1</v>
          </cell>
          <cell r="IC179">
            <v>100</v>
          </cell>
          <cell r="ID179">
            <v>4</v>
          </cell>
          <cell r="IE179">
            <v>4</v>
          </cell>
          <cell r="IF179">
            <v>100</v>
          </cell>
          <cell r="IG179">
            <v>1</v>
          </cell>
          <cell r="IH179">
            <v>1</v>
          </cell>
          <cell r="II179">
            <v>50</v>
          </cell>
          <cell r="IJ179">
            <v>50</v>
          </cell>
          <cell r="IK179">
            <v>50</v>
          </cell>
          <cell r="IL179" t="str">
            <v>-</v>
          </cell>
          <cell r="IM179">
            <v>3</v>
          </cell>
          <cell r="IN179">
            <v>3</v>
          </cell>
          <cell r="IO179">
            <v>50</v>
          </cell>
          <cell r="IP179">
            <v>50</v>
          </cell>
          <cell r="IQ179">
            <v>3</v>
          </cell>
          <cell r="IR179">
            <v>0</v>
          </cell>
          <cell r="IS179">
            <v>0</v>
          </cell>
          <cell r="IT179">
            <v>1</v>
          </cell>
          <cell r="IU179">
            <v>0</v>
          </cell>
          <cell r="IV179">
            <v>0</v>
          </cell>
          <cell r="IW179">
            <v>0</v>
          </cell>
          <cell r="IX179" t="str">
            <v>-</v>
          </cell>
          <cell r="IY179">
            <v>0</v>
          </cell>
          <cell r="IZ179">
            <v>0</v>
          </cell>
          <cell r="JA179" t="str">
            <v>-</v>
          </cell>
          <cell r="JB179">
            <v>2</v>
          </cell>
          <cell r="JC179">
            <v>2</v>
          </cell>
          <cell r="JD179">
            <v>100</v>
          </cell>
          <cell r="JE179">
            <v>3</v>
          </cell>
          <cell r="JF179">
            <v>3</v>
          </cell>
          <cell r="JG179">
            <v>100</v>
          </cell>
          <cell r="JH179">
            <v>0</v>
          </cell>
          <cell r="JI179">
            <v>0</v>
          </cell>
          <cell r="JJ179" t="str">
            <v>-</v>
          </cell>
          <cell r="JK179">
            <v>0</v>
          </cell>
          <cell r="JL179">
            <v>0</v>
          </cell>
          <cell r="JM179" t="str">
            <v>-</v>
          </cell>
          <cell r="JN179">
            <v>0</v>
          </cell>
          <cell r="JO179">
            <v>0</v>
          </cell>
          <cell r="JP179" t="str">
            <v>-</v>
          </cell>
          <cell r="JQ179">
            <v>103</v>
          </cell>
          <cell r="JR179">
            <v>11</v>
          </cell>
          <cell r="JS179">
            <v>90.350877192982466</v>
          </cell>
          <cell r="JT179">
            <v>49</v>
          </cell>
          <cell r="JU179">
            <v>10</v>
          </cell>
          <cell r="JV179">
            <v>83.050847457627114</v>
          </cell>
          <cell r="JW179">
            <v>0</v>
          </cell>
          <cell r="JX179">
            <v>0</v>
          </cell>
          <cell r="JY179" t="str">
            <v>-</v>
          </cell>
          <cell r="JZ179">
            <v>9</v>
          </cell>
          <cell r="KA179">
            <v>6</v>
          </cell>
          <cell r="KB179">
            <v>60</v>
          </cell>
          <cell r="KC179">
            <v>1</v>
          </cell>
          <cell r="KD179">
            <v>0</v>
          </cell>
          <cell r="KE179">
            <v>100</v>
          </cell>
          <cell r="KF179">
            <v>182</v>
          </cell>
          <cell r="KG179">
            <v>53</v>
          </cell>
          <cell r="KH179">
            <v>77.446808510638306</v>
          </cell>
          <cell r="KI179">
            <v>8</v>
          </cell>
          <cell r="KJ179">
            <v>1</v>
          </cell>
          <cell r="KK179">
            <v>88.888888888888886</v>
          </cell>
          <cell r="KL179">
            <v>5</v>
          </cell>
          <cell r="KM179">
            <v>1</v>
          </cell>
          <cell r="KN179">
            <v>83.333333333333343</v>
          </cell>
        </row>
        <row r="180">
          <cell r="C180" t="str">
            <v>Kőszegi Rendőrkapitányság</v>
          </cell>
          <cell r="D180">
            <v>83.33331298828125</v>
          </cell>
          <cell r="E180">
            <v>83.33331298828125</v>
          </cell>
          <cell r="F180" t="str">
            <v>-</v>
          </cell>
          <cell r="G180">
            <v>83.33331298828125</v>
          </cell>
          <cell r="H180">
            <v>83.33331298828125</v>
          </cell>
          <cell r="I180" t="str">
            <v>-</v>
          </cell>
          <cell r="J180">
            <v>83.33331298828125</v>
          </cell>
          <cell r="K180">
            <v>83.33331298828125</v>
          </cell>
          <cell r="L180" t="str">
            <v>-</v>
          </cell>
          <cell r="M180">
            <v>83.33331298828125</v>
          </cell>
          <cell r="N180">
            <v>83.33331298828125</v>
          </cell>
          <cell r="O180" t="str">
            <v>-</v>
          </cell>
          <cell r="P180">
            <v>83.33331298828125</v>
          </cell>
          <cell r="Q180">
            <v>83.33331298828125</v>
          </cell>
          <cell r="R180" t="str">
            <v>-</v>
          </cell>
          <cell r="S180">
            <v>83.33331298828125</v>
          </cell>
          <cell r="T180">
            <v>83.33331298828125</v>
          </cell>
          <cell r="U180" t="str">
            <v>-</v>
          </cell>
          <cell r="V180">
            <v>83.33331298828125</v>
          </cell>
          <cell r="W180">
            <v>83.33331298828125</v>
          </cell>
          <cell r="X180" t="str">
            <v>-</v>
          </cell>
          <cell r="Y180">
            <v>83.33331298828125</v>
          </cell>
          <cell r="Z180">
            <v>83.33331298828125</v>
          </cell>
          <cell r="AA180" t="str">
            <v>-</v>
          </cell>
          <cell r="AB180">
            <v>83.33331298828125</v>
          </cell>
          <cell r="AC180">
            <v>83.33331298828125</v>
          </cell>
          <cell r="AD180" t="str">
            <v>-</v>
          </cell>
          <cell r="AE180">
            <v>83.33331298828125</v>
          </cell>
          <cell r="AF180">
            <v>83.33331298828125</v>
          </cell>
          <cell r="AG180" t="str">
            <v>-</v>
          </cell>
          <cell r="AH180">
            <v>83.33331298828125</v>
          </cell>
          <cell r="AI180">
            <v>83.33331298828125</v>
          </cell>
          <cell r="AJ180" t="str">
            <v>-</v>
          </cell>
          <cell r="AK180">
            <v>83.33331298828125</v>
          </cell>
          <cell r="AL180">
            <v>83.33331298828125</v>
          </cell>
          <cell r="AM180" t="str">
            <v>-</v>
          </cell>
          <cell r="AN180">
            <v>83.33331298828125</v>
          </cell>
          <cell r="AO180">
            <v>83.33331298828125</v>
          </cell>
          <cell r="AP180" t="str">
            <v>-</v>
          </cell>
          <cell r="AQ180">
            <v>83.33331298828125</v>
          </cell>
          <cell r="AR180">
            <v>83.33331298828125</v>
          </cell>
          <cell r="AS180" t="str">
            <v>-</v>
          </cell>
          <cell r="AT180">
            <v>83.33331298828125</v>
          </cell>
          <cell r="AU180">
            <v>83.33331298828125</v>
          </cell>
          <cell r="AV180" t="str">
            <v>-</v>
          </cell>
          <cell r="AW180">
            <v>83.33331298828125</v>
          </cell>
          <cell r="AX180">
            <v>83.33331298828125</v>
          </cell>
          <cell r="AY180" t="str">
            <v>-</v>
          </cell>
          <cell r="AZ180">
            <v>83.33331298828125</v>
          </cell>
          <cell r="BA180">
            <v>83.33331298828125</v>
          </cell>
          <cell r="BB180" t="str">
            <v>-</v>
          </cell>
          <cell r="BC180">
            <v>83.33331298828125</v>
          </cell>
          <cell r="BD180">
            <v>83.33331298828125</v>
          </cell>
          <cell r="BE180" t="str">
            <v>-</v>
          </cell>
          <cell r="BF180">
            <v>83.33331298828125</v>
          </cell>
          <cell r="BG180">
            <v>83.33331298828125</v>
          </cell>
          <cell r="BH180" t="str">
            <v>-</v>
          </cell>
          <cell r="BI180">
            <v>83.33331298828125</v>
          </cell>
          <cell r="BJ180">
            <v>83.33331298828125</v>
          </cell>
          <cell r="BK180" t="str">
            <v>-</v>
          </cell>
          <cell r="BL180">
            <v>83.33331298828125</v>
          </cell>
          <cell r="BM180">
            <v>83.33331298828125</v>
          </cell>
          <cell r="BN180" t="str">
            <v>-</v>
          </cell>
          <cell r="BO180">
            <v>83.33331298828125</v>
          </cell>
          <cell r="BP180">
            <v>83.33331298828125</v>
          </cell>
          <cell r="BQ180" t="str">
            <v>-</v>
          </cell>
          <cell r="BR180">
            <v>83.33331298828125</v>
          </cell>
          <cell r="BS180">
            <v>83.33331298828125</v>
          </cell>
          <cell r="BT180" t="str">
            <v>-</v>
          </cell>
          <cell r="BU180">
            <v>83.33331298828125</v>
          </cell>
          <cell r="BV180">
            <v>83.33331298828125</v>
          </cell>
          <cell r="BW180" t="str">
            <v>-</v>
          </cell>
          <cell r="BX180">
            <v>30</v>
          </cell>
          <cell r="BY180">
            <v>1</v>
          </cell>
          <cell r="BZ180">
            <v>96.8</v>
          </cell>
          <cell r="CA180">
            <v>23</v>
          </cell>
          <cell r="CB180">
            <v>4</v>
          </cell>
          <cell r="CC180">
            <v>85.2</v>
          </cell>
          <cell r="CD180">
            <v>22</v>
          </cell>
          <cell r="CE180">
            <v>3</v>
          </cell>
          <cell r="CF180">
            <v>88</v>
          </cell>
          <cell r="CG180">
            <v>36</v>
          </cell>
          <cell r="CH180">
            <v>1</v>
          </cell>
          <cell r="CI180">
            <v>97.3</v>
          </cell>
          <cell r="CJ180">
            <v>21</v>
          </cell>
          <cell r="CK180">
            <v>21</v>
          </cell>
          <cell r="CL180">
            <v>100</v>
          </cell>
          <cell r="CM180">
            <v>20</v>
          </cell>
          <cell r="CN180">
            <v>2</v>
          </cell>
          <cell r="CO180">
            <v>90.9</v>
          </cell>
          <cell r="CP180">
            <v>23</v>
          </cell>
          <cell r="CQ180">
            <v>2</v>
          </cell>
          <cell r="CR180">
            <v>92</v>
          </cell>
          <cell r="CS180">
            <v>17</v>
          </cell>
          <cell r="CT180">
            <v>17</v>
          </cell>
          <cell r="CU180">
            <v>100</v>
          </cell>
          <cell r="CV180">
            <v>9</v>
          </cell>
          <cell r="CW180">
            <v>1</v>
          </cell>
          <cell r="CX180">
            <v>90</v>
          </cell>
          <cell r="CY180">
            <v>9</v>
          </cell>
          <cell r="CZ180">
            <v>3</v>
          </cell>
          <cell r="DA180">
            <v>75</v>
          </cell>
          <cell r="DB180">
            <v>5</v>
          </cell>
          <cell r="DC180">
            <v>2</v>
          </cell>
          <cell r="DD180">
            <v>71.400000000000006</v>
          </cell>
          <cell r="DE180">
            <v>12</v>
          </cell>
          <cell r="DF180">
            <v>12</v>
          </cell>
          <cell r="DG180">
            <v>100</v>
          </cell>
          <cell r="DH180">
            <v>9</v>
          </cell>
          <cell r="DI180">
            <v>9</v>
          </cell>
          <cell r="DJ180">
            <v>100</v>
          </cell>
          <cell r="DK180">
            <v>9</v>
          </cell>
          <cell r="DL180">
            <v>2</v>
          </cell>
          <cell r="DM180">
            <v>81.8</v>
          </cell>
          <cell r="DN180">
            <v>3</v>
          </cell>
          <cell r="DO180">
            <v>2</v>
          </cell>
          <cell r="DP180">
            <v>60</v>
          </cell>
          <cell r="DQ180">
            <v>8</v>
          </cell>
          <cell r="DR180">
            <v>8</v>
          </cell>
          <cell r="DS180">
            <v>100</v>
          </cell>
          <cell r="DT180">
            <v>100</v>
          </cell>
          <cell r="DU180">
            <v>100</v>
          </cell>
          <cell r="DV180" t="str">
            <v>-</v>
          </cell>
          <cell r="DW180">
            <v>100</v>
          </cell>
          <cell r="DX180">
            <v>100</v>
          </cell>
          <cell r="DY180" t="str">
            <v>-</v>
          </cell>
          <cell r="DZ180">
            <v>100</v>
          </cell>
          <cell r="EA180">
            <v>100</v>
          </cell>
          <cell r="EB180" t="str">
            <v>-</v>
          </cell>
          <cell r="EC180">
            <v>100</v>
          </cell>
          <cell r="ED180">
            <v>100</v>
          </cell>
          <cell r="EE180" t="str">
            <v>-</v>
          </cell>
          <cell r="EF180">
            <v>100</v>
          </cell>
          <cell r="EG180">
            <v>100</v>
          </cell>
          <cell r="EH180" t="str">
            <v>-</v>
          </cell>
          <cell r="EI180">
            <v>100</v>
          </cell>
          <cell r="EJ180">
            <v>100</v>
          </cell>
          <cell r="EK180" t="str">
            <v>-</v>
          </cell>
          <cell r="EL180">
            <v>100</v>
          </cell>
          <cell r="EM180">
            <v>100</v>
          </cell>
          <cell r="EN180" t="str">
            <v>-</v>
          </cell>
          <cell r="EO180">
            <v>100</v>
          </cell>
          <cell r="EP180">
            <v>100</v>
          </cell>
          <cell r="EQ180" t="str">
            <v>-</v>
          </cell>
          <cell r="ER180">
            <v>2</v>
          </cell>
          <cell r="ES180">
            <v>1</v>
          </cell>
          <cell r="ET180">
            <v>66.7</v>
          </cell>
          <cell r="EU180">
            <v>66.699951171875</v>
          </cell>
          <cell r="EV180">
            <v>66.699951171875</v>
          </cell>
          <cell r="EW180" t="str">
            <v>-</v>
          </cell>
          <cell r="EX180">
            <v>1</v>
          </cell>
          <cell r="EY180">
            <v>4</v>
          </cell>
          <cell r="EZ180">
            <v>20</v>
          </cell>
          <cell r="FA180">
            <v>6</v>
          </cell>
          <cell r="FB180">
            <v>4</v>
          </cell>
          <cell r="FC180">
            <v>60</v>
          </cell>
          <cell r="FD180">
            <v>4</v>
          </cell>
          <cell r="FE180">
            <v>4</v>
          </cell>
          <cell r="FF180">
            <v>100</v>
          </cell>
          <cell r="FG180">
            <v>3</v>
          </cell>
          <cell r="FH180">
            <v>3</v>
          </cell>
          <cell r="FI180">
            <v>50</v>
          </cell>
          <cell r="FJ180">
            <v>8</v>
          </cell>
          <cell r="FK180">
            <v>8</v>
          </cell>
          <cell r="FL180">
            <v>100</v>
          </cell>
          <cell r="FM180">
            <v>100</v>
          </cell>
          <cell r="FN180">
            <v>100</v>
          </cell>
          <cell r="FO180" t="str">
            <v>-</v>
          </cell>
          <cell r="FP180">
            <v>100</v>
          </cell>
          <cell r="FQ180">
            <v>100</v>
          </cell>
          <cell r="FR180" t="str">
            <v>-</v>
          </cell>
          <cell r="FS180">
            <v>100</v>
          </cell>
          <cell r="FT180">
            <v>100</v>
          </cell>
          <cell r="FU180" t="str">
            <v>-</v>
          </cell>
          <cell r="FV180">
            <v>100</v>
          </cell>
          <cell r="FW180">
            <v>100</v>
          </cell>
          <cell r="FX180" t="str">
            <v>-</v>
          </cell>
          <cell r="FY180">
            <v>100</v>
          </cell>
          <cell r="FZ180">
            <v>100</v>
          </cell>
          <cell r="GA180" t="str">
            <v>-</v>
          </cell>
          <cell r="GB180">
            <v>100</v>
          </cell>
          <cell r="GC180">
            <v>100</v>
          </cell>
          <cell r="GD180" t="str">
            <v>-</v>
          </cell>
          <cell r="GE180">
            <v>1</v>
          </cell>
          <cell r="GF180">
            <v>1</v>
          </cell>
          <cell r="GG180">
            <v>100</v>
          </cell>
          <cell r="GH180">
            <v>100</v>
          </cell>
          <cell r="GI180">
            <v>100</v>
          </cell>
          <cell r="GJ180" t="str">
            <v>-</v>
          </cell>
          <cell r="GK180">
            <v>100</v>
          </cell>
          <cell r="GL180">
            <v>100</v>
          </cell>
          <cell r="GM180" t="str">
            <v>-</v>
          </cell>
          <cell r="GN180">
            <v>48</v>
          </cell>
          <cell r="GO180">
            <v>3</v>
          </cell>
          <cell r="GP180">
            <v>94.1</v>
          </cell>
          <cell r="GQ180">
            <v>46</v>
          </cell>
          <cell r="GR180">
            <v>7</v>
          </cell>
          <cell r="GS180">
            <v>86.8</v>
          </cell>
          <cell r="GT180">
            <v>31</v>
          </cell>
          <cell r="GU180">
            <v>10</v>
          </cell>
          <cell r="GV180">
            <v>75.599999999999994</v>
          </cell>
          <cell r="GW180">
            <v>45</v>
          </cell>
          <cell r="GX180">
            <v>12</v>
          </cell>
          <cell r="GY180">
            <v>78.900000000000006</v>
          </cell>
          <cell r="GZ180">
            <v>28</v>
          </cell>
          <cell r="HA180">
            <v>4</v>
          </cell>
          <cell r="HB180">
            <v>87.5</v>
          </cell>
          <cell r="HC180">
            <v>29</v>
          </cell>
          <cell r="HD180">
            <v>4</v>
          </cell>
          <cell r="HE180">
            <v>87.9</v>
          </cell>
          <cell r="HF180">
            <v>35</v>
          </cell>
          <cell r="HG180">
            <v>7</v>
          </cell>
          <cell r="HH180">
            <v>83.3</v>
          </cell>
          <cell r="HI180">
            <v>22</v>
          </cell>
          <cell r="HJ180">
            <v>6</v>
          </cell>
          <cell r="HK180">
            <v>78.599999999999994</v>
          </cell>
          <cell r="HL180">
            <v>78.5999755859375</v>
          </cell>
          <cell r="HM180">
            <v>78.5999755859375</v>
          </cell>
          <cell r="HN180" t="str">
            <v>-</v>
          </cell>
          <cell r="HO180">
            <v>78.5999755859375</v>
          </cell>
          <cell r="HP180">
            <v>78.5999755859375</v>
          </cell>
          <cell r="HQ180" t="str">
            <v>-</v>
          </cell>
          <cell r="HR180">
            <v>1</v>
          </cell>
          <cell r="HS180">
            <v>1</v>
          </cell>
          <cell r="HT180">
            <v>100</v>
          </cell>
          <cell r="HU180">
            <v>1</v>
          </cell>
          <cell r="HV180">
            <v>1</v>
          </cell>
          <cell r="HW180">
            <v>100</v>
          </cell>
          <cell r="HX180">
            <v>100</v>
          </cell>
          <cell r="HY180">
            <v>100</v>
          </cell>
          <cell r="HZ180" t="str">
            <v>-</v>
          </cell>
          <cell r="IA180">
            <v>1</v>
          </cell>
          <cell r="IB180">
            <v>1</v>
          </cell>
          <cell r="IC180">
            <v>100</v>
          </cell>
          <cell r="ID180">
            <v>100</v>
          </cell>
          <cell r="IE180">
            <v>100</v>
          </cell>
          <cell r="IF180" t="str">
            <v>-</v>
          </cell>
          <cell r="IG180">
            <v>1</v>
          </cell>
          <cell r="IH180">
            <v>1</v>
          </cell>
          <cell r="II180">
            <v>100</v>
          </cell>
          <cell r="IJ180">
            <v>1</v>
          </cell>
          <cell r="IK180">
            <v>1</v>
          </cell>
          <cell r="IL180">
            <v>100</v>
          </cell>
          <cell r="IM180">
            <v>100</v>
          </cell>
          <cell r="IN180">
            <v>100</v>
          </cell>
          <cell r="IO180" t="str">
            <v>-</v>
          </cell>
          <cell r="IP180">
            <v>100</v>
          </cell>
          <cell r="IQ180">
            <v>1</v>
          </cell>
          <cell r="IR180">
            <v>0</v>
          </cell>
          <cell r="IS180">
            <v>3</v>
          </cell>
          <cell r="IT180">
            <v>2</v>
          </cell>
          <cell r="IU180">
            <v>60</v>
          </cell>
          <cell r="IV180">
            <v>1</v>
          </cell>
          <cell r="IW180">
            <v>1</v>
          </cell>
          <cell r="IX180">
            <v>100</v>
          </cell>
          <cell r="IY180">
            <v>100</v>
          </cell>
          <cell r="IZ180">
            <v>100</v>
          </cell>
          <cell r="JA180" t="str">
            <v>-</v>
          </cell>
          <cell r="JB180">
            <v>1</v>
          </cell>
          <cell r="JC180">
            <v>1</v>
          </cell>
          <cell r="JD180">
            <v>100</v>
          </cell>
          <cell r="JE180">
            <v>3</v>
          </cell>
          <cell r="JF180">
            <v>3</v>
          </cell>
          <cell r="JG180">
            <v>100</v>
          </cell>
          <cell r="JH180">
            <v>0</v>
          </cell>
          <cell r="JI180">
            <v>0</v>
          </cell>
          <cell r="JJ180" t="str">
            <v>-</v>
          </cell>
          <cell r="JK180">
            <v>0</v>
          </cell>
          <cell r="JL180">
            <v>0</v>
          </cell>
          <cell r="JM180" t="str">
            <v>-</v>
          </cell>
          <cell r="JN180">
            <v>0</v>
          </cell>
          <cell r="JO180">
            <v>0</v>
          </cell>
          <cell r="JP180" t="str">
            <v>-</v>
          </cell>
          <cell r="JQ180">
            <v>117</v>
          </cell>
          <cell r="JR180">
            <v>5</v>
          </cell>
          <cell r="JS180">
            <v>95.901639344262293</v>
          </cell>
          <cell r="JT180">
            <v>41</v>
          </cell>
          <cell r="JU180">
            <v>4</v>
          </cell>
          <cell r="JV180">
            <v>91.111111111111114</v>
          </cell>
          <cell r="JW180">
            <v>0</v>
          </cell>
          <cell r="JX180">
            <v>0</v>
          </cell>
          <cell r="JY180" t="str">
            <v>-</v>
          </cell>
          <cell r="JZ180">
            <v>21</v>
          </cell>
          <cell r="KA180">
            <v>7</v>
          </cell>
          <cell r="KB180">
            <v>75</v>
          </cell>
          <cell r="KC180">
            <v>1</v>
          </cell>
          <cell r="KD180">
            <v>0</v>
          </cell>
          <cell r="KE180">
            <v>100</v>
          </cell>
          <cell r="KF180">
            <v>159</v>
          </cell>
          <cell r="KG180">
            <v>33</v>
          </cell>
          <cell r="KH180">
            <v>82.8125</v>
          </cell>
          <cell r="KI180">
            <v>3</v>
          </cell>
          <cell r="KJ180">
            <v>0</v>
          </cell>
          <cell r="KK180">
            <v>100</v>
          </cell>
          <cell r="KL180">
            <v>8</v>
          </cell>
          <cell r="KM180">
            <v>2</v>
          </cell>
          <cell r="KN180">
            <v>80</v>
          </cell>
        </row>
        <row r="181">
          <cell r="C181" t="str">
            <v>Vasvári Rendőrkapitányság</v>
          </cell>
          <cell r="D181">
            <v>80</v>
          </cell>
          <cell r="E181">
            <v>80</v>
          </cell>
          <cell r="F181" t="str">
            <v>-</v>
          </cell>
          <cell r="G181">
            <v>80</v>
          </cell>
          <cell r="H181">
            <v>80</v>
          </cell>
          <cell r="I181" t="str">
            <v>-</v>
          </cell>
          <cell r="J181">
            <v>80</v>
          </cell>
          <cell r="K181">
            <v>80</v>
          </cell>
          <cell r="L181" t="str">
            <v>-</v>
          </cell>
          <cell r="M181">
            <v>80</v>
          </cell>
          <cell r="N181">
            <v>80</v>
          </cell>
          <cell r="O181" t="str">
            <v>-</v>
          </cell>
          <cell r="P181">
            <v>80</v>
          </cell>
          <cell r="Q181">
            <v>80</v>
          </cell>
          <cell r="R181" t="str">
            <v>-</v>
          </cell>
          <cell r="S181">
            <v>80</v>
          </cell>
          <cell r="T181">
            <v>80</v>
          </cell>
          <cell r="U181" t="str">
            <v>-</v>
          </cell>
          <cell r="V181">
            <v>80</v>
          </cell>
          <cell r="W181">
            <v>80</v>
          </cell>
          <cell r="X181" t="str">
            <v>-</v>
          </cell>
          <cell r="Y181">
            <v>80</v>
          </cell>
          <cell r="Z181">
            <v>80</v>
          </cell>
          <cell r="AA181" t="str">
            <v>-</v>
          </cell>
          <cell r="AB181">
            <v>80</v>
          </cell>
          <cell r="AC181">
            <v>80</v>
          </cell>
          <cell r="AD181" t="str">
            <v>-</v>
          </cell>
          <cell r="AE181">
            <v>80</v>
          </cell>
          <cell r="AF181">
            <v>80</v>
          </cell>
          <cell r="AG181" t="str">
            <v>-</v>
          </cell>
          <cell r="AH181">
            <v>80</v>
          </cell>
          <cell r="AI181">
            <v>80</v>
          </cell>
          <cell r="AJ181" t="str">
            <v>-</v>
          </cell>
          <cell r="AK181">
            <v>80</v>
          </cell>
          <cell r="AL181">
            <v>80</v>
          </cell>
          <cell r="AM181" t="str">
            <v>-</v>
          </cell>
          <cell r="AN181">
            <v>80</v>
          </cell>
          <cell r="AO181">
            <v>80</v>
          </cell>
          <cell r="AP181" t="str">
            <v>-</v>
          </cell>
          <cell r="AQ181">
            <v>80</v>
          </cell>
          <cell r="AR181">
            <v>80</v>
          </cell>
          <cell r="AS181" t="str">
            <v>-</v>
          </cell>
          <cell r="AT181">
            <v>80</v>
          </cell>
          <cell r="AU181">
            <v>80</v>
          </cell>
          <cell r="AV181" t="str">
            <v>-</v>
          </cell>
          <cell r="AW181">
            <v>80</v>
          </cell>
          <cell r="AX181">
            <v>80</v>
          </cell>
          <cell r="AY181" t="str">
            <v>-</v>
          </cell>
          <cell r="AZ181">
            <v>80</v>
          </cell>
          <cell r="BA181">
            <v>80</v>
          </cell>
          <cell r="BB181" t="str">
            <v>-</v>
          </cell>
          <cell r="BC181">
            <v>80</v>
          </cell>
          <cell r="BD181">
            <v>80</v>
          </cell>
          <cell r="BE181" t="str">
            <v>-</v>
          </cell>
          <cell r="BF181">
            <v>80</v>
          </cell>
          <cell r="BG181">
            <v>80</v>
          </cell>
          <cell r="BH181" t="str">
            <v>-</v>
          </cell>
          <cell r="BI181">
            <v>80</v>
          </cell>
          <cell r="BJ181">
            <v>80</v>
          </cell>
          <cell r="BK181" t="str">
            <v>-</v>
          </cell>
          <cell r="BL181">
            <v>80</v>
          </cell>
          <cell r="BM181">
            <v>80</v>
          </cell>
          <cell r="BN181" t="str">
            <v>-</v>
          </cell>
          <cell r="BO181">
            <v>80</v>
          </cell>
          <cell r="BP181">
            <v>80</v>
          </cell>
          <cell r="BQ181" t="str">
            <v>-</v>
          </cell>
          <cell r="BR181">
            <v>80</v>
          </cell>
          <cell r="BS181">
            <v>80</v>
          </cell>
          <cell r="BT181" t="str">
            <v>-</v>
          </cell>
          <cell r="BU181">
            <v>80</v>
          </cell>
          <cell r="BV181">
            <v>80</v>
          </cell>
          <cell r="BW181" t="str">
            <v>-</v>
          </cell>
          <cell r="BX181">
            <v>48</v>
          </cell>
          <cell r="BY181">
            <v>4</v>
          </cell>
          <cell r="BZ181">
            <v>92.3</v>
          </cell>
          <cell r="CA181">
            <v>49</v>
          </cell>
          <cell r="CB181">
            <v>2</v>
          </cell>
          <cell r="CC181">
            <v>96.1</v>
          </cell>
          <cell r="CD181">
            <v>33</v>
          </cell>
          <cell r="CE181">
            <v>1</v>
          </cell>
          <cell r="CF181">
            <v>97.1</v>
          </cell>
          <cell r="CG181">
            <v>24</v>
          </cell>
          <cell r="CH181">
            <v>2</v>
          </cell>
          <cell r="CI181">
            <v>92.3</v>
          </cell>
          <cell r="CJ181">
            <v>28</v>
          </cell>
          <cell r="CK181">
            <v>3</v>
          </cell>
          <cell r="CL181">
            <v>90.3</v>
          </cell>
          <cell r="CM181">
            <v>21</v>
          </cell>
          <cell r="CN181">
            <v>21</v>
          </cell>
          <cell r="CO181">
            <v>100</v>
          </cell>
          <cell r="CP181">
            <v>27</v>
          </cell>
          <cell r="CQ181">
            <v>27</v>
          </cell>
          <cell r="CR181">
            <v>100</v>
          </cell>
          <cell r="CS181">
            <v>48</v>
          </cell>
          <cell r="CT181">
            <v>2</v>
          </cell>
          <cell r="CU181">
            <v>96</v>
          </cell>
          <cell r="CV181">
            <v>8</v>
          </cell>
          <cell r="CW181">
            <v>8</v>
          </cell>
          <cell r="CX181">
            <v>100</v>
          </cell>
          <cell r="CY181">
            <v>5</v>
          </cell>
          <cell r="CZ181">
            <v>1</v>
          </cell>
          <cell r="DA181">
            <v>83.3</v>
          </cell>
          <cell r="DB181">
            <v>4</v>
          </cell>
          <cell r="DC181">
            <v>4</v>
          </cell>
          <cell r="DD181">
            <v>100</v>
          </cell>
          <cell r="DE181">
            <v>7</v>
          </cell>
          <cell r="DF181">
            <v>1</v>
          </cell>
          <cell r="DG181">
            <v>87.5</v>
          </cell>
          <cell r="DH181">
            <v>7</v>
          </cell>
          <cell r="DI181">
            <v>7</v>
          </cell>
          <cell r="DJ181">
            <v>100</v>
          </cell>
          <cell r="DK181">
            <v>3</v>
          </cell>
          <cell r="DL181">
            <v>3</v>
          </cell>
          <cell r="DM181">
            <v>100</v>
          </cell>
          <cell r="DN181">
            <v>3</v>
          </cell>
          <cell r="DO181">
            <v>3</v>
          </cell>
          <cell r="DP181">
            <v>100</v>
          </cell>
          <cell r="DQ181">
            <v>9</v>
          </cell>
          <cell r="DR181">
            <v>1</v>
          </cell>
          <cell r="DS181">
            <v>90</v>
          </cell>
          <cell r="DT181">
            <v>90</v>
          </cell>
          <cell r="DU181">
            <v>90</v>
          </cell>
          <cell r="DV181" t="str">
            <v>-</v>
          </cell>
          <cell r="DW181">
            <v>90</v>
          </cell>
          <cell r="DX181">
            <v>90</v>
          </cell>
          <cell r="DY181" t="str">
            <v>-</v>
          </cell>
          <cell r="DZ181">
            <v>90</v>
          </cell>
          <cell r="EA181">
            <v>90</v>
          </cell>
          <cell r="EB181" t="str">
            <v>-</v>
          </cell>
          <cell r="EC181">
            <v>90</v>
          </cell>
          <cell r="ED181">
            <v>90</v>
          </cell>
          <cell r="EE181" t="str">
            <v>-</v>
          </cell>
          <cell r="EF181">
            <v>90</v>
          </cell>
          <cell r="EG181">
            <v>90</v>
          </cell>
          <cell r="EH181" t="str">
            <v>-</v>
          </cell>
          <cell r="EI181">
            <v>90</v>
          </cell>
          <cell r="EJ181">
            <v>90</v>
          </cell>
          <cell r="EK181" t="str">
            <v>-</v>
          </cell>
          <cell r="EL181">
            <v>90</v>
          </cell>
          <cell r="EM181">
            <v>90</v>
          </cell>
          <cell r="EN181" t="str">
            <v>-</v>
          </cell>
          <cell r="EO181">
            <v>90</v>
          </cell>
          <cell r="EP181">
            <v>90</v>
          </cell>
          <cell r="EQ181" t="str">
            <v>-</v>
          </cell>
          <cell r="ER181">
            <v>10</v>
          </cell>
          <cell r="ES181">
            <v>4</v>
          </cell>
          <cell r="ET181">
            <v>71.400000000000006</v>
          </cell>
          <cell r="EU181">
            <v>3</v>
          </cell>
          <cell r="EV181">
            <v>3</v>
          </cell>
          <cell r="EW181">
            <v>100</v>
          </cell>
          <cell r="EX181">
            <v>2</v>
          </cell>
          <cell r="EY181">
            <v>2</v>
          </cell>
          <cell r="EZ181">
            <v>50</v>
          </cell>
          <cell r="FA181">
            <v>5</v>
          </cell>
          <cell r="FB181">
            <v>1</v>
          </cell>
          <cell r="FC181">
            <v>83.3</v>
          </cell>
          <cell r="FD181">
            <v>83.29998779296875</v>
          </cell>
          <cell r="FE181">
            <v>83.29998779296875</v>
          </cell>
          <cell r="FF181" t="str">
            <v>-</v>
          </cell>
          <cell r="FG181">
            <v>10</v>
          </cell>
          <cell r="FH181">
            <v>10</v>
          </cell>
          <cell r="FI181">
            <v>100</v>
          </cell>
          <cell r="FJ181">
            <v>100</v>
          </cell>
          <cell r="FK181">
            <v>100</v>
          </cell>
          <cell r="FL181" t="str">
            <v>-</v>
          </cell>
          <cell r="FM181">
            <v>4</v>
          </cell>
          <cell r="FN181">
            <v>4</v>
          </cell>
          <cell r="FO181">
            <v>100</v>
          </cell>
          <cell r="FP181">
            <v>100</v>
          </cell>
          <cell r="FQ181">
            <v>100</v>
          </cell>
          <cell r="FR181" t="str">
            <v>-</v>
          </cell>
          <cell r="FS181">
            <v>100</v>
          </cell>
          <cell r="FT181">
            <v>100</v>
          </cell>
          <cell r="FU181" t="str">
            <v>-</v>
          </cell>
          <cell r="FV181">
            <v>100</v>
          </cell>
          <cell r="FW181">
            <v>100</v>
          </cell>
          <cell r="FX181" t="str">
            <v>-</v>
          </cell>
          <cell r="FY181">
            <v>100</v>
          </cell>
          <cell r="FZ181">
            <v>100</v>
          </cell>
          <cell r="GA181" t="str">
            <v>-</v>
          </cell>
          <cell r="GB181">
            <v>100</v>
          </cell>
          <cell r="GC181">
            <v>100</v>
          </cell>
          <cell r="GD181" t="str">
            <v>-</v>
          </cell>
          <cell r="GE181">
            <v>100</v>
          </cell>
          <cell r="GF181">
            <v>100</v>
          </cell>
          <cell r="GG181" t="str">
            <v>-</v>
          </cell>
          <cell r="GH181">
            <v>100</v>
          </cell>
          <cell r="GI181">
            <v>100</v>
          </cell>
          <cell r="GJ181" t="str">
            <v>-</v>
          </cell>
          <cell r="GK181">
            <v>100</v>
          </cell>
          <cell r="GL181">
            <v>100</v>
          </cell>
          <cell r="GM181" t="str">
            <v>-</v>
          </cell>
          <cell r="GN181">
            <v>52</v>
          </cell>
          <cell r="GO181">
            <v>16</v>
          </cell>
          <cell r="GP181">
            <v>76.5</v>
          </cell>
          <cell r="GQ181">
            <v>48</v>
          </cell>
          <cell r="GR181">
            <v>17</v>
          </cell>
          <cell r="GS181">
            <v>73.8</v>
          </cell>
          <cell r="GT181">
            <v>38</v>
          </cell>
          <cell r="GU181">
            <v>8</v>
          </cell>
          <cell r="GV181">
            <v>82.6</v>
          </cell>
          <cell r="GW181">
            <v>40</v>
          </cell>
          <cell r="GX181">
            <v>8</v>
          </cell>
          <cell r="GY181">
            <v>83.3</v>
          </cell>
          <cell r="GZ181">
            <v>35</v>
          </cell>
          <cell r="HA181">
            <v>10</v>
          </cell>
          <cell r="HB181">
            <v>77.8</v>
          </cell>
          <cell r="HC181">
            <v>35</v>
          </cell>
          <cell r="HD181">
            <v>7</v>
          </cell>
          <cell r="HE181">
            <v>83.3</v>
          </cell>
          <cell r="HF181">
            <v>35</v>
          </cell>
          <cell r="HG181">
            <v>7</v>
          </cell>
          <cell r="HH181">
            <v>83.3</v>
          </cell>
          <cell r="HI181">
            <v>36</v>
          </cell>
          <cell r="HJ181">
            <v>1</v>
          </cell>
          <cell r="HK181">
            <v>97.3</v>
          </cell>
          <cell r="HL181">
            <v>3</v>
          </cell>
          <cell r="HM181">
            <v>3</v>
          </cell>
          <cell r="HN181">
            <v>100</v>
          </cell>
          <cell r="HO181">
            <v>1</v>
          </cell>
          <cell r="HP181">
            <v>1</v>
          </cell>
          <cell r="HQ181">
            <v>100</v>
          </cell>
          <cell r="HR181">
            <v>100</v>
          </cell>
          <cell r="HS181">
            <v>1</v>
          </cell>
          <cell r="HT181">
            <v>0</v>
          </cell>
          <cell r="HU181">
            <v>0</v>
          </cell>
          <cell r="HV181">
            <v>0</v>
          </cell>
          <cell r="HW181" t="str">
            <v>-</v>
          </cell>
          <cell r="HX181">
            <v>1</v>
          </cell>
          <cell r="HY181">
            <v>1</v>
          </cell>
          <cell r="HZ181">
            <v>100</v>
          </cell>
          <cell r="IA181">
            <v>100</v>
          </cell>
          <cell r="IB181">
            <v>100</v>
          </cell>
          <cell r="IC181" t="str">
            <v>-</v>
          </cell>
          <cell r="ID181">
            <v>1</v>
          </cell>
          <cell r="IE181">
            <v>1</v>
          </cell>
          <cell r="IF181">
            <v>100</v>
          </cell>
          <cell r="IG181">
            <v>1</v>
          </cell>
          <cell r="IH181">
            <v>1</v>
          </cell>
          <cell r="II181">
            <v>100</v>
          </cell>
          <cell r="IJ181">
            <v>100</v>
          </cell>
          <cell r="IK181">
            <v>100</v>
          </cell>
          <cell r="IL181" t="str">
            <v>-</v>
          </cell>
          <cell r="IM181">
            <v>3</v>
          </cell>
          <cell r="IN181">
            <v>3</v>
          </cell>
          <cell r="IO181">
            <v>100</v>
          </cell>
          <cell r="IP181">
            <v>100</v>
          </cell>
          <cell r="IQ181">
            <v>100</v>
          </cell>
          <cell r="IR181" t="str">
            <v>-</v>
          </cell>
          <cell r="IS181">
            <v>100</v>
          </cell>
          <cell r="IT181">
            <v>100</v>
          </cell>
          <cell r="IU181" t="str">
            <v>-</v>
          </cell>
          <cell r="IV181">
            <v>100</v>
          </cell>
          <cell r="IW181">
            <v>100</v>
          </cell>
          <cell r="IX181" t="str">
            <v>-</v>
          </cell>
          <cell r="IY181">
            <v>100</v>
          </cell>
          <cell r="IZ181">
            <v>100</v>
          </cell>
          <cell r="JA181" t="str">
            <v>-</v>
          </cell>
          <cell r="JB181">
            <v>2</v>
          </cell>
          <cell r="JC181">
            <v>2</v>
          </cell>
          <cell r="JD181">
            <v>100</v>
          </cell>
          <cell r="JE181">
            <v>2</v>
          </cell>
          <cell r="JF181">
            <v>2</v>
          </cell>
          <cell r="JG181">
            <v>100</v>
          </cell>
          <cell r="JH181">
            <v>0</v>
          </cell>
          <cell r="JI181">
            <v>0</v>
          </cell>
          <cell r="JJ181" t="str">
            <v>-</v>
          </cell>
          <cell r="JK181">
            <v>0</v>
          </cell>
          <cell r="JL181">
            <v>0</v>
          </cell>
          <cell r="JM181" t="str">
            <v>-</v>
          </cell>
          <cell r="JN181">
            <v>0</v>
          </cell>
          <cell r="JO181">
            <v>0</v>
          </cell>
          <cell r="JP181" t="str">
            <v>-</v>
          </cell>
          <cell r="JQ181">
            <v>148</v>
          </cell>
          <cell r="JR181">
            <v>7</v>
          </cell>
          <cell r="JS181">
            <v>95.483870967741936</v>
          </cell>
          <cell r="JT181">
            <v>29</v>
          </cell>
          <cell r="JU181">
            <v>2</v>
          </cell>
          <cell r="JV181">
            <v>93.548387096774192</v>
          </cell>
          <cell r="JW181">
            <v>0</v>
          </cell>
          <cell r="JX181">
            <v>0</v>
          </cell>
          <cell r="JY181" t="str">
            <v>-</v>
          </cell>
          <cell r="JZ181">
            <v>19</v>
          </cell>
          <cell r="KA181">
            <v>1</v>
          </cell>
          <cell r="KB181">
            <v>95</v>
          </cell>
          <cell r="KC181">
            <v>0</v>
          </cell>
          <cell r="KD181">
            <v>0</v>
          </cell>
          <cell r="KE181" t="str">
            <v>-</v>
          </cell>
          <cell r="KF181">
            <v>181</v>
          </cell>
          <cell r="KG181">
            <v>33</v>
          </cell>
          <cell r="KH181">
            <v>84.579439252336456</v>
          </cell>
          <cell r="KI181">
            <v>3</v>
          </cell>
          <cell r="KJ181">
            <v>0</v>
          </cell>
          <cell r="KK181">
            <v>100</v>
          </cell>
          <cell r="KL181">
            <v>4</v>
          </cell>
          <cell r="KM181">
            <v>0</v>
          </cell>
          <cell r="KN181">
            <v>100</v>
          </cell>
        </row>
        <row r="182">
          <cell r="C182" t="str">
            <v>Vas Megyei Rendőr-főkapitányság</v>
          </cell>
          <cell r="D182">
            <v>3</v>
          </cell>
          <cell r="E182">
            <v>3</v>
          </cell>
          <cell r="F182">
            <v>100</v>
          </cell>
          <cell r="G182">
            <v>6</v>
          </cell>
          <cell r="H182">
            <v>6</v>
          </cell>
          <cell r="I182">
            <v>100</v>
          </cell>
          <cell r="J182">
            <v>5</v>
          </cell>
          <cell r="K182">
            <v>5</v>
          </cell>
          <cell r="L182">
            <v>100</v>
          </cell>
          <cell r="M182">
            <v>6</v>
          </cell>
          <cell r="N182">
            <v>6</v>
          </cell>
          <cell r="O182">
            <v>100</v>
          </cell>
          <cell r="P182">
            <v>2</v>
          </cell>
          <cell r="Q182">
            <v>2</v>
          </cell>
          <cell r="R182">
            <v>100</v>
          </cell>
          <cell r="S182">
            <v>2</v>
          </cell>
          <cell r="T182">
            <v>2</v>
          </cell>
          <cell r="U182">
            <v>100</v>
          </cell>
          <cell r="V182">
            <v>6</v>
          </cell>
          <cell r="W182">
            <v>6</v>
          </cell>
          <cell r="X182">
            <v>100</v>
          </cell>
          <cell r="Y182">
            <v>2</v>
          </cell>
          <cell r="Z182">
            <v>2</v>
          </cell>
          <cell r="AA182">
            <v>100</v>
          </cell>
          <cell r="AB182">
            <v>3</v>
          </cell>
          <cell r="AC182">
            <v>3</v>
          </cell>
          <cell r="AD182">
            <v>100</v>
          </cell>
          <cell r="AE182">
            <v>4</v>
          </cell>
          <cell r="AF182">
            <v>4</v>
          </cell>
          <cell r="AG182">
            <v>100</v>
          </cell>
          <cell r="AH182">
            <v>1</v>
          </cell>
          <cell r="AI182">
            <v>1</v>
          </cell>
          <cell r="AJ182">
            <v>100</v>
          </cell>
          <cell r="AK182">
            <v>4</v>
          </cell>
          <cell r="AL182">
            <v>4</v>
          </cell>
          <cell r="AM182">
            <v>100</v>
          </cell>
          <cell r="AN182">
            <v>1</v>
          </cell>
          <cell r="AO182">
            <v>1</v>
          </cell>
          <cell r="AP182">
            <v>100</v>
          </cell>
          <cell r="AQ182">
            <v>2</v>
          </cell>
          <cell r="AR182">
            <v>2</v>
          </cell>
          <cell r="AS182">
            <v>100</v>
          </cell>
          <cell r="AT182">
            <v>2</v>
          </cell>
          <cell r="AU182">
            <v>2</v>
          </cell>
          <cell r="AV182">
            <v>100</v>
          </cell>
          <cell r="AW182">
            <v>1</v>
          </cell>
          <cell r="AX182">
            <v>1</v>
          </cell>
          <cell r="AY182">
            <v>100</v>
          </cell>
          <cell r="AZ182">
            <v>100</v>
          </cell>
          <cell r="BA182">
            <v>100</v>
          </cell>
          <cell r="BB182" t="str">
            <v>-</v>
          </cell>
          <cell r="BC182">
            <v>1</v>
          </cell>
          <cell r="BD182">
            <v>1</v>
          </cell>
          <cell r="BE182">
            <v>100</v>
          </cell>
          <cell r="BF182">
            <v>4</v>
          </cell>
          <cell r="BG182">
            <v>4</v>
          </cell>
          <cell r="BH182">
            <v>100</v>
          </cell>
          <cell r="BI182">
            <v>1</v>
          </cell>
          <cell r="BJ182">
            <v>1</v>
          </cell>
          <cell r="BK182">
            <v>100</v>
          </cell>
          <cell r="BL182">
            <v>1</v>
          </cell>
          <cell r="BM182">
            <v>1</v>
          </cell>
          <cell r="BN182">
            <v>100</v>
          </cell>
          <cell r="BO182">
            <v>100</v>
          </cell>
          <cell r="BP182">
            <v>100</v>
          </cell>
          <cell r="BQ182" t="str">
            <v>-</v>
          </cell>
          <cell r="BR182">
            <v>1</v>
          </cell>
          <cell r="BS182">
            <v>1</v>
          </cell>
          <cell r="BT182">
            <v>100</v>
          </cell>
          <cell r="BU182">
            <v>1</v>
          </cell>
          <cell r="BV182">
            <v>1</v>
          </cell>
          <cell r="BW182">
            <v>100</v>
          </cell>
          <cell r="BX182">
            <v>278</v>
          </cell>
          <cell r="BY182">
            <v>31</v>
          </cell>
          <cell r="BZ182">
            <v>90</v>
          </cell>
          <cell r="CA182">
            <v>285</v>
          </cell>
          <cell r="CB182">
            <v>35</v>
          </cell>
          <cell r="CC182">
            <v>89.1</v>
          </cell>
          <cell r="CD182">
            <v>245</v>
          </cell>
          <cell r="CE182">
            <v>29</v>
          </cell>
          <cell r="CF182">
            <v>89.4</v>
          </cell>
          <cell r="CG182">
            <v>228</v>
          </cell>
          <cell r="CH182">
            <v>32</v>
          </cell>
          <cell r="CI182">
            <v>87.7</v>
          </cell>
          <cell r="CJ182">
            <v>218</v>
          </cell>
          <cell r="CK182">
            <v>28</v>
          </cell>
          <cell r="CL182">
            <v>88.6</v>
          </cell>
          <cell r="CM182">
            <v>196</v>
          </cell>
          <cell r="CN182">
            <v>19</v>
          </cell>
          <cell r="CO182">
            <v>91.2</v>
          </cell>
          <cell r="CP182">
            <v>169</v>
          </cell>
          <cell r="CQ182">
            <v>21</v>
          </cell>
          <cell r="CR182">
            <v>88.9</v>
          </cell>
          <cell r="CS182">
            <v>163</v>
          </cell>
          <cell r="CT182">
            <v>25</v>
          </cell>
          <cell r="CU182">
            <v>86.7</v>
          </cell>
          <cell r="CV182">
            <v>100</v>
          </cell>
          <cell r="CW182">
            <v>21</v>
          </cell>
          <cell r="CX182">
            <v>82.6</v>
          </cell>
          <cell r="CY182">
            <v>89</v>
          </cell>
          <cell r="CZ182">
            <v>27</v>
          </cell>
          <cell r="DA182">
            <v>76.7</v>
          </cell>
          <cell r="DB182">
            <v>68</v>
          </cell>
          <cell r="DC182">
            <v>21</v>
          </cell>
          <cell r="DD182">
            <v>76.400000000000006</v>
          </cell>
          <cell r="DE182">
            <v>91</v>
          </cell>
          <cell r="DF182">
            <v>26</v>
          </cell>
          <cell r="DG182">
            <v>77.8</v>
          </cell>
          <cell r="DH182">
            <v>82</v>
          </cell>
          <cell r="DI182">
            <v>19</v>
          </cell>
          <cell r="DJ182">
            <v>81.2</v>
          </cell>
          <cell r="DK182">
            <v>78</v>
          </cell>
          <cell r="DL182">
            <v>18</v>
          </cell>
          <cell r="DM182">
            <v>81.3</v>
          </cell>
          <cell r="DN182">
            <v>57</v>
          </cell>
          <cell r="DO182">
            <v>18</v>
          </cell>
          <cell r="DP182">
            <v>76</v>
          </cell>
          <cell r="DQ182">
            <v>60</v>
          </cell>
          <cell r="DR182">
            <v>20</v>
          </cell>
          <cell r="DS182">
            <v>75</v>
          </cell>
          <cell r="DT182">
            <v>2</v>
          </cell>
          <cell r="DU182">
            <v>2</v>
          </cell>
          <cell r="DV182">
            <v>100</v>
          </cell>
          <cell r="DW182">
            <v>100</v>
          </cell>
          <cell r="DX182">
            <v>100</v>
          </cell>
          <cell r="DY182" t="str">
            <v>-</v>
          </cell>
          <cell r="DZ182">
            <v>1</v>
          </cell>
          <cell r="EA182">
            <v>1</v>
          </cell>
          <cell r="EB182">
            <v>100</v>
          </cell>
          <cell r="EC182">
            <v>100</v>
          </cell>
          <cell r="ED182">
            <v>100</v>
          </cell>
          <cell r="EE182" t="str">
            <v>-</v>
          </cell>
          <cell r="EF182">
            <v>1</v>
          </cell>
          <cell r="EG182">
            <v>1</v>
          </cell>
          <cell r="EH182">
            <v>100</v>
          </cell>
          <cell r="EI182">
            <v>1</v>
          </cell>
          <cell r="EJ182">
            <v>1</v>
          </cell>
          <cell r="EK182">
            <v>100</v>
          </cell>
          <cell r="EL182">
            <v>100</v>
          </cell>
          <cell r="EM182">
            <v>100</v>
          </cell>
          <cell r="EN182" t="str">
            <v>-</v>
          </cell>
          <cell r="EO182">
            <v>100</v>
          </cell>
          <cell r="EP182">
            <v>100</v>
          </cell>
          <cell r="EQ182" t="str">
            <v>-</v>
          </cell>
          <cell r="ER182">
            <v>46</v>
          </cell>
          <cell r="ES182">
            <v>15</v>
          </cell>
          <cell r="ET182">
            <v>75.400000000000006</v>
          </cell>
          <cell r="EU182">
            <v>52</v>
          </cell>
          <cell r="EV182">
            <v>13</v>
          </cell>
          <cell r="EW182">
            <v>80</v>
          </cell>
          <cell r="EX182">
            <v>34</v>
          </cell>
          <cell r="EY182">
            <v>22</v>
          </cell>
          <cell r="EZ182">
            <v>60.7</v>
          </cell>
          <cell r="FA182">
            <v>31</v>
          </cell>
          <cell r="FB182">
            <v>10</v>
          </cell>
          <cell r="FC182">
            <v>75.599999999999994</v>
          </cell>
          <cell r="FD182">
            <v>16</v>
          </cell>
          <cell r="FE182">
            <v>10</v>
          </cell>
          <cell r="FF182">
            <v>61.5</v>
          </cell>
          <cell r="FG182">
            <v>19</v>
          </cell>
          <cell r="FH182">
            <v>7</v>
          </cell>
          <cell r="FI182">
            <v>73.099999999999994</v>
          </cell>
          <cell r="FJ182">
            <v>27</v>
          </cell>
          <cell r="FK182">
            <v>8</v>
          </cell>
          <cell r="FL182">
            <v>77.099999999999994</v>
          </cell>
          <cell r="FM182">
            <v>41</v>
          </cell>
          <cell r="FN182">
            <v>10</v>
          </cell>
          <cell r="FO182">
            <v>80.400000000000006</v>
          </cell>
          <cell r="FP182">
            <v>1</v>
          </cell>
          <cell r="FQ182">
            <v>1</v>
          </cell>
          <cell r="FR182">
            <v>100</v>
          </cell>
          <cell r="FS182">
            <v>4</v>
          </cell>
          <cell r="FT182">
            <v>4</v>
          </cell>
          <cell r="FU182">
            <v>100</v>
          </cell>
          <cell r="FV182">
            <v>2</v>
          </cell>
          <cell r="FW182">
            <v>3</v>
          </cell>
          <cell r="FX182">
            <v>40</v>
          </cell>
          <cell r="FY182">
            <v>13</v>
          </cell>
          <cell r="FZ182">
            <v>13</v>
          </cell>
          <cell r="GA182">
            <v>100</v>
          </cell>
          <cell r="GB182">
            <v>9</v>
          </cell>
          <cell r="GC182">
            <v>9</v>
          </cell>
          <cell r="GD182">
            <v>100</v>
          </cell>
          <cell r="GE182">
            <v>6</v>
          </cell>
          <cell r="GF182">
            <v>6</v>
          </cell>
          <cell r="GG182">
            <v>100</v>
          </cell>
          <cell r="GH182">
            <v>4</v>
          </cell>
          <cell r="GI182">
            <v>1</v>
          </cell>
          <cell r="GJ182">
            <v>80</v>
          </cell>
          <cell r="GK182">
            <v>1</v>
          </cell>
          <cell r="GL182">
            <v>1</v>
          </cell>
          <cell r="GM182">
            <v>100</v>
          </cell>
          <cell r="GN182">
            <v>438</v>
          </cell>
          <cell r="GO182">
            <v>115</v>
          </cell>
          <cell r="GP182">
            <v>79.2</v>
          </cell>
          <cell r="GQ182">
            <v>408</v>
          </cell>
          <cell r="GR182">
            <v>124</v>
          </cell>
          <cell r="GS182">
            <v>76.7</v>
          </cell>
          <cell r="GT182">
            <v>390</v>
          </cell>
          <cell r="GU182">
            <v>124</v>
          </cell>
          <cell r="GV182">
            <v>75.900000000000006</v>
          </cell>
          <cell r="GW182">
            <v>368</v>
          </cell>
          <cell r="GX182">
            <v>114</v>
          </cell>
          <cell r="GY182">
            <v>76.3</v>
          </cell>
          <cell r="GZ182">
            <v>374</v>
          </cell>
          <cell r="HA182">
            <v>108</v>
          </cell>
          <cell r="HB182">
            <v>77.599999999999994</v>
          </cell>
          <cell r="HC182">
            <v>346</v>
          </cell>
          <cell r="HD182">
            <v>72</v>
          </cell>
          <cell r="HE182">
            <v>82.8</v>
          </cell>
          <cell r="HF182">
            <v>278</v>
          </cell>
          <cell r="HG182">
            <v>88</v>
          </cell>
          <cell r="HH182">
            <v>76</v>
          </cell>
          <cell r="HI182">
            <v>260</v>
          </cell>
          <cell r="HJ182">
            <v>75</v>
          </cell>
          <cell r="HK182">
            <v>77.599999999999994</v>
          </cell>
          <cell r="HL182">
            <v>12</v>
          </cell>
          <cell r="HM182">
            <v>9</v>
          </cell>
          <cell r="HN182">
            <v>57.1</v>
          </cell>
          <cell r="HO182">
            <v>7</v>
          </cell>
          <cell r="HP182">
            <v>5</v>
          </cell>
          <cell r="HQ182">
            <v>58.3</v>
          </cell>
          <cell r="HR182">
            <v>6</v>
          </cell>
          <cell r="HS182">
            <v>5</v>
          </cell>
          <cell r="HT182">
            <v>54.5</v>
          </cell>
          <cell r="HU182">
            <v>9</v>
          </cell>
          <cell r="HV182">
            <v>2</v>
          </cell>
          <cell r="HW182">
            <v>81.8</v>
          </cell>
          <cell r="HX182">
            <v>5</v>
          </cell>
          <cell r="HY182">
            <v>1</v>
          </cell>
          <cell r="HZ182">
            <v>83.3</v>
          </cell>
          <cell r="IA182">
            <v>2</v>
          </cell>
          <cell r="IB182">
            <v>1</v>
          </cell>
          <cell r="IC182">
            <v>66.7</v>
          </cell>
          <cell r="ID182">
            <v>12</v>
          </cell>
          <cell r="IE182">
            <v>4</v>
          </cell>
          <cell r="IF182">
            <v>75</v>
          </cell>
          <cell r="IG182">
            <v>5</v>
          </cell>
          <cell r="IH182">
            <v>2</v>
          </cell>
          <cell r="II182">
            <v>71.400000000000006</v>
          </cell>
          <cell r="IJ182">
            <v>27</v>
          </cell>
          <cell r="IK182">
            <v>4</v>
          </cell>
          <cell r="IL182">
            <v>87.1</v>
          </cell>
          <cell r="IM182">
            <v>40</v>
          </cell>
          <cell r="IN182">
            <v>7</v>
          </cell>
          <cell r="IO182">
            <v>85.1</v>
          </cell>
          <cell r="IP182">
            <v>22</v>
          </cell>
          <cell r="IQ182">
            <v>4</v>
          </cell>
          <cell r="IR182">
            <v>84.6</v>
          </cell>
          <cell r="IS182">
            <v>33</v>
          </cell>
          <cell r="IT182">
            <v>5</v>
          </cell>
          <cell r="IU182">
            <v>86.8</v>
          </cell>
          <cell r="IV182">
            <v>23</v>
          </cell>
          <cell r="IW182">
            <v>2</v>
          </cell>
          <cell r="IX182">
            <v>92</v>
          </cell>
          <cell r="IY182">
            <v>17</v>
          </cell>
          <cell r="IZ182">
            <v>2</v>
          </cell>
          <cell r="JA182">
            <v>89.5</v>
          </cell>
          <cell r="JB182">
            <v>18</v>
          </cell>
          <cell r="JC182">
            <v>4</v>
          </cell>
          <cell r="JD182">
            <v>81.8</v>
          </cell>
          <cell r="JE182">
            <v>20</v>
          </cell>
          <cell r="JF182">
            <v>5</v>
          </cell>
          <cell r="JG182">
            <v>80</v>
          </cell>
          <cell r="JH182">
            <v>18</v>
          </cell>
          <cell r="JI182">
            <v>0</v>
          </cell>
          <cell r="JJ182">
            <v>100</v>
          </cell>
          <cell r="JK182">
            <v>10</v>
          </cell>
          <cell r="JL182">
            <v>0</v>
          </cell>
          <cell r="JM182">
            <v>100</v>
          </cell>
          <cell r="JN182">
            <v>4</v>
          </cell>
          <cell r="JO182">
            <v>0</v>
          </cell>
          <cell r="JP182">
            <v>100</v>
          </cell>
          <cell r="JQ182">
            <v>974</v>
          </cell>
          <cell r="JR182">
            <v>125</v>
          </cell>
          <cell r="JS182">
            <v>88.626023657870789</v>
          </cell>
          <cell r="JT182">
            <v>368</v>
          </cell>
          <cell r="JU182">
            <v>101</v>
          </cell>
          <cell r="JV182">
            <v>78.464818763326221</v>
          </cell>
          <cell r="JW182">
            <v>2</v>
          </cell>
          <cell r="JX182">
            <v>0</v>
          </cell>
          <cell r="JY182">
            <v>100</v>
          </cell>
          <cell r="JZ182">
            <v>134</v>
          </cell>
          <cell r="KA182">
            <v>45</v>
          </cell>
          <cell r="KB182">
            <v>74.860335195530723</v>
          </cell>
          <cell r="KC182">
            <v>33</v>
          </cell>
          <cell r="KD182">
            <v>1</v>
          </cell>
          <cell r="KE182">
            <v>97.058823529411768</v>
          </cell>
          <cell r="KF182">
            <v>1626</v>
          </cell>
          <cell r="KG182">
            <v>457</v>
          </cell>
          <cell r="KH182">
            <v>78.060489678348532</v>
          </cell>
          <cell r="KI182">
            <v>33</v>
          </cell>
          <cell r="KJ182">
            <v>10</v>
          </cell>
          <cell r="KK182">
            <v>76.744186046511629</v>
          </cell>
          <cell r="KL182">
            <v>111</v>
          </cell>
          <cell r="KM182">
            <v>18</v>
          </cell>
          <cell r="KN182">
            <v>86.04651162790698</v>
          </cell>
        </row>
        <row r="183">
          <cell r="C183" t="str">
            <v>Veszprém MRFK Központ</v>
          </cell>
          <cell r="D183">
            <v>3</v>
          </cell>
          <cell r="E183">
            <v>3</v>
          </cell>
          <cell r="F183">
            <v>100</v>
          </cell>
          <cell r="G183">
            <v>7</v>
          </cell>
          <cell r="H183">
            <v>2</v>
          </cell>
          <cell r="I183">
            <v>77.8</v>
          </cell>
          <cell r="J183">
            <v>8</v>
          </cell>
          <cell r="K183">
            <v>3</v>
          </cell>
          <cell r="L183">
            <v>72.7</v>
          </cell>
          <cell r="M183">
            <v>9</v>
          </cell>
          <cell r="N183">
            <v>1</v>
          </cell>
          <cell r="O183">
            <v>90</v>
          </cell>
          <cell r="P183">
            <v>3</v>
          </cell>
          <cell r="Q183">
            <v>1</v>
          </cell>
          <cell r="R183">
            <v>75</v>
          </cell>
          <cell r="S183">
            <v>5</v>
          </cell>
          <cell r="T183">
            <v>5</v>
          </cell>
          <cell r="U183">
            <v>100</v>
          </cell>
          <cell r="V183">
            <v>5</v>
          </cell>
          <cell r="W183">
            <v>5</v>
          </cell>
          <cell r="X183">
            <v>100</v>
          </cell>
          <cell r="Y183">
            <v>2</v>
          </cell>
          <cell r="Z183">
            <v>2</v>
          </cell>
          <cell r="AA183">
            <v>100</v>
          </cell>
          <cell r="AB183">
            <v>1</v>
          </cell>
          <cell r="AC183">
            <v>1</v>
          </cell>
          <cell r="AD183">
            <v>100</v>
          </cell>
          <cell r="AE183">
            <v>2</v>
          </cell>
          <cell r="AF183">
            <v>2</v>
          </cell>
          <cell r="AG183">
            <v>100</v>
          </cell>
          <cell r="AH183">
            <v>100</v>
          </cell>
          <cell r="AI183">
            <v>3</v>
          </cell>
          <cell r="AJ183">
            <v>0</v>
          </cell>
          <cell r="AK183">
            <v>3</v>
          </cell>
          <cell r="AL183">
            <v>3</v>
          </cell>
          <cell r="AM183">
            <v>100</v>
          </cell>
          <cell r="AN183">
            <v>1</v>
          </cell>
          <cell r="AO183">
            <v>1</v>
          </cell>
          <cell r="AP183">
            <v>100</v>
          </cell>
          <cell r="AQ183">
            <v>4</v>
          </cell>
          <cell r="AR183">
            <v>4</v>
          </cell>
          <cell r="AS183">
            <v>100</v>
          </cell>
          <cell r="AT183">
            <v>1</v>
          </cell>
          <cell r="AU183">
            <v>1</v>
          </cell>
          <cell r="AV183">
            <v>100</v>
          </cell>
          <cell r="AW183">
            <v>2</v>
          </cell>
          <cell r="AX183">
            <v>2</v>
          </cell>
          <cell r="AY183">
            <v>100</v>
          </cell>
          <cell r="AZ183">
            <v>1</v>
          </cell>
          <cell r="BA183">
            <v>1</v>
          </cell>
          <cell r="BB183">
            <v>100</v>
          </cell>
          <cell r="BC183">
            <v>2</v>
          </cell>
          <cell r="BD183">
            <v>1</v>
          </cell>
          <cell r="BE183">
            <v>66.7</v>
          </cell>
          <cell r="BF183">
            <v>5</v>
          </cell>
          <cell r="BG183">
            <v>5</v>
          </cell>
          <cell r="BH183">
            <v>100</v>
          </cell>
          <cell r="BI183">
            <v>3</v>
          </cell>
          <cell r="BJ183">
            <v>1</v>
          </cell>
          <cell r="BK183">
            <v>75</v>
          </cell>
          <cell r="BL183">
            <v>1</v>
          </cell>
          <cell r="BM183">
            <v>1</v>
          </cell>
          <cell r="BN183">
            <v>50</v>
          </cell>
          <cell r="BO183">
            <v>1</v>
          </cell>
          <cell r="BP183">
            <v>1</v>
          </cell>
          <cell r="BQ183">
            <v>100</v>
          </cell>
          <cell r="BR183">
            <v>4</v>
          </cell>
          <cell r="BS183">
            <v>4</v>
          </cell>
          <cell r="BT183">
            <v>100</v>
          </cell>
          <cell r="BU183">
            <v>100</v>
          </cell>
          <cell r="BV183">
            <v>100</v>
          </cell>
          <cell r="BW183" t="str">
            <v>-</v>
          </cell>
          <cell r="BX183">
            <v>7</v>
          </cell>
          <cell r="BY183">
            <v>7</v>
          </cell>
          <cell r="BZ183">
            <v>100</v>
          </cell>
          <cell r="CA183">
            <v>7</v>
          </cell>
          <cell r="CB183">
            <v>1</v>
          </cell>
          <cell r="CC183">
            <v>87.5</v>
          </cell>
          <cell r="CD183">
            <v>10</v>
          </cell>
          <cell r="CE183">
            <v>10</v>
          </cell>
          <cell r="CF183">
            <v>100</v>
          </cell>
          <cell r="CG183">
            <v>12</v>
          </cell>
          <cell r="CH183">
            <v>3</v>
          </cell>
          <cell r="CI183">
            <v>80</v>
          </cell>
          <cell r="CJ183">
            <v>10</v>
          </cell>
          <cell r="CK183">
            <v>10</v>
          </cell>
          <cell r="CL183">
            <v>100</v>
          </cell>
          <cell r="CM183">
            <v>7</v>
          </cell>
          <cell r="CN183">
            <v>7</v>
          </cell>
          <cell r="CO183">
            <v>100</v>
          </cell>
          <cell r="CP183">
            <v>6</v>
          </cell>
          <cell r="CQ183">
            <v>1</v>
          </cell>
          <cell r="CR183">
            <v>85.7</v>
          </cell>
          <cell r="CS183">
            <v>6</v>
          </cell>
          <cell r="CT183">
            <v>3</v>
          </cell>
          <cell r="CU183">
            <v>66.7</v>
          </cell>
          <cell r="CV183">
            <v>7</v>
          </cell>
          <cell r="CW183">
            <v>7</v>
          </cell>
          <cell r="CX183">
            <v>100</v>
          </cell>
          <cell r="CY183">
            <v>5</v>
          </cell>
          <cell r="CZ183">
            <v>1</v>
          </cell>
          <cell r="DA183">
            <v>83.3</v>
          </cell>
          <cell r="DB183">
            <v>9</v>
          </cell>
          <cell r="DC183">
            <v>9</v>
          </cell>
          <cell r="DD183">
            <v>100</v>
          </cell>
          <cell r="DE183">
            <v>6</v>
          </cell>
          <cell r="DF183">
            <v>2</v>
          </cell>
          <cell r="DG183">
            <v>75</v>
          </cell>
          <cell r="DH183">
            <v>9</v>
          </cell>
          <cell r="DI183">
            <v>9</v>
          </cell>
          <cell r="DJ183">
            <v>100</v>
          </cell>
          <cell r="DK183">
            <v>7</v>
          </cell>
          <cell r="DL183">
            <v>7</v>
          </cell>
          <cell r="DM183">
            <v>100</v>
          </cell>
          <cell r="DN183">
            <v>6</v>
          </cell>
          <cell r="DO183">
            <v>1</v>
          </cell>
          <cell r="DP183">
            <v>85.7</v>
          </cell>
          <cell r="DQ183">
            <v>4</v>
          </cell>
          <cell r="DR183">
            <v>3</v>
          </cell>
          <cell r="DS183">
            <v>57.1</v>
          </cell>
          <cell r="DT183">
            <v>57.0999755859375</v>
          </cell>
          <cell r="DU183">
            <v>57.0999755859375</v>
          </cell>
          <cell r="DV183" t="str">
            <v>-</v>
          </cell>
          <cell r="DW183">
            <v>57.0999755859375</v>
          </cell>
          <cell r="DX183">
            <v>57.0999755859375</v>
          </cell>
          <cell r="DY183" t="str">
            <v>-</v>
          </cell>
          <cell r="DZ183">
            <v>4</v>
          </cell>
          <cell r="EA183">
            <v>4</v>
          </cell>
          <cell r="EB183">
            <v>100</v>
          </cell>
          <cell r="EC183">
            <v>100</v>
          </cell>
          <cell r="ED183">
            <v>100</v>
          </cell>
          <cell r="EE183" t="str">
            <v>-</v>
          </cell>
          <cell r="EF183">
            <v>1</v>
          </cell>
          <cell r="EG183">
            <v>1</v>
          </cell>
          <cell r="EH183">
            <v>100</v>
          </cell>
          <cell r="EI183">
            <v>1</v>
          </cell>
          <cell r="EJ183">
            <v>1</v>
          </cell>
          <cell r="EK183">
            <v>100</v>
          </cell>
          <cell r="EL183">
            <v>2</v>
          </cell>
          <cell r="EM183">
            <v>2</v>
          </cell>
          <cell r="EN183">
            <v>100</v>
          </cell>
          <cell r="EO183">
            <v>100</v>
          </cell>
          <cell r="EP183">
            <v>100</v>
          </cell>
          <cell r="EQ183" t="str">
            <v>-</v>
          </cell>
          <cell r="ER183">
            <v>1</v>
          </cell>
          <cell r="ES183">
            <v>1</v>
          </cell>
          <cell r="ET183">
            <v>100</v>
          </cell>
          <cell r="EU183">
            <v>2</v>
          </cell>
          <cell r="EV183">
            <v>2</v>
          </cell>
          <cell r="EW183">
            <v>100</v>
          </cell>
          <cell r="EX183">
            <v>4</v>
          </cell>
          <cell r="EY183">
            <v>4</v>
          </cell>
          <cell r="EZ183">
            <v>100</v>
          </cell>
          <cell r="FA183">
            <v>2</v>
          </cell>
          <cell r="FB183">
            <v>2</v>
          </cell>
          <cell r="FC183">
            <v>100</v>
          </cell>
          <cell r="FD183">
            <v>1</v>
          </cell>
          <cell r="FE183">
            <v>1</v>
          </cell>
          <cell r="FF183">
            <v>50</v>
          </cell>
          <cell r="FG183">
            <v>4</v>
          </cell>
          <cell r="FH183">
            <v>4</v>
          </cell>
          <cell r="FI183">
            <v>100</v>
          </cell>
          <cell r="FJ183">
            <v>3</v>
          </cell>
          <cell r="FK183">
            <v>3</v>
          </cell>
          <cell r="FL183">
            <v>100</v>
          </cell>
          <cell r="FM183">
            <v>2</v>
          </cell>
          <cell r="FN183">
            <v>2</v>
          </cell>
          <cell r="FO183">
            <v>100</v>
          </cell>
          <cell r="FP183">
            <v>100</v>
          </cell>
          <cell r="FQ183">
            <v>100</v>
          </cell>
          <cell r="FR183" t="str">
            <v>-</v>
          </cell>
          <cell r="FS183">
            <v>100</v>
          </cell>
          <cell r="FT183">
            <v>100</v>
          </cell>
          <cell r="FU183" t="str">
            <v>-</v>
          </cell>
          <cell r="FV183">
            <v>100</v>
          </cell>
          <cell r="FW183">
            <v>100</v>
          </cell>
          <cell r="FX183" t="str">
            <v>-</v>
          </cell>
          <cell r="FY183">
            <v>1</v>
          </cell>
          <cell r="FZ183">
            <v>1</v>
          </cell>
          <cell r="GA183">
            <v>100</v>
          </cell>
          <cell r="GB183">
            <v>100</v>
          </cell>
          <cell r="GC183">
            <v>100</v>
          </cell>
          <cell r="GD183" t="str">
            <v>-</v>
          </cell>
          <cell r="GE183">
            <v>100</v>
          </cell>
          <cell r="GF183">
            <v>100</v>
          </cell>
          <cell r="GG183" t="str">
            <v>-</v>
          </cell>
          <cell r="GH183">
            <v>3</v>
          </cell>
          <cell r="GI183">
            <v>3</v>
          </cell>
          <cell r="GJ183">
            <v>100</v>
          </cell>
          <cell r="GK183">
            <v>100</v>
          </cell>
          <cell r="GL183">
            <v>100</v>
          </cell>
          <cell r="GM183" t="str">
            <v>-</v>
          </cell>
          <cell r="GN183">
            <v>3</v>
          </cell>
          <cell r="GO183">
            <v>3</v>
          </cell>
          <cell r="GP183">
            <v>100</v>
          </cell>
          <cell r="GQ183">
            <v>1</v>
          </cell>
          <cell r="GR183">
            <v>1</v>
          </cell>
          <cell r="GS183">
            <v>100</v>
          </cell>
          <cell r="GT183">
            <v>2</v>
          </cell>
          <cell r="GU183">
            <v>2</v>
          </cell>
          <cell r="GV183">
            <v>100</v>
          </cell>
          <cell r="GW183">
            <v>1</v>
          </cell>
          <cell r="GX183">
            <v>1</v>
          </cell>
          <cell r="GY183">
            <v>100</v>
          </cell>
          <cell r="GZ183">
            <v>2</v>
          </cell>
          <cell r="HA183">
            <v>2</v>
          </cell>
          <cell r="HB183">
            <v>100</v>
          </cell>
          <cell r="HC183">
            <v>1</v>
          </cell>
          <cell r="HD183">
            <v>1</v>
          </cell>
          <cell r="HE183">
            <v>100</v>
          </cell>
          <cell r="HF183">
            <v>1</v>
          </cell>
          <cell r="HG183">
            <v>1</v>
          </cell>
          <cell r="HH183">
            <v>100</v>
          </cell>
          <cell r="HI183">
            <v>1</v>
          </cell>
          <cell r="HJ183">
            <v>1</v>
          </cell>
          <cell r="HK183">
            <v>100</v>
          </cell>
          <cell r="HL183">
            <v>100</v>
          </cell>
          <cell r="HM183">
            <v>100</v>
          </cell>
          <cell r="HN183" t="str">
            <v>-</v>
          </cell>
          <cell r="HO183">
            <v>2</v>
          </cell>
          <cell r="HP183">
            <v>1</v>
          </cell>
          <cell r="HQ183">
            <v>66.7</v>
          </cell>
          <cell r="HR183">
            <v>1</v>
          </cell>
          <cell r="HS183">
            <v>1</v>
          </cell>
          <cell r="HT183">
            <v>100</v>
          </cell>
          <cell r="HU183">
            <v>100</v>
          </cell>
          <cell r="HV183">
            <v>100</v>
          </cell>
          <cell r="HW183" t="str">
            <v>-</v>
          </cell>
          <cell r="HX183">
            <v>100</v>
          </cell>
          <cell r="HY183">
            <v>100</v>
          </cell>
          <cell r="HZ183" t="str">
            <v>-</v>
          </cell>
          <cell r="IA183">
            <v>100</v>
          </cell>
          <cell r="IB183">
            <v>100</v>
          </cell>
          <cell r="IC183" t="str">
            <v>-</v>
          </cell>
          <cell r="ID183">
            <v>1</v>
          </cell>
          <cell r="IE183">
            <v>1</v>
          </cell>
          <cell r="IF183">
            <v>100</v>
          </cell>
          <cell r="IG183">
            <v>100</v>
          </cell>
          <cell r="IH183">
            <v>100</v>
          </cell>
          <cell r="II183" t="str">
            <v>-</v>
          </cell>
          <cell r="IJ183">
            <v>100</v>
          </cell>
          <cell r="IK183">
            <v>100</v>
          </cell>
          <cell r="IL183" t="str">
            <v>-</v>
          </cell>
          <cell r="IM183">
            <v>100</v>
          </cell>
          <cell r="IN183">
            <v>100</v>
          </cell>
          <cell r="IO183" t="str">
            <v>-</v>
          </cell>
          <cell r="IP183">
            <v>100</v>
          </cell>
          <cell r="IQ183">
            <v>100</v>
          </cell>
          <cell r="IR183" t="str">
            <v>-</v>
          </cell>
          <cell r="IS183">
            <v>100</v>
          </cell>
          <cell r="IT183">
            <v>100</v>
          </cell>
          <cell r="IU183" t="str">
            <v>-</v>
          </cell>
          <cell r="IV183">
            <v>11</v>
          </cell>
          <cell r="IW183">
            <v>11</v>
          </cell>
          <cell r="IX183">
            <v>100</v>
          </cell>
          <cell r="IY183">
            <v>16</v>
          </cell>
          <cell r="IZ183">
            <v>5</v>
          </cell>
          <cell r="JA183">
            <v>76.2</v>
          </cell>
          <cell r="JB183">
            <v>1</v>
          </cell>
          <cell r="JC183">
            <v>1</v>
          </cell>
          <cell r="JD183">
            <v>100</v>
          </cell>
          <cell r="JE183">
            <v>5</v>
          </cell>
          <cell r="JF183">
            <v>2</v>
          </cell>
          <cell r="JG183">
            <v>71.400000000000006</v>
          </cell>
          <cell r="JH183">
            <v>24</v>
          </cell>
          <cell r="JI183">
            <v>2</v>
          </cell>
          <cell r="JJ183">
            <v>92.307692307692307</v>
          </cell>
          <cell r="JK183">
            <v>11</v>
          </cell>
          <cell r="JL183">
            <v>0</v>
          </cell>
          <cell r="JM183">
            <v>100</v>
          </cell>
          <cell r="JN183">
            <v>9</v>
          </cell>
          <cell r="JO183">
            <v>2</v>
          </cell>
          <cell r="JP183">
            <v>81.818181818181827</v>
          </cell>
          <cell r="JQ183">
            <v>41</v>
          </cell>
          <cell r="JR183">
            <v>7</v>
          </cell>
          <cell r="JS183">
            <v>85.416666666666657</v>
          </cell>
          <cell r="JT183">
            <v>32</v>
          </cell>
          <cell r="JU183">
            <v>6</v>
          </cell>
          <cell r="JV183">
            <v>84.210526315789465</v>
          </cell>
          <cell r="JW183">
            <v>4</v>
          </cell>
          <cell r="JX183">
            <v>0</v>
          </cell>
          <cell r="JY183">
            <v>100</v>
          </cell>
          <cell r="JZ183">
            <v>12</v>
          </cell>
          <cell r="KA183">
            <v>1</v>
          </cell>
          <cell r="KB183">
            <v>92.307692307692307</v>
          </cell>
          <cell r="KC183">
            <v>4</v>
          </cell>
          <cell r="KD183">
            <v>0</v>
          </cell>
          <cell r="KE183">
            <v>100</v>
          </cell>
          <cell r="KF183">
            <v>6</v>
          </cell>
          <cell r="KG183">
            <v>0</v>
          </cell>
          <cell r="KH183">
            <v>100</v>
          </cell>
          <cell r="KI183">
            <v>1</v>
          </cell>
          <cell r="KJ183">
            <v>0</v>
          </cell>
          <cell r="KK183">
            <v>100</v>
          </cell>
          <cell r="KL183">
            <v>33</v>
          </cell>
          <cell r="KM183">
            <v>7</v>
          </cell>
          <cell r="KN183">
            <v>82.5</v>
          </cell>
        </row>
        <row r="184">
          <cell r="C184" t="str">
            <v>Veszprémi Rendőrkapitányság</v>
          </cell>
          <cell r="D184">
            <v>82.5</v>
          </cell>
          <cell r="E184">
            <v>82.5</v>
          </cell>
          <cell r="F184" t="str">
            <v>-</v>
          </cell>
          <cell r="G184">
            <v>82.5</v>
          </cell>
          <cell r="H184">
            <v>82.5</v>
          </cell>
          <cell r="I184" t="str">
            <v>-</v>
          </cell>
          <cell r="J184">
            <v>1</v>
          </cell>
          <cell r="K184">
            <v>1</v>
          </cell>
          <cell r="L184">
            <v>100</v>
          </cell>
          <cell r="M184">
            <v>100</v>
          </cell>
          <cell r="N184">
            <v>100</v>
          </cell>
          <cell r="O184" t="str">
            <v>-</v>
          </cell>
          <cell r="P184">
            <v>1</v>
          </cell>
          <cell r="Q184">
            <v>1</v>
          </cell>
          <cell r="R184">
            <v>100</v>
          </cell>
          <cell r="S184">
            <v>100</v>
          </cell>
          <cell r="T184">
            <v>100</v>
          </cell>
          <cell r="U184" t="str">
            <v>-</v>
          </cell>
          <cell r="V184">
            <v>100</v>
          </cell>
          <cell r="W184">
            <v>100</v>
          </cell>
          <cell r="X184" t="str">
            <v>-</v>
          </cell>
          <cell r="Y184">
            <v>100</v>
          </cell>
          <cell r="Z184">
            <v>100</v>
          </cell>
          <cell r="AA184" t="str">
            <v>-</v>
          </cell>
          <cell r="AB184">
            <v>100</v>
          </cell>
          <cell r="AC184">
            <v>100</v>
          </cell>
          <cell r="AD184" t="str">
            <v>-</v>
          </cell>
          <cell r="AE184">
            <v>100</v>
          </cell>
          <cell r="AF184">
            <v>100</v>
          </cell>
          <cell r="AG184" t="str">
            <v>-</v>
          </cell>
          <cell r="AH184">
            <v>100</v>
          </cell>
          <cell r="AI184">
            <v>100</v>
          </cell>
          <cell r="AJ184" t="str">
            <v>-</v>
          </cell>
          <cell r="AK184">
            <v>100</v>
          </cell>
          <cell r="AL184">
            <v>100</v>
          </cell>
          <cell r="AM184" t="str">
            <v>-</v>
          </cell>
          <cell r="AN184">
            <v>100</v>
          </cell>
          <cell r="AO184">
            <v>100</v>
          </cell>
          <cell r="AP184" t="str">
            <v>-</v>
          </cell>
          <cell r="AQ184">
            <v>100</v>
          </cell>
          <cell r="AR184">
            <v>100</v>
          </cell>
          <cell r="AS184" t="str">
            <v>-</v>
          </cell>
          <cell r="AT184">
            <v>100</v>
          </cell>
          <cell r="AU184">
            <v>100</v>
          </cell>
          <cell r="AV184" t="str">
            <v>-</v>
          </cell>
          <cell r="AW184">
            <v>100</v>
          </cell>
          <cell r="AX184">
            <v>100</v>
          </cell>
          <cell r="AY184" t="str">
            <v>-</v>
          </cell>
          <cell r="AZ184">
            <v>100</v>
          </cell>
          <cell r="BA184">
            <v>100</v>
          </cell>
          <cell r="BB184" t="str">
            <v>-</v>
          </cell>
          <cell r="BC184">
            <v>100</v>
          </cell>
          <cell r="BD184">
            <v>100</v>
          </cell>
          <cell r="BE184" t="str">
            <v>-</v>
          </cell>
          <cell r="BF184">
            <v>1</v>
          </cell>
          <cell r="BG184">
            <v>1</v>
          </cell>
          <cell r="BH184">
            <v>100</v>
          </cell>
          <cell r="BI184">
            <v>100</v>
          </cell>
          <cell r="BJ184">
            <v>100</v>
          </cell>
          <cell r="BK184" t="str">
            <v>-</v>
          </cell>
          <cell r="BL184">
            <v>1</v>
          </cell>
          <cell r="BM184">
            <v>1</v>
          </cell>
          <cell r="BN184">
            <v>100</v>
          </cell>
          <cell r="BO184">
            <v>100</v>
          </cell>
          <cell r="BP184">
            <v>100</v>
          </cell>
          <cell r="BQ184" t="str">
            <v>-</v>
          </cell>
          <cell r="BR184">
            <v>100</v>
          </cell>
          <cell r="BS184">
            <v>100</v>
          </cell>
          <cell r="BT184" t="str">
            <v>-</v>
          </cell>
          <cell r="BU184">
            <v>100</v>
          </cell>
          <cell r="BV184">
            <v>100</v>
          </cell>
          <cell r="BW184" t="str">
            <v>-</v>
          </cell>
          <cell r="BX184">
            <v>101</v>
          </cell>
          <cell r="BY184">
            <v>15</v>
          </cell>
          <cell r="BZ184">
            <v>87.1</v>
          </cell>
          <cell r="CA184">
            <v>97</v>
          </cell>
          <cell r="CB184">
            <v>22</v>
          </cell>
          <cell r="CC184">
            <v>81.5</v>
          </cell>
          <cell r="CD184">
            <v>82</v>
          </cell>
          <cell r="CE184">
            <v>19</v>
          </cell>
          <cell r="CF184">
            <v>81.2</v>
          </cell>
          <cell r="CG184">
            <v>61</v>
          </cell>
          <cell r="CH184">
            <v>14</v>
          </cell>
          <cell r="CI184">
            <v>81.3</v>
          </cell>
          <cell r="CJ184">
            <v>99</v>
          </cell>
          <cell r="CK184">
            <v>14</v>
          </cell>
          <cell r="CL184">
            <v>87.6</v>
          </cell>
          <cell r="CM184">
            <v>80</v>
          </cell>
          <cell r="CN184">
            <v>15</v>
          </cell>
          <cell r="CO184">
            <v>84.2</v>
          </cell>
          <cell r="CP184">
            <v>83</v>
          </cell>
          <cell r="CQ184">
            <v>20</v>
          </cell>
          <cell r="CR184">
            <v>80.599999999999994</v>
          </cell>
          <cell r="CS184">
            <v>89</v>
          </cell>
          <cell r="CT184">
            <v>10</v>
          </cell>
          <cell r="CU184">
            <v>89.9</v>
          </cell>
          <cell r="CV184">
            <v>32</v>
          </cell>
          <cell r="CW184">
            <v>8</v>
          </cell>
          <cell r="CX184">
            <v>80</v>
          </cell>
          <cell r="CY184">
            <v>39</v>
          </cell>
          <cell r="CZ184">
            <v>13</v>
          </cell>
          <cell r="DA184">
            <v>75</v>
          </cell>
          <cell r="DB184">
            <v>42</v>
          </cell>
          <cell r="DC184">
            <v>11</v>
          </cell>
          <cell r="DD184">
            <v>79.2</v>
          </cell>
          <cell r="DE184">
            <v>26</v>
          </cell>
          <cell r="DF184">
            <v>10</v>
          </cell>
          <cell r="DG184">
            <v>72.2</v>
          </cell>
          <cell r="DH184">
            <v>41</v>
          </cell>
          <cell r="DI184">
            <v>6</v>
          </cell>
          <cell r="DJ184">
            <v>87.2</v>
          </cell>
          <cell r="DK184">
            <v>34</v>
          </cell>
          <cell r="DL184">
            <v>11</v>
          </cell>
          <cell r="DM184">
            <v>75.599999999999994</v>
          </cell>
          <cell r="DN184">
            <v>39</v>
          </cell>
          <cell r="DO184">
            <v>17</v>
          </cell>
          <cell r="DP184">
            <v>69.599999999999994</v>
          </cell>
          <cell r="DQ184">
            <v>39</v>
          </cell>
          <cell r="DR184">
            <v>6</v>
          </cell>
          <cell r="DS184">
            <v>86.7</v>
          </cell>
          <cell r="DT184">
            <v>86.699951171875</v>
          </cell>
          <cell r="DU184">
            <v>86.699951171875</v>
          </cell>
          <cell r="DV184" t="str">
            <v>-</v>
          </cell>
          <cell r="DW184">
            <v>86.699951171875</v>
          </cell>
          <cell r="DX184">
            <v>86.699951171875</v>
          </cell>
          <cell r="DY184" t="str">
            <v>-</v>
          </cell>
          <cell r="DZ184">
            <v>86.699951171875</v>
          </cell>
          <cell r="EA184">
            <v>86.699951171875</v>
          </cell>
          <cell r="EB184" t="str">
            <v>-</v>
          </cell>
          <cell r="EC184">
            <v>86.699951171875</v>
          </cell>
          <cell r="ED184">
            <v>86.699951171875</v>
          </cell>
          <cell r="EE184" t="str">
            <v>-</v>
          </cell>
          <cell r="EF184">
            <v>86.699951171875</v>
          </cell>
          <cell r="EG184">
            <v>86.699951171875</v>
          </cell>
          <cell r="EH184" t="str">
            <v>-</v>
          </cell>
          <cell r="EI184">
            <v>86.699951171875</v>
          </cell>
          <cell r="EJ184">
            <v>86.699951171875</v>
          </cell>
          <cell r="EK184" t="str">
            <v>-</v>
          </cell>
          <cell r="EL184">
            <v>86.699951171875</v>
          </cell>
          <cell r="EM184">
            <v>86.699951171875</v>
          </cell>
          <cell r="EN184" t="str">
            <v>-</v>
          </cell>
          <cell r="EO184">
            <v>86.699951171875</v>
          </cell>
          <cell r="EP184">
            <v>86.699951171875</v>
          </cell>
          <cell r="EQ184" t="str">
            <v>-</v>
          </cell>
          <cell r="ER184">
            <v>27</v>
          </cell>
          <cell r="ES184">
            <v>9</v>
          </cell>
          <cell r="ET184">
            <v>75</v>
          </cell>
          <cell r="EU184">
            <v>41</v>
          </cell>
          <cell r="EV184">
            <v>8</v>
          </cell>
          <cell r="EW184">
            <v>83.7</v>
          </cell>
          <cell r="EX184">
            <v>18</v>
          </cell>
          <cell r="EY184">
            <v>20</v>
          </cell>
          <cell r="EZ184">
            <v>47.4</v>
          </cell>
          <cell r="FA184">
            <v>30</v>
          </cell>
          <cell r="FB184">
            <v>3</v>
          </cell>
          <cell r="FC184">
            <v>90.9</v>
          </cell>
          <cell r="FD184">
            <v>30</v>
          </cell>
          <cell r="FE184">
            <v>10</v>
          </cell>
          <cell r="FF184">
            <v>75</v>
          </cell>
          <cell r="FG184">
            <v>24</v>
          </cell>
          <cell r="FH184">
            <v>10</v>
          </cell>
          <cell r="FI184">
            <v>70.599999999999994</v>
          </cell>
          <cell r="FJ184">
            <v>23</v>
          </cell>
          <cell r="FK184">
            <v>11</v>
          </cell>
          <cell r="FL184">
            <v>67.599999999999994</v>
          </cell>
          <cell r="FM184">
            <v>20</v>
          </cell>
          <cell r="FN184">
            <v>9</v>
          </cell>
          <cell r="FO184">
            <v>69</v>
          </cell>
          <cell r="FP184">
            <v>69</v>
          </cell>
          <cell r="FQ184">
            <v>69</v>
          </cell>
          <cell r="FR184" t="str">
            <v>-</v>
          </cell>
          <cell r="FS184">
            <v>69</v>
          </cell>
          <cell r="FT184">
            <v>69</v>
          </cell>
          <cell r="FU184" t="str">
            <v>-</v>
          </cell>
          <cell r="FV184">
            <v>69</v>
          </cell>
          <cell r="FW184">
            <v>69</v>
          </cell>
          <cell r="FX184" t="str">
            <v>-</v>
          </cell>
          <cell r="FY184">
            <v>69</v>
          </cell>
          <cell r="FZ184">
            <v>69</v>
          </cell>
          <cell r="GA184" t="str">
            <v>-</v>
          </cell>
          <cell r="GB184">
            <v>69</v>
          </cell>
          <cell r="GC184">
            <v>69</v>
          </cell>
          <cell r="GD184" t="str">
            <v>-</v>
          </cell>
          <cell r="GE184">
            <v>69</v>
          </cell>
          <cell r="GF184">
            <v>69</v>
          </cell>
          <cell r="GG184" t="str">
            <v>-</v>
          </cell>
          <cell r="GH184">
            <v>69</v>
          </cell>
          <cell r="GI184">
            <v>69</v>
          </cell>
          <cell r="GJ184" t="str">
            <v>-</v>
          </cell>
          <cell r="GK184">
            <v>69</v>
          </cell>
          <cell r="GL184">
            <v>69</v>
          </cell>
          <cell r="GM184" t="str">
            <v>-</v>
          </cell>
          <cell r="GN184">
            <v>57</v>
          </cell>
          <cell r="GO184">
            <v>16</v>
          </cell>
          <cell r="GP184">
            <v>78.099999999999994</v>
          </cell>
          <cell r="GQ184">
            <v>58</v>
          </cell>
          <cell r="GR184">
            <v>16</v>
          </cell>
          <cell r="GS184">
            <v>78.400000000000006</v>
          </cell>
          <cell r="GT184">
            <v>40</v>
          </cell>
          <cell r="GU184">
            <v>9</v>
          </cell>
          <cell r="GV184">
            <v>81.599999999999994</v>
          </cell>
          <cell r="GW184">
            <v>81</v>
          </cell>
          <cell r="GX184">
            <v>24</v>
          </cell>
          <cell r="GY184">
            <v>77.099999999999994</v>
          </cell>
          <cell r="GZ184">
            <v>65</v>
          </cell>
          <cell r="HA184">
            <v>15</v>
          </cell>
          <cell r="HB184">
            <v>81.3</v>
          </cell>
          <cell r="HC184">
            <v>66</v>
          </cell>
          <cell r="HD184">
            <v>9</v>
          </cell>
          <cell r="HE184">
            <v>88</v>
          </cell>
          <cell r="HF184">
            <v>98</v>
          </cell>
          <cell r="HG184">
            <v>23</v>
          </cell>
          <cell r="HH184">
            <v>81</v>
          </cell>
          <cell r="HI184">
            <v>115</v>
          </cell>
          <cell r="HJ184">
            <v>28</v>
          </cell>
          <cell r="HK184">
            <v>80.400000000000006</v>
          </cell>
          <cell r="HL184">
            <v>7</v>
          </cell>
          <cell r="HM184">
            <v>2</v>
          </cell>
          <cell r="HN184">
            <v>77.8</v>
          </cell>
          <cell r="HO184">
            <v>4</v>
          </cell>
          <cell r="HP184">
            <v>2</v>
          </cell>
          <cell r="HQ184">
            <v>66.7</v>
          </cell>
          <cell r="HR184">
            <v>4</v>
          </cell>
          <cell r="HS184">
            <v>3</v>
          </cell>
          <cell r="HT184">
            <v>57.1</v>
          </cell>
          <cell r="HU184">
            <v>5</v>
          </cell>
          <cell r="HV184">
            <v>1</v>
          </cell>
          <cell r="HW184">
            <v>83.3</v>
          </cell>
          <cell r="HX184">
            <v>3</v>
          </cell>
          <cell r="HY184">
            <v>1</v>
          </cell>
          <cell r="HZ184">
            <v>75</v>
          </cell>
          <cell r="IA184">
            <v>4</v>
          </cell>
          <cell r="IB184">
            <v>4</v>
          </cell>
          <cell r="IC184">
            <v>100</v>
          </cell>
          <cell r="ID184">
            <v>3</v>
          </cell>
          <cell r="IE184">
            <v>2</v>
          </cell>
          <cell r="IF184">
            <v>60</v>
          </cell>
          <cell r="IG184">
            <v>1</v>
          </cell>
          <cell r="IH184">
            <v>2</v>
          </cell>
          <cell r="II184">
            <v>33.299999999999997</v>
          </cell>
          <cell r="IJ184">
            <v>2</v>
          </cell>
          <cell r="IK184">
            <v>2</v>
          </cell>
          <cell r="IL184">
            <v>100</v>
          </cell>
          <cell r="IM184">
            <v>100</v>
          </cell>
          <cell r="IN184">
            <v>100</v>
          </cell>
          <cell r="IO184" t="str">
            <v>-</v>
          </cell>
          <cell r="IP184">
            <v>100</v>
          </cell>
          <cell r="IQ184">
            <v>100</v>
          </cell>
          <cell r="IR184" t="str">
            <v>-</v>
          </cell>
          <cell r="IS184">
            <v>4</v>
          </cell>
          <cell r="IT184">
            <v>1</v>
          </cell>
          <cell r="IU184">
            <v>80</v>
          </cell>
          <cell r="IV184">
            <v>80</v>
          </cell>
          <cell r="IW184">
            <v>1</v>
          </cell>
          <cell r="IX184">
            <v>0</v>
          </cell>
          <cell r="IY184">
            <v>4</v>
          </cell>
          <cell r="IZ184">
            <v>4</v>
          </cell>
          <cell r="JA184">
            <v>100</v>
          </cell>
          <cell r="JB184">
            <v>100</v>
          </cell>
          <cell r="JC184">
            <v>100</v>
          </cell>
          <cell r="JD184" t="str">
            <v>-</v>
          </cell>
          <cell r="JE184">
            <v>3</v>
          </cell>
          <cell r="JF184">
            <v>1</v>
          </cell>
          <cell r="JG184">
            <v>75</v>
          </cell>
          <cell r="JH184">
            <v>1</v>
          </cell>
          <cell r="JI184">
            <v>0</v>
          </cell>
          <cell r="JJ184">
            <v>100</v>
          </cell>
          <cell r="JK184">
            <v>0</v>
          </cell>
          <cell r="JL184">
            <v>0</v>
          </cell>
          <cell r="JM184" t="str">
            <v>-</v>
          </cell>
          <cell r="JN184">
            <v>1</v>
          </cell>
          <cell r="JO184">
            <v>0</v>
          </cell>
          <cell r="JP184">
            <v>100</v>
          </cell>
          <cell r="JQ184">
            <v>412</v>
          </cell>
          <cell r="JR184">
            <v>73</v>
          </cell>
          <cell r="JS184">
            <v>84.948453608247419</v>
          </cell>
          <cell r="JT184">
            <v>179</v>
          </cell>
          <cell r="JU184">
            <v>50</v>
          </cell>
          <cell r="JV184">
            <v>78.165938864628828</v>
          </cell>
          <cell r="JW184">
            <v>0</v>
          </cell>
          <cell r="JX184">
            <v>0</v>
          </cell>
          <cell r="JY184" t="str">
            <v>-</v>
          </cell>
          <cell r="JZ184">
            <v>127</v>
          </cell>
          <cell r="KA184">
            <v>43</v>
          </cell>
          <cell r="KB184">
            <v>74.705882352941174</v>
          </cell>
          <cell r="KC184">
            <v>0</v>
          </cell>
          <cell r="KD184">
            <v>0</v>
          </cell>
          <cell r="KE184" t="str">
            <v>-</v>
          </cell>
          <cell r="KF184">
            <v>425</v>
          </cell>
          <cell r="KG184">
            <v>99</v>
          </cell>
          <cell r="KH184">
            <v>81.106870229007626</v>
          </cell>
          <cell r="KI184">
            <v>16</v>
          </cell>
          <cell r="KJ184">
            <v>6</v>
          </cell>
          <cell r="KK184">
            <v>72.727272727272734</v>
          </cell>
          <cell r="KL184">
            <v>11</v>
          </cell>
          <cell r="KM184">
            <v>3</v>
          </cell>
          <cell r="KN184">
            <v>78.571428571428569</v>
          </cell>
        </row>
        <row r="185">
          <cell r="C185" t="str">
            <v>Pápai Rendőrkapitányság</v>
          </cell>
          <cell r="D185">
            <v>1</v>
          </cell>
          <cell r="E185">
            <v>1</v>
          </cell>
          <cell r="F185">
            <v>100</v>
          </cell>
          <cell r="G185">
            <v>100</v>
          </cell>
          <cell r="H185">
            <v>100</v>
          </cell>
          <cell r="I185" t="str">
            <v>-</v>
          </cell>
          <cell r="J185">
            <v>100</v>
          </cell>
          <cell r="K185">
            <v>100</v>
          </cell>
          <cell r="L185" t="str">
            <v>-</v>
          </cell>
          <cell r="M185">
            <v>100</v>
          </cell>
          <cell r="N185">
            <v>100</v>
          </cell>
          <cell r="O185" t="str">
            <v>-</v>
          </cell>
          <cell r="P185">
            <v>100</v>
          </cell>
          <cell r="Q185">
            <v>100</v>
          </cell>
          <cell r="R185" t="str">
            <v>-</v>
          </cell>
          <cell r="S185">
            <v>100</v>
          </cell>
          <cell r="T185">
            <v>100</v>
          </cell>
          <cell r="U185" t="str">
            <v>-</v>
          </cell>
          <cell r="V185">
            <v>100</v>
          </cell>
          <cell r="W185">
            <v>100</v>
          </cell>
          <cell r="X185" t="str">
            <v>-</v>
          </cell>
          <cell r="Y185">
            <v>100</v>
          </cell>
          <cell r="Z185">
            <v>100</v>
          </cell>
          <cell r="AA185" t="str">
            <v>-</v>
          </cell>
          <cell r="AB185">
            <v>100</v>
          </cell>
          <cell r="AC185">
            <v>100</v>
          </cell>
          <cell r="AD185" t="str">
            <v>-</v>
          </cell>
          <cell r="AE185">
            <v>100</v>
          </cell>
          <cell r="AF185">
            <v>100</v>
          </cell>
          <cell r="AG185" t="str">
            <v>-</v>
          </cell>
          <cell r="AH185">
            <v>100</v>
          </cell>
          <cell r="AI185">
            <v>100</v>
          </cell>
          <cell r="AJ185" t="str">
            <v>-</v>
          </cell>
          <cell r="AK185">
            <v>100</v>
          </cell>
          <cell r="AL185">
            <v>100</v>
          </cell>
          <cell r="AM185" t="str">
            <v>-</v>
          </cell>
          <cell r="AN185">
            <v>100</v>
          </cell>
          <cell r="AO185">
            <v>100</v>
          </cell>
          <cell r="AP185" t="str">
            <v>-</v>
          </cell>
          <cell r="AQ185">
            <v>100</v>
          </cell>
          <cell r="AR185">
            <v>100</v>
          </cell>
          <cell r="AS185" t="str">
            <v>-</v>
          </cell>
          <cell r="AT185">
            <v>100</v>
          </cell>
          <cell r="AU185">
            <v>100</v>
          </cell>
          <cell r="AV185" t="str">
            <v>-</v>
          </cell>
          <cell r="AW185">
            <v>100</v>
          </cell>
          <cell r="AX185">
            <v>100</v>
          </cell>
          <cell r="AY185" t="str">
            <v>-</v>
          </cell>
          <cell r="AZ185">
            <v>1</v>
          </cell>
          <cell r="BA185">
            <v>1</v>
          </cell>
          <cell r="BB185">
            <v>100</v>
          </cell>
          <cell r="BC185">
            <v>100</v>
          </cell>
          <cell r="BD185">
            <v>100</v>
          </cell>
          <cell r="BE185" t="str">
            <v>-</v>
          </cell>
          <cell r="BF185">
            <v>100</v>
          </cell>
          <cell r="BG185">
            <v>100</v>
          </cell>
          <cell r="BH185" t="str">
            <v>-</v>
          </cell>
          <cell r="BI185">
            <v>100</v>
          </cell>
          <cell r="BJ185">
            <v>100</v>
          </cell>
          <cell r="BK185" t="str">
            <v>-</v>
          </cell>
          <cell r="BL185">
            <v>100</v>
          </cell>
          <cell r="BM185">
            <v>100</v>
          </cell>
          <cell r="BN185" t="str">
            <v>-</v>
          </cell>
          <cell r="BO185">
            <v>100</v>
          </cell>
          <cell r="BP185">
            <v>100</v>
          </cell>
          <cell r="BQ185" t="str">
            <v>-</v>
          </cell>
          <cell r="BR185">
            <v>100</v>
          </cell>
          <cell r="BS185">
            <v>100</v>
          </cell>
          <cell r="BT185" t="str">
            <v>-</v>
          </cell>
          <cell r="BU185">
            <v>100</v>
          </cell>
          <cell r="BV185">
            <v>100</v>
          </cell>
          <cell r="BW185" t="str">
            <v>-</v>
          </cell>
          <cell r="BX185">
            <v>57</v>
          </cell>
          <cell r="BY185">
            <v>3</v>
          </cell>
          <cell r="BZ185">
            <v>95</v>
          </cell>
          <cell r="CA185">
            <v>47</v>
          </cell>
          <cell r="CB185">
            <v>3</v>
          </cell>
          <cell r="CC185">
            <v>94</v>
          </cell>
          <cell r="CD185">
            <v>46</v>
          </cell>
          <cell r="CE185">
            <v>13</v>
          </cell>
          <cell r="CF185">
            <v>78</v>
          </cell>
          <cell r="CG185">
            <v>47</v>
          </cell>
          <cell r="CH185">
            <v>11</v>
          </cell>
          <cell r="CI185">
            <v>81</v>
          </cell>
          <cell r="CJ185">
            <v>57</v>
          </cell>
          <cell r="CK185">
            <v>5</v>
          </cell>
          <cell r="CL185">
            <v>91.9</v>
          </cell>
          <cell r="CM185">
            <v>34</v>
          </cell>
          <cell r="CN185">
            <v>11</v>
          </cell>
          <cell r="CO185">
            <v>75.599999999999994</v>
          </cell>
          <cell r="CP185">
            <v>41</v>
          </cell>
          <cell r="CQ185">
            <v>13</v>
          </cell>
          <cell r="CR185">
            <v>75.900000000000006</v>
          </cell>
          <cell r="CS185">
            <v>29</v>
          </cell>
          <cell r="CT185">
            <v>16</v>
          </cell>
          <cell r="CU185">
            <v>64.400000000000006</v>
          </cell>
          <cell r="CV185">
            <v>34</v>
          </cell>
          <cell r="CW185">
            <v>1</v>
          </cell>
          <cell r="CX185">
            <v>97.1</v>
          </cell>
          <cell r="CY185">
            <v>20</v>
          </cell>
          <cell r="CZ185">
            <v>3</v>
          </cell>
          <cell r="DA185">
            <v>87</v>
          </cell>
          <cell r="DB185">
            <v>27</v>
          </cell>
          <cell r="DC185">
            <v>9</v>
          </cell>
          <cell r="DD185">
            <v>75</v>
          </cell>
          <cell r="DE185">
            <v>18</v>
          </cell>
          <cell r="DF185">
            <v>7</v>
          </cell>
          <cell r="DG185">
            <v>72</v>
          </cell>
          <cell r="DH185">
            <v>24</v>
          </cell>
          <cell r="DI185">
            <v>2</v>
          </cell>
          <cell r="DJ185">
            <v>92.3</v>
          </cell>
          <cell r="DK185">
            <v>16</v>
          </cell>
          <cell r="DL185">
            <v>3</v>
          </cell>
          <cell r="DM185">
            <v>84.2</v>
          </cell>
          <cell r="DN185">
            <v>10</v>
          </cell>
          <cell r="DO185">
            <v>8</v>
          </cell>
          <cell r="DP185">
            <v>55.6</v>
          </cell>
          <cell r="DQ185">
            <v>14</v>
          </cell>
          <cell r="DR185">
            <v>9</v>
          </cell>
          <cell r="DS185">
            <v>60.9</v>
          </cell>
          <cell r="DT185">
            <v>60.899993896484375</v>
          </cell>
          <cell r="DU185">
            <v>60.899993896484375</v>
          </cell>
          <cell r="DV185" t="str">
            <v>-</v>
          </cell>
          <cell r="DW185">
            <v>60.899993896484375</v>
          </cell>
          <cell r="DX185">
            <v>60.899993896484375</v>
          </cell>
          <cell r="DY185" t="str">
            <v>-</v>
          </cell>
          <cell r="DZ185">
            <v>60.899993896484375</v>
          </cell>
          <cell r="EA185">
            <v>60.899993896484375</v>
          </cell>
          <cell r="EB185" t="str">
            <v>-</v>
          </cell>
          <cell r="EC185">
            <v>60.899993896484375</v>
          </cell>
          <cell r="ED185">
            <v>60.899993896484375</v>
          </cell>
          <cell r="EE185" t="str">
            <v>-</v>
          </cell>
          <cell r="EF185">
            <v>60.899993896484375</v>
          </cell>
          <cell r="EG185">
            <v>60.899993896484375</v>
          </cell>
          <cell r="EH185" t="str">
            <v>-</v>
          </cell>
          <cell r="EI185">
            <v>60.899993896484375</v>
          </cell>
          <cell r="EJ185">
            <v>60.899993896484375</v>
          </cell>
          <cell r="EK185" t="str">
            <v>-</v>
          </cell>
          <cell r="EL185">
            <v>60.899993896484375</v>
          </cell>
          <cell r="EM185">
            <v>60.899993896484375</v>
          </cell>
          <cell r="EN185" t="str">
            <v>-</v>
          </cell>
          <cell r="EO185">
            <v>60.899993896484375</v>
          </cell>
          <cell r="EP185">
            <v>60.899993896484375</v>
          </cell>
          <cell r="EQ185" t="str">
            <v>-</v>
          </cell>
          <cell r="ER185">
            <v>23</v>
          </cell>
          <cell r="ES185">
            <v>12</v>
          </cell>
          <cell r="ET185">
            <v>65.7</v>
          </cell>
          <cell r="EU185">
            <v>36</v>
          </cell>
          <cell r="EV185">
            <v>9</v>
          </cell>
          <cell r="EW185">
            <v>80</v>
          </cell>
          <cell r="EX185">
            <v>20</v>
          </cell>
          <cell r="EY185">
            <v>4</v>
          </cell>
          <cell r="EZ185">
            <v>83.3</v>
          </cell>
          <cell r="FA185">
            <v>9</v>
          </cell>
          <cell r="FB185">
            <v>11</v>
          </cell>
          <cell r="FC185">
            <v>45</v>
          </cell>
          <cell r="FD185">
            <v>14</v>
          </cell>
          <cell r="FE185">
            <v>7</v>
          </cell>
          <cell r="FF185">
            <v>66.7</v>
          </cell>
          <cell r="FG185">
            <v>9</v>
          </cell>
          <cell r="FH185">
            <v>8</v>
          </cell>
          <cell r="FI185">
            <v>52.9</v>
          </cell>
          <cell r="FJ185">
            <v>7</v>
          </cell>
          <cell r="FK185">
            <v>2</v>
          </cell>
          <cell r="FL185">
            <v>77.8</v>
          </cell>
          <cell r="FM185">
            <v>6</v>
          </cell>
          <cell r="FN185">
            <v>3</v>
          </cell>
          <cell r="FO185">
            <v>66.7</v>
          </cell>
          <cell r="FP185">
            <v>66.699951171875</v>
          </cell>
          <cell r="FQ185">
            <v>66.699951171875</v>
          </cell>
          <cell r="FR185" t="str">
            <v>-</v>
          </cell>
          <cell r="FS185">
            <v>66.699951171875</v>
          </cell>
          <cell r="FT185">
            <v>66.699951171875</v>
          </cell>
          <cell r="FU185" t="str">
            <v>-</v>
          </cell>
          <cell r="FV185">
            <v>66.699951171875</v>
          </cell>
          <cell r="FW185">
            <v>66.699951171875</v>
          </cell>
          <cell r="FX185" t="str">
            <v>-</v>
          </cell>
          <cell r="FY185">
            <v>66.699951171875</v>
          </cell>
          <cell r="FZ185">
            <v>66.699951171875</v>
          </cell>
          <cell r="GA185" t="str">
            <v>-</v>
          </cell>
          <cell r="GB185">
            <v>66.699951171875</v>
          </cell>
          <cell r="GC185">
            <v>66.699951171875</v>
          </cell>
          <cell r="GD185" t="str">
            <v>-</v>
          </cell>
          <cell r="GE185">
            <v>66.699951171875</v>
          </cell>
          <cell r="GF185">
            <v>66.699951171875</v>
          </cell>
          <cell r="GG185" t="str">
            <v>-</v>
          </cell>
          <cell r="GH185">
            <v>66.699951171875</v>
          </cell>
          <cell r="GI185">
            <v>66.699951171875</v>
          </cell>
          <cell r="GJ185" t="str">
            <v>-</v>
          </cell>
          <cell r="GK185">
            <v>66.699951171875</v>
          </cell>
          <cell r="GL185">
            <v>66.699951171875</v>
          </cell>
          <cell r="GM185" t="str">
            <v>-</v>
          </cell>
          <cell r="GN185">
            <v>29</v>
          </cell>
          <cell r="GO185">
            <v>4</v>
          </cell>
          <cell r="GP185">
            <v>87.9</v>
          </cell>
          <cell r="GQ185">
            <v>54</v>
          </cell>
          <cell r="GR185">
            <v>3</v>
          </cell>
          <cell r="GS185">
            <v>94.7</v>
          </cell>
          <cell r="GT185">
            <v>39</v>
          </cell>
          <cell r="GU185">
            <v>5</v>
          </cell>
          <cell r="GV185">
            <v>88.6</v>
          </cell>
          <cell r="GW185">
            <v>58</v>
          </cell>
          <cell r="GX185">
            <v>6</v>
          </cell>
          <cell r="GY185">
            <v>90.6</v>
          </cell>
          <cell r="GZ185">
            <v>66</v>
          </cell>
          <cell r="HA185">
            <v>6</v>
          </cell>
          <cell r="HB185">
            <v>91.7</v>
          </cell>
          <cell r="HC185">
            <v>46</v>
          </cell>
          <cell r="HD185">
            <v>8</v>
          </cell>
          <cell r="HE185">
            <v>85.2</v>
          </cell>
          <cell r="HF185">
            <v>52</v>
          </cell>
          <cell r="HG185">
            <v>11</v>
          </cell>
          <cell r="HH185">
            <v>82.5</v>
          </cell>
          <cell r="HI185">
            <v>86</v>
          </cell>
          <cell r="HJ185">
            <v>21</v>
          </cell>
          <cell r="HK185">
            <v>80.400000000000006</v>
          </cell>
          <cell r="HL185">
            <v>1</v>
          </cell>
          <cell r="HM185">
            <v>2</v>
          </cell>
          <cell r="HN185">
            <v>33.299999999999997</v>
          </cell>
          <cell r="HO185">
            <v>33.29998779296875</v>
          </cell>
          <cell r="HP185">
            <v>1</v>
          </cell>
          <cell r="HQ185">
            <v>0</v>
          </cell>
          <cell r="HR185">
            <v>3</v>
          </cell>
          <cell r="HS185">
            <v>2</v>
          </cell>
          <cell r="HT185">
            <v>60</v>
          </cell>
          <cell r="HU185">
            <v>2</v>
          </cell>
          <cell r="HV185">
            <v>1</v>
          </cell>
          <cell r="HW185">
            <v>66.7</v>
          </cell>
          <cell r="HX185">
            <v>2</v>
          </cell>
          <cell r="HY185">
            <v>2</v>
          </cell>
          <cell r="HZ185">
            <v>50</v>
          </cell>
          <cell r="IA185">
            <v>6</v>
          </cell>
          <cell r="IB185">
            <v>6</v>
          </cell>
          <cell r="IC185">
            <v>100</v>
          </cell>
          <cell r="ID185">
            <v>2</v>
          </cell>
          <cell r="IE185">
            <v>2</v>
          </cell>
          <cell r="IF185">
            <v>100</v>
          </cell>
          <cell r="IG185">
            <v>100</v>
          </cell>
          <cell r="IH185">
            <v>2</v>
          </cell>
          <cell r="II185">
            <v>0</v>
          </cell>
          <cell r="IJ185">
            <v>1</v>
          </cell>
          <cell r="IK185">
            <v>1</v>
          </cell>
          <cell r="IL185">
            <v>100</v>
          </cell>
          <cell r="IM185">
            <v>1</v>
          </cell>
          <cell r="IN185">
            <v>1</v>
          </cell>
          <cell r="IO185">
            <v>100</v>
          </cell>
          <cell r="IP185">
            <v>4</v>
          </cell>
          <cell r="IQ185">
            <v>4</v>
          </cell>
          <cell r="IR185">
            <v>100</v>
          </cell>
          <cell r="IS185">
            <v>15</v>
          </cell>
          <cell r="IT185">
            <v>1</v>
          </cell>
          <cell r="IU185">
            <v>93.8</v>
          </cell>
          <cell r="IV185">
            <v>1</v>
          </cell>
          <cell r="IW185">
            <v>1</v>
          </cell>
          <cell r="IX185">
            <v>100</v>
          </cell>
          <cell r="IY185">
            <v>1</v>
          </cell>
          <cell r="IZ185">
            <v>1</v>
          </cell>
          <cell r="JA185">
            <v>100</v>
          </cell>
          <cell r="JB185">
            <v>100</v>
          </cell>
          <cell r="JC185">
            <v>1</v>
          </cell>
          <cell r="JD185">
            <v>0</v>
          </cell>
          <cell r="JE185">
            <v>0</v>
          </cell>
          <cell r="JF185">
            <v>1</v>
          </cell>
          <cell r="JG185">
            <v>0</v>
          </cell>
          <cell r="JH185">
            <v>0</v>
          </cell>
          <cell r="JI185">
            <v>0</v>
          </cell>
          <cell r="JJ185" t="str">
            <v>-</v>
          </cell>
          <cell r="JK185">
            <v>0</v>
          </cell>
          <cell r="JL185">
            <v>0</v>
          </cell>
          <cell r="JM185" t="str">
            <v>-</v>
          </cell>
          <cell r="JN185">
            <v>0</v>
          </cell>
          <cell r="JO185">
            <v>0</v>
          </cell>
          <cell r="JP185" t="str">
            <v>-</v>
          </cell>
          <cell r="JQ185">
            <v>208</v>
          </cell>
          <cell r="JR185">
            <v>56</v>
          </cell>
          <cell r="JS185">
            <v>78.787878787878782</v>
          </cell>
          <cell r="JT185">
            <v>82</v>
          </cell>
          <cell r="JU185">
            <v>29</v>
          </cell>
          <cell r="JV185">
            <v>73.873873873873876</v>
          </cell>
          <cell r="JW185">
            <v>0</v>
          </cell>
          <cell r="JX185">
            <v>0</v>
          </cell>
          <cell r="JY185" t="str">
            <v>-</v>
          </cell>
          <cell r="JZ185">
            <v>45</v>
          </cell>
          <cell r="KA185">
            <v>31</v>
          </cell>
          <cell r="KB185">
            <v>59.210526315789465</v>
          </cell>
          <cell r="KC185">
            <v>0</v>
          </cell>
          <cell r="KD185">
            <v>0</v>
          </cell>
          <cell r="KE185" t="str">
            <v>-</v>
          </cell>
          <cell r="KF185">
            <v>308</v>
          </cell>
          <cell r="KG185">
            <v>52</v>
          </cell>
          <cell r="KH185">
            <v>85.555555555555557</v>
          </cell>
          <cell r="KI185">
            <v>12</v>
          </cell>
          <cell r="KJ185">
            <v>5</v>
          </cell>
          <cell r="KK185">
            <v>70.588235294117652</v>
          </cell>
          <cell r="KL185">
            <v>17</v>
          </cell>
          <cell r="KM185">
            <v>3</v>
          </cell>
          <cell r="KN185">
            <v>85</v>
          </cell>
        </row>
        <row r="186">
          <cell r="C186" t="str">
            <v>Tapolcai Rendőrkapitányság</v>
          </cell>
          <cell r="D186">
            <v>85</v>
          </cell>
          <cell r="E186">
            <v>85</v>
          </cell>
          <cell r="F186" t="str">
            <v>-</v>
          </cell>
          <cell r="G186">
            <v>85</v>
          </cell>
          <cell r="H186">
            <v>85</v>
          </cell>
          <cell r="I186" t="str">
            <v>-</v>
          </cell>
          <cell r="J186">
            <v>85</v>
          </cell>
          <cell r="K186">
            <v>85</v>
          </cell>
          <cell r="L186" t="str">
            <v>-</v>
          </cell>
          <cell r="M186">
            <v>85</v>
          </cell>
          <cell r="N186">
            <v>85</v>
          </cell>
          <cell r="O186" t="str">
            <v>-</v>
          </cell>
          <cell r="P186">
            <v>85</v>
          </cell>
          <cell r="Q186">
            <v>85</v>
          </cell>
          <cell r="R186" t="str">
            <v>-</v>
          </cell>
          <cell r="S186">
            <v>85</v>
          </cell>
          <cell r="T186">
            <v>85</v>
          </cell>
          <cell r="U186" t="str">
            <v>-</v>
          </cell>
          <cell r="V186">
            <v>85</v>
          </cell>
          <cell r="W186">
            <v>85</v>
          </cell>
          <cell r="X186" t="str">
            <v>-</v>
          </cell>
          <cell r="Y186">
            <v>85</v>
          </cell>
          <cell r="Z186">
            <v>85</v>
          </cell>
          <cell r="AA186" t="str">
            <v>-</v>
          </cell>
          <cell r="AB186">
            <v>85</v>
          </cell>
          <cell r="AC186">
            <v>85</v>
          </cell>
          <cell r="AD186" t="str">
            <v>-</v>
          </cell>
          <cell r="AE186">
            <v>85</v>
          </cell>
          <cell r="AF186">
            <v>85</v>
          </cell>
          <cell r="AG186" t="str">
            <v>-</v>
          </cell>
          <cell r="AH186">
            <v>85</v>
          </cell>
          <cell r="AI186">
            <v>85</v>
          </cell>
          <cell r="AJ186" t="str">
            <v>-</v>
          </cell>
          <cell r="AK186">
            <v>85</v>
          </cell>
          <cell r="AL186">
            <v>85</v>
          </cell>
          <cell r="AM186" t="str">
            <v>-</v>
          </cell>
          <cell r="AN186">
            <v>85</v>
          </cell>
          <cell r="AO186">
            <v>85</v>
          </cell>
          <cell r="AP186" t="str">
            <v>-</v>
          </cell>
          <cell r="AQ186">
            <v>85</v>
          </cell>
          <cell r="AR186">
            <v>85</v>
          </cell>
          <cell r="AS186" t="str">
            <v>-</v>
          </cell>
          <cell r="AT186">
            <v>85</v>
          </cell>
          <cell r="AU186">
            <v>85</v>
          </cell>
          <cell r="AV186" t="str">
            <v>-</v>
          </cell>
          <cell r="AW186">
            <v>85</v>
          </cell>
          <cell r="AX186">
            <v>85</v>
          </cell>
          <cell r="AY186" t="str">
            <v>-</v>
          </cell>
          <cell r="AZ186">
            <v>85</v>
          </cell>
          <cell r="BA186">
            <v>85</v>
          </cell>
          <cell r="BB186" t="str">
            <v>-</v>
          </cell>
          <cell r="BC186">
            <v>85</v>
          </cell>
          <cell r="BD186">
            <v>85</v>
          </cell>
          <cell r="BE186" t="str">
            <v>-</v>
          </cell>
          <cell r="BF186">
            <v>85</v>
          </cell>
          <cell r="BG186">
            <v>85</v>
          </cell>
          <cell r="BH186" t="str">
            <v>-</v>
          </cell>
          <cell r="BI186">
            <v>85</v>
          </cell>
          <cell r="BJ186">
            <v>85</v>
          </cell>
          <cell r="BK186" t="str">
            <v>-</v>
          </cell>
          <cell r="BL186">
            <v>85</v>
          </cell>
          <cell r="BM186">
            <v>85</v>
          </cell>
          <cell r="BN186" t="str">
            <v>-</v>
          </cell>
          <cell r="BO186">
            <v>85</v>
          </cell>
          <cell r="BP186">
            <v>85</v>
          </cell>
          <cell r="BQ186" t="str">
            <v>-</v>
          </cell>
          <cell r="BR186">
            <v>85</v>
          </cell>
          <cell r="BS186">
            <v>85</v>
          </cell>
          <cell r="BT186" t="str">
            <v>-</v>
          </cell>
          <cell r="BU186">
            <v>85</v>
          </cell>
          <cell r="BV186">
            <v>85</v>
          </cell>
          <cell r="BW186" t="str">
            <v>-</v>
          </cell>
          <cell r="BX186">
            <v>36</v>
          </cell>
          <cell r="BY186">
            <v>8</v>
          </cell>
          <cell r="BZ186">
            <v>81.8</v>
          </cell>
          <cell r="CA186">
            <v>40</v>
          </cell>
          <cell r="CB186">
            <v>18</v>
          </cell>
          <cell r="CC186">
            <v>69</v>
          </cell>
          <cell r="CD186">
            <v>37</v>
          </cell>
          <cell r="CE186">
            <v>13</v>
          </cell>
          <cell r="CF186">
            <v>74</v>
          </cell>
          <cell r="CG186">
            <v>25</v>
          </cell>
          <cell r="CH186">
            <v>17</v>
          </cell>
          <cell r="CI186">
            <v>59.5</v>
          </cell>
          <cell r="CJ186">
            <v>44</v>
          </cell>
          <cell r="CK186">
            <v>7</v>
          </cell>
          <cell r="CL186">
            <v>86.3</v>
          </cell>
          <cell r="CM186">
            <v>20</v>
          </cell>
          <cell r="CN186">
            <v>5</v>
          </cell>
          <cell r="CO186">
            <v>80</v>
          </cell>
          <cell r="CP186">
            <v>19</v>
          </cell>
          <cell r="CQ186">
            <v>7</v>
          </cell>
          <cell r="CR186">
            <v>73.099999999999994</v>
          </cell>
          <cell r="CS186">
            <v>31</v>
          </cell>
          <cell r="CT186">
            <v>19</v>
          </cell>
          <cell r="CU186">
            <v>62</v>
          </cell>
          <cell r="CV186">
            <v>15</v>
          </cell>
          <cell r="CW186">
            <v>6</v>
          </cell>
          <cell r="CX186">
            <v>71.400000000000006</v>
          </cell>
          <cell r="CY186">
            <v>15</v>
          </cell>
          <cell r="CZ186">
            <v>9</v>
          </cell>
          <cell r="DA186">
            <v>62.5</v>
          </cell>
          <cell r="DB186">
            <v>21</v>
          </cell>
          <cell r="DC186">
            <v>5</v>
          </cell>
          <cell r="DD186">
            <v>80.8</v>
          </cell>
          <cell r="DE186">
            <v>13</v>
          </cell>
          <cell r="DF186">
            <v>8</v>
          </cell>
          <cell r="DG186">
            <v>61.9</v>
          </cell>
          <cell r="DH186">
            <v>13</v>
          </cell>
          <cell r="DI186">
            <v>6</v>
          </cell>
          <cell r="DJ186">
            <v>68.400000000000006</v>
          </cell>
          <cell r="DK186">
            <v>8</v>
          </cell>
          <cell r="DL186">
            <v>2</v>
          </cell>
          <cell r="DM186">
            <v>80</v>
          </cell>
          <cell r="DN186">
            <v>6</v>
          </cell>
          <cell r="DO186">
            <v>6</v>
          </cell>
          <cell r="DP186">
            <v>100</v>
          </cell>
          <cell r="DQ186">
            <v>13</v>
          </cell>
          <cell r="DR186">
            <v>2</v>
          </cell>
          <cell r="DS186">
            <v>86.7</v>
          </cell>
          <cell r="DT186">
            <v>86.699951171875</v>
          </cell>
          <cell r="DU186">
            <v>86.699951171875</v>
          </cell>
          <cell r="DV186" t="str">
            <v>-</v>
          </cell>
          <cell r="DW186">
            <v>86.699951171875</v>
          </cell>
          <cell r="DX186">
            <v>86.699951171875</v>
          </cell>
          <cell r="DY186" t="str">
            <v>-</v>
          </cell>
          <cell r="DZ186">
            <v>86.699951171875</v>
          </cell>
          <cell r="EA186">
            <v>86.699951171875</v>
          </cell>
          <cell r="EB186" t="str">
            <v>-</v>
          </cell>
          <cell r="EC186">
            <v>86.699951171875</v>
          </cell>
          <cell r="ED186">
            <v>86.699951171875</v>
          </cell>
          <cell r="EE186" t="str">
            <v>-</v>
          </cell>
          <cell r="EF186">
            <v>86.699951171875</v>
          </cell>
          <cell r="EG186">
            <v>86.699951171875</v>
          </cell>
          <cell r="EH186" t="str">
            <v>-</v>
          </cell>
          <cell r="EI186">
            <v>86.699951171875</v>
          </cell>
          <cell r="EJ186">
            <v>86.699951171875</v>
          </cell>
          <cell r="EK186" t="str">
            <v>-</v>
          </cell>
          <cell r="EL186">
            <v>86.699951171875</v>
          </cell>
          <cell r="EM186">
            <v>86.699951171875</v>
          </cell>
          <cell r="EN186" t="str">
            <v>-</v>
          </cell>
          <cell r="EO186">
            <v>86.699951171875</v>
          </cell>
          <cell r="EP186">
            <v>86.699951171875</v>
          </cell>
          <cell r="EQ186" t="str">
            <v>-</v>
          </cell>
          <cell r="ER186">
            <v>13</v>
          </cell>
          <cell r="ES186">
            <v>5</v>
          </cell>
          <cell r="ET186">
            <v>72.2</v>
          </cell>
          <cell r="EU186">
            <v>9</v>
          </cell>
          <cell r="EV186">
            <v>3</v>
          </cell>
          <cell r="EW186">
            <v>75</v>
          </cell>
          <cell r="EX186">
            <v>8</v>
          </cell>
          <cell r="EY186">
            <v>8</v>
          </cell>
          <cell r="EZ186">
            <v>100</v>
          </cell>
          <cell r="FA186">
            <v>7</v>
          </cell>
          <cell r="FB186">
            <v>3</v>
          </cell>
          <cell r="FC186">
            <v>70</v>
          </cell>
          <cell r="FD186">
            <v>6</v>
          </cell>
          <cell r="FE186">
            <v>3</v>
          </cell>
          <cell r="FF186">
            <v>66.7</v>
          </cell>
          <cell r="FG186">
            <v>7</v>
          </cell>
          <cell r="FH186">
            <v>4</v>
          </cell>
          <cell r="FI186">
            <v>63.6</v>
          </cell>
          <cell r="FJ186">
            <v>5</v>
          </cell>
          <cell r="FK186">
            <v>3</v>
          </cell>
          <cell r="FL186">
            <v>62.5</v>
          </cell>
          <cell r="FM186">
            <v>7</v>
          </cell>
          <cell r="FN186">
            <v>2</v>
          </cell>
          <cell r="FO186">
            <v>77.8</v>
          </cell>
          <cell r="FP186">
            <v>77.79998779296875</v>
          </cell>
          <cell r="FQ186">
            <v>77.79998779296875</v>
          </cell>
          <cell r="FR186" t="str">
            <v>-</v>
          </cell>
          <cell r="FS186">
            <v>77.79998779296875</v>
          </cell>
          <cell r="FT186">
            <v>77.79998779296875</v>
          </cell>
          <cell r="FU186" t="str">
            <v>-</v>
          </cell>
          <cell r="FV186">
            <v>77.79998779296875</v>
          </cell>
          <cell r="FW186">
            <v>77.79998779296875</v>
          </cell>
          <cell r="FX186" t="str">
            <v>-</v>
          </cell>
          <cell r="FY186">
            <v>77.79998779296875</v>
          </cell>
          <cell r="FZ186">
            <v>77.79998779296875</v>
          </cell>
          <cell r="GA186" t="str">
            <v>-</v>
          </cell>
          <cell r="GB186">
            <v>77.79998779296875</v>
          </cell>
          <cell r="GC186">
            <v>77.79998779296875</v>
          </cell>
          <cell r="GD186" t="str">
            <v>-</v>
          </cell>
          <cell r="GE186">
            <v>77.79998779296875</v>
          </cell>
          <cell r="GF186">
            <v>77.79998779296875</v>
          </cell>
          <cell r="GG186" t="str">
            <v>-</v>
          </cell>
          <cell r="GH186">
            <v>77.79998779296875</v>
          </cell>
          <cell r="GI186">
            <v>77.79998779296875</v>
          </cell>
          <cell r="GJ186" t="str">
            <v>-</v>
          </cell>
          <cell r="GK186">
            <v>77.79998779296875</v>
          </cell>
          <cell r="GL186">
            <v>77.79998779296875</v>
          </cell>
          <cell r="GM186" t="str">
            <v>-</v>
          </cell>
          <cell r="GN186">
            <v>48</v>
          </cell>
          <cell r="GO186">
            <v>4</v>
          </cell>
          <cell r="GP186">
            <v>92.3</v>
          </cell>
          <cell r="GQ186">
            <v>35</v>
          </cell>
          <cell r="GR186">
            <v>7</v>
          </cell>
          <cell r="GS186">
            <v>83.3</v>
          </cell>
          <cell r="GT186">
            <v>38</v>
          </cell>
          <cell r="GU186">
            <v>5</v>
          </cell>
          <cell r="GV186">
            <v>88.4</v>
          </cell>
          <cell r="GW186">
            <v>15</v>
          </cell>
          <cell r="GX186">
            <v>13</v>
          </cell>
          <cell r="GY186">
            <v>53.6</v>
          </cell>
          <cell r="GZ186">
            <v>36</v>
          </cell>
          <cell r="HA186">
            <v>11</v>
          </cell>
          <cell r="HB186">
            <v>76.599999999999994</v>
          </cell>
          <cell r="HC186">
            <v>22</v>
          </cell>
          <cell r="HD186">
            <v>4</v>
          </cell>
          <cell r="HE186">
            <v>84.6</v>
          </cell>
          <cell r="HF186">
            <v>16</v>
          </cell>
          <cell r="HG186">
            <v>2</v>
          </cell>
          <cell r="HH186">
            <v>88.9</v>
          </cell>
          <cell r="HI186">
            <v>16</v>
          </cell>
          <cell r="HJ186">
            <v>1</v>
          </cell>
          <cell r="HK186">
            <v>94.1</v>
          </cell>
          <cell r="HL186">
            <v>6</v>
          </cell>
          <cell r="HM186">
            <v>3</v>
          </cell>
          <cell r="HN186">
            <v>66.7</v>
          </cell>
          <cell r="HO186">
            <v>1</v>
          </cell>
          <cell r="HP186">
            <v>2</v>
          </cell>
          <cell r="HQ186">
            <v>33.299999999999997</v>
          </cell>
          <cell r="HR186">
            <v>1</v>
          </cell>
          <cell r="HS186">
            <v>3</v>
          </cell>
          <cell r="HT186">
            <v>25</v>
          </cell>
          <cell r="HU186">
            <v>25</v>
          </cell>
          <cell r="HV186">
            <v>1</v>
          </cell>
          <cell r="HW186">
            <v>0</v>
          </cell>
          <cell r="HX186">
            <v>2</v>
          </cell>
          <cell r="HY186">
            <v>1</v>
          </cell>
          <cell r="HZ186">
            <v>66.7</v>
          </cell>
          <cell r="IA186">
            <v>66.699951171875</v>
          </cell>
          <cell r="IB186">
            <v>1</v>
          </cell>
          <cell r="IC186">
            <v>0</v>
          </cell>
          <cell r="ID186">
            <v>2</v>
          </cell>
          <cell r="IE186">
            <v>2</v>
          </cell>
          <cell r="IF186">
            <v>100</v>
          </cell>
          <cell r="IG186">
            <v>2</v>
          </cell>
          <cell r="IH186">
            <v>2</v>
          </cell>
          <cell r="II186">
            <v>100</v>
          </cell>
          <cell r="IJ186">
            <v>100</v>
          </cell>
          <cell r="IK186">
            <v>1</v>
          </cell>
          <cell r="IL186">
            <v>0</v>
          </cell>
          <cell r="IM186">
            <v>6</v>
          </cell>
          <cell r="IN186">
            <v>2</v>
          </cell>
          <cell r="IO186">
            <v>75</v>
          </cell>
          <cell r="IP186">
            <v>1</v>
          </cell>
          <cell r="IQ186">
            <v>2</v>
          </cell>
          <cell r="IR186">
            <v>33.299999999999997</v>
          </cell>
          <cell r="IS186">
            <v>33.29998779296875</v>
          </cell>
          <cell r="IT186">
            <v>1</v>
          </cell>
          <cell r="IU186">
            <v>0</v>
          </cell>
          <cell r="IV186">
            <v>0</v>
          </cell>
          <cell r="IW186">
            <v>2</v>
          </cell>
          <cell r="IX186">
            <v>0</v>
          </cell>
          <cell r="IY186">
            <v>1</v>
          </cell>
          <cell r="IZ186">
            <v>1</v>
          </cell>
          <cell r="JA186">
            <v>100</v>
          </cell>
          <cell r="JB186">
            <v>1</v>
          </cell>
          <cell r="JC186">
            <v>1</v>
          </cell>
          <cell r="JD186">
            <v>50</v>
          </cell>
          <cell r="JE186">
            <v>1</v>
          </cell>
          <cell r="JF186">
            <v>1</v>
          </cell>
          <cell r="JG186">
            <v>100</v>
          </cell>
          <cell r="JH186">
            <v>0</v>
          </cell>
          <cell r="JI186">
            <v>0</v>
          </cell>
          <cell r="JJ186" t="str">
            <v>-</v>
          </cell>
          <cell r="JK186">
            <v>0</v>
          </cell>
          <cell r="JL186">
            <v>0</v>
          </cell>
          <cell r="JM186" t="str">
            <v>-</v>
          </cell>
          <cell r="JN186">
            <v>0</v>
          </cell>
          <cell r="JO186">
            <v>0</v>
          </cell>
          <cell r="JP186" t="str">
            <v>-</v>
          </cell>
          <cell r="JQ186">
            <v>139</v>
          </cell>
          <cell r="JR186">
            <v>55</v>
          </cell>
          <cell r="JS186">
            <v>71.649484536082468</v>
          </cell>
          <cell r="JT186">
            <v>53</v>
          </cell>
          <cell r="JU186">
            <v>18</v>
          </cell>
          <cell r="JV186">
            <v>74.647887323943664</v>
          </cell>
          <cell r="JW186">
            <v>0</v>
          </cell>
          <cell r="JX186">
            <v>0</v>
          </cell>
          <cell r="JY186" t="str">
            <v>-</v>
          </cell>
          <cell r="JZ186">
            <v>32</v>
          </cell>
          <cell r="KA186">
            <v>15</v>
          </cell>
          <cell r="KB186">
            <v>68.085106382978722</v>
          </cell>
          <cell r="KC186">
            <v>0</v>
          </cell>
          <cell r="KD186">
            <v>0</v>
          </cell>
          <cell r="KE186" t="str">
            <v>-</v>
          </cell>
          <cell r="KF186">
            <v>105</v>
          </cell>
          <cell r="KG186">
            <v>31</v>
          </cell>
          <cell r="KH186">
            <v>77.205882352941174</v>
          </cell>
          <cell r="KI186">
            <v>6</v>
          </cell>
          <cell r="KJ186">
            <v>3</v>
          </cell>
          <cell r="KK186">
            <v>66.666666666666657</v>
          </cell>
          <cell r="KL186">
            <v>3</v>
          </cell>
          <cell r="KM186">
            <v>4</v>
          </cell>
          <cell r="KN186">
            <v>42.857142857142854</v>
          </cell>
        </row>
        <row r="187">
          <cell r="C187" t="str">
            <v>Várpalotai Rendőrkapitányság</v>
          </cell>
          <cell r="D187">
            <v>42.85711669921875</v>
          </cell>
          <cell r="E187">
            <v>42.85711669921875</v>
          </cell>
          <cell r="F187" t="str">
            <v>-</v>
          </cell>
          <cell r="G187">
            <v>42.85711669921875</v>
          </cell>
          <cell r="H187">
            <v>42.85711669921875</v>
          </cell>
          <cell r="I187" t="str">
            <v>-</v>
          </cell>
          <cell r="J187">
            <v>42.85711669921875</v>
          </cell>
          <cell r="K187">
            <v>42.85711669921875</v>
          </cell>
          <cell r="L187" t="str">
            <v>-</v>
          </cell>
          <cell r="M187">
            <v>42.85711669921875</v>
          </cell>
          <cell r="N187">
            <v>42.85711669921875</v>
          </cell>
          <cell r="O187" t="str">
            <v>-</v>
          </cell>
          <cell r="P187">
            <v>42.85711669921875</v>
          </cell>
          <cell r="Q187">
            <v>42.85711669921875</v>
          </cell>
          <cell r="R187" t="str">
            <v>-</v>
          </cell>
          <cell r="S187">
            <v>42.85711669921875</v>
          </cell>
          <cell r="T187">
            <v>42.85711669921875</v>
          </cell>
          <cell r="U187" t="str">
            <v>-</v>
          </cell>
          <cell r="V187">
            <v>42.85711669921875</v>
          </cell>
          <cell r="W187">
            <v>42.85711669921875</v>
          </cell>
          <cell r="X187" t="str">
            <v>-</v>
          </cell>
          <cell r="Y187">
            <v>42.85711669921875</v>
          </cell>
          <cell r="Z187">
            <v>42.85711669921875</v>
          </cell>
          <cell r="AA187" t="str">
            <v>-</v>
          </cell>
          <cell r="AB187">
            <v>42.85711669921875</v>
          </cell>
          <cell r="AC187">
            <v>42.85711669921875</v>
          </cell>
          <cell r="AD187" t="str">
            <v>-</v>
          </cell>
          <cell r="AE187">
            <v>42.85711669921875</v>
          </cell>
          <cell r="AF187">
            <v>42.85711669921875</v>
          </cell>
          <cell r="AG187" t="str">
            <v>-</v>
          </cell>
          <cell r="AH187">
            <v>42.85711669921875</v>
          </cell>
          <cell r="AI187">
            <v>42.85711669921875</v>
          </cell>
          <cell r="AJ187" t="str">
            <v>-</v>
          </cell>
          <cell r="AK187">
            <v>42.85711669921875</v>
          </cell>
          <cell r="AL187">
            <v>42.85711669921875</v>
          </cell>
          <cell r="AM187" t="str">
            <v>-</v>
          </cell>
          <cell r="AN187">
            <v>42.85711669921875</v>
          </cell>
          <cell r="AO187">
            <v>42.85711669921875</v>
          </cell>
          <cell r="AP187" t="str">
            <v>-</v>
          </cell>
          <cell r="AQ187">
            <v>42.85711669921875</v>
          </cell>
          <cell r="AR187">
            <v>42.85711669921875</v>
          </cell>
          <cell r="AS187" t="str">
            <v>-</v>
          </cell>
          <cell r="AT187">
            <v>42.85711669921875</v>
          </cell>
          <cell r="AU187">
            <v>42.85711669921875</v>
          </cell>
          <cell r="AV187" t="str">
            <v>-</v>
          </cell>
          <cell r="AW187">
            <v>42.85711669921875</v>
          </cell>
          <cell r="AX187">
            <v>42.85711669921875</v>
          </cell>
          <cell r="AY187" t="str">
            <v>-</v>
          </cell>
          <cell r="AZ187">
            <v>42.85711669921875</v>
          </cell>
          <cell r="BA187">
            <v>42.85711669921875</v>
          </cell>
          <cell r="BB187" t="str">
            <v>-</v>
          </cell>
          <cell r="BC187">
            <v>42.85711669921875</v>
          </cell>
          <cell r="BD187">
            <v>42.85711669921875</v>
          </cell>
          <cell r="BE187" t="str">
            <v>-</v>
          </cell>
          <cell r="BF187">
            <v>42.85711669921875</v>
          </cell>
          <cell r="BG187">
            <v>42.85711669921875</v>
          </cell>
          <cell r="BH187" t="str">
            <v>-</v>
          </cell>
          <cell r="BI187">
            <v>42.85711669921875</v>
          </cell>
          <cell r="BJ187">
            <v>42.85711669921875</v>
          </cell>
          <cell r="BK187" t="str">
            <v>-</v>
          </cell>
          <cell r="BL187">
            <v>42.85711669921875</v>
          </cell>
          <cell r="BM187">
            <v>42.85711669921875</v>
          </cell>
          <cell r="BN187" t="str">
            <v>-</v>
          </cell>
          <cell r="BO187">
            <v>42.85711669921875</v>
          </cell>
          <cell r="BP187">
            <v>42.85711669921875</v>
          </cell>
          <cell r="BQ187" t="str">
            <v>-</v>
          </cell>
          <cell r="BR187">
            <v>42.85711669921875</v>
          </cell>
          <cell r="BS187">
            <v>42.85711669921875</v>
          </cell>
          <cell r="BT187" t="str">
            <v>-</v>
          </cell>
          <cell r="BU187">
            <v>42.85711669921875</v>
          </cell>
          <cell r="BV187">
            <v>42.85711669921875</v>
          </cell>
          <cell r="BW187" t="str">
            <v>-</v>
          </cell>
          <cell r="BX187">
            <v>43</v>
          </cell>
          <cell r="BY187">
            <v>9</v>
          </cell>
          <cell r="BZ187">
            <v>82.7</v>
          </cell>
          <cell r="CA187">
            <v>36</v>
          </cell>
          <cell r="CB187">
            <v>2</v>
          </cell>
          <cell r="CC187">
            <v>94.7</v>
          </cell>
          <cell r="CD187">
            <v>61</v>
          </cell>
          <cell r="CE187">
            <v>12</v>
          </cell>
          <cell r="CF187">
            <v>83.6</v>
          </cell>
          <cell r="CG187">
            <v>49</v>
          </cell>
          <cell r="CH187">
            <v>7</v>
          </cell>
          <cell r="CI187">
            <v>87.5</v>
          </cell>
          <cell r="CJ187">
            <v>30</v>
          </cell>
          <cell r="CK187">
            <v>2</v>
          </cell>
          <cell r="CL187">
            <v>93.8</v>
          </cell>
          <cell r="CM187">
            <v>59</v>
          </cell>
          <cell r="CN187">
            <v>6</v>
          </cell>
          <cell r="CO187">
            <v>90.8</v>
          </cell>
          <cell r="CP187">
            <v>46</v>
          </cell>
          <cell r="CQ187">
            <v>9</v>
          </cell>
          <cell r="CR187">
            <v>83.6</v>
          </cell>
          <cell r="CS187">
            <v>47</v>
          </cell>
          <cell r="CT187">
            <v>7</v>
          </cell>
          <cell r="CU187">
            <v>87</v>
          </cell>
          <cell r="CV187">
            <v>20</v>
          </cell>
          <cell r="CW187">
            <v>7</v>
          </cell>
          <cell r="CX187">
            <v>74.099999999999994</v>
          </cell>
          <cell r="CY187">
            <v>10</v>
          </cell>
          <cell r="CZ187">
            <v>1</v>
          </cell>
          <cell r="DA187">
            <v>90.9</v>
          </cell>
          <cell r="DB187">
            <v>23</v>
          </cell>
          <cell r="DC187">
            <v>9</v>
          </cell>
          <cell r="DD187">
            <v>71.900000000000006</v>
          </cell>
          <cell r="DE187">
            <v>17</v>
          </cell>
          <cell r="DF187">
            <v>3</v>
          </cell>
          <cell r="DG187">
            <v>85</v>
          </cell>
          <cell r="DH187">
            <v>8</v>
          </cell>
          <cell r="DI187">
            <v>1</v>
          </cell>
          <cell r="DJ187">
            <v>88.9</v>
          </cell>
          <cell r="DK187">
            <v>23</v>
          </cell>
          <cell r="DL187">
            <v>4</v>
          </cell>
          <cell r="DM187">
            <v>85.2</v>
          </cell>
          <cell r="DN187">
            <v>18</v>
          </cell>
          <cell r="DO187">
            <v>3</v>
          </cell>
          <cell r="DP187">
            <v>85.7</v>
          </cell>
          <cell r="DQ187">
            <v>15</v>
          </cell>
          <cell r="DR187">
            <v>4</v>
          </cell>
          <cell r="DS187">
            <v>78.900000000000006</v>
          </cell>
          <cell r="DT187">
            <v>78.89996337890625</v>
          </cell>
          <cell r="DU187">
            <v>78.89996337890625</v>
          </cell>
          <cell r="DV187" t="str">
            <v>-</v>
          </cell>
          <cell r="DW187">
            <v>78.89996337890625</v>
          </cell>
          <cell r="DX187">
            <v>78.89996337890625</v>
          </cell>
          <cell r="DY187" t="str">
            <v>-</v>
          </cell>
          <cell r="DZ187">
            <v>78.89996337890625</v>
          </cell>
          <cell r="EA187">
            <v>78.89996337890625</v>
          </cell>
          <cell r="EB187" t="str">
            <v>-</v>
          </cell>
          <cell r="EC187">
            <v>78.89996337890625</v>
          </cell>
          <cell r="ED187">
            <v>78.89996337890625</v>
          </cell>
          <cell r="EE187" t="str">
            <v>-</v>
          </cell>
          <cell r="EF187">
            <v>78.89996337890625</v>
          </cell>
          <cell r="EG187">
            <v>78.89996337890625</v>
          </cell>
          <cell r="EH187" t="str">
            <v>-</v>
          </cell>
          <cell r="EI187">
            <v>78.89996337890625</v>
          </cell>
          <cell r="EJ187">
            <v>78.89996337890625</v>
          </cell>
          <cell r="EK187" t="str">
            <v>-</v>
          </cell>
          <cell r="EL187">
            <v>78.89996337890625</v>
          </cell>
          <cell r="EM187">
            <v>78.89996337890625</v>
          </cell>
          <cell r="EN187" t="str">
            <v>-</v>
          </cell>
          <cell r="EO187">
            <v>78.89996337890625</v>
          </cell>
          <cell r="EP187">
            <v>78.89996337890625</v>
          </cell>
          <cell r="EQ187" t="str">
            <v>-</v>
          </cell>
          <cell r="ER187">
            <v>18</v>
          </cell>
          <cell r="ES187">
            <v>3</v>
          </cell>
          <cell r="ET187">
            <v>85.7</v>
          </cell>
          <cell r="EU187">
            <v>37</v>
          </cell>
          <cell r="EV187">
            <v>1</v>
          </cell>
          <cell r="EW187">
            <v>97.4</v>
          </cell>
          <cell r="EX187">
            <v>15</v>
          </cell>
          <cell r="EY187">
            <v>3</v>
          </cell>
          <cell r="EZ187">
            <v>83.3</v>
          </cell>
          <cell r="FA187">
            <v>42</v>
          </cell>
          <cell r="FB187">
            <v>4</v>
          </cell>
          <cell r="FC187">
            <v>91.3</v>
          </cell>
          <cell r="FD187">
            <v>16</v>
          </cell>
          <cell r="FE187">
            <v>1</v>
          </cell>
          <cell r="FF187">
            <v>94.1</v>
          </cell>
          <cell r="FG187">
            <v>26</v>
          </cell>
          <cell r="FH187">
            <v>5</v>
          </cell>
          <cell r="FI187">
            <v>83.9</v>
          </cell>
          <cell r="FJ187">
            <v>20</v>
          </cell>
          <cell r="FK187">
            <v>7</v>
          </cell>
          <cell r="FL187">
            <v>74.099999999999994</v>
          </cell>
          <cell r="FM187">
            <v>32</v>
          </cell>
          <cell r="FN187">
            <v>7</v>
          </cell>
          <cell r="FO187">
            <v>82.1</v>
          </cell>
          <cell r="FP187">
            <v>82.0999755859375</v>
          </cell>
          <cell r="FQ187">
            <v>82.0999755859375</v>
          </cell>
          <cell r="FR187" t="str">
            <v>-</v>
          </cell>
          <cell r="FS187">
            <v>82.0999755859375</v>
          </cell>
          <cell r="FT187">
            <v>82.0999755859375</v>
          </cell>
          <cell r="FU187" t="str">
            <v>-</v>
          </cell>
          <cell r="FV187">
            <v>82.0999755859375</v>
          </cell>
          <cell r="FW187">
            <v>82.0999755859375</v>
          </cell>
          <cell r="FX187" t="str">
            <v>-</v>
          </cell>
          <cell r="FY187">
            <v>82.0999755859375</v>
          </cell>
          <cell r="FZ187">
            <v>82.0999755859375</v>
          </cell>
          <cell r="GA187" t="str">
            <v>-</v>
          </cell>
          <cell r="GB187">
            <v>82.0999755859375</v>
          </cell>
          <cell r="GC187">
            <v>82.0999755859375</v>
          </cell>
          <cell r="GD187" t="str">
            <v>-</v>
          </cell>
          <cell r="GE187">
            <v>82.0999755859375</v>
          </cell>
          <cell r="GF187">
            <v>82.0999755859375</v>
          </cell>
          <cell r="GG187" t="str">
            <v>-</v>
          </cell>
          <cell r="GH187">
            <v>82.0999755859375</v>
          </cell>
          <cell r="GI187">
            <v>82.0999755859375</v>
          </cell>
          <cell r="GJ187" t="str">
            <v>-</v>
          </cell>
          <cell r="GK187">
            <v>82.0999755859375</v>
          </cell>
          <cell r="GL187">
            <v>82.0999755859375</v>
          </cell>
          <cell r="GM187" t="str">
            <v>-</v>
          </cell>
          <cell r="GN187">
            <v>42</v>
          </cell>
          <cell r="GO187">
            <v>8</v>
          </cell>
          <cell r="GP187">
            <v>84</v>
          </cell>
          <cell r="GQ187">
            <v>47</v>
          </cell>
          <cell r="GR187">
            <v>8</v>
          </cell>
          <cell r="GS187">
            <v>85.5</v>
          </cell>
          <cell r="GT187">
            <v>48</v>
          </cell>
          <cell r="GU187">
            <v>5</v>
          </cell>
          <cell r="GV187">
            <v>90.6</v>
          </cell>
          <cell r="GW187">
            <v>33</v>
          </cell>
          <cell r="GX187">
            <v>4</v>
          </cell>
          <cell r="GY187">
            <v>89.2</v>
          </cell>
          <cell r="GZ187">
            <v>33</v>
          </cell>
          <cell r="HA187">
            <v>4</v>
          </cell>
          <cell r="HB187">
            <v>89.2</v>
          </cell>
          <cell r="HC187">
            <v>53</v>
          </cell>
          <cell r="HD187">
            <v>10</v>
          </cell>
          <cell r="HE187">
            <v>84.1</v>
          </cell>
          <cell r="HF187">
            <v>40</v>
          </cell>
          <cell r="HG187">
            <v>10</v>
          </cell>
          <cell r="HH187">
            <v>80</v>
          </cell>
          <cell r="HI187">
            <v>38</v>
          </cell>
          <cell r="HJ187">
            <v>8</v>
          </cell>
          <cell r="HK187">
            <v>82.6</v>
          </cell>
          <cell r="HL187">
            <v>1</v>
          </cell>
          <cell r="HM187">
            <v>1</v>
          </cell>
          <cell r="HN187">
            <v>50</v>
          </cell>
          <cell r="HO187">
            <v>2</v>
          </cell>
          <cell r="HP187">
            <v>2</v>
          </cell>
          <cell r="HQ187">
            <v>100</v>
          </cell>
          <cell r="HR187">
            <v>1</v>
          </cell>
          <cell r="HS187">
            <v>1</v>
          </cell>
          <cell r="HT187">
            <v>100</v>
          </cell>
          <cell r="HU187">
            <v>2</v>
          </cell>
          <cell r="HV187">
            <v>2</v>
          </cell>
          <cell r="HW187">
            <v>50</v>
          </cell>
          <cell r="HX187">
            <v>4</v>
          </cell>
          <cell r="HY187">
            <v>1</v>
          </cell>
          <cell r="HZ187">
            <v>80</v>
          </cell>
          <cell r="IA187">
            <v>1</v>
          </cell>
          <cell r="IB187">
            <v>1</v>
          </cell>
          <cell r="IC187">
            <v>100</v>
          </cell>
          <cell r="ID187">
            <v>100</v>
          </cell>
          <cell r="IE187">
            <v>100</v>
          </cell>
          <cell r="IF187" t="str">
            <v>-</v>
          </cell>
          <cell r="IG187">
            <v>2</v>
          </cell>
          <cell r="IH187">
            <v>1</v>
          </cell>
          <cell r="II187">
            <v>66.7</v>
          </cell>
          <cell r="IJ187">
            <v>66.699951171875</v>
          </cell>
          <cell r="IK187">
            <v>66.699951171875</v>
          </cell>
          <cell r="IL187" t="str">
            <v>-</v>
          </cell>
          <cell r="IM187">
            <v>66.699951171875</v>
          </cell>
          <cell r="IN187">
            <v>1</v>
          </cell>
          <cell r="IO187">
            <v>0</v>
          </cell>
          <cell r="IP187">
            <v>2</v>
          </cell>
          <cell r="IQ187">
            <v>1</v>
          </cell>
          <cell r="IR187">
            <v>66.7</v>
          </cell>
          <cell r="IS187">
            <v>66.699951171875</v>
          </cell>
          <cell r="IT187">
            <v>66.699951171875</v>
          </cell>
          <cell r="IU187" t="str">
            <v>-</v>
          </cell>
          <cell r="IV187">
            <v>66.699951171875</v>
          </cell>
          <cell r="IW187">
            <v>66.699951171875</v>
          </cell>
          <cell r="IX187" t="str">
            <v>-</v>
          </cell>
          <cell r="IY187">
            <v>66.699951171875</v>
          </cell>
          <cell r="IZ187">
            <v>66.699951171875</v>
          </cell>
          <cell r="JA187" t="str">
            <v>-</v>
          </cell>
          <cell r="JB187">
            <v>4</v>
          </cell>
          <cell r="JC187">
            <v>4</v>
          </cell>
          <cell r="JD187">
            <v>100</v>
          </cell>
          <cell r="JE187">
            <v>100</v>
          </cell>
          <cell r="JF187">
            <v>100</v>
          </cell>
          <cell r="JG187" t="str">
            <v>-</v>
          </cell>
          <cell r="JH187">
            <v>0</v>
          </cell>
          <cell r="JI187">
            <v>0</v>
          </cell>
          <cell r="JJ187" t="str">
            <v>-</v>
          </cell>
          <cell r="JK187">
            <v>0</v>
          </cell>
          <cell r="JL187">
            <v>0</v>
          </cell>
          <cell r="JM187" t="str">
            <v>-</v>
          </cell>
          <cell r="JN187">
            <v>0</v>
          </cell>
          <cell r="JO187">
            <v>0</v>
          </cell>
          <cell r="JP187" t="str">
            <v>-</v>
          </cell>
          <cell r="JQ187">
            <v>231</v>
          </cell>
          <cell r="JR187">
            <v>31</v>
          </cell>
          <cell r="JS187">
            <v>88.167938931297712</v>
          </cell>
          <cell r="JT187">
            <v>81</v>
          </cell>
          <cell r="JU187">
            <v>15</v>
          </cell>
          <cell r="JV187">
            <v>84.375</v>
          </cell>
          <cell r="JW187">
            <v>0</v>
          </cell>
          <cell r="JX187">
            <v>0</v>
          </cell>
          <cell r="JY187" t="str">
            <v>-</v>
          </cell>
          <cell r="JZ187">
            <v>136</v>
          </cell>
          <cell r="KA187">
            <v>24</v>
          </cell>
          <cell r="KB187">
            <v>85</v>
          </cell>
          <cell r="KC187">
            <v>0</v>
          </cell>
          <cell r="KD187">
            <v>0</v>
          </cell>
          <cell r="KE187" t="str">
            <v>-</v>
          </cell>
          <cell r="KF187">
            <v>197</v>
          </cell>
          <cell r="KG187">
            <v>36</v>
          </cell>
          <cell r="KH187">
            <v>84.549356223175963</v>
          </cell>
          <cell r="KI187">
            <v>9</v>
          </cell>
          <cell r="KJ187">
            <v>4</v>
          </cell>
          <cell r="KK187">
            <v>69.230769230769226</v>
          </cell>
          <cell r="KL187">
            <v>4</v>
          </cell>
          <cell r="KM187">
            <v>0</v>
          </cell>
          <cell r="KN187">
            <v>100</v>
          </cell>
        </row>
        <row r="188">
          <cell r="C188" t="str">
            <v>Ajkai Rendőrkapitányság</v>
          </cell>
          <cell r="D188">
            <v>1</v>
          </cell>
          <cell r="E188">
            <v>1</v>
          </cell>
          <cell r="F188">
            <v>100</v>
          </cell>
          <cell r="G188">
            <v>100</v>
          </cell>
          <cell r="H188">
            <v>100</v>
          </cell>
          <cell r="I188" t="str">
            <v>-</v>
          </cell>
          <cell r="J188">
            <v>100</v>
          </cell>
          <cell r="K188">
            <v>100</v>
          </cell>
          <cell r="L188" t="str">
            <v>-</v>
          </cell>
          <cell r="M188">
            <v>100</v>
          </cell>
          <cell r="N188">
            <v>100</v>
          </cell>
          <cell r="O188" t="str">
            <v>-</v>
          </cell>
          <cell r="P188">
            <v>100</v>
          </cell>
          <cell r="Q188">
            <v>100</v>
          </cell>
          <cell r="R188" t="str">
            <v>-</v>
          </cell>
          <cell r="S188">
            <v>1</v>
          </cell>
          <cell r="T188">
            <v>1</v>
          </cell>
          <cell r="U188">
            <v>100</v>
          </cell>
          <cell r="V188">
            <v>100</v>
          </cell>
          <cell r="W188">
            <v>100</v>
          </cell>
          <cell r="X188" t="str">
            <v>-</v>
          </cell>
          <cell r="Y188">
            <v>100</v>
          </cell>
          <cell r="Z188">
            <v>100</v>
          </cell>
          <cell r="AA188" t="str">
            <v>-</v>
          </cell>
          <cell r="AB188">
            <v>100</v>
          </cell>
          <cell r="AC188">
            <v>100</v>
          </cell>
          <cell r="AD188" t="str">
            <v>-</v>
          </cell>
          <cell r="AE188">
            <v>100</v>
          </cell>
          <cell r="AF188">
            <v>100</v>
          </cell>
          <cell r="AG188" t="str">
            <v>-</v>
          </cell>
          <cell r="AH188">
            <v>100</v>
          </cell>
          <cell r="AI188">
            <v>100</v>
          </cell>
          <cell r="AJ188" t="str">
            <v>-</v>
          </cell>
          <cell r="AK188">
            <v>100</v>
          </cell>
          <cell r="AL188">
            <v>100</v>
          </cell>
          <cell r="AM188" t="str">
            <v>-</v>
          </cell>
          <cell r="AN188">
            <v>100</v>
          </cell>
          <cell r="AO188">
            <v>100</v>
          </cell>
          <cell r="AP188" t="str">
            <v>-</v>
          </cell>
          <cell r="AQ188">
            <v>1</v>
          </cell>
          <cell r="AR188">
            <v>1</v>
          </cell>
          <cell r="AS188">
            <v>100</v>
          </cell>
          <cell r="AT188">
            <v>100</v>
          </cell>
          <cell r="AU188">
            <v>100</v>
          </cell>
          <cell r="AV188" t="str">
            <v>-</v>
          </cell>
          <cell r="AW188">
            <v>100</v>
          </cell>
          <cell r="AX188">
            <v>100</v>
          </cell>
          <cell r="AY188" t="str">
            <v>-</v>
          </cell>
          <cell r="AZ188">
            <v>1</v>
          </cell>
          <cell r="BA188">
            <v>1</v>
          </cell>
          <cell r="BB188">
            <v>100</v>
          </cell>
          <cell r="BC188">
            <v>100</v>
          </cell>
          <cell r="BD188">
            <v>100</v>
          </cell>
          <cell r="BE188" t="str">
            <v>-</v>
          </cell>
          <cell r="BF188">
            <v>100</v>
          </cell>
          <cell r="BG188">
            <v>100</v>
          </cell>
          <cell r="BH188" t="str">
            <v>-</v>
          </cell>
          <cell r="BI188">
            <v>100</v>
          </cell>
          <cell r="BJ188">
            <v>100</v>
          </cell>
          <cell r="BK188" t="str">
            <v>-</v>
          </cell>
          <cell r="BL188">
            <v>100</v>
          </cell>
          <cell r="BM188">
            <v>100</v>
          </cell>
          <cell r="BN188" t="str">
            <v>-</v>
          </cell>
          <cell r="BO188">
            <v>100</v>
          </cell>
          <cell r="BP188">
            <v>100</v>
          </cell>
          <cell r="BQ188" t="str">
            <v>-</v>
          </cell>
          <cell r="BR188">
            <v>100</v>
          </cell>
          <cell r="BS188">
            <v>100</v>
          </cell>
          <cell r="BT188" t="str">
            <v>-</v>
          </cell>
          <cell r="BU188">
            <v>100</v>
          </cell>
          <cell r="BV188">
            <v>100</v>
          </cell>
          <cell r="BW188" t="str">
            <v>-</v>
          </cell>
          <cell r="BX188">
            <v>82</v>
          </cell>
          <cell r="BY188">
            <v>17</v>
          </cell>
          <cell r="BZ188">
            <v>82.8</v>
          </cell>
          <cell r="CA188">
            <v>78</v>
          </cell>
          <cell r="CB188">
            <v>7</v>
          </cell>
          <cell r="CC188">
            <v>91.8</v>
          </cell>
          <cell r="CD188">
            <v>88</v>
          </cell>
          <cell r="CE188">
            <v>6</v>
          </cell>
          <cell r="CF188">
            <v>93.6</v>
          </cell>
          <cell r="CG188">
            <v>59</v>
          </cell>
          <cell r="CH188">
            <v>7</v>
          </cell>
          <cell r="CI188">
            <v>89.4</v>
          </cell>
          <cell r="CJ188">
            <v>65</v>
          </cell>
          <cell r="CK188">
            <v>4</v>
          </cell>
          <cell r="CL188">
            <v>94.2</v>
          </cell>
          <cell r="CM188">
            <v>79</v>
          </cell>
          <cell r="CN188">
            <v>1</v>
          </cell>
          <cell r="CO188">
            <v>98.8</v>
          </cell>
          <cell r="CP188">
            <v>65</v>
          </cell>
          <cell r="CQ188">
            <v>9</v>
          </cell>
          <cell r="CR188">
            <v>87.8</v>
          </cell>
          <cell r="CS188">
            <v>44</v>
          </cell>
          <cell r="CT188">
            <v>2</v>
          </cell>
          <cell r="CU188">
            <v>95.7</v>
          </cell>
          <cell r="CV188">
            <v>27</v>
          </cell>
          <cell r="CW188">
            <v>13</v>
          </cell>
          <cell r="CX188">
            <v>67.5</v>
          </cell>
          <cell r="CY188">
            <v>35</v>
          </cell>
          <cell r="CZ188">
            <v>6</v>
          </cell>
          <cell r="DA188">
            <v>85.4</v>
          </cell>
          <cell r="DB188">
            <v>38</v>
          </cell>
          <cell r="DC188">
            <v>2</v>
          </cell>
          <cell r="DD188">
            <v>95</v>
          </cell>
          <cell r="DE188">
            <v>21</v>
          </cell>
          <cell r="DF188">
            <v>5</v>
          </cell>
          <cell r="DG188">
            <v>80.8</v>
          </cell>
          <cell r="DH188">
            <v>20</v>
          </cell>
          <cell r="DI188">
            <v>3</v>
          </cell>
          <cell r="DJ188">
            <v>87</v>
          </cell>
          <cell r="DK188">
            <v>22</v>
          </cell>
          <cell r="DL188">
            <v>1</v>
          </cell>
          <cell r="DM188">
            <v>95.7</v>
          </cell>
          <cell r="DN188">
            <v>13</v>
          </cell>
          <cell r="DO188">
            <v>6</v>
          </cell>
          <cell r="DP188">
            <v>68.400000000000006</v>
          </cell>
          <cell r="DQ188">
            <v>17</v>
          </cell>
          <cell r="DR188">
            <v>1</v>
          </cell>
          <cell r="DS188">
            <v>94.4</v>
          </cell>
          <cell r="DT188">
            <v>94.39996337890625</v>
          </cell>
          <cell r="DU188">
            <v>94.39996337890625</v>
          </cell>
          <cell r="DV188" t="str">
            <v>-</v>
          </cell>
          <cell r="DW188">
            <v>94.39996337890625</v>
          </cell>
          <cell r="DX188">
            <v>94.39996337890625</v>
          </cell>
          <cell r="DY188" t="str">
            <v>-</v>
          </cell>
          <cell r="DZ188">
            <v>94.39996337890625</v>
          </cell>
          <cell r="EA188">
            <v>94.39996337890625</v>
          </cell>
          <cell r="EB188" t="str">
            <v>-</v>
          </cell>
          <cell r="EC188">
            <v>94.39996337890625</v>
          </cell>
          <cell r="ED188">
            <v>94.39996337890625</v>
          </cell>
          <cell r="EE188" t="str">
            <v>-</v>
          </cell>
          <cell r="EF188">
            <v>94.39996337890625</v>
          </cell>
          <cell r="EG188">
            <v>94.39996337890625</v>
          </cell>
          <cell r="EH188" t="str">
            <v>-</v>
          </cell>
          <cell r="EI188">
            <v>94.39996337890625</v>
          </cell>
          <cell r="EJ188">
            <v>94.39996337890625</v>
          </cell>
          <cell r="EK188" t="str">
            <v>-</v>
          </cell>
          <cell r="EL188">
            <v>94.39996337890625</v>
          </cell>
          <cell r="EM188">
            <v>94.39996337890625</v>
          </cell>
          <cell r="EN188" t="str">
            <v>-</v>
          </cell>
          <cell r="EO188">
            <v>94.39996337890625</v>
          </cell>
          <cell r="EP188">
            <v>94.39996337890625</v>
          </cell>
          <cell r="EQ188" t="str">
            <v>-</v>
          </cell>
          <cell r="ER188">
            <v>4</v>
          </cell>
          <cell r="ES188">
            <v>7</v>
          </cell>
          <cell r="ET188">
            <v>36.4</v>
          </cell>
          <cell r="EU188">
            <v>8</v>
          </cell>
          <cell r="EV188">
            <v>5</v>
          </cell>
          <cell r="EW188">
            <v>61.5</v>
          </cell>
          <cell r="EX188">
            <v>6</v>
          </cell>
          <cell r="EY188">
            <v>6</v>
          </cell>
          <cell r="EZ188">
            <v>50</v>
          </cell>
          <cell r="FA188">
            <v>2</v>
          </cell>
          <cell r="FB188">
            <v>5</v>
          </cell>
          <cell r="FC188">
            <v>28.6</v>
          </cell>
          <cell r="FD188">
            <v>15</v>
          </cell>
          <cell r="FE188">
            <v>1</v>
          </cell>
          <cell r="FF188">
            <v>93.8</v>
          </cell>
          <cell r="FG188">
            <v>21</v>
          </cell>
          <cell r="FH188">
            <v>21</v>
          </cell>
          <cell r="FI188">
            <v>100</v>
          </cell>
          <cell r="FJ188">
            <v>7</v>
          </cell>
          <cell r="FK188">
            <v>1</v>
          </cell>
          <cell r="FL188">
            <v>87.5</v>
          </cell>
          <cell r="FM188">
            <v>3</v>
          </cell>
          <cell r="FN188">
            <v>3</v>
          </cell>
          <cell r="FO188">
            <v>100</v>
          </cell>
          <cell r="FP188">
            <v>100</v>
          </cell>
          <cell r="FQ188">
            <v>100</v>
          </cell>
          <cell r="FR188" t="str">
            <v>-</v>
          </cell>
          <cell r="FS188">
            <v>100</v>
          </cell>
          <cell r="FT188">
            <v>100</v>
          </cell>
          <cell r="FU188" t="str">
            <v>-</v>
          </cell>
          <cell r="FV188">
            <v>100</v>
          </cell>
          <cell r="FW188">
            <v>100</v>
          </cell>
          <cell r="FX188" t="str">
            <v>-</v>
          </cell>
          <cell r="FY188">
            <v>100</v>
          </cell>
          <cell r="FZ188">
            <v>100</v>
          </cell>
          <cell r="GA188" t="str">
            <v>-</v>
          </cell>
          <cell r="GB188">
            <v>100</v>
          </cell>
          <cell r="GC188">
            <v>100</v>
          </cell>
          <cell r="GD188" t="str">
            <v>-</v>
          </cell>
          <cell r="GE188">
            <v>100</v>
          </cell>
          <cell r="GF188">
            <v>100</v>
          </cell>
          <cell r="GG188" t="str">
            <v>-</v>
          </cell>
          <cell r="GH188">
            <v>100</v>
          </cell>
          <cell r="GI188">
            <v>100</v>
          </cell>
          <cell r="GJ188" t="str">
            <v>-</v>
          </cell>
          <cell r="GK188">
            <v>100</v>
          </cell>
          <cell r="GL188">
            <v>100</v>
          </cell>
          <cell r="GM188" t="str">
            <v>-</v>
          </cell>
          <cell r="GN188">
            <v>99</v>
          </cell>
          <cell r="GO188">
            <v>16</v>
          </cell>
          <cell r="GP188">
            <v>86.1</v>
          </cell>
          <cell r="GQ188">
            <v>94</v>
          </cell>
          <cell r="GR188">
            <v>14</v>
          </cell>
          <cell r="GS188">
            <v>87</v>
          </cell>
          <cell r="GT188">
            <v>133</v>
          </cell>
          <cell r="GU188">
            <v>23</v>
          </cell>
          <cell r="GV188">
            <v>85.3</v>
          </cell>
          <cell r="GW188">
            <v>84</v>
          </cell>
          <cell r="GX188">
            <v>8</v>
          </cell>
          <cell r="GY188">
            <v>91.3</v>
          </cell>
          <cell r="GZ188">
            <v>91</v>
          </cell>
          <cell r="HA188">
            <v>8</v>
          </cell>
          <cell r="HB188">
            <v>91.9</v>
          </cell>
          <cell r="HC188">
            <v>109</v>
          </cell>
          <cell r="HD188">
            <v>5</v>
          </cell>
          <cell r="HE188">
            <v>95.6</v>
          </cell>
          <cell r="HF188">
            <v>102</v>
          </cell>
          <cell r="HG188">
            <v>16</v>
          </cell>
          <cell r="HH188">
            <v>86.4</v>
          </cell>
          <cell r="HI188">
            <v>75</v>
          </cell>
          <cell r="HJ188">
            <v>14</v>
          </cell>
          <cell r="HK188">
            <v>84.3</v>
          </cell>
          <cell r="HL188">
            <v>5</v>
          </cell>
          <cell r="HM188">
            <v>5</v>
          </cell>
          <cell r="HN188">
            <v>50</v>
          </cell>
          <cell r="HO188">
            <v>4</v>
          </cell>
          <cell r="HP188">
            <v>4</v>
          </cell>
          <cell r="HQ188">
            <v>100</v>
          </cell>
          <cell r="HR188">
            <v>5</v>
          </cell>
          <cell r="HS188">
            <v>5</v>
          </cell>
          <cell r="HT188">
            <v>100</v>
          </cell>
          <cell r="HU188">
            <v>3</v>
          </cell>
          <cell r="HV188">
            <v>1</v>
          </cell>
          <cell r="HW188">
            <v>75</v>
          </cell>
          <cell r="HX188">
            <v>1</v>
          </cell>
          <cell r="HY188">
            <v>1</v>
          </cell>
          <cell r="HZ188">
            <v>100</v>
          </cell>
          <cell r="IA188">
            <v>100</v>
          </cell>
          <cell r="IB188">
            <v>100</v>
          </cell>
          <cell r="IC188" t="str">
            <v>-</v>
          </cell>
          <cell r="ID188">
            <v>1</v>
          </cell>
          <cell r="IE188">
            <v>1</v>
          </cell>
          <cell r="IF188">
            <v>100</v>
          </cell>
          <cell r="IG188">
            <v>2</v>
          </cell>
          <cell r="IH188">
            <v>2</v>
          </cell>
          <cell r="II188">
            <v>100</v>
          </cell>
          <cell r="IJ188">
            <v>100</v>
          </cell>
          <cell r="IK188">
            <v>100</v>
          </cell>
          <cell r="IL188" t="str">
            <v>-</v>
          </cell>
          <cell r="IM188">
            <v>100</v>
          </cell>
          <cell r="IN188">
            <v>100</v>
          </cell>
          <cell r="IO188" t="str">
            <v>-</v>
          </cell>
          <cell r="IP188">
            <v>1</v>
          </cell>
          <cell r="IQ188">
            <v>1</v>
          </cell>
          <cell r="IR188">
            <v>100</v>
          </cell>
          <cell r="IS188">
            <v>100</v>
          </cell>
          <cell r="IT188">
            <v>100</v>
          </cell>
          <cell r="IU188" t="str">
            <v>-</v>
          </cell>
          <cell r="IV188">
            <v>100</v>
          </cell>
          <cell r="IW188">
            <v>100</v>
          </cell>
          <cell r="IX188" t="str">
            <v>-</v>
          </cell>
          <cell r="IY188">
            <v>100</v>
          </cell>
          <cell r="IZ188">
            <v>100</v>
          </cell>
          <cell r="JA188" t="str">
            <v>-</v>
          </cell>
          <cell r="JB188">
            <v>100</v>
          </cell>
          <cell r="JC188">
            <v>100</v>
          </cell>
          <cell r="JD188" t="str">
            <v>-</v>
          </cell>
          <cell r="JE188">
            <v>1</v>
          </cell>
          <cell r="JF188">
            <v>1</v>
          </cell>
          <cell r="JG188">
            <v>100</v>
          </cell>
          <cell r="JH188">
            <v>1</v>
          </cell>
          <cell r="JI188">
            <v>0</v>
          </cell>
          <cell r="JJ188">
            <v>100</v>
          </cell>
          <cell r="JK188">
            <v>1</v>
          </cell>
          <cell r="JL188">
            <v>0</v>
          </cell>
          <cell r="JM188">
            <v>100</v>
          </cell>
          <cell r="JN188">
            <v>0</v>
          </cell>
          <cell r="JO188">
            <v>0</v>
          </cell>
          <cell r="JP188" t="str">
            <v>-</v>
          </cell>
          <cell r="JQ188">
            <v>312</v>
          </cell>
          <cell r="JR188">
            <v>23</v>
          </cell>
          <cell r="JS188">
            <v>93.134328358208947</v>
          </cell>
          <cell r="JT188">
            <v>93</v>
          </cell>
          <cell r="JU188">
            <v>16</v>
          </cell>
          <cell r="JV188">
            <v>85.321100917431195</v>
          </cell>
          <cell r="JW188">
            <v>0</v>
          </cell>
          <cell r="JX188">
            <v>0</v>
          </cell>
          <cell r="JY188" t="str">
            <v>-</v>
          </cell>
          <cell r="JZ188">
            <v>48</v>
          </cell>
          <cell r="KA188">
            <v>7</v>
          </cell>
          <cell r="KB188">
            <v>87.272727272727266</v>
          </cell>
          <cell r="KC188">
            <v>0</v>
          </cell>
          <cell r="KD188">
            <v>0</v>
          </cell>
          <cell r="KE188" t="str">
            <v>-</v>
          </cell>
          <cell r="KF188">
            <v>461</v>
          </cell>
          <cell r="KG188">
            <v>51</v>
          </cell>
          <cell r="KH188">
            <v>90.0390625</v>
          </cell>
          <cell r="KI188">
            <v>7</v>
          </cell>
          <cell r="KJ188">
            <v>1</v>
          </cell>
          <cell r="KK188">
            <v>87.5</v>
          </cell>
          <cell r="KL188">
            <v>1</v>
          </cell>
          <cell r="KM188">
            <v>0</v>
          </cell>
          <cell r="KN188">
            <v>100</v>
          </cell>
        </row>
        <row r="189">
          <cell r="C189" t="str">
            <v>Balatonfüredi Rendőrkapitányság</v>
          </cell>
          <cell r="D189">
            <v>100</v>
          </cell>
          <cell r="E189">
            <v>1</v>
          </cell>
          <cell r="F189">
            <v>0</v>
          </cell>
          <cell r="G189">
            <v>0</v>
          </cell>
          <cell r="H189">
            <v>0</v>
          </cell>
          <cell r="I189" t="str">
            <v>-</v>
          </cell>
          <cell r="J189">
            <v>0</v>
          </cell>
          <cell r="K189">
            <v>0</v>
          </cell>
          <cell r="L189" t="str">
            <v>-</v>
          </cell>
          <cell r="M189">
            <v>0</v>
          </cell>
          <cell r="N189">
            <v>0</v>
          </cell>
          <cell r="O189" t="str">
            <v>-</v>
          </cell>
          <cell r="P189">
            <v>0</v>
          </cell>
          <cell r="Q189">
            <v>0</v>
          </cell>
          <cell r="R189" t="str">
            <v>-</v>
          </cell>
          <cell r="S189">
            <v>0</v>
          </cell>
          <cell r="T189">
            <v>0</v>
          </cell>
          <cell r="U189" t="str">
            <v>-</v>
          </cell>
          <cell r="V189">
            <v>0</v>
          </cell>
          <cell r="W189">
            <v>0</v>
          </cell>
          <cell r="X189" t="str">
            <v>-</v>
          </cell>
          <cell r="Y189">
            <v>0</v>
          </cell>
          <cell r="Z189">
            <v>0</v>
          </cell>
          <cell r="AA189" t="str">
            <v>-</v>
          </cell>
          <cell r="AB189">
            <v>0</v>
          </cell>
          <cell r="AC189">
            <v>0</v>
          </cell>
          <cell r="AD189" t="str">
            <v>-</v>
          </cell>
          <cell r="AE189">
            <v>0</v>
          </cell>
          <cell r="AF189">
            <v>0</v>
          </cell>
          <cell r="AG189" t="str">
            <v>-</v>
          </cell>
          <cell r="AH189">
            <v>0</v>
          </cell>
          <cell r="AI189">
            <v>0</v>
          </cell>
          <cell r="AJ189" t="str">
            <v>-</v>
          </cell>
          <cell r="AK189">
            <v>0</v>
          </cell>
          <cell r="AL189">
            <v>0</v>
          </cell>
          <cell r="AM189" t="str">
            <v>-</v>
          </cell>
          <cell r="AN189">
            <v>0</v>
          </cell>
          <cell r="AO189">
            <v>0</v>
          </cell>
          <cell r="AP189" t="str">
            <v>-</v>
          </cell>
          <cell r="AQ189">
            <v>0</v>
          </cell>
          <cell r="AR189">
            <v>0</v>
          </cell>
          <cell r="AS189" t="str">
            <v>-</v>
          </cell>
          <cell r="AT189">
            <v>0</v>
          </cell>
          <cell r="AU189">
            <v>0</v>
          </cell>
          <cell r="AV189" t="str">
            <v>-</v>
          </cell>
          <cell r="AW189">
            <v>0</v>
          </cell>
          <cell r="AX189">
            <v>0</v>
          </cell>
          <cell r="AY189" t="str">
            <v>-</v>
          </cell>
          <cell r="AZ189">
            <v>0</v>
          </cell>
          <cell r="BA189">
            <v>1</v>
          </cell>
          <cell r="BB189">
            <v>0</v>
          </cell>
          <cell r="BC189">
            <v>0</v>
          </cell>
          <cell r="BD189">
            <v>0</v>
          </cell>
          <cell r="BE189" t="str">
            <v>-</v>
          </cell>
          <cell r="BF189">
            <v>0</v>
          </cell>
          <cell r="BG189">
            <v>0</v>
          </cell>
          <cell r="BH189" t="str">
            <v>-</v>
          </cell>
          <cell r="BI189">
            <v>0</v>
          </cell>
          <cell r="BJ189">
            <v>0</v>
          </cell>
          <cell r="BK189" t="str">
            <v>-</v>
          </cell>
          <cell r="BL189">
            <v>0</v>
          </cell>
          <cell r="BM189">
            <v>0</v>
          </cell>
          <cell r="BN189" t="str">
            <v>-</v>
          </cell>
          <cell r="BO189">
            <v>0</v>
          </cell>
          <cell r="BP189">
            <v>0</v>
          </cell>
          <cell r="BQ189" t="str">
            <v>-</v>
          </cell>
          <cell r="BR189">
            <v>0</v>
          </cell>
          <cell r="BS189">
            <v>0</v>
          </cell>
          <cell r="BT189" t="str">
            <v>-</v>
          </cell>
          <cell r="BU189">
            <v>0</v>
          </cell>
          <cell r="BV189">
            <v>0</v>
          </cell>
          <cell r="BW189" t="str">
            <v>-</v>
          </cell>
          <cell r="BX189">
            <v>28</v>
          </cell>
          <cell r="BY189">
            <v>4</v>
          </cell>
          <cell r="BZ189">
            <v>87.5</v>
          </cell>
          <cell r="CA189">
            <v>29</v>
          </cell>
          <cell r="CB189">
            <v>5</v>
          </cell>
          <cell r="CC189">
            <v>85.3</v>
          </cell>
          <cell r="CD189">
            <v>24</v>
          </cell>
          <cell r="CE189">
            <v>1</v>
          </cell>
          <cell r="CF189">
            <v>96</v>
          </cell>
          <cell r="CG189">
            <v>28</v>
          </cell>
          <cell r="CH189">
            <v>1</v>
          </cell>
          <cell r="CI189">
            <v>96.6</v>
          </cell>
          <cell r="CJ189">
            <v>19</v>
          </cell>
          <cell r="CK189">
            <v>3</v>
          </cell>
          <cell r="CL189">
            <v>86.4</v>
          </cell>
          <cell r="CM189">
            <v>16</v>
          </cell>
          <cell r="CN189">
            <v>1</v>
          </cell>
          <cell r="CO189">
            <v>94.1</v>
          </cell>
          <cell r="CP189">
            <v>16</v>
          </cell>
          <cell r="CQ189">
            <v>2</v>
          </cell>
          <cell r="CR189">
            <v>88.9</v>
          </cell>
          <cell r="CS189">
            <v>22</v>
          </cell>
          <cell r="CT189">
            <v>1</v>
          </cell>
          <cell r="CU189">
            <v>95.7</v>
          </cell>
          <cell r="CV189">
            <v>10</v>
          </cell>
          <cell r="CW189">
            <v>4</v>
          </cell>
          <cell r="CX189">
            <v>71.400000000000006</v>
          </cell>
          <cell r="CY189">
            <v>10</v>
          </cell>
          <cell r="CZ189">
            <v>2</v>
          </cell>
          <cell r="DA189">
            <v>83.3</v>
          </cell>
          <cell r="DB189">
            <v>8</v>
          </cell>
          <cell r="DC189">
            <v>8</v>
          </cell>
          <cell r="DD189">
            <v>100</v>
          </cell>
          <cell r="DE189">
            <v>4</v>
          </cell>
          <cell r="DF189">
            <v>4</v>
          </cell>
          <cell r="DG189">
            <v>100</v>
          </cell>
          <cell r="DH189">
            <v>8</v>
          </cell>
          <cell r="DI189">
            <v>2</v>
          </cell>
          <cell r="DJ189">
            <v>80</v>
          </cell>
          <cell r="DK189">
            <v>10</v>
          </cell>
          <cell r="DL189">
            <v>1</v>
          </cell>
          <cell r="DM189">
            <v>90.9</v>
          </cell>
          <cell r="DN189">
            <v>5</v>
          </cell>
          <cell r="DO189">
            <v>5</v>
          </cell>
          <cell r="DP189">
            <v>100</v>
          </cell>
          <cell r="DQ189">
            <v>9</v>
          </cell>
          <cell r="DR189">
            <v>1</v>
          </cell>
          <cell r="DS189">
            <v>90</v>
          </cell>
          <cell r="DT189">
            <v>90</v>
          </cell>
          <cell r="DU189">
            <v>90</v>
          </cell>
          <cell r="DV189" t="str">
            <v>-</v>
          </cell>
          <cell r="DW189">
            <v>90</v>
          </cell>
          <cell r="DX189">
            <v>90</v>
          </cell>
          <cell r="DY189" t="str">
            <v>-</v>
          </cell>
          <cell r="DZ189">
            <v>90</v>
          </cell>
          <cell r="EA189">
            <v>90</v>
          </cell>
          <cell r="EB189" t="str">
            <v>-</v>
          </cell>
          <cell r="EC189">
            <v>90</v>
          </cell>
          <cell r="ED189">
            <v>90</v>
          </cell>
          <cell r="EE189" t="str">
            <v>-</v>
          </cell>
          <cell r="EF189">
            <v>90</v>
          </cell>
          <cell r="EG189">
            <v>90</v>
          </cell>
          <cell r="EH189" t="str">
            <v>-</v>
          </cell>
          <cell r="EI189">
            <v>90</v>
          </cell>
          <cell r="EJ189">
            <v>90</v>
          </cell>
          <cell r="EK189" t="str">
            <v>-</v>
          </cell>
          <cell r="EL189">
            <v>90</v>
          </cell>
          <cell r="EM189">
            <v>90</v>
          </cell>
          <cell r="EN189" t="str">
            <v>-</v>
          </cell>
          <cell r="EO189">
            <v>90</v>
          </cell>
          <cell r="EP189">
            <v>90</v>
          </cell>
          <cell r="EQ189" t="str">
            <v>-</v>
          </cell>
          <cell r="ER189">
            <v>3</v>
          </cell>
          <cell r="ES189">
            <v>3</v>
          </cell>
          <cell r="ET189">
            <v>100</v>
          </cell>
          <cell r="EU189">
            <v>2</v>
          </cell>
          <cell r="EV189">
            <v>3</v>
          </cell>
          <cell r="EW189">
            <v>40</v>
          </cell>
          <cell r="EX189">
            <v>2</v>
          </cell>
          <cell r="EY189">
            <v>2</v>
          </cell>
          <cell r="EZ189">
            <v>100</v>
          </cell>
          <cell r="FA189">
            <v>4</v>
          </cell>
          <cell r="FB189">
            <v>4</v>
          </cell>
          <cell r="FC189">
            <v>100</v>
          </cell>
          <cell r="FD189">
            <v>1</v>
          </cell>
          <cell r="FE189">
            <v>1</v>
          </cell>
          <cell r="FF189">
            <v>100</v>
          </cell>
          <cell r="FG189">
            <v>2</v>
          </cell>
          <cell r="FH189">
            <v>1</v>
          </cell>
          <cell r="FI189">
            <v>66.7</v>
          </cell>
          <cell r="FJ189">
            <v>1</v>
          </cell>
          <cell r="FK189">
            <v>1</v>
          </cell>
          <cell r="FL189">
            <v>100</v>
          </cell>
          <cell r="FM189">
            <v>8</v>
          </cell>
          <cell r="FN189">
            <v>8</v>
          </cell>
          <cell r="FO189">
            <v>100</v>
          </cell>
          <cell r="FP189">
            <v>100</v>
          </cell>
          <cell r="FQ189">
            <v>100</v>
          </cell>
          <cell r="FR189" t="str">
            <v>-</v>
          </cell>
          <cell r="FS189">
            <v>100</v>
          </cell>
          <cell r="FT189">
            <v>100</v>
          </cell>
          <cell r="FU189" t="str">
            <v>-</v>
          </cell>
          <cell r="FV189">
            <v>100</v>
          </cell>
          <cell r="FW189">
            <v>100</v>
          </cell>
          <cell r="FX189" t="str">
            <v>-</v>
          </cell>
          <cell r="FY189">
            <v>100</v>
          </cell>
          <cell r="FZ189">
            <v>100</v>
          </cell>
          <cell r="GA189" t="str">
            <v>-</v>
          </cell>
          <cell r="GB189">
            <v>100</v>
          </cell>
          <cell r="GC189">
            <v>100</v>
          </cell>
          <cell r="GD189" t="str">
            <v>-</v>
          </cell>
          <cell r="GE189">
            <v>100</v>
          </cell>
          <cell r="GF189">
            <v>100</v>
          </cell>
          <cell r="GG189" t="str">
            <v>-</v>
          </cell>
          <cell r="GH189">
            <v>100</v>
          </cell>
          <cell r="GI189">
            <v>100</v>
          </cell>
          <cell r="GJ189" t="str">
            <v>-</v>
          </cell>
          <cell r="GK189">
            <v>100</v>
          </cell>
          <cell r="GL189">
            <v>100</v>
          </cell>
          <cell r="GM189" t="str">
            <v>-</v>
          </cell>
          <cell r="GN189">
            <v>44</v>
          </cell>
          <cell r="GO189">
            <v>2</v>
          </cell>
          <cell r="GP189">
            <v>95.7</v>
          </cell>
          <cell r="GQ189">
            <v>44</v>
          </cell>
          <cell r="GR189">
            <v>5</v>
          </cell>
          <cell r="GS189">
            <v>89.8</v>
          </cell>
          <cell r="GT189">
            <v>39</v>
          </cell>
          <cell r="GU189">
            <v>3</v>
          </cell>
          <cell r="GV189">
            <v>92.9</v>
          </cell>
          <cell r="GW189">
            <v>38</v>
          </cell>
          <cell r="GX189">
            <v>1</v>
          </cell>
          <cell r="GY189">
            <v>97.4</v>
          </cell>
          <cell r="GZ189">
            <v>31</v>
          </cell>
          <cell r="HA189">
            <v>5</v>
          </cell>
          <cell r="HB189">
            <v>86.1</v>
          </cell>
          <cell r="HC189">
            <v>27</v>
          </cell>
          <cell r="HD189">
            <v>3</v>
          </cell>
          <cell r="HE189">
            <v>90</v>
          </cell>
          <cell r="HF189">
            <v>34</v>
          </cell>
          <cell r="HG189">
            <v>6</v>
          </cell>
          <cell r="HH189">
            <v>85</v>
          </cell>
          <cell r="HI189">
            <v>27</v>
          </cell>
          <cell r="HJ189">
            <v>2</v>
          </cell>
          <cell r="HK189">
            <v>93.1</v>
          </cell>
          <cell r="HL189">
            <v>93.0999755859375</v>
          </cell>
          <cell r="HM189">
            <v>1</v>
          </cell>
          <cell r="HN189">
            <v>0</v>
          </cell>
          <cell r="HO189">
            <v>7</v>
          </cell>
          <cell r="HP189">
            <v>1</v>
          </cell>
          <cell r="HQ189">
            <v>87.5</v>
          </cell>
          <cell r="HR189">
            <v>2</v>
          </cell>
          <cell r="HS189">
            <v>2</v>
          </cell>
          <cell r="HT189">
            <v>50</v>
          </cell>
          <cell r="HU189">
            <v>2</v>
          </cell>
          <cell r="HV189">
            <v>1</v>
          </cell>
          <cell r="HW189">
            <v>66.7</v>
          </cell>
          <cell r="HX189">
            <v>2</v>
          </cell>
          <cell r="HY189">
            <v>2</v>
          </cell>
          <cell r="HZ189">
            <v>100</v>
          </cell>
          <cell r="IA189">
            <v>6</v>
          </cell>
          <cell r="IB189">
            <v>1</v>
          </cell>
          <cell r="IC189">
            <v>85.7</v>
          </cell>
          <cell r="ID189">
            <v>1</v>
          </cell>
          <cell r="IE189">
            <v>1</v>
          </cell>
          <cell r="IF189">
            <v>50</v>
          </cell>
          <cell r="IG189">
            <v>1</v>
          </cell>
          <cell r="IH189">
            <v>1</v>
          </cell>
          <cell r="II189">
            <v>100</v>
          </cell>
          <cell r="IJ189">
            <v>2</v>
          </cell>
          <cell r="IK189">
            <v>2</v>
          </cell>
          <cell r="IL189">
            <v>100</v>
          </cell>
          <cell r="IM189">
            <v>1</v>
          </cell>
          <cell r="IN189">
            <v>1</v>
          </cell>
          <cell r="IO189">
            <v>100</v>
          </cell>
          <cell r="IP189">
            <v>4</v>
          </cell>
          <cell r="IQ189">
            <v>3</v>
          </cell>
          <cell r="IR189">
            <v>57.1</v>
          </cell>
          <cell r="IS189">
            <v>2</v>
          </cell>
          <cell r="IT189">
            <v>2</v>
          </cell>
          <cell r="IU189">
            <v>100</v>
          </cell>
          <cell r="IV189">
            <v>100</v>
          </cell>
          <cell r="IW189">
            <v>100</v>
          </cell>
          <cell r="IX189" t="str">
            <v>-</v>
          </cell>
          <cell r="IY189">
            <v>6</v>
          </cell>
          <cell r="IZ189">
            <v>6</v>
          </cell>
          <cell r="JA189">
            <v>100</v>
          </cell>
          <cell r="JB189">
            <v>100</v>
          </cell>
          <cell r="JC189">
            <v>100</v>
          </cell>
          <cell r="JD189" t="str">
            <v>-</v>
          </cell>
          <cell r="JE189">
            <v>7</v>
          </cell>
          <cell r="JF189">
            <v>7</v>
          </cell>
          <cell r="JG189">
            <v>100</v>
          </cell>
          <cell r="JH189">
            <v>0</v>
          </cell>
          <cell r="JI189">
            <v>0</v>
          </cell>
          <cell r="JJ189" t="str">
            <v>-</v>
          </cell>
          <cell r="JK189">
            <v>0</v>
          </cell>
          <cell r="JL189">
            <v>0</v>
          </cell>
          <cell r="JM189" t="str">
            <v>-</v>
          </cell>
          <cell r="JN189">
            <v>0</v>
          </cell>
          <cell r="JO189">
            <v>0</v>
          </cell>
          <cell r="JP189" t="str">
            <v>-</v>
          </cell>
          <cell r="JQ189">
            <v>101</v>
          </cell>
          <cell r="JR189">
            <v>8</v>
          </cell>
          <cell r="JS189">
            <v>92.660550458715591</v>
          </cell>
          <cell r="JT189">
            <v>36</v>
          </cell>
          <cell r="JU189">
            <v>4</v>
          </cell>
          <cell r="JV189">
            <v>90</v>
          </cell>
          <cell r="JW189">
            <v>0</v>
          </cell>
          <cell r="JX189">
            <v>0</v>
          </cell>
          <cell r="JY189" t="str">
            <v>-</v>
          </cell>
          <cell r="JZ189">
            <v>16</v>
          </cell>
          <cell r="KA189">
            <v>1</v>
          </cell>
          <cell r="KB189">
            <v>94.117647058823522</v>
          </cell>
          <cell r="KC189">
            <v>0</v>
          </cell>
          <cell r="KD189">
            <v>0</v>
          </cell>
          <cell r="KE189" t="str">
            <v>-</v>
          </cell>
          <cell r="KF189">
            <v>157</v>
          </cell>
          <cell r="KG189">
            <v>17</v>
          </cell>
          <cell r="KH189">
            <v>90.229885057471265</v>
          </cell>
          <cell r="KI189">
            <v>12</v>
          </cell>
          <cell r="KJ189">
            <v>3</v>
          </cell>
          <cell r="KK189">
            <v>80</v>
          </cell>
          <cell r="KL189">
            <v>15</v>
          </cell>
          <cell r="KM189">
            <v>0</v>
          </cell>
          <cell r="KN189">
            <v>100</v>
          </cell>
        </row>
        <row r="190">
          <cell r="C190" t="str">
            <v>Balatonalmádi Rendőrkapitányság</v>
          </cell>
          <cell r="D190">
            <v>1</v>
          </cell>
          <cell r="E190">
            <v>1</v>
          </cell>
          <cell r="F190">
            <v>100</v>
          </cell>
          <cell r="G190">
            <v>100</v>
          </cell>
          <cell r="H190">
            <v>100</v>
          </cell>
          <cell r="I190" t="str">
            <v>-</v>
          </cell>
          <cell r="J190">
            <v>100</v>
          </cell>
          <cell r="K190">
            <v>100</v>
          </cell>
          <cell r="L190" t="str">
            <v>-</v>
          </cell>
          <cell r="M190">
            <v>100</v>
          </cell>
          <cell r="N190">
            <v>100</v>
          </cell>
          <cell r="O190" t="str">
            <v>-</v>
          </cell>
          <cell r="P190">
            <v>100</v>
          </cell>
          <cell r="Q190">
            <v>100</v>
          </cell>
          <cell r="R190" t="str">
            <v>-</v>
          </cell>
          <cell r="S190">
            <v>100</v>
          </cell>
          <cell r="T190">
            <v>100</v>
          </cell>
          <cell r="U190" t="str">
            <v>-</v>
          </cell>
          <cell r="V190">
            <v>100</v>
          </cell>
          <cell r="W190">
            <v>100</v>
          </cell>
          <cell r="X190" t="str">
            <v>-</v>
          </cell>
          <cell r="Y190">
            <v>100</v>
          </cell>
          <cell r="Z190">
            <v>100</v>
          </cell>
          <cell r="AA190" t="str">
            <v>-</v>
          </cell>
          <cell r="AB190">
            <v>100</v>
          </cell>
          <cell r="AC190">
            <v>100</v>
          </cell>
          <cell r="AD190" t="str">
            <v>-</v>
          </cell>
          <cell r="AE190">
            <v>100</v>
          </cell>
          <cell r="AF190">
            <v>100</v>
          </cell>
          <cell r="AG190" t="str">
            <v>-</v>
          </cell>
          <cell r="AH190">
            <v>100</v>
          </cell>
          <cell r="AI190">
            <v>100</v>
          </cell>
          <cell r="AJ190" t="str">
            <v>-</v>
          </cell>
          <cell r="AK190">
            <v>100</v>
          </cell>
          <cell r="AL190">
            <v>100</v>
          </cell>
          <cell r="AM190" t="str">
            <v>-</v>
          </cell>
          <cell r="AN190">
            <v>100</v>
          </cell>
          <cell r="AO190">
            <v>100</v>
          </cell>
          <cell r="AP190" t="str">
            <v>-</v>
          </cell>
          <cell r="AQ190">
            <v>100</v>
          </cell>
          <cell r="AR190">
            <v>100</v>
          </cell>
          <cell r="AS190" t="str">
            <v>-</v>
          </cell>
          <cell r="AT190">
            <v>100</v>
          </cell>
          <cell r="AU190">
            <v>100</v>
          </cell>
          <cell r="AV190" t="str">
            <v>-</v>
          </cell>
          <cell r="AW190">
            <v>100</v>
          </cell>
          <cell r="AX190">
            <v>100</v>
          </cell>
          <cell r="AY190" t="str">
            <v>-</v>
          </cell>
          <cell r="AZ190">
            <v>1</v>
          </cell>
          <cell r="BA190">
            <v>1</v>
          </cell>
          <cell r="BB190">
            <v>100</v>
          </cell>
          <cell r="BC190">
            <v>100</v>
          </cell>
          <cell r="BD190">
            <v>100</v>
          </cell>
          <cell r="BE190" t="str">
            <v>-</v>
          </cell>
          <cell r="BF190">
            <v>100</v>
          </cell>
          <cell r="BG190">
            <v>100</v>
          </cell>
          <cell r="BH190" t="str">
            <v>-</v>
          </cell>
          <cell r="BI190">
            <v>100</v>
          </cell>
          <cell r="BJ190">
            <v>100</v>
          </cell>
          <cell r="BK190" t="str">
            <v>-</v>
          </cell>
          <cell r="BL190">
            <v>100</v>
          </cell>
          <cell r="BM190">
            <v>100</v>
          </cell>
          <cell r="BN190" t="str">
            <v>-</v>
          </cell>
          <cell r="BO190">
            <v>100</v>
          </cell>
          <cell r="BP190">
            <v>100</v>
          </cell>
          <cell r="BQ190" t="str">
            <v>-</v>
          </cell>
          <cell r="BR190">
            <v>100</v>
          </cell>
          <cell r="BS190">
            <v>100</v>
          </cell>
          <cell r="BT190" t="str">
            <v>-</v>
          </cell>
          <cell r="BU190">
            <v>100</v>
          </cell>
          <cell r="BV190">
            <v>100</v>
          </cell>
          <cell r="BW190" t="str">
            <v>-</v>
          </cell>
          <cell r="BX190">
            <v>15</v>
          </cell>
          <cell r="BY190">
            <v>5</v>
          </cell>
          <cell r="BZ190">
            <v>75</v>
          </cell>
          <cell r="CA190">
            <v>23</v>
          </cell>
          <cell r="CB190">
            <v>1</v>
          </cell>
          <cell r="CC190">
            <v>95.8</v>
          </cell>
          <cell r="CD190">
            <v>14</v>
          </cell>
          <cell r="CE190">
            <v>4</v>
          </cell>
          <cell r="CF190">
            <v>77.8</v>
          </cell>
          <cell r="CG190">
            <v>14</v>
          </cell>
          <cell r="CH190">
            <v>1</v>
          </cell>
          <cell r="CI190">
            <v>93.3</v>
          </cell>
          <cell r="CJ190">
            <v>19</v>
          </cell>
          <cell r="CK190">
            <v>19</v>
          </cell>
          <cell r="CL190">
            <v>100</v>
          </cell>
          <cell r="CM190">
            <v>20</v>
          </cell>
          <cell r="CN190">
            <v>3</v>
          </cell>
          <cell r="CO190">
            <v>87</v>
          </cell>
          <cell r="CP190">
            <v>26</v>
          </cell>
          <cell r="CQ190">
            <v>3</v>
          </cell>
          <cell r="CR190">
            <v>89.7</v>
          </cell>
          <cell r="CS190">
            <v>25</v>
          </cell>
          <cell r="CT190">
            <v>2</v>
          </cell>
          <cell r="CU190">
            <v>92.6</v>
          </cell>
          <cell r="CV190">
            <v>11</v>
          </cell>
          <cell r="CW190">
            <v>4</v>
          </cell>
          <cell r="CX190">
            <v>73.3</v>
          </cell>
          <cell r="CY190">
            <v>10</v>
          </cell>
          <cell r="CZ190">
            <v>1</v>
          </cell>
          <cell r="DA190">
            <v>90.9</v>
          </cell>
          <cell r="DB190">
            <v>7</v>
          </cell>
          <cell r="DC190">
            <v>4</v>
          </cell>
          <cell r="DD190">
            <v>63.6</v>
          </cell>
          <cell r="DE190">
            <v>5</v>
          </cell>
          <cell r="DF190">
            <v>1</v>
          </cell>
          <cell r="DG190">
            <v>83.3</v>
          </cell>
          <cell r="DH190">
            <v>9</v>
          </cell>
          <cell r="DI190">
            <v>9</v>
          </cell>
          <cell r="DJ190">
            <v>100</v>
          </cell>
          <cell r="DK190">
            <v>8</v>
          </cell>
          <cell r="DL190">
            <v>3</v>
          </cell>
          <cell r="DM190">
            <v>72.7</v>
          </cell>
          <cell r="DN190">
            <v>9</v>
          </cell>
          <cell r="DO190">
            <v>3</v>
          </cell>
          <cell r="DP190">
            <v>75</v>
          </cell>
          <cell r="DQ190">
            <v>5</v>
          </cell>
          <cell r="DR190">
            <v>1</v>
          </cell>
          <cell r="DS190">
            <v>83.3</v>
          </cell>
          <cell r="DT190">
            <v>83.29998779296875</v>
          </cell>
          <cell r="DU190">
            <v>83.29998779296875</v>
          </cell>
          <cell r="DV190" t="str">
            <v>-</v>
          </cell>
          <cell r="DW190">
            <v>83.29998779296875</v>
          </cell>
          <cell r="DX190">
            <v>83.29998779296875</v>
          </cell>
          <cell r="DY190" t="str">
            <v>-</v>
          </cell>
          <cell r="DZ190">
            <v>83.29998779296875</v>
          </cell>
          <cell r="EA190">
            <v>83.29998779296875</v>
          </cell>
          <cell r="EB190" t="str">
            <v>-</v>
          </cell>
          <cell r="EC190">
            <v>83.29998779296875</v>
          </cell>
          <cell r="ED190">
            <v>83.29998779296875</v>
          </cell>
          <cell r="EE190" t="str">
            <v>-</v>
          </cell>
          <cell r="EF190">
            <v>83.29998779296875</v>
          </cell>
          <cell r="EG190">
            <v>83.29998779296875</v>
          </cell>
          <cell r="EH190" t="str">
            <v>-</v>
          </cell>
          <cell r="EI190">
            <v>83.29998779296875</v>
          </cell>
          <cell r="EJ190">
            <v>83.29998779296875</v>
          </cell>
          <cell r="EK190" t="str">
            <v>-</v>
          </cell>
          <cell r="EL190">
            <v>83.29998779296875</v>
          </cell>
          <cell r="EM190">
            <v>83.29998779296875</v>
          </cell>
          <cell r="EN190" t="str">
            <v>-</v>
          </cell>
          <cell r="EO190">
            <v>83.29998779296875</v>
          </cell>
          <cell r="EP190">
            <v>83.29998779296875</v>
          </cell>
          <cell r="EQ190" t="str">
            <v>-</v>
          </cell>
          <cell r="ER190">
            <v>8</v>
          </cell>
          <cell r="ES190">
            <v>1</v>
          </cell>
          <cell r="ET190">
            <v>88.9</v>
          </cell>
          <cell r="EU190">
            <v>10</v>
          </cell>
          <cell r="EV190">
            <v>10</v>
          </cell>
          <cell r="EW190">
            <v>100</v>
          </cell>
          <cell r="EX190">
            <v>8</v>
          </cell>
          <cell r="EY190">
            <v>8</v>
          </cell>
          <cell r="EZ190">
            <v>100</v>
          </cell>
          <cell r="FA190">
            <v>4</v>
          </cell>
          <cell r="FB190">
            <v>4</v>
          </cell>
          <cell r="FC190">
            <v>100</v>
          </cell>
          <cell r="FD190">
            <v>1</v>
          </cell>
          <cell r="FE190">
            <v>1</v>
          </cell>
          <cell r="FF190">
            <v>100</v>
          </cell>
          <cell r="FG190">
            <v>1</v>
          </cell>
          <cell r="FH190">
            <v>2</v>
          </cell>
          <cell r="FI190">
            <v>33.299999999999997</v>
          </cell>
          <cell r="FJ190">
            <v>5</v>
          </cell>
          <cell r="FK190">
            <v>7</v>
          </cell>
          <cell r="FL190">
            <v>41.7</v>
          </cell>
          <cell r="FM190">
            <v>6</v>
          </cell>
          <cell r="FN190">
            <v>6</v>
          </cell>
          <cell r="FO190">
            <v>100</v>
          </cell>
          <cell r="FP190">
            <v>100</v>
          </cell>
          <cell r="FQ190">
            <v>100</v>
          </cell>
          <cell r="FR190" t="str">
            <v>-</v>
          </cell>
          <cell r="FS190">
            <v>100</v>
          </cell>
          <cell r="FT190">
            <v>100</v>
          </cell>
          <cell r="FU190" t="str">
            <v>-</v>
          </cell>
          <cell r="FV190">
            <v>100</v>
          </cell>
          <cell r="FW190">
            <v>100</v>
          </cell>
          <cell r="FX190" t="str">
            <v>-</v>
          </cell>
          <cell r="FY190">
            <v>100</v>
          </cell>
          <cell r="FZ190">
            <v>100</v>
          </cell>
          <cell r="GA190" t="str">
            <v>-</v>
          </cell>
          <cell r="GB190">
            <v>100</v>
          </cell>
          <cell r="GC190">
            <v>100</v>
          </cell>
          <cell r="GD190" t="str">
            <v>-</v>
          </cell>
          <cell r="GE190">
            <v>100</v>
          </cell>
          <cell r="GF190">
            <v>100</v>
          </cell>
          <cell r="GG190" t="str">
            <v>-</v>
          </cell>
          <cell r="GH190">
            <v>100</v>
          </cell>
          <cell r="GI190">
            <v>100</v>
          </cell>
          <cell r="GJ190" t="str">
            <v>-</v>
          </cell>
          <cell r="GK190">
            <v>100</v>
          </cell>
          <cell r="GL190">
            <v>100</v>
          </cell>
          <cell r="GM190" t="str">
            <v>-</v>
          </cell>
          <cell r="GN190">
            <v>23</v>
          </cell>
          <cell r="GO190">
            <v>2</v>
          </cell>
          <cell r="GP190">
            <v>92</v>
          </cell>
          <cell r="GQ190">
            <v>33</v>
          </cell>
          <cell r="GR190">
            <v>2</v>
          </cell>
          <cell r="GS190">
            <v>94.3</v>
          </cell>
          <cell r="GT190">
            <v>26</v>
          </cell>
          <cell r="GU190">
            <v>3</v>
          </cell>
          <cell r="GV190">
            <v>89.7</v>
          </cell>
          <cell r="GW190">
            <v>22</v>
          </cell>
          <cell r="GX190">
            <v>2</v>
          </cell>
          <cell r="GY190">
            <v>91.7</v>
          </cell>
          <cell r="GZ190">
            <v>22</v>
          </cell>
          <cell r="HA190">
            <v>4</v>
          </cell>
          <cell r="HB190">
            <v>84.6</v>
          </cell>
          <cell r="HC190">
            <v>21</v>
          </cell>
          <cell r="HD190">
            <v>8</v>
          </cell>
          <cell r="HE190">
            <v>72.400000000000006</v>
          </cell>
          <cell r="HF190">
            <v>30</v>
          </cell>
          <cell r="HG190">
            <v>2</v>
          </cell>
          <cell r="HH190">
            <v>93.8</v>
          </cell>
          <cell r="HI190">
            <v>24</v>
          </cell>
          <cell r="HJ190">
            <v>1</v>
          </cell>
          <cell r="HK190">
            <v>96</v>
          </cell>
          <cell r="HL190">
            <v>96</v>
          </cell>
          <cell r="HM190">
            <v>1</v>
          </cell>
          <cell r="HN190">
            <v>0</v>
          </cell>
          <cell r="HO190">
            <v>3</v>
          </cell>
          <cell r="HP190">
            <v>1</v>
          </cell>
          <cell r="HQ190">
            <v>75</v>
          </cell>
          <cell r="HR190">
            <v>4</v>
          </cell>
          <cell r="HS190">
            <v>2</v>
          </cell>
          <cell r="HT190">
            <v>66.7</v>
          </cell>
          <cell r="HU190">
            <v>3</v>
          </cell>
          <cell r="HV190">
            <v>3</v>
          </cell>
          <cell r="HW190">
            <v>100</v>
          </cell>
          <cell r="HX190">
            <v>2</v>
          </cell>
          <cell r="HY190">
            <v>1</v>
          </cell>
          <cell r="HZ190">
            <v>66.7</v>
          </cell>
          <cell r="IA190">
            <v>4</v>
          </cell>
          <cell r="IB190">
            <v>4</v>
          </cell>
          <cell r="IC190">
            <v>100</v>
          </cell>
          <cell r="ID190">
            <v>1</v>
          </cell>
          <cell r="IE190">
            <v>1</v>
          </cell>
          <cell r="IF190">
            <v>100</v>
          </cell>
          <cell r="IG190">
            <v>100</v>
          </cell>
          <cell r="IH190">
            <v>1</v>
          </cell>
          <cell r="II190">
            <v>0</v>
          </cell>
          <cell r="IJ190">
            <v>1</v>
          </cell>
          <cell r="IK190">
            <v>1</v>
          </cell>
          <cell r="IL190">
            <v>100</v>
          </cell>
          <cell r="IM190">
            <v>4</v>
          </cell>
          <cell r="IN190">
            <v>2</v>
          </cell>
          <cell r="IO190">
            <v>66.7</v>
          </cell>
          <cell r="IP190">
            <v>4</v>
          </cell>
          <cell r="IQ190">
            <v>4</v>
          </cell>
          <cell r="IR190">
            <v>100</v>
          </cell>
          <cell r="IS190">
            <v>100</v>
          </cell>
          <cell r="IT190">
            <v>100</v>
          </cell>
          <cell r="IU190" t="str">
            <v>-</v>
          </cell>
          <cell r="IV190">
            <v>100</v>
          </cell>
          <cell r="IW190">
            <v>2</v>
          </cell>
          <cell r="IX190">
            <v>0</v>
          </cell>
          <cell r="IY190">
            <v>0</v>
          </cell>
          <cell r="IZ190">
            <v>0</v>
          </cell>
          <cell r="JA190" t="str">
            <v>-</v>
          </cell>
          <cell r="JB190">
            <v>1</v>
          </cell>
          <cell r="JC190">
            <v>1</v>
          </cell>
          <cell r="JD190">
            <v>50</v>
          </cell>
          <cell r="JE190">
            <v>50</v>
          </cell>
          <cell r="JF190">
            <v>50</v>
          </cell>
          <cell r="JG190" t="str">
            <v>-</v>
          </cell>
          <cell r="JH190">
            <v>0</v>
          </cell>
          <cell r="JI190">
            <v>0</v>
          </cell>
          <cell r="JJ190" t="str">
            <v>-</v>
          </cell>
          <cell r="JK190">
            <v>0</v>
          </cell>
          <cell r="JL190">
            <v>0</v>
          </cell>
          <cell r="JM190" t="str">
            <v>-</v>
          </cell>
          <cell r="JN190">
            <v>0</v>
          </cell>
          <cell r="JO190">
            <v>0</v>
          </cell>
          <cell r="JP190" t="str">
            <v>-</v>
          </cell>
          <cell r="JQ190">
            <v>104</v>
          </cell>
          <cell r="JR190">
            <v>9</v>
          </cell>
          <cell r="JS190">
            <v>92.035398230088489</v>
          </cell>
          <cell r="JT190">
            <v>36</v>
          </cell>
          <cell r="JU190">
            <v>8</v>
          </cell>
          <cell r="JV190">
            <v>81.818181818181827</v>
          </cell>
          <cell r="JW190">
            <v>0</v>
          </cell>
          <cell r="JX190">
            <v>0</v>
          </cell>
          <cell r="JY190" t="str">
            <v>-</v>
          </cell>
          <cell r="JZ190">
            <v>17</v>
          </cell>
          <cell r="KA190">
            <v>9</v>
          </cell>
          <cell r="KB190">
            <v>65.384615384615387</v>
          </cell>
          <cell r="KC190">
            <v>0</v>
          </cell>
          <cell r="KD190">
            <v>0</v>
          </cell>
          <cell r="KE190" t="str">
            <v>-</v>
          </cell>
          <cell r="KF190">
            <v>119</v>
          </cell>
          <cell r="KG190">
            <v>17</v>
          </cell>
          <cell r="KH190">
            <v>87.5</v>
          </cell>
          <cell r="KI190">
            <v>10</v>
          </cell>
          <cell r="KJ190">
            <v>2</v>
          </cell>
          <cell r="KK190">
            <v>83.333333333333343</v>
          </cell>
          <cell r="KL190">
            <v>1</v>
          </cell>
          <cell r="KM190">
            <v>3</v>
          </cell>
          <cell r="KN190">
            <v>25</v>
          </cell>
        </row>
        <row r="191">
          <cell r="C191" t="str">
            <v>Veszprém Megyei Rendőr-főkapitányság</v>
          </cell>
          <cell r="D191">
            <v>6</v>
          </cell>
          <cell r="E191">
            <v>1</v>
          </cell>
          <cell r="F191">
            <v>85.7</v>
          </cell>
          <cell r="G191">
            <v>7</v>
          </cell>
          <cell r="H191">
            <v>2</v>
          </cell>
          <cell r="I191">
            <v>77.8</v>
          </cell>
          <cell r="J191">
            <v>9</v>
          </cell>
          <cell r="K191">
            <v>3</v>
          </cell>
          <cell r="L191">
            <v>75</v>
          </cell>
          <cell r="M191">
            <v>9</v>
          </cell>
          <cell r="N191">
            <v>1</v>
          </cell>
          <cell r="O191">
            <v>90</v>
          </cell>
          <cell r="P191">
            <v>4</v>
          </cell>
          <cell r="Q191">
            <v>1</v>
          </cell>
          <cell r="R191">
            <v>80</v>
          </cell>
          <cell r="S191">
            <v>6</v>
          </cell>
          <cell r="T191">
            <v>6</v>
          </cell>
          <cell r="U191">
            <v>100</v>
          </cell>
          <cell r="V191">
            <v>5</v>
          </cell>
          <cell r="W191">
            <v>5</v>
          </cell>
          <cell r="X191">
            <v>100</v>
          </cell>
          <cell r="Y191">
            <v>2</v>
          </cell>
          <cell r="Z191">
            <v>2</v>
          </cell>
          <cell r="AA191">
            <v>100</v>
          </cell>
          <cell r="AB191">
            <v>1</v>
          </cell>
          <cell r="AC191">
            <v>1</v>
          </cell>
          <cell r="AD191">
            <v>100</v>
          </cell>
          <cell r="AE191">
            <v>2</v>
          </cell>
          <cell r="AF191">
            <v>2</v>
          </cell>
          <cell r="AG191">
            <v>100</v>
          </cell>
          <cell r="AH191">
            <v>100</v>
          </cell>
          <cell r="AI191">
            <v>3</v>
          </cell>
          <cell r="AJ191">
            <v>0</v>
          </cell>
          <cell r="AK191">
            <v>3</v>
          </cell>
          <cell r="AL191">
            <v>3</v>
          </cell>
          <cell r="AM191">
            <v>100</v>
          </cell>
          <cell r="AN191">
            <v>1</v>
          </cell>
          <cell r="AO191">
            <v>1</v>
          </cell>
          <cell r="AP191">
            <v>100</v>
          </cell>
          <cell r="AQ191">
            <v>5</v>
          </cell>
          <cell r="AR191">
            <v>5</v>
          </cell>
          <cell r="AS191">
            <v>100</v>
          </cell>
          <cell r="AT191">
            <v>1</v>
          </cell>
          <cell r="AU191">
            <v>1</v>
          </cell>
          <cell r="AV191">
            <v>100</v>
          </cell>
          <cell r="AW191">
            <v>2</v>
          </cell>
          <cell r="AX191">
            <v>2</v>
          </cell>
          <cell r="AY191">
            <v>100</v>
          </cell>
          <cell r="AZ191">
            <v>4</v>
          </cell>
          <cell r="BA191">
            <v>1</v>
          </cell>
          <cell r="BB191">
            <v>80</v>
          </cell>
          <cell r="BC191">
            <v>2</v>
          </cell>
          <cell r="BD191">
            <v>1</v>
          </cell>
          <cell r="BE191">
            <v>66.7</v>
          </cell>
          <cell r="BF191">
            <v>6</v>
          </cell>
          <cell r="BG191">
            <v>6</v>
          </cell>
          <cell r="BH191">
            <v>100</v>
          </cell>
          <cell r="BI191">
            <v>3</v>
          </cell>
          <cell r="BJ191">
            <v>1</v>
          </cell>
          <cell r="BK191">
            <v>75</v>
          </cell>
          <cell r="BL191">
            <v>2</v>
          </cell>
          <cell r="BM191">
            <v>1</v>
          </cell>
          <cell r="BN191">
            <v>66.7</v>
          </cell>
          <cell r="BO191">
            <v>1</v>
          </cell>
          <cell r="BP191">
            <v>1</v>
          </cell>
          <cell r="BQ191">
            <v>100</v>
          </cell>
          <cell r="BR191">
            <v>4</v>
          </cell>
          <cell r="BS191">
            <v>4</v>
          </cell>
          <cell r="BT191">
            <v>100</v>
          </cell>
          <cell r="BU191">
            <v>100</v>
          </cell>
          <cell r="BV191">
            <v>100</v>
          </cell>
          <cell r="BW191" t="str">
            <v>-</v>
          </cell>
          <cell r="BX191">
            <v>369</v>
          </cell>
          <cell r="BY191">
            <v>61</v>
          </cell>
          <cell r="BZ191">
            <v>85.8</v>
          </cell>
          <cell r="CA191">
            <v>357</v>
          </cell>
          <cell r="CB191">
            <v>59</v>
          </cell>
          <cell r="CC191">
            <v>85.8</v>
          </cell>
          <cell r="CD191">
            <v>362</v>
          </cell>
          <cell r="CE191">
            <v>68</v>
          </cell>
          <cell r="CF191">
            <v>84.2</v>
          </cell>
          <cell r="CG191">
            <v>295</v>
          </cell>
          <cell r="CH191">
            <v>61</v>
          </cell>
          <cell r="CI191">
            <v>82.9</v>
          </cell>
          <cell r="CJ191">
            <v>343</v>
          </cell>
          <cell r="CK191">
            <v>35</v>
          </cell>
          <cell r="CL191">
            <v>90.7</v>
          </cell>
          <cell r="CM191">
            <v>315</v>
          </cell>
          <cell r="CN191">
            <v>42</v>
          </cell>
          <cell r="CO191">
            <v>88.2</v>
          </cell>
          <cell r="CP191">
            <v>302</v>
          </cell>
          <cell r="CQ191">
            <v>64</v>
          </cell>
          <cell r="CR191">
            <v>82.5</v>
          </cell>
          <cell r="CS191">
            <v>293</v>
          </cell>
          <cell r="CT191">
            <v>60</v>
          </cell>
          <cell r="CU191">
            <v>83</v>
          </cell>
          <cell r="CV191">
            <v>156</v>
          </cell>
          <cell r="CW191">
            <v>43</v>
          </cell>
          <cell r="CX191">
            <v>78.400000000000006</v>
          </cell>
          <cell r="CY191">
            <v>144</v>
          </cell>
          <cell r="CZ191">
            <v>36</v>
          </cell>
          <cell r="DA191">
            <v>80</v>
          </cell>
          <cell r="DB191">
            <v>175</v>
          </cell>
          <cell r="DC191">
            <v>40</v>
          </cell>
          <cell r="DD191">
            <v>81.400000000000006</v>
          </cell>
          <cell r="DE191">
            <v>110</v>
          </cell>
          <cell r="DF191">
            <v>36</v>
          </cell>
          <cell r="DG191">
            <v>75.3</v>
          </cell>
          <cell r="DH191">
            <v>132</v>
          </cell>
          <cell r="DI191">
            <v>20</v>
          </cell>
          <cell r="DJ191">
            <v>86.8</v>
          </cell>
          <cell r="DK191">
            <v>128</v>
          </cell>
          <cell r="DL191">
            <v>25</v>
          </cell>
          <cell r="DM191">
            <v>83.7</v>
          </cell>
          <cell r="DN191">
            <v>106</v>
          </cell>
          <cell r="DO191">
            <v>38</v>
          </cell>
          <cell r="DP191">
            <v>73.599999999999994</v>
          </cell>
          <cell r="DQ191">
            <v>116</v>
          </cell>
          <cell r="DR191">
            <v>27</v>
          </cell>
          <cell r="DS191">
            <v>81.099999999999994</v>
          </cell>
          <cell r="DT191">
            <v>81.0999755859375</v>
          </cell>
          <cell r="DU191">
            <v>81.0999755859375</v>
          </cell>
          <cell r="DV191" t="str">
            <v>-</v>
          </cell>
          <cell r="DW191">
            <v>81.0999755859375</v>
          </cell>
          <cell r="DX191">
            <v>81.0999755859375</v>
          </cell>
          <cell r="DY191" t="str">
            <v>-</v>
          </cell>
          <cell r="DZ191">
            <v>4</v>
          </cell>
          <cell r="EA191">
            <v>4</v>
          </cell>
          <cell r="EB191">
            <v>100</v>
          </cell>
          <cell r="EC191">
            <v>100</v>
          </cell>
          <cell r="ED191">
            <v>100</v>
          </cell>
          <cell r="EE191" t="str">
            <v>-</v>
          </cell>
          <cell r="EF191">
            <v>1</v>
          </cell>
          <cell r="EG191">
            <v>1</v>
          </cell>
          <cell r="EH191">
            <v>100</v>
          </cell>
          <cell r="EI191">
            <v>1</v>
          </cell>
          <cell r="EJ191">
            <v>1</v>
          </cell>
          <cell r="EK191">
            <v>100</v>
          </cell>
          <cell r="EL191">
            <v>2</v>
          </cell>
          <cell r="EM191">
            <v>2</v>
          </cell>
          <cell r="EN191">
            <v>100</v>
          </cell>
          <cell r="EO191">
            <v>100</v>
          </cell>
          <cell r="EP191">
            <v>100</v>
          </cell>
          <cell r="EQ191" t="str">
            <v>-</v>
          </cell>
          <cell r="ER191">
            <v>97</v>
          </cell>
          <cell r="ES191">
            <v>37</v>
          </cell>
          <cell r="ET191">
            <v>72.400000000000006</v>
          </cell>
          <cell r="EU191">
            <v>145</v>
          </cell>
          <cell r="EV191">
            <v>29</v>
          </cell>
          <cell r="EW191">
            <v>83.3</v>
          </cell>
          <cell r="EX191">
            <v>81</v>
          </cell>
          <cell r="EY191">
            <v>33</v>
          </cell>
          <cell r="EZ191">
            <v>71.099999999999994</v>
          </cell>
          <cell r="FA191">
            <v>100</v>
          </cell>
          <cell r="FB191">
            <v>26</v>
          </cell>
          <cell r="FC191">
            <v>79.400000000000006</v>
          </cell>
          <cell r="FD191">
            <v>84</v>
          </cell>
          <cell r="FE191">
            <v>23</v>
          </cell>
          <cell r="FF191">
            <v>78.5</v>
          </cell>
          <cell r="FG191">
            <v>94</v>
          </cell>
          <cell r="FH191">
            <v>30</v>
          </cell>
          <cell r="FI191">
            <v>75.8</v>
          </cell>
          <cell r="FJ191">
            <v>71</v>
          </cell>
          <cell r="FK191">
            <v>31</v>
          </cell>
          <cell r="FL191">
            <v>69.599999999999994</v>
          </cell>
          <cell r="FM191">
            <v>84</v>
          </cell>
          <cell r="FN191">
            <v>21</v>
          </cell>
          <cell r="FO191">
            <v>80</v>
          </cell>
          <cell r="FP191">
            <v>80</v>
          </cell>
          <cell r="FQ191">
            <v>80</v>
          </cell>
          <cell r="FR191" t="str">
            <v>-</v>
          </cell>
          <cell r="FS191">
            <v>80</v>
          </cell>
          <cell r="FT191">
            <v>80</v>
          </cell>
          <cell r="FU191" t="str">
            <v>-</v>
          </cell>
          <cell r="FV191">
            <v>80</v>
          </cell>
          <cell r="FW191">
            <v>80</v>
          </cell>
          <cell r="FX191" t="str">
            <v>-</v>
          </cell>
          <cell r="FY191">
            <v>1</v>
          </cell>
          <cell r="FZ191">
            <v>1</v>
          </cell>
          <cell r="GA191">
            <v>100</v>
          </cell>
          <cell r="GB191">
            <v>100</v>
          </cell>
          <cell r="GC191">
            <v>100</v>
          </cell>
          <cell r="GD191" t="str">
            <v>-</v>
          </cell>
          <cell r="GE191">
            <v>100</v>
          </cell>
          <cell r="GF191">
            <v>100</v>
          </cell>
          <cell r="GG191" t="str">
            <v>-</v>
          </cell>
          <cell r="GH191">
            <v>3</v>
          </cell>
          <cell r="GI191">
            <v>3</v>
          </cell>
          <cell r="GJ191">
            <v>100</v>
          </cell>
          <cell r="GK191">
            <v>100</v>
          </cell>
          <cell r="GL191">
            <v>100</v>
          </cell>
          <cell r="GM191" t="str">
            <v>-</v>
          </cell>
          <cell r="GN191">
            <v>345</v>
          </cell>
          <cell r="GO191">
            <v>52</v>
          </cell>
          <cell r="GP191">
            <v>86.9</v>
          </cell>
          <cell r="GQ191">
            <v>366</v>
          </cell>
          <cell r="GR191">
            <v>55</v>
          </cell>
          <cell r="GS191">
            <v>86.9</v>
          </cell>
          <cell r="GT191">
            <v>365</v>
          </cell>
          <cell r="GU191">
            <v>53</v>
          </cell>
          <cell r="GV191">
            <v>87.3</v>
          </cell>
          <cell r="GW191">
            <v>332</v>
          </cell>
          <cell r="GX191">
            <v>58</v>
          </cell>
          <cell r="GY191">
            <v>85.1</v>
          </cell>
          <cell r="GZ191">
            <v>346</v>
          </cell>
          <cell r="HA191">
            <v>53</v>
          </cell>
          <cell r="HB191">
            <v>86.7</v>
          </cell>
          <cell r="HC191">
            <v>345</v>
          </cell>
          <cell r="HD191">
            <v>47</v>
          </cell>
          <cell r="HE191">
            <v>88</v>
          </cell>
          <cell r="HF191">
            <v>373</v>
          </cell>
          <cell r="HG191">
            <v>70</v>
          </cell>
          <cell r="HH191">
            <v>84.2</v>
          </cell>
          <cell r="HI191">
            <v>382</v>
          </cell>
          <cell r="HJ191">
            <v>75</v>
          </cell>
          <cell r="HK191">
            <v>83.6</v>
          </cell>
          <cell r="HL191">
            <v>20</v>
          </cell>
          <cell r="HM191">
            <v>15</v>
          </cell>
          <cell r="HN191">
            <v>57.1</v>
          </cell>
          <cell r="HO191">
            <v>23</v>
          </cell>
          <cell r="HP191">
            <v>8</v>
          </cell>
          <cell r="HQ191">
            <v>74.2</v>
          </cell>
          <cell r="HR191">
            <v>21</v>
          </cell>
          <cell r="HS191">
            <v>12</v>
          </cell>
          <cell r="HT191">
            <v>63.6</v>
          </cell>
          <cell r="HU191">
            <v>17</v>
          </cell>
          <cell r="HV191">
            <v>7</v>
          </cell>
          <cell r="HW191">
            <v>70.8</v>
          </cell>
          <cell r="HX191">
            <v>16</v>
          </cell>
          <cell r="HY191">
            <v>6</v>
          </cell>
          <cell r="HZ191">
            <v>72.7</v>
          </cell>
          <cell r="IA191">
            <v>21</v>
          </cell>
          <cell r="IB191">
            <v>2</v>
          </cell>
          <cell r="IC191">
            <v>91.3</v>
          </cell>
          <cell r="ID191">
            <v>11</v>
          </cell>
          <cell r="IE191">
            <v>3</v>
          </cell>
          <cell r="IF191">
            <v>78.599999999999994</v>
          </cell>
          <cell r="IG191">
            <v>8</v>
          </cell>
          <cell r="IH191">
            <v>6</v>
          </cell>
          <cell r="II191">
            <v>57.1</v>
          </cell>
          <cell r="IJ191">
            <v>6</v>
          </cell>
          <cell r="IK191">
            <v>1</v>
          </cell>
          <cell r="IL191">
            <v>85.7</v>
          </cell>
          <cell r="IM191">
            <v>12</v>
          </cell>
          <cell r="IN191">
            <v>5</v>
          </cell>
          <cell r="IO191">
            <v>70.599999999999994</v>
          </cell>
          <cell r="IP191">
            <v>16</v>
          </cell>
          <cell r="IQ191">
            <v>6</v>
          </cell>
          <cell r="IR191">
            <v>72.7</v>
          </cell>
          <cell r="IS191">
            <v>21</v>
          </cell>
          <cell r="IT191">
            <v>3</v>
          </cell>
          <cell r="IU191">
            <v>87.5</v>
          </cell>
          <cell r="IV191">
            <v>12</v>
          </cell>
          <cell r="IW191">
            <v>5</v>
          </cell>
          <cell r="IX191">
            <v>70.599999999999994</v>
          </cell>
          <cell r="IY191">
            <v>28</v>
          </cell>
          <cell r="IZ191">
            <v>5</v>
          </cell>
          <cell r="JA191">
            <v>84.8</v>
          </cell>
          <cell r="JB191">
            <v>7</v>
          </cell>
          <cell r="JC191">
            <v>3</v>
          </cell>
          <cell r="JD191">
            <v>70</v>
          </cell>
          <cell r="JE191">
            <v>17</v>
          </cell>
          <cell r="JF191">
            <v>4</v>
          </cell>
          <cell r="JG191">
            <v>81</v>
          </cell>
          <cell r="JH191">
            <v>26</v>
          </cell>
          <cell r="JI191">
            <v>2</v>
          </cell>
          <cell r="JJ191">
            <v>92.857142857142861</v>
          </cell>
          <cell r="JK191">
            <v>12</v>
          </cell>
          <cell r="JL191">
            <v>0</v>
          </cell>
          <cell r="JM191">
            <v>100</v>
          </cell>
          <cell r="JN191">
            <v>10</v>
          </cell>
          <cell r="JO191">
            <v>2</v>
          </cell>
          <cell r="JP191">
            <v>83.333333333333343</v>
          </cell>
          <cell r="JQ191">
            <v>1548</v>
          </cell>
          <cell r="JR191">
            <v>262</v>
          </cell>
          <cell r="JS191">
            <v>85.524861878453038</v>
          </cell>
          <cell r="JT191">
            <v>592</v>
          </cell>
          <cell r="JU191">
            <v>146</v>
          </cell>
          <cell r="JV191">
            <v>80.216802168021687</v>
          </cell>
          <cell r="JW191">
            <v>4</v>
          </cell>
          <cell r="JX191">
            <v>0</v>
          </cell>
          <cell r="JY191">
            <v>100</v>
          </cell>
          <cell r="JZ191">
            <v>433</v>
          </cell>
          <cell r="KA191">
            <v>131</v>
          </cell>
          <cell r="KB191">
            <v>76.773049645390074</v>
          </cell>
          <cell r="KC191">
            <v>4</v>
          </cell>
          <cell r="KD191">
            <v>0</v>
          </cell>
          <cell r="KE191">
            <v>100</v>
          </cell>
          <cell r="KF191">
            <v>1778</v>
          </cell>
          <cell r="KG191">
            <v>303</v>
          </cell>
          <cell r="KH191">
            <v>85.439692455550215</v>
          </cell>
          <cell r="KI191">
            <v>73</v>
          </cell>
          <cell r="KJ191">
            <v>24</v>
          </cell>
          <cell r="KK191">
            <v>75.257731958762889</v>
          </cell>
          <cell r="KL191">
            <v>85</v>
          </cell>
          <cell r="KM191">
            <v>20</v>
          </cell>
          <cell r="KN191">
            <v>80.952380952380949</v>
          </cell>
        </row>
        <row r="192">
          <cell r="C192" t="str">
            <v>Zala MRFK Központ</v>
          </cell>
          <cell r="D192">
            <v>6</v>
          </cell>
          <cell r="E192">
            <v>1</v>
          </cell>
          <cell r="F192">
            <v>85.7</v>
          </cell>
          <cell r="G192">
            <v>4</v>
          </cell>
          <cell r="H192">
            <v>1</v>
          </cell>
          <cell r="I192">
            <v>80</v>
          </cell>
          <cell r="J192">
            <v>3</v>
          </cell>
          <cell r="K192">
            <v>3</v>
          </cell>
          <cell r="L192">
            <v>100</v>
          </cell>
          <cell r="M192">
            <v>2</v>
          </cell>
          <cell r="N192">
            <v>2</v>
          </cell>
          <cell r="O192">
            <v>100</v>
          </cell>
          <cell r="P192">
            <v>3</v>
          </cell>
          <cell r="Q192">
            <v>3</v>
          </cell>
          <cell r="R192">
            <v>100</v>
          </cell>
          <cell r="S192">
            <v>8</v>
          </cell>
          <cell r="T192">
            <v>8</v>
          </cell>
          <cell r="U192">
            <v>100</v>
          </cell>
          <cell r="V192">
            <v>4</v>
          </cell>
          <cell r="W192">
            <v>4</v>
          </cell>
          <cell r="X192">
            <v>100</v>
          </cell>
          <cell r="Y192">
            <v>4</v>
          </cell>
          <cell r="Z192">
            <v>4</v>
          </cell>
          <cell r="AA192">
            <v>100</v>
          </cell>
          <cell r="AB192">
            <v>2</v>
          </cell>
          <cell r="AC192">
            <v>1</v>
          </cell>
          <cell r="AD192">
            <v>66.7</v>
          </cell>
          <cell r="AE192">
            <v>2</v>
          </cell>
          <cell r="AF192">
            <v>1</v>
          </cell>
          <cell r="AG192">
            <v>66.7</v>
          </cell>
          <cell r="AH192">
            <v>2</v>
          </cell>
          <cell r="AI192">
            <v>2</v>
          </cell>
          <cell r="AJ192">
            <v>100</v>
          </cell>
          <cell r="AK192">
            <v>2</v>
          </cell>
          <cell r="AL192">
            <v>2</v>
          </cell>
          <cell r="AM192">
            <v>100</v>
          </cell>
          <cell r="AN192">
            <v>1</v>
          </cell>
          <cell r="AO192">
            <v>1</v>
          </cell>
          <cell r="AP192">
            <v>100</v>
          </cell>
          <cell r="AQ192">
            <v>4</v>
          </cell>
          <cell r="AR192">
            <v>4</v>
          </cell>
          <cell r="AS192">
            <v>100</v>
          </cell>
          <cell r="AT192">
            <v>2</v>
          </cell>
          <cell r="AU192">
            <v>2</v>
          </cell>
          <cell r="AV192">
            <v>100</v>
          </cell>
          <cell r="AW192">
            <v>2</v>
          </cell>
          <cell r="AX192">
            <v>2</v>
          </cell>
          <cell r="AY192">
            <v>100</v>
          </cell>
          <cell r="AZ192">
            <v>2</v>
          </cell>
          <cell r="BA192">
            <v>2</v>
          </cell>
          <cell r="BB192">
            <v>100</v>
          </cell>
          <cell r="BC192">
            <v>2</v>
          </cell>
          <cell r="BD192">
            <v>2</v>
          </cell>
          <cell r="BE192">
            <v>100</v>
          </cell>
          <cell r="BF192">
            <v>1</v>
          </cell>
          <cell r="BG192">
            <v>1</v>
          </cell>
          <cell r="BH192">
            <v>100</v>
          </cell>
          <cell r="BI192">
            <v>100</v>
          </cell>
          <cell r="BJ192">
            <v>100</v>
          </cell>
          <cell r="BK192" t="str">
            <v>-</v>
          </cell>
          <cell r="BL192">
            <v>2</v>
          </cell>
          <cell r="BM192">
            <v>2</v>
          </cell>
          <cell r="BN192">
            <v>100</v>
          </cell>
          <cell r="BO192">
            <v>4</v>
          </cell>
          <cell r="BP192">
            <v>4</v>
          </cell>
          <cell r="BQ192">
            <v>100</v>
          </cell>
          <cell r="BR192">
            <v>2</v>
          </cell>
          <cell r="BS192">
            <v>2</v>
          </cell>
          <cell r="BT192">
            <v>100</v>
          </cell>
          <cell r="BU192">
            <v>1</v>
          </cell>
          <cell r="BV192">
            <v>1</v>
          </cell>
          <cell r="BW192">
            <v>100</v>
          </cell>
          <cell r="BX192">
            <v>6</v>
          </cell>
          <cell r="BY192">
            <v>1</v>
          </cell>
          <cell r="BZ192">
            <v>85.7</v>
          </cell>
          <cell r="CA192">
            <v>9</v>
          </cell>
          <cell r="CB192">
            <v>4</v>
          </cell>
          <cell r="CC192">
            <v>69.2</v>
          </cell>
          <cell r="CD192">
            <v>9</v>
          </cell>
          <cell r="CE192">
            <v>1</v>
          </cell>
          <cell r="CF192">
            <v>90</v>
          </cell>
          <cell r="CG192">
            <v>7</v>
          </cell>
          <cell r="CH192">
            <v>5</v>
          </cell>
          <cell r="CI192">
            <v>58.3</v>
          </cell>
          <cell r="CJ192">
            <v>7</v>
          </cell>
          <cell r="CK192">
            <v>1</v>
          </cell>
          <cell r="CL192">
            <v>87.5</v>
          </cell>
          <cell r="CM192">
            <v>6</v>
          </cell>
          <cell r="CN192">
            <v>1</v>
          </cell>
          <cell r="CO192">
            <v>85.7</v>
          </cell>
          <cell r="CP192">
            <v>8</v>
          </cell>
          <cell r="CQ192">
            <v>8</v>
          </cell>
          <cell r="CR192">
            <v>100</v>
          </cell>
          <cell r="CS192">
            <v>4</v>
          </cell>
          <cell r="CT192">
            <v>4</v>
          </cell>
          <cell r="CU192">
            <v>100</v>
          </cell>
          <cell r="CV192">
            <v>5</v>
          </cell>
          <cell r="CW192">
            <v>1</v>
          </cell>
          <cell r="CX192">
            <v>83.3</v>
          </cell>
          <cell r="CY192">
            <v>6</v>
          </cell>
          <cell r="CZ192">
            <v>4</v>
          </cell>
          <cell r="DA192">
            <v>60</v>
          </cell>
          <cell r="DB192">
            <v>6</v>
          </cell>
          <cell r="DC192">
            <v>1</v>
          </cell>
          <cell r="DD192">
            <v>85.7</v>
          </cell>
          <cell r="DE192">
            <v>3</v>
          </cell>
          <cell r="DF192">
            <v>5</v>
          </cell>
          <cell r="DG192">
            <v>37.5</v>
          </cell>
          <cell r="DH192">
            <v>5</v>
          </cell>
          <cell r="DI192">
            <v>1</v>
          </cell>
          <cell r="DJ192">
            <v>83.3</v>
          </cell>
          <cell r="DK192">
            <v>3</v>
          </cell>
          <cell r="DL192">
            <v>3</v>
          </cell>
          <cell r="DM192">
            <v>100</v>
          </cell>
          <cell r="DN192">
            <v>4</v>
          </cell>
          <cell r="DO192">
            <v>4</v>
          </cell>
          <cell r="DP192">
            <v>100</v>
          </cell>
          <cell r="DQ192">
            <v>2</v>
          </cell>
          <cell r="DR192">
            <v>2</v>
          </cell>
          <cell r="DS192">
            <v>100</v>
          </cell>
          <cell r="DT192">
            <v>100</v>
          </cell>
          <cell r="DU192">
            <v>1</v>
          </cell>
          <cell r="DV192">
            <v>0</v>
          </cell>
          <cell r="DW192">
            <v>0</v>
          </cell>
          <cell r="DX192">
            <v>0</v>
          </cell>
          <cell r="DY192" t="str">
            <v>-</v>
          </cell>
          <cell r="DZ192">
            <v>0</v>
          </cell>
          <cell r="EA192">
            <v>0</v>
          </cell>
          <cell r="EB192" t="str">
            <v>-</v>
          </cell>
          <cell r="EC192">
            <v>0</v>
          </cell>
          <cell r="ED192">
            <v>0</v>
          </cell>
          <cell r="EE192" t="str">
            <v>-</v>
          </cell>
          <cell r="EF192">
            <v>1</v>
          </cell>
          <cell r="EG192">
            <v>1</v>
          </cell>
          <cell r="EH192">
            <v>100</v>
          </cell>
          <cell r="EI192">
            <v>100</v>
          </cell>
          <cell r="EJ192">
            <v>100</v>
          </cell>
          <cell r="EK192" t="str">
            <v>-</v>
          </cell>
          <cell r="EL192">
            <v>100</v>
          </cell>
          <cell r="EM192">
            <v>100</v>
          </cell>
          <cell r="EN192" t="str">
            <v>-</v>
          </cell>
          <cell r="EO192">
            <v>100</v>
          </cell>
          <cell r="EP192">
            <v>100</v>
          </cell>
          <cell r="EQ192" t="str">
            <v>-</v>
          </cell>
          <cell r="ER192">
            <v>100</v>
          </cell>
          <cell r="ES192">
            <v>100</v>
          </cell>
          <cell r="ET192" t="str">
            <v>-</v>
          </cell>
          <cell r="EU192">
            <v>3</v>
          </cell>
          <cell r="EV192">
            <v>3</v>
          </cell>
          <cell r="EW192">
            <v>100</v>
          </cell>
          <cell r="EX192">
            <v>1</v>
          </cell>
          <cell r="EY192">
            <v>1</v>
          </cell>
          <cell r="EZ192">
            <v>100</v>
          </cell>
          <cell r="FA192">
            <v>1</v>
          </cell>
          <cell r="FB192">
            <v>1</v>
          </cell>
          <cell r="FC192">
            <v>100</v>
          </cell>
          <cell r="FD192">
            <v>100</v>
          </cell>
          <cell r="FE192">
            <v>100</v>
          </cell>
          <cell r="FF192" t="str">
            <v>-</v>
          </cell>
          <cell r="FG192">
            <v>100</v>
          </cell>
          <cell r="FH192">
            <v>100</v>
          </cell>
          <cell r="FI192" t="str">
            <v>-</v>
          </cell>
          <cell r="FJ192">
            <v>1</v>
          </cell>
          <cell r="FK192">
            <v>1</v>
          </cell>
          <cell r="FL192">
            <v>100</v>
          </cell>
          <cell r="FM192">
            <v>1</v>
          </cell>
          <cell r="FN192">
            <v>1</v>
          </cell>
          <cell r="FO192">
            <v>100</v>
          </cell>
          <cell r="FP192">
            <v>4</v>
          </cell>
          <cell r="FQ192">
            <v>3</v>
          </cell>
          <cell r="FR192">
            <v>57.1</v>
          </cell>
          <cell r="FS192">
            <v>3</v>
          </cell>
          <cell r="FT192">
            <v>1</v>
          </cell>
          <cell r="FU192">
            <v>75</v>
          </cell>
          <cell r="FV192">
            <v>2</v>
          </cell>
          <cell r="FW192">
            <v>2</v>
          </cell>
          <cell r="FX192">
            <v>100</v>
          </cell>
          <cell r="FY192">
            <v>19</v>
          </cell>
          <cell r="FZ192">
            <v>19</v>
          </cell>
          <cell r="GA192">
            <v>100</v>
          </cell>
          <cell r="GB192">
            <v>29</v>
          </cell>
          <cell r="GC192">
            <v>1</v>
          </cell>
          <cell r="GD192">
            <v>96.7</v>
          </cell>
          <cell r="GE192">
            <v>66</v>
          </cell>
          <cell r="GF192">
            <v>66</v>
          </cell>
          <cell r="GG192">
            <v>100</v>
          </cell>
          <cell r="GH192">
            <v>12</v>
          </cell>
          <cell r="GI192">
            <v>2</v>
          </cell>
          <cell r="GJ192">
            <v>85.7</v>
          </cell>
          <cell r="GK192">
            <v>8</v>
          </cell>
          <cell r="GL192">
            <v>8</v>
          </cell>
          <cell r="GM192">
            <v>100</v>
          </cell>
          <cell r="GN192">
            <v>2</v>
          </cell>
          <cell r="GO192">
            <v>2</v>
          </cell>
          <cell r="GP192">
            <v>100</v>
          </cell>
          <cell r="GQ192">
            <v>2</v>
          </cell>
          <cell r="GR192">
            <v>2</v>
          </cell>
          <cell r="GS192">
            <v>100</v>
          </cell>
          <cell r="GT192">
            <v>2</v>
          </cell>
          <cell r="GU192">
            <v>2</v>
          </cell>
          <cell r="GV192">
            <v>100</v>
          </cell>
          <cell r="GW192">
            <v>2</v>
          </cell>
          <cell r="GX192">
            <v>2</v>
          </cell>
          <cell r="GY192">
            <v>100</v>
          </cell>
          <cell r="GZ192">
            <v>2</v>
          </cell>
          <cell r="HA192">
            <v>2</v>
          </cell>
          <cell r="HB192">
            <v>50</v>
          </cell>
          <cell r="HC192">
            <v>3</v>
          </cell>
          <cell r="HD192">
            <v>3</v>
          </cell>
          <cell r="HE192">
            <v>100</v>
          </cell>
          <cell r="HF192">
            <v>100</v>
          </cell>
          <cell r="HG192">
            <v>100</v>
          </cell>
          <cell r="HH192" t="str">
            <v>-</v>
          </cell>
          <cell r="HI192">
            <v>100</v>
          </cell>
          <cell r="HJ192">
            <v>100</v>
          </cell>
          <cell r="HK192" t="str">
            <v>-</v>
          </cell>
          <cell r="HL192">
            <v>2</v>
          </cell>
          <cell r="HM192">
            <v>2</v>
          </cell>
          <cell r="HN192">
            <v>50</v>
          </cell>
          <cell r="HO192">
            <v>50</v>
          </cell>
          <cell r="HP192">
            <v>50</v>
          </cell>
          <cell r="HQ192" t="str">
            <v>-</v>
          </cell>
          <cell r="HR192">
            <v>50</v>
          </cell>
          <cell r="HS192">
            <v>50</v>
          </cell>
          <cell r="HT192" t="str">
            <v>-</v>
          </cell>
          <cell r="HU192">
            <v>50</v>
          </cell>
          <cell r="HV192">
            <v>2</v>
          </cell>
          <cell r="HW192">
            <v>0</v>
          </cell>
          <cell r="HX192">
            <v>0</v>
          </cell>
          <cell r="HY192">
            <v>0</v>
          </cell>
          <cell r="HZ192" t="str">
            <v>-</v>
          </cell>
          <cell r="IA192">
            <v>0</v>
          </cell>
          <cell r="IB192">
            <v>0</v>
          </cell>
          <cell r="IC192" t="str">
            <v>-</v>
          </cell>
          <cell r="ID192">
            <v>0</v>
          </cell>
          <cell r="IE192">
            <v>0</v>
          </cell>
          <cell r="IF192" t="str">
            <v>-</v>
          </cell>
          <cell r="IG192">
            <v>0</v>
          </cell>
          <cell r="IH192">
            <v>0</v>
          </cell>
          <cell r="II192" t="str">
            <v>-</v>
          </cell>
          <cell r="IJ192">
            <v>4</v>
          </cell>
          <cell r="IK192">
            <v>3</v>
          </cell>
          <cell r="IL192">
            <v>57.1</v>
          </cell>
          <cell r="IM192">
            <v>57.0999755859375</v>
          </cell>
          <cell r="IN192">
            <v>57.0999755859375</v>
          </cell>
          <cell r="IO192" t="str">
            <v>-</v>
          </cell>
          <cell r="IP192">
            <v>57.0999755859375</v>
          </cell>
          <cell r="IQ192">
            <v>1</v>
          </cell>
          <cell r="IR192">
            <v>0</v>
          </cell>
          <cell r="IS192">
            <v>4</v>
          </cell>
          <cell r="IT192">
            <v>1</v>
          </cell>
          <cell r="IU192">
            <v>80</v>
          </cell>
          <cell r="IV192">
            <v>80</v>
          </cell>
          <cell r="IW192">
            <v>80</v>
          </cell>
          <cell r="IX192" t="str">
            <v>-</v>
          </cell>
          <cell r="IY192">
            <v>80</v>
          </cell>
          <cell r="IZ192">
            <v>80</v>
          </cell>
          <cell r="JA192" t="str">
            <v>-</v>
          </cell>
          <cell r="JB192">
            <v>4</v>
          </cell>
          <cell r="JC192">
            <v>4</v>
          </cell>
          <cell r="JD192">
            <v>100</v>
          </cell>
          <cell r="JE192">
            <v>100</v>
          </cell>
          <cell r="JF192">
            <v>100</v>
          </cell>
          <cell r="JG192" t="str">
            <v>-</v>
          </cell>
          <cell r="JH192">
            <v>21</v>
          </cell>
          <cell r="JI192">
            <v>0</v>
          </cell>
          <cell r="JJ192">
            <v>100</v>
          </cell>
          <cell r="JK192">
            <v>11</v>
          </cell>
          <cell r="JL192">
            <v>0</v>
          </cell>
          <cell r="JM192">
            <v>100</v>
          </cell>
          <cell r="JN192">
            <v>9</v>
          </cell>
          <cell r="JO192">
            <v>0</v>
          </cell>
          <cell r="JP192">
            <v>100</v>
          </cell>
          <cell r="JQ192">
            <v>32</v>
          </cell>
          <cell r="JR192">
            <v>7</v>
          </cell>
          <cell r="JS192">
            <v>82.051282051282044</v>
          </cell>
          <cell r="JT192">
            <v>17</v>
          </cell>
          <cell r="JU192">
            <v>6</v>
          </cell>
          <cell r="JV192">
            <v>73.91304347826086</v>
          </cell>
          <cell r="JW192">
            <v>1</v>
          </cell>
          <cell r="JX192">
            <v>0</v>
          </cell>
          <cell r="JY192">
            <v>100</v>
          </cell>
          <cell r="JZ192">
            <v>3</v>
          </cell>
          <cell r="KA192">
            <v>0</v>
          </cell>
          <cell r="KB192">
            <v>100</v>
          </cell>
          <cell r="KC192">
            <v>134</v>
          </cell>
          <cell r="KD192">
            <v>3</v>
          </cell>
          <cell r="KE192">
            <v>97.810218978102199</v>
          </cell>
          <cell r="KF192">
            <v>7</v>
          </cell>
          <cell r="KG192">
            <v>2</v>
          </cell>
          <cell r="KH192">
            <v>77.777777777777786</v>
          </cell>
          <cell r="KI192">
            <v>0</v>
          </cell>
          <cell r="KJ192">
            <v>2</v>
          </cell>
          <cell r="KK192">
            <v>0</v>
          </cell>
          <cell r="KL192">
            <v>8</v>
          </cell>
          <cell r="KM192">
            <v>1</v>
          </cell>
          <cell r="KN192">
            <v>88.888888888888886</v>
          </cell>
        </row>
        <row r="193">
          <cell r="C193" t="str">
            <v>Zalaegerszegi Rendőrkapitányság</v>
          </cell>
          <cell r="D193">
            <v>88.88885498046875</v>
          </cell>
          <cell r="E193">
            <v>88.88885498046875</v>
          </cell>
          <cell r="F193" t="str">
            <v>-</v>
          </cell>
          <cell r="G193">
            <v>88.88885498046875</v>
          </cell>
          <cell r="H193">
            <v>88.88885498046875</v>
          </cell>
          <cell r="I193" t="str">
            <v>-</v>
          </cell>
          <cell r="J193">
            <v>88.88885498046875</v>
          </cell>
          <cell r="K193">
            <v>88.88885498046875</v>
          </cell>
          <cell r="L193" t="str">
            <v>-</v>
          </cell>
          <cell r="M193">
            <v>88.88885498046875</v>
          </cell>
          <cell r="N193">
            <v>88.88885498046875</v>
          </cell>
          <cell r="O193" t="str">
            <v>-</v>
          </cell>
          <cell r="P193">
            <v>88.88885498046875</v>
          </cell>
          <cell r="Q193">
            <v>88.88885498046875</v>
          </cell>
          <cell r="R193" t="str">
            <v>-</v>
          </cell>
          <cell r="S193">
            <v>88.88885498046875</v>
          </cell>
          <cell r="T193">
            <v>88.88885498046875</v>
          </cell>
          <cell r="U193" t="str">
            <v>-</v>
          </cell>
          <cell r="V193">
            <v>88.88885498046875</v>
          </cell>
          <cell r="W193">
            <v>88.88885498046875</v>
          </cell>
          <cell r="X193" t="str">
            <v>-</v>
          </cell>
          <cell r="Y193">
            <v>88.88885498046875</v>
          </cell>
          <cell r="Z193">
            <v>88.88885498046875</v>
          </cell>
          <cell r="AA193" t="str">
            <v>-</v>
          </cell>
          <cell r="AB193">
            <v>88.88885498046875</v>
          </cell>
          <cell r="AC193">
            <v>88.88885498046875</v>
          </cell>
          <cell r="AD193" t="str">
            <v>-</v>
          </cell>
          <cell r="AE193">
            <v>88.88885498046875</v>
          </cell>
          <cell r="AF193">
            <v>88.88885498046875</v>
          </cell>
          <cell r="AG193" t="str">
            <v>-</v>
          </cell>
          <cell r="AH193">
            <v>88.88885498046875</v>
          </cell>
          <cell r="AI193">
            <v>88.88885498046875</v>
          </cell>
          <cell r="AJ193" t="str">
            <v>-</v>
          </cell>
          <cell r="AK193">
            <v>88.88885498046875</v>
          </cell>
          <cell r="AL193">
            <v>88.88885498046875</v>
          </cell>
          <cell r="AM193" t="str">
            <v>-</v>
          </cell>
          <cell r="AN193">
            <v>88.88885498046875</v>
          </cell>
          <cell r="AO193">
            <v>88.88885498046875</v>
          </cell>
          <cell r="AP193" t="str">
            <v>-</v>
          </cell>
          <cell r="AQ193">
            <v>88.88885498046875</v>
          </cell>
          <cell r="AR193">
            <v>88.88885498046875</v>
          </cell>
          <cell r="AS193" t="str">
            <v>-</v>
          </cell>
          <cell r="AT193">
            <v>88.88885498046875</v>
          </cell>
          <cell r="AU193">
            <v>88.88885498046875</v>
          </cell>
          <cell r="AV193" t="str">
            <v>-</v>
          </cell>
          <cell r="AW193">
            <v>88.88885498046875</v>
          </cell>
          <cell r="AX193">
            <v>88.88885498046875</v>
          </cell>
          <cell r="AY193" t="str">
            <v>-</v>
          </cell>
          <cell r="AZ193">
            <v>88.88885498046875</v>
          </cell>
          <cell r="BA193">
            <v>88.88885498046875</v>
          </cell>
          <cell r="BB193" t="str">
            <v>-</v>
          </cell>
          <cell r="BC193">
            <v>88.88885498046875</v>
          </cell>
          <cell r="BD193">
            <v>88.88885498046875</v>
          </cell>
          <cell r="BE193" t="str">
            <v>-</v>
          </cell>
          <cell r="BF193">
            <v>88.88885498046875</v>
          </cell>
          <cell r="BG193">
            <v>88.88885498046875</v>
          </cell>
          <cell r="BH193" t="str">
            <v>-</v>
          </cell>
          <cell r="BI193">
            <v>88.88885498046875</v>
          </cell>
          <cell r="BJ193">
            <v>88.88885498046875</v>
          </cell>
          <cell r="BK193" t="str">
            <v>-</v>
          </cell>
          <cell r="BL193">
            <v>88.88885498046875</v>
          </cell>
          <cell r="BM193">
            <v>88.88885498046875</v>
          </cell>
          <cell r="BN193" t="str">
            <v>-</v>
          </cell>
          <cell r="BO193">
            <v>88.88885498046875</v>
          </cell>
          <cell r="BP193">
            <v>88.88885498046875</v>
          </cell>
          <cell r="BQ193" t="str">
            <v>-</v>
          </cell>
          <cell r="BR193">
            <v>88.88885498046875</v>
          </cell>
          <cell r="BS193">
            <v>88.88885498046875</v>
          </cell>
          <cell r="BT193" t="str">
            <v>-</v>
          </cell>
          <cell r="BU193">
            <v>88.88885498046875</v>
          </cell>
          <cell r="BV193">
            <v>88.88885498046875</v>
          </cell>
          <cell r="BW193" t="str">
            <v>-</v>
          </cell>
          <cell r="BX193">
            <v>124</v>
          </cell>
          <cell r="BY193">
            <v>27</v>
          </cell>
          <cell r="BZ193">
            <v>82.1</v>
          </cell>
          <cell r="CA193">
            <v>106</v>
          </cell>
          <cell r="CB193">
            <v>29</v>
          </cell>
          <cell r="CC193">
            <v>78.5</v>
          </cell>
          <cell r="CD193">
            <v>89</v>
          </cell>
          <cell r="CE193">
            <v>30</v>
          </cell>
          <cell r="CF193">
            <v>74.8</v>
          </cell>
          <cell r="CG193">
            <v>118</v>
          </cell>
          <cell r="CH193">
            <v>21</v>
          </cell>
          <cell r="CI193">
            <v>84.9</v>
          </cell>
          <cell r="CJ193">
            <v>93</v>
          </cell>
          <cell r="CK193">
            <v>14</v>
          </cell>
          <cell r="CL193">
            <v>86.9</v>
          </cell>
          <cell r="CM193">
            <v>82</v>
          </cell>
          <cell r="CN193">
            <v>21</v>
          </cell>
          <cell r="CO193">
            <v>79.599999999999994</v>
          </cell>
          <cell r="CP193">
            <v>60</v>
          </cell>
          <cell r="CQ193">
            <v>13</v>
          </cell>
          <cell r="CR193">
            <v>82.2</v>
          </cell>
          <cell r="CS193">
            <v>67</v>
          </cell>
          <cell r="CT193">
            <v>12</v>
          </cell>
          <cell r="CU193">
            <v>84.8</v>
          </cell>
          <cell r="CV193">
            <v>39</v>
          </cell>
          <cell r="CW193">
            <v>26</v>
          </cell>
          <cell r="CX193">
            <v>60</v>
          </cell>
          <cell r="CY193">
            <v>44</v>
          </cell>
          <cell r="CZ193">
            <v>25</v>
          </cell>
          <cell r="DA193">
            <v>63.8</v>
          </cell>
          <cell r="DB193">
            <v>26</v>
          </cell>
          <cell r="DC193">
            <v>23</v>
          </cell>
          <cell r="DD193">
            <v>53.1</v>
          </cell>
          <cell r="DE193">
            <v>36</v>
          </cell>
          <cell r="DF193">
            <v>14</v>
          </cell>
          <cell r="DG193">
            <v>72</v>
          </cell>
          <cell r="DH193">
            <v>34</v>
          </cell>
          <cell r="DI193">
            <v>9</v>
          </cell>
          <cell r="DJ193">
            <v>79.099999999999994</v>
          </cell>
          <cell r="DK193">
            <v>41</v>
          </cell>
          <cell r="DL193">
            <v>16</v>
          </cell>
          <cell r="DM193">
            <v>71.900000000000006</v>
          </cell>
          <cell r="DN193">
            <v>26</v>
          </cell>
          <cell r="DO193">
            <v>12</v>
          </cell>
          <cell r="DP193">
            <v>68.400000000000006</v>
          </cell>
          <cell r="DQ193">
            <v>31</v>
          </cell>
          <cell r="DR193">
            <v>10</v>
          </cell>
          <cell r="DS193">
            <v>75.599999999999994</v>
          </cell>
          <cell r="DT193">
            <v>75.5999755859375</v>
          </cell>
          <cell r="DU193">
            <v>75.5999755859375</v>
          </cell>
          <cell r="DV193" t="str">
            <v>-</v>
          </cell>
          <cell r="DW193">
            <v>75.5999755859375</v>
          </cell>
          <cell r="DX193">
            <v>75.5999755859375</v>
          </cell>
          <cell r="DY193" t="str">
            <v>-</v>
          </cell>
          <cell r="DZ193">
            <v>75.5999755859375</v>
          </cell>
          <cell r="EA193">
            <v>75.5999755859375</v>
          </cell>
          <cell r="EB193" t="str">
            <v>-</v>
          </cell>
          <cell r="EC193">
            <v>75.5999755859375</v>
          </cell>
          <cell r="ED193">
            <v>75.5999755859375</v>
          </cell>
          <cell r="EE193" t="str">
            <v>-</v>
          </cell>
          <cell r="EF193">
            <v>75.5999755859375</v>
          </cell>
          <cell r="EG193">
            <v>75.5999755859375</v>
          </cell>
          <cell r="EH193" t="str">
            <v>-</v>
          </cell>
          <cell r="EI193">
            <v>75.5999755859375</v>
          </cell>
          <cell r="EJ193">
            <v>75.5999755859375</v>
          </cell>
          <cell r="EK193" t="str">
            <v>-</v>
          </cell>
          <cell r="EL193">
            <v>75.5999755859375</v>
          </cell>
          <cell r="EM193">
            <v>75.5999755859375</v>
          </cell>
          <cell r="EN193" t="str">
            <v>-</v>
          </cell>
          <cell r="EO193">
            <v>75.5999755859375</v>
          </cell>
          <cell r="EP193">
            <v>75.5999755859375</v>
          </cell>
          <cell r="EQ193" t="str">
            <v>-</v>
          </cell>
          <cell r="ER193">
            <v>11</v>
          </cell>
          <cell r="ES193">
            <v>2</v>
          </cell>
          <cell r="ET193">
            <v>84.6</v>
          </cell>
          <cell r="EU193">
            <v>2</v>
          </cell>
          <cell r="EV193">
            <v>2</v>
          </cell>
          <cell r="EW193">
            <v>50</v>
          </cell>
          <cell r="EX193">
            <v>5</v>
          </cell>
          <cell r="EY193">
            <v>5</v>
          </cell>
          <cell r="EZ193">
            <v>50</v>
          </cell>
          <cell r="FA193">
            <v>1</v>
          </cell>
          <cell r="FB193">
            <v>3</v>
          </cell>
          <cell r="FC193">
            <v>25</v>
          </cell>
          <cell r="FD193">
            <v>3</v>
          </cell>
          <cell r="FE193">
            <v>4</v>
          </cell>
          <cell r="FF193">
            <v>42.9</v>
          </cell>
          <cell r="FG193">
            <v>8</v>
          </cell>
          <cell r="FH193">
            <v>8</v>
          </cell>
          <cell r="FI193">
            <v>100</v>
          </cell>
          <cell r="FJ193">
            <v>7</v>
          </cell>
          <cell r="FK193">
            <v>7</v>
          </cell>
          <cell r="FL193">
            <v>100</v>
          </cell>
          <cell r="FM193">
            <v>4</v>
          </cell>
          <cell r="FN193">
            <v>4</v>
          </cell>
          <cell r="FO193">
            <v>100</v>
          </cell>
          <cell r="FP193">
            <v>100</v>
          </cell>
          <cell r="FQ193">
            <v>100</v>
          </cell>
          <cell r="FR193" t="str">
            <v>-</v>
          </cell>
          <cell r="FS193">
            <v>100</v>
          </cell>
          <cell r="FT193">
            <v>100</v>
          </cell>
          <cell r="FU193" t="str">
            <v>-</v>
          </cell>
          <cell r="FV193">
            <v>100</v>
          </cell>
          <cell r="FW193">
            <v>100</v>
          </cell>
          <cell r="FX193" t="str">
            <v>-</v>
          </cell>
          <cell r="FY193">
            <v>100</v>
          </cell>
          <cell r="FZ193">
            <v>100</v>
          </cell>
          <cell r="GA193" t="str">
            <v>-</v>
          </cell>
          <cell r="GB193">
            <v>100</v>
          </cell>
          <cell r="GC193">
            <v>100</v>
          </cell>
          <cell r="GD193" t="str">
            <v>-</v>
          </cell>
          <cell r="GE193">
            <v>100</v>
          </cell>
          <cell r="GF193">
            <v>100</v>
          </cell>
          <cell r="GG193" t="str">
            <v>-</v>
          </cell>
          <cell r="GH193">
            <v>100</v>
          </cell>
          <cell r="GI193">
            <v>100</v>
          </cell>
          <cell r="GJ193" t="str">
            <v>-</v>
          </cell>
          <cell r="GK193">
            <v>100</v>
          </cell>
          <cell r="GL193">
            <v>100</v>
          </cell>
          <cell r="GM193" t="str">
            <v>-</v>
          </cell>
          <cell r="GN193">
            <v>137</v>
          </cell>
          <cell r="GO193">
            <v>25</v>
          </cell>
          <cell r="GP193">
            <v>84.6</v>
          </cell>
          <cell r="GQ193">
            <v>119</v>
          </cell>
          <cell r="GR193">
            <v>42</v>
          </cell>
          <cell r="GS193">
            <v>73.900000000000006</v>
          </cell>
          <cell r="GT193">
            <v>114</v>
          </cell>
          <cell r="GU193">
            <v>31</v>
          </cell>
          <cell r="GV193">
            <v>78.599999999999994</v>
          </cell>
          <cell r="GW193">
            <v>159</v>
          </cell>
          <cell r="GX193">
            <v>35</v>
          </cell>
          <cell r="GY193">
            <v>82</v>
          </cell>
          <cell r="GZ193">
            <v>77</v>
          </cell>
          <cell r="HA193">
            <v>27</v>
          </cell>
          <cell r="HB193">
            <v>74</v>
          </cell>
          <cell r="HC193">
            <v>55</v>
          </cell>
          <cell r="HD193">
            <v>28</v>
          </cell>
          <cell r="HE193">
            <v>66.3</v>
          </cell>
          <cell r="HF193">
            <v>54</v>
          </cell>
          <cell r="HG193">
            <v>8</v>
          </cell>
          <cell r="HH193">
            <v>87.1</v>
          </cell>
          <cell r="HI193">
            <v>68</v>
          </cell>
          <cell r="HJ193">
            <v>11</v>
          </cell>
          <cell r="HK193">
            <v>86.1</v>
          </cell>
          <cell r="HL193">
            <v>2</v>
          </cell>
          <cell r="HM193">
            <v>2</v>
          </cell>
          <cell r="HN193">
            <v>50</v>
          </cell>
          <cell r="HO193">
            <v>3</v>
          </cell>
          <cell r="HP193">
            <v>4</v>
          </cell>
          <cell r="HQ193">
            <v>42.9</v>
          </cell>
          <cell r="HR193">
            <v>4</v>
          </cell>
          <cell r="HS193">
            <v>6</v>
          </cell>
          <cell r="HT193">
            <v>40</v>
          </cell>
          <cell r="HU193">
            <v>3</v>
          </cell>
          <cell r="HV193">
            <v>3</v>
          </cell>
          <cell r="HW193">
            <v>100</v>
          </cell>
          <cell r="HX193">
            <v>1</v>
          </cell>
          <cell r="HY193">
            <v>1</v>
          </cell>
          <cell r="HZ193">
            <v>50</v>
          </cell>
          <cell r="IA193">
            <v>2</v>
          </cell>
          <cell r="IB193">
            <v>1</v>
          </cell>
          <cell r="IC193">
            <v>66.7</v>
          </cell>
          <cell r="ID193">
            <v>4</v>
          </cell>
          <cell r="IE193">
            <v>1</v>
          </cell>
          <cell r="IF193">
            <v>80</v>
          </cell>
          <cell r="IG193">
            <v>1</v>
          </cell>
          <cell r="IH193">
            <v>1</v>
          </cell>
          <cell r="II193">
            <v>50</v>
          </cell>
          <cell r="IJ193">
            <v>4</v>
          </cell>
          <cell r="IK193">
            <v>6</v>
          </cell>
          <cell r="IL193">
            <v>40</v>
          </cell>
          <cell r="IM193">
            <v>11</v>
          </cell>
          <cell r="IN193">
            <v>5</v>
          </cell>
          <cell r="IO193">
            <v>68.8</v>
          </cell>
          <cell r="IP193">
            <v>3</v>
          </cell>
          <cell r="IQ193">
            <v>8</v>
          </cell>
          <cell r="IR193">
            <v>27.3</v>
          </cell>
          <cell r="IS193">
            <v>9</v>
          </cell>
          <cell r="IT193">
            <v>8</v>
          </cell>
          <cell r="IU193">
            <v>52.9</v>
          </cell>
          <cell r="IV193">
            <v>4</v>
          </cell>
          <cell r="IW193">
            <v>3</v>
          </cell>
          <cell r="IX193">
            <v>57.1</v>
          </cell>
          <cell r="IY193">
            <v>10</v>
          </cell>
          <cell r="IZ193">
            <v>1</v>
          </cell>
          <cell r="JA193">
            <v>90.9</v>
          </cell>
          <cell r="JB193">
            <v>4</v>
          </cell>
          <cell r="JC193">
            <v>1</v>
          </cell>
          <cell r="JD193">
            <v>80</v>
          </cell>
          <cell r="JE193">
            <v>3</v>
          </cell>
          <cell r="JF193">
            <v>3</v>
          </cell>
          <cell r="JG193">
            <v>100</v>
          </cell>
          <cell r="JH193">
            <v>0</v>
          </cell>
          <cell r="JI193">
            <v>0</v>
          </cell>
          <cell r="JJ193" t="str">
            <v>-</v>
          </cell>
          <cell r="JK193">
            <v>0</v>
          </cell>
          <cell r="JL193">
            <v>0</v>
          </cell>
          <cell r="JM193" t="str">
            <v>-</v>
          </cell>
          <cell r="JN193">
            <v>0</v>
          </cell>
          <cell r="JO193">
            <v>0</v>
          </cell>
          <cell r="JP193" t="str">
            <v>-</v>
          </cell>
          <cell r="JQ193">
            <v>420</v>
          </cell>
          <cell r="JR193">
            <v>81</v>
          </cell>
          <cell r="JS193">
            <v>83.832335329341305</v>
          </cell>
          <cell r="JT193">
            <v>168</v>
          </cell>
          <cell r="JU193">
            <v>61</v>
          </cell>
          <cell r="JV193">
            <v>73.362445414847173</v>
          </cell>
          <cell r="JW193">
            <v>0</v>
          </cell>
          <cell r="JX193">
            <v>0</v>
          </cell>
          <cell r="JY193" t="str">
            <v>-</v>
          </cell>
          <cell r="JZ193">
            <v>23</v>
          </cell>
          <cell r="KA193">
            <v>7</v>
          </cell>
          <cell r="KB193">
            <v>76.666666666666671</v>
          </cell>
          <cell r="KC193">
            <v>0</v>
          </cell>
          <cell r="KD193">
            <v>0</v>
          </cell>
          <cell r="KE193" t="str">
            <v>-</v>
          </cell>
          <cell r="KF193">
            <v>413</v>
          </cell>
          <cell r="KG193">
            <v>109</v>
          </cell>
          <cell r="KH193">
            <v>79.11877394636015</v>
          </cell>
          <cell r="KI193">
            <v>11</v>
          </cell>
          <cell r="KJ193">
            <v>4</v>
          </cell>
          <cell r="KK193">
            <v>73.333333333333329</v>
          </cell>
          <cell r="KL193">
            <v>30</v>
          </cell>
          <cell r="KM193">
            <v>13</v>
          </cell>
          <cell r="KN193">
            <v>69.767441860465112</v>
          </cell>
        </row>
        <row r="194">
          <cell r="C194" t="str">
            <v>Lenti Rendőrkapitányság</v>
          </cell>
          <cell r="D194">
            <v>69.76739501953125</v>
          </cell>
          <cell r="E194">
            <v>69.76739501953125</v>
          </cell>
          <cell r="F194" t="str">
            <v>-</v>
          </cell>
          <cell r="G194">
            <v>69.76739501953125</v>
          </cell>
          <cell r="H194">
            <v>69.76739501953125</v>
          </cell>
          <cell r="I194" t="str">
            <v>-</v>
          </cell>
          <cell r="J194">
            <v>69.76739501953125</v>
          </cell>
          <cell r="K194">
            <v>69.76739501953125</v>
          </cell>
          <cell r="L194" t="str">
            <v>-</v>
          </cell>
          <cell r="M194">
            <v>69.76739501953125</v>
          </cell>
          <cell r="N194">
            <v>69.76739501953125</v>
          </cell>
          <cell r="O194" t="str">
            <v>-</v>
          </cell>
          <cell r="P194">
            <v>69.76739501953125</v>
          </cell>
          <cell r="Q194">
            <v>69.76739501953125</v>
          </cell>
          <cell r="R194" t="str">
            <v>-</v>
          </cell>
          <cell r="S194">
            <v>69.76739501953125</v>
          </cell>
          <cell r="T194">
            <v>69.76739501953125</v>
          </cell>
          <cell r="U194" t="str">
            <v>-</v>
          </cell>
          <cell r="V194">
            <v>69.76739501953125</v>
          </cell>
          <cell r="W194">
            <v>69.76739501953125</v>
          </cell>
          <cell r="X194" t="str">
            <v>-</v>
          </cell>
          <cell r="Y194">
            <v>69.76739501953125</v>
          </cell>
          <cell r="Z194">
            <v>69.76739501953125</v>
          </cell>
          <cell r="AA194" t="str">
            <v>-</v>
          </cell>
          <cell r="AB194">
            <v>69.76739501953125</v>
          </cell>
          <cell r="AC194">
            <v>69.76739501953125</v>
          </cell>
          <cell r="AD194" t="str">
            <v>-</v>
          </cell>
          <cell r="AE194">
            <v>69.76739501953125</v>
          </cell>
          <cell r="AF194">
            <v>69.76739501953125</v>
          </cell>
          <cell r="AG194" t="str">
            <v>-</v>
          </cell>
          <cell r="AH194">
            <v>69.76739501953125</v>
          </cell>
          <cell r="AI194">
            <v>69.76739501953125</v>
          </cell>
          <cell r="AJ194" t="str">
            <v>-</v>
          </cell>
          <cell r="AK194">
            <v>69.76739501953125</v>
          </cell>
          <cell r="AL194">
            <v>69.76739501953125</v>
          </cell>
          <cell r="AM194" t="str">
            <v>-</v>
          </cell>
          <cell r="AN194">
            <v>69.76739501953125</v>
          </cell>
          <cell r="AO194">
            <v>69.76739501953125</v>
          </cell>
          <cell r="AP194" t="str">
            <v>-</v>
          </cell>
          <cell r="AQ194">
            <v>69.76739501953125</v>
          </cell>
          <cell r="AR194">
            <v>69.76739501953125</v>
          </cell>
          <cell r="AS194" t="str">
            <v>-</v>
          </cell>
          <cell r="AT194">
            <v>69.76739501953125</v>
          </cell>
          <cell r="AU194">
            <v>69.76739501953125</v>
          </cell>
          <cell r="AV194" t="str">
            <v>-</v>
          </cell>
          <cell r="AW194">
            <v>69.76739501953125</v>
          </cell>
          <cell r="AX194">
            <v>69.76739501953125</v>
          </cell>
          <cell r="AY194" t="str">
            <v>-</v>
          </cell>
          <cell r="AZ194">
            <v>69.76739501953125</v>
          </cell>
          <cell r="BA194">
            <v>69.76739501953125</v>
          </cell>
          <cell r="BB194" t="str">
            <v>-</v>
          </cell>
          <cell r="BC194">
            <v>69.76739501953125</v>
          </cell>
          <cell r="BD194">
            <v>69.76739501953125</v>
          </cell>
          <cell r="BE194" t="str">
            <v>-</v>
          </cell>
          <cell r="BF194">
            <v>69.76739501953125</v>
          </cell>
          <cell r="BG194">
            <v>69.76739501953125</v>
          </cell>
          <cell r="BH194" t="str">
            <v>-</v>
          </cell>
          <cell r="BI194">
            <v>69.76739501953125</v>
          </cell>
          <cell r="BJ194">
            <v>69.76739501953125</v>
          </cell>
          <cell r="BK194" t="str">
            <v>-</v>
          </cell>
          <cell r="BL194">
            <v>69.76739501953125</v>
          </cell>
          <cell r="BM194">
            <v>69.76739501953125</v>
          </cell>
          <cell r="BN194" t="str">
            <v>-</v>
          </cell>
          <cell r="BO194">
            <v>69.76739501953125</v>
          </cell>
          <cell r="BP194">
            <v>69.76739501953125</v>
          </cell>
          <cell r="BQ194" t="str">
            <v>-</v>
          </cell>
          <cell r="BR194">
            <v>69.76739501953125</v>
          </cell>
          <cell r="BS194">
            <v>69.76739501953125</v>
          </cell>
          <cell r="BT194" t="str">
            <v>-</v>
          </cell>
          <cell r="BU194">
            <v>69.76739501953125</v>
          </cell>
          <cell r="BV194">
            <v>69.76739501953125</v>
          </cell>
          <cell r="BW194" t="str">
            <v>-</v>
          </cell>
          <cell r="BX194">
            <v>50</v>
          </cell>
          <cell r="BY194">
            <v>8</v>
          </cell>
          <cell r="BZ194">
            <v>86.2</v>
          </cell>
          <cell r="CA194">
            <v>28</v>
          </cell>
          <cell r="CB194">
            <v>10</v>
          </cell>
          <cell r="CC194">
            <v>73.7</v>
          </cell>
          <cell r="CD194">
            <v>21</v>
          </cell>
          <cell r="CE194">
            <v>3</v>
          </cell>
          <cell r="CF194">
            <v>87.5</v>
          </cell>
          <cell r="CG194">
            <v>31</v>
          </cell>
          <cell r="CH194">
            <v>6</v>
          </cell>
          <cell r="CI194">
            <v>83.8</v>
          </cell>
          <cell r="CJ194">
            <v>27</v>
          </cell>
          <cell r="CK194">
            <v>27</v>
          </cell>
          <cell r="CL194">
            <v>100</v>
          </cell>
          <cell r="CM194">
            <v>26</v>
          </cell>
          <cell r="CN194">
            <v>2</v>
          </cell>
          <cell r="CO194">
            <v>92.9</v>
          </cell>
          <cell r="CP194">
            <v>22</v>
          </cell>
          <cell r="CQ194">
            <v>2</v>
          </cell>
          <cell r="CR194">
            <v>91.7</v>
          </cell>
          <cell r="CS194">
            <v>12</v>
          </cell>
          <cell r="CT194">
            <v>1</v>
          </cell>
          <cell r="CU194">
            <v>92.3</v>
          </cell>
          <cell r="CV194">
            <v>18</v>
          </cell>
          <cell r="CW194">
            <v>6</v>
          </cell>
          <cell r="CX194">
            <v>75</v>
          </cell>
          <cell r="CY194">
            <v>14</v>
          </cell>
          <cell r="CZ194">
            <v>5</v>
          </cell>
          <cell r="DA194">
            <v>73.7</v>
          </cell>
          <cell r="DB194">
            <v>6</v>
          </cell>
          <cell r="DC194">
            <v>3</v>
          </cell>
          <cell r="DD194">
            <v>66.7</v>
          </cell>
          <cell r="DE194">
            <v>11</v>
          </cell>
          <cell r="DF194">
            <v>5</v>
          </cell>
          <cell r="DG194">
            <v>68.8</v>
          </cell>
          <cell r="DH194">
            <v>5</v>
          </cell>
          <cell r="DI194">
            <v>5</v>
          </cell>
          <cell r="DJ194">
            <v>100</v>
          </cell>
          <cell r="DK194">
            <v>8</v>
          </cell>
          <cell r="DL194">
            <v>1</v>
          </cell>
          <cell r="DM194">
            <v>88.9</v>
          </cell>
          <cell r="DN194">
            <v>6</v>
          </cell>
          <cell r="DO194">
            <v>1</v>
          </cell>
          <cell r="DP194">
            <v>85.7</v>
          </cell>
          <cell r="DQ194">
            <v>5</v>
          </cell>
          <cell r="DR194">
            <v>1</v>
          </cell>
          <cell r="DS194">
            <v>83.3</v>
          </cell>
          <cell r="DT194">
            <v>83.29998779296875</v>
          </cell>
          <cell r="DU194">
            <v>83.29998779296875</v>
          </cell>
          <cell r="DV194" t="str">
            <v>-</v>
          </cell>
          <cell r="DW194">
            <v>83.29998779296875</v>
          </cell>
          <cell r="DX194">
            <v>83.29998779296875</v>
          </cell>
          <cell r="DY194" t="str">
            <v>-</v>
          </cell>
          <cell r="DZ194">
            <v>83.29998779296875</v>
          </cell>
          <cell r="EA194">
            <v>83.29998779296875</v>
          </cell>
          <cell r="EB194" t="str">
            <v>-</v>
          </cell>
          <cell r="EC194">
            <v>83.29998779296875</v>
          </cell>
          <cell r="ED194">
            <v>83.29998779296875</v>
          </cell>
          <cell r="EE194" t="str">
            <v>-</v>
          </cell>
          <cell r="EF194">
            <v>83.29998779296875</v>
          </cell>
          <cell r="EG194">
            <v>83.29998779296875</v>
          </cell>
          <cell r="EH194" t="str">
            <v>-</v>
          </cell>
          <cell r="EI194">
            <v>83.29998779296875</v>
          </cell>
          <cell r="EJ194">
            <v>83.29998779296875</v>
          </cell>
          <cell r="EK194" t="str">
            <v>-</v>
          </cell>
          <cell r="EL194">
            <v>83.29998779296875</v>
          </cell>
          <cell r="EM194">
            <v>83.29998779296875</v>
          </cell>
          <cell r="EN194" t="str">
            <v>-</v>
          </cell>
          <cell r="EO194">
            <v>83.29998779296875</v>
          </cell>
          <cell r="EP194">
            <v>83.29998779296875</v>
          </cell>
          <cell r="EQ194" t="str">
            <v>-</v>
          </cell>
          <cell r="ER194">
            <v>2</v>
          </cell>
          <cell r="ES194">
            <v>2</v>
          </cell>
          <cell r="ET194">
            <v>100</v>
          </cell>
          <cell r="EU194">
            <v>7</v>
          </cell>
          <cell r="EV194">
            <v>7</v>
          </cell>
          <cell r="EW194">
            <v>100</v>
          </cell>
          <cell r="EX194">
            <v>7</v>
          </cell>
          <cell r="EY194">
            <v>2</v>
          </cell>
          <cell r="EZ194">
            <v>77.8</v>
          </cell>
          <cell r="FA194">
            <v>8</v>
          </cell>
          <cell r="FB194">
            <v>1</v>
          </cell>
          <cell r="FC194">
            <v>88.9</v>
          </cell>
          <cell r="FD194">
            <v>1</v>
          </cell>
          <cell r="FE194">
            <v>1</v>
          </cell>
          <cell r="FF194">
            <v>100</v>
          </cell>
          <cell r="FG194">
            <v>1</v>
          </cell>
          <cell r="FH194">
            <v>1</v>
          </cell>
          <cell r="FI194">
            <v>100</v>
          </cell>
          <cell r="FJ194">
            <v>2</v>
          </cell>
          <cell r="FK194">
            <v>2</v>
          </cell>
          <cell r="FL194">
            <v>100</v>
          </cell>
          <cell r="FM194">
            <v>100</v>
          </cell>
          <cell r="FN194">
            <v>100</v>
          </cell>
          <cell r="FO194" t="str">
            <v>-</v>
          </cell>
          <cell r="FP194">
            <v>100</v>
          </cell>
          <cell r="FQ194">
            <v>100</v>
          </cell>
          <cell r="FR194" t="str">
            <v>-</v>
          </cell>
          <cell r="FS194">
            <v>100</v>
          </cell>
          <cell r="FT194">
            <v>100</v>
          </cell>
          <cell r="FU194" t="str">
            <v>-</v>
          </cell>
          <cell r="FV194">
            <v>100</v>
          </cell>
          <cell r="FW194">
            <v>100</v>
          </cell>
          <cell r="FX194" t="str">
            <v>-</v>
          </cell>
          <cell r="FY194">
            <v>100</v>
          </cell>
          <cell r="FZ194">
            <v>100</v>
          </cell>
          <cell r="GA194" t="str">
            <v>-</v>
          </cell>
          <cell r="GB194">
            <v>100</v>
          </cell>
          <cell r="GC194">
            <v>100</v>
          </cell>
          <cell r="GD194" t="str">
            <v>-</v>
          </cell>
          <cell r="GE194">
            <v>100</v>
          </cell>
          <cell r="GF194">
            <v>100</v>
          </cell>
          <cell r="GG194" t="str">
            <v>-</v>
          </cell>
          <cell r="GH194">
            <v>100</v>
          </cell>
          <cell r="GI194">
            <v>100</v>
          </cell>
          <cell r="GJ194" t="str">
            <v>-</v>
          </cell>
          <cell r="GK194">
            <v>100</v>
          </cell>
          <cell r="GL194">
            <v>100</v>
          </cell>
          <cell r="GM194" t="str">
            <v>-</v>
          </cell>
          <cell r="GN194">
            <v>42</v>
          </cell>
          <cell r="GO194">
            <v>6</v>
          </cell>
          <cell r="GP194">
            <v>87.5</v>
          </cell>
          <cell r="GQ194">
            <v>23</v>
          </cell>
          <cell r="GR194">
            <v>7</v>
          </cell>
          <cell r="GS194">
            <v>76.7</v>
          </cell>
          <cell r="GT194">
            <v>21</v>
          </cell>
          <cell r="GU194">
            <v>6</v>
          </cell>
          <cell r="GV194">
            <v>77.8</v>
          </cell>
          <cell r="GW194">
            <v>45</v>
          </cell>
          <cell r="GX194">
            <v>9</v>
          </cell>
          <cell r="GY194">
            <v>83.3</v>
          </cell>
          <cell r="GZ194">
            <v>44</v>
          </cell>
          <cell r="HA194">
            <v>7</v>
          </cell>
          <cell r="HB194">
            <v>86.3</v>
          </cell>
          <cell r="HC194">
            <v>42</v>
          </cell>
          <cell r="HD194">
            <v>5</v>
          </cell>
          <cell r="HE194">
            <v>89.4</v>
          </cell>
          <cell r="HF194">
            <v>25</v>
          </cell>
          <cell r="HG194">
            <v>5</v>
          </cell>
          <cell r="HH194">
            <v>83.3</v>
          </cell>
          <cell r="HI194">
            <v>15</v>
          </cell>
          <cell r="HJ194">
            <v>4</v>
          </cell>
          <cell r="HK194">
            <v>78.900000000000006</v>
          </cell>
          <cell r="HL194">
            <v>4</v>
          </cell>
          <cell r="HM194">
            <v>1</v>
          </cell>
          <cell r="HN194">
            <v>80</v>
          </cell>
          <cell r="HO194">
            <v>80</v>
          </cell>
          <cell r="HP194">
            <v>1</v>
          </cell>
          <cell r="HQ194">
            <v>0</v>
          </cell>
          <cell r="HR194">
            <v>0</v>
          </cell>
          <cell r="HS194">
            <v>2</v>
          </cell>
          <cell r="HT194">
            <v>0</v>
          </cell>
          <cell r="HU194">
            <v>2</v>
          </cell>
          <cell r="HV194">
            <v>2</v>
          </cell>
          <cell r="HW194">
            <v>50</v>
          </cell>
          <cell r="HX194">
            <v>1</v>
          </cell>
          <cell r="HY194">
            <v>1</v>
          </cell>
          <cell r="HZ194">
            <v>100</v>
          </cell>
          <cell r="IA194">
            <v>100</v>
          </cell>
          <cell r="IB194">
            <v>100</v>
          </cell>
          <cell r="IC194" t="str">
            <v>-</v>
          </cell>
          <cell r="ID194">
            <v>100</v>
          </cell>
          <cell r="IE194">
            <v>100</v>
          </cell>
          <cell r="IF194" t="str">
            <v>-</v>
          </cell>
          <cell r="IG194">
            <v>100</v>
          </cell>
          <cell r="IH194">
            <v>100</v>
          </cell>
          <cell r="II194" t="str">
            <v>-</v>
          </cell>
          <cell r="IJ194">
            <v>100</v>
          </cell>
          <cell r="IK194">
            <v>100</v>
          </cell>
          <cell r="IL194" t="str">
            <v>-</v>
          </cell>
          <cell r="IM194">
            <v>100</v>
          </cell>
          <cell r="IN194">
            <v>100</v>
          </cell>
          <cell r="IO194" t="str">
            <v>-</v>
          </cell>
          <cell r="IP194">
            <v>1</v>
          </cell>
          <cell r="IQ194">
            <v>1</v>
          </cell>
          <cell r="IR194">
            <v>100</v>
          </cell>
          <cell r="IS194">
            <v>100</v>
          </cell>
          <cell r="IT194">
            <v>100</v>
          </cell>
          <cell r="IU194" t="str">
            <v>-</v>
          </cell>
          <cell r="IV194">
            <v>100</v>
          </cell>
          <cell r="IW194">
            <v>100</v>
          </cell>
          <cell r="IX194" t="str">
            <v>-</v>
          </cell>
          <cell r="IY194">
            <v>100</v>
          </cell>
          <cell r="IZ194">
            <v>100</v>
          </cell>
          <cell r="JA194" t="str">
            <v>-</v>
          </cell>
          <cell r="JB194">
            <v>100</v>
          </cell>
          <cell r="JC194">
            <v>100</v>
          </cell>
          <cell r="JD194" t="str">
            <v>-</v>
          </cell>
          <cell r="JE194">
            <v>100</v>
          </cell>
          <cell r="JF194">
            <v>100</v>
          </cell>
          <cell r="JG194" t="str">
            <v>-</v>
          </cell>
          <cell r="JH194">
            <v>0</v>
          </cell>
          <cell r="JI194">
            <v>0</v>
          </cell>
          <cell r="JJ194" t="str">
            <v>-</v>
          </cell>
          <cell r="JK194">
            <v>0</v>
          </cell>
          <cell r="JL194">
            <v>0</v>
          </cell>
          <cell r="JM194" t="str">
            <v>-</v>
          </cell>
          <cell r="JN194">
            <v>0</v>
          </cell>
          <cell r="JO194">
            <v>0</v>
          </cell>
          <cell r="JP194" t="str">
            <v>-</v>
          </cell>
          <cell r="JQ194">
            <v>118</v>
          </cell>
          <cell r="JR194">
            <v>11</v>
          </cell>
          <cell r="JS194">
            <v>91.472868217054256</v>
          </cell>
          <cell r="JT194">
            <v>35</v>
          </cell>
          <cell r="JU194">
            <v>8</v>
          </cell>
          <cell r="JV194">
            <v>81.395348837209298</v>
          </cell>
          <cell r="JW194">
            <v>0</v>
          </cell>
          <cell r="JX194">
            <v>0</v>
          </cell>
          <cell r="JY194" t="str">
            <v>-</v>
          </cell>
          <cell r="JZ194">
            <v>12</v>
          </cell>
          <cell r="KA194">
            <v>1</v>
          </cell>
          <cell r="KB194">
            <v>92.307692307692307</v>
          </cell>
          <cell r="KC194">
            <v>0</v>
          </cell>
          <cell r="KD194">
            <v>0</v>
          </cell>
          <cell r="KE194" t="str">
            <v>-</v>
          </cell>
          <cell r="KF194">
            <v>171</v>
          </cell>
          <cell r="KG194">
            <v>30</v>
          </cell>
          <cell r="KH194">
            <v>85.074626865671647</v>
          </cell>
          <cell r="KI194">
            <v>3</v>
          </cell>
          <cell r="KJ194">
            <v>2</v>
          </cell>
          <cell r="KK194">
            <v>60</v>
          </cell>
          <cell r="KL194">
            <v>0</v>
          </cell>
          <cell r="KM194">
            <v>0</v>
          </cell>
          <cell r="KN194" t="str">
            <v>-</v>
          </cell>
        </row>
        <row r="195">
          <cell r="C195" t="str">
            <v>Nagykanizsai Rendőrkapitányság</v>
          </cell>
          <cell r="D195">
            <v>0</v>
          </cell>
          <cell r="E195">
            <v>0</v>
          </cell>
          <cell r="F195" t="str">
            <v>-</v>
          </cell>
          <cell r="G195">
            <v>0</v>
          </cell>
          <cell r="H195">
            <v>0</v>
          </cell>
          <cell r="I195" t="str">
            <v>-</v>
          </cell>
          <cell r="J195">
            <v>0</v>
          </cell>
          <cell r="K195">
            <v>0</v>
          </cell>
          <cell r="L195" t="str">
            <v>-</v>
          </cell>
          <cell r="M195">
            <v>0</v>
          </cell>
          <cell r="N195">
            <v>0</v>
          </cell>
          <cell r="O195" t="str">
            <v>-</v>
          </cell>
          <cell r="P195">
            <v>0</v>
          </cell>
          <cell r="Q195">
            <v>0</v>
          </cell>
          <cell r="R195" t="str">
            <v>-</v>
          </cell>
          <cell r="S195">
            <v>0</v>
          </cell>
          <cell r="T195">
            <v>0</v>
          </cell>
          <cell r="U195" t="str">
            <v>-</v>
          </cell>
          <cell r="V195">
            <v>0</v>
          </cell>
          <cell r="W195">
            <v>0</v>
          </cell>
          <cell r="X195" t="str">
            <v>-</v>
          </cell>
          <cell r="Y195">
            <v>0</v>
          </cell>
          <cell r="Z195">
            <v>0</v>
          </cell>
          <cell r="AA195" t="str">
            <v>-</v>
          </cell>
          <cell r="AB195">
            <v>0</v>
          </cell>
          <cell r="AC195">
            <v>0</v>
          </cell>
          <cell r="AD195" t="str">
            <v>-</v>
          </cell>
          <cell r="AE195">
            <v>0</v>
          </cell>
          <cell r="AF195">
            <v>0</v>
          </cell>
          <cell r="AG195" t="str">
            <v>-</v>
          </cell>
          <cell r="AH195">
            <v>0</v>
          </cell>
          <cell r="AI195">
            <v>0</v>
          </cell>
          <cell r="AJ195" t="str">
            <v>-</v>
          </cell>
          <cell r="AK195">
            <v>0</v>
          </cell>
          <cell r="AL195">
            <v>0</v>
          </cell>
          <cell r="AM195" t="str">
            <v>-</v>
          </cell>
          <cell r="AN195">
            <v>0</v>
          </cell>
          <cell r="AO195">
            <v>0</v>
          </cell>
          <cell r="AP195" t="str">
            <v>-</v>
          </cell>
          <cell r="AQ195">
            <v>0</v>
          </cell>
          <cell r="AR195">
            <v>0</v>
          </cell>
          <cell r="AS195" t="str">
            <v>-</v>
          </cell>
          <cell r="AT195">
            <v>0</v>
          </cell>
          <cell r="AU195">
            <v>0</v>
          </cell>
          <cell r="AV195" t="str">
            <v>-</v>
          </cell>
          <cell r="AW195">
            <v>0</v>
          </cell>
          <cell r="AX195">
            <v>0</v>
          </cell>
          <cell r="AY195" t="str">
            <v>-</v>
          </cell>
          <cell r="AZ195">
            <v>0</v>
          </cell>
          <cell r="BA195">
            <v>0</v>
          </cell>
          <cell r="BB195" t="str">
            <v>-</v>
          </cell>
          <cell r="BC195">
            <v>0</v>
          </cell>
          <cell r="BD195">
            <v>0</v>
          </cell>
          <cell r="BE195" t="str">
            <v>-</v>
          </cell>
          <cell r="BF195">
            <v>0</v>
          </cell>
          <cell r="BG195">
            <v>0</v>
          </cell>
          <cell r="BH195" t="str">
            <v>-</v>
          </cell>
          <cell r="BI195">
            <v>0</v>
          </cell>
          <cell r="BJ195">
            <v>0</v>
          </cell>
          <cell r="BK195" t="str">
            <v>-</v>
          </cell>
          <cell r="BL195">
            <v>0</v>
          </cell>
          <cell r="BM195">
            <v>0</v>
          </cell>
          <cell r="BN195" t="str">
            <v>-</v>
          </cell>
          <cell r="BO195">
            <v>0</v>
          </cell>
          <cell r="BP195">
            <v>0</v>
          </cell>
          <cell r="BQ195" t="str">
            <v>-</v>
          </cell>
          <cell r="BR195">
            <v>0</v>
          </cell>
          <cell r="BS195">
            <v>0</v>
          </cell>
          <cell r="BT195" t="str">
            <v>-</v>
          </cell>
          <cell r="BU195">
            <v>0</v>
          </cell>
          <cell r="BV195">
            <v>0</v>
          </cell>
          <cell r="BW195" t="str">
            <v>-</v>
          </cell>
          <cell r="BX195">
            <v>80</v>
          </cell>
          <cell r="BY195">
            <v>19</v>
          </cell>
          <cell r="BZ195">
            <v>80.8</v>
          </cell>
          <cell r="CA195">
            <v>75</v>
          </cell>
          <cell r="CB195">
            <v>23</v>
          </cell>
          <cell r="CC195">
            <v>76.5</v>
          </cell>
          <cell r="CD195">
            <v>90</v>
          </cell>
          <cell r="CE195">
            <v>45</v>
          </cell>
          <cell r="CF195">
            <v>66.7</v>
          </cell>
          <cell r="CG195">
            <v>114</v>
          </cell>
          <cell r="CH195">
            <v>20</v>
          </cell>
          <cell r="CI195">
            <v>85.1</v>
          </cell>
          <cell r="CJ195">
            <v>74</v>
          </cell>
          <cell r="CK195">
            <v>13</v>
          </cell>
          <cell r="CL195">
            <v>85.1</v>
          </cell>
          <cell r="CM195">
            <v>69</v>
          </cell>
          <cell r="CN195">
            <v>11</v>
          </cell>
          <cell r="CO195">
            <v>86.3</v>
          </cell>
          <cell r="CP195">
            <v>66</v>
          </cell>
          <cell r="CQ195">
            <v>7</v>
          </cell>
          <cell r="CR195">
            <v>90.4</v>
          </cell>
          <cell r="CS195">
            <v>63</v>
          </cell>
          <cell r="CT195">
            <v>5</v>
          </cell>
          <cell r="CU195">
            <v>92.6</v>
          </cell>
          <cell r="CV195">
            <v>40</v>
          </cell>
          <cell r="CW195">
            <v>17</v>
          </cell>
          <cell r="CX195">
            <v>70.2</v>
          </cell>
          <cell r="CY195">
            <v>43</v>
          </cell>
          <cell r="CZ195">
            <v>20</v>
          </cell>
          <cell r="DA195">
            <v>68.3</v>
          </cell>
          <cell r="DB195">
            <v>42</v>
          </cell>
          <cell r="DC195">
            <v>34</v>
          </cell>
          <cell r="DD195">
            <v>55.3</v>
          </cell>
          <cell r="DE195">
            <v>47</v>
          </cell>
          <cell r="DF195">
            <v>14</v>
          </cell>
          <cell r="DG195">
            <v>77</v>
          </cell>
          <cell r="DH195">
            <v>34</v>
          </cell>
          <cell r="DI195">
            <v>9</v>
          </cell>
          <cell r="DJ195">
            <v>79.099999999999994</v>
          </cell>
          <cell r="DK195">
            <v>33</v>
          </cell>
          <cell r="DL195">
            <v>8</v>
          </cell>
          <cell r="DM195">
            <v>80.5</v>
          </cell>
          <cell r="DN195">
            <v>35</v>
          </cell>
          <cell r="DO195">
            <v>6</v>
          </cell>
          <cell r="DP195">
            <v>85.4</v>
          </cell>
          <cell r="DQ195">
            <v>25</v>
          </cell>
          <cell r="DR195">
            <v>4</v>
          </cell>
          <cell r="DS195">
            <v>86.2</v>
          </cell>
          <cell r="DT195">
            <v>86.199951171875</v>
          </cell>
          <cell r="DU195">
            <v>86.199951171875</v>
          </cell>
          <cell r="DV195" t="str">
            <v>-</v>
          </cell>
          <cell r="DW195">
            <v>86.199951171875</v>
          </cell>
          <cell r="DX195">
            <v>86.199951171875</v>
          </cell>
          <cell r="DY195" t="str">
            <v>-</v>
          </cell>
          <cell r="DZ195">
            <v>86.199951171875</v>
          </cell>
          <cell r="EA195">
            <v>86.199951171875</v>
          </cell>
          <cell r="EB195" t="str">
            <v>-</v>
          </cell>
          <cell r="EC195">
            <v>86.199951171875</v>
          </cell>
          <cell r="ED195">
            <v>86.199951171875</v>
          </cell>
          <cell r="EE195" t="str">
            <v>-</v>
          </cell>
          <cell r="EF195">
            <v>86.199951171875</v>
          </cell>
          <cell r="EG195">
            <v>86.199951171875</v>
          </cell>
          <cell r="EH195" t="str">
            <v>-</v>
          </cell>
          <cell r="EI195">
            <v>86.199951171875</v>
          </cell>
          <cell r="EJ195">
            <v>86.199951171875</v>
          </cell>
          <cell r="EK195" t="str">
            <v>-</v>
          </cell>
          <cell r="EL195">
            <v>86.199951171875</v>
          </cell>
          <cell r="EM195">
            <v>86.199951171875</v>
          </cell>
          <cell r="EN195" t="str">
            <v>-</v>
          </cell>
          <cell r="EO195">
            <v>86.199951171875</v>
          </cell>
          <cell r="EP195">
            <v>86.199951171875</v>
          </cell>
          <cell r="EQ195" t="str">
            <v>-</v>
          </cell>
          <cell r="ER195">
            <v>18</v>
          </cell>
          <cell r="ES195">
            <v>8</v>
          </cell>
          <cell r="ET195">
            <v>69.2</v>
          </cell>
          <cell r="EU195">
            <v>9</v>
          </cell>
          <cell r="EV195">
            <v>3</v>
          </cell>
          <cell r="EW195">
            <v>75</v>
          </cell>
          <cell r="EX195">
            <v>6</v>
          </cell>
          <cell r="EY195">
            <v>2</v>
          </cell>
          <cell r="EZ195">
            <v>75</v>
          </cell>
          <cell r="FA195">
            <v>9</v>
          </cell>
          <cell r="FB195">
            <v>6</v>
          </cell>
          <cell r="FC195">
            <v>60</v>
          </cell>
          <cell r="FD195">
            <v>11</v>
          </cell>
          <cell r="FE195">
            <v>2</v>
          </cell>
          <cell r="FF195">
            <v>84.6</v>
          </cell>
          <cell r="FG195">
            <v>3</v>
          </cell>
          <cell r="FH195">
            <v>2</v>
          </cell>
          <cell r="FI195">
            <v>60</v>
          </cell>
          <cell r="FJ195">
            <v>2</v>
          </cell>
          <cell r="FK195">
            <v>1</v>
          </cell>
          <cell r="FL195">
            <v>66.7</v>
          </cell>
          <cell r="FM195">
            <v>5</v>
          </cell>
          <cell r="FN195">
            <v>5</v>
          </cell>
          <cell r="FO195">
            <v>100</v>
          </cell>
          <cell r="FP195">
            <v>100</v>
          </cell>
          <cell r="FQ195">
            <v>100</v>
          </cell>
          <cell r="FR195" t="str">
            <v>-</v>
          </cell>
          <cell r="FS195">
            <v>100</v>
          </cell>
          <cell r="FT195">
            <v>100</v>
          </cell>
          <cell r="FU195" t="str">
            <v>-</v>
          </cell>
          <cell r="FV195">
            <v>100</v>
          </cell>
          <cell r="FW195">
            <v>100</v>
          </cell>
          <cell r="FX195" t="str">
            <v>-</v>
          </cell>
          <cell r="FY195">
            <v>100</v>
          </cell>
          <cell r="FZ195">
            <v>100</v>
          </cell>
          <cell r="GA195" t="str">
            <v>-</v>
          </cell>
          <cell r="GB195">
            <v>100</v>
          </cell>
          <cell r="GC195">
            <v>100</v>
          </cell>
          <cell r="GD195" t="str">
            <v>-</v>
          </cell>
          <cell r="GE195">
            <v>100</v>
          </cell>
          <cell r="GF195">
            <v>100</v>
          </cell>
          <cell r="GG195" t="str">
            <v>-</v>
          </cell>
          <cell r="GH195">
            <v>100</v>
          </cell>
          <cell r="GI195">
            <v>100</v>
          </cell>
          <cell r="GJ195" t="str">
            <v>-</v>
          </cell>
          <cell r="GK195">
            <v>100</v>
          </cell>
          <cell r="GL195">
            <v>100</v>
          </cell>
          <cell r="GM195" t="str">
            <v>-</v>
          </cell>
          <cell r="GN195">
            <v>52</v>
          </cell>
          <cell r="GO195">
            <v>10</v>
          </cell>
          <cell r="GP195">
            <v>83.9</v>
          </cell>
          <cell r="GQ195">
            <v>52</v>
          </cell>
          <cell r="GR195">
            <v>4</v>
          </cell>
          <cell r="GS195">
            <v>92.9</v>
          </cell>
          <cell r="GT195">
            <v>74</v>
          </cell>
          <cell r="GU195">
            <v>14</v>
          </cell>
          <cell r="GV195">
            <v>84.1</v>
          </cell>
          <cell r="GW195">
            <v>77</v>
          </cell>
          <cell r="GX195">
            <v>27</v>
          </cell>
          <cell r="GY195">
            <v>74</v>
          </cell>
          <cell r="GZ195">
            <v>74</v>
          </cell>
          <cell r="HA195">
            <v>12</v>
          </cell>
          <cell r="HB195">
            <v>86</v>
          </cell>
          <cell r="HC195">
            <v>46</v>
          </cell>
          <cell r="HD195">
            <v>14</v>
          </cell>
          <cell r="HE195">
            <v>76.7</v>
          </cell>
          <cell r="HF195">
            <v>58</v>
          </cell>
          <cell r="HG195">
            <v>7</v>
          </cell>
          <cell r="HH195">
            <v>89.2</v>
          </cell>
          <cell r="HI195">
            <v>55</v>
          </cell>
          <cell r="HJ195">
            <v>4</v>
          </cell>
          <cell r="HK195">
            <v>93.2</v>
          </cell>
          <cell r="HL195">
            <v>3</v>
          </cell>
          <cell r="HM195">
            <v>4</v>
          </cell>
          <cell r="HN195">
            <v>42.9</v>
          </cell>
          <cell r="HO195">
            <v>6</v>
          </cell>
          <cell r="HP195">
            <v>4</v>
          </cell>
          <cell r="HQ195">
            <v>60</v>
          </cell>
          <cell r="HR195">
            <v>3</v>
          </cell>
          <cell r="HS195">
            <v>3</v>
          </cell>
          <cell r="HT195">
            <v>50</v>
          </cell>
          <cell r="HU195">
            <v>6</v>
          </cell>
          <cell r="HV195">
            <v>6</v>
          </cell>
          <cell r="HW195">
            <v>50</v>
          </cell>
          <cell r="HX195">
            <v>3</v>
          </cell>
          <cell r="HY195">
            <v>3</v>
          </cell>
          <cell r="HZ195">
            <v>50</v>
          </cell>
          <cell r="IA195">
            <v>1</v>
          </cell>
          <cell r="IB195">
            <v>1</v>
          </cell>
          <cell r="IC195">
            <v>100</v>
          </cell>
          <cell r="ID195">
            <v>2</v>
          </cell>
          <cell r="IE195">
            <v>1</v>
          </cell>
          <cell r="IF195">
            <v>66.7</v>
          </cell>
          <cell r="IG195">
            <v>66.699951171875</v>
          </cell>
          <cell r="IH195">
            <v>66.699951171875</v>
          </cell>
          <cell r="II195" t="str">
            <v>-</v>
          </cell>
          <cell r="IJ195">
            <v>2</v>
          </cell>
          <cell r="IK195">
            <v>1</v>
          </cell>
          <cell r="IL195">
            <v>66.7</v>
          </cell>
          <cell r="IM195">
            <v>2</v>
          </cell>
          <cell r="IN195">
            <v>1</v>
          </cell>
          <cell r="IO195">
            <v>66.7</v>
          </cell>
          <cell r="IP195">
            <v>5</v>
          </cell>
          <cell r="IQ195">
            <v>2</v>
          </cell>
          <cell r="IR195">
            <v>71.400000000000006</v>
          </cell>
          <cell r="IS195">
            <v>1</v>
          </cell>
          <cell r="IT195">
            <v>4</v>
          </cell>
          <cell r="IU195">
            <v>20</v>
          </cell>
          <cell r="IV195">
            <v>5</v>
          </cell>
          <cell r="IW195">
            <v>1</v>
          </cell>
          <cell r="IX195">
            <v>83.3</v>
          </cell>
          <cell r="IY195">
            <v>2</v>
          </cell>
          <cell r="IZ195">
            <v>2</v>
          </cell>
          <cell r="JA195">
            <v>100</v>
          </cell>
          <cell r="JB195">
            <v>7</v>
          </cell>
          <cell r="JC195">
            <v>1</v>
          </cell>
          <cell r="JD195">
            <v>87.5</v>
          </cell>
          <cell r="JE195">
            <v>4</v>
          </cell>
          <cell r="JF195">
            <v>4</v>
          </cell>
          <cell r="JG195">
            <v>100</v>
          </cell>
          <cell r="JH195">
            <v>0</v>
          </cell>
          <cell r="JI195">
            <v>0</v>
          </cell>
          <cell r="JJ195" t="str">
            <v>-</v>
          </cell>
          <cell r="JK195">
            <v>0</v>
          </cell>
          <cell r="JL195">
            <v>0</v>
          </cell>
          <cell r="JM195" t="str">
            <v>-</v>
          </cell>
          <cell r="JN195">
            <v>0</v>
          </cell>
          <cell r="JO195">
            <v>0</v>
          </cell>
          <cell r="JP195" t="str">
            <v>-</v>
          </cell>
          <cell r="JQ195">
            <v>386</v>
          </cell>
          <cell r="JR195">
            <v>56</v>
          </cell>
          <cell r="JS195">
            <v>87.33031674208145</v>
          </cell>
          <cell r="JT195">
            <v>174</v>
          </cell>
          <cell r="JU195">
            <v>41</v>
          </cell>
          <cell r="JV195">
            <v>80.930232558139537</v>
          </cell>
          <cell r="JW195">
            <v>0</v>
          </cell>
          <cell r="JX195">
            <v>0</v>
          </cell>
          <cell r="JY195" t="str">
            <v>-</v>
          </cell>
          <cell r="JZ195">
            <v>30</v>
          </cell>
          <cell r="KA195">
            <v>11</v>
          </cell>
          <cell r="KB195">
            <v>73.170731707317074</v>
          </cell>
          <cell r="KC195">
            <v>0</v>
          </cell>
          <cell r="KD195">
            <v>0</v>
          </cell>
          <cell r="KE195" t="str">
            <v>-</v>
          </cell>
          <cell r="KF195">
            <v>310</v>
          </cell>
          <cell r="KG195">
            <v>64</v>
          </cell>
          <cell r="KH195">
            <v>82.887700534759361</v>
          </cell>
          <cell r="KI195">
            <v>12</v>
          </cell>
          <cell r="KJ195">
            <v>10</v>
          </cell>
          <cell r="KK195">
            <v>54.54545454545454</v>
          </cell>
          <cell r="KL195">
            <v>19</v>
          </cell>
          <cell r="KM195">
            <v>6</v>
          </cell>
          <cell r="KN195">
            <v>76</v>
          </cell>
        </row>
        <row r="196">
          <cell r="C196" t="str">
            <v>Keszthelyi Rendőrkapitányság</v>
          </cell>
          <cell r="D196">
            <v>76</v>
          </cell>
          <cell r="E196">
            <v>76</v>
          </cell>
          <cell r="F196" t="str">
            <v>-</v>
          </cell>
          <cell r="G196">
            <v>76</v>
          </cell>
          <cell r="H196">
            <v>76</v>
          </cell>
          <cell r="I196" t="str">
            <v>-</v>
          </cell>
          <cell r="J196">
            <v>76</v>
          </cell>
          <cell r="K196">
            <v>76</v>
          </cell>
          <cell r="L196" t="str">
            <v>-</v>
          </cell>
          <cell r="M196">
            <v>76</v>
          </cell>
          <cell r="N196">
            <v>76</v>
          </cell>
          <cell r="O196" t="str">
            <v>-</v>
          </cell>
          <cell r="P196">
            <v>76</v>
          </cell>
          <cell r="Q196">
            <v>76</v>
          </cell>
          <cell r="R196" t="str">
            <v>-</v>
          </cell>
          <cell r="S196">
            <v>76</v>
          </cell>
          <cell r="T196">
            <v>76</v>
          </cell>
          <cell r="U196" t="str">
            <v>-</v>
          </cell>
          <cell r="V196">
            <v>76</v>
          </cell>
          <cell r="W196">
            <v>76</v>
          </cell>
          <cell r="X196" t="str">
            <v>-</v>
          </cell>
          <cell r="Y196">
            <v>76</v>
          </cell>
          <cell r="Z196">
            <v>76</v>
          </cell>
          <cell r="AA196" t="str">
            <v>-</v>
          </cell>
          <cell r="AB196">
            <v>76</v>
          </cell>
          <cell r="AC196">
            <v>76</v>
          </cell>
          <cell r="AD196" t="str">
            <v>-</v>
          </cell>
          <cell r="AE196">
            <v>76</v>
          </cell>
          <cell r="AF196">
            <v>76</v>
          </cell>
          <cell r="AG196" t="str">
            <v>-</v>
          </cell>
          <cell r="AH196">
            <v>76</v>
          </cell>
          <cell r="AI196">
            <v>76</v>
          </cell>
          <cell r="AJ196" t="str">
            <v>-</v>
          </cell>
          <cell r="AK196">
            <v>76</v>
          </cell>
          <cell r="AL196">
            <v>76</v>
          </cell>
          <cell r="AM196" t="str">
            <v>-</v>
          </cell>
          <cell r="AN196">
            <v>76</v>
          </cell>
          <cell r="AO196">
            <v>76</v>
          </cell>
          <cell r="AP196" t="str">
            <v>-</v>
          </cell>
          <cell r="AQ196">
            <v>76</v>
          </cell>
          <cell r="AR196">
            <v>76</v>
          </cell>
          <cell r="AS196" t="str">
            <v>-</v>
          </cell>
          <cell r="AT196">
            <v>76</v>
          </cell>
          <cell r="AU196">
            <v>76</v>
          </cell>
          <cell r="AV196" t="str">
            <v>-</v>
          </cell>
          <cell r="AW196">
            <v>76</v>
          </cell>
          <cell r="AX196">
            <v>76</v>
          </cell>
          <cell r="AY196" t="str">
            <v>-</v>
          </cell>
          <cell r="AZ196">
            <v>76</v>
          </cell>
          <cell r="BA196">
            <v>76</v>
          </cell>
          <cell r="BB196" t="str">
            <v>-</v>
          </cell>
          <cell r="BC196">
            <v>76</v>
          </cell>
          <cell r="BD196">
            <v>76</v>
          </cell>
          <cell r="BE196" t="str">
            <v>-</v>
          </cell>
          <cell r="BF196">
            <v>76</v>
          </cell>
          <cell r="BG196">
            <v>76</v>
          </cell>
          <cell r="BH196" t="str">
            <v>-</v>
          </cell>
          <cell r="BI196">
            <v>76</v>
          </cell>
          <cell r="BJ196">
            <v>76</v>
          </cell>
          <cell r="BK196" t="str">
            <v>-</v>
          </cell>
          <cell r="BL196">
            <v>76</v>
          </cell>
          <cell r="BM196">
            <v>76</v>
          </cell>
          <cell r="BN196" t="str">
            <v>-</v>
          </cell>
          <cell r="BO196">
            <v>76</v>
          </cell>
          <cell r="BP196">
            <v>76</v>
          </cell>
          <cell r="BQ196" t="str">
            <v>-</v>
          </cell>
          <cell r="BR196">
            <v>76</v>
          </cell>
          <cell r="BS196">
            <v>76</v>
          </cell>
          <cell r="BT196" t="str">
            <v>-</v>
          </cell>
          <cell r="BU196">
            <v>76</v>
          </cell>
          <cell r="BV196">
            <v>76</v>
          </cell>
          <cell r="BW196" t="str">
            <v>-</v>
          </cell>
          <cell r="BX196">
            <v>50</v>
          </cell>
          <cell r="BY196">
            <v>15</v>
          </cell>
          <cell r="BZ196">
            <v>76.900000000000006</v>
          </cell>
          <cell r="CA196">
            <v>62</v>
          </cell>
          <cell r="CB196">
            <v>10</v>
          </cell>
          <cell r="CC196">
            <v>86.1</v>
          </cell>
          <cell r="CD196">
            <v>58</v>
          </cell>
          <cell r="CE196">
            <v>14</v>
          </cell>
          <cell r="CF196">
            <v>80.599999999999994</v>
          </cell>
          <cell r="CG196">
            <v>67</v>
          </cell>
          <cell r="CH196">
            <v>11</v>
          </cell>
          <cell r="CI196">
            <v>85.9</v>
          </cell>
          <cell r="CJ196">
            <v>50</v>
          </cell>
          <cell r="CK196">
            <v>6</v>
          </cell>
          <cell r="CL196">
            <v>89.3</v>
          </cell>
          <cell r="CM196">
            <v>49</v>
          </cell>
          <cell r="CN196">
            <v>5</v>
          </cell>
          <cell r="CO196">
            <v>90.7</v>
          </cell>
          <cell r="CP196">
            <v>48</v>
          </cell>
          <cell r="CQ196">
            <v>3</v>
          </cell>
          <cell r="CR196">
            <v>94.1</v>
          </cell>
          <cell r="CS196">
            <v>37</v>
          </cell>
          <cell r="CT196">
            <v>4</v>
          </cell>
          <cell r="CU196">
            <v>90.2</v>
          </cell>
          <cell r="CV196">
            <v>19</v>
          </cell>
          <cell r="CW196">
            <v>15</v>
          </cell>
          <cell r="CX196">
            <v>55.9</v>
          </cell>
          <cell r="CY196">
            <v>24</v>
          </cell>
          <cell r="CZ196">
            <v>4</v>
          </cell>
          <cell r="DA196">
            <v>85.7</v>
          </cell>
          <cell r="DB196">
            <v>20</v>
          </cell>
          <cell r="DC196">
            <v>12</v>
          </cell>
          <cell r="DD196">
            <v>62.5</v>
          </cell>
          <cell r="DE196">
            <v>18</v>
          </cell>
          <cell r="DF196">
            <v>10</v>
          </cell>
          <cell r="DG196">
            <v>64.3</v>
          </cell>
          <cell r="DH196">
            <v>14</v>
          </cell>
          <cell r="DI196">
            <v>3</v>
          </cell>
          <cell r="DJ196">
            <v>82.4</v>
          </cell>
          <cell r="DK196">
            <v>9</v>
          </cell>
          <cell r="DL196">
            <v>3</v>
          </cell>
          <cell r="DM196">
            <v>75</v>
          </cell>
          <cell r="DN196">
            <v>17</v>
          </cell>
          <cell r="DO196">
            <v>2</v>
          </cell>
          <cell r="DP196">
            <v>89.5</v>
          </cell>
          <cell r="DQ196">
            <v>8</v>
          </cell>
          <cell r="DR196">
            <v>3</v>
          </cell>
          <cell r="DS196">
            <v>72.7</v>
          </cell>
          <cell r="DT196">
            <v>72.699951171875</v>
          </cell>
          <cell r="DU196">
            <v>72.699951171875</v>
          </cell>
          <cell r="DV196" t="str">
            <v>-</v>
          </cell>
          <cell r="DW196">
            <v>72.699951171875</v>
          </cell>
          <cell r="DX196">
            <v>72.699951171875</v>
          </cell>
          <cell r="DY196" t="str">
            <v>-</v>
          </cell>
          <cell r="DZ196">
            <v>72.699951171875</v>
          </cell>
          <cell r="EA196">
            <v>72.699951171875</v>
          </cell>
          <cell r="EB196" t="str">
            <v>-</v>
          </cell>
          <cell r="EC196">
            <v>72.699951171875</v>
          </cell>
          <cell r="ED196">
            <v>72.699951171875</v>
          </cell>
          <cell r="EE196" t="str">
            <v>-</v>
          </cell>
          <cell r="EF196">
            <v>72.699951171875</v>
          </cell>
          <cell r="EG196">
            <v>72.699951171875</v>
          </cell>
          <cell r="EH196" t="str">
            <v>-</v>
          </cell>
          <cell r="EI196">
            <v>72.699951171875</v>
          </cell>
          <cell r="EJ196">
            <v>72.699951171875</v>
          </cell>
          <cell r="EK196" t="str">
            <v>-</v>
          </cell>
          <cell r="EL196">
            <v>72.699951171875</v>
          </cell>
          <cell r="EM196">
            <v>72.699951171875</v>
          </cell>
          <cell r="EN196" t="str">
            <v>-</v>
          </cell>
          <cell r="EO196">
            <v>72.699951171875</v>
          </cell>
          <cell r="EP196">
            <v>72.699951171875</v>
          </cell>
          <cell r="EQ196" t="str">
            <v>-</v>
          </cell>
          <cell r="ER196">
            <v>3</v>
          </cell>
          <cell r="ES196">
            <v>1</v>
          </cell>
          <cell r="ET196">
            <v>75</v>
          </cell>
          <cell r="EU196">
            <v>2</v>
          </cell>
          <cell r="EV196">
            <v>7</v>
          </cell>
          <cell r="EW196">
            <v>22.2</v>
          </cell>
          <cell r="EX196">
            <v>4</v>
          </cell>
          <cell r="EY196">
            <v>4</v>
          </cell>
          <cell r="EZ196">
            <v>50</v>
          </cell>
          <cell r="FA196">
            <v>17</v>
          </cell>
          <cell r="FB196">
            <v>17</v>
          </cell>
          <cell r="FC196">
            <v>100</v>
          </cell>
          <cell r="FD196">
            <v>11</v>
          </cell>
          <cell r="FE196">
            <v>1</v>
          </cell>
          <cell r="FF196">
            <v>91.7</v>
          </cell>
          <cell r="FG196">
            <v>2</v>
          </cell>
          <cell r="FH196">
            <v>1</v>
          </cell>
          <cell r="FI196">
            <v>66.7</v>
          </cell>
          <cell r="FJ196">
            <v>6</v>
          </cell>
          <cell r="FK196">
            <v>6</v>
          </cell>
          <cell r="FL196">
            <v>100</v>
          </cell>
          <cell r="FM196">
            <v>5</v>
          </cell>
          <cell r="FN196">
            <v>5</v>
          </cell>
          <cell r="FO196">
            <v>100</v>
          </cell>
          <cell r="FP196">
            <v>100</v>
          </cell>
          <cell r="FQ196">
            <v>100</v>
          </cell>
          <cell r="FR196" t="str">
            <v>-</v>
          </cell>
          <cell r="FS196">
            <v>100</v>
          </cell>
          <cell r="FT196">
            <v>100</v>
          </cell>
          <cell r="FU196" t="str">
            <v>-</v>
          </cell>
          <cell r="FV196">
            <v>100</v>
          </cell>
          <cell r="FW196">
            <v>100</v>
          </cell>
          <cell r="FX196" t="str">
            <v>-</v>
          </cell>
          <cell r="FY196">
            <v>100</v>
          </cell>
          <cell r="FZ196">
            <v>100</v>
          </cell>
          <cell r="GA196" t="str">
            <v>-</v>
          </cell>
          <cell r="GB196">
            <v>100</v>
          </cell>
          <cell r="GC196">
            <v>100</v>
          </cell>
          <cell r="GD196" t="str">
            <v>-</v>
          </cell>
          <cell r="GE196">
            <v>100</v>
          </cell>
          <cell r="GF196">
            <v>100</v>
          </cell>
          <cell r="GG196" t="str">
            <v>-</v>
          </cell>
          <cell r="GH196">
            <v>100</v>
          </cell>
          <cell r="GI196">
            <v>100</v>
          </cell>
          <cell r="GJ196" t="str">
            <v>-</v>
          </cell>
          <cell r="GK196">
            <v>100</v>
          </cell>
          <cell r="GL196">
            <v>100</v>
          </cell>
          <cell r="GM196" t="str">
            <v>-</v>
          </cell>
          <cell r="GN196">
            <v>45</v>
          </cell>
          <cell r="GO196">
            <v>9</v>
          </cell>
          <cell r="GP196">
            <v>83.3</v>
          </cell>
          <cell r="GQ196">
            <v>72</v>
          </cell>
          <cell r="GR196">
            <v>13</v>
          </cell>
          <cell r="GS196">
            <v>84.7</v>
          </cell>
          <cell r="GT196">
            <v>77</v>
          </cell>
          <cell r="GU196">
            <v>19</v>
          </cell>
          <cell r="GV196">
            <v>80.2</v>
          </cell>
          <cell r="GW196">
            <v>65</v>
          </cell>
          <cell r="GX196">
            <v>20</v>
          </cell>
          <cell r="GY196">
            <v>76.5</v>
          </cell>
          <cell r="GZ196">
            <v>58</v>
          </cell>
          <cell r="HA196">
            <v>8</v>
          </cell>
          <cell r="HB196">
            <v>87.9</v>
          </cell>
          <cell r="HC196">
            <v>52</v>
          </cell>
          <cell r="HD196">
            <v>7</v>
          </cell>
          <cell r="HE196">
            <v>88.1</v>
          </cell>
          <cell r="HF196">
            <v>59</v>
          </cell>
          <cell r="HG196">
            <v>7</v>
          </cell>
          <cell r="HH196">
            <v>89.4</v>
          </cell>
          <cell r="HI196">
            <v>49</v>
          </cell>
          <cell r="HJ196">
            <v>9</v>
          </cell>
          <cell r="HK196">
            <v>84.5</v>
          </cell>
          <cell r="HL196">
            <v>84.5</v>
          </cell>
          <cell r="HM196">
            <v>2</v>
          </cell>
          <cell r="HN196">
            <v>0</v>
          </cell>
          <cell r="HO196">
            <v>0</v>
          </cell>
          <cell r="HP196">
            <v>0</v>
          </cell>
          <cell r="HQ196" t="str">
            <v>-</v>
          </cell>
          <cell r="HR196">
            <v>0</v>
          </cell>
          <cell r="HS196">
            <v>2</v>
          </cell>
          <cell r="HT196">
            <v>0</v>
          </cell>
          <cell r="HU196">
            <v>0</v>
          </cell>
          <cell r="HV196">
            <v>0</v>
          </cell>
          <cell r="HW196" t="str">
            <v>-</v>
          </cell>
          <cell r="HX196">
            <v>0</v>
          </cell>
          <cell r="HY196">
            <v>0</v>
          </cell>
          <cell r="HZ196" t="str">
            <v>-</v>
          </cell>
          <cell r="IA196">
            <v>0</v>
          </cell>
          <cell r="IB196">
            <v>0</v>
          </cell>
          <cell r="IC196" t="str">
            <v>-</v>
          </cell>
          <cell r="ID196">
            <v>0</v>
          </cell>
          <cell r="IE196">
            <v>0</v>
          </cell>
          <cell r="IF196" t="str">
            <v>-</v>
          </cell>
          <cell r="IG196">
            <v>1</v>
          </cell>
          <cell r="IH196">
            <v>1</v>
          </cell>
          <cell r="II196">
            <v>100</v>
          </cell>
          <cell r="IJ196">
            <v>4</v>
          </cell>
          <cell r="IK196">
            <v>4</v>
          </cell>
          <cell r="IL196">
            <v>100</v>
          </cell>
          <cell r="IM196">
            <v>100</v>
          </cell>
          <cell r="IN196">
            <v>1</v>
          </cell>
          <cell r="IO196">
            <v>0</v>
          </cell>
          <cell r="IP196">
            <v>4</v>
          </cell>
          <cell r="IQ196">
            <v>4</v>
          </cell>
          <cell r="IR196">
            <v>100</v>
          </cell>
          <cell r="IS196">
            <v>100</v>
          </cell>
          <cell r="IT196">
            <v>3</v>
          </cell>
          <cell r="IU196">
            <v>0</v>
          </cell>
          <cell r="IV196">
            <v>12</v>
          </cell>
          <cell r="IW196">
            <v>12</v>
          </cell>
          <cell r="IX196">
            <v>100</v>
          </cell>
          <cell r="IY196">
            <v>2</v>
          </cell>
          <cell r="IZ196">
            <v>2</v>
          </cell>
          <cell r="JA196">
            <v>50</v>
          </cell>
          <cell r="JB196">
            <v>1</v>
          </cell>
          <cell r="JC196">
            <v>1</v>
          </cell>
          <cell r="JD196">
            <v>100</v>
          </cell>
          <cell r="JE196">
            <v>2</v>
          </cell>
          <cell r="JF196">
            <v>2</v>
          </cell>
          <cell r="JG196">
            <v>100</v>
          </cell>
          <cell r="JH196">
            <v>0</v>
          </cell>
          <cell r="JI196">
            <v>0</v>
          </cell>
          <cell r="JJ196" t="str">
            <v>-</v>
          </cell>
          <cell r="JK196">
            <v>0</v>
          </cell>
          <cell r="JL196">
            <v>0</v>
          </cell>
          <cell r="JM196" t="str">
            <v>-</v>
          </cell>
          <cell r="JN196">
            <v>0</v>
          </cell>
          <cell r="JO196">
            <v>0</v>
          </cell>
          <cell r="JP196" t="str">
            <v>-</v>
          </cell>
          <cell r="JQ196">
            <v>251</v>
          </cell>
          <cell r="JR196">
            <v>29</v>
          </cell>
          <cell r="JS196">
            <v>89.642857142857153</v>
          </cell>
          <cell r="JT196">
            <v>66</v>
          </cell>
          <cell r="JU196">
            <v>21</v>
          </cell>
          <cell r="JV196">
            <v>75.862068965517238</v>
          </cell>
          <cell r="JW196">
            <v>0</v>
          </cell>
          <cell r="JX196">
            <v>0</v>
          </cell>
          <cell r="JY196" t="str">
            <v>-</v>
          </cell>
          <cell r="JZ196">
            <v>41</v>
          </cell>
          <cell r="KA196">
            <v>2</v>
          </cell>
          <cell r="KB196">
            <v>95.348837209302332</v>
          </cell>
          <cell r="KC196">
            <v>0</v>
          </cell>
          <cell r="KD196">
            <v>0</v>
          </cell>
          <cell r="KE196" t="str">
            <v>-</v>
          </cell>
          <cell r="KF196">
            <v>283</v>
          </cell>
          <cell r="KG196">
            <v>51</v>
          </cell>
          <cell r="KH196">
            <v>84.730538922155688</v>
          </cell>
          <cell r="KI196">
            <v>1</v>
          </cell>
          <cell r="KJ196">
            <v>0</v>
          </cell>
          <cell r="KK196">
            <v>100</v>
          </cell>
          <cell r="KL196">
            <v>17</v>
          </cell>
          <cell r="KM196">
            <v>5</v>
          </cell>
          <cell r="KN196">
            <v>77.272727272727266</v>
          </cell>
        </row>
        <row r="197">
          <cell r="C197" t="str">
            <v>Zala Megyei Rendőr-főkapitányság</v>
          </cell>
          <cell r="D197">
            <v>6</v>
          </cell>
          <cell r="E197">
            <v>1</v>
          </cell>
          <cell r="F197">
            <v>85.7</v>
          </cell>
          <cell r="G197">
            <v>4</v>
          </cell>
          <cell r="H197">
            <v>1</v>
          </cell>
          <cell r="I197">
            <v>80</v>
          </cell>
          <cell r="J197">
            <v>3</v>
          </cell>
          <cell r="K197">
            <v>3</v>
          </cell>
          <cell r="L197">
            <v>100</v>
          </cell>
          <cell r="M197">
            <v>2</v>
          </cell>
          <cell r="N197">
            <v>2</v>
          </cell>
          <cell r="O197">
            <v>100</v>
          </cell>
          <cell r="P197">
            <v>3</v>
          </cell>
          <cell r="Q197">
            <v>3</v>
          </cell>
          <cell r="R197">
            <v>100</v>
          </cell>
          <cell r="S197">
            <v>8</v>
          </cell>
          <cell r="T197">
            <v>8</v>
          </cell>
          <cell r="U197">
            <v>100</v>
          </cell>
          <cell r="V197">
            <v>4</v>
          </cell>
          <cell r="W197">
            <v>4</v>
          </cell>
          <cell r="X197">
            <v>100</v>
          </cell>
          <cell r="Y197">
            <v>4</v>
          </cell>
          <cell r="Z197">
            <v>4</v>
          </cell>
          <cell r="AA197">
            <v>100</v>
          </cell>
          <cell r="AB197">
            <v>2</v>
          </cell>
          <cell r="AC197">
            <v>1</v>
          </cell>
          <cell r="AD197">
            <v>66.7</v>
          </cell>
          <cell r="AE197">
            <v>2</v>
          </cell>
          <cell r="AF197">
            <v>1</v>
          </cell>
          <cell r="AG197">
            <v>66.7</v>
          </cell>
          <cell r="AH197">
            <v>2</v>
          </cell>
          <cell r="AI197">
            <v>2</v>
          </cell>
          <cell r="AJ197">
            <v>100</v>
          </cell>
          <cell r="AK197">
            <v>2</v>
          </cell>
          <cell r="AL197">
            <v>2</v>
          </cell>
          <cell r="AM197">
            <v>100</v>
          </cell>
          <cell r="AN197">
            <v>1</v>
          </cell>
          <cell r="AO197">
            <v>1</v>
          </cell>
          <cell r="AP197">
            <v>100</v>
          </cell>
          <cell r="AQ197">
            <v>4</v>
          </cell>
          <cell r="AR197">
            <v>4</v>
          </cell>
          <cell r="AS197">
            <v>100</v>
          </cell>
          <cell r="AT197">
            <v>2</v>
          </cell>
          <cell r="AU197">
            <v>2</v>
          </cell>
          <cell r="AV197">
            <v>100</v>
          </cell>
          <cell r="AW197">
            <v>2</v>
          </cell>
          <cell r="AX197">
            <v>2</v>
          </cell>
          <cell r="AY197">
            <v>100</v>
          </cell>
          <cell r="AZ197">
            <v>2</v>
          </cell>
          <cell r="BA197">
            <v>2</v>
          </cell>
          <cell r="BB197">
            <v>100</v>
          </cell>
          <cell r="BC197">
            <v>2</v>
          </cell>
          <cell r="BD197">
            <v>2</v>
          </cell>
          <cell r="BE197">
            <v>100</v>
          </cell>
          <cell r="BF197">
            <v>1</v>
          </cell>
          <cell r="BG197">
            <v>1</v>
          </cell>
          <cell r="BH197">
            <v>100</v>
          </cell>
          <cell r="BI197">
            <v>100</v>
          </cell>
          <cell r="BJ197">
            <v>100</v>
          </cell>
          <cell r="BK197" t="str">
            <v>-</v>
          </cell>
          <cell r="BL197">
            <v>2</v>
          </cell>
          <cell r="BM197">
            <v>2</v>
          </cell>
          <cell r="BN197">
            <v>100</v>
          </cell>
          <cell r="BO197">
            <v>4</v>
          </cell>
          <cell r="BP197">
            <v>4</v>
          </cell>
          <cell r="BQ197">
            <v>100</v>
          </cell>
          <cell r="BR197">
            <v>2</v>
          </cell>
          <cell r="BS197">
            <v>2</v>
          </cell>
          <cell r="BT197">
            <v>100</v>
          </cell>
          <cell r="BU197">
            <v>1</v>
          </cell>
          <cell r="BV197">
            <v>1</v>
          </cell>
          <cell r="BW197">
            <v>100</v>
          </cell>
          <cell r="BX197">
            <v>310</v>
          </cell>
          <cell r="BY197">
            <v>70</v>
          </cell>
          <cell r="BZ197">
            <v>81.599999999999994</v>
          </cell>
          <cell r="CA197">
            <v>280</v>
          </cell>
          <cell r="CB197">
            <v>76</v>
          </cell>
          <cell r="CC197">
            <v>78.7</v>
          </cell>
          <cell r="CD197">
            <v>267</v>
          </cell>
          <cell r="CE197">
            <v>93</v>
          </cell>
          <cell r="CF197">
            <v>74.2</v>
          </cell>
          <cell r="CG197">
            <v>337</v>
          </cell>
          <cell r="CH197">
            <v>63</v>
          </cell>
          <cell r="CI197">
            <v>84.3</v>
          </cell>
          <cell r="CJ197">
            <v>251</v>
          </cell>
          <cell r="CK197">
            <v>34</v>
          </cell>
          <cell r="CL197">
            <v>88.1</v>
          </cell>
          <cell r="CM197">
            <v>232</v>
          </cell>
          <cell r="CN197">
            <v>40</v>
          </cell>
          <cell r="CO197">
            <v>85.3</v>
          </cell>
          <cell r="CP197">
            <v>204</v>
          </cell>
          <cell r="CQ197">
            <v>25</v>
          </cell>
          <cell r="CR197">
            <v>89.1</v>
          </cell>
          <cell r="CS197">
            <v>183</v>
          </cell>
          <cell r="CT197">
            <v>22</v>
          </cell>
          <cell r="CU197">
            <v>89.3</v>
          </cell>
          <cell r="CV197">
            <v>121</v>
          </cell>
          <cell r="CW197">
            <v>65</v>
          </cell>
          <cell r="CX197">
            <v>65.099999999999994</v>
          </cell>
          <cell r="CY197">
            <v>131</v>
          </cell>
          <cell r="CZ197">
            <v>58</v>
          </cell>
          <cell r="DA197">
            <v>69.3</v>
          </cell>
          <cell r="DB197">
            <v>100</v>
          </cell>
          <cell r="DC197">
            <v>73</v>
          </cell>
          <cell r="DD197">
            <v>57.8</v>
          </cell>
          <cell r="DE197">
            <v>115</v>
          </cell>
          <cell r="DF197">
            <v>48</v>
          </cell>
          <cell r="DG197">
            <v>70.599999999999994</v>
          </cell>
          <cell r="DH197">
            <v>92</v>
          </cell>
          <cell r="DI197">
            <v>22</v>
          </cell>
          <cell r="DJ197">
            <v>80.7</v>
          </cell>
          <cell r="DK197">
            <v>94</v>
          </cell>
          <cell r="DL197">
            <v>28</v>
          </cell>
          <cell r="DM197">
            <v>77</v>
          </cell>
          <cell r="DN197">
            <v>88</v>
          </cell>
          <cell r="DO197">
            <v>21</v>
          </cell>
          <cell r="DP197">
            <v>80.7</v>
          </cell>
          <cell r="DQ197">
            <v>71</v>
          </cell>
          <cell r="DR197">
            <v>18</v>
          </cell>
          <cell r="DS197">
            <v>79.8</v>
          </cell>
          <cell r="DT197">
            <v>79.79998779296875</v>
          </cell>
          <cell r="DU197">
            <v>1</v>
          </cell>
          <cell r="DV197">
            <v>0</v>
          </cell>
          <cell r="DW197">
            <v>0</v>
          </cell>
          <cell r="DX197">
            <v>0</v>
          </cell>
          <cell r="DY197" t="str">
            <v>-</v>
          </cell>
          <cell r="DZ197">
            <v>0</v>
          </cell>
          <cell r="EA197">
            <v>0</v>
          </cell>
          <cell r="EB197" t="str">
            <v>-</v>
          </cell>
          <cell r="EC197">
            <v>0</v>
          </cell>
          <cell r="ED197">
            <v>0</v>
          </cell>
          <cell r="EE197" t="str">
            <v>-</v>
          </cell>
          <cell r="EF197">
            <v>1</v>
          </cell>
          <cell r="EG197">
            <v>1</v>
          </cell>
          <cell r="EH197">
            <v>100</v>
          </cell>
          <cell r="EI197">
            <v>100</v>
          </cell>
          <cell r="EJ197">
            <v>100</v>
          </cell>
          <cell r="EK197" t="str">
            <v>-</v>
          </cell>
          <cell r="EL197">
            <v>100</v>
          </cell>
          <cell r="EM197">
            <v>100</v>
          </cell>
          <cell r="EN197" t="str">
            <v>-</v>
          </cell>
          <cell r="EO197">
            <v>100</v>
          </cell>
          <cell r="EP197">
            <v>100</v>
          </cell>
          <cell r="EQ197" t="str">
            <v>-</v>
          </cell>
          <cell r="ER197">
            <v>34</v>
          </cell>
          <cell r="ES197">
            <v>11</v>
          </cell>
          <cell r="ET197">
            <v>75.599999999999994</v>
          </cell>
          <cell r="EU197">
            <v>23</v>
          </cell>
          <cell r="EV197">
            <v>12</v>
          </cell>
          <cell r="EW197">
            <v>65.7</v>
          </cell>
          <cell r="EX197">
            <v>23</v>
          </cell>
          <cell r="EY197">
            <v>13</v>
          </cell>
          <cell r="EZ197">
            <v>63.9</v>
          </cell>
          <cell r="FA197">
            <v>36</v>
          </cell>
          <cell r="FB197">
            <v>10</v>
          </cell>
          <cell r="FC197">
            <v>78.3</v>
          </cell>
          <cell r="FD197">
            <v>26</v>
          </cell>
          <cell r="FE197">
            <v>7</v>
          </cell>
          <cell r="FF197">
            <v>78.8</v>
          </cell>
          <cell r="FG197">
            <v>14</v>
          </cell>
          <cell r="FH197">
            <v>3</v>
          </cell>
          <cell r="FI197">
            <v>82.4</v>
          </cell>
          <cell r="FJ197">
            <v>18</v>
          </cell>
          <cell r="FK197">
            <v>1</v>
          </cell>
          <cell r="FL197">
            <v>94.7</v>
          </cell>
          <cell r="FM197">
            <v>15</v>
          </cell>
          <cell r="FN197">
            <v>15</v>
          </cell>
          <cell r="FO197">
            <v>100</v>
          </cell>
          <cell r="FP197">
            <v>4</v>
          </cell>
          <cell r="FQ197">
            <v>3</v>
          </cell>
          <cell r="FR197">
            <v>57.1</v>
          </cell>
          <cell r="FS197">
            <v>3</v>
          </cell>
          <cell r="FT197">
            <v>1</v>
          </cell>
          <cell r="FU197">
            <v>75</v>
          </cell>
          <cell r="FV197">
            <v>2</v>
          </cell>
          <cell r="FW197">
            <v>2</v>
          </cell>
          <cell r="FX197">
            <v>100</v>
          </cell>
          <cell r="FY197">
            <v>19</v>
          </cell>
          <cell r="FZ197">
            <v>19</v>
          </cell>
          <cell r="GA197">
            <v>100</v>
          </cell>
          <cell r="GB197">
            <v>29</v>
          </cell>
          <cell r="GC197">
            <v>1</v>
          </cell>
          <cell r="GD197">
            <v>96.7</v>
          </cell>
          <cell r="GE197">
            <v>66</v>
          </cell>
          <cell r="GF197">
            <v>66</v>
          </cell>
          <cell r="GG197">
            <v>100</v>
          </cell>
          <cell r="GH197">
            <v>12</v>
          </cell>
          <cell r="GI197">
            <v>2</v>
          </cell>
          <cell r="GJ197">
            <v>85.7</v>
          </cell>
          <cell r="GK197">
            <v>8</v>
          </cell>
          <cell r="GL197">
            <v>8</v>
          </cell>
          <cell r="GM197">
            <v>100</v>
          </cell>
          <cell r="GN197">
            <v>278</v>
          </cell>
          <cell r="GO197">
            <v>50</v>
          </cell>
          <cell r="GP197">
            <v>84.8</v>
          </cell>
          <cell r="GQ197">
            <v>268</v>
          </cell>
          <cell r="GR197">
            <v>66</v>
          </cell>
          <cell r="GS197">
            <v>80.2</v>
          </cell>
          <cell r="GT197">
            <v>288</v>
          </cell>
          <cell r="GU197">
            <v>70</v>
          </cell>
          <cell r="GV197">
            <v>80.400000000000006</v>
          </cell>
          <cell r="GW197">
            <v>348</v>
          </cell>
          <cell r="GX197">
            <v>91</v>
          </cell>
          <cell r="GY197">
            <v>79.3</v>
          </cell>
          <cell r="GZ197">
            <v>255</v>
          </cell>
          <cell r="HA197">
            <v>56</v>
          </cell>
          <cell r="HB197">
            <v>82</v>
          </cell>
          <cell r="HC197">
            <v>198</v>
          </cell>
          <cell r="HD197">
            <v>54</v>
          </cell>
          <cell r="HE197">
            <v>78.599999999999994</v>
          </cell>
          <cell r="HF197">
            <v>196</v>
          </cell>
          <cell r="HG197">
            <v>27</v>
          </cell>
          <cell r="HH197">
            <v>87.9</v>
          </cell>
          <cell r="HI197">
            <v>187</v>
          </cell>
          <cell r="HJ197">
            <v>28</v>
          </cell>
          <cell r="HK197">
            <v>87</v>
          </cell>
          <cell r="HL197">
            <v>11</v>
          </cell>
          <cell r="HM197">
            <v>11</v>
          </cell>
          <cell r="HN197">
            <v>50</v>
          </cell>
          <cell r="HO197">
            <v>9</v>
          </cell>
          <cell r="HP197">
            <v>9</v>
          </cell>
          <cell r="HQ197">
            <v>50</v>
          </cell>
          <cell r="HR197">
            <v>7</v>
          </cell>
          <cell r="HS197">
            <v>13</v>
          </cell>
          <cell r="HT197">
            <v>35</v>
          </cell>
          <cell r="HU197">
            <v>11</v>
          </cell>
          <cell r="HV197">
            <v>10</v>
          </cell>
          <cell r="HW197">
            <v>52.4</v>
          </cell>
          <cell r="HX197">
            <v>5</v>
          </cell>
          <cell r="HY197">
            <v>4</v>
          </cell>
          <cell r="HZ197">
            <v>55.6</v>
          </cell>
          <cell r="IA197">
            <v>3</v>
          </cell>
          <cell r="IB197">
            <v>1</v>
          </cell>
          <cell r="IC197">
            <v>75</v>
          </cell>
          <cell r="ID197">
            <v>6</v>
          </cell>
          <cell r="IE197">
            <v>2</v>
          </cell>
          <cell r="IF197">
            <v>75</v>
          </cell>
          <cell r="IG197">
            <v>2</v>
          </cell>
          <cell r="IH197">
            <v>1</v>
          </cell>
          <cell r="II197">
            <v>66.7</v>
          </cell>
          <cell r="IJ197">
            <v>14</v>
          </cell>
          <cell r="IK197">
            <v>10</v>
          </cell>
          <cell r="IL197">
            <v>58.3</v>
          </cell>
          <cell r="IM197">
            <v>13</v>
          </cell>
          <cell r="IN197">
            <v>7</v>
          </cell>
          <cell r="IO197">
            <v>65</v>
          </cell>
          <cell r="IP197">
            <v>13</v>
          </cell>
          <cell r="IQ197">
            <v>11</v>
          </cell>
          <cell r="IR197">
            <v>54.2</v>
          </cell>
          <cell r="IS197">
            <v>14</v>
          </cell>
          <cell r="IT197">
            <v>16</v>
          </cell>
          <cell r="IU197">
            <v>46.7</v>
          </cell>
          <cell r="IV197">
            <v>21</v>
          </cell>
          <cell r="IW197">
            <v>4</v>
          </cell>
          <cell r="IX197">
            <v>84</v>
          </cell>
          <cell r="IY197">
            <v>14</v>
          </cell>
          <cell r="IZ197">
            <v>3</v>
          </cell>
          <cell r="JA197">
            <v>82.4</v>
          </cell>
          <cell r="JB197">
            <v>16</v>
          </cell>
          <cell r="JC197">
            <v>2</v>
          </cell>
          <cell r="JD197">
            <v>88.9</v>
          </cell>
          <cell r="JE197">
            <v>9</v>
          </cell>
          <cell r="JF197">
            <v>9</v>
          </cell>
          <cell r="JG197">
            <v>100</v>
          </cell>
          <cell r="JH197">
            <v>21</v>
          </cell>
          <cell r="JI197">
            <v>0</v>
          </cell>
          <cell r="JJ197">
            <v>100</v>
          </cell>
          <cell r="JK197">
            <v>11</v>
          </cell>
          <cell r="JL197">
            <v>0</v>
          </cell>
          <cell r="JM197">
            <v>100</v>
          </cell>
          <cell r="JN197">
            <v>9</v>
          </cell>
          <cell r="JO197">
            <v>0</v>
          </cell>
          <cell r="JP197">
            <v>100</v>
          </cell>
          <cell r="JQ197">
            <v>1207</v>
          </cell>
          <cell r="JR197">
            <v>184</v>
          </cell>
          <cell r="JS197">
            <v>86.772106398274616</v>
          </cell>
          <cell r="JT197">
            <v>460</v>
          </cell>
          <cell r="JU197">
            <v>137</v>
          </cell>
          <cell r="JV197">
            <v>77.051926298157454</v>
          </cell>
          <cell r="JW197">
            <v>1</v>
          </cell>
          <cell r="JX197">
            <v>0</v>
          </cell>
          <cell r="JY197">
            <v>100</v>
          </cell>
          <cell r="JZ197">
            <v>109</v>
          </cell>
          <cell r="KA197">
            <v>21</v>
          </cell>
          <cell r="KB197">
            <v>83.846153846153854</v>
          </cell>
          <cell r="KC197">
            <v>134</v>
          </cell>
          <cell r="KD197">
            <v>3</v>
          </cell>
          <cell r="KE197">
            <v>97.810218978102199</v>
          </cell>
          <cell r="KF197">
            <v>1184</v>
          </cell>
          <cell r="KG197">
            <v>256</v>
          </cell>
          <cell r="KH197">
            <v>82.222222222222214</v>
          </cell>
          <cell r="KI197">
            <v>27</v>
          </cell>
          <cell r="KJ197">
            <v>18</v>
          </cell>
          <cell r="KK197">
            <v>60</v>
          </cell>
          <cell r="KL197">
            <v>74</v>
          </cell>
          <cell r="KM197">
            <v>25</v>
          </cell>
          <cell r="KN197">
            <v>74.747474747474755</v>
          </cell>
        </row>
        <row r="198">
          <cell r="C198" t="str">
            <v>KR NNI</v>
          </cell>
          <cell r="D198">
            <v>10</v>
          </cell>
          <cell r="E198">
            <v>3</v>
          </cell>
          <cell r="F198">
            <v>76.900000000000006</v>
          </cell>
          <cell r="G198">
            <v>2</v>
          </cell>
          <cell r="H198">
            <v>2</v>
          </cell>
          <cell r="I198">
            <v>50</v>
          </cell>
          <cell r="J198">
            <v>2</v>
          </cell>
          <cell r="K198">
            <v>1</v>
          </cell>
          <cell r="L198">
            <v>66.7</v>
          </cell>
          <cell r="M198">
            <v>5</v>
          </cell>
          <cell r="N198">
            <v>6</v>
          </cell>
          <cell r="O198">
            <v>45.5</v>
          </cell>
          <cell r="P198">
            <v>2</v>
          </cell>
          <cell r="Q198">
            <v>5</v>
          </cell>
          <cell r="R198">
            <v>28.6</v>
          </cell>
          <cell r="S198">
            <v>2</v>
          </cell>
          <cell r="T198">
            <v>2</v>
          </cell>
          <cell r="U198">
            <v>100</v>
          </cell>
          <cell r="V198">
            <v>1</v>
          </cell>
          <cell r="W198">
            <v>1</v>
          </cell>
          <cell r="X198">
            <v>50</v>
          </cell>
          <cell r="Y198">
            <v>2</v>
          </cell>
          <cell r="Z198">
            <v>4</v>
          </cell>
          <cell r="AA198">
            <v>33.299999999999997</v>
          </cell>
          <cell r="AB198">
            <v>5</v>
          </cell>
          <cell r="AC198">
            <v>1</v>
          </cell>
          <cell r="AD198">
            <v>83.3</v>
          </cell>
          <cell r="AE198">
            <v>2</v>
          </cell>
          <cell r="AF198">
            <v>2</v>
          </cell>
          <cell r="AG198">
            <v>50</v>
          </cell>
          <cell r="AH198">
            <v>1</v>
          </cell>
          <cell r="AI198">
            <v>1</v>
          </cell>
          <cell r="AJ198">
            <v>50</v>
          </cell>
          <cell r="AK198">
            <v>4</v>
          </cell>
          <cell r="AL198">
            <v>3</v>
          </cell>
          <cell r="AM198">
            <v>57.1</v>
          </cell>
          <cell r="AN198">
            <v>1</v>
          </cell>
          <cell r="AO198">
            <v>4</v>
          </cell>
          <cell r="AP198">
            <v>20</v>
          </cell>
          <cell r="AQ198">
            <v>1</v>
          </cell>
          <cell r="AR198">
            <v>1</v>
          </cell>
          <cell r="AS198">
            <v>100</v>
          </cell>
          <cell r="AT198">
            <v>1</v>
          </cell>
          <cell r="AU198">
            <v>1</v>
          </cell>
          <cell r="AV198">
            <v>50</v>
          </cell>
          <cell r="AW198">
            <v>2</v>
          </cell>
          <cell r="AX198">
            <v>4</v>
          </cell>
          <cell r="AY198">
            <v>33.299999999999997</v>
          </cell>
          <cell r="AZ198">
            <v>5</v>
          </cell>
          <cell r="BA198">
            <v>5</v>
          </cell>
          <cell r="BB198">
            <v>100</v>
          </cell>
          <cell r="BC198">
            <v>100</v>
          </cell>
          <cell r="BD198">
            <v>100</v>
          </cell>
          <cell r="BE198" t="str">
            <v>-</v>
          </cell>
          <cell r="BF198">
            <v>1</v>
          </cell>
          <cell r="BG198">
            <v>1</v>
          </cell>
          <cell r="BH198">
            <v>100</v>
          </cell>
          <cell r="BI198">
            <v>100</v>
          </cell>
          <cell r="BJ198">
            <v>1</v>
          </cell>
          <cell r="BK198">
            <v>0</v>
          </cell>
          <cell r="BL198">
            <v>0</v>
          </cell>
          <cell r="BM198">
            <v>0</v>
          </cell>
          <cell r="BN198" t="str">
            <v>-</v>
          </cell>
          <cell r="BO198">
            <v>1</v>
          </cell>
          <cell r="BP198">
            <v>1</v>
          </cell>
          <cell r="BQ198">
            <v>100</v>
          </cell>
          <cell r="BR198">
            <v>100</v>
          </cell>
          <cell r="BS198">
            <v>100</v>
          </cell>
          <cell r="BT198" t="str">
            <v>-</v>
          </cell>
          <cell r="BU198">
            <v>100</v>
          </cell>
          <cell r="BV198">
            <v>100</v>
          </cell>
          <cell r="BW198" t="str">
            <v>-</v>
          </cell>
          <cell r="BX198">
            <v>3</v>
          </cell>
          <cell r="BY198">
            <v>1</v>
          </cell>
          <cell r="BZ198">
            <v>75</v>
          </cell>
          <cell r="CA198">
            <v>1</v>
          </cell>
          <cell r="CB198">
            <v>1</v>
          </cell>
          <cell r="CC198">
            <v>100</v>
          </cell>
          <cell r="CD198">
            <v>1</v>
          </cell>
          <cell r="CE198">
            <v>1</v>
          </cell>
          <cell r="CF198">
            <v>100</v>
          </cell>
          <cell r="CG198">
            <v>7</v>
          </cell>
          <cell r="CH198">
            <v>2</v>
          </cell>
          <cell r="CI198">
            <v>77.8</v>
          </cell>
          <cell r="CJ198">
            <v>6</v>
          </cell>
          <cell r="CK198">
            <v>1</v>
          </cell>
          <cell r="CL198">
            <v>85.7</v>
          </cell>
          <cell r="CM198">
            <v>85.699951171875</v>
          </cell>
          <cell r="CN198">
            <v>2</v>
          </cell>
          <cell r="CO198">
            <v>0</v>
          </cell>
          <cell r="CP198">
            <v>9</v>
          </cell>
          <cell r="CQ198">
            <v>1</v>
          </cell>
          <cell r="CR198">
            <v>90</v>
          </cell>
          <cell r="CS198">
            <v>68</v>
          </cell>
          <cell r="CT198">
            <v>68</v>
          </cell>
          <cell r="CU198">
            <v>100</v>
          </cell>
          <cell r="CV198">
            <v>2</v>
          </cell>
          <cell r="CW198">
            <v>1</v>
          </cell>
          <cell r="CX198">
            <v>66.7</v>
          </cell>
          <cell r="CY198">
            <v>1</v>
          </cell>
          <cell r="CZ198">
            <v>1</v>
          </cell>
          <cell r="DA198">
            <v>100</v>
          </cell>
          <cell r="DB198">
            <v>100</v>
          </cell>
          <cell r="DC198">
            <v>100</v>
          </cell>
          <cell r="DD198" t="str">
            <v>-</v>
          </cell>
          <cell r="DE198">
            <v>7</v>
          </cell>
          <cell r="DF198">
            <v>2</v>
          </cell>
          <cell r="DG198">
            <v>77.8</v>
          </cell>
          <cell r="DH198">
            <v>2</v>
          </cell>
          <cell r="DI198">
            <v>1</v>
          </cell>
          <cell r="DJ198">
            <v>66.7</v>
          </cell>
          <cell r="DK198">
            <v>66.699951171875</v>
          </cell>
          <cell r="DL198">
            <v>1</v>
          </cell>
          <cell r="DM198">
            <v>0</v>
          </cell>
          <cell r="DN198">
            <v>9</v>
          </cell>
          <cell r="DO198">
            <v>1</v>
          </cell>
          <cell r="DP198">
            <v>90</v>
          </cell>
          <cell r="DQ198">
            <v>67</v>
          </cell>
          <cell r="DR198">
            <v>67</v>
          </cell>
          <cell r="DS198">
            <v>100</v>
          </cell>
          <cell r="DT198">
            <v>100</v>
          </cell>
          <cell r="DU198">
            <v>100</v>
          </cell>
          <cell r="DV198" t="str">
            <v>-</v>
          </cell>
          <cell r="DW198">
            <v>100</v>
          </cell>
          <cell r="DX198">
            <v>100</v>
          </cell>
          <cell r="DY198" t="str">
            <v>-</v>
          </cell>
          <cell r="DZ198">
            <v>100</v>
          </cell>
          <cell r="EA198">
            <v>100</v>
          </cell>
          <cell r="EB198" t="str">
            <v>-</v>
          </cell>
          <cell r="EC198">
            <v>100</v>
          </cell>
          <cell r="ED198">
            <v>100</v>
          </cell>
          <cell r="EE198" t="str">
            <v>-</v>
          </cell>
          <cell r="EF198">
            <v>100</v>
          </cell>
          <cell r="EG198">
            <v>100</v>
          </cell>
          <cell r="EH198" t="str">
            <v>-</v>
          </cell>
          <cell r="EI198">
            <v>100</v>
          </cell>
          <cell r="EJ198">
            <v>100</v>
          </cell>
          <cell r="EK198" t="str">
            <v>-</v>
          </cell>
          <cell r="EL198">
            <v>100</v>
          </cell>
          <cell r="EM198">
            <v>100</v>
          </cell>
          <cell r="EN198" t="str">
            <v>-</v>
          </cell>
          <cell r="EO198">
            <v>100</v>
          </cell>
          <cell r="EP198">
            <v>100</v>
          </cell>
          <cell r="EQ198" t="str">
            <v>-</v>
          </cell>
          <cell r="ER198">
            <v>100</v>
          </cell>
          <cell r="ES198">
            <v>100</v>
          </cell>
          <cell r="ET198" t="str">
            <v>-</v>
          </cell>
          <cell r="EU198">
            <v>100</v>
          </cell>
          <cell r="EV198">
            <v>100</v>
          </cell>
          <cell r="EW198" t="str">
            <v>-</v>
          </cell>
          <cell r="EX198">
            <v>2</v>
          </cell>
          <cell r="EY198">
            <v>2</v>
          </cell>
          <cell r="EZ198">
            <v>100</v>
          </cell>
          <cell r="FA198">
            <v>100</v>
          </cell>
          <cell r="FB198">
            <v>100</v>
          </cell>
          <cell r="FC198" t="str">
            <v>-</v>
          </cell>
          <cell r="FD198">
            <v>1</v>
          </cell>
          <cell r="FE198">
            <v>1</v>
          </cell>
          <cell r="FF198">
            <v>100</v>
          </cell>
          <cell r="FG198">
            <v>100</v>
          </cell>
          <cell r="FH198">
            <v>100</v>
          </cell>
          <cell r="FI198" t="str">
            <v>-</v>
          </cell>
          <cell r="FJ198">
            <v>1</v>
          </cell>
          <cell r="FK198">
            <v>1</v>
          </cell>
          <cell r="FL198">
            <v>100</v>
          </cell>
          <cell r="FM198">
            <v>100</v>
          </cell>
          <cell r="FN198">
            <v>100</v>
          </cell>
          <cell r="FO198" t="str">
            <v>-</v>
          </cell>
          <cell r="FP198">
            <v>12</v>
          </cell>
          <cell r="FQ198">
            <v>2</v>
          </cell>
          <cell r="FR198">
            <v>85.7</v>
          </cell>
          <cell r="FS198">
            <v>26</v>
          </cell>
          <cell r="FT198">
            <v>3</v>
          </cell>
          <cell r="FU198">
            <v>89.7</v>
          </cell>
          <cell r="FV198">
            <v>31</v>
          </cell>
          <cell r="FW198">
            <v>31</v>
          </cell>
          <cell r="FX198">
            <v>100</v>
          </cell>
          <cell r="FY198">
            <v>9</v>
          </cell>
          <cell r="FZ198">
            <v>2</v>
          </cell>
          <cell r="GA198">
            <v>81.8</v>
          </cell>
          <cell r="GB198">
            <v>31</v>
          </cell>
          <cell r="GC198">
            <v>3</v>
          </cell>
          <cell r="GD198">
            <v>91.2</v>
          </cell>
          <cell r="GE198">
            <v>23</v>
          </cell>
          <cell r="GF198">
            <v>23</v>
          </cell>
          <cell r="GG198">
            <v>100</v>
          </cell>
          <cell r="GH198">
            <v>30</v>
          </cell>
          <cell r="GI198">
            <v>1</v>
          </cell>
          <cell r="GJ198">
            <v>96.8</v>
          </cell>
          <cell r="GK198">
            <v>36</v>
          </cell>
          <cell r="GL198">
            <v>5</v>
          </cell>
          <cell r="GM198">
            <v>87.8</v>
          </cell>
          <cell r="GN198">
            <v>87.79998779296875</v>
          </cell>
          <cell r="GO198">
            <v>87.79998779296875</v>
          </cell>
          <cell r="GP198" t="str">
            <v>-</v>
          </cell>
          <cell r="GQ198">
            <v>87.79998779296875</v>
          </cell>
          <cell r="GR198">
            <v>87.79998779296875</v>
          </cell>
          <cell r="GS198" t="str">
            <v>-</v>
          </cell>
          <cell r="GT198">
            <v>87.79998779296875</v>
          </cell>
          <cell r="GU198">
            <v>87.79998779296875</v>
          </cell>
          <cell r="GV198" t="str">
            <v>-</v>
          </cell>
          <cell r="GW198">
            <v>1</v>
          </cell>
          <cell r="GX198">
            <v>2</v>
          </cell>
          <cell r="GY198">
            <v>33.299999999999997</v>
          </cell>
          <cell r="GZ198">
            <v>1</v>
          </cell>
          <cell r="HA198">
            <v>1</v>
          </cell>
          <cell r="HB198">
            <v>100</v>
          </cell>
          <cell r="HC198">
            <v>100</v>
          </cell>
          <cell r="HD198">
            <v>100</v>
          </cell>
          <cell r="HE198" t="str">
            <v>-</v>
          </cell>
          <cell r="HF198">
            <v>100</v>
          </cell>
          <cell r="HG198">
            <v>100</v>
          </cell>
          <cell r="HH198" t="str">
            <v>-</v>
          </cell>
          <cell r="HI198">
            <v>100</v>
          </cell>
          <cell r="HJ198">
            <v>1</v>
          </cell>
          <cell r="HK198">
            <v>0</v>
          </cell>
          <cell r="HL198">
            <v>1</v>
          </cell>
          <cell r="HM198">
            <v>1</v>
          </cell>
          <cell r="HN198">
            <v>100</v>
          </cell>
          <cell r="HO198">
            <v>3</v>
          </cell>
          <cell r="HP198">
            <v>1</v>
          </cell>
          <cell r="HQ198">
            <v>75</v>
          </cell>
          <cell r="HR198">
            <v>1</v>
          </cell>
          <cell r="HS198">
            <v>1</v>
          </cell>
          <cell r="HT198">
            <v>100</v>
          </cell>
          <cell r="HU198">
            <v>100</v>
          </cell>
          <cell r="HV198">
            <v>100</v>
          </cell>
          <cell r="HW198" t="str">
            <v>-</v>
          </cell>
          <cell r="HX198">
            <v>1</v>
          </cell>
          <cell r="HY198">
            <v>1</v>
          </cell>
          <cell r="HZ198">
            <v>50</v>
          </cell>
          <cell r="IA198">
            <v>1</v>
          </cell>
          <cell r="IB198">
            <v>1</v>
          </cell>
          <cell r="IC198">
            <v>100</v>
          </cell>
          <cell r="ID198">
            <v>100</v>
          </cell>
          <cell r="IE198">
            <v>100</v>
          </cell>
          <cell r="IF198" t="str">
            <v>-</v>
          </cell>
          <cell r="IG198">
            <v>100</v>
          </cell>
          <cell r="IH198">
            <v>100</v>
          </cell>
          <cell r="II198" t="str">
            <v>-</v>
          </cell>
          <cell r="IJ198">
            <v>12</v>
          </cell>
          <cell r="IK198">
            <v>12</v>
          </cell>
          <cell r="IL198">
            <v>100</v>
          </cell>
          <cell r="IM198">
            <v>9</v>
          </cell>
          <cell r="IN198">
            <v>4</v>
          </cell>
          <cell r="IO198">
            <v>69.2</v>
          </cell>
          <cell r="IP198">
            <v>5</v>
          </cell>
          <cell r="IQ198">
            <v>6</v>
          </cell>
          <cell r="IR198">
            <v>45.5</v>
          </cell>
          <cell r="IS198">
            <v>16</v>
          </cell>
          <cell r="IT198">
            <v>16</v>
          </cell>
          <cell r="IU198">
            <v>100</v>
          </cell>
          <cell r="IV198">
            <v>19</v>
          </cell>
          <cell r="IW198">
            <v>5</v>
          </cell>
          <cell r="IX198">
            <v>79.2</v>
          </cell>
          <cell r="IY198">
            <v>11</v>
          </cell>
          <cell r="IZ198">
            <v>3</v>
          </cell>
          <cell r="JA198">
            <v>78.599999999999994</v>
          </cell>
          <cell r="JB198">
            <v>24</v>
          </cell>
          <cell r="JC198">
            <v>5</v>
          </cell>
          <cell r="JD198">
            <v>82.8</v>
          </cell>
          <cell r="JE198">
            <v>19</v>
          </cell>
          <cell r="JF198">
            <v>1</v>
          </cell>
          <cell r="JG198">
            <v>95</v>
          </cell>
          <cell r="JH198">
            <v>12</v>
          </cell>
          <cell r="JI198">
            <v>16</v>
          </cell>
          <cell r="JJ198">
            <v>42.857142857142854</v>
          </cell>
          <cell r="JK198">
            <v>9</v>
          </cell>
          <cell r="JL198">
            <v>12</v>
          </cell>
          <cell r="JM198">
            <v>42.857142857142854</v>
          </cell>
          <cell r="JN198">
            <v>1</v>
          </cell>
          <cell r="JO198">
            <v>1</v>
          </cell>
          <cell r="JP198">
            <v>50</v>
          </cell>
          <cell r="JQ198">
            <v>90</v>
          </cell>
          <cell r="JR198">
            <v>6</v>
          </cell>
          <cell r="JS198">
            <v>93.75</v>
          </cell>
          <cell r="JT198">
            <v>85</v>
          </cell>
          <cell r="JU198">
            <v>5</v>
          </cell>
          <cell r="JV198">
            <v>94.444444444444443</v>
          </cell>
          <cell r="JW198">
            <v>0</v>
          </cell>
          <cell r="JX198">
            <v>0</v>
          </cell>
          <cell r="JY198" t="str">
            <v>-</v>
          </cell>
          <cell r="JZ198">
            <v>2</v>
          </cell>
          <cell r="KA198">
            <v>0</v>
          </cell>
          <cell r="KB198">
            <v>100</v>
          </cell>
          <cell r="KC198">
            <v>129</v>
          </cell>
          <cell r="KD198">
            <v>11</v>
          </cell>
          <cell r="KE198">
            <v>92.142857142857139</v>
          </cell>
          <cell r="KF198">
            <v>2</v>
          </cell>
          <cell r="KG198">
            <v>3</v>
          </cell>
          <cell r="KH198">
            <v>40</v>
          </cell>
          <cell r="KI198">
            <v>2</v>
          </cell>
          <cell r="KJ198">
            <v>1</v>
          </cell>
          <cell r="KK198">
            <v>66.666666666666657</v>
          </cell>
          <cell r="KL198">
            <v>89</v>
          </cell>
          <cell r="KM198">
            <v>14</v>
          </cell>
          <cell r="KN198">
            <v>86.40776699029125</v>
          </cell>
        </row>
        <row r="199">
          <cell r="C199" t="str">
            <v>ORFK</v>
          </cell>
          <cell r="D199">
            <v>86.40771484375</v>
          </cell>
          <cell r="E199">
            <v>86.40771484375</v>
          </cell>
          <cell r="F199" t="str">
            <v>-</v>
          </cell>
          <cell r="G199">
            <v>86.40771484375</v>
          </cell>
          <cell r="H199">
            <v>86.40771484375</v>
          </cell>
          <cell r="I199" t="str">
            <v>-</v>
          </cell>
          <cell r="J199">
            <v>86.40771484375</v>
          </cell>
          <cell r="K199">
            <v>86.40771484375</v>
          </cell>
          <cell r="L199" t="str">
            <v>-</v>
          </cell>
          <cell r="M199">
            <v>86.40771484375</v>
          </cell>
          <cell r="N199">
            <v>86.40771484375</v>
          </cell>
          <cell r="O199" t="str">
            <v>-</v>
          </cell>
          <cell r="P199">
            <v>86.40771484375</v>
          </cell>
          <cell r="Q199">
            <v>86.40771484375</v>
          </cell>
          <cell r="R199" t="str">
            <v>-</v>
          </cell>
          <cell r="S199">
            <v>86.40771484375</v>
          </cell>
          <cell r="T199">
            <v>86.40771484375</v>
          </cell>
          <cell r="U199" t="str">
            <v>-</v>
          </cell>
          <cell r="V199">
            <v>86.40771484375</v>
          </cell>
          <cell r="W199">
            <v>86.40771484375</v>
          </cell>
          <cell r="X199" t="str">
            <v>-</v>
          </cell>
          <cell r="Y199">
            <v>86.40771484375</v>
          </cell>
          <cell r="Z199">
            <v>86.40771484375</v>
          </cell>
          <cell r="AA199" t="str">
            <v>-</v>
          </cell>
          <cell r="AB199">
            <v>86.40771484375</v>
          </cell>
          <cell r="AC199">
            <v>86.40771484375</v>
          </cell>
          <cell r="AD199" t="str">
            <v>-</v>
          </cell>
          <cell r="AE199">
            <v>86.40771484375</v>
          </cell>
          <cell r="AF199">
            <v>86.40771484375</v>
          </cell>
          <cell r="AG199" t="str">
            <v>-</v>
          </cell>
          <cell r="AH199">
            <v>86.40771484375</v>
          </cell>
          <cell r="AI199">
            <v>86.40771484375</v>
          </cell>
          <cell r="AJ199" t="str">
            <v>-</v>
          </cell>
          <cell r="AK199">
            <v>86.40771484375</v>
          </cell>
          <cell r="AL199">
            <v>86.40771484375</v>
          </cell>
          <cell r="AM199" t="str">
            <v>-</v>
          </cell>
          <cell r="AN199">
            <v>86.40771484375</v>
          </cell>
          <cell r="AO199">
            <v>86.40771484375</v>
          </cell>
          <cell r="AP199" t="str">
            <v>-</v>
          </cell>
          <cell r="AQ199">
            <v>86.40771484375</v>
          </cell>
          <cell r="AR199">
            <v>86.40771484375</v>
          </cell>
          <cell r="AS199" t="str">
            <v>-</v>
          </cell>
          <cell r="AT199">
            <v>86.40771484375</v>
          </cell>
          <cell r="AU199">
            <v>86.40771484375</v>
          </cell>
          <cell r="AV199" t="str">
            <v>-</v>
          </cell>
          <cell r="AW199">
            <v>86.40771484375</v>
          </cell>
          <cell r="AX199">
            <v>86.40771484375</v>
          </cell>
          <cell r="AY199" t="str">
            <v>-</v>
          </cell>
          <cell r="AZ199">
            <v>86.40771484375</v>
          </cell>
          <cell r="BA199">
            <v>86.40771484375</v>
          </cell>
          <cell r="BB199" t="str">
            <v>-</v>
          </cell>
          <cell r="BC199">
            <v>86.40771484375</v>
          </cell>
          <cell r="BD199">
            <v>86.40771484375</v>
          </cell>
          <cell r="BE199" t="str">
            <v>-</v>
          </cell>
          <cell r="BF199">
            <v>86.40771484375</v>
          </cell>
          <cell r="BG199">
            <v>86.40771484375</v>
          </cell>
          <cell r="BH199" t="str">
            <v>-</v>
          </cell>
          <cell r="BI199">
            <v>86.40771484375</v>
          </cell>
          <cell r="BJ199">
            <v>86.40771484375</v>
          </cell>
          <cell r="BK199" t="str">
            <v>-</v>
          </cell>
          <cell r="BL199">
            <v>86.40771484375</v>
          </cell>
          <cell r="BM199">
            <v>86.40771484375</v>
          </cell>
          <cell r="BN199" t="str">
            <v>-</v>
          </cell>
          <cell r="BO199">
            <v>86.40771484375</v>
          </cell>
          <cell r="BP199">
            <v>86.40771484375</v>
          </cell>
          <cell r="BQ199" t="str">
            <v>-</v>
          </cell>
          <cell r="BR199">
            <v>86.40771484375</v>
          </cell>
          <cell r="BS199">
            <v>86.40771484375</v>
          </cell>
          <cell r="BT199" t="str">
            <v>-</v>
          </cell>
          <cell r="BU199">
            <v>86.40771484375</v>
          </cell>
          <cell r="BV199">
            <v>86.40771484375</v>
          </cell>
          <cell r="BW199" t="str">
            <v>-</v>
          </cell>
          <cell r="BX199">
            <v>86.40771484375</v>
          </cell>
          <cell r="BY199">
            <v>86.40771484375</v>
          </cell>
          <cell r="BZ199" t="str">
            <v>-</v>
          </cell>
          <cell r="CA199">
            <v>86.40771484375</v>
          </cell>
          <cell r="CB199">
            <v>86.40771484375</v>
          </cell>
          <cell r="CC199" t="str">
            <v>-</v>
          </cell>
          <cell r="CD199">
            <v>86.40771484375</v>
          </cell>
          <cell r="CE199">
            <v>86.40771484375</v>
          </cell>
          <cell r="CF199" t="str">
            <v>-</v>
          </cell>
          <cell r="CG199">
            <v>86.40771484375</v>
          </cell>
          <cell r="CH199">
            <v>86.40771484375</v>
          </cell>
          <cell r="CI199" t="str">
            <v>-</v>
          </cell>
          <cell r="CJ199">
            <v>86.40771484375</v>
          </cell>
          <cell r="CK199">
            <v>86.40771484375</v>
          </cell>
          <cell r="CL199" t="str">
            <v>-</v>
          </cell>
          <cell r="CM199">
            <v>86.40771484375</v>
          </cell>
          <cell r="CN199">
            <v>86.40771484375</v>
          </cell>
          <cell r="CO199" t="str">
            <v>-</v>
          </cell>
          <cell r="CP199">
            <v>86.40771484375</v>
          </cell>
          <cell r="CQ199">
            <v>86.40771484375</v>
          </cell>
          <cell r="CR199" t="str">
            <v>-</v>
          </cell>
          <cell r="CS199">
            <v>86.40771484375</v>
          </cell>
          <cell r="CT199">
            <v>86.40771484375</v>
          </cell>
          <cell r="CU199" t="str">
            <v>-</v>
          </cell>
          <cell r="CV199">
            <v>86.40771484375</v>
          </cell>
          <cell r="CW199">
            <v>86.40771484375</v>
          </cell>
          <cell r="CX199" t="str">
            <v>-</v>
          </cell>
          <cell r="CY199">
            <v>86.40771484375</v>
          </cell>
          <cell r="CZ199">
            <v>86.40771484375</v>
          </cell>
          <cell r="DA199" t="str">
            <v>-</v>
          </cell>
          <cell r="DB199">
            <v>86.40771484375</v>
          </cell>
          <cell r="DC199">
            <v>86.40771484375</v>
          </cell>
          <cell r="DD199" t="str">
            <v>-</v>
          </cell>
          <cell r="DE199">
            <v>86.40771484375</v>
          </cell>
          <cell r="DF199">
            <v>86.40771484375</v>
          </cell>
          <cell r="DG199" t="str">
            <v>-</v>
          </cell>
          <cell r="DH199">
            <v>86.40771484375</v>
          </cell>
          <cell r="DI199">
            <v>86.40771484375</v>
          </cell>
          <cell r="DJ199" t="str">
            <v>-</v>
          </cell>
          <cell r="DK199">
            <v>86.40771484375</v>
          </cell>
          <cell r="DL199">
            <v>86.40771484375</v>
          </cell>
          <cell r="DM199" t="str">
            <v>-</v>
          </cell>
          <cell r="DN199">
            <v>86.40771484375</v>
          </cell>
          <cell r="DO199">
            <v>86.40771484375</v>
          </cell>
          <cell r="DP199" t="str">
            <v>-</v>
          </cell>
          <cell r="DQ199">
            <v>86.40771484375</v>
          </cell>
          <cell r="DR199">
            <v>86.40771484375</v>
          </cell>
          <cell r="DS199" t="str">
            <v>-</v>
          </cell>
          <cell r="DT199">
            <v>86.40771484375</v>
          </cell>
          <cell r="DU199">
            <v>86.40771484375</v>
          </cell>
          <cell r="DV199" t="str">
            <v>-</v>
          </cell>
          <cell r="DW199">
            <v>86.40771484375</v>
          </cell>
          <cell r="DX199">
            <v>86.40771484375</v>
          </cell>
          <cell r="DY199" t="str">
            <v>-</v>
          </cell>
          <cell r="DZ199">
            <v>86.40771484375</v>
          </cell>
          <cell r="EA199">
            <v>86.40771484375</v>
          </cell>
          <cell r="EB199" t="str">
            <v>-</v>
          </cell>
          <cell r="EC199">
            <v>86.40771484375</v>
          </cell>
          <cell r="ED199">
            <v>86.40771484375</v>
          </cell>
          <cell r="EE199" t="str">
            <v>-</v>
          </cell>
          <cell r="EF199">
            <v>86.40771484375</v>
          </cell>
          <cell r="EG199">
            <v>86.40771484375</v>
          </cell>
          <cell r="EH199" t="str">
            <v>-</v>
          </cell>
          <cell r="EI199">
            <v>86.40771484375</v>
          </cell>
          <cell r="EJ199">
            <v>86.40771484375</v>
          </cell>
          <cell r="EK199" t="str">
            <v>-</v>
          </cell>
          <cell r="EL199">
            <v>86.40771484375</v>
          </cell>
          <cell r="EM199">
            <v>86.40771484375</v>
          </cell>
          <cell r="EN199" t="str">
            <v>-</v>
          </cell>
          <cell r="EO199">
            <v>86.40771484375</v>
          </cell>
          <cell r="EP199">
            <v>86.40771484375</v>
          </cell>
          <cell r="EQ199" t="str">
            <v>-</v>
          </cell>
          <cell r="ER199">
            <v>86.40771484375</v>
          </cell>
          <cell r="ES199">
            <v>86.40771484375</v>
          </cell>
          <cell r="ET199" t="str">
            <v>-</v>
          </cell>
          <cell r="EU199">
            <v>86.40771484375</v>
          </cell>
          <cell r="EV199">
            <v>86.40771484375</v>
          </cell>
          <cell r="EW199" t="str">
            <v>-</v>
          </cell>
          <cell r="EX199">
            <v>86.40771484375</v>
          </cell>
          <cell r="EY199">
            <v>86.40771484375</v>
          </cell>
          <cell r="EZ199" t="str">
            <v>-</v>
          </cell>
          <cell r="FA199">
            <v>86.40771484375</v>
          </cell>
          <cell r="FB199">
            <v>86.40771484375</v>
          </cell>
          <cell r="FC199" t="str">
            <v>-</v>
          </cell>
          <cell r="FD199">
            <v>86.40771484375</v>
          </cell>
          <cell r="FE199">
            <v>86.40771484375</v>
          </cell>
          <cell r="FF199" t="str">
            <v>-</v>
          </cell>
          <cell r="FG199">
            <v>86.40771484375</v>
          </cell>
          <cell r="FH199">
            <v>86.40771484375</v>
          </cell>
          <cell r="FI199" t="str">
            <v>-</v>
          </cell>
          <cell r="FJ199">
            <v>86.40771484375</v>
          </cell>
          <cell r="FK199">
            <v>86.40771484375</v>
          </cell>
          <cell r="FL199" t="str">
            <v>-</v>
          </cell>
          <cell r="FM199">
            <v>86.40771484375</v>
          </cell>
          <cell r="FN199">
            <v>86.40771484375</v>
          </cell>
          <cell r="FO199" t="str">
            <v>-</v>
          </cell>
          <cell r="FP199">
            <v>86.40771484375</v>
          </cell>
          <cell r="FQ199">
            <v>86.40771484375</v>
          </cell>
          <cell r="FR199" t="str">
            <v>-</v>
          </cell>
          <cell r="FS199">
            <v>86.40771484375</v>
          </cell>
          <cell r="FT199">
            <v>86.40771484375</v>
          </cell>
          <cell r="FU199" t="str">
            <v>-</v>
          </cell>
          <cell r="FV199">
            <v>86.40771484375</v>
          </cell>
          <cell r="FW199">
            <v>86.40771484375</v>
          </cell>
          <cell r="FX199" t="str">
            <v>-</v>
          </cell>
          <cell r="FY199">
            <v>86.40771484375</v>
          </cell>
          <cell r="FZ199">
            <v>86.40771484375</v>
          </cell>
          <cell r="GA199" t="str">
            <v>-</v>
          </cell>
          <cell r="GB199">
            <v>86.40771484375</v>
          </cell>
          <cell r="GC199">
            <v>86.40771484375</v>
          </cell>
          <cell r="GD199" t="str">
            <v>-</v>
          </cell>
          <cell r="GE199">
            <v>86.40771484375</v>
          </cell>
          <cell r="GF199">
            <v>86.40771484375</v>
          </cell>
          <cell r="GG199" t="str">
            <v>-</v>
          </cell>
          <cell r="GH199">
            <v>86.40771484375</v>
          </cell>
          <cell r="GI199">
            <v>86.40771484375</v>
          </cell>
          <cell r="GJ199" t="str">
            <v>-</v>
          </cell>
          <cell r="GK199">
            <v>86.40771484375</v>
          </cell>
          <cell r="GL199">
            <v>86.40771484375</v>
          </cell>
          <cell r="GM199" t="str">
            <v>-</v>
          </cell>
          <cell r="GN199">
            <v>86.40771484375</v>
          </cell>
          <cell r="GO199">
            <v>86.40771484375</v>
          </cell>
          <cell r="GP199" t="str">
            <v>-</v>
          </cell>
          <cell r="GQ199">
            <v>86.40771484375</v>
          </cell>
          <cell r="GR199">
            <v>86.40771484375</v>
          </cell>
          <cell r="GS199" t="str">
            <v>-</v>
          </cell>
          <cell r="GT199">
            <v>86.40771484375</v>
          </cell>
          <cell r="GU199">
            <v>86.40771484375</v>
          </cell>
          <cell r="GV199" t="str">
            <v>-</v>
          </cell>
          <cell r="GW199">
            <v>86.40771484375</v>
          </cell>
          <cell r="GX199">
            <v>86.40771484375</v>
          </cell>
          <cell r="GY199" t="str">
            <v>-</v>
          </cell>
          <cell r="GZ199">
            <v>86.40771484375</v>
          </cell>
          <cell r="HA199">
            <v>86.40771484375</v>
          </cell>
          <cell r="HB199" t="str">
            <v>-</v>
          </cell>
          <cell r="HC199">
            <v>86.40771484375</v>
          </cell>
          <cell r="HD199">
            <v>86.40771484375</v>
          </cell>
          <cell r="HE199" t="str">
            <v>-</v>
          </cell>
          <cell r="HF199">
            <v>86.40771484375</v>
          </cell>
          <cell r="HG199">
            <v>86.40771484375</v>
          </cell>
          <cell r="HH199" t="str">
            <v>-</v>
          </cell>
          <cell r="HI199">
            <v>86.40771484375</v>
          </cell>
          <cell r="HJ199">
            <v>86.40771484375</v>
          </cell>
          <cell r="HK199" t="str">
            <v>-</v>
          </cell>
          <cell r="HL199">
            <v>86.40771484375</v>
          </cell>
          <cell r="HM199">
            <v>86.40771484375</v>
          </cell>
          <cell r="HN199" t="str">
            <v>-</v>
          </cell>
          <cell r="HO199">
            <v>86.40771484375</v>
          </cell>
          <cell r="HP199">
            <v>86.40771484375</v>
          </cell>
          <cell r="HQ199" t="str">
            <v>-</v>
          </cell>
          <cell r="HR199">
            <v>86.40771484375</v>
          </cell>
          <cell r="HS199">
            <v>86.40771484375</v>
          </cell>
          <cell r="HT199" t="str">
            <v>-</v>
          </cell>
          <cell r="HU199">
            <v>86.40771484375</v>
          </cell>
          <cell r="HV199">
            <v>86.40771484375</v>
          </cell>
          <cell r="HW199" t="str">
            <v>-</v>
          </cell>
          <cell r="HX199">
            <v>86.40771484375</v>
          </cell>
          <cell r="HY199">
            <v>86.40771484375</v>
          </cell>
          <cell r="HZ199" t="str">
            <v>-</v>
          </cell>
          <cell r="IA199">
            <v>86.40771484375</v>
          </cell>
          <cell r="IB199">
            <v>86.40771484375</v>
          </cell>
          <cell r="IC199" t="str">
            <v>-</v>
          </cell>
          <cell r="ID199">
            <v>86.40771484375</v>
          </cell>
          <cell r="IE199">
            <v>86.40771484375</v>
          </cell>
          <cell r="IF199" t="str">
            <v>-</v>
          </cell>
          <cell r="IG199">
            <v>86.40771484375</v>
          </cell>
          <cell r="IH199">
            <v>86.40771484375</v>
          </cell>
          <cell r="II199" t="str">
            <v>-</v>
          </cell>
          <cell r="IJ199">
            <v>86.40771484375</v>
          </cell>
          <cell r="IK199">
            <v>86.40771484375</v>
          </cell>
          <cell r="IL199" t="str">
            <v>-</v>
          </cell>
          <cell r="IM199">
            <v>86.40771484375</v>
          </cell>
          <cell r="IN199">
            <v>86.40771484375</v>
          </cell>
          <cell r="IO199" t="str">
            <v>-</v>
          </cell>
          <cell r="IP199">
            <v>86.40771484375</v>
          </cell>
          <cell r="IQ199">
            <v>86.40771484375</v>
          </cell>
          <cell r="IR199" t="str">
            <v>-</v>
          </cell>
          <cell r="IS199">
            <v>86.40771484375</v>
          </cell>
          <cell r="IT199">
            <v>86.40771484375</v>
          </cell>
          <cell r="IU199" t="str">
            <v>-</v>
          </cell>
          <cell r="IV199">
            <v>86.40771484375</v>
          </cell>
          <cell r="IW199">
            <v>86.40771484375</v>
          </cell>
          <cell r="IX199" t="str">
            <v>-</v>
          </cell>
          <cell r="IY199">
            <v>86.40771484375</v>
          </cell>
          <cell r="IZ199">
            <v>86.40771484375</v>
          </cell>
          <cell r="JA199" t="str">
            <v>-</v>
          </cell>
          <cell r="JB199">
            <v>86.40771484375</v>
          </cell>
          <cell r="JC199">
            <v>86.40771484375</v>
          </cell>
          <cell r="JD199" t="str">
            <v>-</v>
          </cell>
          <cell r="JE199">
            <v>86.40771484375</v>
          </cell>
          <cell r="JF199">
            <v>86.40771484375</v>
          </cell>
          <cell r="JG199" t="str">
            <v>-</v>
          </cell>
          <cell r="JH199">
            <v>0</v>
          </cell>
          <cell r="JI199">
            <v>0</v>
          </cell>
          <cell r="JJ199" t="str">
            <v>-</v>
          </cell>
          <cell r="JK199">
            <v>0</v>
          </cell>
          <cell r="JL199">
            <v>0</v>
          </cell>
          <cell r="JM199" t="str">
            <v>-</v>
          </cell>
          <cell r="JN199">
            <v>0</v>
          </cell>
          <cell r="JO199">
            <v>0</v>
          </cell>
          <cell r="JP199" t="str">
            <v>-</v>
          </cell>
          <cell r="JQ199">
            <v>0</v>
          </cell>
          <cell r="JR199">
            <v>0</v>
          </cell>
          <cell r="JS199" t="str">
            <v>-</v>
          </cell>
          <cell r="JT199">
            <v>0</v>
          </cell>
          <cell r="JU199">
            <v>0</v>
          </cell>
          <cell r="JV199" t="str">
            <v>-</v>
          </cell>
          <cell r="JW199">
            <v>0</v>
          </cell>
          <cell r="JX199">
            <v>0</v>
          </cell>
          <cell r="JY199" t="str">
            <v>-</v>
          </cell>
          <cell r="JZ199">
            <v>0</v>
          </cell>
          <cell r="KA199">
            <v>0</v>
          </cell>
          <cell r="KB199" t="str">
            <v>-</v>
          </cell>
          <cell r="KC199">
            <v>0</v>
          </cell>
          <cell r="KD199">
            <v>0</v>
          </cell>
          <cell r="KE199" t="str">
            <v>-</v>
          </cell>
          <cell r="KF199">
            <v>0</v>
          </cell>
          <cell r="KG199">
            <v>0</v>
          </cell>
          <cell r="KH199" t="str">
            <v>-</v>
          </cell>
          <cell r="KI199">
            <v>0</v>
          </cell>
          <cell r="KJ199">
            <v>0</v>
          </cell>
          <cell r="KK199" t="str">
            <v>-</v>
          </cell>
          <cell r="KL199">
            <v>0</v>
          </cell>
          <cell r="KM199">
            <v>0</v>
          </cell>
          <cell r="KN199" t="str">
            <v>-</v>
          </cell>
        </row>
        <row r="200">
          <cell r="C200" t="str">
            <v>Repülőtéri Rendőr Igazgatóság</v>
          </cell>
          <cell r="D200">
            <v>0</v>
          </cell>
          <cell r="E200">
            <v>0</v>
          </cell>
          <cell r="F200" t="str">
            <v>-</v>
          </cell>
          <cell r="G200">
            <v>0</v>
          </cell>
          <cell r="H200">
            <v>0</v>
          </cell>
          <cell r="I200" t="str">
            <v>-</v>
          </cell>
          <cell r="J200">
            <v>0</v>
          </cell>
          <cell r="K200">
            <v>0</v>
          </cell>
          <cell r="L200" t="str">
            <v>-</v>
          </cell>
          <cell r="M200">
            <v>0</v>
          </cell>
          <cell r="N200">
            <v>0</v>
          </cell>
          <cell r="O200" t="str">
            <v>-</v>
          </cell>
          <cell r="P200">
            <v>0</v>
          </cell>
          <cell r="Q200">
            <v>0</v>
          </cell>
          <cell r="R200" t="str">
            <v>-</v>
          </cell>
          <cell r="S200">
            <v>0</v>
          </cell>
          <cell r="T200">
            <v>0</v>
          </cell>
          <cell r="U200" t="str">
            <v>-</v>
          </cell>
          <cell r="V200">
            <v>0</v>
          </cell>
          <cell r="W200">
            <v>0</v>
          </cell>
          <cell r="X200" t="str">
            <v>-</v>
          </cell>
          <cell r="Y200">
            <v>0</v>
          </cell>
          <cell r="Z200">
            <v>0</v>
          </cell>
          <cell r="AA200" t="str">
            <v>-</v>
          </cell>
          <cell r="AB200">
            <v>0</v>
          </cell>
          <cell r="AC200">
            <v>0</v>
          </cell>
          <cell r="AD200" t="str">
            <v>-</v>
          </cell>
          <cell r="AE200">
            <v>0</v>
          </cell>
          <cell r="AF200">
            <v>0</v>
          </cell>
          <cell r="AG200" t="str">
            <v>-</v>
          </cell>
          <cell r="AH200">
            <v>0</v>
          </cell>
          <cell r="AI200">
            <v>0</v>
          </cell>
          <cell r="AJ200" t="str">
            <v>-</v>
          </cell>
          <cell r="AK200">
            <v>0</v>
          </cell>
          <cell r="AL200">
            <v>0</v>
          </cell>
          <cell r="AM200" t="str">
            <v>-</v>
          </cell>
          <cell r="AN200">
            <v>0</v>
          </cell>
          <cell r="AO200">
            <v>0</v>
          </cell>
          <cell r="AP200" t="str">
            <v>-</v>
          </cell>
          <cell r="AQ200">
            <v>0</v>
          </cell>
          <cell r="AR200">
            <v>0</v>
          </cell>
          <cell r="AS200" t="str">
            <v>-</v>
          </cell>
          <cell r="AT200">
            <v>0</v>
          </cell>
          <cell r="AU200">
            <v>0</v>
          </cell>
          <cell r="AV200" t="str">
            <v>-</v>
          </cell>
          <cell r="AW200">
            <v>0</v>
          </cell>
          <cell r="AX200">
            <v>0</v>
          </cell>
          <cell r="AY200" t="str">
            <v>-</v>
          </cell>
          <cell r="AZ200">
            <v>0</v>
          </cell>
          <cell r="BA200">
            <v>0</v>
          </cell>
          <cell r="BB200" t="str">
            <v>-</v>
          </cell>
          <cell r="BC200">
            <v>0</v>
          </cell>
          <cell r="BD200">
            <v>0</v>
          </cell>
          <cell r="BE200" t="str">
            <v>-</v>
          </cell>
          <cell r="BF200">
            <v>0</v>
          </cell>
          <cell r="BG200">
            <v>0</v>
          </cell>
          <cell r="BH200" t="str">
            <v>-</v>
          </cell>
          <cell r="BI200">
            <v>0</v>
          </cell>
          <cell r="BJ200">
            <v>0</v>
          </cell>
          <cell r="BK200" t="str">
            <v>-</v>
          </cell>
          <cell r="BL200">
            <v>0</v>
          </cell>
          <cell r="BM200">
            <v>0</v>
          </cell>
          <cell r="BN200" t="str">
            <v>-</v>
          </cell>
          <cell r="BO200">
            <v>0</v>
          </cell>
          <cell r="BP200">
            <v>0</v>
          </cell>
          <cell r="BQ200" t="str">
            <v>-</v>
          </cell>
          <cell r="BR200">
            <v>0</v>
          </cell>
          <cell r="BS200">
            <v>0</v>
          </cell>
          <cell r="BT200" t="str">
            <v>-</v>
          </cell>
          <cell r="BU200">
            <v>0</v>
          </cell>
          <cell r="BV200">
            <v>0</v>
          </cell>
          <cell r="BW200" t="str">
            <v>-</v>
          </cell>
          <cell r="BX200">
            <v>4</v>
          </cell>
          <cell r="BY200">
            <v>1</v>
          </cell>
          <cell r="BZ200">
            <v>80</v>
          </cell>
          <cell r="CA200">
            <v>3</v>
          </cell>
          <cell r="CB200">
            <v>3</v>
          </cell>
          <cell r="CC200">
            <v>100</v>
          </cell>
          <cell r="CD200">
            <v>100</v>
          </cell>
          <cell r="CE200">
            <v>1</v>
          </cell>
          <cell r="CF200">
            <v>0</v>
          </cell>
          <cell r="CG200">
            <v>1</v>
          </cell>
          <cell r="CH200">
            <v>1</v>
          </cell>
          <cell r="CI200">
            <v>100</v>
          </cell>
          <cell r="CJ200">
            <v>4</v>
          </cell>
          <cell r="CK200">
            <v>4</v>
          </cell>
          <cell r="CL200">
            <v>100</v>
          </cell>
          <cell r="CM200">
            <v>3</v>
          </cell>
          <cell r="CN200">
            <v>3</v>
          </cell>
          <cell r="CO200">
            <v>100</v>
          </cell>
          <cell r="CP200">
            <v>1</v>
          </cell>
          <cell r="CQ200">
            <v>1</v>
          </cell>
          <cell r="CR200">
            <v>50</v>
          </cell>
          <cell r="CS200">
            <v>2</v>
          </cell>
          <cell r="CT200">
            <v>2</v>
          </cell>
          <cell r="CU200">
            <v>100</v>
          </cell>
          <cell r="CV200">
            <v>3</v>
          </cell>
          <cell r="CW200">
            <v>1</v>
          </cell>
          <cell r="CX200">
            <v>75</v>
          </cell>
          <cell r="CY200">
            <v>75</v>
          </cell>
          <cell r="CZ200">
            <v>75</v>
          </cell>
          <cell r="DA200" t="str">
            <v>-</v>
          </cell>
          <cell r="DB200">
            <v>75</v>
          </cell>
          <cell r="DC200">
            <v>75</v>
          </cell>
          <cell r="DD200" t="str">
            <v>-</v>
          </cell>
          <cell r="DE200">
            <v>75</v>
          </cell>
          <cell r="DF200">
            <v>75</v>
          </cell>
          <cell r="DG200" t="str">
            <v>-</v>
          </cell>
          <cell r="DH200">
            <v>1</v>
          </cell>
          <cell r="DI200">
            <v>1</v>
          </cell>
          <cell r="DJ200">
            <v>100</v>
          </cell>
          <cell r="DK200">
            <v>2</v>
          </cell>
          <cell r="DL200">
            <v>2</v>
          </cell>
          <cell r="DM200">
            <v>100</v>
          </cell>
          <cell r="DN200">
            <v>100</v>
          </cell>
          <cell r="DO200">
            <v>1</v>
          </cell>
          <cell r="DP200">
            <v>0</v>
          </cell>
          <cell r="DQ200">
            <v>0</v>
          </cell>
          <cell r="DR200">
            <v>0</v>
          </cell>
          <cell r="DS200" t="str">
            <v>-</v>
          </cell>
          <cell r="DT200">
            <v>0</v>
          </cell>
          <cell r="DU200">
            <v>0</v>
          </cell>
          <cell r="DV200" t="str">
            <v>-</v>
          </cell>
          <cell r="DW200">
            <v>0</v>
          </cell>
          <cell r="DX200">
            <v>0</v>
          </cell>
          <cell r="DY200" t="str">
            <v>-</v>
          </cell>
          <cell r="DZ200">
            <v>0</v>
          </cell>
          <cell r="EA200">
            <v>0</v>
          </cell>
          <cell r="EB200" t="str">
            <v>-</v>
          </cell>
          <cell r="EC200">
            <v>0</v>
          </cell>
          <cell r="ED200">
            <v>0</v>
          </cell>
          <cell r="EE200" t="str">
            <v>-</v>
          </cell>
          <cell r="EF200">
            <v>0</v>
          </cell>
          <cell r="EG200">
            <v>0</v>
          </cell>
          <cell r="EH200" t="str">
            <v>-</v>
          </cell>
          <cell r="EI200">
            <v>0</v>
          </cell>
          <cell r="EJ200">
            <v>0</v>
          </cell>
          <cell r="EK200" t="str">
            <v>-</v>
          </cell>
          <cell r="EL200">
            <v>0</v>
          </cell>
          <cell r="EM200">
            <v>0</v>
          </cell>
          <cell r="EN200" t="str">
            <v>-</v>
          </cell>
          <cell r="EO200">
            <v>0</v>
          </cell>
          <cell r="EP200">
            <v>0</v>
          </cell>
          <cell r="EQ200" t="str">
            <v>-</v>
          </cell>
          <cell r="ER200">
            <v>0</v>
          </cell>
          <cell r="ES200">
            <v>0</v>
          </cell>
          <cell r="ET200" t="str">
            <v>-</v>
          </cell>
          <cell r="EU200">
            <v>0</v>
          </cell>
          <cell r="EV200">
            <v>0</v>
          </cell>
          <cell r="EW200" t="str">
            <v>-</v>
          </cell>
          <cell r="EX200">
            <v>0</v>
          </cell>
          <cell r="EY200">
            <v>0</v>
          </cell>
          <cell r="EZ200" t="str">
            <v>-</v>
          </cell>
          <cell r="FA200">
            <v>0</v>
          </cell>
          <cell r="FB200">
            <v>0</v>
          </cell>
          <cell r="FC200" t="str">
            <v>-</v>
          </cell>
          <cell r="FD200">
            <v>0</v>
          </cell>
          <cell r="FE200">
            <v>0</v>
          </cell>
          <cell r="FF200" t="str">
            <v>-</v>
          </cell>
          <cell r="FG200">
            <v>0</v>
          </cell>
          <cell r="FH200">
            <v>0</v>
          </cell>
          <cell r="FI200" t="str">
            <v>-</v>
          </cell>
          <cell r="FJ200">
            <v>0</v>
          </cell>
          <cell r="FK200">
            <v>0</v>
          </cell>
          <cell r="FL200" t="str">
            <v>-</v>
          </cell>
          <cell r="FM200">
            <v>0</v>
          </cell>
          <cell r="FN200">
            <v>0</v>
          </cell>
          <cell r="FO200" t="str">
            <v>-</v>
          </cell>
          <cell r="FP200">
            <v>4</v>
          </cell>
          <cell r="FQ200">
            <v>4</v>
          </cell>
          <cell r="FR200">
            <v>50</v>
          </cell>
          <cell r="FS200">
            <v>1</v>
          </cell>
          <cell r="FT200">
            <v>1</v>
          </cell>
          <cell r="FU200">
            <v>100</v>
          </cell>
          <cell r="FV200">
            <v>1</v>
          </cell>
          <cell r="FW200">
            <v>1</v>
          </cell>
          <cell r="FX200">
            <v>100</v>
          </cell>
          <cell r="FY200">
            <v>100</v>
          </cell>
          <cell r="FZ200">
            <v>100</v>
          </cell>
          <cell r="GA200" t="str">
            <v>-</v>
          </cell>
          <cell r="GB200">
            <v>1</v>
          </cell>
          <cell r="GC200">
            <v>1</v>
          </cell>
          <cell r="GD200">
            <v>100</v>
          </cell>
          <cell r="GE200">
            <v>3</v>
          </cell>
          <cell r="GF200">
            <v>3</v>
          </cell>
          <cell r="GG200">
            <v>100</v>
          </cell>
          <cell r="GH200">
            <v>1</v>
          </cell>
          <cell r="GI200">
            <v>1</v>
          </cell>
          <cell r="GJ200">
            <v>50</v>
          </cell>
          <cell r="GK200">
            <v>1</v>
          </cell>
          <cell r="GL200">
            <v>1</v>
          </cell>
          <cell r="GM200">
            <v>100</v>
          </cell>
          <cell r="GN200">
            <v>8</v>
          </cell>
          <cell r="GO200">
            <v>2</v>
          </cell>
          <cell r="GP200">
            <v>80</v>
          </cell>
          <cell r="GQ200">
            <v>3</v>
          </cell>
          <cell r="GR200">
            <v>1</v>
          </cell>
          <cell r="GS200">
            <v>75</v>
          </cell>
          <cell r="GT200">
            <v>4</v>
          </cell>
          <cell r="GU200">
            <v>4</v>
          </cell>
          <cell r="GV200">
            <v>100</v>
          </cell>
          <cell r="GW200">
            <v>5</v>
          </cell>
          <cell r="GX200">
            <v>5</v>
          </cell>
          <cell r="GY200">
            <v>100</v>
          </cell>
          <cell r="GZ200">
            <v>4</v>
          </cell>
          <cell r="HA200">
            <v>1</v>
          </cell>
          <cell r="HB200">
            <v>80</v>
          </cell>
          <cell r="HC200">
            <v>5</v>
          </cell>
          <cell r="HD200">
            <v>2</v>
          </cell>
          <cell r="HE200">
            <v>71.400000000000006</v>
          </cell>
          <cell r="HF200">
            <v>4</v>
          </cell>
          <cell r="HG200">
            <v>4</v>
          </cell>
          <cell r="HH200">
            <v>50</v>
          </cell>
          <cell r="HI200">
            <v>11</v>
          </cell>
          <cell r="HJ200">
            <v>11</v>
          </cell>
          <cell r="HK200">
            <v>100</v>
          </cell>
          <cell r="HL200">
            <v>100</v>
          </cell>
          <cell r="HM200">
            <v>100</v>
          </cell>
          <cell r="HN200" t="str">
            <v>-</v>
          </cell>
          <cell r="HO200">
            <v>100</v>
          </cell>
          <cell r="HP200">
            <v>100</v>
          </cell>
          <cell r="HQ200" t="str">
            <v>-</v>
          </cell>
          <cell r="HR200">
            <v>100</v>
          </cell>
          <cell r="HS200">
            <v>100</v>
          </cell>
          <cell r="HT200" t="str">
            <v>-</v>
          </cell>
          <cell r="HU200">
            <v>100</v>
          </cell>
          <cell r="HV200">
            <v>100</v>
          </cell>
          <cell r="HW200" t="str">
            <v>-</v>
          </cell>
          <cell r="HX200">
            <v>100</v>
          </cell>
          <cell r="HY200">
            <v>100</v>
          </cell>
          <cell r="HZ200" t="str">
            <v>-</v>
          </cell>
          <cell r="IA200">
            <v>100</v>
          </cell>
          <cell r="IB200">
            <v>100</v>
          </cell>
          <cell r="IC200" t="str">
            <v>-</v>
          </cell>
          <cell r="ID200">
            <v>100</v>
          </cell>
          <cell r="IE200">
            <v>100</v>
          </cell>
          <cell r="IF200" t="str">
            <v>-</v>
          </cell>
          <cell r="IG200">
            <v>100</v>
          </cell>
          <cell r="IH200">
            <v>100</v>
          </cell>
          <cell r="II200" t="str">
            <v>-</v>
          </cell>
          <cell r="IJ200">
            <v>100</v>
          </cell>
          <cell r="IK200">
            <v>1</v>
          </cell>
          <cell r="IL200">
            <v>0</v>
          </cell>
          <cell r="IM200">
            <v>0</v>
          </cell>
          <cell r="IN200">
            <v>0</v>
          </cell>
          <cell r="IO200" t="str">
            <v>-</v>
          </cell>
          <cell r="IP200">
            <v>0</v>
          </cell>
          <cell r="IQ200">
            <v>0</v>
          </cell>
          <cell r="IR200" t="str">
            <v>-</v>
          </cell>
          <cell r="IS200">
            <v>0</v>
          </cell>
          <cell r="IT200">
            <v>0</v>
          </cell>
          <cell r="IU200" t="str">
            <v>-</v>
          </cell>
          <cell r="IV200">
            <v>0</v>
          </cell>
          <cell r="IW200">
            <v>0</v>
          </cell>
          <cell r="IX200" t="str">
            <v>-</v>
          </cell>
          <cell r="IY200">
            <v>8</v>
          </cell>
          <cell r="IZ200">
            <v>8</v>
          </cell>
          <cell r="JA200">
            <v>100</v>
          </cell>
          <cell r="JB200">
            <v>1</v>
          </cell>
          <cell r="JC200">
            <v>1</v>
          </cell>
          <cell r="JD200">
            <v>100</v>
          </cell>
          <cell r="JE200">
            <v>1</v>
          </cell>
          <cell r="JF200">
            <v>1</v>
          </cell>
          <cell r="JG200">
            <v>100</v>
          </cell>
          <cell r="JH200">
            <v>0</v>
          </cell>
          <cell r="JI200">
            <v>0</v>
          </cell>
          <cell r="JJ200" t="str">
            <v>-</v>
          </cell>
          <cell r="JK200">
            <v>0</v>
          </cell>
          <cell r="JL200">
            <v>0</v>
          </cell>
          <cell r="JM200" t="str">
            <v>-</v>
          </cell>
          <cell r="JN200">
            <v>0</v>
          </cell>
          <cell r="JO200">
            <v>0</v>
          </cell>
          <cell r="JP200" t="str">
            <v>-</v>
          </cell>
          <cell r="JQ200">
            <v>11</v>
          </cell>
          <cell r="JR200">
            <v>1</v>
          </cell>
          <cell r="JS200">
            <v>91.666666666666657</v>
          </cell>
          <cell r="JT200">
            <v>3</v>
          </cell>
          <cell r="JU200">
            <v>1</v>
          </cell>
          <cell r="JV200">
            <v>75</v>
          </cell>
          <cell r="JW200">
            <v>0</v>
          </cell>
          <cell r="JX200">
            <v>0</v>
          </cell>
          <cell r="JY200" t="str">
            <v>-</v>
          </cell>
          <cell r="JZ200">
            <v>0</v>
          </cell>
          <cell r="KA200">
            <v>0</v>
          </cell>
          <cell r="KB200" t="str">
            <v>-</v>
          </cell>
          <cell r="KC200">
            <v>6</v>
          </cell>
          <cell r="KD200">
            <v>1</v>
          </cell>
          <cell r="KE200">
            <v>85.714285714285708</v>
          </cell>
          <cell r="KF200">
            <v>29</v>
          </cell>
          <cell r="KG200">
            <v>7</v>
          </cell>
          <cell r="KH200">
            <v>80.555555555555557</v>
          </cell>
          <cell r="KI200">
            <v>0</v>
          </cell>
          <cell r="KJ200">
            <v>0</v>
          </cell>
          <cell r="KK200" t="str">
            <v>-</v>
          </cell>
          <cell r="KL200">
            <v>10</v>
          </cell>
          <cell r="KM200">
            <v>0</v>
          </cell>
          <cell r="KN200">
            <v>100</v>
          </cell>
        </row>
        <row r="201">
          <cell r="C201" t="str">
            <v>Országos</v>
          </cell>
          <cell r="D201">
            <v>288</v>
          </cell>
          <cell r="E201">
            <v>44</v>
          </cell>
          <cell r="F201">
            <v>86.7</v>
          </cell>
          <cell r="G201">
            <v>310</v>
          </cell>
          <cell r="H201">
            <v>40</v>
          </cell>
          <cell r="I201">
            <v>88.6</v>
          </cell>
          <cell r="J201">
            <v>224</v>
          </cell>
          <cell r="K201">
            <v>39</v>
          </cell>
          <cell r="L201">
            <v>85.2</v>
          </cell>
          <cell r="M201">
            <v>245</v>
          </cell>
          <cell r="N201">
            <v>36</v>
          </cell>
          <cell r="O201">
            <v>87.2</v>
          </cell>
          <cell r="P201">
            <v>236</v>
          </cell>
          <cell r="Q201">
            <v>33</v>
          </cell>
          <cell r="R201">
            <v>87.7</v>
          </cell>
          <cell r="S201">
            <v>198</v>
          </cell>
          <cell r="T201">
            <v>18</v>
          </cell>
          <cell r="U201">
            <v>91.7</v>
          </cell>
          <cell r="V201">
            <v>212</v>
          </cell>
          <cell r="W201">
            <v>18</v>
          </cell>
          <cell r="X201">
            <v>92.2</v>
          </cell>
          <cell r="Y201">
            <v>170</v>
          </cell>
          <cell r="Z201">
            <v>17</v>
          </cell>
          <cell r="AA201">
            <v>90.9</v>
          </cell>
          <cell r="AB201">
            <v>118</v>
          </cell>
          <cell r="AC201">
            <v>20</v>
          </cell>
          <cell r="AD201">
            <v>85.5</v>
          </cell>
          <cell r="AE201">
            <v>132</v>
          </cell>
          <cell r="AF201">
            <v>23</v>
          </cell>
          <cell r="AG201">
            <v>85.2</v>
          </cell>
          <cell r="AH201">
            <v>100</v>
          </cell>
          <cell r="AI201">
            <v>18</v>
          </cell>
          <cell r="AJ201">
            <v>84.7</v>
          </cell>
          <cell r="AK201">
            <v>125</v>
          </cell>
          <cell r="AL201">
            <v>19</v>
          </cell>
          <cell r="AM201">
            <v>86.8</v>
          </cell>
          <cell r="AN201">
            <v>113</v>
          </cell>
          <cell r="AO201">
            <v>19</v>
          </cell>
          <cell r="AP201">
            <v>85.6</v>
          </cell>
          <cell r="AQ201">
            <v>94</v>
          </cell>
          <cell r="AR201">
            <v>6</v>
          </cell>
          <cell r="AS201">
            <v>94</v>
          </cell>
          <cell r="AT201">
            <v>91</v>
          </cell>
          <cell r="AU201">
            <v>8</v>
          </cell>
          <cell r="AV201">
            <v>91.9</v>
          </cell>
          <cell r="AW201">
            <v>86</v>
          </cell>
          <cell r="AX201">
            <v>13</v>
          </cell>
          <cell r="AY201">
            <v>86.9</v>
          </cell>
          <cell r="AZ201">
            <v>135</v>
          </cell>
          <cell r="BA201">
            <v>14</v>
          </cell>
          <cell r="BB201">
            <v>90.6</v>
          </cell>
          <cell r="BC201">
            <v>125</v>
          </cell>
          <cell r="BD201">
            <v>9</v>
          </cell>
          <cell r="BE201">
            <v>93.3</v>
          </cell>
          <cell r="BF201">
            <v>104</v>
          </cell>
          <cell r="BG201">
            <v>7</v>
          </cell>
          <cell r="BH201">
            <v>93.7</v>
          </cell>
          <cell r="BI201">
            <v>99</v>
          </cell>
          <cell r="BJ201">
            <v>6</v>
          </cell>
          <cell r="BK201">
            <v>94.3</v>
          </cell>
          <cell r="BL201">
            <v>104</v>
          </cell>
          <cell r="BM201">
            <v>5</v>
          </cell>
          <cell r="BN201">
            <v>95.4</v>
          </cell>
          <cell r="BO201">
            <v>85</v>
          </cell>
          <cell r="BP201">
            <v>7</v>
          </cell>
          <cell r="BQ201">
            <v>92.4</v>
          </cell>
          <cell r="BR201">
            <v>94</v>
          </cell>
          <cell r="BS201">
            <v>6</v>
          </cell>
          <cell r="BT201">
            <v>94</v>
          </cell>
          <cell r="BU201">
            <v>68</v>
          </cell>
          <cell r="BV201">
            <v>2</v>
          </cell>
          <cell r="BW201">
            <v>97.1</v>
          </cell>
          <cell r="BX201">
            <v>12892</v>
          </cell>
          <cell r="BY201">
            <v>3070</v>
          </cell>
          <cell r="BZ201">
            <v>80.8</v>
          </cell>
          <cell r="CA201">
            <v>12663</v>
          </cell>
          <cell r="CB201">
            <v>2935</v>
          </cell>
          <cell r="CC201">
            <v>81.2</v>
          </cell>
          <cell r="CD201">
            <v>12074</v>
          </cell>
          <cell r="CE201">
            <v>3240</v>
          </cell>
          <cell r="CF201">
            <v>78.8</v>
          </cell>
          <cell r="CG201">
            <v>11415</v>
          </cell>
          <cell r="CH201">
            <v>3108</v>
          </cell>
          <cell r="CI201">
            <v>78.599999999999994</v>
          </cell>
          <cell r="CJ201">
            <v>11196</v>
          </cell>
          <cell r="CK201">
            <v>3061</v>
          </cell>
          <cell r="CL201">
            <v>78.5</v>
          </cell>
          <cell r="CM201">
            <v>10232</v>
          </cell>
          <cell r="CN201">
            <v>2993</v>
          </cell>
          <cell r="CO201">
            <v>77.400000000000006</v>
          </cell>
          <cell r="CP201">
            <v>9437</v>
          </cell>
          <cell r="CQ201">
            <v>2505</v>
          </cell>
          <cell r="CR201">
            <v>79</v>
          </cell>
          <cell r="CS201">
            <v>8648</v>
          </cell>
          <cell r="CT201">
            <v>2251</v>
          </cell>
          <cell r="CU201">
            <v>79.3</v>
          </cell>
          <cell r="CV201">
            <v>6855</v>
          </cell>
          <cell r="CW201">
            <v>2380</v>
          </cell>
          <cell r="CX201">
            <v>74.2</v>
          </cell>
          <cell r="CY201">
            <v>5927</v>
          </cell>
          <cell r="CZ201">
            <v>2203</v>
          </cell>
          <cell r="DA201">
            <v>72.900000000000006</v>
          </cell>
          <cell r="DB201">
            <v>5584</v>
          </cell>
          <cell r="DC201">
            <v>2532</v>
          </cell>
          <cell r="DD201">
            <v>68.8</v>
          </cell>
          <cell r="DE201">
            <v>6103</v>
          </cell>
          <cell r="DF201">
            <v>2363</v>
          </cell>
          <cell r="DG201">
            <v>72.099999999999994</v>
          </cell>
          <cell r="DH201">
            <v>5535</v>
          </cell>
          <cell r="DI201">
            <v>2307</v>
          </cell>
          <cell r="DJ201">
            <v>70.599999999999994</v>
          </cell>
          <cell r="DK201">
            <v>5159</v>
          </cell>
          <cell r="DL201">
            <v>2249</v>
          </cell>
          <cell r="DM201">
            <v>69.599999999999994</v>
          </cell>
          <cell r="DN201">
            <v>4683</v>
          </cell>
          <cell r="DO201">
            <v>1923</v>
          </cell>
          <cell r="DP201">
            <v>70.900000000000006</v>
          </cell>
          <cell r="DQ201">
            <v>4346</v>
          </cell>
          <cell r="DR201">
            <v>1629</v>
          </cell>
          <cell r="DS201">
            <v>72.7</v>
          </cell>
          <cell r="DT201">
            <v>26</v>
          </cell>
          <cell r="DU201">
            <v>13</v>
          </cell>
          <cell r="DV201">
            <v>66.7</v>
          </cell>
          <cell r="DW201">
            <v>28</v>
          </cell>
          <cell r="DX201">
            <v>6</v>
          </cell>
          <cell r="DY201">
            <v>82.4</v>
          </cell>
          <cell r="DZ201">
            <v>14</v>
          </cell>
          <cell r="EA201">
            <v>15</v>
          </cell>
          <cell r="EB201">
            <v>48.3</v>
          </cell>
          <cell r="EC201">
            <v>20</v>
          </cell>
          <cell r="ED201">
            <v>6</v>
          </cell>
          <cell r="EE201">
            <v>76.900000000000006</v>
          </cell>
          <cell r="EF201">
            <v>21</v>
          </cell>
          <cell r="EG201">
            <v>2</v>
          </cell>
          <cell r="EH201">
            <v>91.3</v>
          </cell>
          <cell r="EI201">
            <v>14</v>
          </cell>
          <cell r="EJ201">
            <v>2</v>
          </cell>
          <cell r="EK201">
            <v>87.5</v>
          </cell>
          <cell r="EL201">
            <v>20</v>
          </cell>
          <cell r="EM201">
            <v>5</v>
          </cell>
          <cell r="EN201">
            <v>80</v>
          </cell>
          <cell r="EO201">
            <v>16</v>
          </cell>
          <cell r="EP201">
            <v>4</v>
          </cell>
          <cell r="EQ201">
            <v>80</v>
          </cell>
          <cell r="ER201">
            <v>1973</v>
          </cell>
          <cell r="ES201">
            <v>829</v>
          </cell>
          <cell r="ET201">
            <v>70.400000000000006</v>
          </cell>
          <cell r="EU201">
            <v>2017</v>
          </cell>
          <cell r="EV201">
            <v>748</v>
          </cell>
          <cell r="EW201">
            <v>72.900000000000006</v>
          </cell>
          <cell r="EX201">
            <v>1680</v>
          </cell>
          <cell r="EY201">
            <v>833</v>
          </cell>
          <cell r="EZ201">
            <v>66.900000000000006</v>
          </cell>
          <cell r="FA201">
            <v>1554</v>
          </cell>
          <cell r="FB201">
            <v>727</v>
          </cell>
          <cell r="FC201">
            <v>68.099999999999994</v>
          </cell>
          <cell r="FD201">
            <v>1499</v>
          </cell>
          <cell r="FE201">
            <v>694</v>
          </cell>
          <cell r="FF201">
            <v>68.400000000000006</v>
          </cell>
          <cell r="FG201">
            <v>1612</v>
          </cell>
          <cell r="FH201">
            <v>732</v>
          </cell>
          <cell r="FI201">
            <v>68.8</v>
          </cell>
          <cell r="FJ201">
            <v>1420</v>
          </cell>
          <cell r="FK201">
            <v>601</v>
          </cell>
          <cell r="FL201">
            <v>70.3</v>
          </cell>
          <cell r="FM201">
            <v>1254</v>
          </cell>
          <cell r="FN201">
            <v>520</v>
          </cell>
          <cell r="FO201">
            <v>70.7</v>
          </cell>
          <cell r="FP201">
            <v>141</v>
          </cell>
          <cell r="FQ201">
            <v>31</v>
          </cell>
          <cell r="FR201">
            <v>82</v>
          </cell>
          <cell r="FS201">
            <v>151</v>
          </cell>
          <cell r="FT201">
            <v>21</v>
          </cell>
          <cell r="FU201">
            <v>87.8</v>
          </cell>
          <cell r="FV201">
            <v>174</v>
          </cell>
          <cell r="FW201">
            <v>29</v>
          </cell>
          <cell r="FX201">
            <v>85.7</v>
          </cell>
          <cell r="FY201">
            <v>239</v>
          </cell>
          <cell r="FZ201">
            <v>16</v>
          </cell>
          <cell r="GA201">
            <v>93.7</v>
          </cell>
          <cell r="GB201">
            <v>348</v>
          </cell>
          <cell r="GC201">
            <v>38</v>
          </cell>
          <cell r="GD201">
            <v>90.2</v>
          </cell>
          <cell r="GE201">
            <v>612</v>
          </cell>
          <cell r="GF201">
            <v>93</v>
          </cell>
          <cell r="GG201">
            <v>86.8</v>
          </cell>
          <cell r="GH201">
            <v>318</v>
          </cell>
          <cell r="GI201">
            <v>55</v>
          </cell>
          <cell r="GJ201">
            <v>85.3</v>
          </cell>
          <cell r="GK201">
            <v>170</v>
          </cell>
          <cell r="GL201">
            <v>28</v>
          </cell>
          <cell r="GM201">
            <v>85.9</v>
          </cell>
          <cell r="GN201">
            <v>11924</v>
          </cell>
          <cell r="GO201">
            <v>2621</v>
          </cell>
          <cell r="GP201">
            <v>82</v>
          </cell>
          <cell r="GQ201">
            <v>11282</v>
          </cell>
          <cell r="GR201">
            <v>2834</v>
          </cell>
          <cell r="GS201">
            <v>79.900000000000006</v>
          </cell>
          <cell r="GT201">
            <v>10928</v>
          </cell>
          <cell r="GU201">
            <v>3603</v>
          </cell>
          <cell r="GV201">
            <v>75.2</v>
          </cell>
          <cell r="GW201">
            <v>11220</v>
          </cell>
          <cell r="GX201">
            <v>3686</v>
          </cell>
          <cell r="GY201">
            <v>75.3</v>
          </cell>
          <cell r="GZ201">
            <v>11895</v>
          </cell>
          <cell r="HA201">
            <v>3751</v>
          </cell>
          <cell r="HB201">
            <v>76</v>
          </cell>
          <cell r="HC201">
            <v>11151</v>
          </cell>
          <cell r="HD201">
            <v>3353</v>
          </cell>
          <cell r="HE201">
            <v>76.900000000000006</v>
          </cell>
          <cell r="HF201">
            <v>10225</v>
          </cell>
          <cell r="HG201">
            <v>2951</v>
          </cell>
          <cell r="HH201">
            <v>77.599999999999994</v>
          </cell>
          <cell r="HI201">
            <v>9426</v>
          </cell>
          <cell r="HJ201">
            <v>2636</v>
          </cell>
          <cell r="HK201">
            <v>78.099999999999994</v>
          </cell>
          <cell r="HL201">
            <v>712</v>
          </cell>
          <cell r="HM201">
            <v>661</v>
          </cell>
          <cell r="HN201">
            <v>51.9</v>
          </cell>
          <cell r="HO201">
            <v>620</v>
          </cell>
          <cell r="HP201">
            <v>648</v>
          </cell>
          <cell r="HQ201">
            <v>48.9</v>
          </cell>
          <cell r="HR201">
            <v>555</v>
          </cell>
          <cell r="HS201">
            <v>592</v>
          </cell>
          <cell r="HT201">
            <v>48.4</v>
          </cell>
          <cell r="HU201">
            <v>545</v>
          </cell>
          <cell r="HV201">
            <v>482</v>
          </cell>
          <cell r="HW201">
            <v>53.1</v>
          </cell>
          <cell r="HX201">
            <v>496</v>
          </cell>
          <cell r="HY201">
            <v>405</v>
          </cell>
          <cell r="HZ201">
            <v>55</v>
          </cell>
          <cell r="IA201">
            <v>470</v>
          </cell>
          <cell r="IB201">
            <v>298</v>
          </cell>
          <cell r="IC201">
            <v>61.2</v>
          </cell>
          <cell r="ID201">
            <v>380</v>
          </cell>
          <cell r="IE201">
            <v>264</v>
          </cell>
          <cell r="IF201">
            <v>59</v>
          </cell>
          <cell r="IG201">
            <v>321</v>
          </cell>
          <cell r="IH201">
            <v>243</v>
          </cell>
          <cell r="II201">
            <v>56.9</v>
          </cell>
          <cell r="IJ201">
            <v>651</v>
          </cell>
          <cell r="IK201">
            <v>167</v>
          </cell>
          <cell r="IL201">
            <v>79.599999999999994</v>
          </cell>
          <cell r="IM201">
            <v>589</v>
          </cell>
          <cell r="IN201">
            <v>204</v>
          </cell>
          <cell r="IO201">
            <v>74.3</v>
          </cell>
          <cell r="IP201">
            <v>458</v>
          </cell>
          <cell r="IQ201">
            <v>150</v>
          </cell>
          <cell r="IR201">
            <v>75.3</v>
          </cell>
          <cell r="IS201">
            <v>430</v>
          </cell>
          <cell r="IT201">
            <v>163</v>
          </cell>
          <cell r="IU201">
            <v>72.5</v>
          </cell>
          <cell r="IV201">
            <v>394</v>
          </cell>
          <cell r="IW201">
            <v>177</v>
          </cell>
          <cell r="IX201">
            <v>69</v>
          </cell>
          <cell r="IY201">
            <v>408</v>
          </cell>
          <cell r="IZ201">
            <v>132</v>
          </cell>
          <cell r="JA201">
            <v>75.599999999999994</v>
          </cell>
          <cell r="JB201">
            <v>460</v>
          </cell>
          <cell r="JC201">
            <v>116</v>
          </cell>
          <cell r="JD201">
            <v>79.900000000000006</v>
          </cell>
          <cell r="JE201">
            <v>589</v>
          </cell>
          <cell r="JF201">
            <v>108</v>
          </cell>
          <cell r="JG201">
            <v>84.5</v>
          </cell>
          <cell r="JH201">
            <v>1061</v>
          </cell>
          <cell r="JI201">
            <v>122</v>
          </cell>
          <cell r="JJ201">
            <v>89.687235841081986</v>
          </cell>
          <cell r="JK201">
            <v>509</v>
          </cell>
          <cell r="JL201">
            <v>65</v>
          </cell>
          <cell r="JM201">
            <v>88.675958188153317</v>
          </cell>
          <cell r="JN201">
            <v>450</v>
          </cell>
          <cell r="JO201">
            <v>26</v>
          </cell>
          <cell r="JP201">
            <v>94.537815126050418</v>
          </cell>
          <cell r="JQ201">
            <v>50928</v>
          </cell>
          <cell r="JR201">
            <v>13918</v>
          </cell>
          <cell r="JS201">
            <v>78.536841131295688</v>
          </cell>
          <cell r="JT201">
            <v>25826</v>
          </cell>
          <cell r="JU201">
            <v>10471</v>
          </cell>
          <cell r="JV201">
            <v>71.151885830784906</v>
          </cell>
          <cell r="JW201">
            <v>91</v>
          </cell>
          <cell r="JX201">
            <v>19</v>
          </cell>
          <cell r="JY201">
            <v>82.727272727272734</v>
          </cell>
          <cell r="JZ201">
            <v>7339</v>
          </cell>
          <cell r="KA201">
            <v>3274</v>
          </cell>
          <cell r="KB201">
            <v>69.151041175916333</v>
          </cell>
          <cell r="KC201">
            <v>1687</v>
          </cell>
          <cell r="KD201">
            <v>230</v>
          </cell>
          <cell r="KE201">
            <v>88.00208659363588</v>
          </cell>
          <cell r="KF201">
            <v>53917</v>
          </cell>
          <cell r="KG201">
            <v>16377</v>
          </cell>
          <cell r="KH201">
            <v>76.702136739977817</v>
          </cell>
          <cell r="KI201">
            <v>2212</v>
          </cell>
          <cell r="KJ201">
            <v>1692</v>
          </cell>
          <cell r="KK201">
            <v>56.659836065573764</v>
          </cell>
          <cell r="KL201">
            <v>2281</v>
          </cell>
          <cell r="KM201">
            <v>696</v>
          </cell>
          <cell r="KN201">
            <v>76.620759153510249</v>
          </cell>
        </row>
        <row r="202">
          <cell r="G202">
            <v>76.6207275390625</v>
          </cell>
          <cell r="H202">
            <v>76.6207275390625</v>
          </cell>
          <cell r="I202">
            <v>76.6207275390625</v>
          </cell>
          <cell r="J202">
            <v>76.6207275390625</v>
          </cell>
          <cell r="K202">
            <v>76.6207275390625</v>
          </cell>
          <cell r="L202">
            <v>76.6207275390625</v>
          </cell>
          <cell r="M202">
            <v>76.6207275390625</v>
          </cell>
          <cell r="N202">
            <v>76.6207275390625</v>
          </cell>
          <cell r="O202">
            <v>76.6207275390625</v>
          </cell>
          <cell r="P202">
            <v>76.6207275390625</v>
          </cell>
          <cell r="Q202">
            <v>76.6207275390625</v>
          </cell>
          <cell r="R202">
            <v>76.6207275390625</v>
          </cell>
          <cell r="S202">
            <v>76.6207275390625</v>
          </cell>
          <cell r="T202">
            <v>76.6207275390625</v>
          </cell>
          <cell r="U202">
            <v>76.6207275390625</v>
          </cell>
          <cell r="V202">
            <v>76.6207275390625</v>
          </cell>
          <cell r="W202">
            <v>76.6207275390625</v>
          </cell>
          <cell r="X202">
            <v>76.6207275390625</v>
          </cell>
          <cell r="Y202">
            <v>76.6207275390625</v>
          </cell>
          <cell r="Z202">
            <v>76.6207275390625</v>
          </cell>
          <cell r="AA202">
            <v>76.6207275390625</v>
          </cell>
          <cell r="AB202">
            <v>76.6207275390625</v>
          </cell>
          <cell r="AC202">
            <v>76.6207275390625</v>
          </cell>
          <cell r="AD202">
            <v>76.6207275390625</v>
          </cell>
          <cell r="AE202">
            <v>76.6207275390625</v>
          </cell>
          <cell r="AF202">
            <v>76.6207275390625</v>
          </cell>
          <cell r="AG202">
            <v>76.6207275390625</v>
          </cell>
          <cell r="AH202">
            <v>76.6207275390625</v>
          </cell>
          <cell r="AI202">
            <v>76.6207275390625</v>
          </cell>
          <cell r="AJ202">
            <v>76.6207275390625</v>
          </cell>
          <cell r="AK202">
            <v>76.6207275390625</v>
          </cell>
          <cell r="AL202">
            <v>76.6207275390625</v>
          </cell>
          <cell r="AM202">
            <v>76.6207275390625</v>
          </cell>
          <cell r="AN202">
            <v>76.6207275390625</v>
          </cell>
          <cell r="AO202">
            <v>76.6207275390625</v>
          </cell>
          <cell r="AP202">
            <v>76.6207275390625</v>
          </cell>
          <cell r="AQ202">
            <v>76.6207275390625</v>
          </cell>
          <cell r="AR202">
            <v>76.6207275390625</v>
          </cell>
          <cell r="AS202">
            <v>76.6207275390625</v>
          </cell>
          <cell r="AT202">
            <v>76.6207275390625</v>
          </cell>
          <cell r="AU202">
            <v>76.6207275390625</v>
          </cell>
          <cell r="AV202">
            <v>76.6207275390625</v>
          </cell>
          <cell r="AW202">
            <v>76.6207275390625</v>
          </cell>
          <cell r="AX202">
            <v>76.6207275390625</v>
          </cell>
          <cell r="AY202">
            <v>76.6207275390625</v>
          </cell>
          <cell r="AZ202">
            <v>76.6207275390625</v>
          </cell>
          <cell r="BA202">
            <v>76.6207275390625</v>
          </cell>
          <cell r="BB202">
            <v>76.6207275390625</v>
          </cell>
          <cell r="BC202">
            <v>76.6207275390625</v>
          </cell>
          <cell r="BD202">
            <v>76.6207275390625</v>
          </cell>
          <cell r="BE202">
            <v>76.6207275390625</v>
          </cell>
          <cell r="BF202">
            <v>76.6207275390625</v>
          </cell>
          <cell r="BG202">
            <v>76.6207275390625</v>
          </cell>
          <cell r="BH202">
            <v>76.6207275390625</v>
          </cell>
          <cell r="BI202">
            <v>76.6207275390625</v>
          </cell>
          <cell r="BJ202">
            <v>76.6207275390625</v>
          </cell>
          <cell r="BK202">
            <v>76.6207275390625</v>
          </cell>
          <cell r="BL202">
            <v>76.6207275390625</v>
          </cell>
          <cell r="BM202">
            <v>76.6207275390625</v>
          </cell>
          <cell r="BN202">
            <v>76.6207275390625</v>
          </cell>
          <cell r="BO202">
            <v>76.6207275390625</v>
          </cell>
          <cell r="BP202">
            <v>76.6207275390625</v>
          </cell>
          <cell r="BQ202">
            <v>76.6207275390625</v>
          </cell>
          <cell r="BR202">
            <v>76.6207275390625</v>
          </cell>
          <cell r="BS202">
            <v>76.6207275390625</v>
          </cell>
          <cell r="BT202">
            <v>76.6207275390625</v>
          </cell>
          <cell r="BU202">
            <v>76.6207275390625</v>
          </cell>
          <cell r="BV202">
            <v>76.6207275390625</v>
          </cell>
          <cell r="BW202">
            <v>76.6207275390625</v>
          </cell>
          <cell r="BX202">
            <v>76.6207275390625</v>
          </cell>
          <cell r="BY202">
            <v>76.6207275390625</v>
          </cell>
          <cell r="BZ202">
            <v>76.6207275390625</v>
          </cell>
          <cell r="CA202">
            <v>76.6207275390625</v>
          </cell>
          <cell r="CB202">
            <v>76.6207275390625</v>
          </cell>
          <cell r="CC202">
            <v>76.6207275390625</v>
          </cell>
          <cell r="CD202">
            <v>76.6207275390625</v>
          </cell>
          <cell r="CE202">
            <v>76.6207275390625</v>
          </cell>
          <cell r="CF202">
            <v>76.6207275390625</v>
          </cell>
          <cell r="CG202">
            <v>76.6207275390625</v>
          </cell>
          <cell r="CH202">
            <v>76.6207275390625</v>
          </cell>
          <cell r="CI202">
            <v>76.6207275390625</v>
          </cell>
          <cell r="CJ202">
            <v>76.6207275390625</v>
          </cell>
          <cell r="CK202">
            <v>76.6207275390625</v>
          </cell>
          <cell r="CL202">
            <v>76.6207275390625</v>
          </cell>
          <cell r="CM202">
            <v>76.6207275390625</v>
          </cell>
          <cell r="CN202">
            <v>76.6207275390625</v>
          </cell>
          <cell r="CO202">
            <v>76.6207275390625</v>
          </cell>
          <cell r="CP202">
            <v>76.6207275390625</v>
          </cell>
          <cell r="CQ202">
            <v>76.6207275390625</v>
          </cell>
          <cell r="CR202">
            <v>76.6207275390625</v>
          </cell>
          <cell r="CS202">
            <v>76.6207275390625</v>
          </cell>
          <cell r="CT202">
            <v>76.6207275390625</v>
          </cell>
          <cell r="CU202">
            <v>76.6207275390625</v>
          </cell>
          <cell r="CV202">
            <v>76.6207275390625</v>
          </cell>
          <cell r="CW202">
            <v>76.6207275390625</v>
          </cell>
          <cell r="CX202">
            <v>76.6207275390625</v>
          </cell>
          <cell r="CY202">
            <v>76.6207275390625</v>
          </cell>
          <cell r="CZ202">
            <v>76.6207275390625</v>
          </cell>
          <cell r="DA202">
            <v>76.6207275390625</v>
          </cell>
          <cell r="DB202">
            <v>76.6207275390625</v>
          </cell>
          <cell r="DC202">
            <v>76.6207275390625</v>
          </cell>
          <cell r="DD202">
            <v>76.6207275390625</v>
          </cell>
          <cell r="DE202">
            <v>76.6207275390625</v>
          </cell>
          <cell r="DF202">
            <v>76.6207275390625</v>
          </cell>
          <cell r="DG202">
            <v>76.6207275390625</v>
          </cell>
          <cell r="DH202">
            <v>76.6207275390625</v>
          </cell>
          <cell r="DI202">
            <v>76.6207275390625</v>
          </cell>
          <cell r="DJ202">
            <v>76.6207275390625</v>
          </cell>
          <cell r="DK202">
            <v>76.6207275390625</v>
          </cell>
          <cell r="DL202">
            <v>76.6207275390625</v>
          </cell>
          <cell r="DM202">
            <v>76.6207275390625</v>
          </cell>
          <cell r="DN202">
            <v>76.6207275390625</v>
          </cell>
          <cell r="DO202">
            <v>76.6207275390625</v>
          </cell>
          <cell r="DP202">
            <v>76.6207275390625</v>
          </cell>
          <cell r="DQ202">
            <v>76.6207275390625</v>
          </cell>
          <cell r="DR202">
            <v>76.6207275390625</v>
          </cell>
          <cell r="DS202">
            <v>76.6207275390625</v>
          </cell>
          <cell r="DT202">
            <v>76.6207275390625</v>
          </cell>
          <cell r="DU202">
            <v>76.6207275390625</v>
          </cell>
          <cell r="DV202">
            <v>76.6207275390625</v>
          </cell>
          <cell r="DW202">
            <v>76.6207275390625</v>
          </cell>
          <cell r="DX202">
            <v>76.6207275390625</v>
          </cell>
          <cell r="DY202">
            <v>76.6207275390625</v>
          </cell>
          <cell r="DZ202">
            <v>76.6207275390625</v>
          </cell>
          <cell r="EA202">
            <v>76.6207275390625</v>
          </cell>
          <cell r="EB202">
            <v>76.6207275390625</v>
          </cell>
          <cell r="EC202">
            <v>76.6207275390625</v>
          </cell>
          <cell r="ED202">
            <v>76.6207275390625</v>
          </cell>
          <cell r="EE202">
            <v>76.6207275390625</v>
          </cell>
          <cell r="EF202">
            <v>76.6207275390625</v>
          </cell>
          <cell r="EG202">
            <v>76.6207275390625</v>
          </cell>
          <cell r="EH202">
            <v>76.6207275390625</v>
          </cell>
          <cell r="EI202">
            <v>76.6207275390625</v>
          </cell>
          <cell r="EJ202">
            <v>76.6207275390625</v>
          </cell>
          <cell r="EK202">
            <v>76.6207275390625</v>
          </cell>
          <cell r="EL202">
            <v>76.6207275390625</v>
          </cell>
          <cell r="EM202">
            <v>76.6207275390625</v>
          </cell>
          <cell r="EN202">
            <v>76.6207275390625</v>
          </cell>
          <cell r="EO202">
            <v>76.6207275390625</v>
          </cell>
          <cell r="EP202">
            <v>76.6207275390625</v>
          </cell>
          <cell r="EQ202">
            <v>76.6207275390625</v>
          </cell>
          <cell r="ER202">
            <v>76.6207275390625</v>
          </cell>
          <cell r="ES202">
            <v>76.6207275390625</v>
          </cell>
          <cell r="ET202">
            <v>76.6207275390625</v>
          </cell>
          <cell r="EU202">
            <v>76.6207275390625</v>
          </cell>
          <cell r="EV202">
            <v>76.6207275390625</v>
          </cell>
          <cell r="EW202">
            <v>76.6207275390625</v>
          </cell>
          <cell r="EX202">
            <v>76.6207275390625</v>
          </cell>
          <cell r="EY202">
            <v>76.6207275390625</v>
          </cell>
          <cell r="EZ202">
            <v>76.6207275390625</v>
          </cell>
          <cell r="FA202">
            <v>76.6207275390625</v>
          </cell>
          <cell r="FB202">
            <v>76.6207275390625</v>
          </cell>
          <cell r="FC202">
            <v>76.6207275390625</v>
          </cell>
          <cell r="FD202">
            <v>76.6207275390625</v>
          </cell>
          <cell r="FE202">
            <v>76.6207275390625</v>
          </cell>
          <cell r="FF202">
            <v>76.6207275390625</v>
          </cell>
          <cell r="FG202">
            <v>76.6207275390625</v>
          </cell>
          <cell r="FH202">
            <v>76.6207275390625</v>
          </cell>
          <cell r="FI202">
            <v>76.6207275390625</v>
          </cell>
          <cell r="FJ202">
            <v>76.6207275390625</v>
          </cell>
          <cell r="FK202">
            <v>76.6207275390625</v>
          </cell>
          <cell r="FL202">
            <v>76.6207275390625</v>
          </cell>
          <cell r="FM202">
            <v>76.6207275390625</v>
          </cell>
          <cell r="FN202">
            <v>76.6207275390625</v>
          </cell>
          <cell r="FO202">
            <v>76.6207275390625</v>
          </cell>
          <cell r="FP202">
            <v>76.6207275390625</v>
          </cell>
          <cell r="FQ202">
            <v>76.6207275390625</v>
          </cell>
          <cell r="FR202">
            <v>76.6207275390625</v>
          </cell>
          <cell r="FS202">
            <v>76.6207275390625</v>
          </cell>
          <cell r="FT202">
            <v>76.6207275390625</v>
          </cell>
          <cell r="FU202">
            <v>76.6207275390625</v>
          </cell>
          <cell r="FV202">
            <v>76.6207275390625</v>
          </cell>
          <cell r="FW202">
            <v>76.6207275390625</v>
          </cell>
          <cell r="FX202">
            <v>76.6207275390625</v>
          </cell>
          <cell r="FY202">
            <v>76.6207275390625</v>
          </cell>
          <cell r="FZ202">
            <v>76.6207275390625</v>
          </cell>
          <cell r="GA202">
            <v>76.6207275390625</v>
          </cell>
          <cell r="GB202">
            <v>76.6207275390625</v>
          </cell>
          <cell r="GC202">
            <v>76.6207275390625</v>
          </cell>
          <cell r="GD202">
            <v>76.6207275390625</v>
          </cell>
          <cell r="GE202">
            <v>76.6207275390625</v>
          </cell>
          <cell r="GF202">
            <v>76.6207275390625</v>
          </cell>
          <cell r="GG202">
            <v>76.6207275390625</v>
          </cell>
          <cell r="GH202">
            <v>76.6207275390625</v>
          </cell>
          <cell r="GI202">
            <v>76.6207275390625</v>
          </cell>
          <cell r="GJ202">
            <v>76.6207275390625</v>
          </cell>
          <cell r="GK202">
            <v>76.6207275390625</v>
          </cell>
          <cell r="GL202">
            <v>76.6207275390625</v>
          </cell>
          <cell r="GM202">
            <v>76.6207275390625</v>
          </cell>
          <cell r="GN202">
            <v>76.6207275390625</v>
          </cell>
          <cell r="GO202">
            <v>76.6207275390625</v>
          </cell>
          <cell r="GP202">
            <v>76.6207275390625</v>
          </cell>
          <cell r="GQ202">
            <v>76.6207275390625</v>
          </cell>
          <cell r="GR202">
            <v>76.6207275390625</v>
          </cell>
          <cell r="GS202">
            <v>76.6207275390625</v>
          </cell>
          <cell r="GT202">
            <v>76.6207275390625</v>
          </cell>
          <cell r="GU202">
            <v>76.6207275390625</v>
          </cell>
          <cell r="GV202">
            <v>76.6207275390625</v>
          </cell>
          <cell r="GW202">
            <v>76.6207275390625</v>
          </cell>
          <cell r="GX202">
            <v>76.6207275390625</v>
          </cell>
          <cell r="GY202">
            <v>76.6207275390625</v>
          </cell>
          <cell r="GZ202">
            <v>76.6207275390625</v>
          </cell>
          <cell r="HA202">
            <v>76.6207275390625</v>
          </cell>
          <cell r="HB202">
            <v>76.6207275390625</v>
          </cell>
          <cell r="HC202">
            <v>76.6207275390625</v>
          </cell>
          <cell r="HD202">
            <v>76.6207275390625</v>
          </cell>
          <cell r="HE202">
            <v>76.6207275390625</v>
          </cell>
          <cell r="HF202">
            <v>76.6207275390625</v>
          </cell>
          <cell r="HG202">
            <v>76.6207275390625</v>
          </cell>
          <cell r="HH202">
            <v>76.6207275390625</v>
          </cell>
          <cell r="HI202">
            <v>76.6207275390625</v>
          </cell>
          <cell r="HJ202">
            <v>76.6207275390625</v>
          </cell>
          <cell r="HK202">
            <v>76.6207275390625</v>
          </cell>
          <cell r="HL202">
            <v>76.6207275390625</v>
          </cell>
          <cell r="HM202">
            <v>76.6207275390625</v>
          </cell>
          <cell r="HN202">
            <v>76.6207275390625</v>
          </cell>
          <cell r="HO202">
            <v>76.6207275390625</v>
          </cell>
          <cell r="HP202">
            <v>76.6207275390625</v>
          </cell>
          <cell r="HQ202">
            <v>76.6207275390625</v>
          </cell>
          <cell r="HR202">
            <v>76.6207275390625</v>
          </cell>
          <cell r="HS202">
            <v>76.6207275390625</v>
          </cell>
          <cell r="HT202">
            <v>76.6207275390625</v>
          </cell>
          <cell r="HU202">
            <v>76.6207275390625</v>
          </cell>
          <cell r="HV202">
            <v>76.6207275390625</v>
          </cell>
          <cell r="HW202">
            <v>76.6207275390625</v>
          </cell>
          <cell r="HX202">
            <v>76.6207275390625</v>
          </cell>
          <cell r="HY202">
            <v>76.6207275390625</v>
          </cell>
          <cell r="HZ202">
            <v>76.6207275390625</v>
          </cell>
          <cell r="IA202">
            <v>76.6207275390625</v>
          </cell>
          <cell r="IB202">
            <v>76.6207275390625</v>
          </cell>
          <cell r="IC202">
            <v>76.6207275390625</v>
          </cell>
          <cell r="ID202">
            <v>76.6207275390625</v>
          </cell>
          <cell r="IE202">
            <v>76.6207275390625</v>
          </cell>
          <cell r="IF202">
            <v>76.6207275390625</v>
          </cell>
          <cell r="IG202">
            <v>76.6207275390625</v>
          </cell>
          <cell r="IH202">
            <v>76.6207275390625</v>
          </cell>
          <cell r="II202">
            <v>76.6207275390625</v>
          </cell>
          <cell r="IJ202">
            <v>76.6207275390625</v>
          </cell>
          <cell r="IK202">
            <v>76.6207275390625</v>
          </cell>
          <cell r="IL202">
            <v>76.6207275390625</v>
          </cell>
          <cell r="IM202">
            <v>76.6207275390625</v>
          </cell>
          <cell r="IN202">
            <v>76.6207275390625</v>
          </cell>
          <cell r="IO202">
            <v>76.6207275390625</v>
          </cell>
          <cell r="IP202">
            <v>76.6207275390625</v>
          </cell>
          <cell r="IQ202">
            <v>76.6207275390625</v>
          </cell>
          <cell r="IR202">
            <v>76.6207275390625</v>
          </cell>
          <cell r="IS202">
            <v>76.6207275390625</v>
          </cell>
          <cell r="IT202">
            <v>76.6207275390625</v>
          </cell>
          <cell r="IU202">
            <v>76.6207275390625</v>
          </cell>
          <cell r="IV202">
            <v>76.6207275390625</v>
          </cell>
          <cell r="IW202">
            <v>76.6207275390625</v>
          </cell>
          <cell r="IX202">
            <v>76.6207275390625</v>
          </cell>
          <cell r="IY202">
            <v>76.6207275390625</v>
          </cell>
          <cell r="IZ202">
            <v>76.6207275390625</v>
          </cell>
          <cell r="JA202">
            <v>76.6207275390625</v>
          </cell>
          <cell r="JB202">
            <v>76.6207275390625</v>
          </cell>
          <cell r="JC202">
            <v>76.6207275390625</v>
          </cell>
          <cell r="JD202">
            <v>76.6207275390625</v>
          </cell>
          <cell r="JE202">
            <v>76.6207275390625</v>
          </cell>
          <cell r="JF202">
            <v>76.6207275390625</v>
          </cell>
          <cell r="JG202">
            <v>76.6207275390625</v>
          </cell>
        </row>
        <row r="203">
          <cell r="IH203">
            <v>76.6207275390625</v>
          </cell>
          <cell r="JE203">
            <v>76.6207275390625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tabColor rgb="FFC00000"/>
  </sheetPr>
  <dimension ref="A1:C200"/>
  <sheetViews>
    <sheetView workbookViewId="0">
      <selection activeCell="A7" sqref="A7"/>
    </sheetView>
  </sheetViews>
  <sheetFormatPr defaultRowHeight="15" x14ac:dyDescent="0.25"/>
  <cols>
    <col min="1" max="1" width="50.42578125" customWidth="1"/>
  </cols>
  <sheetData>
    <row r="1" spans="1:1" ht="30.75" customHeight="1" x14ac:dyDescent="0.25">
      <c r="A1" s="198" t="s">
        <v>793</v>
      </c>
    </row>
    <row r="2" spans="1:1" ht="36" customHeight="1" x14ac:dyDescent="0.25">
      <c r="A2" s="272" t="s">
        <v>560</v>
      </c>
    </row>
    <row r="200" spans="1:3" x14ac:dyDescent="0.25">
      <c r="A200" t="s">
        <v>1072</v>
      </c>
      <c r="B200" t="s">
        <v>1072</v>
      </c>
      <c r="C200" t="s">
        <v>1072</v>
      </c>
    </row>
  </sheetData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9"/>
  <dimension ref="A1:U177"/>
  <sheetViews>
    <sheetView workbookViewId="0">
      <selection activeCell="U13" sqref="U13"/>
    </sheetView>
  </sheetViews>
  <sheetFormatPr defaultColWidth="9.140625" defaultRowHeight="12.75" x14ac:dyDescent="0.2"/>
  <cols>
    <col min="1" max="1" width="3" style="94" bestFit="1" customWidth="1"/>
    <col min="2" max="2" width="5" style="94" bestFit="1" customWidth="1"/>
    <col min="3" max="3" width="6.5703125" style="141" customWidth="1"/>
    <col min="4" max="4" width="35.85546875" style="94" bestFit="1" customWidth="1"/>
    <col min="5" max="8" width="9.85546875" style="94" customWidth="1"/>
    <col min="9" max="11" width="9.85546875" style="94" bestFit="1" customWidth="1"/>
    <col min="12" max="14" width="8.85546875" style="94" bestFit="1" customWidth="1"/>
    <col min="15" max="15" width="13.42578125" style="94" customWidth="1"/>
    <col min="16" max="16" width="13.7109375" style="94" customWidth="1"/>
    <col min="17" max="17" width="9.140625" style="94"/>
    <col min="18" max="19" width="10.5703125" style="94" bestFit="1" customWidth="1"/>
    <col min="20" max="16384" width="9.140625" style="94"/>
  </cols>
  <sheetData>
    <row r="1" spans="1:19" ht="24" customHeight="1" thickBot="1" x14ac:dyDescent="0.25">
      <c r="B1" s="95" t="s">
        <v>41</v>
      </c>
      <c r="C1" s="96" t="s">
        <v>42</v>
      </c>
      <c r="D1" s="97" t="s">
        <v>43</v>
      </c>
      <c r="E1" s="98">
        <v>2005</v>
      </c>
      <c r="F1" s="99">
        <v>2006</v>
      </c>
      <c r="G1" s="99">
        <v>2007</v>
      </c>
      <c r="H1" s="99">
        <v>2008</v>
      </c>
      <c r="I1" s="100" t="s">
        <v>44</v>
      </c>
      <c r="J1" s="100" t="s">
        <v>45</v>
      </c>
      <c r="K1" s="100" t="s">
        <v>46</v>
      </c>
      <c r="L1" s="100" t="s">
        <v>47</v>
      </c>
      <c r="M1" s="100">
        <v>2013</v>
      </c>
      <c r="N1" s="100">
        <v>2014</v>
      </c>
      <c r="O1" s="100" t="s">
        <v>48</v>
      </c>
      <c r="P1" s="100" t="s">
        <v>49</v>
      </c>
      <c r="Q1" s="100">
        <v>2016</v>
      </c>
      <c r="R1" s="844" t="s">
        <v>1166</v>
      </c>
      <c r="S1" s="480" t="s">
        <v>1171</v>
      </c>
    </row>
    <row r="2" spans="1:19" x14ac:dyDescent="0.2">
      <c r="A2" s="101"/>
      <c r="B2" s="102" t="s">
        <v>50</v>
      </c>
      <c r="C2" s="103" t="s">
        <v>51</v>
      </c>
      <c r="D2" s="104" t="s">
        <v>545</v>
      </c>
      <c r="E2" s="105">
        <v>1697343</v>
      </c>
      <c r="F2" s="106">
        <v>1698106</v>
      </c>
      <c r="G2" s="106">
        <v>1696128</v>
      </c>
      <c r="H2" s="106">
        <v>1702297</v>
      </c>
      <c r="I2" s="107">
        <v>1712210</v>
      </c>
      <c r="J2" s="107">
        <v>1721556</v>
      </c>
      <c r="K2" s="107">
        <v>1733685</v>
      </c>
      <c r="L2" s="107">
        <v>1740041</v>
      </c>
      <c r="M2" s="108">
        <v>1735711</v>
      </c>
      <c r="N2" s="107">
        <v>1744665</v>
      </c>
      <c r="O2" s="108">
        <v>1757618</v>
      </c>
      <c r="P2" s="107">
        <v>1757618</v>
      </c>
      <c r="Q2" s="107">
        <v>1759407</v>
      </c>
      <c r="R2" s="845">
        <v>1752704</v>
      </c>
      <c r="S2" s="667"/>
    </row>
    <row r="3" spans="1:19" x14ac:dyDescent="0.2">
      <c r="B3" s="109" t="s">
        <v>52</v>
      </c>
      <c r="C3" s="110" t="s">
        <v>53</v>
      </c>
      <c r="D3" s="111" t="s">
        <v>54</v>
      </c>
      <c r="E3" s="109">
        <v>24760</v>
      </c>
      <c r="F3" s="112">
        <v>24786</v>
      </c>
      <c r="G3" s="112">
        <v>24707</v>
      </c>
      <c r="H3" s="112">
        <v>24665</v>
      </c>
      <c r="I3" s="113">
        <v>24728</v>
      </c>
      <c r="J3" s="113">
        <v>24653</v>
      </c>
      <c r="K3" s="113">
        <v>24628</v>
      </c>
      <c r="L3" s="113">
        <v>24528</v>
      </c>
      <c r="M3" s="114">
        <v>24561</v>
      </c>
      <c r="N3" s="113">
        <v>24679</v>
      </c>
      <c r="O3" s="114">
        <v>24933</v>
      </c>
      <c r="P3" s="113">
        <v>24933</v>
      </c>
      <c r="Q3" s="113">
        <v>25196</v>
      </c>
      <c r="R3" s="846">
        <v>25219</v>
      </c>
      <c r="S3" s="668"/>
    </row>
    <row r="4" spans="1:19" x14ac:dyDescent="0.2">
      <c r="B4" s="109" t="s">
        <v>55</v>
      </c>
      <c r="C4" s="110" t="s">
        <v>56</v>
      </c>
      <c r="D4" s="111" t="s">
        <v>57</v>
      </c>
      <c r="E4" s="109">
        <v>87438</v>
      </c>
      <c r="F4" s="112">
        <v>88036</v>
      </c>
      <c r="G4" s="112">
        <v>88058</v>
      </c>
      <c r="H4" s="112">
        <v>88187</v>
      </c>
      <c r="I4" s="113">
        <v>88729</v>
      </c>
      <c r="J4" s="113">
        <v>88043</v>
      </c>
      <c r="K4" s="113">
        <v>88086</v>
      </c>
      <c r="L4" s="113">
        <v>88011</v>
      </c>
      <c r="M4" s="114">
        <v>88477</v>
      </c>
      <c r="N4" s="113">
        <v>89339</v>
      </c>
      <c r="O4" s="114">
        <v>89598</v>
      </c>
      <c r="P4" s="113">
        <v>89598</v>
      </c>
      <c r="Q4" s="113">
        <v>89903</v>
      </c>
      <c r="R4" s="846">
        <v>89889</v>
      </c>
      <c r="S4" s="668"/>
    </row>
    <row r="5" spans="1:19" x14ac:dyDescent="0.2">
      <c r="B5" s="109" t="s">
        <v>58</v>
      </c>
      <c r="C5" s="110" t="s">
        <v>59</v>
      </c>
      <c r="D5" s="111" t="s">
        <v>60</v>
      </c>
      <c r="E5" s="109">
        <v>125765</v>
      </c>
      <c r="F5" s="112">
        <v>124973</v>
      </c>
      <c r="G5" s="112">
        <v>124256</v>
      </c>
      <c r="H5" s="112">
        <v>123737</v>
      </c>
      <c r="I5" s="113">
        <v>123723</v>
      </c>
      <c r="J5" s="113">
        <v>123532</v>
      </c>
      <c r="K5" s="113">
        <v>123552</v>
      </c>
      <c r="L5" s="113">
        <v>123889</v>
      </c>
      <c r="M5" s="114">
        <v>126654</v>
      </c>
      <c r="N5" s="113">
        <v>127602</v>
      </c>
      <c r="O5" s="114">
        <v>128535</v>
      </c>
      <c r="P5" s="113">
        <v>128535</v>
      </c>
      <c r="Q5" s="113">
        <v>130415</v>
      </c>
      <c r="R5" s="846">
        <v>130175</v>
      </c>
      <c r="S5" s="668"/>
    </row>
    <row r="6" spans="1:19" x14ac:dyDescent="0.2">
      <c r="B6" s="109" t="s">
        <v>61</v>
      </c>
      <c r="C6" s="110" t="s">
        <v>62</v>
      </c>
      <c r="D6" s="111" t="s">
        <v>63</v>
      </c>
      <c r="E6" s="109">
        <v>99067</v>
      </c>
      <c r="F6" s="112">
        <v>98301</v>
      </c>
      <c r="G6" s="112">
        <v>98518</v>
      </c>
      <c r="H6" s="112">
        <v>98381</v>
      </c>
      <c r="I6" s="113">
        <v>98374</v>
      </c>
      <c r="J6" s="113">
        <v>98402</v>
      </c>
      <c r="K6" s="113">
        <v>98800</v>
      </c>
      <c r="L6" s="113">
        <v>99050</v>
      </c>
      <c r="M6" s="114">
        <v>99784</v>
      </c>
      <c r="N6" s="113">
        <v>100282</v>
      </c>
      <c r="O6" s="114">
        <v>101182</v>
      </c>
      <c r="P6" s="113">
        <v>101182</v>
      </c>
      <c r="Q6" s="113">
        <v>101558</v>
      </c>
      <c r="R6" s="846">
        <v>101480</v>
      </c>
      <c r="S6" s="668"/>
    </row>
    <row r="7" spans="1:19" x14ac:dyDescent="0.2">
      <c r="B7" s="109" t="s">
        <v>64</v>
      </c>
      <c r="C7" s="110" t="s">
        <v>65</v>
      </c>
      <c r="D7" s="111" t="s">
        <v>66</v>
      </c>
      <c r="E7" s="109">
        <v>27174</v>
      </c>
      <c r="F7" s="112">
        <v>27373</v>
      </c>
      <c r="G7" s="112">
        <v>27055</v>
      </c>
      <c r="H7" s="112">
        <v>27023</v>
      </c>
      <c r="I7" s="113">
        <v>27283</v>
      </c>
      <c r="J7" s="113">
        <v>27081</v>
      </c>
      <c r="K7" s="113">
        <v>27146</v>
      </c>
      <c r="L7" s="113">
        <v>27342</v>
      </c>
      <c r="M7" s="114">
        <v>26058</v>
      </c>
      <c r="N7" s="113">
        <v>26048</v>
      </c>
      <c r="O7" s="114">
        <v>26277</v>
      </c>
      <c r="P7" s="113">
        <v>26277</v>
      </c>
      <c r="Q7" s="113">
        <v>26284</v>
      </c>
      <c r="R7" s="846">
        <v>38406</v>
      </c>
      <c r="S7" s="668"/>
    </row>
    <row r="8" spans="1:19" x14ac:dyDescent="0.2">
      <c r="B8" s="109" t="s">
        <v>67</v>
      </c>
      <c r="C8" s="110" t="s">
        <v>68</v>
      </c>
      <c r="D8" s="111" t="s">
        <v>69</v>
      </c>
      <c r="E8" s="109">
        <v>41791</v>
      </c>
      <c r="F8" s="112">
        <v>42038</v>
      </c>
      <c r="G8" s="112">
        <v>41839</v>
      </c>
      <c r="H8" s="112">
        <v>41784</v>
      </c>
      <c r="I8" s="113">
        <v>42120</v>
      </c>
      <c r="J8" s="113">
        <v>42686</v>
      </c>
      <c r="K8" s="113">
        <v>42979</v>
      </c>
      <c r="L8" s="113">
        <v>43377</v>
      </c>
      <c r="M8" s="114">
        <v>37890</v>
      </c>
      <c r="N8" s="113">
        <v>38286</v>
      </c>
      <c r="O8" s="114">
        <v>38757</v>
      </c>
      <c r="P8" s="113">
        <v>38757</v>
      </c>
      <c r="Q8" s="113">
        <v>38504</v>
      </c>
      <c r="R8" s="846">
        <v>53045</v>
      </c>
      <c r="S8" s="668"/>
    </row>
    <row r="9" spans="1:19" x14ac:dyDescent="0.2">
      <c r="B9" s="109" t="s">
        <v>70</v>
      </c>
      <c r="C9" s="110" t="s">
        <v>71</v>
      </c>
      <c r="D9" s="111" t="s">
        <v>72</v>
      </c>
      <c r="E9" s="109">
        <v>60516</v>
      </c>
      <c r="F9" s="112">
        <v>62159</v>
      </c>
      <c r="G9" s="112">
        <v>62001</v>
      </c>
      <c r="H9" s="112">
        <v>62034</v>
      </c>
      <c r="I9" s="113">
        <v>62530</v>
      </c>
      <c r="J9" s="113">
        <v>64377</v>
      </c>
      <c r="K9" s="113">
        <v>64451</v>
      </c>
      <c r="L9" s="113">
        <v>64767</v>
      </c>
      <c r="M9" s="114">
        <v>55618</v>
      </c>
      <c r="N9" s="113">
        <v>55121</v>
      </c>
      <c r="O9" s="114">
        <v>54129</v>
      </c>
      <c r="P9" s="113">
        <v>54129</v>
      </c>
      <c r="Q9" s="113">
        <v>53381</v>
      </c>
      <c r="R9" s="846">
        <v>76152</v>
      </c>
      <c r="S9" s="668"/>
    </row>
    <row r="10" spans="1:19" x14ac:dyDescent="0.2">
      <c r="B10" s="109" t="s">
        <v>73</v>
      </c>
      <c r="C10" s="110" t="s">
        <v>74</v>
      </c>
      <c r="D10" s="111" t="s">
        <v>75</v>
      </c>
      <c r="E10" s="109">
        <v>79573</v>
      </c>
      <c r="F10" s="112">
        <v>80117</v>
      </c>
      <c r="G10" s="112">
        <v>80166</v>
      </c>
      <c r="H10" s="112">
        <v>81447</v>
      </c>
      <c r="I10" s="113">
        <v>82222</v>
      </c>
      <c r="J10" s="113">
        <v>83465</v>
      </c>
      <c r="K10" s="113">
        <v>84300</v>
      </c>
      <c r="L10" s="113">
        <v>85173</v>
      </c>
      <c r="M10" s="114">
        <v>75042</v>
      </c>
      <c r="N10" s="113">
        <v>75294</v>
      </c>
      <c r="O10" s="114">
        <v>76957</v>
      </c>
      <c r="P10" s="113">
        <v>76957</v>
      </c>
      <c r="Q10" s="113">
        <v>76811</v>
      </c>
      <c r="R10" s="846">
        <v>59483</v>
      </c>
      <c r="S10" s="668"/>
    </row>
    <row r="11" spans="1:19" x14ac:dyDescent="0.2">
      <c r="B11" s="109" t="s">
        <v>76</v>
      </c>
      <c r="C11" s="110" t="s">
        <v>77</v>
      </c>
      <c r="D11" s="111" t="s">
        <v>78</v>
      </c>
      <c r="E11" s="109">
        <v>59728</v>
      </c>
      <c r="F11" s="112">
        <v>59854</v>
      </c>
      <c r="G11" s="112">
        <v>59992</v>
      </c>
      <c r="H11" s="112">
        <v>60892</v>
      </c>
      <c r="I11" s="113">
        <v>61576</v>
      </c>
      <c r="J11" s="113">
        <v>62708</v>
      </c>
      <c r="K11" s="113">
        <v>63268</v>
      </c>
      <c r="L11" s="113">
        <v>63697</v>
      </c>
      <c r="M11" s="114">
        <v>58747</v>
      </c>
      <c r="N11" s="113">
        <v>59019</v>
      </c>
      <c r="O11" s="114">
        <v>59121</v>
      </c>
      <c r="P11" s="113">
        <v>59121</v>
      </c>
      <c r="Q11" s="113">
        <v>59056</v>
      </c>
      <c r="R11" s="846">
        <v>25917</v>
      </c>
      <c r="S11" s="668"/>
    </row>
    <row r="12" spans="1:19" x14ac:dyDescent="0.2">
      <c r="B12" s="109" t="s">
        <v>79</v>
      </c>
      <c r="C12" s="110" t="s">
        <v>80</v>
      </c>
      <c r="D12" s="111" t="s">
        <v>81</v>
      </c>
      <c r="E12" s="109">
        <v>77435</v>
      </c>
      <c r="F12" s="112">
        <v>77904</v>
      </c>
      <c r="G12" s="112">
        <v>77822</v>
      </c>
      <c r="H12" s="112">
        <v>78484</v>
      </c>
      <c r="I12" s="113">
        <v>79270</v>
      </c>
      <c r="J12" s="113">
        <v>80357</v>
      </c>
      <c r="K12" s="113">
        <v>80845</v>
      </c>
      <c r="L12" s="113">
        <v>81475</v>
      </c>
      <c r="M12" s="114">
        <v>79160</v>
      </c>
      <c r="N12" s="113">
        <v>78986</v>
      </c>
      <c r="O12" s="114">
        <v>78703</v>
      </c>
      <c r="P12" s="113">
        <v>78703</v>
      </c>
      <c r="Q12" s="113">
        <v>78414</v>
      </c>
      <c r="R12" s="846">
        <v>77906</v>
      </c>
      <c r="S12" s="668"/>
    </row>
    <row r="13" spans="1:19" x14ac:dyDescent="0.2">
      <c r="B13" s="109" t="s">
        <v>82</v>
      </c>
      <c r="C13" s="110" t="s">
        <v>83</v>
      </c>
      <c r="D13" s="111" t="s">
        <v>84</v>
      </c>
      <c r="E13" s="109">
        <v>136608</v>
      </c>
      <c r="F13" s="112">
        <v>136503</v>
      </c>
      <c r="G13" s="112">
        <v>136577</v>
      </c>
      <c r="H13" s="112">
        <v>137426</v>
      </c>
      <c r="I13" s="113">
        <v>139049</v>
      </c>
      <c r="J13" s="113">
        <v>139892</v>
      </c>
      <c r="K13" s="113">
        <v>144992</v>
      </c>
      <c r="L13" s="113">
        <v>145510</v>
      </c>
      <c r="M13" s="114">
        <v>144599</v>
      </c>
      <c r="N13" s="113">
        <v>147275</v>
      </c>
      <c r="O13" s="114">
        <v>152620</v>
      </c>
      <c r="P13" s="113">
        <v>152620</v>
      </c>
      <c r="Q13" s="113">
        <v>151812</v>
      </c>
      <c r="R13" s="846">
        <v>150978</v>
      </c>
      <c r="S13" s="668"/>
    </row>
    <row r="14" spans="1:19" x14ac:dyDescent="0.2">
      <c r="B14" s="109" t="s">
        <v>85</v>
      </c>
      <c r="C14" s="110" t="s">
        <v>86</v>
      </c>
      <c r="D14" s="111" t="s">
        <v>87</v>
      </c>
      <c r="E14" s="109">
        <v>56694</v>
      </c>
      <c r="F14" s="112">
        <v>56768</v>
      </c>
      <c r="G14" s="112">
        <v>56461</v>
      </c>
      <c r="H14" s="112">
        <v>56257</v>
      </c>
      <c r="I14" s="113">
        <v>56544</v>
      </c>
      <c r="J14" s="113">
        <v>55980</v>
      </c>
      <c r="K14" s="113">
        <v>55922</v>
      </c>
      <c r="L14" s="113">
        <v>55776</v>
      </c>
      <c r="M14" s="114">
        <v>57922</v>
      </c>
      <c r="N14" s="113">
        <v>58068</v>
      </c>
      <c r="O14" s="114">
        <v>58322</v>
      </c>
      <c r="P14" s="113">
        <v>58322</v>
      </c>
      <c r="Q14" s="113">
        <v>58171</v>
      </c>
      <c r="R14" s="846">
        <v>57656</v>
      </c>
      <c r="S14" s="668"/>
    </row>
    <row r="15" spans="1:19" x14ac:dyDescent="0.2">
      <c r="B15" s="109" t="s">
        <v>88</v>
      </c>
      <c r="C15" s="110" t="s">
        <v>89</v>
      </c>
      <c r="D15" s="111" t="s">
        <v>90</v>
      </c>
      <c r="E15" s="109">
        <v>108490</v>
      </c>
      <c r="F15" s="112">
        <v>109394</v>
      </c>
      <c r="G15" s="112">
        <v>109935</v>
      </c>
      <c r="H15" s="112">
        <v>111681</v>
      </c>
      <c r="I15" s="113">
        <v>113531</v>
      </c>
      <c r="J15" s="113">
        <v>115360</v>
      </c>
      <c r="K15" s="113">
        <v>117055</v>
      </c>
      <c r="L15" s="113">
        <v>118320</v>
      </c>
      <c r="M15" s="114">
        <v>117866</v>
      </c>
      <c r="N15" s="113">
        <v>119352</v>
      </c>
      <c r="O15" s="114">
        <v>120199</v>
      </c>
      <c r="P15" s="113">
        <v>120199</v>
      </c>
      <c r="Q15" s="113">
        <v>120256</v>
      </c>
      <c r="R15" s="846">
        <v>119575</v>
      </c>
      <c r="S15" s="668"/>
    </row>
    <row r="16" spans="1:19" x14ac:dyDescent="0.2">
      <c r="B16" s="109" t="s">
        <v>91</v>
      </c>
      <c r="C16" s="110" t="s">
        <v>92</v>
      </c>
      <c r="D16" s="111" t="s">
        <v>93</v>
      </c>
      <c r="E16" s="109">
        <v>116537</v>
      </c>
      <c r="F16" s="112">
        <v>116462</v>
      </c>
      <c r="G16" s="112">
        <v>116897</v>
      </c>
      <c r="H16" s="112">
        <v>118435</v>
      </c>
      <c r="I16" s="113">
        <v>120148</v>
      </c>
      <c r="J16" s="113">
        <v>121721</v>
      </c>
      <c r="K16" s="113">
        <v>123128</v>
      </c>
      <c r="L16" s="113">
        <v>123786</v>
      </c>
      <c r="M16" s="114">
        <v>123492</v>
      </c>
      <c r="N16" s="113">
        <v>124300</v>
      </c>
      <c r="O16" s="114">
        <v>124956</v>
      </c>
      <c r="P16" s="113">
        <v>124956</v>
      </c>
      <c r="Q16" s="113">
        <v>124841</v>
      </c>
      <c r="R16" s="846">
        <v>123990</v>
      </c>
      <c r="S16" s="668"/>
    </row>
    <row r="17" spans="1:19" x14ac:dyDescent="0.2">
      <c r="B17" s="109" t="s">
        <v>94</v>
      </c>
      <c r="C17" s="110" t="s">
        <v>95</v>
      </c>
      <c r="D17" s="111" t="s">
        <v>96</v>
      </c>
      <c r="E17" s="109">
        <v>81925</v>
      </c>
      <c r="F17" s="112">
        <v>81496</v>
      </c>
      <c r="G17" s="112">
        <v>81061</v>
      </c>
      <c r="H17" s="112">
        <v>80533</v>
      </c>
      <c r="I17" s="113">
        <v>80218</v>
      </c>
      <c r="J17" s="113">
        <v>80030</v>
      </c>
      <c r="K17" s="113">
        <v>79944</v>
      </c>
      <c r="L17" s="113">
        <v>79779</v>
      </c>
      <c r="M17" s="114">
        <v>80686</v>
      </c>
      <c r="N17" s="113">
        <v>80287</v>
      </c>
      <c r="O17" s="114">
        <v>80327</v>
      </c>
      <c r="P17" s="113">
        <v>80327</v>
      </c>
      <c r="Q17" s="113">
        <v>80573</v>
      </c>
      <c r="R17" s="846">
        <v>73783</v>
      </c>
      <c r="S17" s="668"/>
    </row>
    <row r="18" spans="1:19" x14ac:dyDescent="0.2">
      <c r="B18" s="109" t="s">
        <v>97</v>
      </c>
      <c r="C18" s="110" t="s">
        <v>98</v>
      </c>
      <c r="D18" s="111" t="s">
        <v>99</v>
      </c>
      <c r="E18" s="109">
        <v>68912</v>
      </c>
      <c r="F18" s="112">
        <v>68644</v>
      </c>
      <c r="G18" s="112">
        <v>68400</v>
      </c>
      <c r="H18" s="112">
        <v>68298</v>
      </c>
      <c r="I18" s="113">
        <v>68484</v>
      </c>
      <c r="J18" s="113">
        <v>68368</v>
      </c>
      <c r="K18" s="113">
        <v>68393</v>
      </c>
      <c r="L18" s="113">
        <v>68235</v>
      </c>
      <c r="M18" s="114">
        <v>72181</v>
      </c>
      <c r="N18" s="113">
        <v>72639</v>
      </c>
      <c r="O18" s="114">
        <v>72904</v>
      </c>
      <c r="P18" s="113">
        <v>72904</v>
      </c>
      <c r="Q18" s="113">
        <v>73486</v>
      </c>
      <c r="R18" s="846">
        <v>87773</v>
      </c>
      <c r="S18" s="668"/>
    </row>
    <row r="19" spans="1:19" x14ac:dyDescent="0.2">
      <c r="B19" s="109" t="s">
        <v>100</v>
      </c>
      <c r="C19" s="110" t="s">
        <v>101</v>
      </c>
      <c r="D19" s="111" t="s">
        <v>102</v>
      </c>
      <c r="E19" s="109">
        <v>77890</v>
      </c>
      <c r="F19" s="112">
        <v>77599</v>
      </c>
      <c r="G19" s="112">
        <v>77586</v>
      </c>
      <c r="H19" s="112">
        <v>77775</v>
      </c>
      <c r="I19" s="113">
        <v>78250</v>
      </c>
      <c r="J19" s="113">
        <v>78442</v>
      </c>
      <c r="K19" s="113">
        <v>78599</v>
      </c>
      <c r="L19" s="113">
        <v>78537</v>
      </c>
      <c r="M19" s="114">
        <v>87055</v>
      </c>
      <c r="N19" s="113">
        <v>87356</v>
      </c>
      <c r="O19" s="114">
        <v>87569</v>
      </c>
      <c r="P19" s="113">
        <v>87569</v>
      </c>
      <c r="Q19" s="113">
        <v>87793</v>
      </c>
      <c r="R19" s="846">
        <v>101757</v>
      </c>
      <c r="S19" s="668"/>
    </row>
    <row r="20" spans="1:19" x14ac:dyDescent="0.2">
      <c r="B20" s="109" t="s">
        <v>103</v>
      </c>
      <c r="C20" s="110" t="s">
        <v>104</v>
      </c>
      <c r="D20" s="111" t="s">
        <v>105</v>
      </c>
      <c r="E20" s="109">
        <v>93400</v>
      </c>
      <c r="F20" s="112">
        <v>93236</v>
      </c>
      <c r="G20" s="112">
        <v>93120</v>
      </c>
      <c r="H20" s="112">
        <v>93239</v>
      </c>
      <c r="I20" s="113">
        <v>93225</v>
      </c>
      <c r="J20" s="113">
        <v>93652</v>
      </c>
      <c r="K20" s="113">
        <v>94041</v>
      </c>
      <c r="L20" s="113">
        <v>94663</v>
      </c>
      <c r="M20" s="114">
        <v>100912</v>
      </c>
      <c r="N20" s="113">
        <v>101317</v>
      </c>
      <c r="O20" s="114">
        <v>101613</v>
      </c>
      <c r="P20" s="113">
        <v>101613</v>
      </c>
      <c r="Q20" s="113">
        <v>101738</v>
      </c>
      <c r="R20" s="846">
        <v>60131</v>
      </c>
      <c r="S20" s="668"/>
    </row>
    <row r="21" spans="1:19" x14ac:dyDescent="0.2">
      <c r="B21" s="109" t="s">
        <v>106</v>
      </c>
      <c r="C21" s="110" t="s">
        <v>107</v>
      </c>
      <c r="D21" s="111" t="s">
        <v>108</v>
      </c>
      <c r="E21" s="109">
        <v>61717</v>
      </c>
      <c r="F21" s="112">
        <v>61381</v>
      </c>
      <c r="G21" s="112">
        <v>61223</v>
      </c>
      <c r="H21" s="112">
        <v>61453</v>
      </c>
      <c r="I21" s="113">
        <v>61610</v>
      </c>
      <c r="J21" s="113">
        <v>61726</v>
      </c>
      <c r="K21" s="113">
        <v>62031</v>
      </c>
      <c r="L21" s="113">
        <v>62210</v>
      </c>
      <c r="M21" s="114">
        <v>60696</v>
      </c>
      <c r="N21" s="113">
        <v>60738</v>
      </c>
      <c r="O21" s="114">
        <v>60904</v>
      </c>
      <c r="P21" s="113">
        <v>60904</v>
      </c>
      <c r="Q21" s="113">
        <v>60731</v>
      </c>
      <c r="R21" s="846">
        <v>80061</v>
      </c>
      <c r="S21" s="668"/>
    </row>
    <row r="22" spans="1:19" x14ac:dyDescent="0.2">
      <c r="B22" s="109" t="s">
        <v>109</v>
      </c>
      <c r="C22" s="110" t="s">
        <v>110</v>
      </c>
      <c r="D22" s="111" t="s">
        <v>111</v>
      </c>
      <c r="E22" s="109">
        <v>84225</v>
      </c>
      <c r="F22" s="112">
        <v>84097</v>
      </c>
      <c r="G22" s="112">
        <v>83663</v>
      </c>
      <c r="H22" s="112">
        <v>83778</v>
      </c>
      <c r="I22" s="113">
        <v>83758</v>
      </c>
      <c r="J22" s="113">
        <v>83617</v>
      </c>
      <c r="K22" s="113">
        <v>83711</v>
      </c>
      <c r="L22" s="113">
        <v>83869</v>
      </c>
      <c r="M22" s="114">
        <v>87525</v>
      </c>
      <c r="N22" s="113">
        <v>87826</v>
      </c>
      <c r="O22" s="114">
        <v>88684</v>
      </c>
      <c r="P22" s="113">
        <v>88684</v>
      </c>
      <c r="Q22" s="113">
        <v>88962</v>
      </c>
      <c r="R22" s="846">
        <v>88313</v>
      </c>
      <c r="S22" s="668"/>
    </row>
    <row r="23" spans="1:19" x14ac:dyDescent="0.2">
      <c r="B23" s="109" t="s">
        <v>112</v>
      </c>
      <c r="C23" s="110" t="s">
        <v>113</v>
      </c>
      <c r="D23" s="111" t="s">
        <v>114</v>
      </c>
      <c r="E23" s="109">
        <v>77103</v>
      </c>
      <c r="F23" s="112">
        <v>76557</v>
      </c>
      <c r="G23" s="112">
        <v>76342</v>
      </c>
      <c r="H23" s="112">
        <v>76320</v>
      </c>
      <c r="I23" s="113">
        <v>76339</v>
      </c>
      <c r="J23" s="113">
        <v>76625</v>
      </c>
      <c r="K23" s="113">
        <v>76816</v>
      </c>
      <c r="L23" s="113">
        <v>76976</v>
      </c>
      <c r="M23" s="114">
        <v>76620</v>
      </c>
      <c r="N23" s="113">
        <v>76503</v>
      </c>
      <c r="O23" s="114">
        <v>76824</v>
      </c>
      <c r="P23" s="113">
        <v>76824</v>
      </c>
      <c r="Q23" s="113">
        <v>76911</v>
      </c>
      <c r="R23" s="846">
        <v>76500</v>
      </c>
      <c r="S23" s="668"/>
    </row>
    <row r="24" spans="1:19" ht="13.5" thickBot="1" x14ac:dyDescent="0.25">
      <c r="B24" s="115" t="s">
        <v>115</v>
      </c>
      <c r="C24" s="116" t="s">
        <v>116</v>
      </c>
      <c r="D24" s="117" t="s">
        <v>117</v>
      </c>
      <c r="E24" s="115">
        <v>50595</v>
      </c>
      <c r="F24" s="118">
        <v>50428</v>
      </c>
      <c r="G24" s="118">
        <v>50449</v>
      </c>
      <c r="H24" s="118">
        <v>50468</v>
      </c>
      <c r="I24" s="119">
        <v>50499</v>
      </c>
      <c r="J24" s="119">
        <v>50839</v>
      </c>
      <c r="K24" s="119">
        <v>50998</v>
      </c>
      <c r="L24" s="119">
        <v>51071</v>
      </c>
      <c r="M24" s="120">
        <v>54166</v>
      </c>
      <c r="N24" s="119">
        <v>54348</v>
      </c>
      <c r="O24" s="120">
        <v>54504</v>
      </c>
      <c r="P24" s="119">
        <v>54504</v>
      </c>
      <c r="Q24" s="119">
        <v>54611</v>
      </c>
      <c r="R24" s="847">
        <v>54515</v>
      </c>
      <c r="S24" s="669"/>
    </row>
    <row r="25" spans="1:19" x14ac:dyDescent="0.2">
      <c r="A25" s="101"/>
      <c r="B25" s="102" t="s">
        <v>118</v>
      </c>
      <c r="C25" s="103" t="s">
        <v>119</v>
      </c>
      <c r="D25" s="104" t="s">
        <v>544</v>
      </c>
      <c r="E25" s="105">
        <v>400313</v>
      </c>
      <c r="F25" s="106">
        <v>398355</v>
      </c>
      <c r="G25" s="106">
        <v>398215</v>
      </c>
      <c r="H25" s="106">
        <v>396633</v>
      </c>
      <c r="I25" s="107">
        <v>394911</v>
      </c>
      <c r="J25" s="107">
        <v>393758</v>
      </c>
      <c r="K25" s="107">
        <v>391455</v>
      </c>
      <c r="L25" s="107">
        <v>388907</v>
      </c>
      <c r="M25" s="108">
        <v>377142</v>
      </c>
      <c r="N25" s="107">
        <v>373984</v>
      </c>
      <c r="O25" s="108">
        <v>371110</v>
      </c>
      <c r="P25" s="107">
        <v>371110</v>
      </c>
      <c r="Q25" s="107">
        <v>368135</v>
      </c>
      <c r="R25" s="845">
        <v>365726</v>
      </c>
      <c r="S25" s="667"/>
    </row>
    <row r="26" spans="1:19" x14ac:dyDescent="0.2">
      <c r="B26" s="109" t="s">
        <v>120</v>
      </c>
      <c r="C26" s="110" t="s">
        <v>121</v>
      </c>
      <c r="D26" s="111" t="s">
        <v>122</v>
      </c>
      <c r="E26" s="109">
        <v>180596</v>
      </c>
      <c r="F26" s="112">
        <v>180728</v>
      </c>
      <c r="G26" s="112">
        <v>181751</v>
      </c>
      <c r="H26" s="112">
        <v>182220</v>
      </c>
      <c r="I26" s="113">
        <v>182774</v>
      </c>
      <c r="J26" s="113">
        <v>183743</v>
      </c>
      <c r="K26" s="113">
        <v>183804</v>
      </c>
      <c r="L26" s="113">
        <v>182990</v>
      </c>
      <c r="M26" s="114">
        <v>173539</v>
      </c>
      <c r="N26" s="113">
        <v>172437</v>
      </c>
      <c r="O26" s="114">
        <v>171851</v>
      </c>
      <c r="P26" s="113">
        <v>178291</v>
      </c>
      <c r="Q26" s="113">
        <v>177461</v>
      </c>
      <c r="R26" s="846">
        <v>176816</v>
      </c>
      <c r="S26" s="668"/>
    </row>
    <row r="27" spans="1:19" x14ac:dyDescent="0.2">
      <c r="B27" s="109" t="s">
        <v>123</v>
      </c>
      <c r="C27" s="110" t="s">
        <v>124</v>
      </c>
      <c r="D27" s="111" t="s">
        <v>125</v>
      </c>
      <c r="E27" s="109">
        <v>66703</v>
      </c>
      <c r="F27" s="112">
        <v>66031</v>
      </c>
      <c r="G27" s="112">
        <v>65552</v>
      </c>
      <c r="H27" s="112">
        <v>64873</v>
      </c>
      <c r="I27" s="113">
        <v>64054</v>
      </c>
      <c r="J27" s="113">
        <v>63352</v>
      </c>
      <c r="K27" s="113">
        <v>62545</v>
      </c>
      <c r="L27" s="113">
        <v>62044</v>
      </c>
      <c r="M27" s="114">
        <v>61123</v>
      </c>
      <c r="N27" s="113">
        <v>60552</v>
      </c>
      <c r="O27" s="114">
        <v>59732</v>
      </c>
      <c r="P27" s="113">
        <v>58182</v>
      </c>
      <c r="Q27" s="113">
        <v>57447</v>
      </c>
      <c r="R27" s="846">
        <v>56787</v>
      </c>
      <c r="S27" s="668"/>
    </row>
    <row r="28" spans="1:19" x14ac:dyDescent="0.2">
      <c r="B28" s="109" t="s">
        <v>126</v>
      </c>
      <c r="C28" s="110" t="s">
        <v>127</v>
      </c>
      <c r="D28" s="111" t="s">
        <v>128</v>
      </c>
      <c r="E28" s="109">
        <v>52642</v>
      </c>
      <c r="F28" s="112">
        <v>52160</v>
      </c>
      <c r="G28" s="112">
        <v>52130</v>
      </c>
      <c r="H28" s="112">
        <v>51672</v>
      </c>
      <c r="I28" s="113">
        <v>51238</v>
      </c>
      <c r="J28" s="113">
        <v>50837</v>
      </c>
      <c r="K28" s="113">
        <v>50235</v>
      </c>
      <c r="L28" s="113">
        <v>49726</v>
      </c>
      <c r="M28" s="114">
        <v>48654</v>
      </c>
      <c r="N28" s="113">
        <v>48082</v>
      </c>
      <c r="O28" s="114">
        <v>47500</v>
      </c>
      <c r="P28" s="113">
        <v>45691</v>
      </c>
      <c r="Q28" s="113">
        <v>45327</v>
      </c>
      <c r="R28" s="846">
        <v>44937</v>
      </c>
      <c r="S28" s="668"/>
    </row>
    <row r="29" spans="1:19" x14ac:dyDescent="0.2">
      <c r="B29" s="109" t="s">
        <v>129</v>
      </c>
      <c r="C29" s="110" t="s">
        <v>130</v>
      </c>
      <c r="D29" s="111" t="s">
        <v>131</v>
      </c>
      <c r="E29" s="109">
        <v>55038</v>
      </c>
      <c r="F29" s="112">
        <v>54514</v>
      </c>
      <c r="G29" s="112">
        <v>54204</v>
      </c>
      <c r="H29" s="112">
        <v>53673</v>
      </c>
      <c r="I29" s="113">
        <v>53191</v>
      </c>
      <c r="J29" s="113">
        <v>52543</v>
      </c>
      <c r="K29" s="113">
        <v>52122</v>
      </c>
      <c r="L29" s="113">
        <v>51830</v>
      </c>
      <c r="M29" s="114">
        <v>51711</v>
      </c>
      <c r="N29" s="113">
        <v>51125</v>
      </c>
      <c r="O29" s="114">
        <v>50746</v>
      </c>
      <c r="P29" s="113">
        <v>49525</v>
      </c>
      <c r="Q29" s="113">
        <v>48916</v>
      </c>
      <c r="R29" s="846">
        <v>48480</v>
      </c>
      <c r="S29" s="668"/>
    </row>
    <row r="30" spans="1:19" ht="13.5" thickBot="1" x14ac:dyDescent="0.25">
      <c r="B30" s="121" t="s">
        <v>132</v>
      </c>
      <c r="C30" s="122" t="s">
        <v>133</v>
      </c>
      <c r="D30" s="123" t="s">
        <v>134</v>
      </c>
      <c r="E30" s="121">
        <v>45334</v>
      </c>
      <c r="F30" s="124">
        <v>44922</v>
      </c>
      <c r="G30" s="124">
        <v>44578</v>
      </c>
      <c r="H30" s="124">
        <v>44195</v>
      </c>
      <c r="I30" s="125">
        <v>43654</v>
      </c>
      <c r="J30" s="125">
        <v>43283</v>
      </c>
      <c r="K30" s="125">
        <v>42749</v>
      </c>
      <c r="L30" s="125">
        <v>42317</v>
      </c>
      <c r="M30" s="126">
        <v>42115</v>
      </c>
      <c r="N30" s="125">
        <v>41788</v>
      </c>
      <c r="O30" s="126">
        <v>41281</v>
      </c>
      <c r="P30" s="125">
        <v>39421</v>
      </c>
      <c r="Q30" s="125">
        <v>38984</v>
      </c>
      <c r="R30" s="848">
        <v>38706</v>
      </c>
      <c r="S30" s="670"/>
    </row>
    <row r="31" spans="1:19" x14ac:dyDescent="0.2">
      <c r="A31" s="101"/>
      <c r="B31" s="127" t="s">
        <v>135</v>
      </c>
      <c r="C31" s="128" t="s">
        <v>136</v>
      </c>
      <c r="D31" s="129" t="s">
        <v>543</v>
      </c>
      <c r="E31" s="130">
        <v>540499</v>
      </c>
      <c r="F31" s="131">
        <v>537862</v>
      </c>
      <c r="G31" s="131">
        <v>536290</v>
      </c>
      <c r="H31" s="131">
        <v>533710</v>
      </c>
      <c r="I31" s="132">
        <v>530379</v>
      </c>
      <c r="J31" s="132">
        <v>528418</v>
      </c>
      <c r="K31" s="132">
        <v>524841</v>
      </c>
      <c r="L31" s="132">
        <v>522312</v>
      </c>
      <c r="M31" s="133">
        <v>519930</v>
      </c>
      <c r="N31" s="132">
        <v>516892</v>
      </c>
      <c r="O31" s="133">
        <v>513687</v>
      </c>
      <c r="P31" s="132">
        <v>513687</v>
      </c>
      <c r="Q31" s="132">
        <v>511419</v>
      </c>
      <c r="R31" s="849">
        <v>508017</v>
      </c>
      <c r="S31" s="671"/>
    </row>
    <row r="32" spans="1:19" x14ac:dyDescent="0.2">
      <c r="B32" s="109" t="s">
        <v>137</v>
      </c>
      <c r="C32" s="110" t="s">
        <v>138</v>
      </c>
      <c r="D32" s="111" t="s">
        <v>139</v>
      </c>
      <c r="E32" s="109">
        <v>163348</v>
      </c>
      <c r="F32" s="112">
        <v>164021</v>
      </c>
      <c r="G32" s="112">
        <v>165246</v>
      </c>
      <c r="H32" s="112">
        <v>165771</v>
      </c>
      <c r="I32" s="113">
        <v>166646</v>
      </c>
      <c r="J32" s="113">
        <v>167637</v>
      </c>
      <c r="K32" s="113">
        <v>168415</v>
      </c>
      <c r="L32" s="113">
        <v>169272</v>
      </c>
      <c r="M32" s="114">
        <v>167138</v>
      </c>
      <c r="N32" s="113">
        <v>167110</v>
      </c>
      <c r="O32" s="114">
        <v>167223</v>
      </c>
      <c r="P32" s="113">
        <v>180205</v>
      </c>
      <c r="Q32" s="113">
        <v>180485</v>
      </c>
      <c r="R32" s="846">
        <v>179687</v>
      </c>
      <c r="S32" s="668"/>
    </row>
    <row r="33" spans="1:19" x14ac:dyDescent="0.2">
      <c r="B33" s="109" t="s">
        <v>140</v>
      </c>
      <c r="C33" s="110" t="s">
        <v>141</v>
      </c>
      <c r="D33" s="111" t="s">
        <v>142</v>
      </c>
      <c r="E33" s="109">
        <v>94612</v>
      </c>
      <c r="F33" s="112">
        <v>93786</v>
      </c>
      <c r="G33" s="112">
        <v>93104</v>
      </c>
      <c r="H33" s="112">
        <v>92431</v>
      </c>
      <c r="I33" s="113">
        <v>91389</v>
      </c>
      <c r="J33" s="113">
        <v>90606</v>
      </c>
      <c r="K33" s="113">
        <v>89507</v>
      </c>
      <c r="L33" s="113">
        <v>88506</v>
      </c>
      <c r="M33" s="114">
        <v>87889</v>
      </c>
      <c r="N33" s="113">
        <v>87210</v>
      </c>
      <c r="O33" s="114">
        <v>86273</v>
      </c>
      <c r="P33" s="113">
        <v>84998</v>
      </c>
      <c r="Q33" s="113">
        <v>84102</v>
      </c>
      <c r="R33" s="846">
        <v>83217</v>
      </c>
      <c r="S33" s="668"/>
    </row>
    <row r="34" spans="1:19" x14ac:dyDescent="0.2">
      <c r="B34" s="109" t="s">
        <v>143</v>
      </c>
      <c r="C34" s="110" t="s">
        <v>144</v>
      </c>
      <c r="D34" s="111" t="s">
        <v>145</v>
      </c>
      <c r="E34" s="109">
        <v>55445</v>
      </c>
      <c r="F34" s="112">
        <v>54864</v>
      </c>
      <c r="G34" s="112">
        <v>54414</v>
      </c>
      <c r="H34" s="112">
        <v>53743</v>
      </c>
      <c r="I34" s="113">
        <v>52885</v>
      </c>
      <c r="J34" s="113">
        <v>51970</v>
      </c>
      <c r="K34" s="113">
        <v>51046</v>
      </c>
      <c r="L34" s="113">
        <v>50468</v>
      </c>
      <c r="M34" s="114">
        <v>51028</v>
      </c>
      <c r="N34" s="113">
        <v>50388</v>
      </c>
      <c r="O34" s="114">
        <v>49619</v>
      </c>
      <c r="P34" s="113">
        <v>49619</v>
      </c>
      <c r="Q34" s="113">
        <v>49115</v>
      </c>
      <c r="R34" s="846">
        <v>48501</v>
      </c>
      <c r="S34" s="668"/>
    </row>
    <row r="35" spans="1:19" x14ac:dyDescent="0.2">
      <c r="B35" s="109" t="s">
        <v>146</v>
      </c>
      <c r="C35" s="110" t="s">
        <v>147</v>
      </c>
      <c r="D35" s="111" t="s">
        <v>148</v>
      </c>
      <c r="E35" s="109">
        <v>63574</v>
      </c>
      <c r="F35" s="112">
        <v>62965</v>
      </c>
      <c r="G35" s="112">
        <v>62458</v>
      </c>
      <c r="H35" s="112">
        <v>61912</v>
      </c>
      <c r="I35" s="113">
        <v>61333</v>
      </c>
      <c r="J35" s="113">
        <v>60888</v>
      </c>
      <c r="K35" s="113">
        <v>60313</v>
      </c>
      <c r="L35" s="113">
        <v>60080</v>
      </c>
      <c r="M35" s="114">
        <v>60400</v>
      </c>
      <c r="N35" s="113">
        <v>59942</v>
      </c>
      <c r="O35" s="114">
        <v>59659</v>
      </c>
      <c r="P35" s="113">
        <v>54397</v>
      </c>
      <c r="Q35" s="113">
        <v>54153</v>
      </c>
      <c r="R35" s="846">
        <v>53753</v>
      </c>
      <c r="S35" s="668"/>
    </row>
    <row r="36" spans="1:19" x14ac:dyDescent="0.2">
      <c r="B36" s="109" t="s">
        <v>149</v>
      </c>
      <c r="C36" s="110" t="s">
        <v>150</v>
      </c>
      <c r="D36" s="111" t="s">
        <v>151</v>
      </c>
      <c r="E36" s="109">
        <v>47334</v>
      </c>
      <c r="F36" s="112">
        <v>47027</v>
      </c>
      <c r="G36" s="112">
        <v>46741</v>
      </c>
      <c r="H36" s="112">
        <v>46300</v>
      </c>
      <c r="I36" s="113">
        <v>45861</v>
      </c>
      <c r="J36" s="113">
        <v>45947</v>
      </c>
      <c r="K36" s="113">
        <v>45395</v>
      </c>
      <c r="L36" s="113">
        <v>44986</v>
      </c>
      <c r="M36" s="114">
        <v>44637</v>
      </c>
      <c r="N36" s="113">
        <v>44310</v>
      </c>
      <c r="O36" s="114">
        <v>43991</v>
      </c>
      <c r="P36" s="113">
        <v>36271</v>
      </c>
      <c r="Q36" s="113">
        <v>36184</v>
      </c>
      <c r="R36" s="846">
        <v>36200</v>
      </c>
      <c r="S36" s="668"/>
    </row>
    <row r="37" spans="1:19" x14ac:dyDescent="0.2">
      <c r="B37" s="109" t="s">
        <v>152</v>
      </c>
      <c r="C37" s="110" t="s">
        <v>153</v>
      </c>
      <c r="D37" s="111" t="s">
        <v>154</v>
      </c>
      <c r="E37" s="109">
        <v>84303</v>
      </c>
      <c r="F37" s="112">
        <v>83629</v>
      </c>
      <c r="G37" s="112">
        <v>83048</v>
      </c>
      <c r="H37" s="112">
        <v>82536</v>
      </c>
      <c r="I37" s="113">
        <v>81578</v>
      </c>
      <c r="J37" s="113">
        <v>80884</v>
      </c>
      <c r="K37" s="113">
        <v>80086</v>
      </c>
      <c r="L37" s="113">
        <v>79252</v>
      </c>
      <c r="M37" s="114">
        <v>78932</v>
      </c>
      <c r="N37" s="113">
        <v>78174</v>
      </c>
      <c r="O37" s="114">
        <v>77431</v>
      </c>
      <c r="P37" s="113">
        <v>78706</v>
      </c>
      <c r="Q37" s="113">
        <v>77990</v>
      </c>
      <c r="R37" s="846">
        <v>77396</v>
      </c>
      <c r="S37" s="668"/>
    </row>
    <row r="38" spans="1:19" ht="13.5" thickBot="1" x14ac:dyDescent="0.25">
      <c r="B38" s="115" t="s">
        <v>155</v>
      </c>
      <c r="C38" s="116" t="s">
        <v>156</v>
      </c>
      <c r="D38" s="117" t="s">
        <v>157</v>
      </c>
      <c r="E38" s="115">
        <v>31883</v>
      </c>
      <c r="F38" s="118">
        <v>31570</v>
      </c>
      <c r="G38" s="118">
        <v>31279</v>
      </c>
      <c r="H38" s="118">
        <v>31017</v>
      </c>
      <c r="I38" s="119">
        <v>30687</v>
      </c>
      <c r="J38" s="119">
        <v>30486</v>
      </c>
      <c r="K38" s="119">
        <v>30079</v>
      </c>
      <c r="L38" s="119">
        <v>29748</v>
      </c>
      <c r="M38" s="120">
        <v>29906</v>
      </c>
      <c r="N38" s="119">
        <v>29758</v>
      </c>
      <c r="O38" s="120">
        <v>29491</v>
      </c>
      <c r="P38" s="119">
        <v>29491</v>
      </c>
      <c r="Q38" s="119">
        <v>29390</v>
      </c>
      <c r="R38" s="847">
        <v>29263</v>
      </c>
      <c r="S38" s="669"/>
    </row>
    <row r="39" spans="1:19" x14ac:dyDescent="0.2">
      <c r="A39" s="101"/>
      <c r="B39" s="102" t="s">
        <v>158</v>
      </c>
      <c r="C39" s="103" t="s">
        <v>159</v>
      </c>
      <c r="D39" s="104" t="s">
        <v>546</v>
      </c>
      <c r="E39" s="105">
        <v>389590</v>
      </c>
      <c r="F39" s="106">
        <v>385847</v>
      </c>
      <c r="G39" s="106">
        <v>382190</v>
      </c>
      <c r="H39" s="106">
        <v>376657</v>
      </c>
      <c r="I39" s="107">
        <v>371322</v>
      </c>
      <c r="J39" s="107">
        <v>366556</v>
      </c>
      <c r="K39" s="107">
        <v>361802</v>
      </c>
      <c r="L39" s="107">
        <v>357740</v>
      </c>
      <c r="M39" s="108">
        <v>359153</v>
      </c>
      <c r="N39" s="107">
        <v>355199</v>
      </c>
      <c r="O39" s="108">
        <v>351148</v>
      </c>
      <c r="P39" s="107">
        <v>351148</v>
      </c>
      <c r="Q39" s="107">
        <v>347058</v>
      </c>
      <c r="R39" s="845">
        <v>342438</v>
      </c>
      <c r="S39" s="667"/>
    </row>
    <row r="40" spans="1:19" x14ac:dyDescent="0.2">
      <c r="B40" s="109" t="s">
        <v>160</v>
      </c>
      <c r="C40" s="110" t="s">
        <v>161</v>
      </c>
      <c r="D40" s="111" t="s">
        <v>162</v>
      </c>
      <c r="E40" s="109">
        <v>95423</v>
      </c>
      <c r="F40" s="112">
        <v>94741</v>
      </c>
      <c r="G40" s="112">
        <v>94318</v>
      </c>
      <c r="H40" s="112">
        <v>93501</v>
      </c>
      <c r="I40" s="113">
        <v>92878</v>
      </c>
      <c r="J40" s="113">
        <v>92143</v>
      </c>
      <c r="K40" s="113">
        <v>91310</v>
      </c>
      <c r="L40" s="113">
        <v>90655</v>
      </c>
      <c r="M40" s="114">
        <v>87588</v>
      </c>
      <c r="N40" s="113">
        <v>86751</v>
      </c>
      <c r="O40" s="114">
        <v>86110</v>
      </c>
      <c r="P40" s="113">
        <v>81113</v>
      </c>
      <c r="Q40" s="113">
        <v>80613</v>
      </c>
      <c r="R40" s="846">
        <v>80021</v>
      </c>
      <c r="S40" s="668"/>
    </row>
    <row r="41" spans="1:19" x14ac:dyDescent="0.2">
      <c r="B41" s="109" t="s">
        <v>163</v>
      </c>
      <c r="C41" s="110" t="s">
        <v>164</v>
      </c>
      <c r="D41" s="111" t="s">
        <v>165</v>
      </c>
      <c r="E41" s="109">
        <v>40683</v>
      </c>
      <c r="F41" s="112">
        <v>40287</v>
      </c>
      <c r="G41" s="112">
        <v>40026</v>
      </c>
      <c r="H41" s="112">
        <v>39577</v>
      </c>
      <c r="I41" s="113">
        <v>39151</v>
      </c>
      <c r="J41" s="113">
        <v>38615</v>
      </c>
      <c r="K41" s="113">
        <v>38295</v>
      </c>
      <c r="L41" s="113">
        <v>37693</v>
      </c>
      <c r="M41" s="114">
        <v>37647</v>
      </c>
      <c r="N41" s="113">
        <v>37260</v>
      </c>
      <c r="O41" s="114">
        <v>36651</v>
      </c>
      <c r="P41" s="113">
        <v>36279</v>
      </c>
      <c r="Q41" s="113">
        <v>35745</v>
      </c>
      <c r="R41" s="846">
        <v>35197</v>
      </c>
      <c r="S41" s="668"/>
    </row>
    <row r="42" spans="1:19" x14ac:dyDescent="0.2">
      <c r="B42" s="109" t="s">
        <v>166</v>
      </c>
      <c r="C42" s="110" t="s">
        <v>167</v>
      </c>
      <c r="D42" s="111" t="s">
        <v>168</v>
      </c>
      <c r="E42" s="109">
        <v>44190</v>
      </c>
      <c r="F42" s="112">
        <v>44011</v>
      </c>
      <c r="G42" s="112">
        <v>43812</v>
      </c>
      <c r="H42" s="112">
        <v>43370</v>
      </c>
      <c r="I42" s="113">
        <v>43168</v>
      </c>
      <c r="J42" s="113">
        <v>43064</v>
      </c>
      <c r="K42" s="113">
        <v>42675</v>
      </c>
      <c r="L42" s="113">
        <v>42264</v>
      </c>
      <c r="M42" s="114">
        <v>41579</v>
      </c>
      <c r="N42" s="113">
        <v>41118</v>
      </c>
      <c r="O42" s="114">
        <v>40827</v>
      </c>
      <c r="P42" s="113">
        <v>40827</v>
      </c>
      <c r="Q42" s="113">
        <v>40178</v>
      </c>
      <c r="R42" s="846">
        <v>39698</v>
      </c>
      <c r="S42" s="668"/>
    </row>
    <row r="43" spans="1:19" x14ac:dyDescent="0.2">
      <c r="B43" s="109" t="s">
        <v>169</v>
      </c>
      <c r="C43" s="110" t="s">
        <v>170</v>
      </c>
      <c r="D43" s="111" t="s">
        <v>171</v>
      </c>
      <c r="E43" s="109">
        <v>44459</v>
      </c>
      <c r="F43" s="112">
        <v>43609</v>
      </c>
      <c r="G43" s="112">
        <v>42843</v>
      </c>
      <c r="H43" s="112">
        <v>41843</v>
      </c>
      <c r="I43" s="113">
        <v>40529</v>
      </c>
      <c r="J43" s="113">
        <v>39731</v>
      </c>
      <c r="K43" s="113">
        <v>38828</v>
      </c>
      <c r="L43" s="113">
        <v>38276</v>
      </c>
      <c r="M43" s="114">
        <v>40608</v>
      </c>
      <c r="N43" s="113">
        <v>40186</v>
      </c>
      <c r="O43" s="114">
        <v>39661</v>
      </c>
      <c r="P43" s="113">
        <v>39661</v>
      </c>
      <c r="Q43" s="113">
        <v>39032</v>
      </c>
      <c r="R43" s="846">
        <v>38268</v>
      </c>
      <c r="S43" s="668"/>
    </row>
    <row r="44" spans="1:19" x14ac:dyDescent="0.2">
      <c r="B44" s="109" t="s">
        <v>172</v>
      </c>
      <c r="C44" s="110" t="s">
        <v>173</v>
      </c>
      <c r="D44" s="111" t="s">
        <v>174</v>
      </c>
      <c r="E44" s="109">
        <v>55708</v>
      </c>
      <c r="F44" s="112">
        <v>55226</v>
      </c>
      <c r="G44" s="112">
        <v>54499</v>
      </c>
      <c r="H44" s="112">
        <v>53749</v>
      </c>
      <c r="I44" s="113">
        <v>53002</v>
      </c>
      <c r="J44" s="113">
        <v>52176</v>
      </c>
      <c r="K44" s="113">
        <v>51568</v>
      </c>
      <c r="L44" s="113">
        <v>50835</v>
      </c>
      <c r="M44" s="114">
        <v>51392</v>
      </c>
      <c r="N44" s="113">
        <v>50893</v>
      </c>
      <c r="O44" s="114">
        <v>50294</v>
      </c>
      <c r="P44" s="113">
        <v>50294</v>
      </c>
      <c r="Q44" s="113">
        <v>49699</v>
      </c>
      <c r="R44" s="846">
        <v>49016</v>
      </c>
      <c r="S44" s="668"/>
    </row>
    <row r="45" spans="1:19" x14ac:dyDescent="0.2">
      <c r="B45" s="109" t="s">
        <v>175</v>
      </c>
      <c r="C45" s="110" t="s">
        <v>176</v>
      </c>
      <c r="D45" s="111" t="s">
        <v>177</v>
      </c>
      <c r="E45" s="109">
        <v>51573</v>
      </c>
      <c r="F45" s="112">
        <v>51106</v>
      </c>
      <c r="G45" s="112">
        <v>50603</v>
      </c>
      <c r="H45" s="112">
        <v>49657</v>
      </c>
      <c r="I45" s="113">
        <v>48784</v>
      </c>
      <c r="J45" s="113">
        <v>48035</v>
      </c>
      <c r="K45" s="113">
        <v>47198</v>
      </c>
      <c r="L45" s="113">
        <v>46641</v>
      </c>
      <c r="M45" s="114">
        <v>46986</v>
      </c>
      <c r="N45" s="113">
        <v>46305</v>
      </c>
      <c r="O45" s="114">
        <v>45612</v>
      </c>
      <c r="P45" s="113">
        <v>50981</v>
      </c>
      <c r="Q45" s="113">
        <v>50339</v>
      </c>
      <c r="R45" s="846">
        <v>49561</v>
      </c>
      <c r="S45" s="668"/>
    </row>
    <row r="46" spans="1:19" x14ac:dyDescent="0.2">
      <c r="B46" s="109" t="s">
        <v>178</v>
      </c>
      <c r="C46" s="110" t="s">
        <v>179</v>
      </c>
      <c r="D46" s="111" t="s">
        <v>180</v>
      </c>
      <c r="E46" s="109">
        <v>35328</v>
      </c>
      <c r="F46" s="112">
        <v>34949</v>
      </c>
      <c r="G46" s="112">
        <v>34458</v>
      </c>
      <c r="H46" s="112">
        <v>33840</v>
      </c>
      <c r="I46" s="113">
        <v>33127</v>
      </c>
      <c r="J46" s="113">
        <v>32493</v>
      </c>
      <c r="K46" s="113">
        <v>31911</v>
      </c>
      <c r="L46" s="113">
        <v>31560</v>
      </c>
      <c r="M46" s="114">
        <v>32732</v>
      </c>
      <c r="N46" s="113">
        <v>32331</v>
      </c>
      <c r="O46" s="114">
        <v>31828</v>
      </c>
      <c r="P46" s="113">
        <v>29265</v>
      </c>
      <c r="Q46" s="113">
        <v>29003</v>
      </c>
      <c r="R46" s="846">
        <v>28474</v>
      </c>
      <c r="S46" s="668"/>
    </row>
    <row r="47" spans="1:19" s="134" customFormat="1" ht="13.5" thickBot="1" x14ac:dyDescent="0.25">
      <c r="A47" s="94"/>
      <c r="B47" s="121" t="s">
        <v>181</v>
      </c>
      <c r="C47" s="122" t="s">
        <v>182</v>
      </c>
      <c r="D47" s="123" t="s">
        <v>183</v>
      </c>
      <c r="E47" s="121">
        <v>22226</v>
      </c>
      <c r="F47" s="124">
        <v>21918</v>
      </c>
      <c r="G47" s="124">
        <v>21631</v>
      </c>
      <c r="H47" s="124">
        <v>21120</v>
      </c>
      <c r="I47" s="125">
        <v>20683</v>
      </c>
      <c r="J47" s="125">
        <v>20299</v>
      </c>
      <c r="K47" s="125">
        <v>20017</v>
      </c>
      <c r="L47" s="125">
        <v>19816</v>
      </c>
      <c r="M47" s="126">
        <v>20621</v>
      </c>
      <c r="N47" s="125">
        <v>20355</v>
      </c>
      <c r="O47" s="126">
        <v>20165</v>
      </c>
      <c r="P47" s="125">
        <v>22728</v>
      </c>
      <c r="Q47" s="125">
        <v>22449</v>
      </c>
      <c r="R47" s="848">
        <v>22203</v>
      </c>
      <c r="S47" s="670"/>
    </row>
    <row r="48" spans="1:19" x14ac:dyDescent="0.2">
      <c r="A48" s="101"/>
      <c r="B48" s="127" t="s">
        <v>184</v>
      </c>
      <c r="C48" s="128" t="s">
        <v>185</v>
      </c>
      <c r="D48" s="129" t="s">
        <v>547</v>
      </c>
      <c r="E48" s="130">
        <v>731854</v>
      </c>
      <c r="F48" s="131">
        <v>725779</v>
      </c>
      <c r="G48" s="131">
        <v>718951</v>
      </c>
      <c r="H48" s="131">
        <v>709634</v>
      </c>
      <c r="I48" s="132">
        <v>701160</v>
      </c>
      <c r="J48" s="132">
        <v>692771</v>
      </c>
      <c r="K48" s="132">
        <v>684793</v>
      </c>
      <c r="L48" s="132">
        <v>678261</v>
      </c>
      <c r="M48" s="133">
        <v>682350</v>
      </c>
      <c r="N48" s="132">
        <v>674999</v>
      </c>
      <c r="O48" s="133">
        <v>667594</v>
      </c>
      <c r="P48" s="132">
        <v>667594</v>
      </c>
      <c r="Q48" s="132">
        <v>660549</v>
      </c>
      <c r="R48" s="849">
        <v>654402</v>
      </c>
      <c r="S48" s="671"/>
    </row>
    <row r="49" spans="1:19" x14ac:dyDescent="0.2">
      <c r="B49" s="109" t="s">
        <v>186</v>
      </c>
      <c r="C49" s="110" t="s">
        <v>187</v>
      </c>
      <c r="D49" s="111" t="s">
        <v>188</v>
      </c>
      <c r="E49" s="109">
        <v>254999</v>
      </c>
      <c r="F49" s="112">
        <v>253562</v>
      </c>
      <c r="G49" s="112">
        <v>251783</v>
      </c>
      <c r="H49" s="112">
        <v>249893</v>
      </c>
      <c r="I49" s="113">
        <v>248557</v>
      </c>
      <c r="J49" s="113">
        <v>246934</v>
      </c>
      <c r="K49" s="113">
        <v>245122</v>
      </c>
      <c r="L49" s="113">
        <v>243305</v>
      </c>
      <c r="M49" s="114">
        <v>238991</v>
      </c>
      <c r="N49" s="113">
        <v>236516</v>
      </c>
      <c r="O49" s="114">
        <v>234054</v>
      </c>
      <c r="P49" s="113">
        <v>240279</v>
      </c>
      <c r="Q49" s="113">
        <v>238241</v>
      </c>
      <c r="R49" s="846">
        <v>236841</v>
      </c>
      <c r="S49" s="668"/>
    </row>
    <row r="50" spans="1:19" x14ac:dyDescent="0.2">
      <c r="B50" s="109" t="s">
        <v>189</v>
      </c>
      <c r="C50" s="110" t="s">
        <v>190</v>
      </c>
      <c r="D50" s="111" t="s">
        <v>191</v>
      </c>
      <c r="E50" s="109">
        <v>36916</v>
      </c>
      <c r="F50" s="112">
        <v>36498</v>
      </c>
      <c r="G50" s="112">
        <v>36155</v>
      </c>
      <c r="H50" s="112">
        <v>35475</v>
      </c>
      <c r="I50" s="113">
        <v>34837</v>
      </c>
      <c r="J50" s="113">
        <v>34348</v>
      </c>
      <c r="K50" s="113">
        <v>34014</v>
      </c>
      <c r="L50" s="113">
        <v>33795</v>
      </c>
      <c r="M50" s="114">
        <v>34844</v>
      </c>
      <c r="N50" s="113">
        <v>34616</v>
      </c>
      <c r="O50" s="114">
        <v>34475</v>
      </c>
      <c r="P50" s="113">
        <v>33689</v>
      </c>
      <c r="Q50" s="113">
        <v>33250</v>
      </c>
      <c r="R50" s="846">
        <v>33037</v>
      </c>
      <c r="S50" s="668"/>
    </row>
    <row r="51" spans="1:19" x14ac:dyDescent="0.2">
      <c r="B51" s="109" t="s">
        <v>192</v>
      </c>
      <c r="C51" s="110" t="s">
        <v>193</v>
      </c>
      <c r="D51" s="111" t="s">
        <v>194</v>
      </c>
      <c r="E51" s="109">
        <v>55826</v>
      </c>
      <c r="F51" s="112">
        <v>55475</v>
      </c>
      <c r="G51" s="112">
        <v>55196</v>
      </c>
      <c r="H51" s="112">
        <v>54379</v>
      </c>
      <c r="I51" s="113">
        <v>53533</v>
      </c>
      <c r="J51" s="113">
        <v>53013</v>
      </c>
      <c r="K51" s="113">
        <v>52431</v>
      </c>
      <c r="L51" s="113">
        <v>51888</v>
      </c>
      <c r="M51" s="114">
        <v>52947</v>
      </c>
      <c r="N51" s="113">
        <v>52425</v>
      </c>
      <c r="O51" s="114">
        <v>52051</v>
      </c>
      <c r="P51" s="113">
        <v>55325</v>
      </c>
      <c r="Q51" s="113">
        <v>54961</v>
      </c>
      <c r="R51" s="846">
        <v>54566</v>
      </c>
      <c r="S51" s="668"/>
    </row>
    <row r="52" spans="1:19" x14ac:dyDescent="0.2">
      <c r="B52" s="109" t="s">
        <v>195</v>
      </c>
      <c r="C52" s="110" t="s">
        <v>196</v>
      </c>
      <c r="D52" s="111" t="s">
        <v>197</v>
      </c>
      <c r="E52" s="109">
        <v>81981</v>
      </c>
      <c r="F52" s="112">
        <v>81254</v>
      </c>
      <c r="G52" s="112">
        <v>80305</v>
      </c>
      <c r="H52" s="112">
        <v>79071</v>
      </c>
      <c r="I52" s="113">
        <v>77991</v>
      </c>
      <c r="J52" s="113">
        <v>76992</v>
      </c>
      <c r="K52" s="113">
        <v>75892</v>
      </c>
      <c r="L52" s="113">
        <v>75034</v>
      </c>
      <c r="M52" s="114">
        <v>75154</v>
      </c>
      <c r="N52" s="113">
        <v>74266</v>
      </c>
      <c r="O52" s="114">
        <v>73261</v>
      </c>
      <c r="P52" s="113">
        <v>64190</v>
      </c>
      <c r="Q52" s="113">
        <v>63287</v>
      </c>
      <c r="R52" s="846">
        <v>62385</v>
      </c>
      <c r="S52" s="668"/>
    </row>
    <row r="53" spans="1:19" x14ac:dyDescent="0.2">
      <c r="B53" s="109" t="s">
        <v>198</v>
      </c>
      <c r="C53" s="110" t="s">
        <v>199</v>
      </c>
      <c r="D53" s="111" t="s">
        <v>200</v>
      </c>
      <c r="E53" s="109">
        <v>49177</v>
      </c>
      <c r="F53" s="112">
        <v>48869</v>
      </c>
      <c r="G53" s="112">
        <v>48685</v>
      </c>
      <c r="H53" s="112">
        <v>48287</v>
      </c>
      <c r="I53" s="113">
        <v>47963</v>
      </c>
      <c r="J53" s="113">
        <v>47521</v>
      </c>
      <c r="K53" s="113">
        <v>47095</v>
      </c>
      <c r="L53" s="113">
        <v>46822</v>
      </c>
      <c r="M53" s="114">
        <v>47339</v>
      </c>
      <c r="N53" s="113">
        <v>46798</v>
      </c>
      <c r="O53" s="114">
        <v>46298</v>
      </c>
      <c r="P53" s="113">
        <v>45392</v>
      </c>
      <c r="Q53" s="113">
        <v>44911</v>
      </c>
      <c r="R53" s="846">
        <v>44356</v>
      </c>
      <c r="S53" s="668"/>
    </row>
    <row r="54" spans="1:19" x14ac:dyDescent="0.2">
      <c r="B54" s="109" t="s">
        <v>201</v>
      </c>
      <c r="C54" s="110" t="s">
        <v>202</v>
      </c>
      <c r="D54" s="111" t="s">
        <v>203</v>
      </c>
      <c r="E54" s="109">
        <v>45372</v>
      </c>
      <c r="F54" s="112">
        <v>44953</v>
      </c>
      <c r="G54" s="112">
        <v>44428</v>
      </c>
      <c r="H54" s="112">
        <v>43871</v>
      </c>
      <c r="I54" s="113">
        <v>43466</v>
      </c>
      <c r="J54" s="113">
        <v>42950</v>
      </c>
      <c r="K54" s="113">
        <v>42304</v>
      </c>
      <c r="L54" s="113">
        <v>41867</v>
      </c>
      <c r="M54" s="114">
        <v>42442</v>
      </c>
      <c r="N54" s="113">
        <v>42116</v>
      </c>
      <c r="O54" s="114">
        <v>41502</v>
      </c>
      <c r="P54" s="113">
        <v>41502</v>
      </c>
      <c r="Q54" s="113">
        <v>41087</v>
      </c>
      <c r="R54" s="846">
        <v>40622</v>
      </c>
      <c r="S54" s="668"/>
    </row>
    <row r="55" spans="1:19" x14ac:dyDescent="0.2">
      <c r="B55" s="109" t="s">
        <v>204</v>
      </c>
      <c r="C55" s="110" t="s">
        <v>205</v>
      </c>
      <c r="D55" s="111" t="s">
        <v>206</v>
      </c>
      <c r="E55" s="109">
        <v>74283</v>
      </c>
      <c r="F55" s="112">
        <v>73291</v>
      </c>
      <c r="G55" s="112">
        <v>72266</v>
      </c>
      <c r="H55" s="112">
        <v>70984</v>
      </c>
      <c r="I55" s="113">
        <v>69400</v>
      </c>
      <c r="J55" s="113">
        <v>67912</v>
      </c>
      <c r="K55" s="113">
        <v>66788</v>
      </c>
      <c r="L55" s="113">
        <v>65864</v>
      </c>
      <c r="M55" s="114">
        <v>67963</v>
      </c>
      <c r="N55" s="113">
        <v>67211</v>
      </c>
      <c r="O55" s="114">
        <v>66408</v>
      </c>
      <c r="P55" s="113">
        <v>72041</v>
      </c>
      <c r="Q55" s="113">
        <v>71136</v>
      </c>
      <c r="R55" s="846">
        <v>70183</v>
      </c>
      <c r="S55" s="668"/>
    </row>
    <row r="56" spans="1:19" x14ac:dyDescent="0.2">
      <c r="B56" s="109" t="s">
        <v>207</v>
      </c>
      <c r="C56" s="110" t="s">
        <v>208</v>
      </c>
      <c r="D56" s="111" t="s">
        <v>209</v>
      </c>
      <c r="E56" s="109">
        <v>43016</v>
      </c>
      <c r="F56" s="112">
        <v>42409</v>
      </c>
      <c r="G56" s="112">
        <v>41683</v>
      </c>
      <c r="H56" s="112">
        <v>40755</v>
      </c>
      <c r="I56" s="113">
        <v>39914</v>
      </c>
      <c r="J56" s="113">
        <v>38968</v>
      </c>
      <c r="K56" s="113">
        <v>38222</v>
      </c>
      <c r="L56" s="113">
        <v>37821</v>
      </c>
      <c r="M56" s="114">
        <v>38967</v>
      </c>
      <c r="N56" s="113">
        <v>38382</v>
      </c>
      <c r="O56" s="114">
        <v>38130</v>
      </c>
      <c r="P56" s="113">
        <v>38130</v>
      </c>
      <c r="Q56" s="113">
        <v>37655</v>
      </c>
      <c r="R56" s="846">
        <v>37276</v>
      </c>
      <c r="S56" s="668"/>
    </row>
    <row r="57" spans="1:19" x14ac:dyDescent="0.2">
      <c r="B57" s="109" t="s">
        <v>210</v>
      </c>
      <c r="C57" s="110" t="s">
        <v>211</v>
      </c>
      <c r="D57" s="111" t="s">
        <v>212</v>
      </c>
      <c r="E57" s="109">
        <v>63138</v>
      </c>
      <c r="F57" s="112">
        <v>62698</v>
      </c>
      <c r="G57" s="112">
        <v>62065</v>
      </c>
      <c r="H57" s="112">
        <v>60955</v>
      </c>
      <c r="I57" s="113">
        <v>60008</v>
      </c>
      <c r="J57" s="113">
        <v>59049</v>
      </c>
      <c r="K57" s="113">
        <v>58213</v>
      </c>
      <c r="L57" s="113">
        <v>57619</v>
      </c>
      <c r="M57" s="114">
        <v>58646</v>
      </c>
      <c r="N57" s="113">
        <v>58075</v>
      </c>
      <c r="O57" s="114">
        <v>57383</v>
      </c>
      <c r="P57" s="113">
        <v>53014</v>
      </c>
      <c r="Q57" s="113">
        <v>52285</v>
      </c>
      <c r="R57" s="846">
        <v>51641</v>
      </c>
      <c r="S57" s="668"/>
    </row>
    <row r="58" spans="1:19" ht="13.5" thickBot="1" x14ac:dyDescent="0.25">
      <c r="B58" s="115" t="s">
        <v>213</v>
      </c>
      <c r="C58" s="116" t="s">
        <v>214</v>
      </c>
      <c r="D58" s="117" t="s">
        <v>215</v>
      </c>
      <c r="E58" s="115">
        <v>27146</v>
      </c>
      <c r="F58" s="118">
        <v>26770</v>
      </c>
      <c r="G58" s="118">
        <v>26385</v>
      </c>
      <c r="H58" s="118">
        <v>25964</v>
      </c>
      <c r="I58" s="119">
        <v>25491</v>
      </c>
      <c r="J58" s="119">
        <v>25084</v>
      </c>
      <c r="K58" s="119">
        <v>24712</v>
      </c>
      <c r="L58" s="119">
        <v>24246</v>
      </c>
      <c r="M58" s="120">
        <v>25057</v>
      </c>
      <c r="N58" s="119">
        <v>24594</v>
      </c>
      <c r="O58" s="120">
        <v>24032</v>
      </c>
      <c r="P58" s="119">
        <v>24032</v>
      </c>
      <c r="Q58" s="119">
        <v>23736</v>
      </c>
      <c r="R58" s="847">
        <v>23495</v>
      </c>
      <c r="S58" s="669"/>
    </row>
    <row r="59" spans="1:19" x14ac:dyDescent="0.2">
      <c r="A59" s="101"/>
      <c r="B59" s="102" t="s">
        <v>216</v>
      </c>
      <c r="C59" s="103" t="s">
        <v>217</v>
      </c>
      <c r="D59" s="104" t="s">
        <v>548</v>
      </c>
      <c r="E59" s="105">
        <v>424849</v>
      </c>
      <c r="F59" s="106">
        <v>423585</v>
      </c>
      <c r="G59" s="106">
        <v>423751</v>
      </c>
      <c r="H59" s="106">
        <v>424139</v>
      </c>
      <c r="I59" s="107">
        <v>423826</v>
      </c>
      <c r="J59" s="107">
        <v>423240</v>
      </c>
      <c r="K59" s="107">
        <v>421827</v>
      </c>
      <c r="L59" s="107">
        <v>419366</v>
      </c>
      <c r="M59" s="108">
        <v>409571</v>
      </c>
      <c r="N59" s="107">
        <v>407389</v>
      </c>
      <c r="O59" s="108">
        <v>406205</v>
      </c>
      <c r="P59" s="107">
        <v>406205</v>
      </c>
      <c r="Q59" s="107">
        <v>404459</v>
      </c>
      <c r="R59" s="845">
        <v>401469</v>
      </c>
      <c r="S59" s="667"/>
    </row>
    <row r="60" spans="1:19" x14ac:dyDescent="0.2">
      <c r="B60" s="109" t="s">
        <v>218</v>
      </c>
      <c r="C60" s="110" t="s">
        <v>219</v>
      </c>
      <c r="D60" s="111" t="s">
        <v>220</v>
      </c>
      <c r="E60" s="109">
        <v>227814</v>
      </c>
      <c r="F60" s="112">
        <v>228169</v>
      </c>
      <c r="G60" s="112">
        <v>229773</v>
      </c>
      <c r="H60" s="112">
        <v>232251</v>
      </c>
      <c r="I60" s="113">
        <v>234053</v>
      </c>
      <c r="J60" s="113">
        <v>234934</v>
      </c>
      <c r="K60" s="113">
        <v>235445</v>
      </c>
      <c r="L60" s="113">
        <v>235049</v>
      </c>
      <c r="M60" s="114">
        <v>225326</v>
      </c>
      <c r="N60" s="113">
        <v>225393</v>
      </c>
      <c r="O60" s="114">
        <v>226066</v>
      </c>
      <c r="P60" s="113">
        <v>227133</v>
      </c>
      <c r="Q60" s="113">
        <v>227309</v>
      </c>
      <c r="R60" s="846">
        <v>225957</v>
      </c>
      <c r="S60" s="668"/>
    </row>
    <row r="61" spans="1:19" x14ac:dyDescent="0.2">
      <c r="B61" s="109" t="s">
        <v>221</v>
      </c>
      <c r="C61" s="110" t="s">
        <v>222</v>
      </c>
      <c r="D61" s="111" t="s">
        <v>223</v>
      </c>
      <c r="E61" s="109">
        <v>24678</v>
      </c>
      <c r="F61" s="112">
        <v>24436</v>
      </c>
      <c r="G61" s="112">
        <v>24206</v>
      </c>
      <c r="H61" s="112">
        <v>24024</v>
      </c>
      <c r="I61" s="113">
        <v>23694</v>
      </c>
      <c r="J61" s="113">
        <v>23398</v>
      </c>
      <c r="K61" s="113">
        <v>23061</v>
      </c>
      <c r="L61" s="113">
        <v>22633</v>
      </c>
      <c r="M61" s="114">
        <v>22697</v>
      </c>
      <c r="N61" s="113">
        <v>22297</v>
      </c>
      <c r="O61" s="114">
        <v>22097</v>
      </c>
      <c r="P61" s="113">
        <v>22097</v>
      </c>
      <c r="Q61" s="113">
        <v>21711</v>
      </c>
      <c r="R61" s="846">
        <v>21518</v>
      </c>
      <c r="S61" s="668"/>
    </row>
    <row r="62" spans="1:19" x14ac:dyDescent="0.2">
      <c r="B62" s="109" t="s">
        <v>224</v>
      </c>
      <c r="C62" s="110" t="s">
        <v>225</v>
      </c>
      <c r="D62" s="111" t="s">
        <v>226</v>
      </c>
      <c r="E62" s="109">
        <v>58954</v>
      </c>
      <c r="F62" s="112">
        <v>58614</v>
      </c>
      <c r="G62" s="112">
        <v>58416</v>
      </c>
      <c r="H62" s="112">
        <v>58163</v>
      </c>
      <c r="I62" s="113">
        <v>57957</v>
      </c>
      <c r="J62" s="113">
        <v>57775</v>
      </c>
      <c r="K62" s="113">
        <v>57502</v>
      </c>
      <c r="L62" s="113">
        <v>56902</v>
      </c>
      <c r="M62" s="114">
        <v>56164</v>
      </c>
      <c r="N62" s="113">
        <v>55515</v>
      </c>
      <c r="O62" s="114">
        <v>54944</v>
      </c>
      <c r="P62" s="113">
        <v>54944</v>
      </c>
      <c r="Q62" s="113">
        <v>54391</v>
      </c>
      <c r="R62" s="846">
        <v>53848</v>
      </c>
      <c r="S62" s="668"/>
    </row>
    <row r="63" spans="1:19" x14ac:dyDescent="0.2">
      <c r="B63" s="109" t="s">
        <v>227</v>
      </c>
      <c r="C63" s="110" t="s">
        <v>228</v>
      </c>
      <c r="D63" s="111" t="s">
        <v>229</v>
      </c>
      <c r="E63" s="109">
        <v>49696</v>
      </c>
      <c r="F63" s="112">
        <v>49245</v>
      </c>
      <c r="G63" s="112">
        <v>48828</v>
      </c>
      <c r="H63" s="112">
        <v>48045</v>
      </c>
      <c r="I63" s="113">
        <v>47342</v>
      </c>
      <c r="J63" s="113">
        <v>46715</v>
      </c>
      <c r="K63" s="113">
        <v>46017</v>
      </c>
      <c r="L63" s="113">
        <v>45572</v>
      </c>
      <c r="M63" s="114">
        <v>45706</v>
      </c>
      <c r="N63" s="113">
        <v>45191</v>
      </c>
      <c r="O63" s="114">
        <v>44737</v>
      </c>
      <c r="P63" s="113">
        <v>43670</v>
      </c>
      <c r="Q63" s="113">
        <v>43261</v>
      </c>
      <c r="R63" s="846">
        <v>42987</v>
      </c>
      <c r="S63" s="668"/>
    </row>
    <row r="64" spans="1:19" x14ac:dyDescent="0.2">
      <c r="B64" s="109" t="s">
        <v>230</v>
      </c>
      <c r="C64" s="110" t="s">
        <v>231</v>
      </c>
      <c r="D64" s="111" t="s">
        <v>232</v>
      </c>
      <c r="E64" s="109">
        <v>44320</v>
      </c>
      <c r="F64" s="112">
        <v>43883</v>
      </c>
      <c r="G64" s="112">
        <v>43516</v>
      </c>
      <c r="H64" s="112">
        <v>42888</v>
      </c>
      <c r="I64" s="113">
        <v>42277</v>
      </c>
      <c r="J64" s="113">
        <v>41880</v>
      </c>
      <c r="K64" s="113">
        <v>41521</v>
      </c>
      <c r="L64" s="113">
        <v>41058</v>
      </c>
      <c r="M64" s="114">
        <v>41249</v>
      </c>
      <c r="N64" s="113">
        <v>40782</v>
      </c>
      <c r="O64" s="114">
        <v>40294</v>
      </c>
      <c r="P64" s="113">
        <v>40294</v>
      </c>
      <c r="Q64" s="113">
        <v>39863</v>
      </c>
      <c r="R64" s="846">
        <v>39292</v>
      </c>
      <c r="S64" s="668"/>
    </row>
    <row r="65" spans="1:19" ht="13.5" thickBot="1" x14ac:dyDescent="0.25">
      <c r="B65" s="121" t="s">
        <v>233</v>
      </c>
      <c r="C65" s="122" t="s">
        <v>234</v>
      </c>
      <c r="D65" s="123" t="s">
        <v>235</v>
      </c>
      <c r="E65" s="121">
        <v>19387</v>
      </c>
      <c r="F65" s="124">
        <v>19238</v>
      </c>
      <c r="G65" s="124">
        <v>19012</v>
      </c>
      <c r="H65" s="124">
        <v>18768</v>
      </c>
      <c r="I65" s="125">
        <v>18503</v>
      </c>
      <c r="J65" s="125">
        <v>18538</v>
      </c>
      <c r="K65" s="125">
        <v>18281</v>
      </c>
      <c r="L65" s="125">
        <v>18152</v>
      </c>
      <c r="M65" s="126">
        <v>18429</v>
      </c>
      <c r="N65" s="125">
        <v>18211</v>
      </c>
      <c r="O65" s="126">
        <v>18067</v>
      </c>
      <c r="P65" s="125">
        <v>18067</v>
      </c>
      <c r="Q65" s="125">
        <v>17924</v>
      </c>
      <c r="R65" s="848">
        <v>17867</v>
      </c>
      <c r="S65" s="670"/>
    </row>
    <row r="66" spans="1:19" x14ac:dyDescent="0.2">
      <c r="A66" s="101"/>
      <c r="B66" s="127" t="s">
        <v>236</v>
      </c>
      <c r="C66" s="128" t="s">
        <v>237</v>
      </c>
      <c r="D66" s="129" t="s">
        <v>549</v>
      </c>
      <c r="E66" s="130">
        <v>428798</v>
      </c>
      <c r="F66" s="131">
        <v>428332</v>
      </c>
      <c r="G66" s="131">
        <v>428711</v>
      </c>
      <c r="H66" s="131">
        <v>428572</v>
      </c>
      <c r="I66" s="132">
        <v>428295</v>
      </c>
      <c r="J66" s="132">
        <v>427416</v>
      </c>
      <c r="K66" s="132">
        <v>426120</v>
      </c>
      <c r="L66" s="132">
        <v>425581</v>
      </c>
      <c r="M66" s="133">
        <v>421086</v>
      </c>
      <c r="N66" s="132">
        <v>419506</v>
      </c>
      <c r="O66" s="133">
        <v>417651</v>
      </c>
      <c r="P66" s="132">
        <v>417651</v>
      </c>
      <c r="Q66" s="132">
        <v>418487</v>
      </c>
      <c r="R66" s="849">
        <v>416215</v>
      </c>
      <c r="S66" s="671"/>
    </row>
    <row r="67" spans="1:19" x14ac:dyDescent="0.2">
      <c r="B67" s="109" t="s">
        <v>238</v>
      </c>
      <c r="C67" s="110" t="s">
        <v>239</v>
      </c>
      <c r="D67" s="111" t="s">
        <v>240</v>
      </c>
      <c r="E67" s="109">
        <v>171705</v>
      </c>
      <c r="F67" s="112">
        <v>171381</v>
      </c>
      <c r="G67" s="112">
        <v>171802</v>
      </c>
      <c r="H67" s="112">
        <v>172241</v>
      </c>
      <c r="I67" s="113">
        <v>172412</v>
      </c>
      <c r="J67" s="113">
        <v>172307</v>
      </c>
      <c r="K67" s="113">
        <v>171859</v>
      </c>
      <c r="L67" s="113">
        <v>171149</v>
      </c>
      <c r="M67" s="114">
        <v>168671</v>
      </c>
      <c r="N67" s="113">
        <v>168109</v>
      </c>
      <c r="O67" s="114">
        <v>167337</v>
      </c>
      <c r="P67" s="113">
        <v>173037</v>
      </c>
      <c r="Q67" s="113">
        <v>172316</v>
      </c>
      <c r="R67" s="846">
        <v>171798</v>
      </c>
      <c r="S67" s="668"/>
    </row>
    <row r="68" spans="1:19" x14ac:dyDescent="0.2">
      <c r="B68" s="109" t="s">
        <v>241</v>
      </c>
      <c r="C68" s="110" t="s">
        <v>242</v>
      </c>
      <c r="D68" s="111" t="s">
        <v>243</v>
      </c>
      <c r="E68" s="109">
        <v>37581</v>
      </c>
      <c r="F68" s="112">
        <v>37770</v>
      </c>
      <c r="G68" s="112">
        <v>37918</v>
      </c>
      <c r="H68" s="112">
        <v>37737</v>
      </c>
      <c r="I68" s="113">
        <v>37857</v>
      </c>
      <c r="J68" s="113">
        <v>38027</v>
      </c>
      <c r="K68" s="113">
        <v>38049</v>
      </c>
      <c r="L68" s="113">
        <v>38154</v>
      </c>
      <c r="M68" s="114">
        <v>37888</v>
      </c>
      <c r="N68" s="113">
        <v>38043</v>
      </c>
      <c r="O68" s="114">
        <v>37940</v>
      </c>
      <c r="P68" s="113">
        <v>35555</v>
      </c>
      <c r="Q68" s="113">
        <v>35773</v>
      </c>
      <c r="R68" s="846">
        <v>35990</v>
      </c>
      <c r="S68" s="668"/>
    </row>
    <row r="69" spans="1:19" x14ac:dyDescent="0.2">
      <c r="B69" s="109" t="s">
        <v>244</v>
      </c>
      <c r="C69" s="110" t="s">
        <v>245</v>
      </c>
      <c r="D69" s="111" t="s">
        <v>246</v>
      </c>
      <c r="E69" s="109">
        <v>109122</v>
      </c>
      <c r="F69" s="112">
        <v>108642</v>
      </c>
      <c r="G69" s="112">
        <v>108053</v>
      </c>
      <c r="H69" s="112">
        <v>107329</v>
      </c>
      <c r="I69" s="113">
        <v>106620</v>
      </c>
      <c r="J69" s="113">
        <v>105784</v>
      </c>
      <c r="K69" s="113">
        <v>105223</v>
      </c>
      <c r="L69" s="113">
        <v>104935</v>
      </c>
      <c r="M69" s="114">
        <v>103303</v>
      </c>
      <c r="N69" s="113">
        <v>102475</v>
      </c>
      <c r="O69" s="114">
        <v>101884</v>
      </c>
      <c r="P69" s="113">
        <v>90583</v>
      </c>
      <c r="Q69" s="113">
        <v>89818</v>
      </c>
      <c r="R69" s="846">
        <v>89348</v>
      </c>
      <c r="S69" s="668"/>
    </row>
    <row r="70" spans="1:19" x14ac:dyDescent="0.2">
      <c r="B70" s="109" t="s">
        <v>247</v>
      </c>
      <c r="C70" s="110" t="s">
        <v>248</v>
      </c>
      <c r="D70" s="111" t="s">
        <v>249</v>
      </c>
      <c r="E70" s="109">
        <v>35086</v>
      </c>
      <c r="F70" s="112">
        <v>35009</v>
      </c>
      <c r="G70" s="112">
        <v>35017</v>
      </c>
      <c r="H70" s="112">
        <v>34843</v>
      </c>
      <c r="I70" s="113">
        <v>34798</v>
      </c>
      <c r="J70" s="113">
        <v>34631</v>
      </c>
      <c r="K70" s="113">
        <v>34539</v>
      </c>
      <c r="L70" s="113">
        <v>34565</v>
      </c>
      <c r="M70" s="114">
        <v>34629</v>
      </c>
      <c r="N70" s="113">
        <v>34427</v>
      </c>
      <c r="O70" s="114">
        <v>34133</v>
      </c>
      <c r="P70" s="113">
        <v>34002</v>
      </c>
      <c r="Q70" s="113">
        <v>33861</v>
      </c>
      <c r="R70" s="846">
        <v>33871</v>
      </c>
      <c r="S70" s="668"/>
    </row>
    <row r="71" spans="1:19" x14ac:dyDescent="0.2">
      <c r="B71" s="109" t="s">
        <v>250</v>
      </c>
      <c r="C71" s="110" t="s">
        <v>251</v>
      </c>
      <c r="D71" s="111" t="s">
        <v>252</v>
      </c>
      <c r="E71" s="109">
        <v>38491</v>
      </c>
      <c r="F71" s="112">
        <v>38394</v>
      </c>
      <c r="G71" s="112">
        <v>38107</v>
      </c>
      <c r="H71" s="112">
        <v>37905</v>
      </c>
      <c r="I71" s="113">
        <v>37329</v>
      </c>
      <c r="J71" s="113">
        <v>36855</v>
      </c>
      <c r="K71" s="113">
        <v>36320</v>
      </c>
      <c r="L71" s="113">
        <v>36083</v>
      </c>
      <c r="M71" s="114">
        <v>36336</v>
      </c>
      <c r="N71" s="113">
        <v>35971</v>
      </c>
      <c r="O71" s="114">
        <v>35597</v>
      </c>
      <c r="P71" s="113">
        <v>27943</v>
      </c>
      <c r="Q71" s="113">
        <v>27578</v>
      </c>
      <c r="R71" s="846">
        <v>27376</v>
      </c>
      <c r="S71" s="668"/>
    </row>
    <row r="72" spans="1:19" ht="13.5" thickBot="1" x14ac:dyDescent="0.25">
      <c r="B72" s="115" t="s">
        <v>253</v>
      </c>
      <c r="C72" s="116" t="s">
        <v>254</v>
      </c>
      <c r="D72" s="117" t="s">
        <v>255</v>
      </c>
      <c r="E72" s="115">
        <v>36813</v>
      </c>
      <c r="F72" s="118">
        <v>37136</v>
      </c>
      <c r="G72" s="118">
        <v>37814</v>
      </c>
      <c r="H72" s="118">
        <v>38517</v>
      </c>
      <c r="I72" s="119">
        <v>39279</v>
      </c>
      <c r="J72" s="119">
        <v>39812</v>
      </c>
      <c r="K72" s="119">
        <v>40130</v>
      </c>
      <c r="L72" s="119">
        <v>40695</v>
      </c>
      <c r="M72" s="120">
        <v>40259</v>
      </c>
      <c r="N72" s="119">
        <v>40481</v>
      </c>
      <c r="O72" s="120">
        <v>40760</v>
      </c>
      <c r="P72" s="119">
        <v>56531</v>
      </c>
      <c r="Q72" s="119">
        <v>59141</v>
      </c>
      <c r="R72" s="847">
        <v>57832</v>
      </c>
      <c r="S72" s="669"/>
    </row>
    <row r="73" spans="1:19" x14ac:dyDescent="0.2">
      <c r="A73" s="101"/>
      <c r="B73" s="102" t="s">
        <v>256</v>
      </c>
      <c r="C73" s="103" t="s">
        <v>257</v>
      </c>
      <c r="D73" s="104" t="s">
        <v>550</v>
      </c>
      <c r="E73" s="105">
        <v>439922</v>
      </c>
      <c r="F73" s="106">
        <v>441606</v>
      </c>
      <c r="G73" s="106">
        <v>442667</v>
      </c>
      <c r="H73" s="106">
        <v>444384</v>
      </c>
      <c r="I73" s="107">
        <v>447033</v>
      </c>
      <c r="J73" s="107">
        <v>448435</v>
      </c>
      <c r="K73" s="107">
        <v>449967</v>
      </c>
      <c r="L73" s="107">
        <v>451827</v>
      </c>
      <c r="M73" s="108">
        <v>448312</v>
      </c>
      <c r="N73" s="107">
        <v>450318</v>
      </c>
      <c r="O73" s="108">
        <v>452638</v>
      </c>
      <c r="P73" s="107">
        <v>452638</v>
      </c>
      <c r="Q73" s="107">
        <v>455217</v>
      </c>
      <c r="R73" s="845">
        <v>457344</v>
      </c>
      <c r="S73" s="667"/>
    </row>
    <row r="74" spans="1:19" x14ac:dyDescent="0.2">
      <c r="B74" s="109" t="s">
        <v>258</v>
      </c>
      <c r="C74" s="110" t="s">
        <v>259</v>
      </c>
      <c r="D74" s="111" t="s">
        <v>260</v>
      </c>
      <c r="E74" s="109">
        <v>210909</v>
      </c>
      <c r="F74" s="112">
        <v>212248</v>
      </c>
      <c r="G74" s="112">
        <v>212760</v>
      </c>
      <c r="H74" s="112">
        <v>213784</v>
      </c>
      <c r="I74" s="113">
        <v>215879</v>
      </c>
      <c r="J74" s="113">
        <v>216147</v>
      </c>
      <c r="K74" s="113">
        <v>216829</v>
      </c>
      <c r="L74" s="113">
        <v>217532</v>
      </c>
      <c r="M74" s="114">
        <v>214348</v>
      </c>
      <c r="N74" s="113">
        <v>215372</v>
      </c>
      <c r="O74" s="114">
        <v>216702</v>
      </c>
      <c r="P74" s="113">
        <v>222180</v>
      </c>
      <c r="Q74" s="113">
        <v>223372</v>
      </c>
      <c r="R74" s="846">
        <v>224188</v>
      </c>
      <c r="S74" s="668"/>
    </row>
    <row r="75" spans="1:19" x14ac:dyDescent="0.2">
      <c r="B75" s="109" t="s">
        <v>261</v>
      </c>
      <c r="C75" s="110" t="s">
        <v>262</v>
      </c>
      <c r="D75" s="111" t="s">
        <v>263</v>
      </c>
      <c r="E75" s="109">
        <v>37380</v>
      </c>
      <c r="F75" s="112">
        <v>37184</v>
      </c>
      <c r="G75" s="112">
        <v>36953</v>
      </c>
      <c r="H75" s="112">
        <v>36724</v>
      </c>
      <c r="I75" s="113">
        <v>36443</v>
      </c>
      <c r="J75" s="113">
        <v>36149</v>
      </c>
      <c r="K75" s="113">
        <v>35773</v>
      </c>
      <c r="L75" s="113">
        <v>35693</v>
      </c>
      <c r="M75" s="114">
        <v>36077</v>
      </c>
      <c r="N75" s="113">
        <v>35829</v>
      </c>
      <c r="O75" s="114">
        <v>35650</v>
      </c>
      <c r="P75" s="113">
        <v>32513</v>
      </c>
      <c r="Q75" s="113">
        <v>32619</v>
      </c>
      <c r="R75" s="846">
        <v>32642</v>
      </c>
      <c r="S75" s="668"/>
    </row>
    <row r="76" spans="1:19" x14ac:dyDescent="0.2">
      <c r="B76" s="109" t="s">
        <v>264</v>
      </c>
      <c r="C76" s="110" t="s">
        <v>265</v>
      </c>
      <c r="D76" s="111" t="s">
        <v>266</v>
      </c>
      <c r="E76" s="109">
        <v>24205</v>
      </c>
      <c r="F76" s="112">
        <v>24002</v>
      </c>
      <c r="G76" s="112">
        <v>23955</v>
      </c>
      <c r="H76" s="112">
        <v>23809</v>
      </c>
      <c r="I76" s="113">
        <v>23514</v>
      </c>
      <c r="J76" s="113">
        <v>23395</v>
      </c>
      <c r="K76" s="113">
        <v>23191</v>
      </c>
      <c r="L76" s="113">
        <v>23070</v>
      </c>
      <c r="M76" s="114">
        <v>23409</v>
      </c>
      <c r="N76" s="113">
        <v>23271</v>
      </c>
      <c r="O76" s="114">
        <v>23128</v>
      </c>
      <c r="P76" s="113">
        <v>24350</v>
      </c>
      <c r="Q76" s="113">
        <v>24440</v>
      </c>
      <c r="R76" s="846">
        <v>24478</v>
      </c>
      <c r="S76" s="668"/>
    </row>
    <row r="77" spans="1:19" x14ac:dyDescent="0.2">
      <c r="B77" s="109" t="s">
        <v>267</v>
      </c>
      <c r="C77" s="110" t="s">
        <v>268</v>
      </c>
      <c r="D77" s="111" t="s">
        <v>269</v>
      </c>
      <c r="E77" s="109">
        <v>72861</v>
      </c>
      <c r="F77" s="112">
        <v>73094</v>
      </c>
      <c r="G77" s="112">
        <v>73529</v>
      </c>
      <c r="H77" s="112">
        <v>73789</v>
      </c>
      <c r="I77" s="113">
        <v>73829</v>
      </c>
      <c r="J77" s="113">
        <v>74588</v>
      </c>
      <c r="K77" s="113">
        <v>74860</v>
      </c>
      <c r="L77" s="113">
        <v>75121</v>
      </c>
      <c r="M77" s="114">
        <v>74911</v>
      </c>
      <c r="N77" s="113">
        <v>75247</v>
      </c>
      <c r="O77" s="114">
        <v>75795</v>
      </c>
      <c r="P77" s="113">
        <v>73454</v>
      </c>
      <c r="Q77" s="113">
        <v>73933</v>
      </c>
      <c r="R77" s="846">
        <v>74330</v>
      </c>
      <c r="S77" s="668"/>
    </row>
    <row r="78" spans="1:19" ht="13.5" thickBot="1" x14ac:dyDescent="0.25">
      <c r="B78" s="121" t="s">
        <v>270</v>
      </c>
      <c r="C78" s="122" t="s">
        <v>271</v>
      </c>
      <c r="D78" s="123" t="s">
        <v>272</v>
      </c>
      <c r="E78" s="121">
        <v>94567</v>
      </c>
      <c r="F78" s="124">
        <v>95078</v>
      </c>
      <c r="G78" s="124">
        <v>95470</v>
      </c>
      <c r="H78" s="124">
        <v>96278</v>
      </c>
      <c r="I78" s="125">
        <v>97368</v>
      </c>
      <c r="J78" s="125">
        <v>98156</v>
      </c>
      <c r="K78" s="125">
        <v>99314</v>
      </c>
      <c r="L78" s="125">
        <v>100411</v>
      </c>
      <c r="M78" s="126">
        <v>99567</v>
      </c>
      <c r="N78" s="125">
        <v>100599</v>
      </c>
      <c r="O78" s="126">
        <v>101363</v>
      </c>
      <c r="P78" s="125">
        <v>100141</v>
      </c>
      <c r="Q78" s="125">
        <v>100853</v>
      </c>
      <c r="R78" s="848">
        <v>101706</v>
      </c>
      <c r="S78" s="670"/>
    </row>
    <row r="79" spans="1:19" x14ac:dyDescent="0.2">
      <c r="A79" s="101"/>
      <c r="B79" s="127" t="s">
        <v>273</v>
      </c>
      <c r="C79" s="128" t="s">
        <v>274</v>
      </c>
      <c r="D79" s="129" t="s">
        <v>551</v>
      </c>
      <c r="E79" s="130">
        <v>549372</v>
      </c>
      <c r="F79" s="131">
        <v>547357</v>
      </c>
      <c r="G79" s="131">
        <v>545641</v>
      </c>
      <c r="H79" s="131">
        <v>543802</v>
      </c>
      <c r="I79" s="132">
        <v>542192</v>
      </c>
      <c r="J79" s="132">
        <v>541298</v>
      </c>
      <c r="K79" s="132">
        <v>539674</v>
      </c>
      <c r="L79" s="132">
        <v>538037</v>
      </c>
      <c r="M79" s="133">
        <v>541352</v>
      </c>
      <c r="N79" s="132">
        <v>539507</v>
      </c>
      <c r="O79" s="133">
        <v>537268</v>
      </c>
      <c r="P79" s="132">
        <v>537268</v>
      </c>
      <c r="Q79" s="132">
        <v>534974</v>
      </c>
      <c r="R79" s="849">
        <v>532399</v>
      </c>
      <c r="S79" s="671"/>
    </row>
    <row r="80" spans="1:19" x14ac:dyDescent="0.2">
      <c r="B80" s="109" t="s">
        <v>275</v>
      </c>
      <c r="C80" s="110" t="s">
        <v>276</v>
      </c>
      <c r="D80" s="111" t="s">
        <v>277</v>
      </c>
      <c r="E80" s="109">
        <v>228176</v>
      </c>
      <c r="F80" s="112">
        <v>228078</v>
      </c>
      <c r="G80" s="112">
        <v>228372</v>
      </c>
      <c r="H80" s="112">
        <v>229344</v>
      </c>
      <c r="I80" s="113">
        <v>230552</v>
      </c>
      <c r="J80" s="113">
        <v>231592</v>
      </c>
      <c r="K80" s="113">
        <v>232293</v>
      </c>
      <c r="L80" s="113">
        <v>231937</v>
      </c>
      <c r="M80" s="114">
        <v>228705</v>
      </c>
      <c r="N80" s="113">
        <v>228245</v>
      </c>
      <c r="O80" s="114">
        <v>227720</v>
      </c>
      <c r="P80" s="113">
        <v>216467</v>
      </c>
      <c r="Q80" s="113">
        <v>216098</v>
      </c>
      <c r="R80" s="846">
        <v>215197</v>
      </c>
      <c r="S80" s="668"/>
    </row>
    <row r="81" spans="1:19" x14ac:dyDescent="0.2">
      <c r="B81" s="109" t="s">
        <v>278</v>
      </c>
      <c r="C81" s="110" t="s">
        <v>279</v>
      </c>
      <c r="D81" s="111" t="s">
        <v>280</v>
      </c>
      <c r="E81" s="109">
        <v>65491</v>
      </c>
      <c r="F81" s="112">
        <v>64855</v>
      </c>
      <c r="G81" s="112">
        <v>64086</v>
      </c>
      <c r="H81" s="112">
        <v>63009</v>
      </c>
      <c r="I81" s="113">
        <v>61911</v>
      </c>
      <c r="J81" s="113">
        <v>61712</v>
      </c>
      <c r="K81" s="113">
        <v>60994</v>
      </c>
      <c r="L81" s="113">
        <v>60825</v>
      </c>
      <c r="M81" s="114">
        <v>62987</v>
      </c>
      <c r="N81" s="113">
        <v>62721</v>
      </c>
      <c r="O81" s="114">
        <v>62251</v>
      </c>
      <c r="P81" s="113">
        <v>86465</v>
      </c>
      <c r="Q81" s="113">
        <v>85907</v>
      </c>
      <c r="R81" s="846">
        <v>85313</v>
      </c>
      <c r="S81" s="668"/>
    </row>
    <row r="82" spans="1:19" x14ac:dyDescent="0.2">
      <c r="B82" s="109" t="s">
        <v>281</v>
      </c>
      <c r="C82" s="110" t="s">
        <v>282</v>
      </c>
      <c r="D82" s="111" t="s">
        <v>283</v>
      </c>
      <c r="E82" s="109">
        <v>64900</v>
      </c>
      <c r="F82" s="112">
        <v>65040</v>
      </c>
      <c r="G82" s="112">
        <v>65181</v>
      </c>
      <c r="H82" s="112">
        <v>65315</v>
      </c>
      <c r="I82" s="113">
        <v>65092</v>
      </c>
      <c r="J82" s="113">
        <v>64867</v>
      </c>
      <c r="K82" s="113">
        <v>64564</v>
      </c>
      <c r="L82" s="113">
        <v>64449</v>
      </c>
      <c r="M82" s="114">
        <v>65058</v>
      </c>
      <c r="N82" s="113">
        <v>65002</v>
      </c>
      <c r="O82" s="114">
        <v>65124</v>
      </c>
      <c r="P82" s="113">
        <v>52163</v>
      </c>
      <c r="Q82" s="113">
        <v>51916</v>
      </c>
      <c r="R82" s="846">
        <v>51794</v>
      </c>
      <c r="S82" s="668"/>
    </row>
    <row r="83" spans="1:19" x14ac:dyDescent="0.2">
      <c r="B83" s="109" t="s">
        <v>284</v>
      </c>
      <c r="C83" s="110" t="s">
        <v>285</v>
      </c>
      <c r="D83" s="111" t="s">
        <v>286</v>
      </c>
      <c r="E83" s="109">
        <v>32208</v>
      </c>
      <c r="F83" s="112">
        <v>32074</v>
      </c>
      <c r="G83" s="112">
        <v>31910</v>
      </c>
      <c r="H83" s="112">
        <v>31748</v>
      </c>
      <c r="I83" s="113">
        <v>31793</v>
      </c>
      <c r="J83" s="113">
        <v>31636</v>
      </c>
      <c r="K83" s="113">
        <v>31620</v>
      </c>
      <c r="L83" s="113">
        <v>31306</v>
      </c>
      <c r="M83" s="114">
        <v>31547</v>
      </c>
      <c r="N83" s="113">
        <v>31332</v>
      </c>
      <c r="O83" s="114">
        <v>31224</v>
      </c>
      <c r="P83" s="113">
        <v>39901</v>
      </c>
      <c r="Q83" s="113">
        <v>39573</v>
      </c>
      <c r="R83" s="846">
        <v>39310</v>
      </c>
      <c r="S83" s="668"/>
    </row>
    <row r="84" spans="1:19" x14ac:dyDescent="0.2">
      <c r="B84" s="109" t="s">
        <v>287</v>
      </c>
      <c r="C84" s="110" t="s">
        <v>288</v>
      </c>
      <c r="D84" s="111" t="s">
        <v>289</v>
      </c>
      <c r="E84" s="109">
        <v>43280</v>
      </c>
      <c r="F84" s="112">
        <v>43014</v>
      </c>
      <c r="G84" s="112">
        <v>42880</v>
      </c>
      <c r="H84" s="112">
        <v>42724</v>
      </c>
      <c r="I84" s="113">
        <v>42537</v>
      </c>
      <c r="J84" s="113">
        <v>42419</v>
      </c>
      <c r="K84" s="113">
        <v>42296</v>
      </c>
      <c r="L84" s="113">
        <v>42255</v>
      </c>
      <c r="M84" s="114">
        <v>43175</v>
      </c>
      <c r="N84" s="113">
        <v>42983</v>
      </c>
      <c r="O84" s="114">
        <v>42665</v>
      </c>
      <c r="P84" s="113">
        <v>42665</v>
      </c>
      <c r="Q84" s="113">
        <v>42615</v>
      </c>
      <c r="R84" s="846">
        <v>42747</v>
      </c>
      <c r="S84" s="668"/>
    </row>
    <row r="85" spans="1:19" x14ac:dyDescent="0.2">
      <c r="B85" s="109" t="s">
        <v>290</v>
      </c>
      <c r="C85" s="110" t="s">
        <v>291</v>
      </c>
      <c r="D85" s="111" t="s">
        <v>292</v>
      </c>
      <c r="E85" s="109">
        <v>40946</v>
      </c>
      <c r="F85" s="112">
        <v>40640</v>
      </c>
      <c r="G85" s="112">
        <v>40176</v>
      </c>
      <c r="H85" s="112">
        <v>39580</v>
      </c>
      <c r="I85" s="113">
        <v>39189</v>
      </c>
      <c r="J85" s="113">
        <v>38851</v>
      </c>
      <c r="K85" s="113">
        <v>38443</v>
      </c>
      <c r="L85" s="113">
        <v>38120</v>
      </c>
      <c r="M85" s="114">
        <v>38515</v>
      </c>
      <c r="N85" s="113">
        <v>38311</v>
      </c>
      <c r="O85" s="114">
        <v>37995</v>
      </c>
      <c r="P85" s="113">
        <v>29318</v>
      </c>
      <c r="Q85" s="113">
        <v>29115</v>
      </c>
      <c r="R85" s="846">
        <v>29000</v>
      </c>
      <c r="S85" s="668"/>
    </row>
    <row r="86" spans="1:19" x14ac:dyDescent="0.2">
      <c r="B86" s="109" t="s">
        <v>293</v>
      </c>
      <c r="C86" s="110" t="s">
        <v>294</v>
      </c>
      <c r="D86" s="111" t="s">
        <v>295</v>
      </c>
      <c r="E86" s="109">
        <v>42724</v>
      </c>
      <c r="F86" s="112">
        <v>42402</v>
      </c>
      <c r="G86" s="112">
        <v>42012</v>
      </c>
      <c r="H86" s="112">
        <v>41437</v>
      </c>
      <c r="I86" s="113">
        <v>40772</v>
      </c>
      <c r="J86" s="113">
        <v>40184</v>
      </c>
      <c r="K86" s="113">
        <v>39739</v>
      </c>
      <c r="L86" s="113">
        <v>39529</v>
      </c>
      <c r="M86" s="114">
        <v>40877</v>
      </c>
      <c r="N86" s="113">
        <v>40560</v>
      </c>
      <c r="O86" s="114">
        <v>40114</v>
      </c>
      <c r="P86" s="113">
        <v>40114</v>
      </c>
      <c r="Q86" s="113">
        <v>39682</v>
      </c>
      <c r="R86" s="846">
        <v>39139</v>
      </c>
      <c r="S86" s="668"/>
    </row>
    <row r="87" spans="1:19" ht="13.5" thickBot="1" x14ac:dyDescent="0.25">
      <c r="B87" s="115" t="s">
        <v>296</v>
      </c>
      <c r="C87" s="116" t="s">
        <v>297</v>
      </c>
      <c r="D87" s="117" t="s">
        <v>298</v>
      </c>
      <c r="E87" s="115">
        <v>31647</v>
      </c>
      <c r="F87" s="118">
        <v>31254</v>
      </c>
      <c r="G87" s="118">
        <v>31024</v>
      </c>
      <c r="H87" s="118">
        <v>30645</v>
      </c>
      <c r="I87" s="119">
        <v>30346</v>
      </c>
      <c r="J87" s="119">
        <v>30037</v>
      </c>
      <c r="K87" s="119">
        <v>29725</v>
      </c>
      <c r="L87" s="119">
        <v>29616</v>
      </c>
      <c r="M87" s="120">
        <v>30488</v>
      </c>
      <c r="N87" s="119">
        <v>30353</v>
      </c>
      <c r="O87" s="120">
        <v>30175</v>
      </c>
      <c r="P87" s="119">
        <v>30175</v>
      </c>
      <c r="Q87" s="119">
        <v>30068</v>
      </c>
      <c r="R87" s="847">
        <v>29899</v>
      </c>
      <c r="S87" s="669"/>
    </row>
    <row r="88" spans="1:19" x14ac:dyDescent="0.2">
      <c r="A88" s="101"/>
      <c r="B88" s="102" t="s">
        <v>299</v>
      </c>
      <c r="C88" s="103" t="s">
        <v>300</v>
      </c>
      <c r="D88" s="104" t="s">
        <v>552</v>
      </c>
      <c r="E88" s="105">
        <v>322756</v>
      </c>
      <c r="F88" s="106">
        <v>320886</v>
      </c>
      <c r="G88" s="106">
        <v>319460</v>
      </c>
      <c r="H88" s="106">
        <v>316874</v>
      </c>
      <c r="I88" s="107">
        <v>314441</v>
      </c>
      <c r="J88" s="107">
        <v>311454</v>
      </c>
      <c r="K88" s="107">
        <v>307985</v>
      </c>
      <c r="L88" s="107">
        <v>305336</v>
      </c>
      <c r="M88" s="108">
        <v>306336</v>
      </c>
      <c r="N88" s="107">
        <v>303503</v>
      </c>
      <c r="O88" s="108">
        <v>301296</v>
      </c>
      <c r="P88" s="107">
        <v>301296</v>
      </c>
      <c r="Q88" s="107">
        <v>299219</v>
      </c>
      <c r="R88" s="845">
        <v>296927</v>
      </c>
      <c r="S88" s="667"/>
    </row>
    <row r="89" spans="1:19" x14ac:dyDescent="0.2">
      <c r="B89" s="109" t="s">
        <v>301</v>
      </c>
      <c r="C89" s="110" t="s">
        <v>302</v>
      </c>
      <c r="D89" s="111" t="s">
        <v>303</v>
      </c>
      <c r="E89" s="109">
        <v>120844</v>
      </c>
      <c r="F89" s="112">
        <v>120155</v>
      </c>
      <c r="G89" s="112">
        <v>119878</v>
      </c>
      <c r="H89" s="112">
        <v>118738</v>
      </c>
      <c r="I89" s="113">
        <v>118395</v>
      </c>
      <c r="J89" s="113">
        <v>117563</v>
      </c>
      <c r="K89" s="113">
        <v>116574</v>
      </c>
      <c r="L89" s="113">
        <v>115831</v>
      </c>
      <c r="M89" s="114">
        <v>115481</v>
      </c>
      <c r="N89" s="113">
        <v>114495</v>
      </c>
      <c r="O89" s="114">
        <v>113932</v>
      </c>
      <c r="P89" s="113">
        <v>114906</v>
      </c>
      <c r="Q89" s="113">
        <v>114404</v>
      </c>
      <c r="R89" s="846">
        <v>113305</v>
      </c>
      <c r="S89" s="668"/>
    </row>
    <row r="90" spans="1:19" x14ac:dyDescent="0.2">
      <c r="B90" s="109" t="s">
        <v>304</v>
      </c>
      <c r="C90" s="110" t="s">
        <v>305</v>
      </c>
      <c r="D90" s="111" t="s">
        <v>306</v>
      </c>
      <c r="E90" s="109">
        <v>33706</v>
      </c>
      <c r="F90" s="112">
        <v>33523</v>
      </c>
      <c r="G90" s="112">
        <v>33268</v>
      </c>
      <c r="H90" s="112">
        <v>32870</v>
      </c>
      <c r="I90" s="113">
        <v>32274</v>
      </c>
      <c r="J90" s="113">
        <v>31792</v>
      </c>
      <c r="K90" s="113">
        <v>31370</v>
      </c>
      <c r="L90" s="113">
        <v>30931</v>
      </c>
      <c r="M90" s="114">
        <v>31407</v>
      </c>
      <c r="N90" s="113">
        <v>31115</v>
      </c>
      <c r="O90" s="114">
        <v>30820</v>
      </c>
      <c r="P90" s="113">
        <v>29846</v>
      </c>
      <c r="Q90" s="113">
        <v>29480</v>
      </c>
      <c r="R90" s="846">
        <v>29191</v>
      </c>
      <c r="S90" s="668"/>
    </row>
    <row r="91" spans="1:19" x14ac:dyDescent="0.2">
      <c r="B91" s="109" t="s">
        <v>307</v>
      </c>
      <c r="C91" s="110" t="s">
        <v>308</v>
      </c>
      <c r="D91" s="111" t="s">
        <v>309</v>
      </c>
      <c r="E91" s="109">
        <v>77773</v>
      </c>
      <c r="F91" s="112">
        <v>77249</v>
      </c>
      <c r="G91" s="112">
        <v>77093</v>
      </c>
      <c r="H91" s="112">
        <v>76814</v>
      </c>
      <c r="I91" s="113">
        <v>76226</v>
      </c>
      <c r="J91" s="113">
        <v>75767</v>
      </c>
      <c r="K91" s="113">
        <v>75250</v>
      </c>
      <c r="L91" s="113">
        <v>74607</v>
      </c>
      <c r="M91" s="114">
        <v>73460</v>
      </c>
      <c r="N91" s="113">
        <v>72700</v>
      </c>
      <c r="O91" s="114">
        <v>71847</v>
      </c>
      <c r="P91" s="113">
        <v>71847</v>
      </c>
      <c r="Q91" s="113">
        <v>71303</v>
      </c>
      <c r="R91" s="846">
        <v>70728</v>
      </c>
      <c r="S91" s="668"/>
    </row>
    <row r="92" spans="1:19" x14ac:dyDescent="0.2">
      <c r="B92" s="109" t="s">
        <v>310</v>
      </c>
      <c r="C92" s="110" t="s">
        <v>311</v>
      </c>
      <c r="D92" s="111" t="s">
        <v>312</v>
      </c>
      <c r="E92" s="109">
        <v>53952</v>
      </c>
      <c r="F92" s="112">
        <v>53679</v>
      </c>
      <c r="G92" s="112">
        <v>53311</v>
      </c>
      <c r="H92" s="112">
        <v>52985</v>
      </c>
      <c r="I92" s="113">
        <v>52624</v>
      </c>
      <c r="J92" s="113">
        <v>51974</v>
      </c>
      <c r="K92" s="113">
        <v>51103</v>
      </c>
      <c r="L92" s="113">
        <v>50585</v>
      </c>
      <c r="M92" s="114">
        <v>50872</v>
      </c>
      <c r="N92" s="113">
        <v>50426</v>
      </c>
      <c r="O92" s="114">
        <v>50035</v>
      </c>
      <c r="P92" s="113">
        <v>50035</v>
      </c>
      <c r="Q92" s="113">
        <v>49633</v>
      </c>
      <c r="R92" s="846">
        <v>49478</v>
      </c>
      <c r="S92" s="668"/>
    </row>
    <row r="93" spans="1:19" ht="13.5" thickBot="1" x14ac:dyDescent="0.25">
      <c r="B93" s="121" t="s">
        <v>313</v>
      </c>
      <c r="C93" s="122" t="s">
        <v>314</v>
      </c>
      <c r="D93" s="123" t="s">
        <v>315</v>
      </c>
      <c r="E93" s="121">
        <v>36481</v>
      </c>
      <c r="F93" s="124">
        <v>36280</v>
      </c>
      <c r="G93" s="124">
        <v>35910</v>
      </c>
      <c r="H93" s="124">
        <v>35467</v>
      </c>
      <c r="I93" s="125">
        <v>34922</v>
      </c>
      <c r="J93" s="125">
        <v>34358</v>
      </c>
      <c r="K93" s="125">
        <v>33688</v>
      </c>
      <c r="L93" s="125">
        <v>33382</v>
      </c>
      <c r="M93" s="126">
        <v>35116</v>
      </c>
      <c r="N93" s="125">
        <v>34767</v>
      </c>
      <c r="O93" s="126">
        <v>34662</v>
      </c>
      <c r="P93" s="125">
        <v>34662</v>
      </c>
      <c r="Q93" s="125">
        <v>34399</v>
      </c>
      <c r="R93" s="848">
        <v>34225</v>
      </c>
      <c r="S93" s="670"/>
    </row>
    <row r="94" spans="1:19" x14ac:dyDescent="0.2">
      <c r="A94" s="101"/>
      <c r="B94" s="127" t="s">
        <v>316</v>
      </c>
      <c r="C94" s="128" t="s">
        <v>317</v>
      </c>
      <c r="D94" s="129" t="s">
        <v>553</v>
      </c>
      <c r="E94" s="130">
        <v>315544</v>
      </c>
      <c r="F94" s="131">
        <v>314783</v>
      </c>
      <c r="G94" s="131">
        <v>315036</v>
      </c>
      <c r="H94" s="131">
        <v>314649</v>
      </c>
      <c r="I94" s="132">
        <v>314450</v>
      </c>
      <c r="J94" s="132">
        <v>312431</v>
      </c>
      <c r="K94" s="132">
        <v>311411</v>
      </c>
      <c r="L94" s="132">
        <v>310200</v>
      </c>
      <c r="M94" s="133">
        <v>302451</v>
      </c>
      <c r="N94" s="132">
        <v>300677</v>
      </c>
      <c r="O94" s="133">
        <v>299110</v>
      </c>
      <c r="P94" s="132">
        <v>299110</v>
      </c>
      <c r="Q94" s="132">
        <v>297914</v>
      </c>
      <c r="R94" s="849">
        <v>297381</v>
      </c>
      <c r="S94" s="671"/>
    </row>
    <row r="95" spans="1:19" x14ac:dyDescent="0.2">
      <c r="B95" s="109" t="s">
        <v>318</v>
      </c>
      <c r="C95" s="110" t="s">
        <v>319</v>
      </c>
      <c r="D95" s="111" t="s">
        <v>320</v>
      </c>
      <c r="E95" s="109">
        <v>89064</v>
      </c>
      <c r="F95" s="112">
        <v>88574</v>
      </c>
      <c r="G95" s="112">
        <v>88502</v>
      </c>
      <c r="H95" s="112">
        <v>88416</v>
      </c>
      <c r="I95" s="113">
        <v>88454</v>
      </c>
      <c r="J95" s="113">
        <v>88086</v>
      </c>
      <c r="K95" s="113">
        <v>88201</v>
      </c>
      <c r="L95" s="113">
        <v>88159</v>
      </c>
      <c r="M95" s="114">
        <v>85054</v>
      </c>
      <c r="N95" s="113">
        <v>84691</v>
      </c>
      <c r="O95" s="114">
        <v>84422</v>
      </c>
      <c r="P95" s="113">
        <v>84422</v>
      </c>
      <c r="Q95" s="113">
        <v>84089</v>
      </c>
      <c r="R95" s="846">
        <v>83843</v>
      </c>
      <c r="S95" s="668"/>
    </row>
    <row r="96" spans="1:19" x14ac:dyDescent="0.2">
      <c r="B96" s="109" t="s">
        <v>321</v>
      </c>
      <c r="C96" s="110" t="s">
        <v>322</v>
      </c>
      <c r="D96" s="111" t="s">
        <v>323</v>
      </c>
      <c r="E96" s="109">
        <v>40401</v>
      </c>
      <c r="F96" s="112">
        <v>40369</v>
      </c>
      <c r="G96" s="112">
        <v>40392</v>
      </c>
      <c r="H96" s="112">
        <v>40381</v>
      </c>
      <c r="I96" s="113">
        <v>40158</v>
      </c>
      <c r="J96" s="113">
        <v>39785</v>
      </c>
      <c r="K96" s="113">
        <v>39485</v>
      </c>
      <c r="L96" s="113">
        <v>39239</v>
      </c>
      <c r="M96" s="114">
        <v>38851</v>
      </c>
      <c r="N96" s="113">
        <v>38567</v>
      </c>
      <c r="O96" s="114">
        <v>38335</v>
      </c>
      <c r="P96" s="113">
        <v>38335</v>
      </c>
      <c r="Q96" s="113">
        <v>38052</v>
      </c>
      <c r="R96" s="846">
        <v>37921</v>
      </c>
      <c r="S96" s="668"/>
    </row>
    <row r="97" spans="1:19" x14ac:dyDescent="0.2">
      <c r="B97" s="109" t="s">
        <v>324</v>
      </c>
      <c r="C97" s="110" t="s">
        <v>325</v>
      </c>
      <c r="D97" s="111" t="s">
        <v>326</v>
      </c>
      <c r="E97" s="109">
        <v>43390</v>
      </c>
      <c r="F97" s="112">
        <v>43198</v>
      </c>
      <c r="G97" s="112">
        <v>43034</v>
      </c>
      <c r="H97" s="112">
        <v>42898</v>
      </c>
      <c r="I97" s="113">
        <v>42848</v>
      </c>
      <c r="J97" s="113">
        <v>42559</v>
      </c>
      <c r="K97" s="113">
        <v>42253</v>
      </c>
      <c r="L97" s="113">
        <v>42013</v>
      </c>
      <c r="M97" s="114">
        <v>41426</v>
      </c>
      <c r="N97" s="113">
        <v>41061</v>
      </c>
      <c r="O97" s="114">
        <v>40892</v>
      </c>
      <c r="P97" s="113">
        <v>39095</v>
      </c>
      <c r="Q97" s="113">
        <v>38970</v>
      </c>
      <c r="R97" s="846">
        <v>39032</v>
      </c>
      <c r="S97" s="668"/>
    </row>
    <row r="98" spans="1:19" x14ac:dyDescent="0.2">
      <c r="B98" s="109" t="s">
        <v>327</v>
      </c>
      <c r="C98" s="110" t="s">
        <v>328</v>
      </c>
      <c r="D98" s="111" t="s">
        <v>329</v>
      </c>
      <c r="E98" s="109">
        <v>27747</v>
      </c>
      <c r="F98" s="112">
        <v>27479</v>
      </c>
      <c r="G98" s="112">
        <v>27414</v>
      </c>
      <c r="H98" s="112">
        <v>27255</v>
      </c>
      <c r="I98" s="113">
        <v>27036</v>
      </c>
      <c r="J98" s="113">
        <v>26635</v>
      </c>
      <c r="K98" s="113">
        <v>26467</v>
      </c>
      <c r="L98" s="113">
        <v>26353</v>
      </c>
      <c r="M98" s="114">
        <v>25973</v>
      </c>
      <c r="N98" s="113">
        <v>25750</v>
      </c>
      <c r="O98" s="114">
        <v>25636</v>
      </c>
      <c r="P98" s="113">
        <v>25636</v>
      </c>
      <c r="Q98" s="113">
        <v>25528</v>
      </c>
      <c r="R98" s="846">
        <v>25415</v>
      </c>
      <c r="S98" s="668"/>
    </row>
    <row r="99" spans="1:19" x14ac:dyDescent="0.2">
      <c r="B99" s="109" t="s">
        <v>330</v>
      </c>
      <c r="C99" s="110" t="s">
        <v>331</v>
      </c>
      <c r="D99" s="111" t="s">
        <v>332</v>
      </c>
      <c r="E99" s="109">
        <v>39595</v>
      </c>
      <c r="F99" s="112">
        <v>39783</v>
      </c>
      <c r="G99" s="112">
        <v>40314</v>
      </c>
      <c r="H99" s="112">
        <v>40266</v>
      </c>
      <c r="I99" s="113">
        <v>40493</v>
      </c>
      <c r="J99" s="113">
        <v>40401</v>
      </c>
      <c r="K99" s="113">
        <v>40442</v>
      </c>
      <c r="L99" s="113">
        <v>40307</v>
      </c>
      <c r="M99" s="114">
        <v>38742</v>
      </c>
      <c r="N99" s="113">
        <v>38626</v>
      </c>
      <c r="O99" s="114">
        <v>38565</v>
      </c>
      <c r="P99" s="113">
        <v>38565</v>
      </c>
      <c r="Q99" s="113">
        <v>38488</v>
      </c>
      <c r="R99" s="846">
        <v>38445</v>
      </c>
      <c r="S99" s="668"/>
    </row>
    <row r="100" spans="1:19" x14ac:dyDescent="0.2">
      <c r="B100" s="109" t="s">
        <v>333</v>
      </c>
      <c r="C100" s="110" t="s">
        <v>334</v>
      </c>
      <c r="D100" s="111" t="s">
        <v>335</v>
      </c>
      <c r="E100" s="109">
        <v>56077</v>
      </c>
      <c r="F100" s="112">
        <v>56238</v>
      </c>
      <c r="G100" s="112">
        <v>56259</v>
      </c>
      <c r="H100" s="112">
        <v>56559</v>
      </c>
      <c r="I100" s="113">
        <v>56840</v>
      </c>
      <c r="J100" s="113">
        <v>56597</v>
      </c>
      <c r="K100" s="113">
        <v>56427</v>
      </c>
      <c r="L100" s="113">
        <v>56067</v>
      </c>
      <c r="M100" s="114">
        <v>54051</v>
      </c>
      <c r="N100" s="113">
        <v>53774</v>
      </c>
      <c r="O100" s="114">
        <v>53171</v>
      </c>
      <c r="P100" s="113">
        <v>53171</v>
      </c>
      <c r="Q100" s="113">
        <v>52959</v>
      </c>
      <c r="R100" s="846">
        <v>52974</v>
      </c>
      <c r="S100" s="668"/>
    </row>
    <row r="101" spans="1:19" ht="13.5" thickBot="1" x14ac:dyDescent="0.25">
      <c r="B101" s="115" t="s">
        <v>336</v>
      </c>
      <c r="C101" s="116" t="s">
        <v>337</v>
      </c>
      <c r="D101" s="117" t="s">
        <v>338</v>
      </c>
      <c r="E101" s="115">
        <v>19270</v>
      </c>
      <c r="F101" s="118">
        <v>19142</v>
      </c>
      <c r="G101" s="118">
        <v>19121</v>
      </c>
      <c r="H101" s="118">
        <v>18874</v>
      </c>
      <c r="I101" s="119">
        <v>18621</v>
      </c>
      <c r="J101" s="119">
        <v>18368</v>
      </c>
      <c r="K101" s="119">
        <v>18136</v>
      </c>
      <c r="L101" s="119">
        <v>18062</v>
      </c>
      <c r="M101" s="120">
        <v>18354</v>
      </c>
      <c r="N101" s="119">
        <v>18208</v>
      </c>
      <c r="O101" s="120">
        <v>18089</v>
      </c>
      <c r="P101" s="119">
        <v>19886</v>
      </c>
      <c r="Q101" s="119">
        <v>19828</v>
      </c>
      <c r="R101" s="847">
        <v>19751</v>
      </c>
      <c r="S101" s="669"/>
    </row>
    <row r="102" spans="1:19" x14ac:dyDescent="0.2">
      <c r="A102" s="101"/>
      <c r="B102" s="102" t="s">
        <v>339</v>
      </c>
      <c r="C102" s="103" t="s">
        <v>340</v>
      </c>
      <c r="D102" s="104" t="s">
        <v>554</v>
      </c>
      <c r="E102" s="105">
        <v>216501</v>
      </c>
      <c r="F102" s="106">
        <v>214824</v>
      </c>
      <c r="G102" s="106">
        <v>213030</v>
      </c>
      <c r="H102" s="106">
        <v>210182</v>
      </c>
      <c r="I102" s="107">
        <v>207637</v>
      </c>
      <c r="J102" s="107">
        <v>204917</v>
      </c>
      <c r="K102" s="107">
        <v>201919</v>
      </c>
      <c r="L102" s="107">
        <v>198933</v>
      </c>
      <c r="M102" s="108">
        <v>200755</v>
      </c>
      <c r="N102" s="107">
        <v>198392</v>
      </c>
      <c r="O102" s="108">
        <v>195923</v>
      </c>
      <c r="P102" s="107">
        <v>195923</v>
      </c>
      <c r="Q102" s="107">
        <v>193946</v>
      </c>
      <c r="R102" s="845">
        <v>192573</v>
      </c>
      <c r="S102" s="667"/>
    </row>
    <row r="103" spans="1:19" x14ac:dyDescent="0.2">
      <c r="B103" s="109" t="s">
        <v>341</v>
      </c>
      <c r="C103" s="110" t="s">
        <v>342</v>
      </c>
      <c r="D103" s="111" t="s">
        <v>343</v>
      </c>
      <c r="E103" s="109">
        <v>64589</v>
      </c>
      <c r="F103" s="112">
        <v>63784</v>
      </c>
      <c r="G103" s="112">
        <v>62990</v>
      </c>
      <c r="H103" s="112">
        <v>61867</v>
      </c>
      <c r="I103" s="113">
        <v>61020</v>
      </c>
      <c r="J103" s="113">
        <v>60061</v>
      </c>
      <c r="K103" s="113">
        <v>59182</v>
      </c>
      <c r="L103" s="113">
        <v>58207</v>
      </c>
      <c r="M103" s="114">
        <v>59259</v>
      </c>
      <c r="N103" s="113">
        <v>58252</v>
      </c>
      <c r="O103" s="114">
        <v>57326</v>
      </c>
      <c r="P103" s="113">
        <v>62506</v>
      </c>
      <c r="Q103" s="113">
        <v>61625</v>
      </c>
      <c r="R103" s="846">
        <v>60777</v>
      </c>
      <c r="S103" s="668"/>
    </row>
    <row r="104" spans="1:19" x14ac:dyDescent="0.2">
      <c r="B104" s="109" t="s">
        <v>344</v>
      </c>
      <c r="C104" s="110" t="s">
        <v>345</v>
      </c>
      <c r="D104" s="111" t="s">
        <v>346</v>
      </c>
      <c r="E104" s="109">
        <v>42581</v>
      </c>
      <c r="F104" s="112">
        <v>42445</v>
      </c>
      <c r="G104" s="112">
        <v>42034</v>
      </c>
      <c r="H104" s="112">
        <v>41467</v>
      </c>
      <c r="I104" s="113">
        <v>41044</v>
      </c>
      <c r="J104" s="113">
        <v>40604</v>
      </c>
      <c r="K104" s="113">
        <v>40125</v>
      </c>
      <c r="L104" s="113">
        <v>39623</v>
      </c>
      <c r="M104" s="114">
        <v>39829</v>
      </c>
      <c r="N104" s="113">
        <v>39352</v>
      </c>
      <c r="O104" s="114">
        <v>38833</v>
      </c>
      <c r="P104" s="113">
        <v>38833</v>
      </c>
      <c r="Q104" s="113">
        <v>38361</v>
      </c>
      <c r="R104" s="846">
        <v>38066</v>
      </c>
      <c r="S104" s="668"/>
    </row>
    <row r="105" spans="1:19" x14ac:dyDescent="0.2">
      <c r="B105" s="109" t="s">
        <v>347</v>
      </c>
      <c r="C105" s="110" t="s">
        <v>348</v>
      </c>
      <c r="D105" s="111" t="s">
        <v>349</v>
      </c>
      <c r="E105" s="109">
        <v>33641</v>
      </c>
      <c r="F105" s="112">
        <v>33536</v>
      </c>
      <c r="G105" s="112">
        <v>33362</v>
      </c>
      <c r="H105" s="112">
        <v>32895</v>
      </c>
      <c r="I105" s="113">
        <v>32538</v>
      </c>
      <c r="J105" s="113">
        <v>32070</v>
      </c>
      <c r="K105" s="113">
        <v>31624</v>
      </c>
      <c r="L105" s="113">
        <v>31292</v>
      </c>
      <c r="M105" s="114">
        <v>31497</v>
      </c>
      <c r="N105" s="113">
        <v>31172</v>
      </c>
      <c r="O105" s="114">
        <v>30883</v>
      </c>
      <c r="P105" s="113">
        <v>30883</v>
      </c>
      <c r="Q105" s="113">
        <v>30644</v>
      </c>
      <c r="R105" s="846">
        <v>30562</v>
      </c>
      <c r="S105" s="668"/>
    </row>
    <row r="106" spans="1:19" x14ac:dyDescent="0.2">
      <c r="B106" s="109" t="s">
        <v>350</v>
      </c>
      <c r="C106" s="110" t="s">
        <v>351</v>
      </c>
      <c r="D106" s="111" t="s">
        <v>352</v>
      </c>
      <c r="E106" s="109">
        <v>25795</v>
      </c>
      <c r="F106" s="112">
        <v>25718</v>
      </c>
      <c r="G106" s="112">
        <v>25784</v>
      </c>
      <c r="H106" s="112">
        <v>25588</v>
      </c>
      <c r="I106" s="113">
        <v>25426</v>
      </c>
      <c r="J106" s="113">
        <v>25281</v>
      </c>
      <c r="K106" s="113">
        <v>24698</v>
      </c>
      <c r="L106" s="113">
        <v>24003</v>
      </c>
      <c r="M106" s="114">
        <v>23798</v>
      </c>
      <c r="N106" s="113">
        <v>23599</v>
      </c>
      <c r="O106" s="114">
        <v>23393</v>
      </c>
      <c r="P106" s="113">
        <v>23393</v>
      </c>
      <c r="Q106" s="113">
        <v>23623</v>
      </c>
      <c r="R106" s="846">
        <v>23872</v>
      </c>
      <c r="S106" s="668"/>
    </row>
    <row r="107" spans="1:19" x14ac:dyDescent="0.2">
      <c r="B107" s="109" t="s">
        <v>353</v>
      </c>
      <c r="C107" s="110" t="s">
        <v>354</v>
      </c>
      <c r="D107" s="111" t="s">
        <v>355</v>
      </c>
      <c r="E107" s="109">
        <v>22833</v>
      </c>
      <c r="F107" s="112">
        <v>22618</v>
      </c>
      <c r="G107" s="112">
        <v>22439</v>
      </c>
      <c r="H107" s="112">
        <v>22223</v>
      </c>
      <c r="I107" s="113">
        <v>22017</v>
      </c>
      <c r="J107" s="113">
        <v>21829</v>
      </c>
      <c r="K107" s="113">
        <v>21621</v>
      </c>
      <c r="L107" s="113">
        <v>21467</v>
      </c>
      <c r="M107" s="114">
        <v>21838</v>
      </c>
      <c r="N107" s="113">
        <v>21719</v>
      </c>
      <c r="O107" s="114">
        <v>21519</v>
      </c>
      <c r="P107" s="113">
        <v>19222</v>
      </c>
      <c r="Q107" s="113">
        <v>18975</v>
      </c>
      <c r="R107" s="846">
        <v>18800</v>
      </c>
      <c r="S107" s="668"/>
    </row>
    <row r="108" spans="1:19" ht="13.5" thickBot="1" x14ac:dyDescent="0.25">
      <c r="B108" s="121" t="s">
        <v>356</v>
      </c>
      <c r="C108" s="122" t="s">
        <v>357</v>
      </c>
      <c r="D108" s="123" t="s">
        <v>358</v>
      </c>
      <c r="E108" s="121">
        <v>27062</v>
      </c>
      <c r="F108" s="124">
        <v>26723</v>
      </c>
      <c r="G108" s="124">
        <v>26421</v>
      </c>
      <c r="H108" s="124">
        <v>26142</v>
      </c>
      <c r="I108" s="125">
        <v>25592</v>
      </c>
      <c r="J108" s="125">
        <v>25072</v>
      </c>
      <c r="K108" s="125">
        <v>24669</v>
      </c>
      <c r="L108" s="125">
        <v>24341</v>
      </c>
      <c r="M108" s="126">
        <v>24534</v>
      </c>
      <c r="N108" s="125">
        <v>24298</v>
      </c>
      <c r="O108" s="126">
        <v>23969</v>
      </c>
      <c r="P108" s="125">
        <v>21086</v>
      </c>
      <c r="Q108" s="125">
        <v>20718</v>
      </c>
      <c r="R108" s="848">
        <v>20496</v>
      </c>
      <c r="S108" s="670"/>
    </row>
    <row r="109" spans="1:19" x14ac:dyDescent="0.2">
      <c r="A109" s="101"/>
      <c r="B109" s="127" t="s">
        <v>359</v>
      </c>
      <c r="C109" s="128" t="s">
        <v>360</v>
      </c>
      <c r="D109" s="129" t="s">
        <v>555</v>
      </c>
      <c r="E109" s="130">
        <v>1143629</v>
      </c>
      <c r="F109" s="131">
        <v>1157564</v>
      </c>
      <c r="G109" s="131">
        <v>1176550</v>
      </c>
      <c r="H109" s="131">
        <v>1195020</v>
      </c>
      <c r="I109" s="132">
        <v>1213290</v>
      </c>
      <c r="J109" s="132">
        <v>1229880</v>
      </c>
      <c r="K109" s="132">
        <v>1237561</v>
      </c>
      <c r="L109" s="132">
        <v>1245048</v>
      </c>
      <c r="M109" s="133">
        <v>1218172</v>
      </c>
      <c r="N109" s="132">
        <v>1220748</v>
      </c>
      <c r="O109" s="133">
        <v>1226115</v>
      </c>
      <c r="P109" s="132">
        <v>1226115</v>
      </c>
      <c r="Q109" s="132">
        <v>1234541</v>
      </c>
      <c r="R109" s="849">
        <v>1247372</v>
      </c>
      <c r="S109" s="671"/>
    </row>
    <row r="110" spans="1:19" x14ac:dyDescent="0.2">
      <c r="B110" s="109" t="s">
        <v>361</v>
      </c>
      <c r="C110" s="110" t="s">
        <v>362</v>
      </c>
      <c r="D110" s="111" t="s">
        <v>363</v>
      </c>
      <c r="E110" s="109">
        <v>131828</v>
      </c>
      <c r="F110" s="112">
        <v>135354</v>
      </c>
      <c r="G110" s="112">
        <v>139331</v>
      </c>
      <c r="H110" s="112">
        <v>142995</v>
      </c>
      <c r="I110" s="113">
        <v>145693</v>
      </c>
      <c r="J110" s="113">
        <v>148841</v>
      </c>
      <c r="K110" s="113">
        <v>151271</v>
      </c>
      <c r="L110" s="113">
        <v>153052</v>
      </c>
      <c r="M110" s="114">
        <v>147262</v>
      </c>
      <c r="N110" s="113">
        <v>148413</v>
      </c>
      <c r="O110" s="114">
        <v>149855</v>
      </c>
      <c r="P110" s="113">
        <v>139529</v>
      </c>
      <c r="Q110" s="113">
        <v>141161</v>
      </c>
      <c r="R110" s="846">
        <v>143233</v>
      </c>
      <c r="S110" s="668"/>
    </row>
    <row r="111" spans="1:19" x14ac:dyDescent="0.2">
      <c r="B111" s="109" t="s">
        <v>364</v>
      </c>
      <c r="C111" s="110" t="s">
        <v>365</v>
      </c>
      <c r="D111" s="111" t="s">
        <v>366</v>
      </c>
      <c r="E111" s="109">
        <v>92757</v>
      </c>
      <c r="F111" s="112">
        <v>92702</v>
      </c>
      <c r="G111" s="112">
        <v>92864</v>
      </c>
      <c r="H111" s="112">
        <v>92619</v>
      </c>
      <c r="I111" s="113">
        <v>92269</v>
      </c>
      <c r="J111" s="113">
        <v>92161</v>
      </c>
      <c r="K111" s="113">
        <v>91352</v>
      </c>
      <c r="L111" s="113">
        <v>90885</v>
      </c>
      <c r="M111" s="114">
        <v>89261</v>
      </c>
      <c r="N111" s="113">
        <v>88626</v>
      </c>
      <c r="O111" s="114">
        <v>88046</v>
      </c>
      <c r="P111" s="113">
        <v>88046</v>
      </c>
      <c r="Q111" s="113">
        <v>87599</v>
      </c>
      <c r="R111" s="846">
        <v>87553</v>
      </c>
      <c r="S111" s="668"/>
    </row>
    <row r="112" spans="1:19" x14ac:dyDescent="0.2">
      <c r="B112" s="109" t="s">
        <v>367</v>
      </c>
      <c r="C112" s="110" t="s">
        <v>368</v>
      </c>
      <c r="D112" s="111" t="s">
        <v>369</v>
      </c>
      <c r="E112" s="109">
        <v>87796</v>
      </c>
      <c r="F112" s="112">
        <v>88170</v>
      </c>
      <c r="G112" s="112">
        <v>88757</v>
      </c>
      <c r="H112" s="112">
        <v>89614</v>
      </c>
      <c r="I112" s="113">
        <v>90127</v>
      </c>
      <c r="J112" s="113">
        <v>90679</v>
      </c>
      <c r="K112" s="113">
        <v>90512</v>
      </c>
      <c r="L112" s="113">
        <v>90933</v>
      </c>
      <c r="M112" s="114">
        <v>89055</v>
      </c>
      <c r="N112" s="113">
        <v>89372</v>
      </c>
      <c r="O112" s="114">
        <v>89441</v>
      </c>
      <c r="P112" s="113">
        <v>89441</v>
      </c>
      <c r="Q112" s="113">
        <v>89818</v>
      </c>
      <c r="R112" s="846">
        <v>90382</v>
      </c>
      <c r="S112" s="668"/>
    </row>
    <row r="113" spans="1:19" x14ac:dyDescent="0.2">
      <c r="B113" s="109" t="s">
        <v>370</v>
      </c>
      <c r="C113" s="110" t="s">
        <v>371</v>
      </c>
      <c r="D113" s="111" t="s">
        <v>372</v>
      </c>
      <c r="E113" s="109">
        <v>165222</v>
      </c>
      <c r="F113" s="112">
        <v>167172</v>
      </c>
      <c r="G113" s="112">
        <v>170548</v>
      </c>
      <c r="H113" s="112">
        <v>173799</v>
      </c>
      <c r="I113" s="113">
        <v>176719</v>
      </c>
      <c r="J113" s="113">
        <v>179320</v>
      </c>
      <c r="K113" s="113">
        <v>180872</v>
      </c>
      <c r="L113" s="113">
        <v>181737</v>
      </c>
      <c r="M113" s="114">
        <v>177606</v>
      </c>
      <c r="N113" s="113">
        <v>177883</v>
      </c>
      <c r="O113" s="114">
        <v>178897</v>
      </c>
      <c r="P113" s="113">
        <v>178465</v>
      </c>
      <c r="Q113" s="113">
        <v>179520</v>
      </c>
      <c r="R113" s="846">
        <v>181704</v>
      </c>
      <c r="S113" s="668"/>
    </row>
    <row r="114" spans="1:19" x14ac:dyDescent="0.2">
      <c r="B114" s="109" t="s">
        <v>373</v>
      </c>
      <c r="C114" s="110" t="s">
        <v>374</v>
      </c>
      <c r="D114" s="111" t="s">
        <v>375</v>
      </c>
      <c r="E114" s="109">
        <v>119812</v>
      </c>
      <c r="F114" s="112">
        <v>120767</v>
      </c>
      <c r="G114" s="112">
        <v>122409</v>
      </c>
      <c r="H114" s="112">
        <v>123772</v>
      </c>
      <c r="I114" s="113">
        <v>125582</v>
      </c>
      <c r="J114" s="113">
        <v>127097</v>
      </c>
      <c r="K114" s="113">
        <v>127440</v>
      </c>
      <c r="L114" s="113">
        <v>128088</v>
      </c>
      <c r="M114" s="114">
        <v>126247</v>
      </c>
      <c r="N114" s="113">
        <v>126785</v>
      </c>
      <c r="O114" s="114">
        <v>127276</v>
      </c>
      <c r="P114" s="113">
        <v>114403</v>
      </c>
      <c r="Q114" s="113">
        <v>115530</v>
      </c>
      <c r="R114" s="846">
        <v>116932</v>
      </c>
      <c r="S114" s="668"/>
    </row>
    <row r="115" spans="1:19" x14ac:dyDescent="0.2">
      <c r="B115" s="109" t="s">
        <v>376</v>
      </c>
      <c r="C115" s="110" t="s">
        <v>377</v>
      </c>
      <c r="D115" s="111" t="s">
        <v>378</v>
      </c>
      <c r="E115" s="109">
        <v>61481</v>
      </c>
      <c r="F115" s="112">
        <v>61662</v>
      </c>
      <c r="G115" s="112">
        <v>61738</v>
      </c>
      <c r="H115" s="112">
        <v>61689</v>
      </c>
      <c r="I115" s="113">
        <v>61613</v>
      </c>
      <c r="J115" s="113">
        <v>61136</v>
      </c>
      <c r="K115" s="113">
        <v>60607</v>
      </c>
      <c r="L115" s="113">
        <v>60244</v>
      </c>
      <c r="M115" s="114">
        <v>59274</v>
      </c>
      <c r="N115" s="113">
        <v>58966</v>
      </c>
      <c r="O115" s="114">
        <v>58501</v>
      </c>
      <c r="P115" s="113">
        <v>71374</v>
      </c>
      <c r="Q115" s="113">
        <v>71368</v>
      </c>
      <c r="R115" s="846">
        <v>71472</v>
      </c>
      <c r="S115" s="668"/>
    </row>
    <row r="116" spans="1:19" x14ac:dyDescent="0.2">
      <c r="B116" s="109" t="s">
        <v>379</v>
      </c>
      <c r="C116" s="110" t="s">
        <v>380</v>
      </c>
      <c r="D116" s="111" t="s">
        <v>381</v>
      </c>
      <c r="E116" s="109">
        <v>29356</v>
      </c>
      <c r="F116" s="112">
        <v>29334</v>
      </c>
      <c r="G116" s="112">
        <v>29128</v>
      </c>
      <c r="H116" s="112">
        <v>28957</v>
      </c>
      <c r="I116" s="113">
        <v>28880</v>
      </c>
      <c r="J116" s="113">
        <v>28687</v>
      </c>
      <c r="K116" s="113">
        <v>28467</v>
      </c>
      <c r="L116" s="113">
        <v>28241</v>
      </c>
      <c r="M116" s="114">
        <v>27824</v>
      </c>
      <c r="N116" s="113">
        <v>27592</v>
      </c>
      <c r="O116" s="114">
        <v>27463</v>
      </c>
      <c r="P116" s="113">
        <v>27463</v>
      </c>
      <c r="Q116" s="113">
        <v>27381</v>
      </c>
      <c r="R116" s="846">
        <v>27319</v>
      </c>
      <c r="S116" s="668"/>
    </row>
    <row r="117" spans="1:19" x14ac:dyDescent="0.2">
      <c r="B117" s="109" t="s">
        <v>382</v>
      </c>
      <c r="C117" s="110" t="s">
        <v>383</v>
      </c>
      <c r="D117" s="111" t="s">
        <v>384</v>
      </c>
      <c r="E117" s="109">
        <v>46202</v>
      </c>
      <c r="F117" s="112">
        <v>46570</v>
      </c>
      <c r="G117" s="112">
        <v>47149</v>
      </c>
      <c r="H117" s="112">
        <v>47615</v>
      </c>
      <c r="I117" s="113">
        <v>48295</v>
      </c>
      <c r="J117" s="113">
        <v>48807</v>
      </c>
      <c r="K117" s="113">
        <v>48910</v>
      </c>
      <c r="L117" s="113">
        <v>49067</v>
      </c>
      <c r="M117" s="114">
        <v>48614</v>
      </c>
      <c r="N117" s="113">
        <v>48590</v>
      </c>
      <c r="O117" s="114">
        <v>48576</v>
      </c>
      <c r="P117" s="113">
        <v>35787</v>
      </c>
      <c r="Q117" s="113">
        <v>35765</v>
      </c>
      <c r="R117" s="846">
        <v>36074</v>
      </c>
      <c r="S117" s="668"/>
    </row>
    <row r="118" spans="1:19" x14ac:dyDescent="0.2">
      <c r="B118" s="109" t="s">
        <v>385</v>
      </c>
      <c r="C118" s="110" t="s">
        <v>386</v>
      </c>
      <c r="D118" s="111" t="s">
        <v>387</v>
      </c>
      <c r="E118" s="109">
        <v>75363</v>
      </c>
      <c r="F118" s="112">
        <v>76613</v>
      </c>
      <c r="G118" s="112">
        <v>77706</v>
      </c>
      <c r="H118" s="112">
        <v>78694</v>
      </c>
      <c r="I118" s="113">
        <v>80143</v>
      </c>
      <c r="J118" s="113">
        <v>81293</v>
      </c>
      <c r="K118" s="113">
        <v>81951</v>
      </c>
      <c r="L118" s="113">
        <v>82674</v>
      </c>
      <c r="M118" s="114">
        <v>80585</v>
      </c>
      <c r="N118" s="113">
        <v>80778</v>
      </c>
      <c r="O118" s="114">
        <v>81357</v>
      </c>
      <c r="P118" s="113">
        <v>78476</v>
      </c>
      <c r="Q118" s="113">
        <v>79144</v>
      </c>
      <c r="R118" s="846">
        <v>80229</v>
      </c>
      <c r="S118" s="668"/>
    </row>
    <row r="119" spans="1:19" x14ac:dyDescent="0.2">
      <c r="B119" s="109" t="s">
        <v>388</v>
      </c>
      <c r="C119" s="110" t="s">
        <v>389</v>
      </c>
      <c r="D119" s="111" t="s">
        <v>390</v>
      </c>
      <c r="E119" s="109">
        <v>90239</v>
      </c>
      <c r="F119" s="112">
        <v>90859</v>
      </c>
      <c r="G119" s="112">
        <v>91582</v>
      </c>
      <c r="H119" s="112">
        <v>92455</v>
      </c>
      <c r="I119" s="113">
        <v>93541</v>
      </c>
      <c r="J119" s="113">
        <v>94720</v>
      </c>
      <c r="K119" s="113">
        <v>95518</v>
      </c>
      <c r="L119" s="113">
        <v>96164</v>
      </c>
      <c r="M119" s="114">
        <v>93405</v>
      </c>
      <c r="N119" s="113">
        <v>93005</v>
      </c>
      <c r="O119" s="114">
        <v>92930</v>
      </c>
      <c r="P119" s="113">
        <v>91770</v>
      </c>
      <c r="Q119" s="113">
        <v>91650</v>
      </c>
      <c r="R119" s="846">
        <v>91803</v>
      </c>
      <c r="S119" s="668"/>
    </row>
    <row r="120" spans="1:19" x14ac:dyDescent="0.2">
      <c r="B120" s="109" t="s">
        <v>391</v>
      </c>
      <c r="C120" s="110" t="s">
        <v>392</v>
      </c>
      <c r="D120" s="111" t="s">
        <v>393</v>
      </c>
      <c r="E120" s="109">
        <v>97742</v>
      </c>
      <c r="F120" s="112">
        <v>98971</v>
      </c>
      <c r="G120" s="112">
        <v>100789</v>
      </c>
      <c r="H120" s="112">
        <v>102362</v>
      </c>
      <c r="I120" s="113">
        <v>103862</v>
      </c>
      <c r="J120" s="113">
        <v>105411</v>
      </c>
      <c r="K120" s="113">
        <v>106464</v>
      </c>
      <c r="L120" s="113">
        <v>107403</v>
      </c>
      <c r="M120" s="114">
        <v>104289</v>
      </c>
      <c r="N120" s="113">
        <v>104456</v>
      </c>
      <c r="O120" s="114">
        <v>105528</v>
      </c>
      <c r="P120" s="113">
        <v>118735</v>
      </c>
      <c r="Q120" s="113">
        <v>120359</v>
      </c>
      <c r="R120" s="846">
        <v>121737</v>
      </c>
      <c r="S120" s="668"/>
    </row>
    <row r="121" spans="1:19" x14ac:dyDescent="0.2">
      <c r="B121" s="109" t="s">
        <v>394</v>
      </c>
      <c r="C121" s="110" t="s">
        <v>395</v>
      </c>
      <c r="D121" s="111" t="s">
        <v>396</v>
      </c>
      <c r="E121" s="109">
        <v>64414</v>
      </c>
      <c r="F121" s="112">
        <v>65570</v>
      </c>
      <c r="G121" s="112">
        <v>67352</v>
      </c>
      <c r="H121" s="112">
        <v>70201</v>
      </c>
      <c r="I121" s="113">
        <v>73105</v>
      </c>
      <c r="J121" s="113">
        <v>75387</v>
      </c>
      <c r="K121" s="113">
        <v>76689</v>
      </c>
      <c r="L121" s="113">
        <v>77867</v>
      </c>
      <c r="M121" s="114">
        <v>77211</v>
      </c>
      <c r="N121" s="113">
        <v>78150</v>
      </c>
      <c r="O121" s="114">
        <v>79161</v>
      </c>
      <c r="P121" s="113">
        <v>80753</v>
      </c>
      <c r="Q121" s="113">
        <v>81632</v>
      </c>
      <c r="R121" s="846">
        <v>82548</v>
      </c>
      <c r="S121" s="668"/>
    </row>
    <row r="122" spans="1:19" ht="13.5" thickBot="1" x14ac:dyDescent="0.25">
      <c r="B122" s="115" t="s">
        <v>397</v>
      </c>
      <c r="C122" s="116" t="s">
        <v>398</v>
      </c>
      <c r="D122" s="117" t="s">
        <v>399</v>
      </c>
      <c r="E122" s="115">
        <v>81417</v>
      </c>
      <c r="F122" s="118">
        <v>83820</v>
      </c>
      <c r="G122" s="118">
        <v>87197</v>
      </c>
      <c r="H122" s="118">
        <v>90248</v>
      </c>
      <c r="I122" s="119">
        <v>93461</v>
      </c>
      <c r="J122" s="119">
        <v>96341</v>
      </c>
      <c r="K122" s="119">
        <v>97508</v>
      </c>
      <c r="L122" s="119">
        <v>98693</v>
      </c>
      <c r="M122" s="120">
        <v>97539</v>
      </c>
      <c r="N122" s="119">
        <v>98132</v>
      </c>
      <c r="O122" s="120">
        <v>99084</v>
      </c>
      <c r="P122" s="119">
        <v>111873</v>
      </c>
      <c r="Q122" s="119">
        <v>113614</v>
      </c>
      <c r="R122" s="847">
        <v>116386</v>
      </c>
      <c r="S122" s="669"/>
    </row>
    <row r="123" spans="1:19" x14ac:dyDescent="0.2">
      <c r="A123" s="101"/>
      <c r="B123" s="102" t="s">
        <v>400</v>
      </c>
      <c r="C123" s="103" t="s">
        <v>401</v>
      </c>
      <c r="D123" s="104" t="s">
        <v>556</v>
      </c>
      <c r="E123" s="105">
        <v>333017</v>
      </c>
      <c r="F123" s="106">
        <v>330634</v>
      </c>
      <c r="G123" s="106">
        <v>329722</v>
      </c>
      <c r="H123" s="106">
        <v>326238</v>
      </c>
      <c r="I123" s="107">
        <v>322197</v>
      </c>
      <c r="J123" s="107">
        <v>320578</v>
      </c>
      <c r="K123" s="107">
        <v>317947</v>
      </c>
      <c r="L123" s="107">
        <v>315850</v>
      </c>
      <c r="M123" s="108">
        <v>318096</v>
      </c>
      <c r="N123" s="107">
        <v>315512</v>
      </c>
      <c r="O123" s="108">
        <v>312084</v>
      </c>
      <c r="P123" s="107">
        <v>312084</v>
      </c>
      <c r="Q123" s="107">
        <v>309115</v>
      </c>
      <c r="R123" s="845">
        <v>306698</v>
      </c>
      <c r="S123" s="667"/>
    </row>
    <row r="124" spans="1:19" x14ac:dyDescent="0.2">
      <c r="B124" s="109" t="s">
        <v>402</v>
      </c>
      <c r="C124" s="110" t="s">
        <v>403</v>
      </c>
      <c r="D124" s="111" t="s">
        <v>404</v>
      </c>
      <c r="E124" s="109">
        <v>123322</v>
      </c>
      <c r="F124" s="112">
        <v>122541</v>
      </c>
      <c r="G124" s="112">
        <v>122330</v>
      </c>
      <c r="H124" s="112">
        <v>121329</v>
      </c>
      <c r="I124" s="113">
        <v>120737</v>
      </c>
      <c r="J124" s="113">
        <v>120671</v>
      </c>
      <c r="K124" s="113">
        <v>120082</v>
      </c>
      <c r="L124" s="113">
        <v>119339</v>
      </c>
      <c r="M124" s="114">
        <v>116925</v>
      </c>
      <c r="N124" s="113">
        <v>115971</v>
      </c>
      <c r="O124" s="114">
        <v>114462</v>
      </c>
      <c r="P124" s="113">
        <v>115017</v>
      </c>
      <c r="Q124" s="113">
        <v>113886</v>
      </c>
      <c r="R124" s="846">
        <v>112758</v>
      </c>
      <c r="S124" s="668"/>
    </row>
    <row r="125" spans="1:19" x14ac:dyDescent="0.2">
      <c r="B125" s="109" t="s">
        <v>405</v>
      </c>
      <c r="C125" s="110" t="s">
        <v>406</v>
      </c>
      <c r="D125" s="111" t="s">
        <v>407</v>
      </c>
      <c r="E125" s="109">
        <v>26067</v>
      </c>
      <c r="F125" s="112">
        <v>25799</v>
      </c>
      <c r="G125" s="112">
        <v>25427</v>
      </c>
      <c r="H125" s="112">
        <v>25062</v>
      </c>
      <c r="I125" s="113">
        <v>24639</v>
      </c>
      <c r="J125" s="113">
        <v>24235</v>
      </c>
      <c r="K125" s="113">
        <v>23883</v>
      </c>
      <c r="L125" s="113">
        <v>23613</v>
      </c>
      <c r="M125" s="114">
        <v>23817</v>
      </c>
      <c r="N125" s="113">
        <v>23596</v>
      </c>
      <c r="O125" s="114">
        <v>23262</v>
      </c>
      <c r="P125" s="113">
        <v>23262</v>
      </c>
      <c r="Q125" s="113">
        <v>22868</v>
      </c>
      <c r="R125" s="846">
        <v>22614</v>
      </c>
      <c r="S125" s="668"/>
    </row>
    <row r="126" spans="1:19" x14ac:dyDescent="0.2">
      <c r="B126" s="109" t="s">
        <v>408</v>
      </c>
      <c r="C126" s="110" t="s">
        <v>409</v>
      </c>
      <c r="D126" s="111" t="s">
        <v>410</v>
      </c>
      <c r="E126" s="109">
        <v>40467</v>
      </c>
      <c r="F126" s="112">
        <v>40177</v>
      </c>
      <c r="G126" s="112">
        <v>40445</v>
      </c>
      <c r="H126" s="112">
        <v>39904</v>
      </c>
      <c r="I126" s="113">
        <v>39548</v>
      </c>
      <c r="J126" s="113">
        <v>39484</v>
      </c>
      <c r="K126" s="113">
        <v>39087</v>
      </c>
      <c r="L126" s="113">
        <v>38916</v>
      </c>
      <c r="M126" s="114">
        <v>39730</v>
      </c>
      <c r="N126" s="113">
        <v>39350</v>
      </c>
      <c r="O126" s="114">
        <v>33935</v>
      </c>
      <c r="P126" s="113">
        <v>33935</v>
      </c>
      <c r="Q126" s="113">
        <v>33593</v>
      </c>
      <c r="R126" s="846">
        <v>33276</v>
      </c>
      <c r="S126" s="668"/>
    </row>
    <row r="127" spans="1:19" x14ac:dyDescent="0.2">
      <c r="B127" s="109" t="s">
        <v>411</v>
      </c>
      <c r="C127" s="110" t="s">
        <v>412</v>
      </c>
      <c r="D127" s="111" t="s">
        <v>413</v>
      </c>
      <c r="E127" s="109">
        <v>31738</v>
      </c>
      <c r="F127" s="112">
        <v>31329</v>
      </c>
      <c r="G127" s="112">
        <v>31181</v>
      </c>
      <c r="H127" s="112">
        <v>30899</v>
      </c>
      <c r="I127" s="113">
        <v>30414</v>
      </c>
      <c r="J127" s="113">
        <v>30173</v>
      </c>
      <c r="K127" s="113">
        <v>29957</v>
      </c>
      <c r="L127" s="113">
        <v>29845</v>
      </c>
      <c r="M127" s="114">
        <v>30170</v>
      </c>
      <c r="N127" s="113">
        <v>30068</v>
      </c>
      <c r="O127" s="114">
        <v>34640</v>
      </c>
      <c r="P127" s="113">
        <v>34085</v>
      </c>
      <c r="Q127" s="113">
        <v>33750</v>
      </c>
      <c r="R127" s="846">
        <v>33432</v>
      </c>
      <c r="S127" s="668"/>
    </row>
    <row r="128" spans="1:19" x14ac:dyDescent="0.2">
      <c r="B128" s="109" t="s">
        <v>414</v>
      </c>
      <c r="C128" s="110" t="s">
        <v>415</v>
      </c>
      <c r="D128" s="111" t="s">
        <v>416</v>
      </c>
      <c r="E128" s="109">
        <v>46472</v>
      </c>
      <c r="F128" s="112">
        <v>45902</v>
      </c>
      <c r="G128" s="112">
        <v>45404</v>
      </c>
      <c r="H128" s="112">
        <v>44698</v>
      </c>
      <c r="I128" s="113">
        <v>44031</v>
      </c>
      <c r="J128" s="113">
        <v>43441</v>
      </c>
      <c r="K128" s="113">
        <v>42709</v>
      </c>
      <c r="L128" s="113">
        <v>42203</v>
      </c>
      <c r="M128" s="114">
        <v>42907</v>
      </c>
      <c r="N128" s="113">
        <v>42318</v>
      </c>
      <c r="O128" s="114">
        <v>41919</v>
      </c>
      <c r="P128" s="113">
        <v>41919</v>
      </c>
      <c r="Q128" s="113">
        <v>41481</v>
      </c>
      <c r="R128" s="846">
        <v>40968</v>
      </c>
      <c r="S128" s="668"/>
    </row>
    <row r="129" spans="1:19" ht="13.5" thickBot="1" x14ac:dyDescent="0.25">
      <c r="B129" s="121" t="s">
        <v>417</v>
      </c>
      <c r="C129" s="122" t="s">
        <v>418</v>
      </c>
      <c r="D129" s="123" t="s">
        <v>419</v>
      </c>
      <c r="E129" s="121">
        <v>64951</v>
      </c>
      <c r="F129" s="124">
        <v>64886</v>
      </c>
      <c r="G129" s="124">
        <v>64935</v>
      </c>
      <c r="H129" s="124">
        <v>64346</v>
      </c>
      <c r="I129" s="125">
        <v>62828</v>
      </c>
      <c r="J129" s="125">
        <v>62574</v>
      </c>
      <c r="K129" s="125">
        <v>62229</v>
      </c>
      <c r="L129" s="125">
        <v>61934</v>
      </c>
      <c r="M129" s="126">
        <v>64547</v>
      </c>
      <c r="N129" s="125">
        <v>64209</v>
      </c>
      <c r="O129" s="126">
        <v>63866</v>
      </c>
      <c r="P129" s="125">
        <v>63866</v>
      </c>
      <c r="Q129" s="125">
        <v>63537</v>
      </c>
      <c r="R129" s="848">
        <v>63650</v>
      </c>
      <c r="S129" s="670"/>
    </row>
    <row r="130" spans="1:19" x14ac:dyDescent="0.2">
      <c r="A130" s="101"/>
      <c r="B130" s="127" t="s">
        <v>420</v>
      </c>
      <c r="C130" s="128" t="s">
        <v>421</v>
      </c>
      <c r="D130" s="129" t="s">
        <v>557</v>
      </c>
      <c r="E130" s="130">
        <v>581623</v>
      </c>
      <c r="F130" s="131">
        <v>578573</v>
      </c>
      <c r="G130" s="131">
        <v>576054</v>
      </c>
      <c r="H130" s="131">
        <v>571018</v>
      </c>
      <c r="I130" s="132">
        <v>565326</v>
      </c>
      <c r="J130" s="132">
        <v>560429</v>
      </c>
      <c r="K130" s="132">
        <v>555496</v>
      </c>
      <c r="L130" s="132">
        <v>551871</v>
      </c>
      <c r="M130" s="133">
        <v>563653</v>
      </c>
      <c r="N130" s="132">
        <v>561379</v>
      </c>
      <c r="O130" s="133">
        <v>562357</v>
      </c>
      <c r="P130" s="132">
        <v>562357</v>
      </c>
      <c r="Q130" s="132">
        <v>563075</v>
      </c>
      <c r="R130" s="849">
        <v>562058</v>
      </c>
      <c r="S130" s="671"/>
    </row>
    <row r="131" spans="1:19" x14ac:dyDescent="0.2">
      <c r="B131" s="109" t="s">
        <v>422</v>
      </c>
      <c r="C131" s="110" t="s">
        <v>423</v>
      </c>
      <c r="D131" s="111" t="s">
        <v>424</v>
      </c>
      <c r="E131" s="109">
        <v>244513</v>
      </c>
      <c r="F131" s="112">
        <v>243837</v>
      </c>
      <c r="G131" s="112">
        <v>243819</v>
      </c>
      <c r="H131" s="112">
        <v>243481</v>
      </c>
      <c r="I131" s="113">
        <v>242904</v>
      </c>
      <c r="J131" s="113">
        <v>242064</v>
      </c>
      <c r="K131" s="113">
        <v>241001</v>
      </c>
      <c r="L131" s="113">
        <v>239622</v>
      </c>
      <c r="M131" s="114">
        <v>240382</v>
      </c>
      <c r="N131" s="113">
        <v>239302</v>
      </c>
      <c r="O131" s="114">
        <v>238554</v>
      </c>
      <c r="P131" s="113">
        <v>260475</v>
      </c>
      <c r="Q131" s="113">
        <v>259806</v>
      </c>
      <c r="R131" s="846">
        <v>258821</v>
      </c>
      <c r="S131" s="668"/>
    </row>
    <row r="132" spans="1:19" x14ac:dyDescent="0.2">
      <c r="B132" s="109" t="s">
        <v>425</v>
      </c>
      <c r="C132" s="110" t="s">
        <v>426</v>
      </c>
      <c r="D132" s="111" t="s">
        <v>427</v>
      </c>
      <c r="E132" s="109">
        <v>39679</v>
      </c>
      <c r="F132" s="112">
        <v>39304</v>
      </c>
      <c r="G132" s="112">
        <v>38956</v>
      </c>
      <c r="H132" s="112">
        <v>38258</v>
      </c>
      <c r="I132" s="113">
        <v>37559</v>
      </c>
      <c r="J132" s="113">
        <v>37216</v>
      </c>
      <c r="K132" s="113">
        <v>36781</v>
      </c>
      <c r="L132" s="113">
        <v>36580</v>
      </c>
      <c r="M132" s="114">
        <v>38196</v>
      </c>
      <c r="N132" s="113">
        <v>38402</v>
      </c>
      <c r="O132" s="114">
        <v>39494</v>
      </c>
      <c r="P132" s="113">
        <v>39668</v>
      </c>
      <c r="Q132" s="113">
        <v>40257</v>
      </c>
      <c r="R132" s="846">
        <v>40674</v>
      </c>
      <c r="S132" s="668"/>
    </row>
    <row r="133" spans="1:19" x14ac:dyDescent="0.2">
      <c r="B133" s="109" t="s">
        <v>428</v>
      </c>
      <c r="C133" s="110" t="s">
        <v>429</v>
      </c>
      <c r="D133" s="111" t="s">
        <v>430</v>
      </c>
      <c r="E133" s="109">
        <v>62633</v>
      </c>
      <c r="F133" s="112">
        <v>62341</v>
      </c>
      <c r="G133" s="112">
        <v>62013</v>
      </c>
      <c r="H133" s="112">
        <v>61150</v>
      </c>
      <c r="I133" s="113">
        <v>60313</v>
      </c>
      <c r="J133" s="113">
        <v>59480</v>
      </c>
      <c r="K133" s="113">
        <v>58789</v>
      </c>
      <c r="L133" s="113">
        <v>58294</v>
      </c>
      <c r="M133" s="114">
        <v>60149</v>
      </c>
      <c r="N133" s="113">
        <v>59832</v>
      </c>
      <c r="O133" s="114">
        <v>59702</v>
      </c>
      <c r="P133" s="113">
        <v>56646</v>
      </c>
      <c r="Q133" s="113">
        <v>56509</v>
      </c>
      <c r="R133" s="846">
        <v>56078</v>
      </c>
      <c r="S133" s="668"/>
    </row>
    <row r="134" spans="1:19" x14ac:dyDescent="0.2">
      <c r="B134" s="109" t="s">
        <v>431</v>
      </c>
      <c r="C134" s="110" t="s">
        <v>432</v>
      </c>
      <c r="D134" s="111" t="s">
        <v>433</v>
      </c>
      <c r="E134" s="109">
        <v>82847</v>
      </c>
      <c r="F134" s="112">
        <v>82095</v>
      </c>
      <c r="G134" s="112">
        <v>81343</v>
      </c>
      <c r="H134" s="112">
        <v>80362</v>
      </c>
      <c r="I134" s="113">
        <v>79023</v>
      </c>
      <c r="J134" s="113">
        <v>78335</v>
      </c>
      <c r="K134" s="113">
        <v>77402</v>
      </c>
      <c r="L134" s="113">
        <v>76901</v>
      </c>
      <c r="M134" s="114">
        <v>79872</v>
      </c>
      <c r="N134" s="113">
        <v>79480</v>
      </c>
      <c r="O134" s="114">
        <v>79505</v>
      </c>
      <c r="P134" s="113">
        <v>78270</v>
      </c>
      <c r="Q134" s="113">
        <v>78554</v>
      </c>
      <c r="R134" s="846">
        <v>78962</v>
      </c>
      <c r="S134" s="668"/>
    </row>
    <row r="135" spans="1:19" x14ac:dyDescent="0.2">
      <c r="B135" s="109" t="s">
        <v>434</v>
      </c>
      <c r="C135" s="110" t="s">
        <v>435</v>
      </c>
      <c r="D135" s="111" t="s">
        <v>436</v>
      </c>
      <c r="E135" s="109">
        <v>29005</v>
      </c>
      <c r="F135" s="112">
        <v>28843</v>
      </c>
      <c r="G135" s="112">
        <v>28707</v>
      </c>
      <c r="H135" s="112">
        <v>28299</v>
      </c>
      <c r="I135" s="113">
        <v>27924</v>
      </c>
      <c r="J135" s="113">
        <v>27549</v>
      </c>
      <c r="K135" s="113">
        <v>27128</v>
      </c>
      <c r="L135" s="113">
        <v>26915</v>
      </c>
      <c r="M135" s="114">
        <v>27306</v>
      </c>
      <c r="N135" s="113">
        <v>27221</v>
      </c>
      <c r="O135" s="114">
        <v>27029</v>
      </c>
      <c r="P135" s="113">
        <v>27029</v>
      </c>
      <c r="Q135" s="113">
        <v>26805</v>
      </c>
      <c r="R135" s="846">
        <v>26481</v>
      </c>
      <c r="S135" s="668"/>
    </row>
    <row r="136" spans="1:19" x14ac:dyDescent="0.2">
      <c r="B136" s="109" t="s">
        <v>437</v>
      </c>
      <c r="C136" s="110" t="s">
        <v>438</v>
      </c>
      <c r="D136" s="111" t="s">
        <v>439</v>
      </c>
      <c r="E136" s="109">
        <v>61544</v>
      </c>
      <c r="F136" s="112">
        <v>61276</v>
      </c>
      <c r="G136" s="112">
        <v>60912</v>
      </c>
      <c r="H136" s="112">
        <v>60186</v>
      </c>
      <c r="I136" s="113">
        <v>59251</v>
      </c>
      <c r="J136" s="113">
        <v>58316</v>
      </c>
      <c r="K136" s="113">
        <v>57567</v>
      </c>
      <c r="L136" s="113">
        <v>57102</v>
      </c>
      <c r="M136" s="114">
        <v>59007</v>
      </c>
      <c r="N136" s="113">
        <v>58784</v>
      </c>
      <c r="O136" s="114">
        <v>58656</v>
      </c>
      <c r="P136" s="113">
        <v>43433</v>
      </c>
      <c r="Q136" s="113">
        <v>43341</v>
      </c>
      <c r="R136" s="846">
        <v>42998</v>
      </c>
      <c r="S136" s="668"/>
    </row>
    <row r="137" spans="1:19" x14ac:dyDescent="0.2">
      <c r="B137" s="109" t="s">
        <v>440</v>
      </c>
      <c r="C137" s="110" t="s">
        <v>441</v>
      </c>
      <c r="D137" s="111" t="s">
        <v>442</v>
      </c>
      <c r="E137" s="109">
        <v>38278</v>
      </c>
      <c r="F137" s="112">
        <v>37953</v>
      </c>
      <c r="G137" s="112">
        <v>37539</v>
      </c>
      <c r="H137" s="112">
        <v>36832</v>
      </c>
      <c r="I137" s="113">
        <v>36295</v>
      </c>
      <c r="J137" s="113">
        <v>35804</v>
      </c>
      <c r="K137" s="113">
        <v>35525</v>
      </c>
      <c r="L137" s="113">
        <v>35373</v>
      </c>
      <c r="M137" s="114">
        <v>36856</v>
      </c>
      <c r="N137" s="113">
        <v>36686</v>
      </c>
      <c r="O137" s="114">
        <v>37724</v>
      </c>
      <c r="P137" s="113">
        <v>37550</v>
      </c>
      <c r="Q137" s="113">
        <v>38408</v>
      </c>
      <c r="R137" s="846">
        <v>38695</v>
      </c>
      <c r="S137" s="668"/>
    </row>
    <row r="138" spans="1:19" ht="13.5" thickBot="1" x14ac:dyDescent="0.25">
      <c r="B138" s="115" t="s">
        <v>443</v>
      </c>
      <c r="C138" s="116" t="s">
        <v>444</v>
      </c>
      <c r="D138" s="117" t="s">
        <v>445</v>
      </c>
      <c r="E138" s="115">
        <v>23124</v>
      </c>
      <c r="F138" s="118">
        <v>22924</v>
      </c>
      <c r="G138" s="118">
        <v>22765</v>
      </c>
      <c r="H138" s="118">
        <v>22450</v>
      </c>
      <c r="I138" s="119">
        <v>22057</v>
      </c>
      <c r="J138" s="119">
        <v>21665</v>
      </c>
      <c r="K138" s="119">
        <v>21303</v>
      </c>
      <c r="L138" s="119">
        <v>21084</v>
      </c>
      <c r="M138" s="120">
        <v>21885</v>
      </c>
      <c r="N138" s="119">
        <v>21672</v>
      </c>
      <c r="O138" s="120">
        <v>21693</v>
      </c>
      <c r="P138" s="119">
        <v>19286</v>
      </c>
      <c r="Q138" s="119">
        <v>19395</v>
      </c>
      <c r="R138" s="847">
        <v>19349</v>
      </c>
      <c r="S138" s="669"/>
    </row>
    <row r="139" spans="1:19" x14ac:dyDescent="0.2">
      <c r="A139" s="101"/>
      <c r="B139" s="102" t="s">
        <v>446</v>
      </c>
      <c r="C139" s="103" t="s">
        <v>447</v>
      </c>
      <c r="D139" s="104" t="s">
        <v>558</v>
      </c>
      <c r="E139" s="105">
        <v>410823</v>
      </c>
      <c r="F139" s="106">
        <v>407232</v>
      </c>
      <c r="G139" s="106">
        <v>403622</v>
      </c>
      <c r="H139" s="106">
        <v>399200</v>
      </c>
      <c r="I139" s="107">
        <v>394891</v>
      </c>
      <c r="J139" s="107">
        <v>390775</v>
      </c>
      <c r="K139" s="107">
        <v>386752</v>
      </c>
      <c r="L139" s="107">
        <v>383128</v>
      </c>
      <c r="M139" s="108">
        <v>386654</v>
      </c>
      <c r="N139" s="107">
        <v>383489</v>
      </c>
      <c r="O139" s="108">
        <v>379897</v>
      </c>
      <c r="P139" s="107">
        <v>379897</v>
      </c>
      <c r="Q139" s="107">
        <v>376334</v>
      </c>
      <c r="R139" s="845">
        <v>373631</v>
      </c>
      <c r="S139" s="667"/>
    </row>
    <row r="140" spans="1:19" x14ac:dyDescent="0.2">
      <c r="B140" s="109" t="s">
        <v>448</v>
      </c>
      <c r="C140" s="110" t="s">
        <v>449</v>
      </c>
      <c r="D140" s="111" t="s">
        <v>450</v>
      </c>
      <c r="E140" s="109">
        <v>136634</v>
      </c>
      <c r="F140" s="112">
        <v>135770</v>
      </c>
      <c r="G140" s="112">
        <v>134947</v>
      </c>
      <c r="H140" s="112">
        <v>133854</v>
      </c>
      <c r="I140" s="113">
        <v>133131</v>
      </c>
      <c r="J140" s="113">
        <v>132260</v>
      </c>
      <c r="K140" s="113">
        <v>131335</v>
      </c>
      <c r="L140" s="113">
        <v>130500</v>
      </c>
      <c r="M140" s="114">
        <v>129472</v>
      </c>
      <c r="N140" s="113">
        <v>128919</v>
      </c>
      <c r="O140" s="114">
        <v>128018</v>
      </c>
      <c r="P140" s="113">
        <v>117140</v>
      </c>
      <c r="Q140" s="113">
        <v>116358</v>
      </c>
      <c r="R140" s="846">
        <v>115717</v>
      </c>
      <c r="S140" s="668"/>
    </row>
    <row r="141" spans="1:19" x14ac:dyDescent="0.2">
      <c r="B141" s="109" t="s">
        <v>451</v>
      </c>
      <c r="C141" s="110" t="s">
        <v>452</v>
      </c>
      <c r="D141" s="111" t="s">
        <v>453</v>
      </c>
      <c r="E141" s="109">
        <v>88097</v>
      </c>
      <c r="F141" s="112">
        <v>87426</v>
      </c>
      <c r="G141" s="112">
        <v>86895</v>
      </c>
      <c r="H141" s="112">
        <v>86296</v>
      </c>
      <c r="I141" s="113">
        <v>85618</v>
      </c>
      <c r="J141" s="113">
        <v>84864</v>
      </c>
      <c r="K141" s="113">
        <v>84183</v>
      </c>
      <c r="L141" s="113">
        <v>83584</v>
      </c>
      <c r="M141" s="114">
        <v>84088</v>
      </c>
      <c r="N141" s="113">
        <v>83300</v>
      </c>
      <c r="O141" s="114">
        <v>82479</v>
      </c>
      <c r="P141" s="113">
        <v>82479</v>
      </c>
      <c r="Q141" s="113">
        <v>81746</v>
      </c>
      <c r="R141" s="846">
        <v>81490</v>
      </c>
      <c r="S141" s="668"/>
    </row>
    <row r="142" spans="1:19" x14ac:dyDescent="0.2">
      <c r="B142" s="109" t="s">
        <v>454</v>
      </c>
      <c r="C142" s="110" t="s">
        <v>455</v>
      </c>
      <c r="D142" s="111" t="s">
        <v>456</v>
      </c>
      <c r="E142" s="109">
        <v>55102</v>
      </c>
      <c r="F142" s="112">
        <v>54362</v>
      </c>
      <c r="G142" s="112">
        <v>53506</v>
      </c>
      <c r="H142" s="112">
        <v>52585</v>
      </c>
      <c r="I142" s="113">
        <v>51856</v>
      </c>
      <c r="J142" s="113">
        <v>51129</v>
      </c>
      <c r="K142" s="113">
        <v>50513</v>
      </c>
      <c r="L142" s="113">
        <v>49782</v>
      </c>
      <c r="M142" s="114">
        <v>50900</v>
      </c>
      <c r="N142" s="113">
        <v>50489</v>
      </c>
      <c r="O142" s="114">
        <v>50018</v>
      </c>
      <c r="P142" s="113">
        <v>62592</v>
      </c>
      <c r="Q142" s="113">
        <v>62185</v>
      </c>
      <c r="R142" s="846">
        <v>61692</v>
      </c>
      <c r="S142" s="668"/>
    </row>
    <row r="143" spans="1:19" x14ac:dyDescent="0.2">
      <c r="B143" s="109" t="s">
        <v>457</v>
      </c>
      <c r="C143" s="110" t="s">
        <v>458</v>
      </c>
      <c r="D143" s="111" t="s">
        <v>459</v>
      </c>
      <c r="E143" s="109">
        <v>27852</v>
      </c>
      <c r="F143" s="112">
        <v>27567</v>
      </c>
      <c r="G143" s="112">
        <v>27304</v>
      </c>
      <c r="H143" s="112">
        <v>26787</v>
      </c>
      <c r="I143" s="113">
        <v>26232</v>
      </c>
      <c r="J143" s="113">
        <v>25802</v>
      </c>
      <c r="K143" s="113">
        <v>25427</v>
      </c>
      <c r="L143" s="113">
        <v>25064</v>
      </c>
      <c r="M143" s="114">
        <v>26168</v>
      </c>
      <c r="N143" s="113">
        <v>25786</v>
      </c>
      <c r="O143" s="114">
        <v>25386</v>
      </c>
      <c r="P143" s="113">
        <v>35207</v>
      </c>
      <c r="Q143" s="113">
        <v>34684</v>
      </c>
      <c r="R143" s="846">
        <v>34353</v>
      </c>
      <c r="S143" s="668"/>
    </row>
    <row r="144" spans="1:19" x14ac:dyDescent="0.2">
      <c r="B144" s="109" t="s">
        <v>460</v>
      </c>
      <c r="C144" s="110" t="s">
        <v>461</v>
      </c>
      <c r="D144" s="111" t="s">
        <v>462</v>
      </c>
      <c r="E144" s="109">
        <v>29854</v>
      </c>
      <c r="F144" s="112">
        <v>29573</v>
      </c>
      <c r="G144" s="112">
        <v>28949</v>
      </c>
      <c r="H144" s="112">
        <v>28555</v>
      </c>
      <c r="I144" s="113">
        <v>28114</v>
      </c>
      <c r="J144" s="113">
        <v>27695</v>
      </c>
      <c r="K144" s="113">
        <v>27195</v>
      </c>
      <c r="L144" s="113">
        <v>26760</v>
      </c>
      <c r="M144" s="114">
        <v>26703</v>
      </c>
      <c r="N144" s="113">
        <v>26347</v>
      </c>
      <c r="O144" s="114">
        <v>26043</v>
      </c>
      <c r="P144" s="113">
        <v>27100</v>
      </c>
      <c r="Q144" s="113">
        <v>26767</v>
      </c>
      <c r="R144" s="846">
        <v>26444</v>
      </c>
      <c r="S144" s="668"/>
    </row>
    <row r="145" spans="1:19" x14ac:dyDescent="0.2">
      <c r="B145" s="109" t="s">
        <v>463</v>
      </c>
      <c r="C145" s="110" t="s">
        <v>464</v>
      </c>
      <c r="D145" s="111" t="s">
        <v>465</v>
      </c>
      <c r="E145" s="109">
        <v>28813</v>
      </c>
      <c r="F145" s="112">
        <v>28461</v>
      </c>
      <c r="G145" s="112">
        <v>28305</v>
      </c>
      <c r="H145" s="112">
        <v>27868</v>
      </c>
      <c r="I145" s="113">
        <v>27359</v>
      </c>
      <c r="J145" s="113">
        <v>27061</v>
      </c>
      <c r="K145" s="113">
        <v>26788</v>
      </c>
      <c r="L145" s="113">
        <v>26539</v>
      </c>
      <c r="M145" s="114">
        <v>27895</v>
      </c>
      <c r="N145" s="113">
        <v>27754</v>
      </c>
      <c r="O145" s="114">
        <v>27382</v>
      </c>
      <c r="P145" s="113">
        <v>19402</v>
      </c>
      <c r="Q145" s="113">
        <v>19165</v>
      </c>
      <c r="R145" s="846">
        <v>18911</v>
      </c>
      <c r="S145" s="668"/>
    </row>
    <row r="146" spans="1:19" ht="13.5" thickBot="1" x14ac:dyDescent="0.25">
      <c r="B146" s="121" t="s">
        <v>466</v>
      </c>
      <c r="C146" s="122" t="s">
        <v>467</v>
      </c>
      <c r="D146" s="123" t="s">
        <v>468</v>
      </c>
      <c r="E146" s="121">
        <v>44471</v>
      </c>
      <c r="F146" s="124">
        <v>44073</v>
      </c>
      <c r="G146" s="124">
        <v>43716</v>
      </c>
      <c r="H146" s="124">
        <v>43255</v>
      </c>
      <c r="I146" s="125">
        <v>42581</v>
      </c>
      <c r="J146" s="125">
        <v>41964</v>
      </c>
      <c r="K146" s="125">
        <v>41311</v>
      </c>
      <c r="L146" s="125">
        <v>40899</v>
      </c>
      <c r="M146" s="126">
        <v>41428</v>
      </c>
      <c r="N146" s="125">
        <v>40894</v>
      </c>
      <c r="O146" s="126">
        <v>40571</v>
      </c>
      <c r="P146" s="125">
        <v>35977</v>
      </c>
      <c r="Q146" s="125">
        <v>35429</v>
      </c>
      <c r="R146" s="848">
        <v>35024</v>
      </c>
      <c r="S146" s="670"/>
    </row>
    <row r="147" spans="1:19" x14ac:dyDescent="0.2">
      <c r="A147" s="101"/>
      <c r="B147" s="127" t="s">
        <v>469</v>
      </c>
      <c r="C147" s="128" t="s">
        <v>470</v>
      </c>
      <c r="D147" s="129" t="s">
        <v>559</v>
      </c>
      <c r="E147" s="130">
        <v>245350</v>
      </c>
      <c r="F147" s="131">
        <v>242946</v>
      </c>
      <c r="G147" s="131">
        <v>240966</v>
      </c>
      <c r="H147" s="131">
        <v>238431</v>
      </c>
      <c r="I147" s="132">
        <v>235874</v>
      </c>
      <c r="J147" s="132">
        <v>233650</v>
      </c>
      <c r="K147" s="132">
        <v>231183</v>
      </c>
      <c r="L147" s="132">
        <v>229116</v>
      </c>
      <c r="M147" s="133">
        <v>229942</v>
      </c>
      <c r="N147" s="132">
        <v>227996</v>
      </c>
      <c r="O147" s="133">
        <v>225936</v>
      </c>
      <c r="P147" s="132">
        <v>225936</v>
      </c>
      <c r="Q147" s="132">
        <v>223618</v>
      </c>
      <c r="R147" s="849">
        <v>221799</v>
      </c>
      <c r="S147" s="671"/>
    </row>
    <row r="148" spans="1:19" x14ac:dyDescent="0.2">
      <c r="B148" s="109" t="s">
        <v>471</v>
      </c>
      <c r="C148" s="110" t="s">
        <v>472</v>
      </c>
      <c r="D148" s="111" t="s">
        <v>473</v>
      </c>
      <c r="E148" s="109">
        <v>84669</v>
      </c>
      <c r="F148" s="112">
        <v>83845</v>
      </c>
      <c r="G148" s="112">
        <v>83312</v>
      </c>
      <c r="H148" s="112">
        <v>82676</v>
      </c>
      <c r="I148" s="113">
        <v>82111</v>
      </c>
      <c r="J148" s="113">
        <v>81598</v>
      </c>
      <c r="K148" s="113">
        <v>80932</v>
      </c>
      <c r="L148" s="113">
        <v>80090</v>
      </c>
      <c r="M148" s="114">
        <v>79918</v>
      </c>
      <c r="N148" s="113">
        <v>79297</v>
      </c>
      <c r="O148" s="114">
        <v>78611</v>
      </c>
      <c r="P148" s="113">
        <v>76404</v>
      </c>
      <c r="Q148" s="113">
        <v>75797</v>
      </c>
      <c r="R148" s="846">
        <v>75194</v>
      </c>
      <c r="S148" s="668"/>
    </row>
    <row r="149" spans="1:19" x14ac:dyDescent="0.2">
      <c r="B149" s="109" t="s">
        <v>474</v>
      </c>
      <c r="C149" s="110" t="s">
        <v>475</v>
      </c>
      <c r="D149" s="111" t="s">
        <v>476</v>
      </c>
      <c r="E149" s="109">
        <v>37627</v>
      </c>
      <c r="F149" s="112">
        <v>37249</v>
      </c>
      <c r="G149" s="112">
        <v>36987</v>
      </c>
      <c r="H149" s="112">
        <v>36527</v>
      </c>
      <c r="I149" s="113">
        <v>36057</v>
      </c>
      <c r="J149" s="113">
        <v>35671</v>
      </c>
      <c r="K149" s="113">
        <v>35237</v>
      </c>
      <c r="L149" s="113">
        <v>34931</v>
      </c>
      <c r="M149" s="114">
        <v>35337</v>
      </c>
      <c r="N149" s="113">
        <v>35031</v>
      </c>
      <c r="O149" s="114">
        <v>34639</v>
      </c>
      <c r="P149" s="113">
        <v>30955</v>
      </c>
      <c r="Q149" s="113">
        <v>30594</v>
      </c>
      <c r="R149" s="846">
        <v>30265</v>
      </c>
      <c r="S149" s="668"/>
    </row>
    <row r="150" spans="1:19" x14ac:dyDescent="0.2">
      <c r="B150" s="109" t="s">
        <v>477</v>
      </c>
      <c r="C150" s="110" t="s">
        <v>478</v>
      </c>
      <c r="D150" s="111" t="s">
        <v>479</v>
      </c>
      <c r="E150" s="109">
        <v>34952</v>
      </c>
      <c r="F150" s="112">
        <v>34631</v>
      </c>
      <c r="G150" s="112">
        <v>34293</v>
      </c>
      <c r="H150" s="112">
        <v>33947</v>
      </c>
      <c r="I150" s="113">
        <v>33615</v>
      </c>
      <c r="J150" s="113">
        <v>33262</v>
      </c>
      <c r="K150" s="113">
        <v>32849</v>
      </c>
      <c r="L150" s="113">
        <v>32489</v>
      </c>
      <c r="M150" s="114">
        <v>32333</v>
      </c>
      <c r="N150" s="113">
        <v>31993</v>
      </c>
      <c r="O150" s="114">
        <v>31663</v>
      </c>
      <c r="P150" s="113">
        <v>31663</v>
      </c>
      <c r="Q150" s="113">
        <v>31192</v>
      </c>
      <c r="R150" s="846">
        <v>30854</v>
      </c>
      <c r="S150" s="668"/>
    </row>
    <row r="151" spans="1:19" x14ac:dyDescent="0.2">
      <c r="B151" s="109" t="s">
        <v>480</v>
      </c>
      <c r="C151" s="110" t="s">
        <v>481</v>
      </c>
      <c r="D151" s="111" t="s">
        <v>482</v>
      </c>
      <c r="E151" s="109">
        <v>50016</v>
      </c>
      <c r="F151" s="112">
        <v>49641</v>
      </c>
      <c r="G151" s="112">
        <v>49332</v>
      </c>
      <c r="H151" s="112">
        <v>48688</v>
      </c>
      <c r="I151" s="113">
        <v>48143</v>
      </c>
      <c r="J151" s="113">
        <v>47729</v>
      </c>
      <c r="K151" s="113">
        <v>47294</v>
      </c>
      <c r="L151" s="113">
        <v>46953</v>
      </c>
      <c r="M151" s="114">
        <v>47314</v>
      </c>
      <c r="N151" s="113">
        <v>47080</v>
      </c>
      <c r="O151" s="114">
        <v>46815</v>
      </c>
      <c r="P151" s="113">
        <v>49022</v>
      </c>
      <c r="Q151" s="113">
        <v>48606</v>
      </c>
      <c r="R151" s="846">
        <v>48363</v>
      </c>
      <c r="S151" s="668"/>
    </row>
    <row r="152" spans="1:19" ht="13.5" thickBot="1" x14ac:dyDescent="0.25">
      <c r="B152" s="115" t="s">
        <v>483</v>
      </c>
      <c r="C152" s="116" t="s">
        <v>484</v>
      </c>
      <c r="D152" s="117" t="s">
        <v>485</v>
      </c>
      <c r="E152" s="115">
        <v>38086</v>
      </c>
      <c r="F152" s="118">
        <v>37580</v>
      </c>
      <c r="G152" s="118">
        <v>37042</v>
      </c>
      <c r="H152" s="118">
        <v>36593</v>
      </c>
      <c r="I152" s="119">
        <v>35948</v>
      </c>
      <c r="J152" s="119">
        <v>35390</v>
      </c>
      <c r="K152" s="119">
        <v>34871</v>
      </c>
      <c r="L152" s="119">
        <v>34653</v>
      </c>
      <c r="M152" s="120">
        <v>35040</v>
      </c>
      <c r="N152" s="119">
        <v>34595</v>
      </c>
      <c r="O152" s="120">
        <v>34208</v>
      </c>
      <c r="P152" s="119">
        <v>37892</v>
      </c>
      <c r="Q152" s="119">
        <v>37429</v>
      </c>
      <c r="R152" s="847">
        <v>37123</v>
      </c>
      <c r="S152" s="669"/>
    </row>
    <row r="153" spans="1:19" x14ac:dyDescent="0.2">
      <c r="A153" s="101"/>
      <c r="B153" s="102" t="s">
        <v>486</v>
      </c>
      <c r="C153" s="103" t="s">
        <v>487</v>
      </c>
      <c r="D153" s="104" t="s">
        <v>560</v>
      </c>
      <c r="E153" s="105">
        <v>265229</v>
      </c>
      <c r="F153" s="106">
        <v>264361</v>
      </c>
      <c r="G153" s="106">
        <v>263251</v>
      </c>
      <c r="H153" s="106">
        <v>261877</v>
      </c>
      <c r="I153" s="107">
        <v>260950</v>
      </c>
      <c r="J153" s="107">
        <v>259364</v>
      </c>
      <c r="K153" s="107">
        <v>257688</v>
      </c>
      <c r="L153" s="107">
        <v>256458</v>
      </c>
      <c r="M153" s="108">
        <v>255294</v>
      </c>
      <c r="N153" s="107">
        <v>254580</v>
      </c>
      <c r="O153" s="108">
        <v>253997</v>
      </c>
      <c r="P153" s="107">
        <v>253997</v>
      </c>
      <c r="Q153" s="107">
        <v>253689</v>
      </c>
      <c r="R153" s="845">
        <v>253109</v>
      </c>
      <c r="S153" s="667"/>
    </row>
    <row r="154" spans="1:19" x14ac:dyDescent="0.2">
      <c r="B154" s="109" t="s">
        <v>488</v>
      </c>
      <c r="C154" s="110" t="s">
        <v>489</v>
      </c>
      <c r="D154" s="111" t="s">
        <v>490</v>
      </c>
      <c r="E154" s="109">
        <v>113333</v>
      </c>
      <c r="F154" s="112">
        <v>113281</v>
      </c>
      <c r="G154" s="112">
        <v>113252</v>
      </c>
      <c r="H154" s="112">
        <v>113123</v>
      </c>
      <c r="I154" s="113">
        <v>113556</v>
      </c>
      <c r="J154" s="113">
        <v>113526</v>
      </c>
      <c r="K154" s="113">
        <v>113489</v>
      </c>
      <c r="L154" s="113">
        <v>113063</v>
      </c>
      <c r="M154" s="114">
        <v>110504</v>
      </c>
      <c r="N154" s="113">
        <v>110392</v>
      </c>
      <c r="O154" s="114">
        <v>110772</v>
      </c>
      <c r="P154" s="113">
        <v>110772</v>
      </c>
      <c r="Q154" s="113">
        <v>110849</v>
      </c>
      <c r="R154" s="846">
        <v>110725</v>
      </c>
      <c r="S154" s="668"/>
    </row>
    <row r="155" spans="1:19" x14ac:dyDescent="0.2">
      <c r="B155" s="109" t="s">
        <v>491</v>
      </c>
      <c r="C155" s="110" t="s">
        <v>492</v>
      </c>
      <c r="D155" s="111" t="s">
        <v>493</v>
      </c>
      <c r="E155" s="109">
        <v>26115</v>
      </c>
      <c r="F155" s="112">
        <v>26024</v>
      </c>
      <c r="G155" s="112">
        <v>25670</v>
      </c>
      <c r="H155" s="112">
        <v>25358</v>
      </c>
      <c r="I155" s="113">
        <v>25098</v>
      </c>
      <c r="J155" s="113">
        <v>24583</v>
      </c>
      <c r="K155" s="113">
        <v>24217</v>
      </c>
      <c r="L155" s="113">
        <v>24071</v>
      </c>
      <c r="M155" s="114">
        <v>24787</v>
      </c>
      <c r="N155" s="113">
        <v>24535</v>
      </c>
      <c r="O155" s="114">
        <v>24312</v>
      </c>
      <c r="P155" s="113">
        <v>24312</v>
      </c>
      <c r="Q155" s="113">
        <v>24068</v>
      </c>
      <c r="R155" s="846">
        <v>23891</v>
      </c>
      <c r="S155" s="668"/>
    </row>
    <row r="156" spans="1:19" x14ac:dyDescent="0.2">
      <c r="B156" s="109" t="s">
        <v>494</v>
      </c>
      <c r="C156" s="110" t="s">
        <v>495</v>
      </c>
      <c r="D156" s="111" t="s">
        <v>496</v>
      </c>
      <c r="E156" s="109">
        <v>44409</v>
      </c>
      <c r="F156" s="112">
        <v>44133</v>
      </c>
      <c r="G156" s="112">
        <v>43754</v>
      </c>
      <c r="H156" s="112">
        <v>43380</v>
      </c>
      <c r="I156" s="113">
        <v>42814</v>
      </c>
      <c r="J156" s="113">
        <v>42387</v>
      </c>
      <c r="K156" s="113">
        <v>41922</v>
      </c>
      <c r="L156" s="113">
        <v>41732</v>
      </c>
      <c r="M156" s="114">
        <v>42045</v>
      </c>
      <c r="N156" s="113">
        <v>41919</v>
      </c>
      <c r="O156" s="114">
        <v>41527</v>
      </c>
      <c r="P156" s="113">
        <v>41527</v>
      </c>
      <c r="Q156" s="113">
        <v>41276</v>
      </c>
      <c r="R156" s="846">
        <v>41000</v>
      </c>
      <c r="S156" s="668"/>
    </row>
    <row r="157" spans="1:19" x14ac:dyDescent="0.2">
      <c r="B157" s="109" t="s">
        <v>497</v>
      </c>
      <c r="C157" s="110" t="s">
        <v>498</v>
      </c>
      <c r="D157" s="111" t="s">
        <v>499</v>
      </c>
      <c r="E157" s="109">
        <v>40700</v>
      </c>
      <c r="F157" s="112">
        <v>40422</v>
      </c>
      <c r="G157" s="112">
        <v>40217</v>
      </c>
      <c r="H157" s="112">
        <v>39968</v>
      </c>
      <c r="I157" s="113">
        <v>39553</v>
      </c>
      <c r="J157" s="113">
        <v>39151</v>
      </c>
      <c r="K157" s="113">
        <v>38638</v>
      </c>
      <c r="L157" s="113">
        <v>38624</v>
      </c>
      <c r="M157" s="114">
        <v>39036</v>
      </c>
      <c r="N157" s="113">
        <v>38815</v>
      </c>
      <c r="O157" s="114">
        <v>38649</v>
      </c>
      <c r="P157" s="113">
        <v>38488</v>
      </c>
      <c r="Q157" s="113">
        <v>38474</v>
      </c>
      <c r="R157" s="846">
        <v>38534</v>
      </c>
      <c r="S157" s="668"/>
    </row>
    <row r="158" spans="1:19" x14ac:dyDescent="0.2">
      <c r="B158" s="109" t="s">
        <v>500</v>
      </c>
      <c r="C158" s="110" t="s">
        <v>501</v>
      </c>
      <c r="D158" s="111" t="s">
        <v>502</v>
      </c>
      <c r="E158" s="109">
        <v>25840</v>
      </c>
      <c r="F158" s="112">
        <v>25780</v>
      </c>
      <c r="G158" s="112">
        <v>25806</v>
      </c>
      <c r="H158" s="112">
        <v>25718</v>
      </c>
      <c r="I158" s="113">
        <v>25770</v>
      </c>
      <c r="J158" s="113">
        <v>25853</v>
      </c>
      <c r="K158" s="113">
        <v>26023</v>
      </c>
      <c r="L158" s="113">
        <v>25804</v>
      </c>
      <c r="M158" s="114">
        <v>25299</v>
      </c>
      <c r="N158" s="113">
        <v>25416</v>
      </c>
      <c r="O158" s="114">
        <v>25411</v>
      </c>
      <c r="P158" s="113">
        <v>25572</v>
      </c>
      <c r="Q158" s="113">
        <v>25649</v>
      </c>
      <c r="R158" s="846">
        <v>25581</v>
      </c>
      <c r="S158" s="668"/>
    </row>
    <row r="159" spans="1:19" ht="13.5" thickBot="1" x14ac:dyDescent="0.25">
      <c r="B159" s="121" t="s">
        <v>503</v>
      </c>
      <c r="C159" s="122" t="s">
        <v>504</v>
      </c>
      <c r="D159" s="123" t="s">
        <v>505</v>
      </c>
      <c r="E159" s="121">
        <v>14832</v>
      </c>
      <c r="F159" s="124">
        <v>14721</v>
      </c>
      <c r="G159" s="124">
        <v>14552</v>
      </c>
      <c r="H159" s="124">
        <v>14330</v>
      </c>
      <c r="I159" s="125">
        <v>14159</v>
      </c>
      <c r="J159" s="125">
        <v>13864</v>
      </c>
      <c r="K159" s="125">
        <v>13399</v>
      </c>
      <c r="L159" s="125">
        <v>13164</v>
      </c>
      <c r="M159" s="126">
        <v>13623</v>
      </c>
      <c r="N159" s="125">
        <v>13503</v>
      </c>
      <c r="O159" s="126">
        <v>13326</v>
      </c>
      <c r="P159" s="125">
        <v>13326</v>
      </c>
      <c r="Q159" s="125">
        <v>13373</v>
      </c>
      <c r="R159" s="848">
        <v>13378</v>
      </c>
      <c r="S159" s="670"/>
    </row>
    <row r="160" spans="1:19" x14ac:dyDescent="0.2">
      <c r="A160" s="101"/>
      <c r="B160" s="127" t="s">
        <v>506</v>
      </c>
      <c r="C160" s="128" t="s">
        <v>507</v>
      </c>
      <c r="D160" s="129" t="s">
        <v>561</v>
      </c>
      <c r="E160" s="130">
        <v>365340</v>
      </c>
      <c r="F160" s="131">
        <v>363774</v>
      </c>
      <c r="G160" s="131">
        <v>362480</v>
      </c>
      <c r="H160" s="131">
        <v>360406</v>
      </c>
      <c r="I160" s="132">
        <v>360387</v>
      </c>
      <c r="J160" s="132">
        <v>358807</v>
      </c>
      <c r="K160" s="132">
        <v>356573</v>
      </c>
      <c r="L160" s="132">
        <v>354565</v>
      </c>
      <c r="M160" s="133">
        <v>351165</v>
      </c>
      <c r="N160" s="132">
        <v>349007</v>
      </c>
      <c r="O160" s="133">
        <v>346647</v>
      </c>
      <c r="P160" s="132">
        <v>346647</v>
      </c>
      <c r="Q160" s="132">
        <v>344302</v>
      </c>
      <c r="R160" s="849">
        <v>342501</v>
      </c>
      <c r="S160" s="671"/>
    </row>
    <row r="161" spans="1:21" x14ac:dyDescent="0.2">
      <c r="B161" s="109" t="s">
        <v>508</v>
      </c>
      <c r="C161" s="110" t="s">
        <v>509</v>
      </c>
      <c r="D161" s="111" t="s">
        <v>510</v>
      </c>
      <c r="E161" s="109">
        <v>104566</v>
      </c>
      <c r="F161" s="112">
        <v>104557</v>
      </c>
      <c r="G161" s="112">
        <v>104992</v>
      </c>
      <c r="H161" s="112">
        <v>104968</v>
      </c>
      <c r="I161" s="113">
        <v>105775</v>
      </c>
      <c r="J161" s="113">
        <v>105956</v>
      </c>
      <c r="K161" s="113">
        <v>106137</v>
      </c>
      <c r="L161" s="113">
        <v>105635</v>
      </c>
      <c r="M161" s="114">
        <v>102586</v>
      </c>
      <c r="N161" s="113">
        <v>102234</v>
      </c>
      <c r="O161" s="114">
        <v>101871</v>
      </c>
      <c r="P161" s="113">
        <v>101150</v>
      </c>
      <c r="Q161" s="113">
        <v>100719</v>
      </c>
      <c r="R161" s="846">
        <v>100308</v>
      </c>
      <c r="S161" s="668"/>
    </row>
    <row r="162" spans="1:21" x14ac:dyDescent="0.2">
      <c r="B162" s="109" t="s">
        <v>511</v>
      </c>
      <c r="C162" s="110" t="s">
        <v>512</v>
      </c>
      <c r="D162" s="111" t="s">
        <v>513</v>
      </c>
      <c r="E162" s="109">
        <v>62806</v>
      </c>
      <c r="F162" s="112">
        <v>62302</v>
      </c>
      <c r="G162" s="112">
        <v>62007</v>
      </c>
      <c r="H162" s="112">
        <v>61083</v>
      </c>
      <c r="I162" s="113">
        <v>60632</v>
      </c>
      <c r="J162" s="113">
        <v>60262</v>
      </c>
      <c r="K162" s="113">
        <v>59538</v>
      </c>
      <c r="L162" s="113">
        <v>58882</v>
      </c>
      <c r="M162" s="114">
        <v>58930</v>
      </c>
      <c r="N162" s="113">
        <v>58392</v>
      </c>
      <c r="O162" s="114">
        <v>58034</v>
      </c>
      <c r="P162" s="113">
        <v>58054</v>
      </c>
      <c r="Q162" s="113">
        <v>57583</v>
      </c>
      <c r="R162" s="846">
        <v>56931</v>
      </c>
      <c r="S162" s="668"/>
    </row>
    <row r="163" spans="1:21" x14ac:dyDescent="0.2">
      <c r="B163" s="109" t="s">
        <v>514</v>
      </c>
      <c r="C163" s="110" t="s">
        <v>515</v>
      </c>
      <c r="D163" s="111" t="s">
        <v>516</v>
      </c>
      <c r="E163" s="109">
        <v>55015</v>
      </c>
      <c r="F163" s="112">
        <v>54472</v>
      </c>
      <c r="G163" s="112">
        <v>53972</v>
      </c>
      <c r="H163" s="112">
        <v>53493</v>
      </c>
      <c r="I163" s="113">
        <v>52588</v>
      </c>
      <c r="J163" s="113">
        <v>52016</v>
      </c>
      <c r="K163" s="113">
        <v>51264</v>
      </c>
      <c r="L163" s="113">
        <v>50836</v>
      </c>
      <c r="M163" s="114">
        <v>51990</v>
      </c>
      <c r="N163" s="113">
        <v>51558</v>
      </c>
      <c r="O163" s="114">
        <v>50856</v>
      </c>
      <c r="P163" s="113">
        <v>48961</v>
      </c>
      <c r="Q163" s="113">
        <v>48562</v>
      </c>
      <c r="R163" s="846">
        <v>47999</v>
      </c>
      <c r="S163" s="668"/>
    </row>
    <row r="164" spans="1:21" x14ac:dyDescent="0.2">
      <c r="B164" s="109" t="s">
        <v>517</v>
      </c>
      <c r="C164" s="110" t="s">
        <v>518</v>
      </c>
      <c r="D164" s="111" t="s">
        <v>519</v>
      </c>
      <c r="E164" s="109">
        <v>37662</v>
      </c>
      <c r="F164" s="112">
        <v>37330</v>
      </c>
      <c r="G164" s="112">
        <v>37060</v>
      </c>
      <c r="H164" s="112">
        <v>36930</v>
      </c>
      <c r="I164" s="113">
        <v>36798</v>
      </c>
      <c r="J164" s="113">
        <v>36737</v>
      </c>
      <c r="K164" s="113">
        <v>36350</v>
      </c>
      <c r="L164" s="113">
        <v>36065</v>
      </c>
      <c r="M164" s="114">
        <v>36097</v>
      </c>
      <c r="N164" s="113">
        <v>35713</v>
      </c>
      <c r="O164" s="114">
        <v>35465</v>
      </c>
      <c r="P164" s="113">
        <v>36801</v>
      </c>
      <c r="Q164" s="113">
        <v>36420</v>
      </c>
      <c r="R164" s="846">
        <v>36133</v>
      </c>
      <c r="S164" s="668"/>
    </row>
    <row r="165" spans="1:21" x14ac:dyDescent="0.2">
      <c r="B165" s="109" t="s">
        <v>520</v>
      </c>
      <c r="C165" s="110" t="s">
        <v>521</v>
      </c>
      <c r="D165" s="111" t="s">
        <v>522</v>
      </c>
      <c r="E165" s="109">
        <v>56249</v>
      </c>
      <c r="F165" s="112">
        <v>55692</v>
      </c>
      <c r="G165" s="112">
        <v>55066</v>
      </c>
      <c r="H165" s="112">
        <v>54544</v>
      </c>
      <c r="I165" s="113">
        <v>53888</v>
      </c>
      <c r="J165" s="113">
        <v>53101</v>
      </c>
      <c r="K165" s="113">
        <v>52353</v>
      </c>
      <c r="L165" s="113">
        <v>52012</v>
      </c>
      <c r="M165" s="114">
        <v>52196</v>
      </c>
      <c r="N165" s="113">
        <v>51660</v>
      </c>
      <c r="O165" s="114">
        <v>51182</v>
      </c>
      <c r="P165" s="113">
        <v>53057</v>
      </c>
      <c r="Q165" s="113">
        <v>52481</v>
      </c>
      <c r="R165" s="846">
        <v>52107</v>
      </c>
      <c r="S165" s="668"/>
    </row>
    <row r="166" spans="1:21" x14ac:dyDescent="0.2">
      <c r="B166" s="109" t="s">
        <v>523</v>
      </c>
      <c r="C166" s="110" t="s">
        <v>524</v>
      </c>
      <c r="D166" s="111" t="s">
        <v>525</v>
      </c>
      <c r="E166" s="109">
        <v>21997</v>
      </c>
      <c r="F166" s="112">
        <v>22080</v>
      </c>
      <c r="G166" s="112">
        <v>22091</v>
      </c>
      <c r="H166" s="112">
        <v>22142</v>
      </c>
      <c r="I166" s="113">
        <v>22202</v>
      </c>
      <c r="J166" s="113">
        <v>22204</v>
      </c>
      <c r="K166" s="113">
        <v>22436</v>
      </c>
      <c r="L166" s="113">
        <v>22454</v>
      </c>
      <c r="M166" s="114">
        <v>22236</v>
      </c>
      <c r="N166" s="113">
        <v>22265</v>
      </c>
      <c r="O166" s="114">
        <v>22093</v>
      </c>
      <c r="P166" s="113">
        <v>24166</v>
      </c>
      <c r="Q166" s="113">
        <v>24058</v>
      </c>
      <c r="R166" s="846">
        <v>24200</v>
      </c>
      <c r="S166" s="668"/>
    </row>
    <row r="167" spans="1:21" ht="13.5" thickBot="1" x14ac:dyDescent="0.25">
      <c r="B167" s="115" t="s">
        <v>526</v>
      </c>
      <c r="C167" s="116" t="s">
        <v>527</v>
      </c>
      <c r="D167" s="117" t="s">
        <v>528</v>
      </c>
      <c r="E167" s="115">
        <v>27045</v>
      </c>
      <c r="F167" s="118">
        <v>27341</v>
      </c>
      <c r="G167" s="118">
        <v>27292</v>
      </c>
      <c r="H167" s="118">
        <v>27246</v>
      </c>
      <c r="I167" s="119">
        <v>28504</v>
      </c>
      <c r="J167" s="119">
        <v>28531</v>
      </c>
      <c r="K167" s="119">
        <v>28495</v>
      </c>
      <c r="L167" s="119">
        <v>28681</v>
      </c>
      <c r="M167" s="120">
        <v>27130</v>
      </c>
      <c r="N167" s="119">
        <v>27185</v>
      </c>
      <c r="O167" s="120">
        <v>27146</v>
      </c>
      <c r="P167" s="119">
        <v>24458</v>
      </c>
      <c r="Q167" s="119">
        <v>24479</v>
      </c>
      <c r="R167" s="847">
        <v>24823</v>
      </c>
      <c r="S167" s="669"/>
    </row>
    <row r="168" spans="1:21" x14ac:dyDescent="0.2">
      <c r="A168" s="101"/>
      <c r="B168" s="102" t="s">
        <v>529</v>
      </c>
      <c r="C168" s="103" t="s">
        <v>530</v>
      </c>
      <c r="D168" s="104" t="s">
        <v>562</v>
      </c>
      <c r="E168" s="105">
        <v>295197</v>
      </c>
      <c r="F168" s="106">
        <v>294175</v>
      </c>
      <c r="G168" s="106">
        <v>293443</v>
      </c>
      <c r="H168" s="106">
        <v>291678</v>
      </c>
      <c r="I168" s="107">
        <v>290204</v>
      </c>
      <c r="J168" s="107">
        <v>288591</v>
      </c>
      <c r="K168" s="107">
        <v>287043</v>
      </c>
      <c r="L168" s="107">
        <v>285154</v>
      </c>
      <c r="M168" s="108">
        <v>281673</v>
      </c>
      <c r="N168" s="107">
        <v>279623</v>
      </c>
      <c r="O168" s="108">
        <v>277290</v>
      </c>
      <c r="P168" s="107">
        <v>277290</v>
      </c>
      <c r="Q168" s="107">
        <v>275027</v>
      </c>
      <c r="R168" s="845">
        <v>272798</v>
      </c>
      <c r="S168" s="667"/>
    </row>
    <row r="169" spans="1:21" x14ac:dyDescent="0.2">
      <c r="B169" s="109" t="s">
        <v>531</v>
      </c>
      <c r="C169" s="110" t="s">
        <v>532</v>
      </c>
      <c r="D169" s="111" t="s">
        <v>533</v>
      </c>
      <c r="E169" s="109">
        <v>106099</v>
      </c>
      <c r="F169" s="112">
        <v>105771</v>
      </c>
      <c r="G169" s="112">
        <v>105707</v>
      </c>
      <c r="H169" s="112">
        <v>105142</v>
      </c>
      <c r="I169" s="113">
        <v>105040</v>
      </c>
      <c r="J169" s="113">
        <v>104604</v>
      </c>
      <c r="K169" s="113">
        <v>104463</v>
      </c>
      <c r="L169" s="113">
        <v>104038</v>
      </c>
      <c r="M169" s="114">
        <v>101085</v>
      </c>
      <c r="N169" s="113">
        <v>100368</v>
      </c>
      <c r="O169" s="114">
        <v>99783</v>
      </c>
      <c r="P169" s="113">
        <v>101153</v>
      </c>
      <c r="Q169" s="113">
        <v>100438</v>
      </c>
      <c r="R169" s="846">
        <v>99530</v>
      </c>
      <c r="S169" s="668"/>
    </row>
    <row r="170" spans="1:21" x14ac:dyDescent="0.2">
      <c r="B170" s="109" t="s">
        <v>534</v>
      </c>
      <c r="C170" s="110" t="s">
        <v>535</v>
      </c>
      <c r="D170" s="111" t="s">
        <v>536</v>
      </c>
      <c r="E170" s="109">
        <v>22678</v>
      </c>
      <c r="F170" s="112">
        <v>22486</v>
      </c>
      <c r="G170" s="112">
        <v>22313</v>
      </c>
      <c r="H170" s="112">
        <v>22007</v>
      </c>
      <c r="I170" s="113">
        <v>21700</v>
      </c>
      <c r="J170" s="113">
        <v>21338</v>
      </c>
      <c r="K170" s="113">
        <v>20974</v>
      </c>
      <c r="L170" s="113">
        <v>20755</v>
      </c>
      <c r="M170" s="114">
        <v>20993</v>
      </c>
      <c r="N170" s="113">
        <v>20740</v>
      </c>
      <c r="O170" s="114">
        <v>20460</v>
      </c>
      <c r="P170" s="113">
        <v>19339</v>
      </c>
      <c r="Q170" s="113">
        <v>19110</v>
      </c>
      <c r="R170" s="846">
        <v>18871</v>
      </c>
      <c r="S170" s="668"/>
    </row>
    <row r="171" spans="1:21" x14ac:dyDescent="0.2">
      <c r="B171" s="109" t="s">
        <v>537</v>
      </c>
      <c r="C171" s="110" t="s">
        <v>538</v>
      </c>
      <c r="D171" s="111" t="s">
        <v>539</v>
      </c>
      <c r="E171" s="109">
        <v>100228</v>
      </c>
      <c r="F171" s="112">
        <v>99582</v>
      </c>
      <c r="G171" s="112">
        <v>98986</v>
      </c>
      <c r="H171" s="112">
        <v>98213</v>
      </c>
      <c r="I171" s="113">
        <v>97488</v>
      </c>
      <c r="J171" s="113">
        <v>96587</v>
      </c>
      <c r="K171" s="113">
        <v>95706</v>
      </c>
      <c r="L171" s="113">
        <v>94778</v>
      </c>
      <c r="M171" s="114">
        <v>94435</v>
      </c>
      <c r="N171" s="113">
        <v>93601</v>
      </c>
      <c r="O171" s="114">
        <v>92547</v>
      </c>
      <c r="P171" s="113">
        <v>92547</v>
      </c>
      <c r="Q171" s="113">
        <v>91384</v>
      </c>
      <c r="R171" s="846">
        <v>90660</v>
      </c>
      <c r="S171" s="668"/>
    </row>
    <row r="172" spans="1:21" ht="13.5" thickBot="1" x14ac:dyDescent="0.25">
      <c r="B172" s="121" t="s">
        <v>540</v>
      </c>
      <c r="C172" s="122" t="s">
        <v>541</v>
      </c>
      <c r="D172" s="123" t="s">
        <v>542</v>
      </c>
      <c r="E172" s="121">
        <v>66192</v>
      </c>
      <c r="F172" s="124">
        <v>66336</v>
      </c>
      <c r="G172" s="124">
        <v>66437</v>
      </c>
      <c r="H172" s="124">
        <v>66316</v>
      </c>
      <c r="I172" s="125">
        <v>65976</v>
      </c>
      <c r="J172" s="125">
        <v>66062</v>
      </c>
      <c r="K172" s="125">
        <v>65900</v>
      </c>
      <c r="L172" s="125">
        <v>65583</v>
      </c>
      <c r="M172" s="126">
        <v>65160</v>
      </c>
      <c r="N172" s="125">
        <v>64914</v>
      </c>
      <c r="O172" s="126">
        <v>64500</v>
      </c>
      <c r="P172" s="125">
        <v>64251</v>
      </c>
      <c r="Q172" s="125">
        <v>64095</v>
      </c>
      <c r="R172" s="848">
        <v>63737</v>
      </c>
      <c r="S172" s="670"/>
    </row>
    <row r="173" spans="1:21" ht="13.5" thickBot="1" x14ac:dyDescent="0.25">
      <c r="A173" s="101"/>
      <c r="B173" s="674"/>
      <c r="C173" s="136"/>
      <c r="D173" s="137"/>
      <c r="E173" s="137"/>
      <c r="F173" s="137"/>
      <c r="G173" s="137"/>
      <c r="H173" s="137"/>
      <c r="I173" s="673"/>
      <c r="J173" s="673"/>
      <c r="K173" s="673"/>
      <c r="L173" s="673"/>
      <c r="M173" s="673"/>
      <c r="N173" s="673"/>
      <c r="O173" s="673"/>
      <c r="P173" s="673"/>
      <c r="Q173" s="673"/>
      <c r="R173" s="673"/>
      <c r="S173" s="672"/>
    </row>
    <row r="174" spans="1:21" s="134" customFormat="1" ht="13.5" thickBot="1" x14ac:dyDescent="0.25">
      <c r="A174" s="101"/>
      <c r="B174" s="135" t="s">
        <v>563</v>
      </c>
      <c r="C174" s="136"/>
      <c r="D174" s="137"/>
      <c r="E174" s="138">
        <v>10097549</v>
      </c>
      <c r="F174" s="139">
        <v>10076581</v>
      </c>
      <c r="G174" s="139">
        <v>10066158</v>
      </c>
      <c r="H174" s="139">
        <v>10045401</v>
      </c>
      <c r="I174" s="140">
        <v>10030975</v>
      </c>
      <c r="J174" s="140">
        <v>10014324</v>
      </c>
      <c r="K174" s="140">
        <v>9985722</v>
      </c>
      <c r="L174" s="140">
        <v>9957731</v>
      </c>
      <c r="M174" s="140">
        <v>9908798</v>
      </c>
      <c r="N174" s="140">
        <v>9877365</v>
      </c>
      <c r="O174" s="140">
        <v>9855571</v>
      </c>
      <c r="P174" s="140">
        <v>9855571</v>
      </c>
      <c r="Q174" s="140">
        <v>9830485</v>
      </c>
      <c r="R174" s="673">
        <v>9797561</v>
      </c>
      <c r="S174" s="672"/>
      <c r="U174" s="94"/>
    </row>
    <row r="175" spans="1:21" x14ac:dyDescent="0.2">
      <c r="A175" s="101"/>
      <c r="B175" s="101"/>
    </row>
    <row r="177" spans="12:14" x14ac:dyDescent="0.2">
      <c r="L177" s="134"/>
      <c r="M177" s="134"/>
      <c r="N177" s="134"/>
    </row>
  </sheetData>
  <printOptions horizontalCentered="1"/>
  <pageMargins left="0.74803149606299213" right="0.74803149606299213" top="0.59055118110236227" bottom="0.59055118110236227" header="0.51181102362204722" footer="0.31496062992125984"/>
  <pageSetup paperSize="9" scale="90" orientation="portrait" r:id="rId1"/>
  <headerFooter alignWithMargins="0">
    <oddFooter>&amp;P. oldal</oddFooter>
  </headerFooter>
  <rowBreaks count="2" manualBreakCount="2">
    <brk id="65" min="1" max="8" man="1"/>
    <brk id="129" min="1" max="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0"/>
  <dimension ref="A1:IQ202"/>
  <sheetViews>
    <sheetView zoomScale="90" zoomScaleNormal="90" workbookViewId="0">
      <pane xSplit="2" ySplit="2" topLeftCell="C3" activePane="bottomRight" state="frozen"/>
      <selection activeCell="G206" sqref="G206"/>
      <selection pane="topRight" activeCell="G206" sqref="G206"/>
      <selection pane="bottomLeft" activeCell="G206" sqref="G206"/>
      <selection pane="bottomRight" activeCell="IC3" sqref="IC3:IJ200"/>
    </sheetView>
  </sheetViews>
  <sheetFormatPr defaultColWidth="9.140625" defaultRowHeight="12.75" x14ac:dyDescent="0.2"/>
  <cols>
    <col min="1" max="1" width="39.140625" style="94" bestFit="1" customWidth="1"/>
    <col min="2" max="2" width="43.140625" style="94" customWidth="1"/>
    <col min="3" max="245" width="7.5703125" style="94" bestFit="1" customWidth="1"/>
    <col min="246" max="16384" width="9.140625" style="94"/>
  </cols>
  <sheetData>
    <row r="1" spans="1:245" ht="57" customHeight="1" thickBot="1" x14ac:dyDescent="0.25">
      <c r="A1" s="963" t="s">
        <v>1173</v>
      </c>
      <c r="B1" s="964"/>
      <c r="C1" s="957" t="s">
        <v>5</v>
      </c>
      <c r="D1" s="958"/>
      <c r="E1" s="958"/>
      <c r="F1" s="958"/>
      <c r="G1" s="958"/>
      <c r="H1" s="958"/>
      <c r="I1" s="958"/>
      <c r="J1" s="958"/>
      <c r="K1" s="959"/>
      <c r="L1" s="951" t="s">
        <v>7</v>
      </c>
      <c r="M1" s="952"/>
      <c r="N1" s="952"/>
      <c r="O1" s="952"/>
      <c r="P1" s="952"/>
      <c r="Q1" s="952"/>
      <c r="R1" s="952"/>
      <c r="S1" s="952"/>
      <c r="T1" s="953"/>
      <c r="U1" s="951" t="s">
        <v>564</v>
      </c>
      <c r="V1" s="952"/>
      <c r="W1" s="952"/>
      <c r="X1" s="952"/>
      <c r="Y1" s="952"/>
      <c r="Z1" s="952"/>
      <c r="AA1" s="952"/>
      <c r="AB1" s="952"/>
      <c r="AC1" s="953"/>
      <c r="AD1" s="942" t="s">
        <v>8</v>
      </c>
      <c r="AE1" s="943"/>
      <c r="AF1" s="943"/>
      <c r="AG1" s="943"/>
      <c r="AH1" s="943"/>
      <c r="AI1" s="943"/>
      <c r="AJ1" s="943"/>
      <c r="AK1" s="943"/>
      <c r="AL1" s="944"/>
      <c r="AM1" s="951" t="s">
        <v>565</v>
      </c>
      <c r="AN1" s="952"/>
      <c r="AO1" s="952"/>
      <c r="AP1" s="952"/>
      <c r="AQ1" s="952"/>
      <c r="AR1" s="952"/>
      <c r="AS1" s="952"/>
      <c r="AT1" s="952"/>
      <c r="AU1" s="953"/>
      <c r="AV1" s="951" t="s">
        <v>566</v>
      </c>
      <c r="AW1" s="952"/>
      <c r="AX1" s="952"/>
      <c r="AY1" s="952"/>
      <c r="AZ1" s="952"/>
      <c r="BA1" s="952"/>
      <c r="BB1" s="952"/>
      <c r="BC1" s="952"/>
      <c r="BD1" s="953"/>
      <c r="BE1" s="942" t="s">
        <v>9</v>
      </c>
      <c r="BF1" s="943"/>
      <c r="BG1" s="943"/>
      <c r="BH1" s="943"/>
      <c r="BI1" s="943"/>
      <c r="BJ1" s="943"/>
      <c r="BK1" s="943"/>
      <c r="BL1" s="943"/>
      <c r="BM1" s="944"/>
      <c r="BN1" s="942" t="s">
        <v>10</v>
      </c>
      <c r="BO1" s="943"/>
      <c r="BP1" s="943"/>
      <c r="BQ1" s="943"/>
      <c r="BR1" s="943"/>
      <c r="BS1" s="943"/>
      <c r="BT1" s="943"/>
      <c r="BU1" s="943"/>
      <c r="BV1" s="944"/>
      <c r="BW1" s="942" t="s">
        <v>11</v>
      </c>
      <c r="BX1" s="943"/>
      <c r="BY1" s="943"/>
      <c r="BZ1" s="943"/>
      <c r="CA1" s="943"/>
      <c r="CB1" s="943"/>
      <c r="CC1" s="943"/>
      <c r="CD1" s="943"/>
      <c r="CE1" s="944"/>
      <c r="CF1" s="942" t="s">
        <v>12</v>
      </c>
      <c r="CG1" s="943"/>
      <c r="CH1" s="943"/>
      <c r="CI1" s="943"/>
      <c r="CJ1" s="943"/>
      <c r="CK1" s="943"/>
      <c r="CL1" s="943"/>
      <c r="CM1" s="943"/>
      <c r="CN1" s="944"/>
      <c r="CO1" s="942" t="s">
        <v>567</v>
      </c>
      <c r="CP1" s="943"/>
      <c r="CQ1" s="943"/>
      <c r="CR1" s="943"/>
      <c r="CS1" s="943"/>
      <c r="CT1" s="943"/>
      <c r="CU1" s="943"/>
      <c r="CV1" s="943"/>
      <c r="CW1" s="944"/>
      <c r="CX1" s="942" t="s">
        <v>14</v>
      </c>
      <c r="CY1" s="943"/>
      <c r="CZ1" s="943"/>
      <c r="DA1" s="943"/>
      <c r="DB1" s="943"/>
      <c r="DC1" s="943"/>
      <c r="DD1" s="943"/>
      <c r="DE1" s="943"/>
      <c r="DF1" s="944"/>
      <c r="DG1" s="951" t="s">
        <v>15</v>
      </c>
      <c r="DH1" s="952"/>
      <c r="DI1" s="952"/>
      <c r="DJ1" s="952"/>
      <c r="DK1" s="952"/>
      <c r="DL1" s="952"/>
      <c r="DM1" s="952"/>
      <c r="DN1" s="952"/>
      <c r="DO1" s="953"/>
      <c r="DP1" s="951" t="s">
        <v>16</v>
      </c>
      <c r="DQ1" s="952"/>
      <c r="DR1" s="952"/>
      <c r="DS1" s="952"/>
      <c r="DT1" s="952"/>
      <c r="DU1" s="952"/>
      <c r="DV1" s="952"/>
      <c r="DW1" s="952"/>
      <c r="DX1" s="953"/>
      <c r="DY1" s="951" t="s">
        <v>568</v>
      </c>
      <c r="DZ1" s="952"/>
      <c r="EA1" s="952"/>
      <c r="EB1" s="952"/>
      <c r="EC1" s="952"/>
      <c r="ED1" s="952"/>
      <c r="EE1" s="952"/>
      <c r="EF1" s="952"/>
      <c r="EG1" s="953"/>
      <c r="EH1" s="942" t="s">
        <v>17</v>
      </c>
      <c r="EI1" s="943"/>
      <c r="EJ1" s="943"/>
      <c r="EK1" s="943"/>
      <c r="EL1" s="943"/>
      <c r="EM1" s="943"/>
      <c r="EN1" s="943"/>
      <c r="EO1" s="943"/>
      <c r="EP1" s="944"/>
      <c r="EQ1" s="942" t="s">
        <v>18</v>
      </c>
      <c r="ER1" s="943"/>
      <c r="ES1" s="943"/>
      <c r="ET1" s="943"/>
      <c r="EU1" s="943"/>
      <c r="EV1" s="943"/>
      <c r="EW1" s="943"/>
      <c r="EX1" s="943"/>
      <c r="EY1" s="944"/>
      <c r="EZ1" s="942" t="s">
        <v>19</v>
      </c>
      <c r="FA1" s="943"/>
      <c r="FB1" s="943"/>
      <c r="FC1" s="943"/>
      <c r="FD1" s="943"/>
      <c r="FE1" s="943"/>
      <c r="FF1" s="943"/>
      <c r="FG1" s="943"/>
      <c r="FH1" s="944"/>
      <c r="FI1" s="942" t="s">
        <v>20</v>
      </c>
      <c r="FJ1" s="943"/>
      <c r="FK1" s="943"/>
      <c r="FL1" s="943"/>
      <c r="FM1" s="943"/>
      <c r="FN1" s="943"/>
      <c r="FO1" s="943"/>
      <c r="FP1" s="943"/>
      <c r="FQ1" s="944"/>
      <c r="FR1" s="942" t="s">
        <v>21</v>
      </c>
      <c r="FS1" s="943"/>
      <c r="FT1" s="943"/>
      <c r="FU1" s="943"/>
      <c r="FV1" s="943"/>
      <c r="FW1" s="943"/>
      <c r="FX1" s="943"/>
      <c r="FY1" s="943"/>
      <c r="FZ1" s="944"/>
      <c r="GA1" s="942" t="s">
        <v>22</v>
      </c>
      <c r="GB1" s="943"/>
      <c r="GC1" s="943"/>
      <c r="GD1" s="943"/>
      <c r="GE1" s="943"/>
      <c r="GF1" s="943"/>
      <c r="GG1" s="943"/>
      <c r="GH1" s="943"/>
      <c r="GI1" s="944"/>
      <c r="GJ1" s="942" t="s">
        <v>569</v>
      </c>
      <c r="GK1" s="943"/>
      <c r="GL1" s="943"/>
      <c r="GM1" s="943"/>
      <c r="GN1" s="943"/>
      <c r="GO1" s="943"/>
      <c r="GP1" s="943"/>
      <c r="GQ1" s="943"/>
      <c r="GR1" s="944"/>
      <c r="GS1" s="942" t="s">
        <v>570</v>
      </c>
      <c r="GT1" s="943"/>
      <c r="GU1" s="943"/>
      <c r="GV1" s="943"/>
      <c r="GW1" s="943"/>
      <c r="GX1" s="943"/>
      <c r="GY1" s="943"/>
      <c r="GZ1" s="943"/>
      <c r="HA1" s="944"/>
      <c r="HB1" s="942" t="s">
        <v>25</v>
      </c>
      <c r="HC1" s="943"/>
      <c r="HD1" s="943"/>
      <c r="HE1" s="943"/>
      <c r="HF1" s="943"/>
      <c r="HG1" s="943"/>
      <c r="HH1" s="943"/>
      <c r="HI1" s="943"/>
      <c r="HJ1" s="944"/>
      <c r="HK1" s="942" t="s">
        <v>26</v>
      </c>
      <c r="HL1" s="943"/>
      <c r="HM1" s="943"/>
      <c r="HN1" s="943"/>
      <c r="HO1" s="943"/>
      <c r="HP1" s="943"/>
      <c r="HQ1" s="943"/>
      <c r="HR1" s="943"/>
      <c r="HS1" s="944"/>
      <c r="HT1" s="954" t="s">
        <v>571</v>
      </c>
      <c r="HU1" s="955"/>
      <c r="HV1" s="955"/>
      <c r="HW1" s="955"/>
      <c r="HX1" s="955"/>
      <c r="HY1" s="955"/>
      <c r="HZ1" s="955"/>
      <c r="IA1" s="955"/>
      <c r="IB1" s="956"/>
      <c r="IC1" s="957" t="s">
        <v>572</v>
      </c>
      <c r="ID1" s="958"/>
      <c r="IE1" s="958"/>
      <c r="IF1" s="958"/>
      <c r="IG1" s="958"/>
      <c r="IH1" s="958"/>
      <c r="II1" s="958"/>
      <c r="IJ1" s="958"/>
      <c r="IK1" s="959"/>
    </row>
    <row r="2" spans="1:245" s="145" customFormat="1" ht="41.25" customHeight="1" thickBot="1" x14ac:dyDescent="0.3">
      <c r="A2" s="965"/>
      <c r="B2" s="966"/>
      <c r="C2" s="142" t="s">
        <v>1084</v>
      </c>
      <c r="D2" s="143" t="s">
        <v>1085</v>
      </c>
      <c r="E2" s="143" t="s">
        <v>1086</v>
      </c>
      <c r="F2" s="143" t="s">
        <v>1087</v>
      </c>
      <c r="G2" s="143" t="s">
        <v>1088</v>
      </c>
      <c r="H2" s="143" t="s">
        <v>1089</v>
      </c>
      <c r="I2" s="143" t="s">
        <v>1090</v>
      </c>
      <c r="J2" s="143" t="s">
        <v>1091</v>
      </c>
      <c r="K2" s="144" t="s">
        <v>1154</v>
      </c>
      <c r="L2" s="142" t="s">
        <v>1084</v>
      </c>
      <c r="M2" s="143" t="s">
        <v>1085</v>
      </c>
      <c r="N2" s="143" t="s">
        <v>1086</v>
      </c>
      <c r="O2" s="143" t="s">
        <v>1087</v>
      </c>
      <c r="P2" s="143" t="s">
        <v>1088</v>
      </c>
      <c r="Q2" s="143" t="s">
        <v>1089</v>
      </c>
      <c r="R2" s="143" t="s">
        <v>1090</v>
      </c>
      <c r="S2" s="143" t="s">
        <v>1091</v>
      </c>
      <c r="T2" s="144" t="s">
        <v>1154</v>
      </c>
      <c r="U2" s="142" t="s">
        <v>1084</v>
      </c>
      <c r="V2" s="143" t="s">
        <v>1085</v>
      </c>
      <c r="W2" s="143" t="s">
        <v>1086</v>
      </c>
      <c r="X2" s="143" t="s">
        <v>1087</v>
      </c>
      <c r="Y2" s="143" t="s">
        <v>1088</v>
      </c>
      <c r="Z2" s="143" t="s">
        <v>1089</v>
      </c>
      <c r="AA2" s="143" t="s">
        <v>1090</v>
      </c>
      <c r="AB2" s="143" t="s">
        <v>1091</v>
      </c>
      <c r="AC2" s="144" t="s">
        <v>1154</v>
      </c>
      <c r="AD2" s="142" t="s">
        <v>1084</v>
      </c>
      <c r="AE2" s="143" t="s">
        <v>1085</v>
      </c>
      <c r="AF2" s="143" t="s">
        <v>1086</v>
      </c>
      <c r="AG2" s="143" t="s">
        <v>1087</v>
      </c>
      <c r="AH2" s="143" t="s">
        <v>1088</v>
      </c>
      <c r="AI2" s="143" t="s">
        <v>1089</v>
      </c>
      <c r="AJ2" s="143" t="s">
        <v>1090</v>
      </c>
      <c r="AK2" s="143" t="s">
        <v>1091</v>
      </c>
      <c r="AL2" s="144" t="s">
        <v>1154</v>
      </c>
      <c r="AM2" s="142" t="s">
        <v>1084</v>
      </c>
      <c r="AN2" s="143" t="s">
        <v>1085</v>
      </c>
      <c r="AO2" s="143" t="s">
        <v>1086</v>
      </c>
      <c r="AP2" s="143" t="s">
        <v>1087</v>
      </c>
      <c r="AQ2" s="143" t="s">
        <v>1088</v>
      </c>
      <c r="AR2" s="143" t="s">
        <v>1089</v>
      </c>
      <c r="AS2" s="143" t="s">
        <v>1090</v>
      </c>
      <c r="AT2" s="143" t="s">
        <v>1091</v>
      </c>
      <c r="AU2" s="144" t="s">
        <v>1154</v>
      </c>
      <c r="AV2" s="142" t="s">
        <v>1084</v>
      </c>
      <c r="AW2" s="143" t="s">
        <v>1085</v>
      </c>
      <c r="AX2" s="143" t="s">
        <v>1086</v>
      </c>
      <c r="AY2" s="143" t="s">
        <v>1087</v>
      </c>
      <c r="AZ2" s="143" t="s">
        <v>1088</v>
      </c>
      <c r="BA2" s="143" t="s">
        <v>1089</v>
      </c>
      <c r="BB2" s="143" t="s">
        <v>1090</v>
      </c>
      <c r="BC2" s="143" t="s">
        <v>1091</v>
      </c>
      <c r="BD2" s="144" t="s">
        <v>1154</v>
      </c>
      <c r="BE2" s="142" t="s">
        <v>1084</v>
      </c>
      <c r="BF2" s="143" t="s">
        <v>1085</v>
      </c>
      <c r="BG2" s="143" t="s">
        <v>1086</v>
      </c>
      <c r="BH2" s="143" t="s">
        <v>1087</v>
      </c>
      <c r="BI2" s="143" t="s">
        <v>1088</v>
      </c>
      <c r="BJ2" s="143" t="s">
        <v>1089</v>
      </c>
      <c r="BK2" s="143" t="s">
        <v>1090</v>
      </c>
      <c r="BL2" s="143" t="s">
        <v>1091</v>
      </c>
      <c r="BM2" s="144" t="s">
        <v>1154</v>
      </c>
      <c r="BN2" s="142" t="s">
        <v>1084</v>
      </c>
      <c r="BO2" s="143" t="s">
        <v>1085</v>
      </c>
      <c r="BP2" s="143" t="s">
        <v>1086</v>
      </c>
      <c r="BQ2" s="143" t="s">
        <v>1087</v>
      </c>
      <c r="BR2" s="143" t="s">
        <v>1088</v>
      </c>
      <c r="BS2" s="143" t="s">
        <v>1089</v>
      </c>
      <c r="BT2" s="143" t="s">
        <v>1090</v>
      </c>
      <c r="BU2" s="143" t="s">
        <v>1091</v>
      </c>
      <c r="BV2" s="144" t="s">
        <v>1154</v>
      </c>
      <c r="BW2" s="142" t="s">
        <v>1084</v>
      </c>
      <c r="BX2" s="143" t="s">
        <v>1085</v>
      </c>
      <c r="BY2" s="143" t="s">
        <v>1086</v>
      </c>
      <c r="BZ2" s="143" t="s">
        <v>1087</v>
      </c>
      <c r="CA2" s="143" t="s">
        <v>1088</v>
      </c>
      <c r="CB2" s="143" t="s">
        <v>1089</v>
      </c>
      <c r="CC2" s="143" t="s">
        <v>1090</v>
      </c>
      <c r="CD2" s="143" t="s">
        <v>1091</v>
      </c>
      <c r="CE2" s="144" t="s">
        <v>1154</v>
      </c>
      <c r="CF2" s="142" t="s">
        <v>1084</v>
      </c>
      <c r="CG2" s="143" t="s">
        <v>1085</v>
      </c>
      <c r="CH2" s="143" t="s">
        <v>1086</v>
      </c>
      <c r="CI2" s="143" t="s">
        <v>1087</v>
      </c>
      <c r="CJ2" s="143" t="s">
        <v>1088</v>
      </c>
      <c r="CK2" s="143" t="s">
        <v>1089</v>
      </c>
      <c r="CL2" s="143" t="s">
        <v>1090</v>
      </c>
      <c r="CM2" s="143" t="s">
        <v>1091</v>
      </c>
      <c r="CN2" s="144" t="s">
        <v>1154</v>
      </c>
      <c r="CO2" s="142" t="s">
        <v>1084</v>
      </c>
      <c r="CP2" s="143" t="s">
        <v>1085</v>
      </c>
      <c r="CQ2" s="143" t="s">
        <v>1086</v>
      </c>
      <c r="CR2" s="143" t="s">
        <v>1087</v>
      </c>
      <c r="CS2" s="143" t="s">
        <v>1088</v>
      </c>
      <c r="CT2" s="143" t="s">
        <v>1089</v>
      </c>
      <c r="CU2" s="143" t="s">
        <v>1090</v>
      </c>
      <c r="CV2" s="143" t="s">
        <v>1091</v>
      </c>
      <c r="CW2" s="144" t="s">
        <v>1154</v>
      </c>
      <c r="CX2" s="142" t="s">
        <v>1084</v>
      </c>
      <c r="CY2" s="143" t="s">
        <v>1085</v>
      </c>
      <c r="CZ2" s="143" t="s">
        <v>1086</v>
      </c>
      <c r="DA2" s="143" t="s">
        <v>1087</v>
      </c>
      <c r="DB2" s="143" t="s">
        <v>1088</v>
      </c>
      <c r="DC2" s="143" t="s">
        <v>1089</v>
      </c>
      <c r="DD2" s="143" t="s">
        <v>1090</v>
      </c>
      <c r="DE2" s="143" t="s">
        <v>1091</v>
      </c>
      <c r="DF2" s="144" t="s">
        <v>1154</v>
      </c>
      <c r="DG2" s="142" t="s">
        <v>1084</v>
      </c>
      <c r="DH2" s="143" t="s">
        <v>1085</v>
      </c>
      <c r="DI2" s="143" t="s">
        <v>1086</v>
      </c>
      <c r="DJ2" s="143" t="s">
        <v>1087</v>
      </c>
      <c r="DK2" s="143" t="s">
        <v>1088</v>
      </c>
      <c r="DL2" s="143" t="s">
        <v>1089</v>
      </c>
      <c r="DM2" s="143" t="s">
        <v>1090</v>
      </c>
      <c r="DN2" s="143" t="s">
        <v>1091</v>
      </c>
      <c r="DO2" s="144" t="s">
        <v>1154</v>
      </c>
      <c r="DP2" s="142" t="s">
        <v>1084</v>
      </c>
      <c r="DQ2" s="143" t="s">
        <v>1085</v>
      </c>
      <c r="DR2" s="143" t="s">
        <v>1086</v>
      </c>
      <c r="DS2" s="143" t="s">
        <v>1087</v>
      </c>
      <c r="DT2" s="143" t="s">
        <v>1088</v>
      </c>
      <c r="DU2" s="143" t="s">
        <v>1089</v>
      </c>
      <c r="DV2" s="143" t="s">
        <v>1090</v>
      </c>
      <c r="DW2" s="143" t="s">
        <v>1091</v>
      </c>
      <c r="DX2" s="144" t="s">
        <v>1154</v>
      </c>
      <c r="DY2" s="142" t="s">
        <v>1084</v>
      </c>
      <c r="DZ2" s="143" t="s">
        <v>1085</v>
      </c>
      <c r="EA2" s="143" t="s">
        <v>1086</v>
      </c>
      <c r="EB2" s="143" t="s">
        <v>1087</v>
      </c>
      <c r="EC2" s="143" t="s">
        <v>1088</v>
      </c>
      <c r="ED2" s="143" t="s">
        <v>1089</v>
      </c>
      <c r="EE2" s="143" t="s">
        <v>1090</v>
      </c>
      <c r="EF2" s="143" t="s">
        <v>1091</v>
      </c>
      <c r="EG2" s="144" t="s">
        <v>1154</v>
      </c>
      <c r="EH2" s="142" t="s">
        <v>1084</v>
      </c>
      <c r="EI2" s="143" t="s">
        <v>1085</v>
      </c>
      <c r="EJ2" s="143" t="s">
        <v>1086</v>
      </c>
      <c r="EK2" s="143" t="s">
        <v>1087</v>
      </c>
      <c r="EL2" s="143" t="s">
        <v>1088</v>
      </c>
      <c r="EM2" s="143" t="s">
        <v>1089</v>
      </c>
      <c r="EN2" s="143" t="s">
        <v>1090</v>
      </c>
      <c r="EO2" s="143" t="s">
        <v>1091</v>
      </c>
      <c r="EP2" s="144" t="s">
        <v>1154</v>
      </c>
      <c r="EQ2" s="142" t="s">
        <v>1084</v>
      </c>
      <c r="ER2" s="143" t="s">
        <v>1085</v>
      </c>
      <c r="ES2" s="143" t="s">
        <v>1086</v>
      </c>
      <c r="ET2" s="143" t="s">
        <v>1087</v>
      </c>
      <c r="EU2" s="143" t="s">
        <v>1088</v>
      </c>
      <c r="EV2" s="143" t="s">
        <v>1089</v>
      </c>
      <c r="EW2" s="143" t="s">
        <v>1090</v>
      </c>
      <c r="EX2" s="143" t="s">
        <v>1091</v>
      </c>
      <c r="EY2" s="144" t="s">
        <v>1154</v>
      </c>
      <c r="EZ2" s="142" t="s">
        <v>1084</v>
      </c>
      <c r="FA2" s="143" t="s">
        <v>1085</v>
      </c>
      <c r="FB2" s="143" t="s">
        <v>1086</v>
      </c>
      <c r="FC2" s="143" t="s">
        <v>1087</v>
      </c>
      <c r="FD2" s="143" t="s">
        <v>1088</v>
      </c>
      <c r="FE2" s="143" t="s">
        <v>1089</v>
      </c>
      <c r="FF2" s="143" t="s">
        <v>1090</v>
      </c>
      <c r="FG2" s="143" t="s">
        <v>1091</v>
      </c>
      <c r="FH2" s="144" t="s">
        <v>1154</v>
      </c>
      <c r="FI2" s="142" t="s">
        <v>1084</v>
      </c>
      <c r="FJ2" s="143" t="s">
        <v>1085</v>
      </c>
      <c r="FK2" s="143" t="s">
        <v>1086</v>
      </c>
      <c r="FL2" s="143" t="s">
        <v>1087</v>
      </c>
      <c r="FM2" s="143" t="s">
        <v>1088</v>
      </c>
      <c r="FN2" s="143" t="s">
        <v>1089</v>
      </c>
      <c r="FO2" s="143" t="s">
        <v>1090</v>
      </c>
      <c r="FP2" s="143" t="s">
        <v>1091</v>
      </c>
      <c r="FQ2" s="144" t="s">
        <v>1154</v>
      </c>
      <c r="FR2" s="142" t="s">
        <v>1084</v>
      </c>
      <c r="FS2" s="143" t="s">
        <v>1085</v>
      </c>
      <c r="FT2" s="143" t="s">
        <v>1086</v>
      </c>
      <c r="FU2" s="143" t="s">
        <v>1087</v>
      </c>
      <c r="FV2" s="143" t="s">
        <v>1088</v>
      </c>
      <c r="FW2" s="143" t="s">
        <v>1089</v>
      </c>
      <c r="FX2" s="143" t="s">
        <v>1090</v>
      </c>
      <c r="FY2" s="143" t="s">
        <v>1091</v>
      </c>
      <c r="FZ2" s="144" t="s">
        <v>1154</v>
      </c>
      <c r="GA2" s="142" t="s">
        <v>1084</v>
      </c>
      <c r="GB2" s="143" t="s">
        <v>1085</v>
      </c>
      <c r="GC2" s="143" t="s">
        <v>1086</v>
      </c>
      <c r="GD2" s="143" t="s">
        <v>1087</v>
      </c>
      <c r="GE2" s="143" t="s">
        <v>1088</v>
      </c>
      <c r="GF2" s="143" t="s">
        <v>1089</v>
      </c>
      <c r="GG2" s="143" t="s">
        <v>1090</v>
      </c>
      <c r="GH2" s="143" t="s">
        <v>1091</v>
      </c>
      <c r="GI2" s="144" t="s">
        <v>1154</v>
      </c>
      <c r="GJ2" s="142" t="s">
        <v>1084</v>
      </c>
      <c r="GK2" s="143" t="s">
        <v>1085</v>
      </c>
      <c r="GL2" s="143" t="s">
        <v>1086</v>
      </c>
      <c r="GM2" s="143" t="s">
        <v>1087</v>
      </c>
      <c r="GN2" s="143" t="s">
        <v>1088</v>
      </c>
      <c r="GO2" s="143" t="s">
        <v>1089</v>
      </c>
      <c r="GP2" s="143" t="s">
        <v>1090</v>
      </c>
      <c r="GQ2" s="143" t="s">
        <v>1091</v>
      </c>
      <c r="GR2" s="144" t="s">
        <v>1154</v>
      </c>
      <c r="GS2" s="142" t="s">
        <v>1084</v>
      </c>
      <c r="GT2" s="143" t="s">
        <v>1085</v>
      </c>
      <c r="GU2" s="143" t="s">
        <v>1086</v>
      </c>
      <c r="GV2" s="143" t="s">
        <v>1087</v>
      </c>
      <c r="GW2" s="143" t="s">
        <v>1088</v>
      </c>
      <c r="GX2" s="143" t="s">
        <v>1089</v>
      </c>
      <c r="GY2" s="143" t="s">
        <v>1090</v>
      </c>
      <c r="GZ2" s="143" t="s">
        <v>1091</v>
      </c>
      <c r="HA2" s="144" t="s">
        <v>1154</v>
      </c>
      <c r="HB2" s="142" t="s">
        <v>1084</v>
      </c>
      <c r="HC2" s="143" t="s">
        <v>1085</v>
      </c>
      <c r="HD2" s="143" t="s">
        <v>1086</v>
      </c>
      <c r="HE2" s="143" t="s">
        <v>1087</v>
      </c>
      <c r="HF2" s="143" t="s">
        <v>1088</v>
      </c>
      <c r="HG2" s="143" t="s">
        <v>1089</v>
      </c>
      <c r="HH2" s="143" t="s">
        <v>1090</v>
      </c>
      <c r="HI2" s="143" t="s">
        <v>1091</v>
      </c>
      <c r="HJ2" s="144" t="s">
        <v>1154</v>
      </c>
      <c r="HK2" s="142" t="s">
        <v>1084</v>
      </c>
      <c r="HL2" s="143" t="s">
        <v>1085</v>
      </c>
      <c r="HM2" s="143" t="s">
        <v>1086</v>
      </c>
      <c r="HN2" s="143" t="s">
        <v>1087</v>
      </c>
      <c r="HO2" s="143" t="s">
        <v>1088</v>
      </c>
      <c r="HP2" s="143" t="s">
        <v>1089</v>
      </c>
      <c r="HQ2" s="143" t="s">
        <v>1090</v>
      </c>
      <c r="HR2" s="143" t="s">
        <v>1091</v>
      </c>
      <c r="HS2" s="144" t="s">
        <v>1154</v>
      </c>
      <c r="HT2" s="142" t="s">
        <v>1084</v>
      </c>
      <c r="HU2" s="143" t="s">
        <v>1085</v>
      </c>
      <c r="HV2" s="143" t="s">
        <v>1086</v>
      </c>
      <c r="HW2" s="143" t="s">
        <v>1087</v>
      </c>
      <c r="HX2" s="143" t="s">
        <v>1088</v>
      </c>
      <c r="HY2" s="143" t="s">
        <v>1089</v>
      </c>
      <c r="HZ2" s="143" t="s">
        <v>1090</v>
      </c>
      <c r="IA2" s="143" t="s">
        <v>1091</v>
      </c>
      <c r="IB2" s="144" t="s">
        <v>1154</v>
      </c>
      <c r="IC2" s="142" t="s">
        <v>1084</v>
      </c>
      <c r="ID2" s="143" t="s">
        <v>1085</v>
      </c>
      <c r="IE2" s="143" t="s">
        <v>1086</v>
      </c>
      <c r="IF2" s="143" t="s">
        <v>1087</v>
      </c>
      <c r="IG2" s="143" t="s">
        <v>1088</v>
      </c>
      <c r="IH2" s="143" t="s">
        <v>1089</v>
      </c>
      <c r="II2" s="143" t="s">
        <v>1090</v>
      </c>
      <c r="IJ2" s="143" t="s">
        <v>1091</v>
      </c>
      <c r="IK2" s="144" t="s">
        <v>1154</v>
      </c>
    </row>
    <row r="3" spans="1:245" ht="12.75" customHeight="1" x14ac:dyDescent="0.2">
      <c r="A3" s="960" t="s">
        <v>573</v>
      </c>
      <c r="B3" s="146" t="s">
        <v>574</v>
      </c>
      <c r="C3" s="285">
        <v>78</v>
      </c>
      <c r="D3" s="161">
        <v>88</v>
      </c>
      <c r="E3" s="161">
        <v>46</v>
      </c>
      <c r="F3" s="161">
        <v>45</v>
      </c>
      <c r="G3" s="162">
        <v>41</v>
      </c>
      <c r="H3" s="162">
        <v>31</v>
      </c>
      <c r="I3" s="281">
        <v>43</v>
      </c>
      <c r="J3" s="281">
        <v>34</v>
      </c>
      <c r="K3" s="163"/>
      <c r="L3" s="147">
        <v>31</v>
      </c>
      <c r="M3" s="148">
        <v>30</v>
      </c>
      <c r="N3" s="148">
        <v>25</v>
      </c>
      <c r="O3" s="148">
        <v>23</v>
      </c>
      <c r="P3" s="149">
        <v>25</v>
      </c>
      <c r="Q3" s="149">
        <v>18</v>
      </c>
      <c r="R3" s="278">
        <v>20</v>
      </c>
      <c r="S3" s="281">
        <v>15</v>
      </c>
      <c r="T3" s="150"/>
      <c r="U3" s="147">
        <v>37</v>
      </c>
      <c r="V3" s="148">
        <v>33</v>
      </c>
      <c r="W3" s="148">
        <v>17</v>
      </c>
      <c r="X3" s="148">
        <v>22</v>
      </c>
      <c r="Y3" s="149">
        <v>16</v>
      </c>
      <c r="Z3" s="149">
        <v>9</v>
      </c>
      <c r="AA3" s="278">
        <v>17</v>
      </c>
      <c r="AB3" s="281">
        <v>16</v>
      </c>
      <c r="AC3" s="150"/>
      <c r="AD3" s="147">
        <v>157</v>
      </c>
      <c r="AE3" s="148">
        <v>127</v>
      </c>
      <c r="AF3" s="148">
        <v>105</v>
      </c>
      <c r="AG3" s="148">
        <v>59</v>
      </c>
      <c r="AH3" s="149">
        <v>75</v>
      </c>
      <c r="AI3" s="149">
        <v>80</v>
      </c>
      <c r="AJ3" s="278">
        <v>88</v>
      </c>
      <c r="AK3" s="281">
        <v>91</v>
      </c>
      <c r="AL3" s="150"/>
      <c r="AM3" s="147">
        <v>139</v>
      </c>
      <c r="AN3" s="148">
        <v>111</v>
      </c>
      <c r="AO3" s="148">
        <v>88</v>
      </c>
      <c r="AP3" s="148">
        <v>54</v>
      </c>
      <c r="AQ3" s="149">
        <v>67</v>
      </c>
      <c r="AR3" s="149">
        <v>71</v>
      </c>
      <c r="AS3" s="278">
        <v>81</v>
      </c>
      <c r="AT3" s="281">
        <v>78</v>
      </c>
      <c r="AU3" s="150"/>
      <c r="AV3" s="147">
        <v>8</v>
      </c>
      <c r="AW3" s="148">
        <v>8</v>
      </c>
      <c r="AX3" s="148">
        <v>3</v>
      </c>
      <c r="AY3" s="148">
        <v>3</v>
      </c>
      <c r="AZ3" s="149">
        <v>4</v>
      </c>
      <c r="BA3" s="149">
        <v>1</v>
      </c>
      <c r="BB3" s="278">
        <v>6</v>
      </c>
      <c r="BC3" s="281">
        <v>3</v>
      </c>
      <c r="BD3" s="150"/>
      <c r="BE3" s="147">
        <v>38</v>
      </c>
      <c r="BF3" s="148">
        <v>47</v>
      </c>
      <c r="BG3" s="148">
        <v>13</v>
      </c>
      <c r="BH3" s="148">
        <v>18</v>
      </c>
      <c r="BI3" s="149">
        <v>60</v>
      </c>
      <c r="BJ3" s="149">
        <v>8</v>
      </c>
      <c r="BK3" s="278">
        <v>3</v>
      </c>
      <c r="BL3" s="281">
        <v>34</v>
      </c>
      <c r="BM3" s="150"/>
      <c r="BN3" s="147"/>
      <c r="BO3" s="148">
        <v>1</v>
      </c>
      <c r="BP3" s="148"/>
      <c r="BQ3" s="148"/>
      <c r="BR3" s="149">
        <v>1</v>
      </c>
      <c r="BS3" s="149">
        <v>31</v>
      </c>
      <c r="BT3" s="278">
        <v>25</v>
      </c>
      <c r="BU3" s="281">
        <v>21</v>
      </c>
      <c r="BV3" s="150"/>
      <c r="BW3" s="147">
        <v>51</v>
      </c>
      <c r="BX3" s="148">
        <v>35</v>
      </c>
      <c r="BY3" s="148">
        <v>21</v>
      </c>
      <c r="BZ3" s="148">
        <v>14</v>
      </c>
      <c r="CA3" s="149">
        <v>18</v>
      </c>
      <c r="CB3" s="149">
        <v>26</v>
      </c>
      <c r="CC3" s="278">
        <v>28</v>
      </c>
      <c r="CD3" s="281">
        <v>17</v>
      </c>
      <c r="CE3" s="150"/>
      <c r="CF3" s="147">
        <v>2</v>
      </c>
      <c r="CG3" s="148">
        <v>2</v>
      </c>
      <c r="CH3" s="148">
        <v>2</v>
      </c>
      <c r="CI3" s="148"/>
      <c r="CJ3" s="149">
        <v>1</v>
      </c>
      <c r="CK3" s="149">
        <v>2</v>
      </c>
      <c r="CL3" s="278">
        <v>3</v>
      </c>
      <c r="CM3" s="281">
        <v>1</v>
      </c>
      <c r="CN3" s="150"/>
      <c r="CO3" s="147">
        <v>37</v>
      </c>
      <c r="CP3" s="148">
        <v>53</v>
      </c>
      <c r="CQ3" s="148">
        <v>84</v>
      </c>
      <c r="CR3" s="148">
        <v>24</v>
      </c>
      <c r="CS3" s="149">
        <v>18</v>
      </c>
      <c r="CT3" s="149">
        <v>38</v>
      </c>
      <c r="CU3" s="278">
        <v>27</v>
      </c>
      <c r="CV3" s="281">
        <v>21</v>
      </c>
      <c r="CW3" s="150"/>
      <c r="CX3" s="147">
        <v>23080</v>
      </c>
      <c r="CY3" s="148">
        <v>9439</v>
      </c>
      <c r="CZ3" s="148">
        <v>10368</v>
      </c>
      <c r="DA3" s="148">
        <v>1110</v>
      </c>
      <c r="DB3" s="149">
        <v>78</v>
      </c>
      <c r="DC3" s="149">
        <v>53</v>
      </c>
      <c r="DD3" s="278">
        <v>85</v>
      </c>
      <c r="DE3" s="281">
        <v>36</v>
      </c>
      <c r="DF3" s="150"/>
      <c r="DG3" s="147">
        <v>2791</v>
      </c>
      <c r="DH3" s="148">
        <v>2161</v>
      </c>
      <c r="DI3" s="148">
        <v>3266</v>
      </c>
      <c r="DJ3" s="148">
        <v>40</v>
      </c>
      <c r="DK3" s="149">
        <v>16</v>
      </c>
      <c r="DL3" s="149">
        <v>15</v>
      </c>
      <c r="DM3" s="278">
        <v>15</v>
      </c>
      <c r="DN3" s="281">
        <v>10</v>
      </c>
      <c r="DO3" s="150"/>
      <c r="DP3" s="147">
        <v>5217</v>
      </c>
      <c r="DQ3" s="148">
        <v>92</v>
      </c>
      <c r="DR3" s="148">
        <v>15</v>
      </c>
      <c r="DS3" s="148">
        <v>43</v>
      </c>
      <c r="DT3" s="149">
        <v>4</v>
      </c>
      <c r="DU3" s="149">
        <v>1</v>
      </c>
      <c r="DV3" s="278">
        <v>7</v>
      </c>
      <c r="DW3" s="281">
        <v>1</v>
      </c>
      <c r="DX3" s="150"/>
      <c r="DY3" s="147">
        <v>4468</v>
      </c>
      <c r="DZ3" s="148">
        <v>64</v>
      </c>
      <c r="EA3" s="148">
        <v>28</v>
      </c>
      <c r="EB3" s="148">
        <v>20</v>
      </c>
      <c r="EC3" s="149">
        <v>8</v>
      </c>
      <c r="ED3" s="149">
        <v>3</v>
      </c>
      <c r="EE3" s="278">
        <v>22</v>
      </c>
      <c r="EF3" s="281">
        <v>2</v>
      </c>
      <c r="EG3" s="150"/>
      <c r="EH3" s="147">
        <v>1211</v>
      </c>
      <c r="EI3" s="148">
        <v>233</v>
      </c>
      <c r="EJ3" s="148">
        <v>160</v>
      </c>
      <c r="EK3" s="148">
        <v>62</v>
      </c>
      <c r="EL3" s="149">
        <v>53</v>
      </c>
      <c r="EM3" s="149">
        <v>102</v>
      </c>
      <c r="EN3" s="278">
        <v>38</v>
      </c>
      <c r="EO3" s="281">
        <v>17</v>
      </c>
      <c r="EP3" s="150"/>
      <c r="EQ3" s="147">
        <v>61</v>
      </c>
      <c r="ER3" s="148">
        <v>12</v>
      </c>
      <c r="ES3" s="148">
        <v>8</v>
      </c>
      <c r="ET3" s="148">
        <v>1</v>
      </c>
      <c r="EU3" s="149">
        <v>11</v>
      </c>
      <c r="EV3" s="149">
        <v>2</v>
      </c>
      <c r="EW3" s="278">
        <v>4</v>
      </c>
      <c r="EX3" s="281">
        <v>2</v>
      </c>
      <c r="EY3" s="150"/>
      <c r="EZ3" s="147">
        <v>22</v>
      </c>
      <c r="FA3" s="148">
        <v>22</v>
      </c>
      <c r="FB3" s="148">
        <v>12</v>
      </c>
      <c r="FC3" s="148">
        <v>9</v>
      </c>
      <c r="FD3" s="149">
        <v>4</v>
      </c>
      <c r="FE3" s="149">
        <v>6</v>
      </c>
      <c r="FF3" s="278">
        <v>6</v>
      </c>
      <c r="FG3" s="281">
        <v>8</v>
      </c>
      <c r="FH3" s="150"/>
      <c r="FI3" s="147">
        <v>1245</v>
      </c>
      <c r="FJ3" s="148">
        <v>102</v>
      </c>
      <c r="FK3" s="148">
        <v>62</v>
      </c>
      <c r="FL3" s="148">
        <v>22</v>
      </c>
      <c r="FM3" s="149">
        <v>58</v>
      </c>
      <c r="FN3" s="149">
        <v>16</v>
      </c>
      <c r="FO3" s="278">
        <v>22</v>
      </c>
      <c r="FP3" s="281">
        <v>19</v>
      </c>
      <c r="FQ3" s="150"/>
      <c r="FR3" s="147">
        <v>63</v>
      </c>
      <c r="FS3" s="148">
        <v>30</v>
      </c>
      <c r="FT3" s="148">
        <v>39</v>
      </c>
      <c r="FU3" s="148">
        <v>30</v>
      </c>
      <c r="FV3" s="149">
        <v>17</v>
      </c>
      <c r="FW3" s="149">
        <v>15</v>
      </c>
      <c r="FX3" s="278">
        <v>15</v>
      </c>
      <c r="FY3" s="281">
        <v>4</v>
      </c>
      <c r="FZ3" s="150"/>
      <c r="GA3" s="147">
        <v>770</v>
      </c>
      <c r="GB3" s="148">
        <v>225</v>
      </c>
      <c r="GC3" s="148">
        <v>10</v>
      </c>
      <c r="GD3" s="148">
        <v>6</v>
      </c>
      <c r="GE3" s="149">
        <v>4</v>
      </c>
      <c r="GF3" s="149">
        <v>1</v>
      </c>
      <c r="GG3" s="278">
        <v>3</v>
      </c>
      <c r="GH3" s="281">
        <v>2</v>
      </c>
      <c r="GI3" s="150"/>
      <c r="GJ3" s="147">
        <v>26815</v>
      </c>
      <c r="GK3" s="148">
        <v>10416</v>
      </c>
      <c r="GL3" s="148">
        <v>10930</v>
      </c>
      <c r="GM3" s="148">
        <v>1400</v>
      </c>
      <c r="GN3" s="149">
        <v>439</v>
      </c>
      <c r="GO3" s="149">
        <v>411</v>
      </c>
      <c r="GP3" s="278">
        <v>390</v>
      </c>
      <c r="GQ3" s="281">
        <v>307</v>
      </c>
      <c r="GR3" s="150"/>
      <c r="GS3" s="147">
        <v>17103</v>
      </c>
      <c r="GT3" s="148">
        <v>8744</v>
      </c>
      <c r="GU3" s="148">
        <v>9228</v>
      </c>
      <c r="GV3" s="148">
        <v>921</v>
      </c>
      <c r="GW3" s="149">
        <v>180</v>
      </c>
      <c r="GX3" s="149">
        <v>106</v>
      </c>
      <c r="GY3" s="278">
        <v>152</v>
      </c>
      <c r="GZ3" s="281">
        <v>133</v>
      </c>
      <c r="HA3" s="150"/>
      <c r="HB3" s="147">
        <v>239</v>
      </c>
      <c r="HC3" s="148">
        <v>202</v>
      </c>
      <c r="HD3" s="148">
        <v>215</v>
      </c>
      <c r="HE3" s="148">
        <v>159</v>
      </c>
      <c r="HF3" s="149">
        <v>88</v>
      </c>
      <c r="HG3" s="149">
        <v>59</v>
      </c>
      <c r="HH3" s="278">
        <v>60</v>
      </c>
      <c r="HI3" s="281">
        <v>32</v>
      </c>
      <c r="HJ3" s="150"/>
      <c r="HK3" s="147">
        <v>86</v>
      </c>
      <c r="HL3" s="148">
        <v>84</v>
      </c>
      <c r="HM3" s="148">
        <v>41</v>
      </c>
      <c r="HN3" s="148">
        <v>22</v>
      </c>
      <c r="HO3" s="149">
        <v>29</v>
      </c>
      <c r="HP3" s="149">
        <v>20</v>
      </c>
      <c r="HQ3" s="278">
        <v>13</v>
      </c>
      <c r="HR3" s="281">
        <v>23</v>
      </c>
      <c r="HS3" s="150"/>
      <c r="HT3" s="147">
        <v>18480</v>
      </c>
      <c r="HU3" s="148">
        <v>10071</v>
      </c>
      <c r="HV3" s="148">
        <v>10479</v>
      </c>
      <c r="HW3" s="148">
        <v>2636</v>
      </c>
      <c r="HX3" s="149">
        <v>1084</v>
      </c>
      <c r="HY3" s="149">
        <v>849</v>
      </c>
      <c r="HZ3" s="278">
        <v>1050</v>
      </c>
      <c r="IA3" s="281">
        <v>915</v>
      </c>
      <c r="IB3" s="150"/>
      <c r="IC3" s="285">
        <v>36277</v>
      </c>
      <c r="ID3" s="161">
        <v>12932</v>
      </c>
      <c r="IE3" s="161">
        <v>17783</v>
      </c>
      <c r="IF3" s="161">
        <v>6257</v>
      </c>
      <c r="IG3" s="162">
        <v>7523</v>
      </c>
      <c r="IH3" s="162">
        <v>1895</v>
      </c>
      <c r="II3" s="281">
        <v>2111</v>
      </c>
      <c r="IJ3" s="281">
        <v>4008</v>
      </c>
      <c r="IK3" s="163"/>
    </row>
    <row r="4" spans="1:245" x14ac:dyDescent="0.2">
      <c r="A4" s="961"/>
      <c r="B4" s="151" t="s">
        <v>629</v>
      </c>
      <c r="C4" s="152"/>
      <c r="D4" s="153"/>
      <c r="E4" s="153"/>
      <c r="F4" s="153"/>
      <c r="G4" s="154"/>
      <c r="H4" s="154"/>
      <c r="I4" s="279"/>
      <c r="J4" s="279"/>
      <c r="K4" s="155"/>
      <c r="L4" s="152"/>
      <c r="M4" s="153"/>
      <c r="N4" s="153"/>
      <c r="O4" s="153"/>
      <c r="P4" s="154"/>
      <c r="Q4" s="154"/>
      <c r="R4" s="279"/>
      <c r="S4" s="279"/>
      <c r="T4" s="155"/>
      <c r="U4" s="152"/>
      <c r="V4" s="153"/>
      <c r="W4" s="153"/>
      <c r="X4" s="153"/>
      <c r="Y4" s="154"/>
      <c r="Z4" s="154"/>
      <c r="AA4" s="279"/>
      <c r="AB4" s="279"/>
      <c r="AC4" s="155"/>
      <c r="AD4" s="152">
        <v>20</v>
      </c>
      <c r="AE4" s="153">
        <v>27</v>
      </c>
      <c r="AF4" s="153">
        <v>38</v>
      </c>
      <c r="AG4" s="153">
        <v>41</v>
      </c>
      <c r="AH4" s="154">
        <v>22</v>
      </c>
      <c r="AI4" s="154">
        <v>20</v>
      </c>
      <c r="AJ4" s="279">
        <v>19</v>
      </c>
      <c r="AK4" s="279">
        <v>29</v>
      </c>
      <c r="AL4" s="155"/>
      <c r="AM4" s="152">
        <v>15</v>
      </c>
      <c r="AN4" s="153">
        <v>17</v>
      </c>
      <c r="AO4" s="153">
        <v>21</v>
      </c>
      <c r="AP4" s="153">
        <v>25</v>
      </c>
      <c r="AQ4" s="154">
        <v>15</v>
      </c>
      <c r="AR4" s="154">
        <v>14</v>
      </c>
      <c r="AS4" s="279">
        <v>13</v>
      </c>
      <c r="AT4" s="279">
        <v>19</v>
      </c>
      <c r="AU4" s="155"/>
      <c r="AV4" s="152"/>
      <c r="AW4" s="153"/>
      <c r="AX4" s="153"/>
      <c r="AY4" s="153"/>
      <c r="AZ4" s="154"/>
      <c r="BA4" s="154"/>
      <c r="BB4" s="279"/>
      <c r="BC4" s="279"/>
      <c r="BD4" s="155"/>
      <c r="BE4" s="152">
        <v>1</v>
      </c>
      <c r="BF4" s="153"/>
      <c r="BG4" s="153"/>
      <c r="BH4" s="153">
        <v>1</v>
      </c>
      <c r="BI4" s="154"/>
      <c r="BJ4" s="154"/>
      <c r="BK4" s="279"/>
      <c r="BL4" s="279">
        <v>1</v>
      </c>
      <c r="BM4" s="155"/>
      <c r="BN4" s="152"/>
      <c r="BO4" s="153"/>
      <c r="BP4" s="153"/>
      <c r="BQ4" s="153"/>
      <c r="BR4" s="154"/>
      <c r="BS4" s="154">
        <v>1</v>
      </c>
      <c r="BT4" s="279"/>
      <c r="BU4" s="279"/>
      <c r="BV4" s="155"/>
      <c r="BW4" s="152">
        <v>24</v>
      </c>
      <c r="BX4" s="153">
        <v>24</v>
      </c>
      <c r="BY4" s="153">
        <v>41</v>
      </c>
      <c r="BZ4" s="153">
        <v>63</v>
      </c>
      <c r="CA4" s="154">
        <v>24</v>
      </c>
      <c r="CB4" s="154">
        <v>53</v>
      </c>
      <c r="CC4" s="279">
        <v>37</v>
      </c>
      <c r="CD4" s="279">
        <v>46</v>
      </c>
      <c r="CE4" s="155"/>
      <c r="CF4" s="152">
        <v>1</v>
      </c>
      <c r="CG4" s="153"/>
      <c r="CH4" s="153"/>
      <c r="CI4" s="153">
        <v>2</v>
      </c>
      <c r="CJ4" s="154"/>
      <c r="CK4" s="154"/>
      <c r="CL4" s="279"/>
      <c r="CM4" s="279">
        <v>2</v>
      </c>
      <c r="CN4" s="155"/>
      <c r="CO4" s="152"/>
      <c r="CP4" s="153"/>
      <c r="CQ4" s="153"/>
      <c r="CR4" s="153"/>
      <c r="CS4" s="154">
        <v>2</v>
      </c>
      <c r="CT4" s="154">
        <v>2</v>
      </c>
      <c r="CU4" s="279"/>
      <c r="CV4" s="279">
        <v>3</v>
      </c>
      <c r="CW4" s="155"/>
      <c r="CX4" s="152">
        <v>408</v>
      </c>
      <c r="CY4" s="153">
        <v>713</v>
      </c>
      <c r="CZ4" s="153">
        <v>679</v>
      </c>
      <c r="DA4" s="153">
        <v>755</v>
      </c>
      <c r="DB4" s="154">
        <v>577</v>
      </c>
      <c r="DC4" s="154">
        <v>452</v>
      </c>
      <c r="DD4" s="279">
        <v>391</v>
      </c>
      <c r="DE4" s="279">
        <v>308</v>
      </c>
      <c r="DF4" s="155"/>
      <c r="DG4" s="152">
        <v>6</v>
      </c>
      <c r="DH4" s="153">
        <v>31</v>
      </c>
      <c r="DI4" s="153">
        <v>6</v>
      </c>
      <c r="DJ4" s="153">
        <v>62</v>
      </c>
      <c r="DK4" s="154">
        <v>54</v>
      </c>
      <c r="DL4" s="154">
        <v>63</v>
      </c>
      <c r="DM4" s="279">
        <v>35</v>
      </c>
      <c r="DN4" s="279">
        <v>33</v>
      </c>
      <c r="DO4" s="155"/>
      <c r="DP4" s="152">
        <v>10</v>
      </c>
      <c r="DQ4" s="153">
        <v>146</v>
      </c>
      <c r="DR4" s="153">
        <v>100</v>
      </c>
      <c r="DS4" s="153">
        <v>128</v>
      </c>
      <c r="DT4" s="154">
        <v>86</v>
      </c>
      <c r="DU4" s="154">
        <v>62</v>
      </c>
      <c r="DV4" s="279">
        <v>60</v>
      </c>
      <c r="DW4" s="279">
        <v>23</v>
      </c>
      <c r="DX4" s="155"/>
      <c r="DY4" s="152">
        <v>17</v>
      </c>
      <c r="DZ4" s="153">
        <v>83</v>
      </c>
      <c r="EA4" s="153">
        <v>125</v>
      </c>
      <c r="EB4" s="153">
        <v>151</v>
      </c>
      <c r="EC4" s="154">
        <v>126</v>
      </c>
      <c r="ED4" s="154">
        <v>103</v>
      </c>
      <c r="EE4" s="279">
        <v>85</v>
      </c>
      <c r="EF4" s="279">
        <v>56</v>
      </c>
      <c r="EG4" s="155"/>
      <c r="EH4" s="152"/>
      <c r="EI4" s="153">
        <v>17</v>
      </c>
      <c r="EJ4" s="153">
        <v>10</v>
      </c>
      <c r="EK4" s="153">
        <v>12</v>
      </c>
      <c r="EL4" s="154">
        <v>10</v>
      </c>
      <c r="EM4" s="154">
        <v>7</v>
      </c>
      <c r="EN4" s="279">
        <v>3</v>
      </c>
      <c r="EO4" s="279">
        <v>1</v>
      </c>
      <c r="EP4" s="155"/>
      <c r="EQ4" s="152">
        <v>1</v>
      </c>
      <c r="ER4" s="153">
        <v>22</v>
      </c>
      <c r="ES4" s="153">
        <v>36</v>
      </c>
      <c r="ET4" s="153">
        <v>17</v>
      </c>
      <c r="EU4" s="154">
        <v>21</v>
      </c>
      <c r="EV4" s="154">
        <v>9</v>
      </c>
      <c r="EW4" s="279">
        <v>12</v>
      </c>
      <c r="EX4" s="279">
        <v>12</v>
      </c>
      <c r="EY4" s="155"/>
      <c r="EZ4" s="152">
        <v>2</v>
      </c>
      <c r="FA4" s="153"/>
      <c r="FB4" s="153">
        <v>1</v>
      </c>
      <c r="FC4" s="153">
        <v>6</v>
      </c>
      <c r="FD4" s="154"/>
      <c r="FE4" s="154"/>
      <c r="FF4" s="279"/>
      <c r="FG4" s="279"/>
      <c r="FH4" s="155"/>
      <c r="FI4" s="152">
        <v>69</v>
      </c>
      <c r="FJ4" s="153">
        <v>195</v>
      </c>
      <c r="FK4" s="153">
        <v>150</v>
      </c>
      <c r="FL4" s="153">
        <v>106</v>
      </c>
      <c r="FM4" s="154">
        <v>50</v>
      </c>
      <c r="FN4" s="154">
        <v>51</v>
      </c>
      <c r="FO4" s="279">
        <v>52</v>
      </c>
      <c r="FP4" s="279">
        <v>51</v>
      </c>
      <c r="FQ4" s="155"/>
      <c r="FR4" s="152"/>
      <c r="FS4" s="153"/>
      <c r="FT4" s="153"/>
      <c r="FU4" s="153">
        <v>1</v>
      </c>
      <c r="FV4" s="154"/>
      <c r="FW4" s="154"/>
      <c r="FX4" s="279"/>
      <c r="FY4" s="279"/>
      <c r="FZ4" s="155"/>
      <c r="GA4" s="152">
        <v>2</v>
      </c>
      <c r="GB4" s="153">
        <v>18</v>
      </c>
      <c r="GC4" s="153">
        <v>3</v>
      </c>
      <c r="GD4" s="153">
        <v>13</v>
      </c>
      <c r="GE4" s="154">
        <v>2</v>
      </c>
      <c r="GF4" s="154"/>
      <c r="GG4" s="279"/>
      <c r="GH4" s="279"/>
      <c r="GI4" s="155"/>
      <c r="GJ4" s="152">
        <v>528</v>
      </c>
      <c r="GK4" s="153">
        <v>1016</v>
      </c>
      <c r="GL4" s="153">
        <v>958</v>
      </c>
      <c r="GM4" s="153">
        <v>1017</v>
      </c>
      <c r="GN4" s="154">
        <v>708</v>
      </c>
      <c r="GO4" s="154">
        <v>595</v>
      </c>
      <c r="GP4" s="279">
        <v>514</v>
      </c>
      <c r="GQ4" s="279">
        <v>453</v>
      </c>
      <c r="GR4" s="155"/>
      <c r="GS4" s="152">
        <v>201</v>
      </c>
      <c r="GT4" s="153">
        <v>557</v>
      </c>
      <c r="GU4" s="153">
        <v>507</v>
      </c>
      <c r="GV4" s="153">
        <v>421</v>
      </c>
      <c r="GW4" s="154">
        <v>235</v>
      </c>
      <c r="GX4" s="154">
        <v>248</v>
      </c>
      <c r="GY4" s="279">
        <v>213</v>
      </c>
      <c r="GZ4" s="279">
        <v>164</v>
      </c>
      <c r="HA4" s="155"/>
      <c r="HB4" s="152"/>
      <c r="HC4" s="153">
        <v>1</v>
      </c>
      <c r="HD4" s="153"/>
      <c r="HE4" s="153">
        <v>1</v>
      </c>
      <c r="HF4" s="154">
        <v>6</v>
      </c>
      <c r="HG4" s="154">
        <v>5</v>
      </c>
      <c r="HH4" s="279"/>
      <c r="HI4" s="279">
        <v>1</v>
      </c>
      <c r="HJ4" s="155"/>
      <c r="HK4" s="152"/>
      <c r="HL4" s="153"/>
      <c r="HM4" s="153"/>
      <c r="HN4" s="153"/>
      <c r="HO4" s="154"/>
      <c r="HP4" s="154"/>
      <c r="HQ4" s="279"/>
      <c r="HR4" s="279"/>
      <c r="HS4" s="155"/>
      <c r="HT4" s="152">
        <v>227</v>
      </c>
      <c r="HU4" s="153">
        <v>813</v>
      </c>
      <c r="HV4" s="153">
        <v>654</v>
      </c>
      <c r="HW4" s="153">
        <v>503</v>
      </c>
      <c r="HX4" s="154">
        <v>318</v>
      </c>
      <c r="HY4" s="154">
        <v>331</v>
      </c>
      <c r="HZ4" s="279">
        <v>275</v>
      </c>
      <c r="IA4" s="279">
        <v>247</v>
      </c>
      <c r="IB4" s="155"/>
      <c r="IC4" s="152">
        <v>906</v>
      </c>
      <c r="ID4" s="153">
        <v>1540</v>
      </c>
      <c r="IE4" s="153">
        <v>1314</v>
      </c>
      <c r="IF4" s="153">
        <v>1354</v>
      </c>
      <c r="IG4" s="154">
        <v>962</v>
      </c>
      <c r="IH4" s="154">
        <v>831</v>
      </c>
      <c r="II4" s="279">
        <v>752</v>
      </c>
      <c r="IJ4" s="279">
        <v>761</v>
      </c>
      <c r="IK4" s="155"/>
    </row>
    <row r="5" spans="1:245" x14ac:dyDescent="0.2">
      <c r="A5" s="961"/>
      <c r="B5" s="151" t="s">
        <v>630</v>
      </c>
      <c r="C5" s="152"/>
      <c r="D5" s="153"/>
      <c r="E5" s="153"/>
      <c r="F5" s="153"/>
      <c r="G5" s="154"/>
      <c r="H5" s="154"/>
      <c r="I5" s="279"/>
      <c r="J5" s="279"/>
      <c r="K5" s="155"/>
      <c r="L5" s="152"/>
      <c r="M5" s="153"/>
      <c r="N5" s="153"/>
      <c r="O5" s="153"/>
      <c r="P5" s="154"/>
      <c r="Q5" s="154"/>
      <c r="R5" s="279"/>
      <c r="S5" s="279"/>
      <c r="T5" s="155"/>
      <c r="U5" s="152"/>
      <c r="V5" s="153"/>
      <c r="W5" s="153"/>
      <c r="X5" s="153"/>
      <c r="Y5" s="154"/>
      <c r="Z5" s="154"/>
      <c r="AA5" s="279"/>
      <c r="AB5" s="279"/>
      <c r="AC5" s="155"/>
      <c r="AD5" s="152">
        <v>61</v>
      </c>
      <c r="AE5" s="153">
        <v>48</v>
      </c>
      <c r="AF5" s="153">
        <v>65</v>
      </c>
      <c r="AG5" s="153">
        <v>57</v>
      </c>
      <c r="AH5" s="154">
        <v>90</v>
      </c>
      <c r="AI5" s="154">
        <v>53</v>
      </c>
      <c r="AJ5" s="279">
        <v>44</v>
      </c>
      <c r="AK5" s="279">
        <v>52</v>
      </c>
      <c r="AL5" s="155"/>
      <c r="AM5" s="152">
        <v>40</v>
      </c>
      <c r="AN5" s="153">
        <v>36</v>
      </c>
      <c r="AO5" s="153">
        <v>41</v>
      </c>
      <c r="AP5" s="153">
        <v>28</v>
      </c>
      <c r="AQ5" s="154">
        <v>58</v>
      </c>
      <c r="AR5" s="154">
        <v>28</v>
      </c>
      <c r="AS5" s="279">
        <v>19</v>
      </c>
      <c r="AT5" s="279">
        <v>26</v>
      </c>
      <c r="AU5" s="155"/>
      <c r="AV5" s="152"/>
      <c r="AW5" s="153"/>
      <c r="AX5" s="153"/>
      <c r="AY5" s="153"/>
      <c r="AZ5" s="154"/>
      <c r="BA5" s="154"/>
      <c r="BB5" s="279"/>
      <c r="BC5" s="279"/>
      <c r="BD5" s="155"/>
      <c r="BE5" s="152">
        <v>10</v>
      </c>
      <c r="BF5" s="153">
        <v>3</v>
      </c>
      <c r="BG5" s="153"/>
      <c r="BH5" s="153">
        <v>1</v>
      </c>
      <c r="BI5" s="154"/>
      <c r="BJ5" s="154">
        <v>4</v>
      </c>
      <c r="BK5" s="279">
        <v>6</v>
      </c>
      <c r="BL5" s="279">
        <v>1</v>
      </c>
      <c r="BM5" s="155"/>
      <c r="BN5" s="152"/>
      <c r="BO5" s="153"/>
      <c r="BP5" s="153"/>
      <c r="BQ5" s="153"/>
      <c r="BR5" s="154"/>
      <c r="BS5" s="154"/>
      <c r="BT5" s="279"/>
      <c r="BU5" s="279"/>
      <c r="BV5" s="155"/>
      <c r="BW5" s="152">
        <v>65</v>
      </c>
      <c r="BX5" s="153">
        <v>54</v>
      </c>
      <c r="BY5" s="153">
        <v>65</v>
      </c>
      <c r="BZ5" s="153">
        <v>64</v>
      </c>
      <c r="CA5" s="154">
        <v>106</v>
      </c>
      <c r="CB5" s="154">
        <v>123</v>
      </c>
      <c r="CC5" s="279">
        <v>91</v>
      </c>
      <c r="CD5" s="279">
        <v>102</v>
      </c>
      <c r="CE5" s="155"/>
      <c r="CF5" s="152">
        <v>10</v>
      </c>
      <c r="CG5" s="153">
        <v>4</v>
      </c>
      <c r="CH5" s="153">
        <v>4</v>
      </c>
      <c r="CI5" s="153">
        <v>2</v>
      </c>
      <c r="CJ5" s="154">
        <v>7</v>
      </c>
      <c r="CK5" s="154">
        <v>3</v>
      </c>
      <c r="CL5" s="279"/>
      <c r="CM5" s="279">
        <v>2</v>
      </c>
      <c r="CN5" s="155"/>
      <c r="CO5" s="152">
        <v>1</v>
      </c>
      <c r="CP5" s="153">
        <v>2</v>
      </c>
      <c r="CQ5" s="153"/>
      <c r="CR5" s="153">
        <v>1</v>
      </c>
      <c r="CS5" s="154">
        <v>1</v>
      </c>
      <c r="CT5" s="154">
        <v>3</v>
      </c>
      <c r="CU5" s="279">
        <v>2</v>
      </c>
      <c r="CV5" s="279">
        <v>4</v>
      </c>
      <c r="CW5" s="155"/>
      <c r="CX5" s="152">
        <v>867</v>
      </c>
      <c r="CY5" s="153">
        <v>2548</v>
      </c>
      <c r="CZ5" s="153">
        <v>2404</v>
      </c>
      <c r="DA5" s="153">
        <v>9005</v>
      </c>
      <c r="DB5" s="154">
        <v>8033</v>
      </c>
      <c r="DC5" s="154">
        <v>7831</v>
      </c>
      <c r="DD5" s="279">
        <v>6969</v>
      </c>
      <c r="DE5" s="279">
        <v>5960</v>
      </c>
      <c r="DF5" s="155"/>
      <c r="DG5" s="152">
        <v>30</v>
      </c>
      <c r="DH5" s="153">
        <v>131</v>
      </c>
      <c r="DI5" s="153">
        <v>46</v>
      </c>
      <c r="DJ5" s="153">
        <v>264</v>
      </c>
      <c r="DK5" s="154">
        <v>280</v>
      </c>
      <c r="DL5" s="154">
        <v>229</v>
      </c>
      <c r="DM5" s="279">
        <v>196</v>
      </c>
      <c r="DN5" s="279">
        <v>87</v>
      </c>
      <c r="DO5" s="155"/>
      <c r="DP5" s="152">
        <v>51</v>
      </c>
      <c r="DQ5" s="153">
        <v>468</v>
      </c>
      <c r="DR5" s="153">
        <v>470</v>
      </c>
      <c r="DS5" s="153">
        <v>319</v>
      </c>
      <c r="DT5" s="154">
        <v>249</v>
      </c>
      <c r="DU5" s="154">
        <v>161</v>
      </c>
      <c r="DV5" s="279">
        <v>184</v>
      </c>
      <c r="DW5" s="279">
        <v>129</v>
      </c>
      <c r="DX5" s="155"/>
      <c r="DY5" s="152">
        <v>35</v>
      </c>
      <c r="DZ5" s="153">
        <v>597</v>
      </c>
      <c r="EA5" s="153">
        <v>514</v>
      </c>
      <c r="EB5" s="153">
        <v>742</v>
      </c>
      <c r="EC5" s="154">
        <v>763</v>
      </c>
      <c r="ED5" s="154">
        <v>524</v>
      </c>
      <c r="EE5" s="279">
        <v>360</v>
      </c>
      <c r="EF5" s="279">
        <v>345</v>
      </c>
      <c r="EG5" s="155"/>
      <c r="EH5" s="152">
        <v>2</v>
      </c>
      <c r="EI5" s="153">
        <v>51</v>
      </c>
      <c r="EJ5" s="153">
        <v>26</v>
      </c>
      <c r="EK5" s="153">
        <v>48</v>
      </c>
      <c r="EL5" s="154">
        <v>26</v>
      </c>
      <c r="EM5" s="154">
        <v>23</v>
      </c>
      <c r="EN5" s="279">
        <v>7</v>
      </c>
      <c r="EO5" s="279">
        <v>11</v>
      </c>
      <c r="EP5" s="155"/>
      <c r="EQ5" s="152">
        <v>75</v>
      </c>
      <c r="ER5" s="153">
        <v>70</v>
      </c>
      <c r="ES5" s="153">
        <v>91</v>
      </c>
      <c r="ET5" s="153">
        <v>125</v>
      </c>
      <c r="EU5" s="154">
        <v>106</v>
      </c>
      <c r="EV5" s="154">
        <v>94</v>
      </c>
      <c r="EW5" s="279">
        <v>93</v>
      </c>
      <c r="EX5" s="279">
        <v>52</v>
      </c>
      <c r="EY5" s="155"/>
      <c r="EZ5" s="152">
        <v>1</v>
      </c>
      <c r="FA5" s="153">
        <v>1</v>
      </c>
      <c r="FB5" s="153">
        <v>6</v>
      </c>
      <c r="FC5" s="153">
        <v>10</v>
      </c>
      <c r="FD5" s="154">
        <v>7</v>
      </c>
      <c r="FE5" s="154">
        <v>2</v>
      </c>
      <c r="FF5" s="279"/>
      <c r="FG5" s="279">
        <v>1</v>
      </c>
      <c r="FH5" s="155"/>
      <c r="FI5" s="152">
        <v>121</v>
      </c>
      <c r="FJ5" s="153">
        <v>372</v>
      </c>
      <c r="FK5" s="153">
        <v>331</v>
      </c>
      <c r="FL5" s="153">
        <v>295</v>
      </c>
      <c r="FM5" s="154">
        <v>242</v>
      </c>
      <c r="FN5" s="154">
        <v>184</v>
      </c>
      <c r="FO5" s="279">
        <v>145</v>
      </c>
      <c r="FP5" s="279">
        <v>123</v>
      </c>
      <c r="FQ5" s="155"/>
      <c r="FR5" s="152">
        <v>2</v>
      </c>
      <c r="FS5" s="153">
        <v>1</v>
      </c>
      <c r="FT5" s="153">
        <v>4</v>
      </c>
      <c r="FU5" s="153">
        <v>3</v>
      </c>
      <c r="FV5" s="154">
        <v>7</v>
      </c>
      <c r="FW5" s="154">
        <v>7</v>
      </c>
      <c r="FX5" s="279">
        <v>5</v>
      </c>
      <c r="FY5" s="279">
        <v>5</v>
      </c>
      <c r="FZ5" s="155"/>
      <c r="GA5" s="152">
        <v>11</v>
      </c>
      <c r="GB5" s="153">
        <v>43</v>
      </c>
      <c r="GC5" s="153">
        <v>71</v>
      </c>
      <c r="GD5" s="153">
        <v>54</v>
      </c>
      <c r="GE5" s="154">
        <v>51</v>
      </c>
      <c r="GF5" s="154">
        <v>23</v>
      </c>
      <c r="GG5" s="279">
        <v>2</v>
      </c>
      <c r="GH5" s="279">
        <v>2</v>
      </c>
      <c r="GI5" s="155"/>
      <c r="GJ5" s="152">
        <v>1226</v>
      </c>
      <c r="GK5" s="153">
        <v>3197</v>
      </c>
      <c r="GL5" s="153">
        <v>3067</v>
      </c>
      <c r="GM5" s="153">
        <v>9665</v>
      </c>
      <c r="GN5" s="154">
        <v>8676</v>
      </c>
      <c r="GO5" s="154">
        <v>8350</v>
      </c>
      <c r="GP5" s="279">
        <v>7364</v>
      </c>
      <c r="GQ5" s="279">
        <v>6315</v>
      </c>
      <c r="GR5" s="155"/>
      <c r="GS5" s="152">
        <v>599</v>
      </c>
      <c r="GT5" s="153">
        <v>1477</v>
      </c>
      <c r="GU5" s="153">
        <v>1396</v>
      </c>
      <c r="GV5" s="153">
        <v>4755</v>
      </c>
      <c r="GW5" s="154">
        <v>1984</v>
      </c>
      <c r="GX5" s="154">
        <v>1892</v>
      </c>
      <c r="GY5" s="279">
        <v>1641</v>
      </c>
      <c r="GZ5" s="279">
        <v>1311</v>
      </c>
      <c r="HA5" s="155"/>
      <c r="HB5" s="152">
        <v>2</v>
      </c>
      <c r="HC5" s="153"/>
      <c r="HD5" s="153"/>
      <c r="HE5" s="153">
        <v>1</v>
      </c>
      <c r="HF5" s="154">
        <v>2</v>
      </c>
      <c r="HG5" s="154">
        <v>12</v>
      </c>
      <c r="HH5" s="279">
        <v>4</v>
      </c>
      <c r="HI5" s="279">
        <v>5</v>
      </c>
      <c r="HJ5" s="155"/>
      <c r="HK5" s="152"/>
      <c r="HL5" s="153"/>
      <c r="HM5" s="153"/>
      <c r="HN5" s="153"/>
      <c r="HO5" s="154"/>
      <c r="HP5" s="154"/>
      <c r="HQ5" s="279"/>
      <c r="HR5" s="279">
        <v>1</v>
      </c>
      <c r="HS5" s="155"/>
      <c r="HT5" s="152">
        <v>675</v>
      </c>
      <c r="HU5" s="153">
        <v>1526</v>
      </c>
      <c r="HV5" s="153">
        <v>1444</v>
      </c>
      <c r="HW5" s="153">
        <v>4843</v>
      </c>
      <c r="HX5" s="154">
        <v>2081</v>
      </c>
      <c r="HY5" s="154">
        <v>1981</v>
      </c>
      <c r="HZ5" s="279">
        <v>1729</v>
      </c>
      <c r="IA5" s="279">
        <v>1525</v>
      </c>
      <c r="IB5" s="155"/>
      <c r="IC5" s="152">
        <v>1979</v>
      </c>
      <c r="ID5" s="153">
        <v>7112</v>
      </c>
      <c r="IE5" s="153">
        <v>5634</v>
      </c>
      <c r="IF5" s="153">
        <v>11839</v>
      </c>
      <c r="IG5" s="154">
        <v>9880</v>
      </c>
      <c r="IH5" s="154">
        <v>9684</v>
      </c>
      <c r="II5" s="279">
        <v>8486</v>
      </c>
      <c r="IJ5" s="279">
        <v>7507</v>
      </c>
      <c r="IK5" s="155"/>
    </row>
    <row r="6" spans="1:245" x14ac:dyDescent="0.2">
      <c r="A6" s="961"/>
      <c r="B6" s="151" t="s">
        <v>631</v>
      </c>
      <c r="C6" s="152"/>
      <c r="D6" s="153"/>
      <c r="E6" s="153"/>
      <c r="F6" s="153"/>
      <c r="G6" s="154"/>
      <c r="H6" s="154"/>
      <c r="I6" s="279"/>
      <c r="J6" s="279"/>
      <c r="K6" s="155"/>
      <c r="L6" s="152"/>
      <c r="M6" s="153"/>
      <c r="N6" s="153"/>
      <c r="O6" s="153"/>
      <c r="P6" s="154"/>
      <c r="Q6" s="154"/>
      <c r="R6" s="279"/>
      <c r="S6" s="279"/>
      <c r="T6" s="155"/>
      <c r="U6" s="152"/>
      <c r="V6" s="153"/>
      <c r="W6" s="153"/>
      <c r="X6" s="153"/>
      <c r="Y6" s="154"/>
      <c r="Z6" s="154"/>
      <c r="AA6" s="279"/>
      <c r="AB6" s="279"/>
      <c r="AC6" s="155"/>
      <c r="AD6" s="152">
        <v>96</v>
      </c>
      <c r="AE6" s="153">
        <v>102</v>
      </c>
      <c r="AF6" s="153">
        <v>101</v>
      </c>
      <c r="AG6" s="153">
        <v>110</v>
      </c>
      <c r="AH6" s="154">
        <v>137</v>
      </c>
      <c r="AI6" s="154">
        <v>110</v>
      </c>
      <c r="AJ6" s="279">
        <v>96</v>
      </c>
      <c r="AK6" s="279">
        <v>87</v>
      </c>
      <c r="AL6" s="155"/>
      <c r="AM6" s="152">
        <v>76</v>
      </c>
      <c r="AN6" s="153">
        <v>82</v>
      </c>
      <c r="AO6" s="153">
        <v>73</v>
      </c>
      <c r="AP6" s="153">
        <v>78</v>
      </c>
      <c r="AQ6" s="154">
        <v>96</v>
      </c>
      <c r="AR6" s="154">
        <v>74</v>
      </c>
      <c r="AS6" s="279">
        <v>67</v>
      </c>
      <c r="AT6" s="279">
        <v>45</v>
      </c>
      <c r="AU6" s="155"/>
      <c r="AV6" s="152"/>
      <c r="AW6" s="153"/>
      <c r="AX6" s="153"/>
      <c r="AY6" s="153"/>
      <c r="AZ6" s="154"/>
      <c r="BA6" s="154"/>
      <c r="BB6" s="279"/>
      <c r="BC6" s="279"/>
      <c r="BD6" s="155"/>
      <c r="BE6" s="152">
        <v>17</v>
      </c>
      <c r="BF6" s="153">
        <v>5</v>
      </c>
      <c r="BG6" s="153">
        <v>3</v>
      </c>
      <c r="BH6" s="153">
        <v>2</v>
      </c>
      <c r="BI6" s="154">
        <v>4</v>
      </c>
      <c r="BJ6" s="154">
        <v>13</v>
      </c>
      <c r="BK6" s="279">
        <v>4</v>
      </c>
      <c r="BL6" s="279">
        <v>8</v>
      </c>
      <c r="BM6" s="155"/>
      <c r="BN6" s="152"/>
      <c r="BO6" s="153"/>
      <c r="BP6" s="153"/>
      <c r="BQ6" s="153"/>
      <c r="BR6" s="154"/>
      <c r="BS6" s="154"/>
      <c r="BT6" s="279"/>
      <c r="BU6" s="279"/>
      <c r="BV6" s="155"/>
      <c r="BW6" s="152">
        <v>74</v>
      </c>
      <c r="BX6" s="153">
        <v>72</v>
      </c>
      <c r="BY6" s="153">
        <v>93</v>
      </c>
      <c r="BZ6" s="153">
        <v>89</v>
      </c>
      <c r="CA6" s="154">
        <v>159</v>
      </c>
      <c r="CB6" s="154">
        <v>137</v>
      </c>
      <c r="CC6" s="279">
        <v>98</v>
      </c>
      <c r="CD6" s="279">
        <v>105</v>
      </c>
      <c r="CE6" s="155"/>
      <c r="CF6" s="152">
        <v>8</v>
      </c>
      <c r="CG6" s="153">
        <v>13</v>
      </c>
      <c r="CH6" s="153">
        <v>7</v>
      </c>
      <c r="CI6" s="153">
        <v>9</v>
      </c>
      <c r="CJ6" s="154">
        <v>10</v>
      </c>
      <c r="CK6" s="154">
        <v>4</v>
      </c>
      <c r="CL6" s="279">
        <v>8</v>
      </c>
      <c r="CM6" s="279">
        <v>1</v>
      </c>
      <c r="CN6" s="155"/>
      <c r="CO6" s="152">
        <v>7</v>
      </c>
      <c r="CP6" s="153">
        <v>8</v>
      </c>
      <c r="CQ6" s="153">
        <v>5</v>
      </c>
      <c r="CR6" s="153">
        <v>6</v>
      </c>
      <c r="CS6" s="154">
        <v>10</v>
      </c>
      <c r="CT6" s="154">
        <v>5</v>
      </c>
      <c r="CU6" s="279">
        <v>10</v>
      </c>
      <c r="CV6" s="279">
        <v>17</v>
      </c>
      <c r="CW6" s="155"/>
      <c r="CX6" s="152">
        <v>1588</v>
      </c>
      <c r="CY6" s="153">
        <v>2763</v>
      </c>
      <c r="CZ6" s="153">
        <v>2654</v>
      </c>
      <c r="DA6" s="153">
        <v>2544</v>
      </c>
      <c r="DB6" s="154">
        <v>2726</v>
      </c>
      <c r="DC6" s="154">
        <v>1945</v>
      </c>
      <c r="DD6" s="279">
        <v>1256</v>
      </c>
      <c r="DE6" s="279">
        <v>1032</v>
      </c>
      <c r="DF6" s="155"/>
      <c r="DG6" s="152">
        <v>72</v>
      </c>
      <c r="DH6" s="153">
        <v>138</v>
      </c>
      <c r="DI6" s="153">
        <v>95</v>
      </c>
      <c r="DJ6" s="153">
        <v>317</v>
      </c>
      <c r="DK6" s="154">
        <v>311</v>
      </c>
      <c r="DL6" s="154">
        <v>205</v>
      </c>
      <c r="DM6" s="279">
        <v>65</v>
      </c>
      <c r="DN6" s="279">
        <v>46</v>
      </c>
      <c r="DO6" s="155"/>
      <c r="DP6" s="152">
        <v>50</v>
      </c>
      <c r="DQ6" s="153">
        <v>356</v>
      </c>
      <c r="DR6" s="153">
        <v>296</v>
      </c>
      <c r="DS6" s="153">
        <v>252</v>
      </c>
      <c r="DT6" s="154">
        <v>241</v>
      </c>
      <c r="DU6" s="154">
        <v>176</v>
      </c>
      <c r="DV6" s="279">
        <v>123</v>
      </c>
      <c r="DW6" s="279">
        <v>94</v>
      </c>
      <c r="DX6" s="155"/>
      <c r="DY6" s="152">
        <v>37</v>
      </c>
      <c r="DZ6" s="153">
        <v>326</v>
      </c>
      <c r="EA6" s="153">
        <v>317</v>
      </c>
      <c r="EB6" s="153">
        <v>310</v>
      </c>
      <c r="EC6" s="154">
        <v>423</v>
      </c>
      <c r="ED6" s="154">
        <v>318</v>
      </c>
      <c r="EE6" s="279">
        <v>229</v>
      </c>
      <c r="EF6" s="279">
        <v>176</v>
      </c>
      <c r="EG6" s="155"/>
      <c r="EH6" s="152">
        <v>11</v>
      </c>
      <c r="EI6" s="153">
        <v>77</v>
      </c>
      <c r="EJ6" s="153">
        <v>59</v>
      </c>
      <c r="EK6" s="153">
        <v>31</v>
      </c>
      <c r="EL6" s="154">
        <v>54</v>
      </c>
      <c r="EM6" s="154">
        <v>12</v>
      </c>
      <c r="EN6" s="279">
        <v>11</v>
      </c>
      <c r="EO6" s="279">
        <v>6</v>
      </c>
      <c r="EP6" s="155"/>
      <c r="EQ6" s="152">
        <v>18</v>
      </c>
      <c r="ER6" s="153">
        <v>76</v>
      </c>
      <c r="ES6" s="153">
        <v>62</v>
      </c>
      <c r="ET6" s="153">
        <v>57</v>
      </c>
      <c r="EU6" s="154">
        <v>58</v>
      </c>
      <c r="EV6" s="154">
        <v>52</v>
      </c>
      <c r="EW6" s="279">
        <v>57</v>
      </c>
      <c r="EX6" s="279">
        <v>53</v>
      </c>
      <c r="EY6" s="155"/>
      <c r="EZ6" s="152">
        <v>11</v>
      </c>
      <c r="FA6" s="153">
        <v>8</v>
      </c>
      <c r="FB6" s="153">
        <v>1</v>
      </c>
      <c r="FC6" s="153">
        <v>3</v>
      </c>
      <c r="FD6" s="154">
        <v>8</v>
      </c>
      <c r="FE6" s="154">
        <v>1</v>
      </c>
      <c r="FF6" s="279">
        <v>7</v>
      </c>
      <c r="FG6" s="279"/>
      <c r="FH6" s="155"/>
      <c r="FI6" s="152">
        <v>162</v>
      </c>
      <c r="FJ6" s="153">
        <v>450</v>
      </c>
      <c r="FK6" s="153">
        <v>350</v>
      </c>
      <c r="FL6" s="153">
        <v>225</v>
      </c>
      <c r="FM6" s="154">
        <v>254</v>
      </c>
      <c r="FN6" s="154">
        <v>160</v>
      </c>
      <c r="FO6" s="279">
        <v>141</v>
      </c>
      <c r="FP6" s="279">
        <v>110</v>
      </c>
      <c r="FQ6" s="155"/>
      <c r="FR6" s="152">
        <v>4</v>
      </c>
      <c r="FS6" s="153">
        <v>11</v>
      </c>
      <c r="FT6" s="153">
        <v>6</v>
      </c>
      <c r="FU6" s="153">
        <v>2</v>
      </c>
      <c r="FV6" s="154">
        <v>18</v>
      </c>
      <c r="FW6" s="154">
        <v>5</v>
      </c>
      <c r="FX6" s="279">
        <v>3</v>
      </c>
      <c r="FY6" s="279">
        <v>3</v>
      </c>
      <c r="FZ6" s="155"/>
      <c r="GA6" s="152">
        <v>5</v>
      </c>
      <c r="GB6" s="153">
        <v>29</v>
      </c>
      <c r="GC6" s="153">
        <v>37</v>
      </c>
      <c r="GD6" s="153">
        <v>16</v>
      </c>
      <c r="GE6" s="154">
        <v>33</v>
      </c>
      <c r="GF6" s="154">
        <v>18</v>
      </c>
      <c r="GG6" s="279">
        <v>17</v>
      </c>
      <c r="GH6" s="279">
        <v>11</v>
      </c>
      <c r="GI6" s="155"/>
      <c r="GJ6" s="152">
        <v>2001</v>
      </c>
      <c r="GK6" s="153">
        <v>3614</v>
      </c>
      <c r="GL6" s="153">
        <v>3378</v>
      </c>
      <c r="GM6" s="153">
        <v>3094</v>
      </c>
      <c r="GN6" s="154">
        <v>3471</v>
      </c>
      <c r="GO6" s="154">
        <v>2462</v>
      </c>
      <c r="GP6" s="279">
        <v>1708</v>
      </c>
      <c r="GQ6" s="279">
        <v>1433</v>
      </c>
      <c r="GR6" s="155"/>
      <c r="GS6" s="152">
        <v>902</v>
      </c>
      <c r="GT6" s="153">
        <v>1655</v>
      </c>
      <c r="GU6" s="153">
        <v>1689</v>
      </c>
      <c r="GV6" s="153">
        <v>1258</v>
      </c>
      <c r="GW6" s="154">
        <v>963</v>
      </c>
      <c r="GX6" s="154">
        <v>558</v>
      </c>
      <c r="GY6" s="279">
        <v>319</v>
      </c>
      <c r="GZ6" s="279">
        <v>386</v>
      </c>
      <c r="HA6" s="155"/>
      <c r="HB6" s="152"/>
      <c r="HC6" s="153">
        <v>1</v>
      </c>
      <c r="HD6" s="153"/>
      <c r="HE6" s="153"/>
      <c r="HF6" s="154">
        <v>7</v>
      </c>
      <c r="HG6" s="154">
        <v>7</v>
      </c>
      <c r="HH6" s="279">
        <v>9</v>
      </c>
      <c r="HI6" s="279">
        <v>5</v>
      </c>
      <c r="HJ6" s="155"/>
      <c r="HK6" s="152"/>
      <c r="HL6" s="153"/>
      <c r="HM6" s="153"/>
      <c r="HN6" s="153"/>
      <c r="HO6" s="154"/>
      <c r="HP6" s="154"/>
      <c r="HQ6" s="279"/>
      <c r="HR6" s="279"/>
      <c r="HS6" s="155"/>
      <c r="HT6" s="152">
        <v>1060</v>
      </c>
      <c r="HU6" s="153">
        <v>1801</v>
      </c>
      <c r="HV6" s="153">
        <v>1809</v>
      </c>
      <c r="HW6" s="153">
        <v>1421</v>
      </c>
      <c r="HX6" s="154">
        <v>1303</v>
      </c>
      <c r="HY6" s="154">
        <v>888</v>
      </c>
      <c r="HZ6" s="279">
        <v>762</v>
      </c>
      <c r="IA6" s="279">
        <v>864</v>
      </c>
      <c r="IB6" s="155"/>
      <c r="IC6" s="152">
        <v>3260</v>
      </c>
      <c r="ID6" s="153">
        <v>6927</v>
      </c>
      <c r="IE6" s="153">
        <v>6094</v>
      </c>
      <c r="IF6" s="153">
        <v>5129</v>
      </c>
      <c r="IG6" s="154">
        <v>5798</v>
      </c>
      <c r="IH6" s="154">
        <v>4054</v>
      </c>
      <c r="II6" s="279">
        <v>3259</v>
      </c>
      <c r="IJ6" s="279">
        <v>2710</v>
      </c>
      <c r="IK6" s="155"/>
    </row>
    <row r="7" spans="1:245" x14ac:dyDescent="0.2">
      <c r="A7" s="961"/>
      <c r="B7" s="151" t="s">
        <v>632</v>
      </c>
      <c r="C7" s="152"/>
      <c r="D7" s="153"/>
      <c r="E7" s="153"/>
      <c r="F7" s="153"/>
      <c r="G7" s="154"/>
      <c r="H7" s="154"/>
      <c r="I7" s="279"/>
      <c r="J7" s="279"/>
      <c r="K7" s="155"/>
      <c r="L7" s="152"/>
      <c r="M7" s="153"/>
      <c r="N7" s="153"/>
      <c r="O7" s="153"/>
      <c r="P7" s="154"/>
      <c r="Q7" s="154"/>
      <c r="R7" s="279"/>
      <c r="S7" s="279"/>
      <c r="T7" s="155"/>
      <c r="U7" s="152"/>
      <c r="V7" s="153"/>
      <c r="W7" s="153"/>
      <c r="X7" s="153"/>
      <c r="Y7" s="154"/>
      <c r="Z7" s="154"/>
      <c r="AA7" s="279"/>
      <c r="AB7" s="279"/>
      <c r="AC7" s="155"/>
      <c r="AD7" s="152">
        <v>122</v>
      </c>
      <c r="AE7" s="153">
        <v>131</v>
      </c>
      <c r="AF7" s="153">
        <v>130</v>
      </c>
      <c r="AG7" s="153">
        <v>154</v>
      </c>
      <c r="AH7" s="154">
        <v>146</v>
      </c>
      <c r="AI7" s="154">
        <v>116</v>
      </c>
      <c r="AJ7" s="279">
        <v>124</v>
      </c>
      <c r="AK7" s="279">
        <v>82</v>
      </c>
      <c r="AL7" s="155"/>
      <c r="AM7" s="152">
        <v>71</v>
      </c>
      <c r="AN7" s="153">
        <v>77</v>
      </c>
      <c r="AO7" s="153">
        <v>79</v>
      </c>
      <c r="AP7" s="153">
        <v>91</v>
      </c>
      <c r="AQ7" s="154">
        <v>81</v>
      </c>
      <c r="AR7" s="154">
        <v>61</v>
      </c>
      <c r="AS7" s="279">
        <v>65</v>
      </c>
      <c r="AT7" s="279">
        <v>41</v>
      </c>
      <c r="AU7" s="155"/>
      <c r="AV7" s="152"/>
      <c r="AW7" s="153"/>
      <c r="AX7" s="153"/>
      <c r="AY7" s="153"/>
      <c r="AZ7" s="154"/>
      <c r="BA7" s="154"/>
      <c r="BB7" s="279"/>
      <c r="BC7" s="279"/>
      <c r="BD7" s="155"/>
      <c r="BE7" s="152">
        <v>11</v>
      </c>
      <c r="BF7" s="153">
        <v>5</v>
      </c>
      <c r="BG7" s="153">
        <v>5</v>
      </c>
      <c r="BH7" s="153">
        <v>15</v>
      </c>
      <c r="BI7" s="154">
        <v>5</v>
      </c>
      <c r="BJ7" s="154">
        <v>7</v>
      </c>
      <c r="BK7" s="279">
        <v>5</v>
      </c>
      <c r="BL7" s="279">
        <v>6</v>
      </c>
      <c r="BM7" s="155"/>
      <c r="BN7" s="152"/>
      <c r="BO7" s="153"/>
      <c r="BP7" s="153"/>
      <c r="BQ7" s="153"/>
      <c r="BR7" s="154"/>
      <c r="BS7" s="154"/>
      <c r="BT7" s="279"/>
      <c r="BU7" s="279"/>
      <c r="BV7" s="155"/>
      <c r="BW7" s="152">
        <v>117</v>
      </c>
      <c r="BX7" s="153">
        <v>131</v>
      </c>
      <c r="BY7" s="153">
        <v>206</v>
      </c>
      <c r="BZ7" s="153">
        <v>189</v>
      </c>
      <c r="CA7" s="154">
        <v>145</v>
      </c>
      <c r="CB7" s="154">
        <v>150</v>
      </c>
      <c r="CC7" s="279">
        <v>115</v>
      </c>
      <c r="CD7" s="279">
        <v>123</v>
      </c>
      <c r="CE7" s="155"/>
      <c r="CF7" s="152">
        <v>4</v>
      </c>
      <c r="CG7" s="153">
        <v>10</v>
      </c>
      <c r="CH7" s="153">
        <v>5</v>
      </c>
      <c r="CI7" s="153">
        <v>4</v>
      </c>
      <c r="CJ7" s="154">
        <v>1</v>
      </c>
      <c r="CK7" s="154">
        <v>2</v>
      </c>
      <c r="CL7" s="279">
        <v>3</v>
      </c>
      <c r="CM7" s="279">
        <v>4</v>
      </c>
      <c r="CN7" s="155"/>
      <c r="CO7" s="152">
        <v>1</v>
      </c>
      <c r="CP7" s="153"/>
      <c r="CQ7" s="153"/>
      <c r="CR7" s="153"/>
      <c r="CS7" s="154">
        <v>1</v>
      </c>
      <c r="CT7" s="154">
        <v>2</v>
      </c>
      <c r="CU7" s="279">
        <v>4</v>
      </c>
      <c r="CV7" s="279">
        <v>4</v>
      </c>
      <c r="CW7" s="155"/>
      <c r="CX7" s="152">
        <v>1112</v>
      </c>
      <c r="CY7" s="153">
        <v>1662</v>
      </c>
      <c r="CZ7" s="153">
        <v>1630</v>
      </c>
      <c r="DA7" s="153">
        <v>1618</v>
      </c>
      <c r="DB7" s="154">
        <v>1278</v>
      </c>
      <c r="DC7" s="154">
        <v>713</v>
      </c>
      <c r="DD7" s="279">
        <v>688</v>
      </c>
      <c r="DE7" s="279">
        <v>937</v>
      </c>
      <c r="DF7" s="155"/>
      <c r="DG7" s="152">
        <v>11</v>
      </c>
      <c r="DH7" s="153">
        <v>86</v>
      </c>
      <c r="DI7" s="153">
        <v>75</v>
      </c>
      <c r="DJ7" s="153">
        <v>180</v>
      </c>
      <c r="DK7" s="154">
        <v>165</v>
      </c>
      <c r="DL7" s="154">
        <v>56</v>
      </c>
      <c r="DM7" s="279">
        <v>41</v>
      </c>
      <c r="DN7" s="279">
        <v>25</v>
      </c>
      <c r="DO7" s="155"/>
      <c r="DP7" s="152">
        <v>25</v>
      </c>
      <c r="DQ7" s="153">
        <v>210</v>
      </c>
      <c r="DR7" s="153">
        <v>159</v>
      </c>
      <c r="DS7" s="153">
        <v>135</v>
      </c>
      <c r="DT7" s="154">
        <v>92</v>
      </c>
      <c r="DU7" s="154">
        <v>40</v>
      </c>
      <c r="DV7" s="279">
        <v>39</v>
      </c>
      <c r="DW7" s="279">
        <v>22</v>
      </c>
      <c r="DX7" s="155"/>
      <c r="DY7" s="152">
        <v>68</v>
      </c>
      <c r="DZ7" s="153">
        <v>260</v>
      </c>
      <c r="EA7" s="153">
        <v>297</v>
      </c>
      <c r="EB7" s="153">
        <v>229</v>
      </c>
      <c r="EC7" s="154">
        <v>274</v>
      </c>
      <c r="ED7" s="154">
        <v>140</v>
      </c>
      <c r="EE7" s="279">
        <v>150</v>
      </c>
      <c r="EF7" s="279">
        <v>90</v>
      </c>
      <c r="EG7" s="155"/>
      <c r="EH7" s="152">
        <v>18</v>
      </c>
      <c r="EI7" s="153">
        <v>58</v>
      </c>
      <c r="EJ7" s="153">
        <v>45</v>
      </c>
      <c r="EK7" s="153">
        <v>36</v>
      </c>
      <c r="EL7" s="154">
        <v>41</v>
      </c>
      <c r="EM7" s="154">
        <v>9</v>
      </c>
      <c r="EN7" s="279">
        <v>10</v>
      </c>
      <c r="EO7" s="279"/>
      <c r="EP7" s="155"/>
      <c r="EQ7" s="152">
        <v>9</v>
      </c>
      <c r="ER7" s="153">
        <v>18</v>
      </c>
      <c r="ES7" s="153">
        <v>47</v>
      </c>
      <c r="ET7" s="153">
        <v>29</v>
      </c>
      <c r="EU7" s="154">
        <v>18</v>
      </c>
      <c r="EV7" s="154">
        <v>5</v>
      </c>
      <c r="EW7" s="279">
        <v>17</v>
      </c>
      <c r="EX7" s="279">
        <v>5</v>
      </c>
      <c r="EY7" s="155"/>
      <c r="EZ7" s="152">
        <v>4</v>
      </c>
      <c r="FA7" s="153">
        <v>3</v>
      </c>
      <c r="FB7" s="153">
        <v>9</v>
      </c>
      <c r="FC7" s="153"/>
      <c r="FD7" s="154">
        <v>4</v>
      </c>
      <c r="FE7" s="154"/>
      <c r="FF7" s="279">
        <v>1</v>
      </c>
      <c r="FG7" s="279">
        <v>2</v>
      </c>
      <c r="FH7" s="155"/>
      <c r="FI7" s="152">
        <v>288</v>
      </c>
      <c r="FJ7" s="153">
        <v>251</v>
      </c>
      <c r="FK7" s="153">
        <v>246</v>
      </c>
      <c r="FL7" s="153">
        <v>167</v>
      </c>
      <c r="FM7" s="154">
        <v>122</v>
      </c>
      <c r="FN7" s="154">
        <v>89</v>
      </c>
      <c r="FO7" s="279">
        <v>115</v>
      </c>
      <c r="FP7" s="279">
        <v>107</v>
      </c>
      <c r="FQ7" s="155"/>
      <c r="FR7" s="152">
        <v>2</v>
      </c>
      <c r="FS7" s="153">
        <v>7</v>
      </c>
      <c r="FT7" s="153">
        <v>2</v>
      </c>
      <c r="FU7" s="153">
        <v>6</v>
      </c>
      <c r="FV7" s="154">
        <v>5</v>
      </c>
      <c r="FW7" s="154">
        <v>4</v>
      </c>
      <c r="FX7" s="279">
        <v>3</v>
      </c>
      <c r="FY7" s="279"/>
      <c r="FZ7" s="155"/>
      <c r="GA7" s="152">
        <v>22</v>
      </c>
      <c r="GB7" s="153">
        <v>48</v>
      </c>
      <c r="GC7" s="153">
        <v>20</v>
      </c>
      <c r="GD7" s="153">
        <v>12</v>
      </c>
      <c r="GE7" s="154">
        <v>10</v>
      </c>
      <c r="GF7" s="154">
        <v>14</v>
      </c>
      <c r="GG7" s="279">
        <v>3</v>
      </c>
      <c r="GH7" s="279">
        <v>6</v>
      </c>
      <c r="GI7" s="155"/>
      <c r="GJ7" s="152">
        <v>1710</v>
      </c>
      <c r="GK7" s="153">
        <v>2324</v>
      </c>
      <c r="GL7" s="153">
        <v>2345</v>
      </c>
      <c r="GM7" s="153">
        <v>2230</v>
      </c>
      <c r="GN7" s="154">
        <v>1776</v>
      </c>
      <c r="GO7" s="154">
        <v>1111</v>
      </c>
      <c r="GP7" s="279">
        <v>1088</v>
      </c>
      <c r="GQ7" s="279">
        <v>1276</v>
      </c>
      <c r="GR7" s="155"/>
      <c r="GS7" s="152">
        <v>734</v>
      </c>
      <c r="GT7" s="153">
        <v>1024</v>
      </c>
      <c r="GU7" s="153">
        <v>1017</v>
      </c>
      <c r="GV7" s="153">
        <v>812</v>
      </c>
      <c r="GW7" s="154">
        <v>564</v>
      </c>
      <c r="GX7" s="154">
        <v>365</v>
      </c>
      <c r="GY7" s="279">
        <v>349</v>
      </c>
      <c r="GZ7" s="279">
        <v>286</v>
      </c>
      <c r="HA7" s="155"/>
      <c r="HB7" s="152">
        <v>1</v>
      </c>
      <c r="HC7" s="153"/>
      <c r="HD7" s="153"/>
      <c r="HE7" s="153"/>
      <c r="HF7" s="154">
        <v>3</v>
      </c>
      <c r="HG7" s="154">
        <v>7</v>
      </c>
      <c r="HH7" s="279">
        <v>3</v>
      </c>
      <c r="HI7" s="279">
        <v>5</v>
      </c>
      <c r="HJ7" s="155"/>
      <c r="HK7" s="152"/>
      <c r="HL7" s="153"/>
      <c r="HM7" s="153"/>
      <c r="HN7" s="153">
        <v>1</v>
      </c>
      <c r="HO7" s="154"/>
      <c r="HP7" s="154"/>
      <c r="HQ7" s="279"/>
      <c r="HR7" s="279"/>
      <c r="HS7" s="155"/>
      <c r="HT7" s="152">
        <v>830</v>
      </c>
      <c r="HU7" s="153">
        <v>1119</v>
      </c>
      <c r="HV7" s="153">
        <v>1122</v>
      </c>
      <c r="HW7" s="153">
        <v>1002</v>
      </c>
      <c r="HX7" s="154">
        <v>760</v>
      </c>
      <c r="HY7" s="154">
        <v>568</v>
      </c>
      <c r="HZ7" s="279">
        <v>607</v>
      </c>
      <c r="IA7" s="279">
        <v>647</v>
      </c>
      <c r="IB7" s="155"/>
      <c r="IC7" s="152">
        <v>2501</v>
      </c>
      <c r="ID7" s="153">
        <v>3549</v>
      </c>
      <c r="IE7" s="153">
        <v>6264</v>
      </c>
      <c r="IF7" s="153">
        <v>3537</v>
      </c>
      <c r="IG7" s="154">
        <v>2498</v>
      </c>
      <c r="IH7" s="154">
        <v>1903</v>
      </c>
      <c r="II7" s="279">
        <v>1979</v>
      </c>
      <c r="IJ7" s="279">
        <v>2104</v>
      </c>
      <c r="IK7" s="155"/>
    </row>
    <row r="8" spans="1:245" x14ac:dyDescent="0.2">
      <c r="A8" s="961"/>
      <c r="B8" s="151" t="s">
        <v>633</v>
      </c>
      <c r="C8" s="152"/>
      <c r="D8" s="153"/>
      <c r="E8" s="153"/>
      <c r="F8" s="153"/>
      <c r="G8" s="154"/>
      <c r="H8" s="154"/>
      <c r="I8" s="279"/>
      <c r="J8" s="279"/>
      <c r="K8" s="155"/>
      <c r="L8" s="152"/>
      <c r="M8" s="153"/>
      <c r="N8" s="153"/>
      <c r="O8" s="153"/>
      <c r="P8" s="154"/>
      <c r="Q8" s="154"/>
      <c r="R8" s="279"/>
      <c r="S8" s="279"/>
      <c r="T8" s="155"/>
      <c r="U8" s="152"/>
      <c r="V8" s="153"/>
      <c r="W8" s="153"/>
      <c r="X8" s="153"/>
      <c r="Y8" s="154"/>
      <c r="Z8" s="154"/>
      <c r="AA8" s="279"/>
      <c r="AB8" s="279"/>
      <c r="AC8" s="155"/>
      <c r="AD8" s="152">
        <v>46</v>
      </c>
      <c r="AE8" s="153">
        <v>56</v>
      </c>
      <c r="AF8" s="153">
        <v>58</v>
      </c>
      <c r="AG8" s="153">
        <v>65</v>
      </c>
      <c r="AH8" s="154">
        <v>62</v>
      </c>
      <c r="AI8" s="154">
        <v>119</v>
      </c>
      <c r="AJ8" s="279">
        <v>100</v>
      </c>
      <c r="AK8" s="279">
        <v>114</v>
      </c>
      <c r="AL8" s="155"/>
      <c r="AM8" s="152">
        <v>30</v>
      </c>
      <c r="AN8" s="153">
        <v>45</v>
      </c>
      <c r="AO8" s="153">
        <v>42</v>
      </c>
      <c r="AP8" s="153">
        <v>56</v>
      </c>
      <c r="AQ8" s="154">
        <v>49</v>
      </c>
      <c r="AR8" s="154">
        <v>94</v>
      </c>
      <c r="AS8" s="279">
        <v>73</v>
      </c>
      <c r="AT8" s="279">
        <v>88</v>
      </c>
      <c r="AU8" s="155"/>
      <c r="AV8" s="152"/>
      <c r="AW8" s="153"/>
      <c r="AX8" s="153"/>
      <c r="AY8" s="153"/>
      <c r="AZ8" s="154"/>
      <c r="BA8" s="154"/>
      <c r="BB8" s="279"/>
      <c r="BC8" s="279"/>
      <c r="BD8" s="155"/>
      <c r="BE8" s="152">
        <v>2</v>
      </c>
      <c r="BF8" s="153">
        <v>5</v>
      </c>
      <c r="BG8" s="153">
        <v>4</v>
      </c>
      <c r="BH8" s="153"/>
      <c r="BI8" s="154">
        <v>1</v>
      </c>
      <c r="BJ8" s="154">
        <v>1</v>
      </c>
      <c r="BK8" s="279">
        <v>3</v>
      </c>
      <c r="BL8" s="279">
        <v>1</v>
      </c>
      <c r="BM8" s="155"/>
      <c r="BN8" s="152"/>
      <c r="BO8" s="153"/>
      <c r="BP8" s="153"/>
      <c r="BQ8" s="153"/>
      <c r="BR8" s="154"/>
      <c r="BS8" s="154"/>
      <c r="BT8" s="279">
        <v>2</v>
      </c>
      <c r="BU8" s="279"/>
      <c r="BV8" s="155"/>
      <c r="BW8" s="152">
        <v>49</v>
      </c>
      <c r="BX8" s="153">
        <v>51</v>
      </c>
      <c r="BY8" s="153">
        <v>71</v>
      </c>
      <c r="BZ8" s="153">
        <v>80</v>
      </c>
      <c r="CA8" s="154">
        <v>113</v>
      </c>
      <c r="CB8" s="154">
        <v>202</v>
      </c>
      <c r="CC8" s="279">
        <v>196</v>
      </c>
      <c r="CD8" s="279">
        <v>195</v>
      </c>
      <c r="CE8" s="155"/>
      <c r="CF8" s="152">
        <v>5</v>
      </c>
      <c r="CG8" s="153">
        <v>4</v>
      </c>
      <c r="CH8" s="153">
        <v>1</v>
      </c>
      <c r="CI8" s="153">
        <v>5</v>
      </c>
      <c r="CJ8" s="154">
        <v>8</v>
      </c>
      <c r="CK8" s="154">
        <v>4</v>
      </c>
      <c r="CL8" s="279">
        <v>4</v>
      </c>
      <c r="CM8" s="279">
        <v>8</v>
      </c>
      <c r="CN8" s="155"/>
      <c r="CO8" s="152"/>
      <c r="CP8" s="153">
        <v>1</v>
      </c>
      <c r="CQ8" s="153">
        <v>1</v>
      </c>
      <c r="CR8" s="153">
        <v>3</v>
      </c>
      <c r="CS8" s="154">
        <v>1</v>
      </c>
      <c r="CT8" s="154"/>
      <c r="CU8" s="279"/>
      <c r="CV8" s="279">
        <v>5</v>
      </c>
      <c r="CW8" s="155"/>
      <c r="CX8" s="152">
        <v>1462</v>
      </c>
      <c r="CY8" s="153">
        <v>1553</v>
      </c>
      <c r="CZ8" s="153">
        <v>1625</v>
      </c>
      <c r="DA8" s="153">
        <v>1844</v>
      </c>
      <c r="DB8" s="154">
        <v>1578</v>
      </c>
      <c r="DC8" s="154">
        <v>1457</v>
      </c>
      <c r="DD8" s="279">
        <v>1346</v>
      </c>
      <c r="DE8" s="279">
        <v>1225</v>
      </c>
      <c r="DF8" s="155"/>
      <c r="DG8" s="152">
        <v>4</v>
      </c>
      <c r="DH8" s="153">
        <v>16</v>
      </c>
      <c r="DI8" s="153">
        <v>7</v>
      </c>
      <c r="DJ8" s="153">
        <v>25</v>
      </c>
      <c r="DK8" s="154">
        <v>21</v>
      </c>
      <c r="DL8" s="154">
        <v>10</v>
      </c>
      <c r="DM8" s="279">
        <v>8</v>
      </c>
      <c r="DN8" s="279">
        <v>2</v>
      </c>
      <c r="DO8" s="155"/>
      <c r="DP8" s="152">
        <v>39</v>
      </c>
      <c r="DQ8" s="153">
        <v>155</v>
      </c>
      <c r="DR8" s="153">
        <v>174</v>
      </c>
      <c r="DS8" s="153">
        <v>113</v>
      </c>
      <c r="DT8" s="154">
        <v>77</v>
      </c>
      <c r="DU8" s="154">
        <v>119</v>
      </c>
      <c r="DV8" s="279">
        <v>132</v>
      </c>
      <c r="DW8" s="279">
        <v>85</v>
      </c>
      <c r="DX8" s="155"/>
      <c r="DY8" s="152">
        <v>23</v>
      </c>
      <c r="DZ8" s="153">
        <v>93</v>
      </c>
      <c r="EA8" s="153">
        <v>186</v>
      </c>
      <c r="EB8" s="153">
        <v>197</v>
      </c>
      <c r="EC8" s="154">
        <v>112</v>
      </c>
      <c r="ED8" s="154">
        <v>181</v>
      </c>
      <c r="EE8" s="279">
        <v>125</v>
      </c>
      <c r="EF8" s="279">
        <v>121</v>
      </c>
      <c r="EG8" s="155"/>
      <c r="EH8" s="152">
        <v>7</v>
      </c>
      <c r="EI8" s="153">
        <v>54</v>
      </c>
      <c r="EJ8" s="153">
        <v>45</v>
      </c>
      <c r="EK8" s="153">
        <v>41</v>
      </c>
      <c r="EL8" s="154">
        <v>38</v>
      </c>
      <c r="EM8" s="154">
        <v>29</v>
      </c>
      <c r="EN8" s="279">
        <v>16</v>
      </c>
      <c r="EO8" s="279">
        <v>14</v>
      </c>
      <c r="EP8" s="155"/>
      <c r="EQ8" s="152">
        <v>43</v>
      </c>
      <c r="ER8" s="153">
        <v>78</v>
      </c>
      <c r="ES8" s="153">
        <v>90</v>
      </c>
      <c r="ET8" s="153">
        <v>95</v>
      </c>
      <c r="EU8" s="154">
        <v>78</v>
      </c>
      <c r="EV8" s="154">
        <v>119</v>
      </c>
      <c r="EW8" s="279">
        <v>89</v>
      </c>
      <c r="EX8" s="279">
        <v>46</v>
      </c>
      <c r="EY8" s="155"/>
      <c r="EZ8" s="152">
        <v>2</v>
      </c>
      <c r="FA8" s="153"/>
      <c r="FB8" s="153">
        <v>2</v>
      </c>
      <c r="FC8" s="153">
        <v>1</v>
      </c>
      <c r="FD8" s="154">
        <v>4</v>
      </c>
      <c r="FE8" s="154">
        <v>7</v>
      </c>
      <c r="FF8" s="279">
        <v>1</v>
      </c>
      <c r="FG8" s="279">
        <v>1</v>
      </c>
      <c r="FH8" s="155"/>
      <c r="FI8" s="152">
        <v>286</v>
      </c>
      <c r="FJ8" s="153">
        <v>246</v>
      </c>
      <c r="FK8" s="153">
        <v>163</v>
      </c>
      <c r="FL8" s="153">
        <v>205</v>
      </c>
      <c r="FM8" s="154">
        <v>139</v>
      </c>
      <c r="FN8" s="154">
        <v>115</v>
      </c>
      <c r="FO8" s="279">
        <v>143</v>
      </c>
      <c r="FP8" s="279">
        <v>122</v>
      </c>
      <c r="FQ8" s="155"/>
      <c r="FR8" s="152"/>
      <c r="FS8" s="153">
        <v>1</v>
      </c>
      <c r="FT8" s="153"/>
      <c r="FU8" s="153">
        <v>3</v>
      </c>
      <c r="FV8" s="154">
        <v>3</v>
      </c>
      <c r="FW8" s="154">
        <v>1</v>
      </c>
      <c r="FX8" s="279">
        <v>3</v>
      </c>
      <c r="FY8" s="279">
        <v>1</v>
      </c>
      <c r="FZ8" s="155"/>
      <c r="GA8" s="152">
        <v>4</v>
      </c>
      <c r="GB8" s="153">
        <v>10</v>
      </c>
      <c r="GC8" s="153">
        <v>4</v>
      </c>
      <c r="GD8" s="153">
        <v>4</v>
      </c>
      <c r="GE8" s="154">
        <v>5</v>
      </c>
      <c r="GF8" s="154">
        <v>2</v>
      </c>
      <c r="GG8" s="279">
        <v>1</v>
      </c>
      <c r="GH8" s="279"/>
      <c r="GI8" s="155"/>
      <c r="GJ8" s="152">
        <v>1906</v>
      </c>
      <c r="GK8" s="153">
        <v>2059</v>
      </c>
      <c r="GL8" s="153">
        <v>2064</v>
      </c>
      <c r="GM8" s="153">
        <v>2346</v>
      </c>
      <c r="GN8" s="154">
        <v>2030</v>
      </c>
      <c r="GO8" s="154">
        <v>2056</v>
      </c>
      <c r="GP8" s="279">
        <v>1904</v>
      </c>
      <c r="GQ8" s="279">
        <v>1732</v>
      </c>
      <c r="GR8" s="155"/>
      <c r="GS8" s="152">
        <v>790</v>
      </c>
      <c r="GT8" s="153">
        <v>983</v>
      </c>
      <c r="GU8" s="153">
        <v>936</v>
      </c>
      <c r="GV8" s="153">
        <v>888</v>
      </c>
      <c r="GW8" s="154">
        <v>415</v>
      </c>
      <c r="GX8" s="154">
        <v>428</v>
      </c>
      <c r="GY8" s="279">
        <v>438</v>
      </c>
      <c r="GZ8" s="279">
        <v>544</v>
      </c>
      <c r="HA8" s="155"/>
      <c r="HB8" s="152"/>
      <c r="HC8" s="153"/>
      <c r="HD8" s="153"/>
      <c r="HE8" s="153"/>
      <c r="HF8" s="154">
        <v>5</v>
      </c>
      <c r="HG8" s="154">
        <v>6</v>
      </c>
      <c r="HH8" s="279">
        <v>5</v>
      </c>
      <c r="HI8" s="279">
        <v>1</v>
      </c>
      <c r="HJ8" s="155"/>
      <c r="HK8" s="152"/>
      <c r="HL8" s="153"/>
      <c r="HM8" s="153"/>
      <c r="HN8" s="153"/>
      <c r="HO8" s="154"/>
      <c r="HP8" s="154"/>
      <c r="HQ8" s="279"/>
      <c r="HR8" s="279"/>
      <c r="HS8" s="155"/>
      <c r="HT8" s="152">
        <v>849</v>
      </c>
      <c r="HU8" s="153">
        <v>1156</v>
      </c>
      <c r="HV8" s="153">
        <v>970</v>
      </c>
      <c r="HW8" s="153">
        <v>1485</v>
      </c>
      <c r="HX8" s="154">
        <v>530</v>
      </c>
      <c r="HY8" s="154">
        <v>565</v>
      </c>
      <c r="HZ8" s="279">
        <v>633</v>
      </c>
      <c r="IA8" s="279">
        <v>808</v>
      </c>
      <c r="IB8" s="155"/>
      <c r="IC8" s="152">
        <v>3188</v>
      </c>
      <c r="ID8" s="153">
        <v>3745</v>
      </c>
      <c r="IE8" s="153">
        <v>3887</v>
      </c>
      <c r="IF8" s="153">
        <v>6895</v>
      </c>
      <c r="IG8" s="154">
        <v>4029</v>
      </c>
      <c r="IH8" s="154">
        <v>3101</v>
      </c>
      <c r="II8" s="279">
        <v>2988</v>
      </c>
      <c r="IJ8" s="279">
        <v>3167</v>
      </c>
      <c r="IK8" s="155"/>
    </row>
    <row r="9" spans="1:245" x14ac:dyDescent="0.2">
      <c r="A9" s="961"/>
      <c r="B9" s="151" t="s">
        <v>634</v>
      </c>
      <c r="C9" s="152"/>
      <c r="D9" s="153"/>
      <c r="E9" s="153"/>
      <c r="F9" s="153"/>
      <c r="G9" s="154"/>
      <c r="H9" s="154"/>
      <c r="I9" s="279"/>
      <c r="J9" s="279"/>
      <c r="K9" s="155"/>
      <c r="L9" s="152"/>
      <c r="M9" s="153"/>
      <c r="N9" s="153"/>
      <c r="O9" s="153"/>
      <c r="P9" s="154"/>
      <c r="Q9" s="154"/>
      <c r="R9" s="279"/>
      <c r="S9" s="279"/>
      <c r="T9" s="155"/>
      <c r="U9" s="152"/>
      <c r="V9" s="153"/>
      <c r="W9" s="153"/>
      <c r="X9" s="153"/>
      <c r="Y9" s="154"/>
      <c r="Z9" s="154"/>
      <c r="AA9" s="279"/>
      <c r="AB9" s="279"/>
      <c r="AC9" s="155"/>
      <c r="AD9" s="152">
        <v>75</v>
      </c>
      <c r="AE9" s="153">
        <v>53</v>
      </c>
      <c r="AF9" s="153">
        <v>81</v>
      </c>
      <c r="AG9" s="153">
        <v>72</v>
      </c>
      <c r="AH9" s="154">
        <v>92</v>
      </c>
      <c r="AI9" s="154">
        <v>83</v>
      </c>
      <c r="AJ9" s="279">
        <v>104</v>
      </c>
      <c r="AK9" s="279">
        <v>75</v>
      </c>
      <c r="AL9" s="155"/>
      <c r="AM9" s="152">
        <v>50</v>
      </c>
      <c r="AN9" s="153">
        <v>37</v>
      </c>
      <c r="AO9" s="153">
        <v>62</v>
      </c>
      <c r="AP9" s="153">
        <v>52</v>
      </c>
      <c r="AQ9" s="154">
        <v>66</v>
      </c>
      <c r="AR9" s="154">
        <v>50</v>
      </c>
      <c r="AS9" s="279">
        <v>65</v>
      </c>
      <c r="AT9" s="279">
        <v>43</v>
      </c>
      <c r="AU9" s="155"/>
      <c r="AV9" s="152"/>
      <c r="AW9" s="153"/>
      <c r="AX9" s="153"/>
      <c r="AY9" s="153"/>
      <c r="AZ9" s="154"/>
      <c r="BA9" s="154"/>
      <c r="BB9" s="279"/>
      <c r="BC9" s="279"/>
      <c r="BD9" s="155"/>
      <c r="BE9" s="152">
        <v>1</v>
      </c>
      <c r="BF9" s="153">
        <v>4</v>
      </c>
      <c r="BG9" s="153">
        <v>4</v>
      </c>
      <c r="BH9" s="153">
        <v>6</v>
      </c>
      <c r="BI9" s="154">
        <v>4</v>
      </c>
      <c r="BJ9" s="154">
        <v>6</v>
      </c>
      <c r="BK9" s="279">
        <v>7</v>
      </c>
      <c r="BL9" s="279">
        <v>6</v>
      </c>
      <c r="BM9" s="155"/>
      <c r="BN9" s="152"/>
      <c r="BO9" s="153"/>
      <c r="BP9" s="153"/>
      <c r="BQ9" s="153"/>
      <c r="BR9" s="154"/>
      <c r="BS9" s="154"/>
      <c r="BT9" s="279"/>
      <c r="BU9" s="279"/>
      <c r="BV9" s="155"/>
      <c r="BW9" s="152">
        <v>107</v>
      </c>
      <c r="BX9" s="153">
        <v>116</v>
      </c>
      <c r="BY9" s="153">
        <v>102</v>
      </c>
      <c r="BZ9" s="153">
        <v>84</v>
      </c>
      <c r="CA9" s="154">
        <v>124</v>
      </c>
      <c r="CB9" s="154">
        <v>154</v>
      </c>
      <c r="CC9" s="279">
        <v>155</v>
      </c>
      <c r="CD9" s="279">
        <v>188</v>
      </c>
      <c r="CE9" s="155"/>
      <c r="CF9" s="152">
        <v>6</v>
      </c>
      <c r="CG9" s="153">
        <v>2</v>
      </c>
      <c r="CH9" s="153"/>
      <c r="CI9" s="153">
        <v>6</v>
      </c>
      <c r="CJ9" s="154">
        <v>5</v>
      </c>
      <c r="CK9" s="154">
        <v>2</v>
      </c>
      <c r="CL9" s="279">
        <v>3</v>
      </c>
      <c r="CM9" s="279"/>
      <c r="CN9" s="155"/>
      <c r="CO9" s="152"/>
      <c r="CP9" s="153"/>
      <c r="CQ9" s="153"/>
      <c r="CR9" s="153">
        <v>4</v>
      </c>
      <c r="CS9" s="154"/>
      <c r="CT9" s="154">
        <v>4</v>
      </c>
      <c r="CU9" s="279">
        <v>4</v>
      </c>
      <c r="CV9" s="279">
        <v>8</v>
      </c>
      <c r="CW9" s="155"/>
      <c r="CX9" s="152">
        <v>1473</v>
      </c>
      <c r="CY9" s="153">
        <v>1782</v>
      </c>
      <c r="CZ9" s="153">
        <v>1961</v>
      </c>
      <c r="DA9" s="153">
        <v>1493</v>
      </c>
      <c r="DB9" s="154">
        <v>1309</v>
      </c>
      <c r="DC9" s="154">
        <v>1326</v>
      </c>
      <c r="DD9" s="279">
        <v>1115</v>
      </c>
      <c r="DE9" s="279">
        <v>1000</v>
      </c>
      <c r="DF9" s="155"/>
      <c r="DG9" s="152">
        <v>1</v>
      </c>
      <c r="DH9" s="153">
        <v>2</v>
      </c>
      <c r="DI9" s="153">
        <v>3</v>
      </c>
      <c r="DJ9" s="153">
        <v>22</v>
      </c>
      <c r="DK9" s="154">
        <v>13</v>
      </c>
      <c r="DL9" s="154">
        <v>10</v>
      </c>
      <c r="DM9" s="279">
        <v>4</v>
      </c>
      <c r="DN9" s="279">
        <v>3</v>
      </c>
      <c r="DO9" s="155"/>
      <c r="DP9" s="152">
        <v>17</v>
      </c>
      <c r="DQ9" s="153">
        <v>120</v>
      </c>
      <c r="DR9" s="153">
        <v>146</v>
      </c>
      <c r="DS9" s="153">
        <v>85</v>
      </c>
      <c r="DT9" s="154">
        <v>56</v>
      </c>
      <c r="DU9" s="154">
        <v>39</v>
      </c>
      <c r="DV9" s="279">
        <v>24</v>
      </c>
      <c r="DW9" s="279">
        <v>15</v>
      </c>
      <c r="DX9" s="155"/>
      <c r="DY9" s="152">
        <v>19</v>
      </c>
      <c r="DZ9" s="153">
        <v>301</v>
      </c>
      <c r="EA9" s="153">
        <v>312</v>
      </c>
      <c r="EB9" s="153">
        <v>192</v>
      </c>
      <c r="EC9" s="154">
        <v>160</v>
      </c>
      <c r="ED9" s="154">
        <v>146</v>
      </c>
      <c r="EE9" s="279">
        <v>89</v>
      </c>
      <c r="EF9" s="279">
        <v>88</v>
      </c>
      <c r="EG9" s="155"/>
      <c r="EH9" s="152">
        <v>2</v>
      </c>
      <c r="EI9" s="153">
        <v>73</v>
      </c>
      <c r="EJ9" s="153">
        <v>90</v>
      </c>
      <c r="EK9" s="153">
        <v>35</v>
      </c>
      <c r="EL9" s="154">
        <v>31</v>
      </c>
      <c r="EM9" s="154">
        <v>25</v>
      </c>
      <c r="EN9" s="279">
        <v>27</v>
      </c>
      <c r="EO9" s="279">
        <v>15</v>
      </c>
      <c r="EP9" s="155"/>
      <c r="EQ9" s="152">
        <v>91</v>
      </c>
      <c r="ER9" s="153">
        <v>124</v>
      </c>
      <c r="ES9" s="153">
        <v>149</v>
      </c>
      <c r="ET9" s="153">
        <v>150</v>
      </c>
      <c r="EU9" s="154">
        <v>142</v>
      </c>
      <c r="EV9" s="154">
        <v>154</v>
      </c>
      <c r="EW9" s="279">
        <v>112</v>
      </c>
      <c r="EX9" s="279">
        <v>82</v>
      </c>
      <c r="EY9" s="155"/>
      <c r="EZ9" s="152">
        <v>4</v>
      </c>
      <c r="FA9" s="153">
        <v>2</v>
      </c>
      <c r="FB9" s="153">
        <v>3</v>
      </c>
      <c r="FC9" s="153">
        <v>3</v>
      </c>
      <c r="FD9" s="154">
        <v>5</v>
      </c>
      <c r="FE9" s="154">
        <v>1</v>
      </c>
      <c r="FF9" s="279">
        <v>1</v>
      </c>
      <c r="FG9" s="279">
        <v>1</v>
      </c>
      <c r="FH9" s="155"/>
      <c r="FI9" s="152">
        <v>205</v>
      </c>
      <c r="FJ9" s="153">
        <v>182</v>
      </c>
      <c r="FK9" s="153">
        <v>214</v>
      </c>
      <c r="FL9" s="153">
        <v>146</v>
      </c>
      <c r="FM9" s="154">
        <v>164</v>
      </c>
      <c r="FN9" s="154">
        <v>120</v>
      </c>
      <c r="FO9" s="279">
        <v>168</v>
      </c>
      <c r="FP9" s="279">
        <v>169</v>
      </c>
      <c r="FQ9" s="155"/>
      <c r="FR9" s="152">
        <v>5</v>
      </c>
      <c r="FS9" s="153">
        <v>4</v>
      </c>
      <c r="FT9" s="153"/>
      <c r="FU9" s="153">
        <v>2</v>
      </c>
      <c r="FV9" s="154">
        <v>3</v>
      </c>
      <c r="FW9" s="154">
        <v>6</v>
      </c>
      <c r="FX9" s="279">
        <v>5</v>
      </c>
      <c r="FY9" s="279">
        <v>2</v>
      </c>
      <c r="FZ9" s="155"/>
      <c r="GA9" s="152">
        <v>1</v>
      </c>
      <c r="GB9" s="153">
        <v>7</v>
      </c>
      <c r="GC9" s="153">
        <v>6</v>
      </c>
      <c r="GD9" s="153">
        <v>2</v>
      </c>
      <c r="GE9" s="154">
        <v>1</v>
      </c>
      <c r="GF9" s="154"/>
      <c r="GG9" s="279">
        <v>4</v>
      </c>
      <c r="GH9" s="279"/>
      <c r="GI9" s="155"/>
      <c r="GJ9" s="152">
        <v>1970</v>
      </c>
      <c r="GK9" s="153">
        <v>2349</v>
      </c>
      <c r="GL9" s="153">
        <v>2610</v>
      </c>
      <c r="GM9" s="153">
        <v>2003</v>
      </c>
      <c r="GN9" s="154">
        <v>1880</v>
      </c>
      <c r="GO9" s="154">
        <v>1881</v>
      </c>
      <c r="GP9" s="279">
        <v>1705</v>
      </c>
      <c r="GQ9" s="279">
        <v>1546</v>
      </c>
      <c r="GR9" s="155"/>
      <c r="GS9" s="152">
        <v>784</v>
      </c>
      <c r="GT9" s="153">
        <v>989</v>
      </c>
      <c r="GU9" s="153">
        <v>1132</v>
      </c>
      <c r="GV9" s="153">
        <v>687</v>
      </c>
      <c r="GW9" s="154">
        <v>499</v>
      </c>
      <c r="GX9" s="154">
        <v>495</v>
      </c>
      <c r="GY9" s="279">
        <v>468</v>
      </c>
      <c r="GZ9" s="279">
        <v>353</v>
      </c>
      <c r="HA9" s="155"/>
      <c r="HB9" s="152">
        <v>1</v>
      </c>
      <c r="HC9" s="153"/>
      <c r="HD9" s="153"/>
      <c r="HE9" s="153">
        <v>3</v>
      </c>
      <c r="HF9" s="154">
        <v>8</v>
      </c>
      <c r="HG9" s="154">
        <v>9</v>
      </c>
      <c r="HH9" s="279">
        <v>5</v>
      </c>
      <c r="HI9" s="279">
        <v>5</v>
      </c>
      <c r="HJ9" s="155"/>
      <c r="HK9" s="152"/>
      <c r="HL9" s="153"/>
      <c r="HM9" s="153"/>
      <c r="HN9" s="153"/>
      <c r="HO9" s="154"/>
      <c r="HP9" s="154"/>
      <c r="HQ9" s="279"/>
      <c r="HR9" s="279"/>
      <c r="HS9" s="155"/>
      <c r="HT9" s="152">
        <v>932</v>
      </c>
      <c r="HU9" s="153">
        <v>1066</v>
      </c>
      <c r="HV9" s="153">
        <v>1181</v>
      </c>
      <c r="HW9" s="153">
        <v>750</v>
      </c>
      <c r="HX9" s="154">
        <v>589</v>
      </c>
      <c r="HY9" s="154">
        <v>609</v>
      </c>
      <c r="HZ9" s="279">
        <v>579</v>
      </c>
      <c r="IA9" s="279">
        <v>512</v>
      </c>
      <c r="IB9" s="155"/>
      <c r="IC9" s="152">
        <v>3216</v>
      </c>
      <c r="ID9" s="153">
        <v>3234</v>
      </c>
      <c r="IE9" s="153">
        <v>5248</v>
      </c>
      <c r="IF9" s="153">
        <v>3222</v>
      </c>
      <c r="IG9" s="154">
        <v>2610</v>
      </c>
      <c r="IH9" s="154">
        <v>2705</v>
      </c>
      <c r="II9" s="279">
        <v>3678</v>
      </c>
      <c r="IJ9" s="279">
        <v>2694</v>
      </c>
      <c r="IK9" s="155"/>
    </row>
    <row r="10" spans="1:245" x14ac:dyDescent="0.2">
      <c r="A10" s="961"/>
      <c r="B10" s="151" t="s">
        <v>635</v>
      </c>
      <c r="C10" s="152"/>
      <c r="D10" s="153"/>
      <c r="E10" s="153"/>
      <c r="F10" s="153"/>
      <c r="G10" s="154">
        <v>2</v>
      </c>
      <c r="H10" s="154"/>
      <c r="I10" s="279"/>
      <c r="J10" s="279"/>
      <c r="K10" s="155"/>
      <c r="L10" s="152"/>
      <c r="M10" s="153"/>
      <c r="N10" s="153"/>
      <c r="O10" s="153"/>
      <c r="P10" s="154"/>
      <c r="Q10" s="154"/>
      <c r="R10" s="279"/>
      <c r="S10" s="279"/>
      <c r="T10" s="155"/>
      <c r="U10" s="152"/>
      <c r="V10" s="153"/>
      <c r="W10" s="153"/>
      <c r="X10" s="153"/>
      <c r="Y10" s="154"/>
      <c r="Z10" s="154"/>
      <c r="AA10" s="279"/>
      <c r="AB10" s="279"/>
      <c r="AC10" s="155"/>
      <c r="AD10" s="152">
        <v>74</v>
      </c>
      <c r="AE10" s="153">
        <v>82</v>
      </c>
      <c r="AF10" s="153">
        <v>81</v>
      </c>
      <c r="AG10" s="153">
        <v>84</v>
      </c>
      <c r="AH10" s="154">
        <v>92</v>
      </c>
      <c r="AI10" s="154">
        <v>122</v>
      </c>
      <c r="AJ10" s="279">
        <v>111</v>
      </c>
      <c r="AK10" s="279">
        <v>128</v>
      </c>
      <c r="AL10" s="155"/>
      <c r="AM10" s="152">
        <v>52</v>
      </c>
      <c r="AN10" s="153">
        <v>52</v>
      </c>
      <c r="AO10" s="153">
        <v>63</v>
      </c>
      <c r="AP10" s="153">
        <v>69</v>
      </c>
      <c r="AQ10" s="154">
        <v>74</v>
      </c>
      <c r="AR10" s="154">
        <v>83</v>
      </c>
      <c r="AS10" s="279">
        <v>91</v>
      </c>
      <c r="AT10" s="279">
        <v>104</v>
      </c>
      <c r="AU10" s="155"/>
      <c r="AV10" s="152"/>
      <c r="AW10" s="153"/>
      <c r="AX10" s="153"/>
      <c r="AY10" s="153"/>
      <c r="AZ10" s="154"/>
      <c r="BA10" s="154"/>
      <c r="BB10" s="279"/>
      <c r="BC10" s="279"/>
      <c r="BD10" s="155"/>
      <c r="BE10" s="152">
        <v>4</v>
      </c>
      <c r="BF10" s="153">
        <v>2</v>
      </c>
      <c r="BG10" s="153">
        <v>6</v>
      </c>
      <c r="BH10" s="153">
        <v>4</v>
      </c>
      <c r="BI10" s="154"/>
      <c r="BJ10" s="154">
        <v>4</v>
      </c>
      <c r="BK10" s="279">
        <v>3</v>
      </c>
      <c r="BL10" s="279">
        <v>8</v>
      </c>
      <c r="BM10" s="155"/>
      <c r="BN10" s="152">
        <v>1</v>
      </c>
      <c r="BO10" s="153"/>
      <c r="BP10" s="153"/>
      <c r="BQ10" s="153"/>
      <c r="BR10" s="154"/>
      <c r="BS10" s="154"/>
      <c r="BT10" s="279"/>
      <c r="BU10" s="279"/>
      <c r="BV10" s="155"/>
      <c r="BW10" s="152">
        <v>115</v>
      </c>
      <c r="BX10" s="153">
        <v>108</v>
      </c>
      <c r="BY10" s="153">
        <v>111</v>
      </c>
      <c r="BZ10" s="153">
        <v>143</v>
      </c>
      <c r="CA10" s="154">
        <v>160</v>
      </c>
      <c r="CB10" s="154">
        <v>213</v>
      </c>
      <c r="CC10" s="279">
        <v>182</v>
      </c>
      <c r="CD10" s="279">
        <v>153</v>
      </c>
      <c r="CE10" s="155"/>
      <c r="CF10" s="152">
        <v>10</v>
      </c>
      <c r="CG10" s="153">
        <v>9</v>
      </c>
      <c r="CH10" s="153">
        <v>2</v>
      </c>
      <c r="CI10" s="153">
        <v>8</v>
      </c>
      <c r="CJ10" s="154">
        <v>9</v>
      </c>
      <c r="CK10" s="154">
        <v>5</v>
      </c>
      <c r="CL10" s="279">
        <v>4</v>
      </c>
      <c r="CM10" s="279">
        <v>6</v>
      </c>
      <c r="CN10" s="155"/>
      <c r="CO10" s="152">
        <v>16</v>
      </c>
      <c r="CP10" s="153">
        <v>3</v>
      </c>
      <c r="CQ10" s="153">
        <v>2</v>
      </c>
      <c r="CR10" s="153">
        <v>2</v>
      </c>
      <c r="CS10" s="154">
        <v>3</v>
      </c>
      <c r="CT10" s="154">
        <v>3</v>
      </c>
      <c r="CU10" s="279">
        <v>3</v>
      </c>
      <c r="CV10" s="279">
        <v>6</v>
      </c>
      <c r="CW10" s="155"/>
      <c r="CX10" s="152">
        <v>1286</v>
      </c>
      <c r="CY10" s="153">
        <v>1698</v>
      </c>
      <c r="CZ10" s="153">
        <v>1686</v>
      </c>
      <c r="DA10" s="153">
        <v>1847</v>
      </c>
      <c r="DB10" s="154">
        <v>1471</v>
      </c>
      <c r="DC10" s="154">
        <v>1247</v>
      </c>
      <c r="DD10" s="279">
        <v>1242</v>
      </c>
      <c r="DE10" s="279">
        <v>1253</v>
      </c>
      <c r="DF10" s="155"/>
      <c r="DG10" s="152">
        <v>1</v>
      </c>
      <c r="DH10" s="153">
        <v>8</v>
      </c>
      <c r="DI10" s="153">
        <v>1</v>
      </c>
      <c r="DJ10" s="153">
        <v>26</v>
      </c>
      <c r="DK10" s="154">
        <v>15</v>
      </c>
      <c r="DL10" s="154">
        <v>6</v>
      </c>
      <c r="DM10" s="279">
        <v>7</v>
      </c>
      <c r="DN10" s="279">
        <v>3</v>
      </c>
      <c r="DO10" s="155"/>
      <c r="DP10" s="152">
        <v>20</v>
      </c>
      <c r="DQ10" s="153">
        <v>102</v>
      </c>
      <c r="DR10" s="153">
        <v>136</v>
      </c>
      <c r="DS10" s="153">
        <v>111</v>
      </c>
      <c r="DT10" s="154">
        <v>45</v>
      </c>
      <c r="DU10" s="154">
        <v>46</v>
      </c>
      <c r="DV10" s="279">
        <v>24</v>
      </c>
      <c r="DW10" s="279">
        <v>36</v>
      </c>
      <c r="DX10" s="155"/>
      <c r="DY10" s="152">
        <v>24</v>
      </c>
      <c r="DZ10" s="153">
        <v>169</v>
      </c>
      <c r="EA10" s="153">
        <v>150</v>
      </c>
      <c r="EB10" s="153">
        <v>206</v>
      </c>
      <c r="EC10" s="154">
        <v>183</v>
      </c>
      <c r="ED10" s="154">
        <v>164</v>
      </c>
      <c r="EE10" s="279">
        <v>131</v>
      </c>
      <c r="EF10" s="279">
        <v>109</v>
      </c>
      <c r="EG10" s="155"/>
      <c r="EH10" s="152">
        <v>4</v>
      </c>
      <c r="EI10" s="153">
        <v>42</v>
      </c>
      <c r="EJ10" s="153">
        <v>55</v>
      </c>
      <c r="EK10" s="153">
        <v>43</v>
      </c>
      <c r="EL10" s="154">
        <v>33</v>
      </c>
      <c r="EM10" s="154">
        <v>29</v>
      </c>
      <c r="EN10" s="279">
        <v>27</v>
      </c>
      <c r="EO10" s="279">
        <v>13</v>
      </c>
      <c r="EP10" s="155"/>
      <c r="EQ10" s="152">
        <v>16</v>
      </c>
      <c r="ER10" s="153">
        <v>47</v>
      </c>
      <c r="ES10" s="153">
        <v>65</v>
      </c>
      <c r="ET10" s="153">
        <v>80</v>
      </c>
      <c r="EU10" s="154">
        <v>79</v>
      </c>
      <c r="EV10" s="154">
        <v>71</v>
      </c>
      <c r="EW10" s="279">
        <v>57</v>
      </c>
      <c r="EX10" s="279">
        <v>34</v>
      </c>
      <c r="EY10" s="155"/>
      <c r="EZ10" s="152">
        <v>6</v>
      </c>
      <c r="FA10" s="153">
        <v>3</v>
      </c>
      <c r="FB10" s="153">
        <v>5</v>
      </c>
      <c r="FC10" s="153">
        <v>5</v>
      </c>
      <c r="FD10" s="154">
        <v>7</v>
      </c>
      <c r="FE10" s="154">
        <v>4</v>
      </c>
      <c r="FF10" s="279">
        <v>5</v>
      </c>
      <c r="FG10" s="279">
        <v>3</v>
      </c>
      <c r="FH10" s="155"/>
      <c r="FI10" s="152">
        <v>265</v>
      </c>
      <c r="FJ10" s="153">
        <v>301</v>
      </c>
      <c r="FK10" s="153">
        <v>256</v>
      </c>
      <c r="FL10" s="153">
        <v>159</v>
      </c>
      <c r="FM10" s="154">
        <v>155</v>
      </c>
      <c r="FN10" s="154">
        <v>133</v>
      </c>
      <c r="FO10" s="279">
        <v>129</v>
      </c>
      <c r="FP10" s="279">
        <v>139</v>
      </c>
      <c r="FQ10" s="155"/>
      <c r="FR10" s="152">
        <v>2</v>
      </c>
      <c r="FS10" s="153">
        <v>1</v>
      </c>
      <c r="FT10" s="153"/>
      <c r="FU10" s="153">
        <v>1</v>
      </c>
      <c r="FV10" s="154">
        <v>3</v>
      </c>
      <c r="FW10" s="154">
        <v>2</v>
      </c>
      <c r="FX10" s="279">
        <v>2</v>
      </c>
      <c r="FY10" s="279">
        <v>7</v>
      </c>
      <c r="FZ10" s="155"/>
      <c r="GA10" s="152">
        <v>1</v>
      </c>
      <c r="GB10" s="153">
        <v>3</v>
      </c>
      <c r="GC10" s="153">
        <v>5</v>
      </c>
      <c r="GD10" s="153">
        <v>8</v>
      </c>
      <c r="GE10" s="154">
        <v>8</v>
      </c>
      <c r="GF10" s="154">
        <v>3</v>
      </c>
      <c r="GG10" s="279">
        <v>1</v>
      </c>
      <c r="GH10" s="279">
        <v>3</v>
      </c>
      <c r="GI10" s="155"/>
      <c r="GJ10" s="152">
        <v>1800</v>
      </c>
      <c r="GK10" s="153">
        <v>2299</v>
      </c>
      <c r="GL10" s="153">
        <v>2274</v>
      </c>
      <c r="GM10" s="153">
        <v>2384</v>
      </c>
      <c r="GN10" s="154">
        <v>2022</v>
      </c>
      <c r="GO10" s="154">
        <v>1836</v>
      </c>
      <c r="GP10" s="279">
        <v>1766</v>
      </c>
      <c r="GQ10" s="279">
        <v>1753</v>
      </c>
      <c r="GR10" s="155"/>
      <c r="GS10" s="152">
        <v>549</v>
      </c>
      <c r="GT10" s="153">
        <v>769</v>
      </c>
      <c r="GU10" s="153">
        <v>738</v>
      </c>
      <c r="GV10" s="153">
        <v>725</v>
      </c>
      <c r="GW10" s="154">
        <v>510</v>
      </c>
      <c r="GX10" s="154">
        <v>475</v>
      </c>
      <c r="GY10" s="279">
        <v>452</v>
      </c>
      <c r="GZ10" s="279">
        <v>430</v>
      </c>
      <c r="HA10" s="155"/>
      <c r="HB10" s="152"/>
      <c r="HC10" s="153"/>
      <c r="HD10" s="153">
        <v>1</v>
      </c>
      <c r="HE10" s="153">
        <v>2</v>
      </c>
      <c r="HF10" s="154">
        <v>4</v>
      </c>
      <c r="HG10" s="154">
        <v>5</v>
      </c>
      <c r="HH10" s="279">
        <v>1</v>
      </c>
      <c r="HI10" s="279">
        <v>7</v>
      </c>
      <c r="HJ10" s="155"/>
      <c r="HK10" s="152"/>
      <c r="HL10" s="153"/>
      <c r="HM10" s="153"/>
      <c r="HN10" s="153"/>
      <c r="HO10" s="154"/>
      <c r="HP10" s="154"/>
      <c r="HQ10" s="279"/>
      <c r="HR10" s="279"/>
      <c r="HS10" s="155"/>
      <c r="HT10" s="152">
        <v>639</v>
      </c>
      <c r="HU10" s="153">
        <v>849</v>
      </c>
      <c r="HV10" s="153">
        <v>789</v>
      </c>
      <c r="HW10" s="153">
        <v>816</v>
      </c>
      <c r="HX10" s="154">
        <v>601</v>
      </c>
      <c r="HY10" s="154">
        <v>579</v>
      </c>
      <c r="HZ10" s="279">
        <v>575</v>
      </c>
      <c r="IA10" s="279">
        <v>578</v>
      </c>
      <c r="IB10" s="155"/>
      <c r="IC10" s="152">
        <v>2691</v>
      </c>
      <c r="ID10" s="153">
        <v>3232</v>
      </c>
      <c r="IE10" s="153">
        <v>3651</v>
      </c>
      <c r="IF10" s="153">
        <v>4051</v>
      </c>
      <c r="IG10" s="154">
        <v>2661</v>
      </c>
      <c r="IH10" s="154">
        <v>2544</v>
      </c>
      <c r="II10" s="279">
        <v>2474</v>
      </c>
      <c r="IJ10" s="279">
        <v>2413</v>
      </c>
      <c r="IK10" s="155"/>
    </row>
    <row r="11" spans="1:245" x14ac:dyDescent="0.2">
      <c r="A11" s="961"/>
      <c r="B11" s="151" t="s">
        <v>636</v>
      </c>
      <c r="C11" s="152"/>
      <c r="D11" s="153"/>
      <c r="E11" s="153"/>
      <c r="F11" s="153"/>
      <c r="G11" s="154"/>
      <c r="H11" s="154"/>
      <c r="I11" s="279"/>
      <c r="J11" s="279"/>
      <c r="K11" s="155"/>
      <c r="L11" s="152"/>
      <c r="M11" s="153"/>
      <c r="N11" s="153"/>
      <c r="O11" s="153"/>
      <c r="P11" s="154"/>
      <c r="Q11" s="154"/>
      <c r="R11" s="279"/>
      <c r="S11" s="279"/>
      <c r="T11" s="155"/>
      <c r="U11" s="152"/>
      <c r="V11" s="153"/>
      <c r="W11" s="153"/>
      <c r="X11" s="153"/>
      <c r="Y11" s="154"/>
      <c r="Z11" s="154"/>
      <c r="AA11" s="279"/>
      <c r="AB11" s="279"/>
      <c r="AC11" s="155"/>
      <c r="AD11" s="152">
        <v>188</v>
      </c>
      <c r="AE11" s="153">
        <v>173</v>
      </c>
      <c r="AF11" s="153">
        <v>160</v>
      </c>
      <c r="AG11" s="153">
        <v>171</v>
      </c>
      <c r="AH11" s="154">
        <v>150</v>
      </c>
      <c r="AI11" s="154">
        <v>119</v>
      </c>
      <c r="AJ11" s="279">
        <v>163</v>
      </c>
      <c r="AK11" s="279">
        <v>184</v>
      </c>
      <c r="AL11" s="155"/>
      <c r="AM11" s="152">
        <v>129</v>
      </c>
      <c r="AN11" s="153">
        <v>132</v>
      </c>
      <c r="AO11" s="153">
        <v>116</v>
      </c>
      <c r="AP11" s="153">
        <v>116</v>
      </c>
      <c r="AQ11" s="154">
        <v>80</v>
      </c>
      <c r="AR11" s="154">
        <v>61</v>
      </c>
      <c r="AS11" s="279">
        <v>94</v>
      </c>
      <c r="AT11" s="279">
        <v>82</v>
      </c>
      <c r="AU11" s="155"/>
      <c r="AV11" s="152"/>
      <c r="AW11" s="153"/>
      <c r="AX11" s="153"/>
      <c r="AY11" s="153"/>
      <c r="AZ11" s="154"/>
      <c r="BA11" s="154"/>
      <c r="BB11" s="279"/>
      <c r="BC11" s="279"/>
      <c r="BD11" s="155"/>
      <c r="BE11" s="152">
        <v>12</v>
      </c>
      <c r="BF11" s="153">
        <v>32</v>
      </c>
      <c r="BG11" s="153">
        <v>9</v>
      </c>
      <c r="BH11" s="153">
        <v>12</v>
      </c>
      <c r="BI11" s="154">
        <v>11</v>
      </c>
      <c r="BJ11" s="154">
        <v>10</v>
      </c>
      <c r="BK11" s="279">
        <v>28</v>
      </c>
      <c r="BL11" s="279">
        <v>32</v>
      </c>
      <c r="BM11" s="155"/>
      <c r="BN11" s="152"/>
      <c r="BO11" s="153"/>
      <c r="BP11" s="153"/>
      <c r="BQ11" s="153"/>
      <c r="BR11" s="154"/>
      <c r="BS11" s="154"/>
      <c r="BT11" s="279"/>
      <c r="BU11" s="279"/>
      <c r="BV11" s="155"/>
      <c r="BW11" s="152">
        <v>245</v>
      </c>
      <c r="BX11" s="153">
        <v>198</v>
      </c>
      <c r="BY11" s="153">
        <v>200</v>
      </c>
      <c r="BZ11" s="153">
        <v>281</v>
      </c>
      <c r="CA11" s="154">
        <v>243</v>
      </c>
      <c r="CB11" s="154">
        <v>223</v>
      </c>
      <c r="CC11" s="279">
        <v>299</v>
      </c>
      <c r="CD11" s="279">
        <v>258</v>
      </c>
      <c r="CE11" s="155"/>
      <c r="CF11" s="152">
        <v>17</v>
      </c>
      <c r="CG11" s="153">
        <v>14</v>
      </c>
      <c r="CH11" s="153">
        <v>20</v>
      </c>
      <c r="CI11" s="153">
        <v>16</v>
      </c>
      <c r="CJ11" s="154">
        <v>20</v>
      </c>
      <c r="CK11" s="154">
        <v>9</v>
      </c>
      <c r="CL11" s="279">
        <v>17</v>
      </c>
      <c r="CM11" s="279">
        <v>7</v>
      </c>
      <c r="CN11" s="155"/>
      <c r="CO11" s="152">
        <v>9</v>
      </c>
      <c r="CP11" s="153">
        <v>8</v>
      </c>
      <c r="CQ11" s="153">
        <v>15</v>
      </c>
      <c r="CR11" s="153">
        <v>12</v>
      </c>
      <c r="CS11" s="154">
        <v>9</v>
      </c>
      <c r="CT11" s="154">
        <v>7</v>
      </c>
      <c r="CU11" s="279">
        <v>10</v>
      </c>
      <c r="CV11" s="279">
        <v>22</v>
      </c>
      <c r="CW11" s="155"/>
      <c r="CX11" s="152">
        <v>2758</v>
      </c>
      <c r="CY11" s="153">
        <v>3683</v>
      </c>
      <c r="CZ11" s="153">
        <v>3170</v>
      </c>
      <c r="DA11" s="153">
        <v>3346</v>
      </c>
      <c r="DB11" s="154">
        <v>2952</v>
      </c>
      <c r="DC11" s="154">
        <v>2091</v>
      </c>
      <c r="DD11" s="279">
        <v>1720</v>
      </c>
      <c r="DE11" s="279">
        <v>1494</v>
      </c>
      <c r="DF11" s="155"/>
      <c r="DG11" s="152">
        <v>4</v>
      </c>
      <c r="DH11" s="153">
        <v>40</v>
      </c>
      <c r="DI11" s="153">
        <v>12</v>
      </c>
      <c r="DJ11" s="153">
        <v>50</v>
      </c>
      <c r="DK11" s="154">
        <v>33</v>
      </c>
      <c r="DL11" s="154">
        <v>15</v>
      </c>
      <c r="DM11" s="279">
        <v>9</v>
      </c>
      <c r="DN11" s="279">
        <v>17</v>
      </c>
      <c r="DO11" s="155"/>
      <c r="DP11" s="152">
        <v>57</v>
      </c>
      <c r="DQ11" s="153">
        <v>659</v>
      </c>
      <c r="DR11" s="153">
        <v>500</v>
      </c>
      <c r="DS11" s="153">
        <v>555</v>
      </c>
      <c r="DT11" s="154">
        <v>423</v>
      </c>
      <c r="DU11" s="154">
        <v>125</v>
      </c>
      <c r="DV11" s="279">
        <v>83</v>
      </c>
      <c r="DW11" s="279">
        <v>52</v>
      </c>
      <c r="DX11" s="155"/>
      <c r="DY11" s="152">
        <v>72</v>
      </c>
      <c r="DZ11" s="153">
        <v>498</v>
      </c>
      <c r="EA11" s="153">
        <v>335</v>
      </c>
      <c r="EB11" s="153">
        <v>332</v>
      </c>
      <c r="EC11" s="154">
        <v>294</v>
      </c>
      <c r="ED11" s="154">
        <v>181</v>
      </c>
      <c r="EE11" s="279">
        <v>123</v>
      </c>
      <c r="EF11" s="279">
        <v>101</v>
      </c>
      <c r="EG11" s="155"/>
      <c r="EH11" s="152">
        <v>17</v>
      </c>
      <c r="EI11" s="153">
        <v>159</v>
      </c>
      <c r="EJ11" s="153">
        <v>147</v>
      </c>
      <c r="EK11" s="153">
        <v>115</v>
      </c>
      <c r="EL11" s="154">
        <v>93</v>
      </c>
      <c r="EM11" s="154">
        <v>41</v>
      </c>
      <c r="EN11" s="279">
        <v>36</v>
      </c>
      <c r="EO11" s="279">
        <v>22</v>
      </c>
      <c r="EP11" s="155"/>
      <c r="EQ11" s="152">
        <v>174</v>
      </c>
      <c r="ER11" s="153">
        <v>228</v>
      </c>
      <c r="ES11" s="153">
        <v>284</v>
      </c>
      <c r="ET11" s="153">
        <v>283</v>
      </c>
      <c r="EU11" s="154">
        <v>295</v>
      </c>
      <c r="EV11" s="154">
        <v>166</v>
      </c>
      <c r="EW11" s="279">
        <v>111</v>
      </c>
      <c r="EX11" s="279">
        <v>70</v>
      </c>
      <c r="EY11" s="155"/>
      <c r="EZ11" s="152">
        <v>16</v>
      </c>
      <c r="FA11" s="153">
        <v>7</v>
      </c>
      <c r="FB11" s="153">
        <v>2</v>
      </c>
      <c r="FC11" s="153">
        <v>9</v>
      </c>
      <c r="FD11" s="154">
        <v>21</v>
      </c>
      <c r="FE11" s="154">
        <v>9</v>
      </c>
      <c r="FF11" s="279">
        <v>3</v>
      </c>
      <c r="FG11" s="279">
        <v>2</v>
      </c>
      <c r="FH11" s="155"/>
      <c r="FI11" s="152">
        <v>557</v>
      </c>
      <c r="FJ11" s="153">
        <v>326</v>
      </c>
      <c r="FK11" s="153">
        <v>256</v>
      </c>
      <c r="FL11" s="153">
        <v>235</v>
      </c>
      <c r="FM11" s="154">
        <v>232</v>
      </c>
      <c r="FN11" s="154">
        <v>186</v>
      </c>
      <c r="FO11" s="279">
        <v>161</v>
      </c>
      <c r="FP11" s="279">
        <v>174</v>
      </c>
      <c r="FQ11" s="155"/>
      <c r="FR11" s="152">
        <v>5</v>
      </c>
      <c r="FS11" s="153">
        <v>3</v>
      </c>
      <c r="FT11" s="153">
        <v>6</v>
      </c>
      <c r="FU11" s="153">
        <v>5</v>
      </c>
      <c r="FV11" s="154">
        <v>7</v>
      </c>
      <c r="FW11" s="154">
        <v>4</v>
      </c>
      <c r="FX11" s="279">
        <v>3</v>
      </c>
      <c r="FY11" s="279">
        <v>11</v>
      </c>
      <c r="FZ11" s="155"/>
      <c r="GA11" s="152">
        <v>2</v>
      </c>
      <c r="GB11" s="153">
        <v>10</v>
      </c>
      <c r="GC11" s="153">
        <v>14</v>
      </c>
      <c r="GD11" s="153">
        <v>10</v>
      </c>
      <c r="GE11" s="154">
        <v>9</v>
      </c>
      <c r="GF11" s="154">
        <v>10</v>
      </c>
      <c r="GG11" s="279">
        <v>9</v>
      </c>
      <c r="GH11" s="279">
        <v>3</v>
      </c>
      <c r="GI11" s="155"/>
      <c r="GJ11" s="152">
        <v>4000</v>
      </c>
      <c r="GK11" s="153">
        <v>4841</v>
      </c>
      <c r="GL11" s="153">
        <v>4283</v>
      </c>
      <c r="GM11" s="153">
        <v>4495</v>
      </c>
      <c r="GN11" s="154">
        <v>4042</v>
      </c>
      <c r="GO11" s="154">
        <v>2875</v>
      </c>
      <c r="GP11" s="279">
        <v>2560</v>
      </c>
      <c r="GQ11" s="279">
        <v>2279</v>
      </c>
      <c r="GR11" s="155"/>
      <c r="GS11" s="152">
        <v>1931</v>
      </c>
      <c r="GT11" s="153">
        <v>2566</v>
      </c>
      <c r="GU11" s="153">
        <v>2345</v>
      </c>
      <c r="GV11" s="153">
        <v>2273</v>
      </c>
      <c r="GW11" s="154">
        <v>1446</v>
      </c>
      <c r="GX11" s="154">
        <v>803</v>
      </c>
      <c r="GY11" s="279">
        <v>607</v>
      </c>
      <c r="GZ11" s="279">
        <v>612</v>
      </c>
      <c r="HA11" s="155"/>
      <c r="HB11" s="152"/>
      <c r="HC11" s="153">
        <v>1</v>
      </c>
      <c r="HD11" s="153">
        <v>1</v>
      </c>
      <c r="HE11" s="153">
        <v>1</v>
      </c>
      <c r="HF11" s="154">
        <v>10</v>
      </c>
      <c r="HG11" s="154">
        <v>18</v>
      </c>
      <c r="HH11" s="279">
        <v>10</v>
      </c>
      <c r="HI11" s="279">
        <v>8</v>
      </c>
      <c r="HJ11" s="155"/>
      <c r="HK11" s="152"/>
      <c r="HL11" s="153"/>
      <c r="HM11" s="153"/>
      <c r="HN11" s="153"/>
      <c r="HO11" s="154"/>
      <c r="HP11" s="154"/>
      <c r="HQ11" s="279"/>
      <c r="HR11" s="279">
        <v>1</v>
      </c>
      <c r="HS11" s="155"/>
      <c r="HT11" s="152">
        <v>2797</v>
      </c>
      <c r="HU11" s="153">
        <v>2820</v>
      </c>
      <c r="HV11" s="153">
        <v>2525</v>
      </c>
      <c r="HW11" s="153">
        <v>2571</v>
      </c>
      <c r="HX11" s="154">
        <v>1735</v>
      </c>
      <c r="HY11" s="154">
        <v>1096</v>
      </c>
      <c r="HZ11" s="279">
        <v>1060</v>
      </c>
      <c r="IA11" s="279">
        <v>1012</v>
      </c>
      <c r="IB11" s="155"/>
      <c r="IC11" s="152">
        <v>7172</v>
      </c>
      <c r="ID11" s="153">
        <v>6946</v>
      </c>
      <c r="IE11" s="153">
        <v>8242</v>
      </c>
      <c r="IF11" s="153">
        <v>6318</v>
      </c>
      <c r="IG11" s="154">
        <v>5412</v>
      </c>
      <c r="IH11" s="154">
        <v>4167</v>
      </c>
      <c r="II11" s="279">
        <v>3870</v>
      </c>
      <c r="IJ11" s="279">
        <v>3551</v>
      </c>
      <c r="IK11" s="155"/>
    </row>
    <row r="12" spans="1:245" x14ac:dyDescent="0.2">
      <c r="A12" s="961"/>
      <c r="B12" s="151" t="s">
        <v>637</v>
      </c>
      <c r="C12" s="152"/>
      <c r="D12" s="153"/>
      <c r="E12" s="153"/>
      <c r="F12" s="153"/>
      <c r="G12" s="154"/>
      <c r="H12" s="154"/>
      <c r="I12" s="279"/>
      <c r="J12" s="279"/>
      <c r="K12" s="155"/>
      <c r="L12" s="152"/>
      <c r="M12" s="153"/>
      <c r="N12" s="153"/>
      <c r="O12" s="153"/>
      <c r="P12" s="154"/>
      <c r="Q12" s="154"/>
      <c r="R12" s="279"/>
      <c r="S12" s="279"/>
      <c r="T12" s="155"/>
      <c r="U12" s="152"/>
      <c r="V12" s="153"/>
      <c r="W12" s="153"/>
      <c r="X12" s="153"/>
      <c r="Y12" s="154"/>
      <c r="Z12" s="154"/>
      <c r="AA12" s="279"/>
      <c r="AB12" s="279"/>
      <c r="AC12" s="155"/>
      <c r="AD12" s="152">
        <v>68</v>
      </c>
      <c r="AE12" s="153">
        <v>89</v>
      </c>
      <c r="AF12" s="153">
        <v>95</v>
      </c>
      <c r="AG12" s="153">
        <v>129</v>
      </c>
      <c r="AH12" s="154">
        <v>117</v>
      </c>
      <c r="AI12" s="154">
        <v>108</v>
      </c>
      <c r="AJ12" s="279">
        <v>135</v>
      </c>
      <c r="AK12" s="279">
        <v>125</v>
      </c>
      <c r="AL12" s="155"/>
      <c r="AM12" s="152">
        <v>62</v>
      </c>
      <c r="AN12" s="153">
        <v>72</v>
      </c>
      <c r="AO12" s="153">
        <v>81</v>
      </c>
      <c r="AP12" s="153">
        <v>109</v>
      </c>
      <c r="AQ12" s="154">
        <v>73</v>
      </c>
      <c r="AR12" s="154">
        <v>71</v>
      </c>
      <c r="AS12" s="279">
        <v>93</v>
      </c>
      <c r="AT12" s="279">
        <v>76</v>
      </c>
      <c r="AU12" s="155"/>
      <c r="AV12" s="152"/>
      <c r="AW12" s="153"/>
      <c r="AX12" s="153"/>
      <c r="AY12" s="153"/>
      <c r="AZ12" s="154"/>
      <c r="BA12" s="154"/>
      <c r="BB12" s="279"/>
      <c r="BC12" s="279"/>
      <c r="BD12" s="155"/>
      <c r="BE12" s="152">
        <v>9</v>
      </c>
      <c r="BF12" s="153">
        <v>2</v>
      </c>
      <c r="BG12" s="153">
        <v>4</v>
      </c>
      <c r="BH12" s="153"/>
      <c r="BI12" s="154">
        <v>4</v>
      </c>
      <c r="BJ12" s="154">
        <v>2</v>
      </c>
      <c r="BK12" s="279">
        <v>1</v>
      </c>
      <c r="BL12" s="279"/>
      <c r="BM12" s="155"/>
      <c r="BN12" s="152">
        <v>1</v>
      </c>
      <c r="BO12" s="153"/>
      <c r="BP12" s="153"/>
      <c r="BQ12" s="153"/>
      <c r="BR12" s="154"/>
      <c r="BS12" s="154">
        <v>1</v>
      </c>
      <c r="BT12" s="279"/>
      <c r="BU12" s="279">
        <v>2</v>
      </c>
      <c r="BV12" s="155"/>
      <c r="BW12" s="152">
        <v>77</v>
      </c>
      <c r="BX12" s="153">
        <v>72</v>
      </c>
      <c r="BY12" s="153">
        <v>77</v>
      </c>
      <c r="BZ12" s="153">
        <v>128</v>
      </c>
      <c r="CA12" s="154">
        <v>122</v>
      </c>
      <c r="CB12" s="154">
        <v>151</v>
      </c>
      <c r="CC12" s="279">
        <v>129</v>
      </c>
      <c r="CD12" s="279">
        <v>135</v>
      </c>
      <c r="CE12" s="155"/>
      <c r="CF12" s="152">
        <v>7</v>
      </c>
      <c r="CG12" s="153">
        <v>8</v>
      </c>
      <c r="CH12" s="153">
        <v>1</v>
      </c>
      <c r="CI12" s="153">
        <v>3</v>
      </c>
      <c r="CJ12" s="154">
        <v>1</v>
      </c>
      <c r="CK12" s="154">
        <v>3</v>
      </c>
      <c r="CL12" s="279">
        <v>9</v>
      </c>
      <c r="CM12" s="279">
        <v>5</v>
      </c>
      <c r="CN12" s="155"/>
      <c r="CO12" s="152">
        <v>2</v>
      </c>
      <c r="CP12" s="153">
        <v>2</v>
      </c>
      <c r="CQ12" s="153">
        <v>3</v>
      </c>
      <c r="CR12" s="153">
        <v>1</v>
      </c>
      <c r="CS12" s="154"/>
      <c r="CT12" s="154"/>
      <c r="CU12" s="279">
        <v>4</v>
      </c>
      <c r="CV12" s="279">
        <v>8</v>
      </c>
      <c r="CW12" s="155"/>
      <c r="CX12" s="152">
        <v>2089</v>
      </c>
      <c r="CY12" s="153">
        <v>3189</v>
      </c>
      <c r="CZ12" s="153">
        <v>2786</v>
      </c>
      <c r="DA12" s="153">
        <v>2842</v>
      </c>
      <c r="DB12" s="154">
        <v>1958</v>
      </c>
      <c r="DC12" s="154">
        <v>1534</v>
      </c>
      <c r="DD12" s="279">
        <v>1962</v>
      </c>
      <c r="DE12" s="279">
        <v>1591</v>
      </c>
      <c r="DF12" s="155"/>
      <c r="DG12" s="152">
        <v>13</v>
      </c>
      <c r="DH12" s="153">
        <v>70</v>
      </c>
      <c r="DI12" s="153">
        <v>39</v>
      </c>
      <c r="DJ12" s="153">
        <v>137</v>
      </c>
      <c r="DK12" s="154">
        <v>123</v>
      </c>
      <c r="DL12" s="154">
        <v>70</v>
      </c>
      <c r="DM12" s="279">
        <v>42</v>
      </c>
      <c r="DN12" s="279">
        <v>98</v>
      </c>
      <c r="DO12" s="155"/>
      <c r="DP12" s="152">
        <v>43</v>
      </c>
      <c r="DQ12" s="153">
        <v>468</v>
      </c>
      <c r="DR12" s="153">
        <v>526</v>
      </c>
      <c r="DS12" s="153">
        <v>377</v>
      </c>
      <c r="DT12" s="154">
        <v>347</v>
      </c>
      <c r="DU12" s="154">
        <v>190</v>
      </c>
      <c r="DV12" s="279">
        <v>176</v>
      </c>
      <c r="DW12" s="279">
        <v>119</v>
      </c>
      <c r="DX12" s="155"/>
      <c r="DY12" s="152">
        <v>64</v>
      </c>
      <c r="DZ12" s="153">
        <v>321</v>
      </c>
      <c r="EA12" s="153">
        <v>335</v>
      </c>
      <c r="EB12" s="153">
        <v>272</v>
      </c>
      <c r="EC12" s="154">
        <v>201</v>
      </c>
      <c r="ED12" s="154">
        <v>103</v>
      </c>
      <c r="EE12" s="279">
        <v>138</v>
      </c>
      <c r="EF12" s="279">
        <v>102</v>
      </c>
      <c r="EG12" s="155"/>
      <c r="EH12" s="152">
        <v>18</v>
      </c>
      <c r="EI12" s="153">
        <v>55</v>
      </c>
      <c r="EJ12" s="153">
        <v>74</v>
      </c>
      <c r="EK12" s="153">
        <v>37</v>
      </c>
      <c r="EL12" s="154">
        <v>43</v>
      </c>
      <c r="EM12" s="154">
        <v>44</v>
      </c>
      <c r="EN12" s="279">
        <v>51</v>
      </c>
      <c r="EO12" s="279">
        <v>13</v>
      </c>
      <c r="EP12" s="155"/>
      <c r="EQ12" s="152">
        <v>33</v>
      </c>
      <c r="ER12" s="153">
        <v>80</v>
      </c>
      <c r="ES12" s="153">
        <v>109</v>
      </c>
      <c r="ET12" s="153">
        <v>76</v>
      </c>
      <c r="EU12" s="154">
        <v>79</v>
      </c>
      <c r="EV12" s="154">
        <v>73</v>
      </c>
      <c r="EW12" s="279">
        <v>50</v>
      </c>
      <c r="EX12" s="279">
        <v>45</v>
      </c>
      <c r="EY12" s="155"/>
      <c r="EZ12" s="152">
        <v>5</v>
      </c>
      <c r="FA12" s="153">
        <v>5</v>
      </c>
      <c r="FB12" s="153">
        <v>3</v>
      </c>
      <c r="FC12" s="153">
        <v>5</v>
      </c>
      <c r="FD12" s="154">
        <v>1</v>
      </c>
      <c r="FE12" s="154">
        <v>1</v>
      </c>
      <c r="FF12" s="279">
        <v>3</v>
      </c>
      <c r="FG12" s="279">
        <v>4</v>
      </c>
      <c r="FH12" s="155"/>
      <c r="FI12" s="152">
        <v>478</v>
      </c>
      <c r="FJ12" s="153">
        <v>348</v>
      </c>
      <c r="FK12" s="153">
        <v>241</v>
      </c>
      <c r="FL12" s="153">
        <v>213</v>
      </c>
      <c r="FM12" s="154">
        <v>186</v>
      </c>
      <c r="FN12" s="154">
        <v>125</v>
      </c>
      <c r="FO12" s="279">
        <v>170</v>
      </c>
      <c r="FP12" s="279">
        <v>118</v>
      </c>
      <c r="FQ12" s="155"/>
      <c r="FR12" s="152">
        <v>3</v>
      </c>
      <c r="FS12" s="153">
        <v>2</v>
      </c>
      <c r="FT12" s="153">
        <v>2</v>
      </c>
      <c r="FU12" s="153">
        <v>2</v>
      </c>
      <c r="FV12" s="154">
        <v>2</v>
      </c>
      <c r="FW12" s="154">
        <v>5</v>
      </c>
      <c r="FX12" s="279">
        <v>2</v>
      </c>
      <c r="FY12" s="279">
        <v>2</v>
      </c>
      <c r="FZ12" s="155"/>
      <c r="GA12" s="152">
        <v>10</v>
      </c>
      <c r="GB12" s="153">
        <v>21</v>
      </c>
      <c r="GC12" s="153">
        <v>41</v>
      </c>
      <c r="GD12" s="153">
        <v>25</v>
      </c>
      <c r="GE12" s="154">
        <v>23</v>
      </c>
      <c r="GF12" s="154">
        <v>4</v>
      </c>
      <c r="GG12" s="279">
        <v>3</v>
      </c>
      <c r="GH12" s="279">
        <v>4</v>
      </c>
      <c r="GI12" s="155"/>
      <c r="GJ12" s="152">
        <v>2800</v>
      </c>
      <c r="GK12" s="153">
        <v>3873</v>
      </c>
      <c r="GL12" s="153">
        <v>3436</v>
      </c>
      <c r="GM12" s="153">
        <v>3461</v>
      </c>
      <c r="GN12" s="154">
        <v>2536</v>
      </c>
      <c r="GO12" s="154">
        <v>2051</v>
      </c>
      <c r="GP12" s="279">
        <v>2519</v>
      </c>
      <c r="GQ12" s="279">
        <v>2052</v>
      </c>
      <c r="GR12" s="155"/>
      <c r="GS12" s="152">
        <v>1350</v>
      </c>
      <c r="GT12" s="153">
        <v>2067</v>
      </c>
      <c r="GU12" s="153">
        <v>2172</v>
      </c>
      <c r="GV12" s="153">
        <v>2122</v>
      </c>
      <c r="GW12" s="154">
        <v>1227</v>
      </c>
      <c r="GX12" s="154">
        <v>810</v>
      </c>
      <c r="GY12" s="279">
        <v>1184</v>
      </c>
      <c r="GZ12" s="279">
        <v>588</v>
      </c>
      <c r="HA12" s="155"/>
      <c r="HB12" s="152"/>
      <c r="HC12" s="153"/>
      <c r="HD12" s="153"/>
      <c r="HE12" s="153"/>
      <c r="HF12" s="154">
        <v>5</v>
      </c>
      <c r="HG12" s="154">
        <v>7</v>
      </c>
      <c r="HH12" s="279">
        <v>10</v>
      </c>
      <c r="HI12" s="279">
        <v>6</v>
      </c>
      <c r="HJ12" s="155"/>
      <c r="HK12" s="152"/>
      <c r="HL12" s="153"/>
      <c r="HM12" s="153"/>
      <c r="HN12" s="153"/>
      <c r="HO12" s="154"/>
      <c r="HP12" s="154"/>
      <c r="HQ12" s="279"/>
      <c r="HR12" s="279"/>
      <c r="HS12" s="155"/>
      <c r="HT12" s="152">
        <v>1420</v>
      </c>
      <c r="HU12" s="153">
        <v>2135</v>
      </c>
      <c r="HV12" s="153">
        <v>2248</v>
      </c>
      <c r="HW12" s="153">
        <v>2266</v>
      </c>
      <c r="HX12" s="154">
        <v>1381</v>
      </c>
      <c r="HY12" s="154">
        <v>999</v>
      </c>
      <c r="HZ12" s="279">
        <v>1368</v>
      </c>
      <c r="IA12" s="279">
        <v>705</v>
      </c>
      <c r="IB12" s="155"/>
      <c r="IC12" s="152">
        <v>4622</v>
      </c>
      <c r="ID12" s="153">
        <v>5426</v>
      </c>
      <c r="IE12" s="153">
        <v>6059</v>
      </c>
      <c r="IF12" s="153">
        <v>4645</v>
      </c>
      <c r="IG12" s="154">
        <v>3506</v>
      </c>
      <c r="IH12" s="154">
        <v>3099</v>
      </c>
      <c r="II12" s="279">
        <v>3396</v>
      </c>
      <c r="IJ12" s="279">
        <v>3254</v>
      </c>
      <c r="IK12" s="155"/>
    </row>
    <row r="13" spans="1:245" x14ac:dyDescent="0.2">
      <c r="A13" s="961"/>
      <c r="B13" s="151" t="s">
        <v>638</v>
      </c>
      <c r="C13" s="152"/>
      <c r="D13" s="153"/>
      <c r="E13" s="153"/>
      <c r="F13" s="153"/>
      <c r="G13" s="154"/>
      <c r="H13" s="154"/>
      <c r="I13" s="279"/>
      <c r="J13" s="279"/>
      <c r="K13" s="155"/>
      <c r="L13" s="152"/>
      <c r="M13" s="153"/>
      <c r="N13" s="153"/>
      <c r="O13" s="153"/>
      <c r="P13" s="154"/>
      <c r="Q13" s="154"/>
      <c r="R13" s="279"/>
      <c r="S13" s="279"/>
      <c r="T13" s="155"/>
      <c r="U13" s="152"/>
      <c r="V13" s="153"/>
      <c r="W13" s="153"/>
      <c r="X13" s="153"/>
      <c r="Y13" s="154"/>
      <c r="Z13" s="154"/>
      <c r="AA13" s="279"/>
      <c r="AB13" s="279"/>
      <c r="AC13" s="155"/>
      <c r="AD13" s="152">
        <v>129</v>
      </c>
      <c r="AE13" s="153">
        <v>119</v>
      </c>
      <c r="AF13" s="153">
        <v>103</v>
      </c>
      <c r="AG13" s="153">
        <v>108</v>
      </c>
      <c r="AH13" s="154">
        <v>107</v>
      </c>
      <c r="AI13" s="154">
        <v>129</v>
      </c>
      <c r="AJ13" s="279">
        <v>121</v>
      </c>
      <c r="AK13" s="279">
        <v>137</v>
      </c>
      <c r="AL13" s="155"/>
      <c r="AM13" s="152">
        <v>102</v>
      </c>
      <c r="AN13" s="153">
        <v>85</v>
      </c>
      <c r="AO13" s="153">
        <v>74</v>
      </c>
      <c r="AP13" s="153">
        <v>79</v>
      </c>
      <c r="AQ13" s="154">
        <v>66</v>
      </c>
      <c r="AR13" s="154">
        <v>93</v>
      </c>
      <c r="AS13" s="279">
        <v>75</v>
      </c>
      <c r="AT13" s="279">
        <v>101</v>
      </c>
      <c r="AU13" s="155"/>
      <c r="AV13" s="152"/>
      <c r="AW13" s="153"/>
      <c r="AX13" s="153"/>
      <c r="AY13" s="153"/>
      <c r="AZ13" s="154"/>
      <c r="BA13" s="154"/>
      <c r="BB13" s="279"/>
      <c r="BC13" s="279"/>
      <c r="BD13" s="155"/>
      <c r="BE13" s="152">
        <v>10</v>
      </c>
      <c r="BF13" s="153">
        <v>11</v>
      </c>
      <c r="BG13" s="153">
        <v>8</v>
      </c>
      <c r="BH13" s="153">
        <v>7</v>
      </c>
      <c r="BI13" s="154">
        <v>10</v>
      </c>
      <c r="BJ13" s="154">
        <v>2</v>
      </c>
      <c r="BK13" s="279">
        <v>3</v>
      </c>
      <c r="BL13" s="279">
        <v>6</v>
      </c>
      <c r="BM13" s="155"/>
      <c r="BN13" s="152"/>
      <c r="BO13" s="153"/>
      <c r="BP13" s="153"/>
      <c r="BQ13" s="153"/>
      <c r="BR13" s="154"/>
      <c r="BS13" s="154"/>
      <c r="BT13" s="279">
        <v>1</v>
      </c>
      <c r="BU13" s="279"/>
      <c r="BV13" s="155"/>
      <c r="BW13" s="152">
        <v>125</v>
      </c>
      <c r="BX13" s="153">
        <v>118</v>
      </c>
      <c r="BY13" s="153">
        <v>109</v>
      </c>
      <c r="BZ13" s="153">
        <v>88</v>
      </c>
      <c r="CA13" s="154">
        <v>144</v>
      </c>
      <c r="CB13" s="154">
        <v>129</v>
      </c>
      <c r="CC13" s="279">
        <v>160</v>
      </c>
      <c r="CD13" s="279">
        <v>172</v>
      </c>
      <c r="CE13" s="155"/>
      <c r="CF13" s="152">
        <v>12</v>
      </c>
      <c r="CG13" s="153">
        <v>9</v>
      </c>
      <c r="CH13" s="153">
        <v>6</v>
      </c>
      <c r="CI13" s="153">
        <v>7</v>
      </c>
      <c r="CJ13" s="154">
        <v>6</v>
      </c>
      <c r="CK13" s="154">
        <v>5</v>
      </c>
      <c r="CL13" s="279">
        <v>5</v>
      </c>
      <c r="CM13" s="279">
        <v>5</v>
      </c>
      <c r="CN13" s="155"/>
      <c r="CO13" s="152">
        <v>11</v>
      </c>
      <c r="CP13" s="153">
        <v>5</v>
      </c>
      <c r="CQ13" s="153">
        <v>9</v>
      </c>
      <c r="CR13" s="153">
        <v>9</v>
      </c>
      <c r="CS13" s="154">
        <v>3</v>
      </c>
      <c r="CT13" s="154">
        <v>11</v>
      </c>
      <c r="CU13" s="279">
        <v>8</v>
      </c>
      <c r="CV13" s="279">
        <v>12</v>
      </c>
      <c r="CW13" s="155"/>
      <c r="CX13" s="152">
        <v>1802</v>
      </c>
      <c r="CY13" s="153">
        <v>2897</v>
      </c>
      <c r="CZ13" s="153">
        <v>2440</v>
      </c>
      <c r="DA13" s="153">
        <v>2549</v>
      </c>
      <c r="DB13" s="154">
        <v>1484</v>
      </c>
      <c r="DC13" s="154">
        <v>1412</v>
      </c>
      <c r="DD13" s="279">
        <v>1102</v>
      </c>
      <c r="DE13" s="279">
        <v>1111</v>
      </c>
      <c r="DF13" s="155"/>
      <c r="DG13" s="152">
        <v>67</v>
      </c>
      <c r="DH13" s="153">
        <v>93</v>
      </c>
      <c r="DI13" s="153">
        <v>56</v>
      </c>
      <c r="DJ13" s="153">
        <v>172</v>
      </c>
      <c r="DK13" s="154">
        <v>100</v>
      </c>
      <c r="DL13" s="154">
        <v>74</v>
      </c>
      <c r="DM13" s="279">
        <v>44</v>
      </c>
      <c r="DN13" s="279">
        <v>49</v>
      </c>
      <c r="DO13" s="155"/>
      <c r="DP13" s="152">
        <v>156</v>
      </c>
      <c r="DQ13" s="153">
        <v>504</v>
      </c>
      <c r="DR13" s="153">
        <v>552</v>
      </c>
      <c r="DS13" s="153">
        <v>353</v>
      </c>
      <c r="DT13" s="154">
        <v>190</v>
      </c>
      <c r="DU13" s="154">
        <v>183</v>
      </c>
      <c r="DV13" s="279">
        <v>152</v>
      </c>
      <c r="DW13" s="279">
        <v>165</v>
      </c>
      <c r="DX13" s="155"/>
      <c r="DY13" s="152">
        <v>60</v>
      </c>
      <c r="DZ13" s="153">
        <v>414</v>
      </c>
      <c r="EA13" s="153">
        <v>258</v>
      </c>
      <c r="EB13" s="153">
        <v>246</v>
      </c>
      <c r="EC13" s="154">
        <v>150</v>
      </c>
      <c r="ED13" s="154">
        <v>132</v>
      </c>
      <c r="EE13" s="279">
        <v>111</v>
      </c>
      <c r="EF13" s="279">
        <v>116</v>
      </c>
      <c r="EG13" s="155"/>
      <c r="EH13" s="152">
        <v>16</v>
      </c>
      <c r="EI13" s="153">
        <v>126</v>
      </c>
      <c r="EJ13" s="153">
        <v>112</v>
      </c>
      <c r="EK13" s="153">
        <v>78</v>
      </c>
      <c r="EL13" s="154">
        <v>63</v>
      </c>
      <c r="EM13" s="154">
        <v>61</v>
      </c>
      <c r="EN13" s="279">
        <v>55</v>
      </c>
      <c r="EO13" s="279">
        <v>35</v>
      </c>
      <c r="EP13" s="155"/>
      <c r="EQ13" s="152">
        <v>34</v>
      </c>
      <c r="ER13" s="153">
        <v>39</v>
      </c>
      <c r="ES13" s="153">
        <v>47</v>
      </c>
      <c r="ET13" s="153">
        <v>79</v>
      </c>
      <c r="EU13" s="154">
        <v>36</v>
      </c>
      <c r="EV13" s="154">
        <v>57</v>
      </c>
      <c r="EW13" s="279">
        <v>44</v>
      </c>
      <c r="EX13" s="279">
        <v>43</v>
      </c>
      <c r="EY13" s="155"/>
      <c r="EZ13" s="152">
        <v>9</v>
      </c>
      <c r="FA13" s="153">
        <v>8</v>
      </c>
      <c r="FB13" s="153">
        <v>5</v>
      </c>
      <c r="FC13" s="153">
        <v>5</v>
      </c>
      <c r="FD13" s="154">
        <v>7</v>
      </c>
      <c r="FE13" s="154">
        <v>4</v>
      </c>
      <c r="FF13" s="279">
        <v>16</v>
      </c>
      <c r="FG13" s="279">
        <v>6</v>
      </c>
      <c r="FH13" s="155"/>
      <c r="FI13" s="152">
        <v>412</v>
      </c>
      <c r="FJ13" s="153">
        <v>356</v>
      </c>
      <c r="FK13" s="153">
        <v>204</v>
      </c>
      <c r="FL13" s="153">
        <v>139</v>
      </c>
      <c r="FM13" s="154">
        <v>133</v>
      </c>
      <c r="FN13" s="154">
        <v>137</v>
      </c>
      <c r="FO13" s="279">
        <v>127</v>
      </c>
      <c r="FP13" s="279">
        <v>141</v>
      </c>
      <c r="FQ13" s="155"/>
      <c r="FR13" s="152">
        <v>8</v>
      </c>
      <c r="FS13" s="153">
        <v>8</v>
      </c>
      <c r="FT13" s="153">
        <v>3</v>
      </c>
      <c r="FU13" s="153">
        <v>4</v>
      </c>
      <c r="FV13" s="154">
        <v>7</v>
      </c>
      <c r="FW13" s="154">
        <v>6</v>
      </c>
      <c r="FX13" s="279">
        <v>2</v>
      </c>
      <c r="FY13" s="279">
        <v>7</v>
      </c>
      <c r="FZ13" s="155"/>
      <c r="GA13" s="152">
        <v>3</v>
      </c>
      <c r="GB13" s="153">
        <v>15</v>
      </c>
      <c r="GC13" s="153">
        <v>25</v>
      </c>
      <c r="GD13" s="153">
        <v>24</v>
      </c>
      <c r="GE13" s="154">
        <v>14</v>
      </c>
      <c r="GF13" s="154">
        <v>11</v>
      </c>
      <c r="GG13" s="279">
        <v>17</v>
      </c>
      <c r="GH13" s="279">
        <v>20</v>
      </c>
      <c r="GI13" s="155"/>
      <c r="GJ13" s="152">
        <v>2571</v>
      </c>
      <c r="GK13" s="153">
        <v>3711</v>
      </c>
      <c r="GL13" s="153">
        <v>3071</v>
      </c>
      <c r="GM13" s="153">
        <v>3097</v>
      </c>
      <c r="GN13" s="154">
        <v>2014</v>
      </c>
      <c r="GO13" s="154">
        <v>1964</v>
      </c>
      <c r="GP13" s="279">
        <v>1661</v>
      </c>
      <c r="GQ13" s="279">
        <v>1695</v>
      </c>
      <c r="GR13" s="155"/>
      <c r="GS13" s="152">
        <v>1313</v>
      </c>
      <c r="GT13" s="153">
        <v>1677</v>
      </c>
      <c r="GU13" s="153">
        <v>1483</v>
      </c>
      <c r="GV13" s="153">
        <v>1414</v>
      </c>
      <c r="GW13" s="154">
        <v>728</v>
      </c>
      <c r="GX13" s="154">
        <v>687</v>
      </c>
      <c r="GY13" s="279">
        <v>560</v>
      </c>
      <c r="GZ13" s="279">
        <v>536</v>
      </c>
      <c r="HA13" s="155"/>
      <c r="HB13" s="152"/>
      <c r="HC13" s="153"/>
      <c r="HD13" s="153"/>
      <c r="HE13" s="153">
        <v>1</v>
      </c>
      <c r="HF13" s="154">
        <v>4</v>
      </c>
      <c r="HG13" s="154">
        <v>3</v>
      </c>
      <c r="HH13" s="279">
        <v>4</v>
      </c>
      <c r="HI13" s="279">
        <v>15</v>
      </c>
      <c r="HJ13" s="155"/>
      <c r="HK13" s="152"/>
      <c r="HL13" s="153"/>
      <c r="HM13" s="153"/>
      <c r="HN13" s="153"/>
      <c r="HO13" s="154"/>
      <c r="HP13" s="154"/>
      <c r="HQ13" s="279"/>
      <c r="HR13" s="279"/>
      <c r="HS13" s="155"/>
      <c r="HT13" s="152">
        <v>1551</v>
      </c>
      <c r="HU13" s="153">
        <v>1782</v>
      </c>
      <c r="HV13" s="153">
        <v>1620</v>
      </c>
      <c r="HW13" s="153">
        <v>1540</v>
      </c>
      <c r="HX13" s="154">
        <v>961</v>
      </c>
      <c r="HY13" s="154">
        <v>882</v>
      </c>
      <c r="HZ13" s="279">
        <v>784</v>
      </c>
      <c r="IA13" s="279">
        <v>862</v>
      </c>
      <c r="IB13" s="155"/>
      <c r="IC13" s="152">
        <v>3666</v>
      </c>
      <c r="ID13" s="153">
        <v>4953</v>
      </c>
      <c r="IE13" s="153">
        <v>4821</v>
      </c>
      <c r="IF13" s="153">
        <v>4296</v>
      </c>
      <c r="IG13" s="154">
        <v>2976</v>
      </c>
      <c r="IH13" s="154">
        <v>2768</v>
      </c>
      <c r="II13" s="279">
        <v>2498</v>
      </c>
      <c r="IJ13" s="279">
        <v>2719</v>
      </c>
      <c r="IK13" s="155"/>
    </row>
    <row r="14" spans="1:245" x14ac:dyDescent="0.2">
      <c r="A14" s="961"/>
      <c r="B14" s="151" t="s">
        <v>639</v>
      </c>
      <c r="C14" s="152"/>
      <c r="D14" s="153"/>
      <c r="E14" s="153"/>
      <c r="F14" s="153"/>
      <c r="G14" s="154"/>
      <c r="H14" s="154"/>
      <c r="I14" s="279"/>
      <c r="J14" s="279"/>
      <c r="K14" s="155"/>
      <c r="L14" s="152"/>
      <c r="M14" s="153"/>
      <c r="N14" s="153"/>
      <c r="O14" s="153"/>
      <c r="P14" s="154"/>
      <c r="Q14" s="154"/>
      <c r="R14" s="279"/>
      <c r="S14" s="279"/>
      <c r="T14" s="155"/>
      <c r="U14" s="152"/>
      <c r="V14" s="153"/>
      <c r="W14" s="153"/>
      <c r="X14" s="153"/>
      <c r="Y14" s="154"/>
      <c r="Z14" s="154"/>
      <c r="AA14" s="279"/>
      <c r="AB14" s="279"/>
      <c r="AC14" s="155"/>
      <c r="AD14" s="152">
        <v>127</v>
      </c>
      <c r="AE14" s="153">
        <v>116</v>
      </c>
      <c r="AF14" s="153">
        <v>102</v>
      </c>
      <c r="AG14" s="153">
        <v>104</v>
      </c>
      <c r="AH14" s="154">
        <v>109</v>
      </c>
      <c r="AI14" s="154">
        <v>141</v>
      </c>
      <c r="AJ14" s="279">
        <v>105</v>
      </c>
      <c r="AK14" s="279">
        <v>100</v>
      </c>
      <c r="AL14" s="155"/>
      <c r="AM14" s="152">
        <v>102</v>
      </c>
      <c r="AN14" s="153">
        <v>88</v>
      </c>
      <c r="AO14" s="153">
        <v>66</v>
      </c>
      <c r="AP14" s="153">
        <v>64</v>
      </c>
      <c r="AQ14" s="154">
        <v>70</v>
      </c>
      <c r="AR14" s="154">
        <v>96</v>
      </c>
      <c r="AS14" s="279">
        <v>65</v>
      </c>
      <c r="AT14" s="279">
        <v>64</v>
      </c>
      <c r="AU14" s="155"/>
      <c r="AV14" s="152"/>
      <c r="AW14" s="153"/>
      <c r="AX14" s="153"/>
      <c r="AY14" s="153"/>
      <c r="AZ14" s="154"/>
      <c r="BA14" s="154"/>
      <c r="BB14" s="279"/>
      <c r="BC14" s="279"/>
      <c r="BD14" s="155"/>
      <c r="BE14" s="152">
        <v>8</v>
      </c>
      <c r="BF14" s="153">
        <v>3</v>
      </c>
      <c r="BG14" s="153">
        <v>14</v>
      </c>
      <c r="BH14" s="153">
        <v>6</v>
      </c>
      <c r="BI14" s="154">
        <v>10</v>
      </c>
      <c r="BJ14" s="154">
        <v>15</v>
      </c>
      <c r="BK14" s="279">
        <v>4</v>
      </c>
      <c r="BL14" s="279">
        <v>2</v>
      </c>
      <c r="BM14" s="155"/>
      <c r="BN14" s="152"/>
      <c r="BO14" s="153"/>
      <c r="BP14" s="153"/>
      <c r="BQ14" s="153"/>
      <c r="BR14" s="154"/>
      <c r="BS14" s="154"/>
      <c r="BT14" s="279"/>
      <c r="BU14" s="279">
        <v>1</v>
      </c>
      <c r="BV14" s="155"/>
      <c r="BW14" s="152">
        <v>115</v>
      </c>
      <c r="BX14" s="153">
        <v>79</v>
      </c>
      <c r="BY14" s="153">
        <v>88</v>
      </c>
      <c r="BZ14" s="153">
        <v>101</v>
      </c>
      <c r="CA14" s="154">
        <v>151</v>
      </c>
      <c r="CB14" s="154">
        <v>163</v>
      </c>
      <c r="CC14" s="279">
        <v>162</v>
      </c>
      <c r="CD14" s="279">
        <v>162</v>
      </c>
      <c r="CE14" s="155"/>
      <c r="CF14" s="152">
        <v>11</v>
      </c>
      <c r="CG14" s="153">
        <v>4</v>
      </c>
      <c r="CH14" s="153">
        <v>6</v>
      </c>
      <c r="CI14" s="153">
        <v>6</v>
      </c>
      <c r="CJ14" s="154">
        <v>5</v>
      </c>
      <c r="CK14" s="154">
        <v>9</v>
      </c>
      <c r="CL14" s="279">
        <v>9</v>
      </c>
      <c r="CM14" s="279">
        <v>11</v>
      </c>
      <c r="CN14" s="155"/>
      <c r="CO14" s="152">
        <v>1</v>
      </c>
      <c r="CP14" s="153">
        <v>3</v>
      </c>
      <c r="CQ14" s="153"/>
      <c r="CR14" s="153">
        <v>1</v>
      </c>
      <c r="CS14" s="154">
        <v>1</v>
      </c>
      <c r="CT14" s="154">
        <v>1</v>
      </c>
      <c r="CU14" s="279">
        <v>2</v>
      </c>
      <c r="CV14" s="279">
        <v>2</v>
      </c>
      <c r="CW14" s="155"/>
      <c r="CX14" s="152">
        <v>1984</v>
      </c>
      <c r="CY14" s="153">
        <v>3412</v>
      </c>
      <c r="CZ14" s="153">
        <v>3097</v>
      </c>
      <c r="DA14" s="153">
        <v>3829</v>
      </c>
      <c r="DB14" s="154">
        <v>3368</v>
      </c>
      <c r="DC14" s="154">
        <v>2648</v>
      </c>
      <c r="DD14" s="279">
        <v>2087</v>
      </c>
      <c r="DE14" s="279">
        <v>1707</v>
      </c>
      <c r="DF14" s="155"/>
      <c r="DG14" s="152">
        <v>43</v>
      </c>
      <c r="DH14" s="153">
        <v>170</v>
      </c>
      <c r="DI14" s="153">
        <v>110</v>
      </c>
      <c r="DJ14" s="153">
        <v>519</v>
      </c>
      <c r="DK14" s="154">
        <v>434</v>
      </c>
      <c r="DL14" s="154">
        <v>283</v>
      </c>
      <c r="DM14" s="279">
        <v>145</v>
      </c>
      <c r="DN14" s="279">
        <v>100</v>
      </c>
      <c r="DO14" s="155"/>
      <c r="DP14" s="152">
        <v>40</v>
      </c>
      <c r="DQ14" s="153">
        <v>391</v>
      </c>
      <c r="DR14" s="153">
        <v>358</v>
      </c>
      <c r="DS14" s="153">
        <v>234</v>
      </c>
      <c r="DT14" s="154">
        <v>351</v>
      </c>
      <c r="DU14" s="154">
        <v>258</v>
      </c>
      <c r="DV14" s="279">
        <v>226</v>
      </c>
      <c r="DW14" s="279">
        <v>212</v>
      </c>
      <c r="DX14" s="155"/>
      <c r="DY14" s="152">
        <v>47</v>
      </c>
      <c r="DZ14" s="153">
        <v>462</v>
      </c>
      <c r="EA14" s="153">
        <v>368</v>
      </c>
      <c r="EB14" s="153">
        <v>542</v>
      </c>
      <c r="EC14" s="154">
        <v>647</v>
      </c>
      <c r="ED14" s="154">
        <v>611</v>
      </c>
      <c r="EE14" s="279">
        <v>429</v>
      </c>
      <c r="EF14" s="279">
        <v>287</v>
      </c>
      <c r="EG14" s="155"/>
      <c r="EH14" s="152">
        <v>7</v>
      </c>
      <c r="EI14" s="153">
        <v>52</v>
      </c>
      <c r="EJ14" s="153">
        <v>70</v>
      </c>
      <c r="EK14" s="153">
        <v>57</v>
      </c>
      <c r="EL14" s="154">
        <v>39</v>
      </c>
      <c r="EM14" s="154">
        <v>44</v>
      </c>
      <c r="EN14" s="279">
        <v>26</v>
      </c>
      <c r="EO14" s="279">
        <v>28</v>
      </c>
      <c r="EP14" s="155"/>
      <c r="EQ14" s="152">
        <v>23</v>
      </c>
      <c r="ER14" s="153">
        <v>91</v>
      </c>
      <c r="ES14" s="153">
        <v>161</v>
      </c>
      <c r="ET14" s="153">
        <v>184</v>
      </c>
      <c r="EU14" s="154">
        <v>137</v>
      </c>
      <c r="EV14" s="154">
        <v>140</v>
      </c>
      <c r="EW14" s="279">
        <v>124</v>
      </c>
      <c r="EX14" s="279">
        <v>95</v>
      </c>
      <c r="EY14" s="155"/>
      <c r="EZ14" s="152">
        <v>1</v>
      </c>
      <c r="FA14" s="153">
        <v>3</v>
      </c>
      <c r="FB14" s="153">
        <v>5</v>
      </c>
      <c r="FC14" s="153">
        <v>3</v>
      </c>
      <c r="FD14" s="154">
        <v>3</v>
      </c>
      <c r="FE14" s="154">
        <v>1</v>
      </c>
      <c r="FF14" s="279">
        <v>3</v>
      </c>
      <c r="FG14" s="279">
        <v>6</v>
      </c>
      <c r="FH14" s="155"/>
      <c r="FI14" s="152">
        <v>287</v>
      </c>
      <c r="FJ14" s="153">
        <v>493</v>
      </c>
      <c r="FK14" s="153">
        <v>460</v>
      </c>
      <c r="FL14" s="153">
        <v>291</v>
      </c>
      <c r="FM14" s="154">
        <v>231</v>
      </c>
      <c r="FN14" s="154">
        <v>201</v>
      </c>
      <c r="FO14" s="279">
        <v>267</v>
      </c>
      <c r="FP14" s="279">
        <v>193</v>
      </c>
      <c r="FQ14" s="155"/>
      <c r="FR14" s="152">
        <v>5</v>
      </c>
      <c r="FS14" s="153">
        <v>5</v>
      </c>
      <c r="FT14" s="153">
        <v>14</v>
      </c>
      <c r="FU14" s="153">
        <v>3</v>
      </c>
      <c r="FV14" s="154">
        <v>3</v>
      </c>
      <c r="FW14" s="154">
        <v>10</v>
      </c>
      <c r="FX14" s="279">
        <v>3</v>
      </c>
      <c r="FY14" s="279">
        <v>3</v>
      </c>
      <c r="FZ14" s="155"/>
      <c r="GA14" s="152">
        <v>7</v>
      </c>
      <c r="GB14" s="153">
        <v>40</v>
      </c>
      <c r="GC14" s="153">
        <v>32</v>
      </c>
      <c r="GD14" s="153">
        <v>29</v>
      </c>
      <c r="GE14" s="154">
        <v>36</v>
      </c>
      <c r="GF14" s="154">
        <v>43</v>
      </c>
      <c r="GG14" s="279">
        <v>8</v>
      </c>
      <c r="GH14" s="279">
        <v>3</v>
      </c>
      <c r="GI14" s="155"/>
      <c r="GJ14" s="152">
        <v>2576</v>
      </c>
      <c r="GK14" s="153">
        <v>4301</v>
      </c>
      <c r="GL14" s="153">
        <v>4049</v>
      </c>
      <c r="GM14" s="153">
        <v>4614</v>
      </c>
      <c r="GN14" s="154">
        <v>4093</v>
      </c>
      <c r="GO14" s="154">
        <v>3416</v>
      </c>
      <c r="GP14" s="279">
        <v>2800</v>
      </c>
      <c r="GQ14" s="279">
        <v>2313</v>
      </c>
      <c r="GR14" s="155"/>
      <c r="GS14" s="152">
        <v>910</v>
      </c>
      <c r="GT14" s="153">
        <v>1997</v>
      </c>
      <c r="GU14" s="153">
        <v>2020</v>
      </c>
      <c r="GV14" s="153">
        <v>2140</v>
      </c>
      <c r="GW14" s="154">
        <v>1619</v>
      </c>
      <c r="GX14" s="154">
        <v>1206</v>
      </c>
      <c r="GY14" s="279">
        <v>930</v>
      </c>
      <c r="GZ14" s="279">
        <v>760</v>
      </c>
      <c r="HA14" s="155"/>
      <c r="HB14" s="152"/>
      <c r="HC14" s="153"/>
      <c r="HD14" s="153"/>
      <c r="HE14" s="153">
        <v>3</v>
      </c>
      <c r="HF14" s="154">
        <v>10</v>
      </c>
      <c r="HG14" s="154">
        <v>14</v>
      </c>
      <c r="HH14" s="279">
        <v>10</v>
      </c>
      <c r="HI14" s="279">
        <v>12</v>
      </c>
      <c r="HJ14" s="155"/>
      <c r="HK14" s="152"/>
      <c r="HL14" s="153"/>
      <c r="HM14" s="153"/>
      <c r="HN14" s="153"/>
      <c r="HO14" s="154"/>
      <c r="HP14" s="154"/>
      <c r="HQ14" s="279"/>
      <c r="HR14" s="279"/>
      <c r="HS14" s="155"/>
      <c r="HT14" s="152">
        <v>1048</v>
      </c>
      <c r="HU14" s="153">
        <v>2074</v>
      </c>
      <c r="HV14" s="153">
        <v>2104</v>
      </c>
      <c r="HW14" s="153">
        <v>2254</v>
      </c>
      <c r="HX14" s="154">
        <v>1733</v>
      </c>
      <c r="HY14" s="154">
        <v>1397</v>
      </c>
      <c r="HZ14" s="279">
        <v>1091</v>
      </c>
      <c r="IA14" s="279">
        <v>905</v>
      </c>
      <c r="IB14" s="155"/>
      <c r="IC14" s="152">
        <v>4244</v>
      </c>
      <c r="ID14" s="153">
        <v>7288</v>
      </c>
      <c r="IE14" s="153">
        <v>7279</v>
      </c>
      <c r="IF14" s="153">
        <v>6316</v>
      </c>
      <c r="IG14" s="154">
        <v>5105</v>
      </c>
      <c r="IH14" s="154">
        <v>5774</v>
      </c>
      <c r="II14" s="279">
        <v>4267</v>
      </c>
      <c r="IJ14" s="279">
        <v>4557</v>
      </c>
      <c r="IK14" s="155"/>
    </row>
    <row r="15" spans="1:245" x14ac:dyDescent="0.2">
      <c r="A15" s="961"/>
      <c r="B15" s="151" t="s">
        <v>640</v>
      </c>
      <c r="C15" s="152"/>
      <c r="D15" s="153"/>
      <c r="E15" s="153"/>
      <c r="F15" s="153"/>
      <c r="G15" s="154"/>
      <c r="H15" s="154"/>
      <c r="I15" s="279"/>
      <c r="J15" s="279"/>
      <c r="K15" s="155"/>
      <c r="L15" s="152"/>
      <c r="M15" s="153"/>
      <c r="N15" s="153"/>
      <c r="O15" s="153"/>
      <c r="P15" s="154"/>
      <c r="Q15" s="154"/>
      <c r="R15" s="279"/>
      <c r="S15" s="279"/>
      <c r="T15" s="155"/>
      <c r="U15" s="152"/>
      <c r="V15" s="153"/>
      <c r="W15" s="153"/>
      <c r="X15" s="153"/>
      <c r="Y15" s="154"/>
      <c r="Z15" s="154"/>
      <c r="AA15" s="279"/>
      <c r="AB15" s="279"/>
      <c r="AC15" s="155"/>
      <c r="AD15" s="152">
        <v>28</v>
      </c>
      <c r="AE15" s="153">
        <v>24</v>
      </c>
      <c r="AF15" s="153">
        <v>30</v>
      </c>
      <c r="AG15" s="153">
        <v>36</v>
      </c>
      <c r="AH15" s="154">
        <v>14</v>
      </c>
      <c r="AI15" s="154">
        <v>12</v>
      </c>
      <c r="AJ15" s="279">
        <v>33</v>
      </c>
      <c r="AK15" s="279">
        <v>29</v>
      </c>
      <c r="AL15" s="155"/>
      <c r="AM15" s="152">
        <v>16</v>
      </c>
      <c r="AN15" s="153">
        <v>14</v>
      </c>
      <c r="AO15" s="153">
        <v>19</v>
      </c>
      <c r="AP15" s="153">
        <v>25</v>
      </c>
      <c r="AQ15" s="154">
        <v>8</v>
      </c>
      <c r="AR15" s="154">
        <v>7</v>
      </c>
      <c r="AS15" s="279">
        <v>22</v>
      </c>
      <c r="AT15" s="279">
        <v>15</v>
      </c>
      <c r="AU15" s="155"/>
      <c r="AV15" s="152"/>
      <c r="AW15" s="153"/>
      <c r="AX15" s="153"/>
      <c r="AY15" s="153"/>
      <c r="AZ15" s="154"/>
      <c r="BA15" s="154"/>
      <c r="BB15" s="279"/>
      <c r="BC15" s="279"/>
      <c r="BD15" s="155"/>
      <c r="BE15" s="152"/>
      <c r="BF15" s="153">
        <v>1</v>
      </c>
      <c r="BG15" s="153">
        <v>5</v>
      </c>
      <c r="BH15" s="153"/>
      <c r="BI15" s="154"/>
      <c r="BJ15" s="154">
        <v>1</v>
      </c>
      <c r="BK15" s="279">
        <v>3</v>
      </c>
      <c r="BL15" s="279">
        <v>2</v>
      </c>
      <c r="BM15" s="155"/>
      <c r="BN15" s="152"/>
      <c r="BO15" s="153"/>
      <c r="BP15" s="153"/>
      <c r="BQ15" s="153"/>
      <c r="BR15" s="154"/>
      <c r="BS15" s="154"/>
      <c r="BT15" s="279"/>
      <c r="BU15" s="279"/>
      <c r="BV15" s="155"/>
      <c r="BW15" s="152">
        <v>49</v>
      </c>
      <c r="BX15" s="153">
        <v>30</v>
      </c>
      <c r="BY15" s="153">
        <v>27</v>
      </c>
      <c r="BZ15" s="153">
        <v>35</v>
      </c>
      <c r="CA15" s="154">
        <v>25</v>
      </c>
      <c r="CB15" s="154">
        <v>27</v>
      </c>
      <c r="CC15" s="279">
        <v>41</v>
      </c>
      <c r="CD15" s="279">
        <v>36</v>
      </c>
      <c r="CE15" s="155"/>
      <c r="CF15" s="152">
        <v>2</v>
      </c>
      <c r="CG15" s="153">
        <v>3</v>
      </c>
      <c r="CH15" s="153">
        <v>1</v>
      </c>
      <c r="CI15" s="153">
        <v>3</v>
      </c>
      <c r="CJ15" s="154">
        <v>1</v>
      </c>
      <c r="CK15" s="154"/>
      <c r="CL15" s="279">
        <v>4</v>
      </c>
      <c r="CM15" s="279">
        <v>1</v>
      </c>
      <c r="CN15" s="155"/>
      <c r="CO15" s="152">
        <v>1</v>
      </c>
      <c r="CP15" s="153"/>
      <c r="CQ15" s="153"/>
      <c r="CR15" s="153"/>
      <c r="CS15" s="154"/>
      <c r="CT15" s="154"/>
      <c r="CU15" s="279">
        <v>2</v>
      </c>
      <c r="CV15" s="279">
        <v>2</v>
      </c>
      <c r="CW15" s="155"/>
      <c r="CX15" s="152">
        <v>580</v>
      </c>
      <c r="CY15" s="153">
        <v>1361</v>
      </c>
      <c r="CZ15" s="153">
        <v>1560</v>
      </c>
      <c r="DA15" s="153">
        <v>1585</v>
      </c>
      <c r="DB15" s="154">
        <v>1129</v>
      </c>
      <c r="DC15" s="154">
        <v>832</v>
      </c>
      <c r="DD15" s="279">
        <v>883</v>
      </c>
      <c r="DE15" s="279">
        <v>631</v>
      </c>
      <c r="DF15" s="155"/>
      <c r="DG15" s="152">
        <v>32</v>
      </c>
      <c r="DH15" s="153">
        <v>82</v>
      </c>
      <c r="DI15" s="153">
        <v>59</v>
      </c>
      <c r="DJ15" s="153">
        <v>225</v>
      </c>
      <c r="DK15" s="154">
        <v>188</v>
      </c>
      <c r="DL15" s="154">
        <v>112</v>
      </c>
      <c r="DM15" s="279">
        <v>110</v>
      </c>
      <c r="DN15" s="279">
        <v>64</v>
      </c>
      <c r="DO15" s="155"/>
      <c r="DP15" s="152">
        <v>17</v>
      </c>
      <c r="DQ15" s="153">
        <v>190</v>
      </c>
      <c r="DR15" s="153">
        <v>300</v>
      </c>
      <c r="DS15" s="153">
        <v>216</v>
      </c>
      <c r="DT15" s="154">
        <v>93</v>
      </c>
      <c r="DU15" s="154">
        <v>41</v>
      </c>
      <c r="DV15" s="279">
        <v>123</v>
      </c>
      <c r="DW15" s="279">
        <v>102</v>
      </c>
      <c r="DX15" s="155"/>
      <c r="DY15" s="152">
        <v>41</v>
      </c>
      <c r="DZ15" s="153">
        <v>290</v>
      </c>
      <c r="EA15" s="153">
        <v>372</v>
      </c>
      <c r="EB15" s="153">
        <v>388</v>
      </c>
      <c r="EC15" s="154">
        <v>252</v>
      </c>
      <c r="ED15" s="154">
        <v>356</v>
      </c>
      <c r="EE15" s="279">
        <v>289</v>
      </c>
      <c r="EF15" s="279">
        <v>184</v>
      </c>
      <c r="EG15" s="155"/>
      <c r="EH15" s="152">
        <v>24</v>
      </c>
      <c r="EI15" s="153">
        <v>20</v>
      </c>
      <c r="EJ15" s="153">
        <v>20</v>
      </c>
      <c r="EK15" s="153">
        <v>11</v>
      </c>
      <c r="EL15" s="154">
        <v>8</v>
      </c>
      <c r="EM15" s="154">
        <v>7</v>
      </c>
      <c r="EN15" s="279">
        <v>10</v>
      </c>
      <c r="EO15" s="279">
        <v>3</v>
      </c>
      <c r="EP15" s="155"/>
      <c r="EQ15" s="152">
        <v>19</v>
      </c>
      <c r="ER15" s="153">
        <v>8</v>
      </c>
      <c r="ES15" s="153">
        <v>8</v>
      </c>
      <c r="ET15" s="153">
        <v>11</v>
      </c>
      <c r="EU15" s="154">
        <v>17</v>
      </c>
      <c r="EV15" s="154">
        <v>9</v>
      </c>
      <c r="EW15" s="279">
        <v>20</v>
      </c>
      <c r="EX15" s="279">
        <v>11</v>
      </c>
      <c r="EY15" s="155"/>
      <c r="EZ15" s="152">
        <v>1</v>
      </c>
      <c r="FA15" s="153"/>
      <c r="FB15" s="153">
        <v>1</v>
      </c>
      <c r="FC15" s="153">
        <v>3</v>
      </c>
      <c r="FD15" s="154"/>
      <c r="FE15" s="154"/>
      <c r="FF15" s="279"/>
      <c r="FG15" s="279">
        <v>1</v>
      </c>
      <c r="FH15" s="155"/>
      <c r="FI15" s="152">
        <v>63</v>
      </c>
      <c r="FJ15" s="153">
        <v>167</v>
      </c>
      <c r="FK15" s="153">
        <v>150</v>
      </c>
      <c r="FL15" s="153">
        <v>123</v>
      </c>
      <c r="FM15" s="154">
        <v>117</v>
      </c>
      <c r="FN15" s="154">
        <v>70</v>
      </c>
      <c r="FO15" s="279">
        <v>87</v>
      </c>
      <c r="FP15" s="279">
        <v>63</v>
      </c>
      <c r="FQ15" s="155"/>
      <c r="FR15" s="152">
        <v>11</v>
      </c>
      <c r="FS15" s="153"/>
      <c r="FT15" s="153">
        <v>2</v>
      </c>
      <c r="FU15" s="153">
        <v>2</v>
      </c>
      <c r="FV15" s="154"/>
      <c r="FW15" s="154"/>
      <c r="FX15" s="279"/>
      <c r="FY15" s="279">
        <v>1</v>
      </c>
      <c r="FZ15" s="155"/>
      <c r="GA15" s="152">
        <v>8</v>
      </c>
      <c r="GB15" s="153">
        <v>28</v>
      </c>
      <c r="GC15" s="153">
        <v>30</v>
      </c>
      <c r="GD15" s="153">
        <v>18</v>
      </c>
      <c r="GE15" s="154">
        <v>20</v>
      </c>
      <c r="GF15" s="154">
        <v>10</v>
      </c>
      <c r="GG15" s="279">
        <v>5</v>
      </c>
      <c r="GH15" s="279">
        <v>4</v>
      </c>
      <c r="GI15" s="155"/>
      <c r="GJ15" s="152">
        <v>786</v>
      </c>
      <c r="GK15" s="153">
        <v>1642</v>
      </c>
      <c r="GL15" s="153">
        <v>1834</v>
      </c>
      <c r="GM15" s="153">
        <v>1827</v>
      </c>
      <c r="GN15" s="154">
        <v>1331</v>
      </c>
      <c r="GO15" s="154">
        <v>968</v>
      </c>
      <c r="GP15" s="279">
        <v>1088</v>
      </c>
      <c r="GQ15" s="279">
        <v>784</v>
      </c>
      <c r="GR15" s="155"/>
      <c r="GS15" s="152">
        <v>285</v>
      </c>
      <c r="GT15" s="153">
        <v>621</v>
      </c>
      <c r="GU15" s="153">
        <v>778</v>
      </c>
      <c r="GV15" s="153">
        <v>801</v>
      </c>
      <c r="GW15" s="154">
        <v>519</v>
      </c>
      <c r="GX15" s="154">
        <v>226</v>
      </c>
      <c r="GY15" s="279">
        <v>369</v>
      </c>
      <c r="GZ15" s="279">
        <v>283</v>
      </c>
      <c r="HA15" s="155"/>
      <c r="HB15" s="152"/>
      <c r="HC15" s="153"/>
      <c r="HD15" s="153"/>
      <c r="HE15" s="153">
        <v>1</v>
      </c>
      <c r="HF15" s="154">
        <v>3</v>
      </c>
      <c r="HG15" s="154">
        <v>5</v>
      </c>
      <c r="HH15" s="279">
        <v>2</v>
      </c>
      <c r="HI15" s="279">
        <v>3</v>
      </c>
      <c r="HJ15" s="155"/>
      <c r="HK15" s="152"/>
      <c r="HL15" s="153"/>
      <c r="HM15" s="153"/>
      <c r="HN15" s="153"/>
      <c r="HO15" s="154">
        <v>1</v>
      </c>
      <c r="HP15" s="154"/>
      <c r="HQ15" s="279"/>
      <c r="HR15" s="279"/>
      <c r="HS15" s="155"/>
      <c r="HT15" s="152">
        <v>320</v>
      </c>
      <c r="HU15" s="153">
        <v>658</v>
      </c>
      <c r="HV15" s="153">
        <v>804</v>
      </c>
      <c r="HW15" s="153">
        <v>868</v>
      </c>
      <c r="HX15" s="154">
        <v>559</v>
      </c>
      <c r="HY15" s="154">
        <v>272</v>
      </c>
      <c r="HZ15" s="279">
        <v>458</v>
      </c>
      <c r="IA15" s="279">
        <v>388</v>
      </c>
      <c r="IB15" s="155"/>
      <c r="IC15" s="152">
        <v>1073</v>
      </c>
      <c r="ID15" s="153">
        <v>1970</v>
      </c>
      <c r="IE15" s="153">
        <v>2193</v>
      </c>
      <c r="IF15" s="153">
        <v>2422</v>
      </c>
      <c r="IG15" s="154">
        <v>1732</v>
      </c>
      <c r="IH15" s="154">
        <v>1251</v>
      </c>
      <c r="II15" s="279">
        <v>1494</v>
      </c>
      <c r="IJ15" s="279">
        <v>1185</v>
      </c>
      <c r="IK15" s="155"/>
    </row>
    <row r="16" spans="1:245" x14ac:dyDescent="0.2">
      <c r="A16" s="961"/>
      <c r="B16" s="151" t="s">
        <v>641</v>
      </c>
      <c r="C16" s="152"/>
      <c r="D16" s="153"/>
      <c r="E16" s="153"/>
      <c r="F16" s="153"/>
      <c r="G16" s="154"/>
      <c r="H16" s="154"/>
      <c r="I16" s="279"/>
      <c r="J16" s="279"/>
      <c r="K16" s="155"/>
      <c r="L16" s="152"/>
      <c r="M16" s="153"/>
      <c r="N16" s="153"/>
      <c r="O16" s="153"/>
      <c r="P16" s="154"/>
      <c r="Q16" s="154"/>
      <c r="R16" s="279"/>
      <c r="S16" s="279"/>
      <c r="T16" s="155"/>
      <c r="U16" s="152"/>
      <c r="V16" s="153"/>
      <c r="W16" s="153"/>
      <c r="X16" s="153"/>
      <c r="Y16" s="154"/>
      <c r="Z16" s="154"/>
      <c r="AA16" s="279"/>
      <c r="AB16" s="279"/>
      <c r="AC16" s="155"/>
      <c r="AD16" s="152">
        <v>132</v>
      </c>
      <c r="AE16" s="153">
        <v>108</v>
      </c>
      <c r="AF16" s="153">
        <v>128</v>
      </c>
      <c r="AG16" s="153">
        <v>98</v>
      </c>
      <c r="AH16" s="154">
        <v>151</v>
      </c>
      <c r="AI16" s="154">
        <v>219</v>
      </c>
      <c r="AJ16" s="279">
        <v>208</v>
      </c>
      <c r="AK16" s="279">
        <v>173</v>
      </c>
      <c r="AL16" s="155"/>
      <c r="AM16" s="152">
        <v>94</v>
      </c>
      <c r="AN16" s="153">
        <v>74</v>
      </c>
      <c r="AO16" s="153">
        <v>92</v>
      </c>
      <c r="AP16" s="153">
        <v>80</v>
      </c>
      <c r="AQ16" s="154">
        <v>103</v>
      </c>
      <c r="AR16" s="154">
        <v>132</v>
      </c>
      <c r="AS16" s="279">
        <v>109</v>
      </c>
      <c r="AT16" s="279">
        <v>92</v>
      </c>
      <c r="AU16" s="155"/>
      <c r="AV16" s="152"/>
      <c r="AW16" s="153"/>
      <c r="AX16" s="153"/>
      <c r="AY16" s="153"/>
      <c r="AZ16" s="154"/>
      <c r="BA16" s="154"/>
      <c r="BB16" s="279"/>
      <c r="BC16" s="279"/>
      <c r="BD16" s="155"/>
      <c r="BE16" s="152">
        <v>23</v>
      </c>
      <c r="BF16" s="153">
        <v>15</v>
      </c>
      <c r="BG16" s="153">
        <v>14</v>
      </c>
      <c r="BH16" s="153">
        <v>10</v>
      </c>
      <c r="BI16" s="154"/>
      <c r="BJ16" s="154">
        <v>8</v>
      </c>
      <c r="BK16" s="279">
        <v>16</v>
      </c>
      <c r="BL16" s="279">
        <v>18</v>
      </c>
      <c r="BM16" s="155"/>
      <c r="BN16" s="152"/>
      <c r="BO16" s="153"/>
      <c r="BP16" s="153"/>
      <c r="BQ16" s="153"/>
      <c r="BR16" s="154"/>
      <c r="BS16" s="154"/>
      <c r="BT16" s="279">
        <v>3</v>
      </c>
      <c r="BU16" s="279">
        <v>2</v>
      </c>
      <c r="BV16" s="155"/>
      <c r="BW16" s="152">
        <v>102</v>
      </c>
      <c r="BX16" s="153">
        <v>95</v>
      </c>
      <c r="BY16" s="153">
        <v>117</v>
      </c>
      <c r="BZ16" s="153">
        <v>109</v>
      </c>
      <c r="CA16" s="154">
        <v>116</v>
      </c>
      <c r="CB16" s="154">
        <v>132</v>
      </c>
      <c r="CC16" s="279">
        <v>146</v>
      </c>
      <c r="CD16" s="279">
        <v>185</v>
      </c>
      <c r="CE16" s="155"/>
      <c r="CF16" s="152">
        <v>9</v>
      </c>
      <c r="CG16" s="153">
        <v>12</v>
      </c>
      <c r="CH16" s="153">
        <v>9</v>
      </c>
      <c r="CI16" s="153">
        <v>4</v>
      </c>
      <c r="CJ16" s="154">
        <v>3</v>
      </c>
      <c r="CK16" s="154">
        <v>5</v>
      </c>
      <c r="CL16" s="279">
        <v>7</v>
      </c>
      <c r="CM16" s="279">
        <v>6</v>
      </c>
      <c r="CN16" s="155"/>
      <c r="CO16" s="152">
        <v>3</v>
      </c>
      <c r="CP16" s="153">
        <v>4</v>
      </c>
      <c r="CQ16" s="153">
        <v>1</v>
      </c>
      <c r="CR16" s="153">
        <v>12</v>
      </c>
      <c r="CS16" s="154">
        <v>2</v>
      </c>
      <c r="CT16" s="154">
        <v>7</v>
      </c>
      <c r="CU16" s="279">
        <v>6</v>
      </c>
      <c r="CV16" s="279">
        <v>6</v>
      </c>
      <c r="CW16" s="155"/>
      <c r="CX16" s="152">
        <v>2396</v>
      </c>
      <c r="CY16" s="153">
        <v>3128</v>
      </c>
      <c r="CZ16" s="153">
        <v>3038</v>
      </c>
      <c r="DA16" s="153">
        <v>3119</v>
      </c>
      <c r="DB16" s="154">
        <v>2953</v>
      </c>
      <c r="DC16" s="154">
        <v>2222</v>
      </c>
      <c r="DD16" s="279">
        <v>1420</v>
      </c>
      <c r="DE16" s="279">
        <v>1400</v>
      </c>
      <c r="DF16" s="155"/>
      <c r="DG16" s="152">
        <v>51</v>
      </c>
      <c r="DH16" s="153">
        <v>126</v>
      </c>
      <c r="DI16" s="153">
        <v>36</v>
      </c>
      <c r="DJ16" s="153">
        <v>156</v>
      </c>
      <c r="DK16" s="154">
        <v>177</v>
      </c>
      <c r="DL16" s="154">
        <v>102</v>
      </c>
      <c r="DM16" s="279">
        <v>58</v>
      </c>
      <c r="DN16" s="279">
        <v>18</v>
      </c>
      <c r="DO16" s="155"/>
      <c r="DP16" s="152">
        <v>110</v>
      </c>
      <c r="DQ16" s="153">
        <v>519</v>
      </c>
      <c r="DR16" s="153">
        <v>534</v>
      </c>
      <c r="DS16" s="153">
        <v>512</v>
      </c>
      <c r="DT16" s="154">
        <v>346</v>
      </c>
      <c r="DU16" s="154">
        <v>300</v>
      </c>
      <c r="DV16" s="279">
        <v>106</v>
      </c>
      <c r="DW16" s="279">
        <v>129</v>
      </c>
      <c r="DX16" s="155"/>
      <c r="DY16" s="152">
        <v>5</v>
      </c>
      <c r="DZ16" s="153">
        <v>303</v>
      </c>
      <c r="EA16" s="153">
        <v>352</v>
      </c>
      <c r="EB16" s="153">
        <v>317</v>
      </c>
      <c r="EC16" s="154">
        <v>541</v>
      </c>
      <c r="ED16" s="154">
        <v>247</v>
      </c>
      <c r="EE16" s="279">
        <v>185</v>
      </c>
      <c r="EF16" s="279">
        <v>124</v>
      </c>
      <c r="EG16" s="155"/>
      <c r="EH16" s="152">
        <v>12</v>
      </c>
      <c r="EI16" s="153">
        <v>98</v>
      </c>
      <c r="EJ16" s="153">
        <v>124</v>
      </c>
      <c r="EK16" s="153">
        <v>55</v>
      </c>
      <c r="EL16" s="154">
        <v>59</v>
      </c>
      <c r="EM16" s="154">
        <v>58</v>
      </c>
      <c r="EN16" s="279">
        <v>29</v>
      </c>
      <c r="EO16" s="279">
        <v>18</v>
      </c>
      <c r="EP16" s="155"/>
      <c r="EQ16" s="152">
        <v>74</v>
      </c>
      <c r="ER16" s="153">
        <v>67</v>
      </c>
      <c r="ES16" s="153">
        <v>81</v>
      </c>
      <c r="ET16" s="153">
        <v>75</v>
      </c>
      <c r="EU16" s="154">
        <v>82</v>
      </c>
      <c r="EV16" s="154">
        <v>95</v>
      </c>
      <c r="EW16" s="279">
        <v>48</v>
      </c>
      <c r="EX16" s="279">
        <v>31</v>
      </c>
      <c r="EY16" s="155"/>
      <c r="EZ16" s="152">
        <v>5</v>
      </c>
      <c r="FA16" s="153">
        <v>4</v>
      </c>
      <c r="FB16" s="153">
        <v>5</v>
      </c>
      <c r="FC16" s="153"/>
      <c r="FD16" s="154">
        <v>9</v>
      </c>
      <c r="FE16" s="154">
        <v>7</v>
      </c>
      <c r="FF16" s="279">
        <v>8</v>
      </c>
      <c r="FG16" s="279">
        <v>3</v>
      </c>
      <c r="FH16" s="155"/>
      <c r="FI16" s="152">
        <v>772</v>
      </c>
      <c r="FJ16" s="153">
        <v>472</v>
      </c>
      <c r="FK16" s="153">
        <v>298</v>
      </c>
      <c r="FL16" s="153">
        <v>273</v>
      </c>
      <c r="FM16" s="154">
        <v>252</v>
      </c>
      <c r="FN16" s="154">
        <v>262</v>
      </c>
      <c r="FO16" s="279">
        <v>158</v>
      </c>
      <c r="FP16" s="279">
        <v>178</v>
      </c>
      <c r="FQ16" s="155"/>
      <c r="FR16" s="152">
        <v>4</v>
      </c>
      <c r="FS16" s="153">
        <v>4</v>
      </c>
      <c r="FT16" s="153">
        <v>6</v>
      </c>
      <c r="FU16" s="153">
        <v>11</v>
      </c>
      <c r="FV16" s="154">
        <v>8</v>
      </c>
      <c r="FW16" s="154">
        <v>11</v>
      </c>
      <c r="FX16" s="279">
        <v>7</v>
      </c>
      <c r="FY16" s="279">
        <v>5</v>
      </c>
      <c r="FZ16" s="155"/>
      <c r="GA16" s="152">
        <v>8</v>
      </c>
      <c r="GB16" s="153">
        <v>50</v>
      </c>
      <c r="GC16" s="153">
        <v>63</v>
      </c>
      <c r="GD16" s="153">
        <v>28</v>
      </c>
      <c r="GE16" s="154">
        <v>30</v>
      </c>
      <c r="GF16" s="154">
        <v>11</v>
      </c>
      <c r="GG16" s="279">
        <v>4</v>
      </c>
      <c r="GH16" s="279">
        <v>11</v>
      </c>
      <c r="GI16" s="155"/>
      <c r="GJ16" s="152">
        <v>3540</v>
      </c>
      <c r="GK16" s="153">
        <v>4057</v>
      </c>
      <c r="GL16" s="153">
        <v>3884</v>
      </c>
      <c r="GM16" s="153">
        <v>3794</v>
      </c>
      <c r="GN16" s="154">
        <v>3665</v>
      </c>
      <c r="GO16" s="154">
        <v>3037</v>
      </c>
      <c r="GP16" s="279">
        <v>2060</v>
      </c>
      <c r="GQ16" s="279">
        <v>2036</v>
      </c>
      <c r="GR16" s="155"/>
      <c r="GS16" s="152">
        <v>1777</v>
      </c>
      <c r="GT16" s="153">
        <v>2116</v>
      </c>
      <c r="GU16" s="153">
        <v>2006</v>
      </c>
      <c r="GV16" s="153">
        <v>1908</v>
      </c>
      <c r="GW16" s="154">
        <v>1471</v>
      </c>
      <c r="GX16" s="154">
        <v>1209</v>
      </c>
      <c r="GY16" s="279">
        <v>697</v>
      </c>
      <c r="GZ16" s="279">
        <v>684</v>
      </c>
      <c r="HA16" s="155"/>
      <c r="HB16" s="152"/>
      <c r="HC16" s="153"/>
      <c r="HD16" s="153">
        <v>1</v>
      </c>
      <c r="HE16" s="153">
        <v>1</v>
      </c>
      <c r="HF16" s="154">
        <v>8</v>
      </c>
      <c r="HG16" s="154">
        <v>12</v>
      </c>
      <c r="HH16" s="279">
        <v>12</v>
      </c>
      <c r="HI16" s="279">
        <v>5</v>
      </c>
      <c r="HJ16" s="155"/>
      <c r="HK16" s="152"/>
      <c r="HL16" s="153">
        <v>1</v>
      </c>
      <c r="HM16" s="153"/>
      <c r="HN16" s="153"/>
      <c r="HO16" s="154">
        <v>1</v>
      </c>
      <c r="HP16" s="154">
        <v>1</v>
      </c>
      <c r="HQ16" s="279"/>
      <c r="HR16" s="279"/>
      <c r="HS16" s="155"/>
      <c r="HT16" s="152">
        <v>1882</v>
      </c>
      <c r="HU16" s="153">
        <v>2210</v>
      </c>
      <c r="HV16" s="153">
        <v>2098</v>
      </c>
      <c r="HW16" s="153">
        <v>2128</v>
      </c>
      <c r="HX16" s="154">
        <v>1594</v>
      </c>
      <c r="HY16" s="154">
        <v>1353</v>
      </c>
      <c r="HZ16" s="279">
        <v>909</v>
      </c>
      <c r="IA16" s="279">
        <v>895</v>
      </c>
      <c r="IB16" s="155"/>
      <c r="IC16" s="152">
        <v>5753</v>
      </c>
      <c r="ID16" s="153">
        <v>6361</v>
      </c>
      <c r="IE16" s="153">
        <v>7188</v>
      </c>
      <c r="IF16" s="153">
        <v>5611</v>
      </c>
      <c r="IG16" s="154">
        <v>4949</v>
      </c>
      <c r="IH16" s="154">
        <v>4431</v>
      </c>
      <c r="II16" s="279">
        <v>3597</v>
      </c>
      <c r="IJ16" s="279">
        <v>4664</v>
      </c>
      <c r="IK16" s="155"/>
    </row>
    <row r="17" spans="1:245" x14ac:dyDescent="0.2">
      <c r="A17" s="961"/>
      <c r="B17" s="151" t="s">
        <v>642</v>
      </c>
      <c r="C17" s="152"/>
      <c r="D17" s="153"/>
      <c r="E17" s="153"/>
      <c r="F17" s="153"/>
      <c r="G17" s="154"/>
      <c r="H17" s="154"/>
      <c r="I17" s="279"/>
      <c r="J17" s="279"/>
      <c r="K17" s="155"/>
      <c r="L17" s="152"/>
      <c r="M17" s="153"/>
      <c r="N17" s="153"/>
      <c r="O17" s="153"/>
      <c r="P17" s="154"/>
      <c r="Q17" s="154"/>
      <c r="R17" s="279"/>
      <c r="S17" s="279"/>
      <c r="T17" s="155"/>
      <c r="U17" s="152"/>
      <c r="V17" s="153"/>
      <c r="W17" s="153"/>
      <c r="X17" s="153"/>
      <c r="Y17" s="154"/>
      <c r="Z17" s="154"/>
      <c r="AA17" s="279"/>
      <c r="AB17" s="279"/>
      <c r="AC17" s="155"/>
      <c r="AD17" s="152">
        <v>95</v>
      </c>
      <c r="AE17" s="153">
        <v>76</v>
      </c>
      <c r="AF17" s="153">
        <v>92</v>
      </c>
      <c r="AG17" s="153">
        <v>102</v>
      </c>
      <c r="AH17" s="154">
        <v>136</v>
      </c>
      <c r="AI17" s="154">
        <v>112</v>
      </c>
      <c r="AJ17" s="279">
        <v>107</v>
      </c>
      <c r="AK17" s="279">
        <v>89</v>
      </c>
      <c r="AL17" s="155"/>
      <c r="AM17" s="152">
        <v>70</v>
      </c>
      <c r="AN17" s="153">
        <v>60</v>
      </c>
      <c r="AO17" s="153">
        <v>60</v>
      </c>
      <c r="AP17" s="153">
        <v>68</v>
      </c>
      <c r="AQ17" s="154">
        <v>86</v>
      </c>
      <c r="AR17" s="154">
        <v>70</v>
      </c>
      <c r="AS17" s="279">
        <v>63</v>
      </c>
      <c r="AT17" s="279">
        <v>38</v>
      </c>
      <c r="AU17" s="155"/>
      <c r="AV17" s="152"/>
      <c r="AW17" s="153"/>
      <c r="AX17" s="153"/>
      <c r="AY17" s="153"/>
      <c r="AZ17" s="154"/>
      <c r="BA17" s="154"/>
      <c r="BB17" s="279"/>
      <c r="BC17" s="279"/>
      <c r="BD17" s="155"/>
      <c r="BE17" s="152">
        <v>11</v>
      </c>
      <c r="BF17" s="153">
        <v>17</v>
      </c>
      <c r="BG17" s="153">
        <v>9</v>
      </c>
      <c r="BH17" s="153">
        <v>6</v>
      </c>
      <c r="BI17" s="154">
        <v>10</v>
      </c>
      <c r="BJ17" s="154">
        <v>12</v>
      </c>
      <c r="BK17" s="279">
        <v>2</v>
      </c>
      <c r="BL17" s="279">
        <v>9</v>
      </c>
      <c r="BM17" s="155"/>
      <c r="BN17" s="152"/>
      <c r="BO17" s="153"/>
      <c r="BP17" s="153"/>
      <c r="BQ17" s="153"/>
      <c r="BR17" s="154"/>
      <c r="BS17" s="154"/>
      <c r="BT17" s="279"/>
      <c r="BU17" s="279"/>
      <c r="BV17" s="155"/>
      <c r="BW17" s="152">
        <v>119</v>
      </c>
      <c r="BX17" s="153">
        <v>78</v>
      </c>
      <c r="BY17" s="153">
        <v>120</v>
      </c>
      <c r="BZ17" s="153">
        <v>153</v>
      </c>
      <c r="CA17" s="154">
        <v>161</v>
      </c>
      <c r="CB17" s="154">
        <v>187</v>
      </c>
      <c r="CC17" s="279">
        <v>149</v>
      </c>
      <c r="CD17" s="279">
        <v>152</v>
      </c>
      <c r="CE17" s="155"/>
      <c r="CF17" s="152">
        <v>10</v>
      </c>
      <c r="CG17" s="153">
        <v>8</v>
      </c>
      <c r="CH17" s="153">
        <v>7</v>
      </c>
      <c r="CI17" s="153">
        <v>7</v>
      </c>
      <c r="CJ17" s="154">
        <v>6</v>
      </c>
      <c r="CK17" s="154">
        <v>8</v>
      </c>
      <c r="CL17" s="279">
        <v>7</v>
      </c>
      <c r="CM17" s="279">
        <v>2</v>
      </c>
      <c r="CN17" s="155"/>
      <c r="CO17" s="152">
        <v>5</v>
      </c>
      <c r="CP17" s="153"/>
      <c r="CQ17" s="153">
        <v>2</v>
      </c>
      <c r="CR17" s="153">
        <v>3</v>
      </c>
      <c r="CS17" s="154"/>
      <c r="CT17" s="154">
        <v>2</v>
      </c>
      <c r="CU17" s="279">
        <v>5</v>
      </c>
      <c r="CV17" s="279">
        <v>10</v>
      </c>
      <c r="CW17" s="155"/>
      <c r="CX17" s="152">
        <v>2367</v>
      </c>
      <c r="CY17" s="153">
        <v>3148</v>
      </c>
      <c r="CZ17" s="153">
        <v>2259</v>
      </c>
      <c r="DA17" s="153">
        <v>3165</v>
      </c>
      <c r="DB17" s="154">
        <v>3207</v>
      </c>
      <c r="DC17" s="154">
        <v>2478</v>
      </c>
      <c r="DD17" s="279">
        <v>1698</v>
      </c>
      <c r="DE17" s="279">
        <v>1431</v>
      </c>
      <c r="DF17" s="155"/>
      <c r="DG17" s="152">
        <v>81</v>
      </c>
      <c r="DH17" s="153">
        <v>122</v>
      </c>
      <c r="DI17" s="153">
        <v>87</v>
      </c>
      <c r="DJ17" s="153">
        <v>346</v>
      </c>
      <c r="DK17" s="154">
        <v>311</v>
      </c>
      <c r="DL17" s="154">
        <v>231</v>
      </c>
      <c r="DM17" s="279">
        <v>157</v>
      </c>
      <c r="DN17" s="279">
        <v>97</v>
      </c>
      <c r="DO17" s="155"/>
      <c r="DP17" s="152">
        <v>154</v>
      </c>
      <c r="DQ17" s="153">
        <v>561</v>
      </c>
      <c r="DR17" s="153">
        <v>345</v>
      </c>
      <c r="DS17" s="153">
        <v>412</v>
      </c>
      <c r="DT17" s="154">
        <v>522</v>
      </c>
      <c r="DU17" s="154">
        <v>374</v>
      </c>
      <c r="DV17" s="279">
        <v>245</v>
      </c>
      <c r="DW17" s="279">
        <v>267</v>
      </c>
      <c r="DX17" s="155"/>
      <c r="DY17" s="152">
        <v>45</v>
      </c>
      <c r="DZ17" s="153">
        <v>276</v>
      </c>
      <c r="EA17" s="153">
        <v>302</v>
      </c>
      <c r="EB17" s="153">
        <v>473</v>
      </c>
      <c r="EC17" s="154">
        <v>446</v>
      </c>
      <c r="ED17" s="154">
        <v>432</v>
      </c>
      <c r="EE17" s="279">
        <v>321</v>
      </c>
      <c r="EF17" s="279">
        <v>188</v>
      </c>
      <c r="EG17" s="155"/>
      <c r="EH17" s="152">
        <v>14</v>
      </c>
      <c r="EI17" s="153">
        <v>77</v>
      </c>
      <c r="EJ17" s="153">
        <v>80</v>
      </c>
      <c r="EK17" s="153">
        <v>56</v>
      </c>
      <c r="EL17" s="154">
        <v>62</v>
      </c>
      <c r="EM17" s="154">
        <v>32</v>
      </c>
      <c r="EN17" s="279">
        <v>44</v>
      </c>
      <c r="EO17" s="279">
        <v>19</v>
      </c>
      <c r="EP17" s="155"/>
      <c r="EQ17" s="152">
        <v>29</v>
      </c>
      <c r="ER17" s="153">
        <v>48</v>
      </c>
      <c r="ES17" s="153">
        <v>47</v>
      </c>
      <c r="ET17" s="153">
        <v>43</v>
      </c>
      <c r="EU17" s="154">
        <v>47</v>
      </c>
      <c r="EV17" s="154">
        <v>53</v>
      </c>
      <c r="EW17" s="279">
        <v>35</v>
      </c>
      <c r="EX17" s="279">
        <v>38</v>
      </c>
      <c r="EY17" s="155"/>
      <c r="EZ17" s="152">
        <v>5</v>
      </c>
      <c r="FA17" s="153">
        <v>4</v>
      </c>
      <c r="FB17" s="153">
        <v>6</v>
      </c>
      <c r="FC17" s="153">
        <v>4</v>
      </c>
      <c r="FD17" s="154">
        <v>6</v>
      </c>
      <c r="FE17" s="154">
        <v>11</v>
      </c>
      <c r="FF17" s="279">
        <v>5</v>
      </c>
      <c r="FG17" s="279">
        <v>3</v>
      </c>
      <c r="FH17" s="155"/>
      <c r="FI17" s="152">
        <v>729</v>
      </c>
      <c r="FJ17" s="153">
        <v>446</v>
      </c>
      <c r="FK17" s="153">
        <v>280</v>
      </c>
      <c r="FL17" s="153">
        <v>300</v>
      </c>
      <c r="FM17" s="154">
        <v>273</v>
      </c>
      <c r="FN17" s="154">
        <v>179</v>
      </c>
      <c r="FO17" s="279">
        <v>193</v>
      </c>
      <c r="FP17" s="279">
        <v>220</v>
      </c>
      <c r="FQ17" s="155"/>
      <c r="FR17" s="152">
        <v>5</v>
      </c>
      <c r="FS17" s="153">
        <v>1</v>
      </c>
      <c r="FT17" s="153">
        <v>7</v>
      </c>
      <c r="FU17" s="153">
        <v>10</v>
      </c>
      <c r="FV17" s="154">
        <v>13</v>
      </c>
      <c r="FW17" s="154">
        <v>8</v>
      </c>
      <c r="FX17" s="279">
        <v>2</v>
      </c>
      <c r="FY17" s="279">
        <v>1</v>
      </c>
      <c r="FZ17" s="155"/>
      <c r="GA17" s="152">
        <v>4</v>
      </c>
      <c r="GB17" s="153">
        <v>41</v>
      </c>
      <c r="GC17" s="153">
        <v>10</v>
      </c>
      <c r="GD17" s="153">
        <v>22</v>
      </c>
      <c r="GE17" s="154">
        <v>39</v>
      </c>
      <c r="GF17" s="154">
        <v>11</v>
      </c>
      <c r="GG17" s="279">
        <v>6</v>
      </c>
      <c r="GH17" s="279">
        <v>10</v>
      </c>
      <c r="GI17" s="155"/>
      <c r="GJ17" s="152">
        <v>3393</v>
      </c>
      <c r="GK17" s="153">
        <v>3944</v>
      </c>
      <c r="GL17" s="153">
        <v>2919</v>
      </c>
      <c r="GM17" s="153">
        <v>3871</v>
      </c>
      <c r="GN17" s="154">
        <v>3960</v>
      </c>
      <c r="GO17" s="154">
        <v>3093</v>
      </c>
      <c r="GP17" s="279">
        <v>2253</v>
      </c>
      <c r="GQ17" s="279">
        <v>1984</v>
      </c>
      <c r="GR17" s="155"/>
      <c r="GS17" s="152">
        <v>1700</v>
      </c>
      <c r="GT17" s="153">
        <v>1873</v>
      </c>
      <c r="GU17" s="153">
        <v>1449</v>
      </c>
      <c r="GV17" s="153">
        <v>1898</v>
      </c>
      <c r="GW17" s="154">
        <v>1897</v>
      </c>
      <c r="GX17" s="154">
        <v>1168</v>
      </c>
      <c r="GY17" s="279">
        <v>905</v>
      </c>
      <c r="GZ17" s="279">
        <v>743</v>
      </c>
      <c r="HA17" s="155"/>
      <c r="HB17" s="152"/>
      <c r="HC17" s="153"/>
      <c r="HD17" s="153"/>
      <c r="HE17" s="153">
        <v>1</v>
      </c>
      <c r="HF17" s="154">
        <v>10</v>
      </c>
      <c r="HG17" s="154">
        <v>15</v>
      </c>
      <c r="HH17" s="279">
        <v>10</v>
      </c>
      <c r="HI17" s="279">
        <v>11</v>
      </c>
      <c r="HJ17" s="155"/>
      <c r="HK17" s="152"/>
      <c r="HL17" s="153"/>
      <c r="HM17" s="153">
        <v>1</v>
      </c>
      <c r="HN17" s="153"/>
      <c r="HO17" s="154"/>
      <c r="HP17" s="154"/>
      <c r="HQ17" s="279"/>
      <c r="HR17" s="279">
        <v>1</v>
      </c>
      <c r="HS17" s="155"/>
      <c r="HT17" s="152">
        <v>1930</v>
      </c>
      <c r="HU17" s="153">
        <v>1994</v>
      </c>
      <c r="HV17" s="153">
        <v>1513</v>
      </c>
      <c r="HW17" s="153">
        <v>2061</v>
      </c>
      <c r="HX17" s="154">
        <v>2076</v>
      </c>
      <c r="HY17" s="154">
        <v>1355</v>
      </c>
      <c r="HZ17" s="279">
        <v>1076</v>
      </c>
      <c r="IA17" s="279">
        <v>941</v>
      </c>
      <c r="IB17" s="155"/>
      <c r="IC17" s="152">
        <v>6216</v>
      </c>
      <c r="ID17" s="153">
        <v>5640</v>
      </c>
      <c r="IE17" s="153">
        <v>4730</v>
      </c>
      <c r="IF17" s="153">
        <v>8590</v>
      </c>
      <c r="IG17" s="154">
        <v>6996</v>
      </c>
      <c r="IH17" s="154">
        <v>8349</v>
      </c>
      <c r="II17" s="279">
        <v>3479</v>
      </c>
      <c r="IJ17" s="279">
        <v>4505</v>
      </c>
      <c r="IK17" s="155"/>
    </row>
    <row r="18" spans="1:245" x14ac:dyDescent="0.2">
      <c r="A18" s="961"/>
      <c r="B18" s="151" t="s">
        <v>643</v>
      </c>
      <c r="C18" s="152"/>
      <c r="D18" s="153"/>
      <c r="E18" s="153"/>
      <c r="F18" s="153"/>
      <c r="G18" s="154"/>
      <c r="H18" s="154"/>
      <c r="I18" s="279"/>
      <c r="J18" s="279"/>
      <c r="K18" s="155"/>
      <c r="L18" s="152"/>
      <c r="M18" s="153"/>
      <c r="N18" s="153"/>
      <c r="O18" s="153"/>
      <c r="P18" s="154"/>
      <c r="Q18" s="154"/>
      <c r="R18" s="279"/>
      <c r="S18" s="279"/>
      <c r="T18" s="155"/>
      <c r="U18" s="152"/>
      <c r="V18" s="153"/>
      <c r="W18" s="153"/>
      <c r="X18" s="153"/>
      <c r="Y18" s="154"/>
      <c r="Z18" s="154"/>
      <c r="AA18" s="279"/>
      <c r="AB18" s="279"/>
      <c r="AC18" s="155"/>
      <c r="AD18" s="152">
        <v>72</v>
      </c>
      <c r="AE18" s="153">
        <v>61</v>
      </c>
      <c r="AF18" s="153">
        <v>109</v>
      </c>
      <c r="AG18" s="153">
        <v>75</v>
      </c>
      <c r="AH18" s="154">
        <v>109</v>
      </c>
      <c r="AI18" s="154">
        <v>109</v>
      </c>
      <c r="AJ18" s="279">
        <v>101</v>
      </c>
      <c r="AK18" s="279">
        <v>112</v>
      </c>
      <c r="AL18" s="155"/>
      <c r="AM18" s="152">
        <v>56</v>
      </c>
      <c r="AN18" s="153">
        <v>42</v>
      </c>
      <c r="AO18" s="153">
        <v>66</v>
      </c>
      <c r="AP18" s="153">
        <v>43</v>
      </c>
      <c r="AQ18" s="154">
        <v>36</v>
      </c>
      <c r="AR18" s="154">
        <v>35</v>
      </c>
      <c r="AS18" s="279">
        <v>36</v>
      </c>
      <c r="AT18" s="279">
        <v>25</v>
      </c>
      <c r="AU18" s="155"/>
      <c r="AV18" s="152"/>
      <c r="AW18" s="153"/>
      <c r="AX18" s="153"/>
      <c r="AY18" s="153"/>
      <c r="AZ18" s="154"/>
      <c r="BA18" s="154"/>
      <c r="BB18" s="279"/>
      <c r="BC18" s="279"/>
      <c r="BD18" s="155"/>
      <c r="BE18" s="152">
        <v>10</v>
      </c>
      <c r="BF18" s="153">
        <v>5</v>
      </c>
      <c r="BG18" s="153">
        <v>6</v>
      </c>
      <c r="BH18" s="153">
        <v>13</v>
      </c>
      <c r="BI18" s="154">
        <v>4</v>
      </c>
      <c r="BJ18" s="154">
        <v>2</v>
      </c>
      <c r="BK18" s="279"/>
      <c r="BL18" s="279">
        <v>2</v>
      </c>
      <c r="BM18" s="155"/>
      <c r="BN18" s="152"/>
      <c r="BO18" s="153"/>
      <c r="BP18" s="153"/>
      <c r="BQ18" s="153"/>
      <c r="BR18" s="154"/>
      <c r="BS18" s="154"/>
      <c r="BT18" s="279">
        <v>2</v>
      </c>
      <c r="BU18" s="279"/>
      <c r="BV18" s="155"/>
      <c r="BW18" s="152">
        <v>54</v>
      </c>
      <c r="BX18" s="153">
        <v>71</v>
      </c>
      <c r="BY18" s="153">
        <v>114</v>
      </c>
      <c r="BZ18" s="153">
        <v>130</v>
      </c>
      <c r="CA18" s="154">
        <v>117</v>
      </c>
      <c r="CB18" s="154">
        <v>114</v>
      </c>
      <c r="CC18" s="279">
        <v>136</v>
      </c>
      <c r="CD18" s="279">
        <v>86</v>
      </c>
      <c r="CE18" s="155"/>
      <c r="CF18" s="152">
        <v>2</v>
      </c>
      <c r="CG18" s="153">
        <v>4</v>
      </c>
      <c r="CH18" s="153">
        <v>2</v>
      </c>
      <c r="CI18" s="153">
        <v>5</v>
      </c>
      <c r="CJ18" s="154">
        <v>4</v>
      </c>
      <c r="CK18" s="154">
        <v>3</v>
      </c>
      <c r="CL18" s="279">
        <v>3</v>
      </c>
      <c r="CM18" s="279">
        <v>1</v>
      </c>
      <c r="CN18" s="155"/>
      <c r="CO18" s="152"/>
      <c r="CP18" s="153"/>
      <c r="CQ18" s="153">
        <v>2</v>
      </c>
      <c r="CR18" s="153"/>
      <c r="CS18" s="154"/>
      <c r="CT18" s="154">
        <v>2</v>
      </c>
      <c r="CU18" s="279"/>
      <c r="CV18" s="279">
        <v>3</v>
      </c>
      <c r="CW18" s="155"/>
      <c r="CX18" s="152">
        <v>885</v>
      </c>
      <c r="CY18" s="153">
        <v>1465</v>
      </c>
      <c r="CZ18" s="153">
        <v>1366</v>
      </c>
      <c r="DA18" s="153">
        <v>1423</v>
      </c>
      <c r="DB18" s="154">
        <v>1103</v>
      </c>
      <c r="DC18" s="154">
        <v>724</v>
      </c>
      <c r="DD18" s="279">
        <v>578</v>
      </c>
      <c r="DE18" s="279">
        <v>494</v>
      </c>
      <c r="DF18" s="155"/>
      <c r="DG18" s="152">
        <v>11</v>
      </c>
      <c r="DH18" s="153">
        <v>96</v>
      </c>
      <c r="DI18" s="153">
        <v>48</v>
      </c>
      <c r="DJ18" s="153">
        <v>166</v>
      </c>
      <c r="DK18" s="154">
        <v>109</v>
      </c>
      <c r="DL18" s="154">
        <v>49</v>
      </c>
      <c r="DM18" s="279">
        <v>44</v>
      </c>
      <c r="DN18" s="279">
        <v>22</v>
      </c>
      <c r="DO18" s="155"/>
      <c r="DP18" s="152">
        <v>14</v>
      </c>
      <c r="DQ18" s="153">
        <v>121</v>
      </c>
      <c r="DR18" s="153">
        <v>91</v>
      </c>
      <c r="DS18" s="153">
        <v>85</v>
      </c>
      <c r="DT18" s="154">
        <v>63</v>
      </c>
      <c r="DU18" s="154">
        <v>33</v>
      </c>
      <c r="DV18" s="279">
        <v>40</v>
      </c>
      <c r="DW18" s="279">
        <v>33</v>
      </c>
      <c r="DX18" s="155"/>
      <c r="DY18" s="152">
        <v>14</v>
      </c>
      <c r="DZ18" s="153">
        <v>286</v>
      </c>
      <c r="EA18" s="153">
        <v>256</v>
      </c>
      <c r="EB18" s="153">
        <v>183</v>
      </c>
      <c r="EC18" s="154">
        <v>265</v>
      </c>
      <c r="ED18" s="154">
        <v>168</v>
      </c>
      <c r="EE18" s="279">
        <v>101</v>
      </c>
      <c r="EF18" s="279">
        <v>74</v>
      </c>
      <c r="EG18" s="155"/>
      <c r="EH18" s="152">
        <v>7</v>
      </c>
      <c r="EI18" s="153">
        <v>47</v>
      </c>
      <c r="EJ18" s="153">
        <v>44</v>
      </c>
      <c r="EK18" s="153">
        <v>22</v>
      </c>
      <c r="EL18" s="154">
        <v>30</v>
      </c>
      <c r="EM18" s="154">
        <v>13</v>
      </c>
      <c r="EN18" s="279">
        <v>9</v>
      </c>
      <c r="EO18" s="279">
        <v>9</v>
      </c>
      <c r="EP18" s="155"/>
      <c r="EQ18" s="152">
        <v>10</v>
      </c>
      <c r="ER18" s="153">
        <v>12</v>
      </c>
      <c r="ES18" s="153">
        <v>6</v>
      </c>
      <c r="ET18" s="153">
        <v>12</v>
      </c>
      <c r="EU18" s="154">
        <v>17</v>
      </c>
      <c r="EV18" s="154">
        <v>11</v>
      </c>
      <c r="EW18" s="279">
        <v>9</v>
      </c>
      <c r="EX18" s="279">
        <v>10</v>
      </c>
      <c r="EY18" s="155"/>
      <c r="EZ18" s="152">
        <v>3</v>
      </c>
      <c r="FA18" s="153">
        <v>4</v>
      </c>
      <c r="FB18" s="153">
        <v>8</v>
      </c>
      <c r="FC18" s="153">
        <v>4</v>
      </c>
      <c r="FD18" s="154">
        <v>4</v>
      </c>
      <c r="FE18" s="154">
        <v>1</v>
      </c>
      <c r="FF18" s="279"/>
      <c r="FG18" s="279">
        <v>2</v>
      </c>
      <c r="FH18" s="155"/>
      <c r="FI18" s="152">
        <v>206</v>
      </c>
      <c r="FJ18" s="153">
        <v>220</v>
      </c>
      <c r="FK18" s="153">
        <v>152</v>
      </c>
      <c r="FL18" s="153">
        <v>121</v>
      </c>
      <c r="FM18" s="154">
        <v>82</v>
      </c>
      <c r="FN18" s="154">
        <v>69</v>
      </c>
      <c r="FO18" s="279">
        <v>68</v>
      </c>
      <c r="FP18" s="279">
        <v>63</v>
      </c>
      <c r="FQ18" s="155"/>
      <c r="FR18" s="152"/>
      <c r="FS18" s="153">
        <v>5</v>
      </c>
      <c r="FT18" s="153"/>
      <c r="FU18" s="153">
        <v>2</v>
      </c>
      <c r="FV18" s="154">
        <v>3</v>
      </c>
      <c r="FW18" s="154">
        <v>2</v>
      </c>
      <c r="FX18" s="279">
        <v>1</v>
      </c>
      <c r="FY18" s="279">
        <v>1</v>
      </c>
      <c r="FZ18" s="155"/>
      <c r="GA18" s="152">
        <v>1</v>
      </c>
      <c r="GB18" s="153">
        <v>22</v>
      </c>
      <c r="GC18" s="153">
        <v>21</v>
      </c>
      <c r="GD18" s="153">
        <v>15</v>
      </c>
      <c r="GE18" s="154">
        <v>9</v>
      </c>
      <c r="GF18" s="154">
        <v>10</v>
      </c>
      <c r="GG18" s="279">
        <v>4</v>
      </c>
      <c r="GH18" s="279">
        <v>13</v>
      </c>
      <c r="GI18" s="155"/>
      <c r="GJ18" s="152">
        <v>1250</v>
      </c>
      <c r="GK18" s="153">
        <v>1916</v>
      </c>
      <c r="GL18" s="153">
        <v>1830</v>
      </c>
      <c r="GM18" s="153">
        <v>1822</v>
      </c>
      <c r="GN18" s="154">
        <v>1482</v>
      </c>
      <c r="GO18" s="154">
        <v>1060</v>
      </c>
      <c r="GP18" s="279">
        <v>911</v>
      </c>
      <c r="GQ18" s="279">
        <v>796</v>
      </c>
      <c r="GR18" s="155"/>
      <c r="GS18" s="152">
        <v>531</v>
      </c>
      <c r="GT18" s="153">
        <v>871</v>
      </c>
      <c r="GU18" s="153">
        <v>835</v>
      </c>
      <c r="GV18" s="153">
        <v>797</v>
      </c>
      <c r="GW18" s="154">
        <v>524</v>
      </c>
      <c r="GX18" s="154">
        <v>336</v>
      </c>
      <c r="GY18" s="279">
        <v>336</v>
      </c>
      <c r="GZ18" s="279">
        <v>248</v>
      </c>
      <c r="HA18" s="155"/>
      <c r="HB18" s="152">
        <v>2</v>
      </c>
      <c r="HC18" s="153">
        <v>2</v>
      </c>
      <c r="HD18" s="153"/>
      <c r="HE18" s="153">
        <v>1</v>
      </c>
      <c r="HF18" s="154">
        <v>3</v>
      </c>
      <c r="HG18" s="154">
        <v>6</v>
      </c>
      <c r="HH18" s="279">
        <v>8</v>
      </c>
      <c r="HI18" s="279">
        <v>6</v>
      </c>
      <c r="HJ18" s="155"/>
      <c r="HK18" s="152"/>
      <c r="HL18" s="153"/>
      <c r="HM18" s="153"/>
      <c r="HN18" s="153"/>
      <c r="HO18" s="154"/>
      <c r="HP18" s="154"/>
      <c r="HQ18" s="279"/>
      <c r="HR18" s="279"/>
      <c r="HS18" s="155"/>
      <c r="HT18" s="152">
        <v>1025</v>
      </c>
      <c r="HU18" s="153">
        <v>930</v>
      </c>
      <c r="HV18" s="153">
        <v>897</v>
      </c>
      <c r="HW18" s="153">
        <v>867</v>
      </c>
      <c r="HX18" s="154">
        <v>611</v>
      </c>
      <c r="HY18" s="154">
        <v>411</v>
      </c>
      <c r="HZ18" s="279">
        <v>428</v>
      </c>
      <c r="IA18" s="279">
        <v>357</v>
      </c>
      <c r="IB18" s="155"/>
      <c r="IC18" s="152">
        <v>2619</v>
      </c>
      <c r="ID18" s="153">
        <v>2683</v>
      </c>
      <c r="IE18" s="153">
        <v>2583</v>
      </c>
      <c r="IF18" s="153">
        <v>2337</v>
      </c>
      <c r="IG18" s="154">
        <v>1981</v>
      </c>
      <c r="IH18" s="154">
        <v>1593</v>
      </c>
      <c r="II18" s="279">
        <v>1366</v>
      </c>
      <c r="IJ18" s="279">
        <v>1271</v>
      </c>
      <c r="IK18" s="155"/>
    </row>
    <row r="19" spans="1:245" x14ac:dyDescent="0.2">
      <c r="A19" s="961"/>
      <c r="B19" s="151" t="s">
        <v>644</v>
      </c>
      <c r="C19" s="152"/>
      <c r="D19" s="153"/>
      <c r="E19" s="153"/>
      <c r="F19" s="153"/>
      <c r="G19" s="154"/>
      <c r="H19" s="154"/>
      <c r="I19" s="279"/>
      <c r="J19" s="279"/>
      <c r="K19" s="155"/>
      <c r="L19" s="152"/>
      <c r="M19" s="153"/>
      <c r="N19" s="153"/>
      <c r="O19" s="153"/>
      <c r="P19" s="154"/>
      <c r="Q19" s="154"/>
      <c r="R19" s="279"/>
      <c r="S19" s="279"/>
      <c r="T19" s="155"/>
      <c r="U19" s="152"/>
      <c r="V19" s="153"/>
      <c r="W19" s="153"/>
      <c r="X19" s="153"/>
      <c r="Y19" s="154"/>
      <c r="Z19" s="154"/>
      <c r="AA19" s="279"/>
      <c r="AB19" s="279"/>
      <c r="AC19" s="155"/>
      <c r="AD19" s="152">
        <v>37</v>
      </c>
      <c r="AE19" s="153">
        <v>21</v>
      </c>
      <c r="AF19" s="153">
        <v>43</v>
      </c>
      <c r="AG19" s="153">
        <v>34</v>
      </c>
      <c r="AH19" s="154">
        <v>46</v>
      </c>
      <c r="AI19" s="154">
        <v>39</v>
      </c>
      <c r="AJ19" s="279">
        <v>28</v>
      </c>
      <c r="AK19" s="279">
        <v>21</v>
      </c>
      <c r="AL19" s="155"/>
      <c r="AM19" s="152">
        <v>22</v>
      </c>
      <c r="AN19" s="153">
        <v>12</v>
      </c>
      <c r="AO19" s="153">
        <v>29</v>
      </c>
      <c r="AP19" s="153">
        <v>15</v>
      </c>
      <c r="AQ19" s="154">
        <v>32</v>
      </c>
      <c r="AR19" s="154">
        <v>27</v>
      </c>
      <c r="AS19" s="279">
        <v>14</v>
      </c>
      <c r="AT19" s="279">
        <v>10</v>
      </c>
      <c r="AU19" s="155"/>
      <c r="AV19" s="152"/>
      <c r="AW19" s="153"/>
      <c r="AX19" s="153"/>
      <c r="AY19" s="153"/>
      <c r="AZ19" s="154"/>
      <c r="BA19" s="154"/>
      <c r="BB19" s="279"/>
      <c r="BC19" s="279"/>
      <c r="BD19" s="155"/>
      <c r="BE19" s="152">
        <v>1</v>
      </c>
      <c r="BF19" s="153">
        <v>3</v>
      </c>
      <c r="BG19" s="153">
        <v>1</v>
      </c>
      <c r="BH19" s="153"/>
      <c r="BI19" s="154"/>
      <c r="BJ19" s="154">
        <v>8</v>
      </c>
      <c r="BK19" s="279">
        <v>1</v>
      </c>
      <c r="BL19" s="279">
        <v>4</v>
      </c>
      <c r="BM19" s="155"/>
      <c r="BN19" s="152"/>
      <c r="BO19" s="153"/>
      <c r="BP19" s="153"/>
      <c r="BQ19" s="153"/>
      <c r="BR19" s="154"/>
      <c r="BS19" s="154">
        <v>2</v>
      </c>
      <c r="BT19" s="279"/>
      <c r="BU19" s="279"/>
      <c r="BV19" s="155"/>
      <c r="BW19" s="152">
        <v>35</v>
      </c>
      <c r="BX19" s="153">
        <v>44</v>
      </c>
      <c r="BY19" s="153">
        <v>65</v>
      </c>
      <c r="BZ19" s="153">
        <v>65</v>
      </c>
      <c r="CA19" s="154">
        <v>97</v>
      </c>
      <c r="CB19" s="154">
        <v>69</v>
      </c>
      <c r="CC19" s="279">
        <v>56</v>
      </c>
      <c r="CD19" s="279">
        <v>41</v>
      </c>
      <c r="CE19" s="155"/>
      <c r="CF19" s="152">
        <v>3</v>
      </c>
      <c r="CG19" s="153">
        <v>3</v>
      </c>
      <c r="CH19" s="153">
        <v>5</v>
      </c>
      <c r="CI19" s="153">
        <v>3</v>
      </c>
      <c r="CJ19" s="154">
        <v>4</v>
      </c>
      <c r="CK19" s="154">
        <v>4</v>
      </c>
      <c r="CL19" s="279">
        <v>2</v>
      </c>
      <c r="CM19" s="279">
        <v>4</v>
      </c>
      <c r="CN19" s="155"/>
      <c r="CO19" s="152">
        <v>1</v>
      </c>
      <c r="CP19" s="153">
        <v>1</v>
      </c>
      <c r="CQ19" s="153"/>
      <c r="CR19" s="153"/>
      <c r="CS19" s="154">
        <v>1</v>
      </c>
      <c r="CT19" s="154">
        <v>1</v>
      </c>
      <c r="CU19" s="279">
        <v>2</v>
      </c>
      <c r="CV19" s="279"/>
      <c r="CW19" s="155"/>
      <c r="CX19" s="152">
        <v>628</v>
      </c>
      <c r="CY19" s="153">
        <v>1035</v>
      </c>
      <c r="CZ19" s="153">
        <v>914</v>
      </c>
      <c r="DA19" s="153">
        <v>715</v>
      </c>
      <c r="DB19" s="154">
        <v>842</v>
      </c>
      <c r="DC19" s="154">
        <v>493</v>
      </c>
      <c r="DD19" s="279">
        <v>375</v>
      </c>
      <c r="DE19" s="279">
        <v>247</v>
      </c>
      <c r="DF19" s="155"/>
      <c r="DG19" s="152">
        <v>22</v>
      </c>
      <c r="DH19" s="153">
        <v>32</v>
      </c>
      <c r="DI19" s="153">
        <v>18</v>
      </c>
      <c r="DJ19" s="153">
        <v>59</v>
      </c>
      <c r="DK19" s="154">
        <v>58</v>
      </c>
      <c r="DL19" s="154">
        <v>44</v>
      </c>
      <c r="DM19" s="279">
        <v>44</v>
      </c>
      <c r="DN19" s="279">
        <v>22</v>
      </c>
      <c r="DO19" s="155"/>
      <c r="DP19" s="152">
        <v>57</v>
      </c>
      <c r="DQ19" s="153">
        <v>105</v>
      </c>
      <c r="DR19" s="153">
        <v>73</v>
      </c>
      <c r="DS19" s="153">
        <v>72</v>
      </c>
      <c r="DT19" s="154">
        <v>63</v>
      </c>
      <c r="DU19" s="154">
        <v>25</v>
      </c>
      <c r="DV19" s="279">
        <v>21</v>
      </c>
      <c r="DW19" s="279">
        <v>15</v>
      </c>
      <c r="DX19" s="155"/>
      <c r="DY19" s="152">
        <v>38</v>
      </c>
      <c r="DZ19" s="153">
        <v>254</v>
      </c>
      <c r="EA19" s="153">
        <v>316</v>
      </c>
      <c r="EB19" s="153">
        <v>170</v>
      </c>
      <c r="EC19" s="154">
        <v>290</v>
      </c>
      <c r="ED19" s="154">
        <v>129</v>
      </c>
      <c r="EE19" s="279">
        <v>90</v>
      </c>
      <c r="EF19" s="279">
        <v>48</v>
      </c>
      <c r="EG19" s="155"/>
      <c r="EH19" s="152">
        <v>2</v>
      </c>
      <c r="EI19" s="153">
        <v>24</v>
      </c>
      <c r="EJ19" s="153">
        <v>20</v>
      </c>
      <c r="EK19" s="153">
        <v>11</v>
      </c>
      <c r="EL19" s="154">
        <v>8</v>
      </c>
      <c r="EM19" s="154">
        <v>6</v>
      </c>
      <c r="EN19" s="279">
        <v>4</v>
      </c>
      <c r="EO19" s="279">
        <v>4</v>
      </c>
      <c r="EP19" s="155"/>
      <c r="EQ19" s="152">
        <v>4</v>
      </c>
      <c r="ER19" s="153">
        <v>1</v>
      </c>
      <c r="ES19" s="153">
        <v>9</v>
      </c>
      <c r="ET19" s="153">
        <v>6</v>
      </c>
      <c r="EU19" s="154">
        <v>14</v>
      </c>
      <c r="EV19" s="154">
        <v>6</v>
      </c>
      <c r="EW19" s="279">
        <v>12</v>
      </c>
      <c r="EX19" s="279">
        <v>8</v>
      </c>
      <c r="EY19" s="155"/>
      <c r="EZ19" s="152"/>
      <c r="FA19" s="153">
        <v>1</v>
      </c>
      <c r="FB19" s="153"/>
      <c r="FC19" s="153">
        <v>1</v>
      </c>
      <c r="FD19" s="154">
        <v>4</v>
      </c>
      <c r="FE19" s="154">
        <v>1</v>
      </c>
      <c r="FF19" s="279">
        <v>3</v>
      </c>
      <c r="FG19" s="279"/>
      <c r="FH19" s="155"/>
      <c r="FI19" s="152">
        <v>158</v>
      </c>
      <c r="FJ19" s="153">
        <v>84</v>
      </c>
      <c r="FK19" s="153">
        <v>100</v>
      </c>
      <c r="FL19" s="153">
        <v>59</v>
      </c>
      <c r="FM19" s="154">
        <v>64</v>
      </c>
      <c r="FN19" s="154">
        <v>50</v>
      </c>
      <c r="FO19" s="279">
        <v>43</v>
      </c>
      <c r="FP19" s="279">
        <v>48</v>
      </c>
      <c r="FQ19" s="155"/>
      <c r="FR19" s="152">
        <v>3</v>
      </c>
      <c r="FS19" s="153"/>
      <c r="FT19" s="153">
        <v>2</v>
      </c>
      <c r="FU19" s="153">
        <v>3</v>
      </c>
      <c r="FV19" s="154">
        <v>2</v>
      </c>
      <c r="FW19" s="154"/>
      <c r="FX19" s="279">
        <v>1</v>
      </c>
      <c r="FY19" s="279"/>
      <c r="FZ19" s="155"/>
      <c r="GA19" s="152">
        <v>5</v>
      </c>
      <c r="GB19" s="153">
        <v>1</v>
      </c>
      <c r="GC19" s="153">
        <v>12</v>
      </c>
      <c r="GD19" s="153">
        <v>5</v>
      </c>
      <c r="GE19" s="154">
        <v>3</v>
      </c>
      <c r="GF19" s="154">
        <v>8</v>
      </c>
      <c r="GG19" s="279">
        <v>12</v>
      </c>
      <c r="GH19" s="279">
        <v>7</v>
      </c>
      <c r="GI19" s="155"/>
      <c r="GJ19" s="152">
        <v>877</v>
      </c>
      <c r="GK19" s="153">
        <v>1218</v>
      </c>
      <c r="GL19" s="153">
        <v>1171</v>
      </c>
      <c r="GM19" s="153">
        <v>902</v>
      </c>
      <c r="GN19" s="154">
        <v>1085</v>
      </c>
      <c r="GO19" s="154">
        <v>687</v>
      </c>
      <c r="GP19" s="279">
        <v>539</v>
      </c>
      <c r="GQ19" s="279">
        <v>384</v>
      </c>
      <c r="GR19" s="155"/>
      <c r="GS19" s="152">
        <v>368</v>
      </c>
      <c r="GT19" s="153">
        <v>418</v>
      </c>
      <c r="GU19" s="153">
        <v>392</v>
      </c>
      <c r="GV19" s="153">
        <v>280</v>
      </c>
      <c r="GW19" s="154">
        <v>170</v>
      </c>
      <c r="GX19" s="154">
        <v>156</v>
      </c>
      <c r="GY19" s="279">
        <v>112</v>
      </c>
      <c r="GZ19" s="279">
        <v>146</v>
      </c>
      <c r="HA19" s="155"/>
      <c r="HB19" s="152"/>
      <c r="HC19" s="153"/>
      <c r="HD19" s="153"/>
      <c r="HE19" s="153"/>
      <c r="HF19" s="154">
        <v>5</v>
      </c>
      <c r="HG19" s="154">
        <v>2</v>
      </c>
      <c r="HH19" s="279">
        <v>1</v>
      </c>
      <c r="HI19" s="279">
        <v>1</v>
      </c>
      <c r="HJ19" s="155"/>
      <c r="HK19" s="152"/>
      <c r="HL19" s="153"/>
      <c r="HM19" s="153"/>
      <c r="HN19" s="153"/>
      <c r="HO19" s="154"/>
      <c r="HP19" s="154"/>
      <c r="HQ19" s="279"/>
      <c r="HR19" s="279"/>
      <c r="HS19" s="155"/>
      <c r="HT19" s="152">
        <v>440</v>
      </c>
      <c r="HU19" s="153">
        <v>493</v>
      </c>
      <c r="HV19" s="153">
        <v>443</v>
      </c>
      <c r="HW19" s="153">
        <v>334</v>
      </c>
      <c r="HX19" s="154">
        <v>314</v>
      </c>
      <c r="HY19" s="154">
        <v>279</v>
      </c>
      <c r="HZ19" s="279">
        <v>248</v>
      </c>
      <c r="IA19" s="279">
        <v>263</v>
      </c>
      <c r="IB19" s="155"/>
      <c r="IC19" s="152">
        <v>1529</v>
      </c>
      <c r="ID19" s="153">
        <v>1984</v>
      </c>
      <c r="IE19" s="153">
        <v>1769</v>
      </c>
      <c r="IF19" s="153">
        <v>2425</v>
      </c>
      <c r="IG19" s="154">
        <v>3107</v>
      </c>
      <c r="IH19" s="154">
        <v>1212</v>
      </c>
      <c r="II19" s="279">
        <v>1136</v>
      </c>
      <c r="IJ19" s="279">
        <v>987</v>
      </c>
      <c r="IK19" s="155"/>
    </row>
    <row r="20" spans="1:245" x14ac:dyDescent="0.2">
      <c r="A20" s="961"/>
      <c r="B20" s="151" t="s">
        <v>645</v>
      </c>
      <c r="C20" s="152"/>
      <c r="D20" s="153"/>
      <c r="E20" s="153"/>
      <c r="F20" s="153"/>
      <c r="G20" s="154"/>
      <c r="H20" s="154"/>
      <c r="I20" s="279">
        <v>1</v>
      </c>
      <c r="J20" s="279"/>
      <c r="K20" s="155"/>
      <c r="L20" s="152"/>
      <c r="M20" s="153"/>
      <c r="N20" s="153"/>
      <c r="O20" s="153"/>
      <c r="P20" s="154"/>
      <c r="Q20" s="154"/>
      <c r="R20" s="279"/>
      <c r="S20" s="279"/>
      <c r="T20" s="155"/>
      <c r="U20" s="152"/>
      <c r="V20" s="153"/>
      <c r="W20" s="153"/>
      <c r="X20" s="153"/>
      <c r="Y20" s="154"/>
      <c r="Z20" s="154"/>
      <c r="AA20" s="279">
        <v>1</v>
      </c>
      <c r="AB20" s="279"/>
      <c r="AC20" s="155"/>
      <c r="AD20" s="152">
        <v>90</v>
      </c>
      <c r="AE20" s="153">
        <v>88</v>
      </c>
      <c r="AF20" s="153">
        <v>40</v>
      </c>
      <c r="AG20" s="153">
        <v>39</v>
      </c>
      <c r="AH20" s="154">
        <v>65</v>
      </c>
      <c r="AI20" s="154">
        <v>67</v>
      </c>
      <c r="AJ20" s="279">
        <v>52</v>
      </c>
      <c r="AK20" s="279">
        <v>60</v>
      </c>
      <c r="AL20" s="155"/>
      <c r="AM20" s="152">
        <v>65</v>
      </c>
      <c r="AN20" s="153">
        <v>53</v>
      </c>
      <c r="AO20" s="153">
        <v>26</v>
      </c>
      <c r="AP20" s="153">
        <v>30</v>
      </c>
      <c r="AQ20" s="154">
        <v>44</v>
      </c>
      <c r="AR20" s="154">
        <v>35</v>
      </c>
      <c r="AS20" s="279">
        <v>26</v>
      </c>
      <c r="AT20" s="279">
        <v>41</v>
      </c>
      <c r="AU20" s="155"/>
      <c r="AV20" s="152"/>
      <c r="AW20" s="153"/>
      <c r="AX20" s="153"/>
      <c r="AY20" s="153"/>
      <c r="AZ20" s="154"/>
      <c r="BA20" s="154"/>
      <c r="BB20" s="279"/>
      <c r="BC20" s="279"/>
      <c r="BD20" s="155"/>
      <c r="BE20" s="152">
        <v>2</v>
      </c>
      <c r="BF20" s="153">
        <v>15</v>
      </c>
      <c r="BG20" s="153">
        <v>3</v>
      </c>
      <c r="BH20" s="153">
        <v>1</v>
      </c>
      <c r="BI20" s="154">
        <v>6</v>
      </c>
      <c r="BJ20" s="154">
        <v>12</v>
      </c>
      <c r="BK20" s="279">
        <v>6</v>
      </c>
      <c r="BL20" s="279">
        <v>10</v>
      </c>
      <c r="BM20" s="155"/>
      <c r="BN20" s="152"/>
      <c r="BO20" s="153"/>
      <c r="BP20" s="153"/>
      <c r="BQ20" s="153"/>
      <c r="BR20" s="154"/>
      <c r="BS20" s="154"/>
      <c r="BT20" s="279"/>
      <c r="BU20" s="279"/>
      <c r="BV20" s="155"/>
      <c r="BW20" s="152">
        <v>48</v>
      </c>
      <c r="BX20" s="153">
        <v>66</v>
      </c>
      <c r="BY20" s="153">
        <v>55</v>
      </c>
      <c r="BZ20" s="153">
        <v>71</v>
      </c>
      <c r="CA20" s="154">
        <v>77</v>
      </c>
      <c r="CB20" s="154">
        <v>81</v>
      </c>
      <c r="CC20" s="279">
        <v>75</v>
      </c>
      <c r="CD20" s="279">
        <v>74</v>
      </c>
      <c r="CE20" s="155"/>
      <c r="CF20" s="152">
        <v>8</v>
      </c>
      <c r="CG20" s="153">
        <v>5</v>
      </c>
      <c r="CH20" s="153"/>
      <c r="CI20" s="153">
        <v>2</v>
      </c>
      <c r="CJ20" s="154">
        <v>4</v>
      </c>
      <c r="CK20" s="154">
        <v>6</v>
      </c>
      <c r="CL20" s="279">
        <v>5</v>
      </c>
      <c r="CM20" s="279">
        <v>3</v>
      </c>
      <c r="CN20" s="155"/>
      <c r="CO20" s="152">
        <v>4</v>
      </c>
      <c r="CP20" s="153">
        <v>2</v>
      </c>
      <c r="CQ20" s="153">
        <v>1</v>
      </c>
      <c r="CR20" s="153">
        <v>1</v>
      </c>
      <c r="CS20" s="154">
        <v>3</v>
      </c>
      <c r="CT20" s="154">
        <v>4</v>
      </c>
      <c r="CU20" s="279">
        <v>2</v>
      </c>
      <c r="CV20" s="279">
        <v>2</v>
      </c>
      <c r="CW20" s="155"/>
      <c r="CX20" s="152">
        <v>795</v>
      </c>
      <c r="CY20" s="153">
        <v>1076</v>
      </c>
      <c r="CZ20" s="153">
        <v>1045</v>
      </c>
      <c r="DA20" s="153">
        <v>1090</v>
      </c>
      <c r="DB20" s="154">
        <v>899</v>
      </c>
      <c r="DC20" s="154">
        <v>542</v>
      </c>
      <c r="DD20" s="279">
        <v>508</v>
      </c>
      <c r="DE20" s="279">
        <v>449</v>
      </c>
      <c r="DF20" s="155"/>
      <c r="DG20" s="152">
        <v>12</v>
      </c>
      <c r="DH20" s="153">
        <v>32</v>
      </c>
      <c r="DI20" s="153">
        <v>22</v>
      </c>
      <c r="DJ20" s="153">
        <v>52</v>
      </c>
      <c r="DK20" s="154">
        <v>81</v>
      </c>
      <c r="DL20" s="154">
        <v>57</v>
      </c>
      <c r="DM20" s="279">
        <v>42</v>
      </c>
      <c r="DN20" s="279">
        <v>29</v>
      </c>
      <c r="DO20" s="155"/>
      <c r="DP20" s="152">
        <v>185</v>
      </c>
      <c r="DQ20" s="153">
        <v>69</v>
      </c>
      <c r="DR20" s="153">
        <v>64</v>
      </c>
      <c r="DS20" s="153">
        <v>51</v>
      </c>
      <c r="DT20" s="154">
        <v>60</v>
      </c>
      <c r="DU20" s="154">
        <v>25</v>
      </c>
      <c r="DV20" s="279">
        <v>29</v>
      </c>
      <c r="DW20" s="279">
        <v>17</v>
      </c>
      <c r="DX20" s="155"/>
      <c r="DY20" s="152">
        <v>42</v>
      </c>
      <c r="DZ20" s="153">
        <v>284</v>
      </c>
      <c r="EA20" s="153">
        <v>278</v>
      </c>
      <c r="EB20" s="153">
        <v>349</v>
      </c>
      <c r="EC20" s="154">
        <v>215</v>
      </c>
      <c r="ED20" s="154">
        <v>107</v>
      </c>
      <c r="EE20" s="279">
        <v>89</v>
      </c>
      <c r="EF20" s="279">
        <v>138</v>
      </c>
      <c r="EG20" s="155"/>
      <c r="EH20" s="152"/>
      <c r="EI20" s="153">
        <v>12</v>
      </c>
      <c r="EJ20" s="153">
        <v>24</v>
      </c>
      <c r="EK20" s="153">
        <v>12</v>
      </c>
      <c r="EL20" s="154">
        <v>8</v>
      </c>
      <c r="EM20" s="154">
        <v>6</v>
      </c>
      <c r="EN20" s="279">
        <v>7</v>
      </c>
      <c r="EO20" s="279">
        <v>4</v>
      </c>
      <c r="EP20" s="155"/>
      <c r="EQ20" s="152">
        <v>7</v>
      </c>
      <c r="ER20" s="153">
        <v>20</v>
      </c>
      <c r="ES20" s="153">
        <v>26</v>
      </c>
      <c r="ET20" s="153">
        <v>22</v>
      </c>
      <c r="EU20" s="154">
        <v>24</v>
      </c>
      <c r="EV20" s="154">
        <v>21</v>
      </c>
      <c r="EW20" s="279">
        <v>4</v>
      </c>
      <c r="EX20" s="279">
        <v>14</v>
      </c>
      <c r="EY20" s="155"/>
      <c r="EZ20" s="152">
        <v>5</v>
      </c>
      <c r="FA20" s="153">
        <v>3</v>
      </c>
      <c r="FB20" s="153">
        <v>6</v>
      </c>
      <c r="FC20" s="153">
        <v>5</v>
      </c>
      <c r="FD20" s="154">
        <v>1</v>
      </c>
      <c r="FE20" s="154">
        <v>1</v>
      </c>
      <c r="FF20" s="279">
        <v>3</v>
      </c>
      <c r="FG20" s="279">
        <v>2</v>
      </c>
      <c r="FH20" s="155"/>
      <c r="FI20" s="152">
        <v>161</v>
      </c>
      <c r="FJ20" s="153">
        <v>109</v>
      </c>
      <c r="FK20" s="153">
        <v>81</v>
      </c>
      <c r="FL20" s="153">
        <v>58</v>
      </c>
      <c r="FM20" s="154">
        <v>78</v>
      </c>
      <c r="FN20" s="154">
        <v>36</v>
      </c>
      <c r="FO20" s="279">
        <v>56</v>
      </c>
      <c r="FP20" s="279">
        <v>61</v>
      </c>
      <c r="FQ20" s="155"/>
      <c r="FR20" s="152">
        <v>3</v>
      </c>
      <c r="FS20" s="153">
        <v>1</v>
      </c>
      <c r="FT20" s="153">
        <v>4</v>
      </c>
      <c r="FU20" s="153">
        <v>1</v>
      </c>
      <c r="FV20" s="154">
        <v>4</v>
      </c>
      <c r="FW20" s="154">
        <v>1</v>
      </c>
      <c r="FX20" s="279">
        <v>2</v>
      </c>
      <c r="FY20" s="279">
        <v>3</v>
      </c>
      <c r="FZ20" s="155"/>
      <c r="GA20" s="152">
        <v>5</v>
      </c>
      <c r="GB20" s="153">
        <v>17</v>
      </c>
      <c r="GC20" s="153">
        <v>21</v>
      </c>
      <c r="GD20" s="153">
        <v>11</v>
      </c>
      <c r="GE20" s="154">
        <v>6</v>
      </c>
      <c r="GF20" s="154">
        <v>11</v>
      </c>
      <c r="GG20" s="279">
        <v>10</v>
      </c>
      <c r="GH20" s="279">
        <v>5</v>
      </c>
      <c r="GI20" s="155"/>
      <c r="GJ20" s="152">
        <v>1128</v>
      </c>
      <c r="GK20" s="153">
        <v>1414</v>
      </c>
      <c r="GL20" s="153">
        <v>1306</v>
      </c>
      <c r="GM20" s="153">
        <v>1313</v>
      </c>
      <c r="GN20" s="154">
        <v>1175</v>
      </c>
      <c r="GO20" s="154">
        <v>788</v>
      </c>
      <c r="GP20" s="279">
        <v>731</v>
      </c>
      <c r="GQ20" s="279">
        <v>687</v>
      </c>
      <c r="GR20" s="155"/>
      <c r="GS20" s="152">
        <v>507</v>
      </c>
      <c r="GT20" s="153">
        <v>494</v>
      </c>
      <c r="GU20" s="153">
        <v>480</v>
      </c>
      <c r="GV20" s="153">
        <v>387</v>
      </c>
      <c r="GW20" s="154">
        <v>384</v>
      </c>
      <c r="GX20" s="154">
        <v>267</v>
      </c>
      <c r="GY20" s="279">
        <v>253</v>
      </c>
      <c r="GZ20" s="279">
        <v>172</v>
      </c>
      <c r="HA20" s="155"/>
      <c r="HB20" s="152"/>
      <c r="HC20" s="153"/>
      <c r="HD20" s="153"/>
      <c r="HE20" s="153"/>
      <c r="HF20" s="154">
        <v>1</v>
      </c>
      <c r="HG20" s="154">
        <v>6</v>
      </c>
      <c r="HH20" s="279">
        <v>3</v>
      </c>
      <c r="HI20" s="279">
        <v>5</v>
      </c>
      <c r="HJ20" s="155"/>
      <c r="HK20" s="152"/>
      <c r="HL20" s="153"/>
      <c r="HM20" s="153"/>
      <c r="HN20" s="153"/>
      <c r="HO20" s="154"/>
      <c r="HP20" s="154"/>
      <c r="HQ20" s="279"/>
      <c r="HR20" s="279"/>
      <c r="HS20" s="155"/>
      <c r="HT20" s="152">
        <v>596</v>
      </c>
      <c r="HU20" s="153">
        <v>548</v>
      </c>
      <c r="HV20" s="153">
        <v>534</v>
      </c>
      <c r="HW20" s="153">
        <v>440</v>
      </c>
      <c r="HX20" s="154">
        <v>481</v>
      </c>
      <c r="HY20" s="154">
        <v>354</v>
      </c>
      <c r="HZ20" s="279">
        <v>338</v>
      </c>
      <c r="IA20" s="279">
        <v>299</v>
      </c>
      <c r="IB20" s="155"/>
      <c r="IC20" s="152">
        <v>1807</v>
      </c>
      <c r="ID20" s="153">
        <v>2511</v>
      </c>
      <c r="IE20" s="153">
        <v>1948</v>
      </c>
      <c r="IF20" s="153">
        <v>2847</v>
      </c>
      <c r="IG20" s="154">
        <v>2738</v>
      </c>
      <c r="IH20" s="154">
        <v>1306</v>
      </c>
      <c r="II20" s="279">
        <v>1386</v>
      </c>
      <c r="IJ20" s="279">
        <v>1649</v>
      </c>
      <c r="IK20" s="155"/>
    </row>
    <row r="21" spans="1:245" x14ac:dyDescent="0.2">
      <c r="A21" s="961"/>
      <c r="B21" s="151" t="s">
        <v>646</v>
      </c>
      <c r="C21" s="152"/>
      <c r="D21" s="153">
        <v>1</v>
      </c>
      <c r="E21" s="153"/>
      <c r="F21" s="153"/>
      <c r="G21" s="154"/>
      <c r="H21" s="154"/>
      <c r="I21" s="279"/>
      <c r="J21" s="279"/>
      <c r="K21" s="155"/>
      <c r="L21" s="152"/>
      <c r="M21" s="153">
        <v>1</v>
      </c>
      <c r="N21" s="153"/>
      <c r="O21" s="153"/>
      <c r="P21" s="154"/>
      <c r="Q21" s="154"/>
      <c r="R21" s="279"/>
      <c r="S21" s="279"/>
      <c r="T21" s="155"/>
      <c r="U21" s="152"/>
      <c r="V21" s="153"/>
      <c r="W21" s="153"/>
      <c r="X21" s="153"/>
      <c r="Y21" s="154"/>
      <c r="Z21" s="154"/>
      <c r="AA21" s="279"/>
      <c r="AB21" s="279"/>
      <c r="AC21" s="155"/>
      <c r="AD21" s="152">
        <v>100</v>
      </c>
      <c r="AE21" s="153">
        <v>98</v>
      </c>
      <c r="AF21" s="153">
        <v>116</v>
      </c>
      <c r="AG21" s="153">
        <v>92</v>
      </c>
      <c r="AH21" s="154">
        <v>90</v>
      </c>
      <c r="AI21" s="154">
        <v>91</v>
      </c>
      <c r="AJ21" s="279">
        <v>73</v>
      </c>
      <c r="AK21" s="279">
        <v>87</v>
      </c>
      <c r="AL21" s="155"/>
      <c r="AM21" s="152">
        <v>52</v>
      </c>
      <c r="AN21" s="153">
        <v>68</v>
      </c>
      <c r="AO21" s="153">
        <v>53</v>
      </c>
      <c r="AP21" s="153">
        <v>57</v>
      </c>
      <c r="AQ21" s="154">
        <v>50</v>
      </c>
      <c r="AR21" s="154">
        <v>58</v>
      </c>
      <c r="AS21" s="279">
        <v>39</v>
      </c>
      <c r="AT21" s="279">
        <v>38</v>
      </c>
      <c r="AU21" s="155"/>
      <c r="AV21" s="152"/>
      <c r="AW21" s="153"/>
      <c r="AX21" s="153"/>
      <c r="AY21" s="153"/>
      <c r="AZ21" s="154"/>
      <c r="BA21" s="154"/>
      <c r="BB21" s="279"/>
      <c r="BC21" s="279"/>
      <c r="BD21" s="155"/>
      <c r="BE21" s="152">
        <v>4</v>
      </c>
      <c r="BF21" s="153">
        <v>5</v>
      </c>
      <c r="BG21" s="153">
        <v>8</v>
      </c>
      <c r="BH21" s="153">
        <v>4</v>
      </c>
      <c r="BI21" s="154">
        <v>4</v>
      </c>
      <c r="BJ21" s="154">
        <v>6</v>
      </c>
      <c r="BK21" s="279">
        <v>5</v>
      </c>
      <c r="BL21" s="279">
        <v>7</v>
      </c>
      <c r="BM21" s="155"/>
      <c r="BN21" s="152"/>
      <c r="BO21" s="153"/>
      <c r="BP21" s="153"/>
      <c r="BQ21" s="153"/>
      <c r="BR21" s="154"/>
      <c r="BS21" s="154"/>
      <c r="BT21" s="279"/>
      <c r="BU21" s="279"/>
      <c r="BV21" s="155"/>
      <c r="BW21" s="152">
        <v>79</v>
      </c>
      <c r="BX21" s="153">
        <v>65</v>
      </c>
      <c r="BY21" s="153">
        <v>90</v>
      </c>
      <c r="BZ21" s="153">
        <v>98</v>
      </c>
      <c r="CA21" s="154">
        <v>79</v>
      </c>
      <c r="CB21" s="154">
        <v>103</v>
      </c>
      <c r="CC21" s="279">
        <v>95</v>
      </c>
      <c r="CD21" s="279">
        <v>115</v>
      </c>
      <c r="CE21" s="155"/>
      <c r="CF21" s="152">
        <v>6</v>
      </c>
      <c r="CG21" s="153">
        <v>6</v>
      </c>
      <c r="CH21" s="153">
        <v>5</v>
      </c>
      <c r="CI21" s="153">
        <v>3</v>
      </c>
      <c r="CJ21" s="154">
        <v>2</v>
      </c>
      <c r="CK21" s="154">
        <v>6</v>
      </c>
      <c r="CL21" s="279"/>
      <c r="CM21" s="279">
        <v>3</v>
      </c>
      <c r="CN21" s="155"/>
      <c r="CO21" s="152">
        <v>2</v>
      </c>
      <c r="CP21" s="153">
        <v>2</v>
      </c>
      <c r="CQ21" s="153">
        <v>1</v>
      </c>
      <c r="CR21" s="153">
        <v>1</v>
      </c>
      <c r="CS21" s="154">
        <v>2</v>
      </c>
      <c r="CT21" s="154">
        <v>2</v>
      </c>
      <c r="CU21" s="279">
        <v>3</v>
      </c>
      <c r="CV21" s="279">
        <v>5</v>
      </c>
      <c r="CW21" s="155"/>
      <c r="CX21" s="152">
        <v>765</v>
      </c>
      <c r="CY21" s="153">
        <v>1466</v>
      </c>
      <c r="CZ21" s="153">
        <v>1733</v>
      </c>
      <c r="DA21" s="153">
        <v>1895</v>
      </c>
      <c r="DB21" s="154">
        <v>1509</v>
      </c>
      <c r="DC21" s="154">
        <v>1042</v>
      </c>
      <c r="DD21" s="279">
        <v>734</v>
      </c>
      <c r="DE21" s="279">
        <v>634</v>
      </c>
      <c r="DF21" s="155"/>
      <c r="DG21" s="152">
        <v>13</v>
      </c>
      <c r="DH21" s="153">
        <v>44</v>
      </c>
      <c r="DI21" s="153">
        <v>43</v>
      </c>
      <c r="DJ21" s="153">
        <v>165</v>
      </c>
      <c r="DK21" s="154">
        <v>124</v>
      </c>
      <c r="DL21" s="154">
        <v>65</v>
      </c>
      <c r="DM21" s="279">
        <v>41</v>
      </c>
      <c r="DN21" s="279">
        <v>40</v>
      </c>
      <c r="DO21" s="155"/>
      <c r="DP21" s="152">
        <v>31</v>
      </c>
      <c r="DQ21" s="153">
        <v>140</v>
      </c>
      <c r="DR21" s="153">
        <v>231</v>
      </c>
      <c r="DS21" s="153">
        <v>190</v>
      </c>
      <c r="DT21" s="154">
        <v>122</v>
      </c>
      <c r="DU21" s="154">
        <v>109</v>
      </c>
      <c r="DV21" s="279">
        <v>104</v>
      </c>
      <c r="DW21" s="279">
        <v>74</v>
      </c>
      <c r="DX21" s="155"/>
      <c r="DY21" s="152">
        <v>66</v>
      </c>
      <c r="DZ21" s="153">
        <v>360</v>
      </c>
      <c r="EA21" s="153">
        <v>471</v>
      </c>
      <c r="EB21" s="153">
        <v>415</v>
      </c>
      <c r="EC21" s="154">
        <v>378</v>
      </c>
      <c r="ED21" s="154">
        <v>279</v>
      </c>
      <c r="EE21" s="279">
        <v>165</v>
      </c>
      <c r="EF21" s="279">
        <v>170</v>
      </c>
      <c r="EG21" s="155"/>
      <c r="EH21" s="152">
        <v>56</v>
      </c>
      <c r="EI21" s="153">
        <v>36</v>
      </c>
      <c r="EJ21" s="153">
        <v>38</v>
      </c>
      <c r="EK21" s="153">
        <v>42</v>
      </c>
      <c r="EL21" s="154">
        <v>27</v>
      </c>
      <c r="EM21" s="154">
        <v>22</v>
      </c>
      <c r="EN21" s="279">
        <v>9</v>
      </c>
      <c r="EO21" s="279">
        <v>11</v>
      </c>
      <c r="EP21" s="155"/>
      <c r="EQ21" s="152">
        <v>4</v>
      </c>
      <c r="ER21" s="153">
        <v>1</v>
      </c>
      <c r="ES21" s="153">
        <v>14</v>
      </c>
      <c r="ET21" s="153">
        <v>23</v>
      </c>
      <c r="EU21" s="154">
        <v>11</v>
      </c>
      <c r="EV21" s="154">
        <v>12</v>
      </c>
      <c r="EW21" s="279">
        <v>19</v>
      </c>
      <c r="EX21" s="279">
        <v>19</v>
      </c>
      <c r="EY21" s="155"/>
      <c r="EZ21" s="152">
        <v>2</v>
      </c>
      <c r="FA21" s="153">
        <v>3</v>
      </c>
      <c r="FB21" s="153">
        <v>3</v>
      </c>
      <c r="FC21" s="153">
        <v>2</v>
      </c>
      <c r="FD21" s="154">
        <v>7</v>
      </c>
      <c r="FE21" s="154"/>
      <c r="FF21" s="279">
        <v>4</v>
      </c>
      <c r="FG21" s="279">
        <v>2</v>
      </c>
      <c r="FH21" s="155"/>
      <c r="FI21" s="152">
        <v>241</v>
      </c>
      <c r="FJ21" s="153">
        <v>290</v>
      </c>
      <c r="FK21" s="153">
        <v>153</v>
      </c>
      <c r="FL21" s="153">
        <v>169</v>
      </c>
      <c r="FM21" s="154">
        <v>119</v>
      </c>
      <c r="FN21" s="154">
        <v>103</v>
      </c>
      <c r="FO21" s="279">
        <v>83</v>
      </c>
      <c r="FP21" s="279">
        <v>78</v>
      </c>
      <c r="FQ21" s="155"/>
      <c r="FR21" s="152">
        <v>2</v>
      </c>
      <c r="FS21" s="153">
        <v>2</v>
      </c>
      <c r="FT21" s="153">
        <v>2</v>
      </c>
      <c r="FU21" s="153">
        <v>3</v>
      </c>
      <c r="FV21" s="154">
        <v>5</v>
      </c>
      <c r="FW21" s="154">
        <v>2</v>
      </c>
      <c r="FX21" s="279">
        <v>3</v>
      </c>
      <c r="FY21" s="279">
        <v>2</v>
      </c>
      <c r="FZ21" s="155"/>
      <c r="GA21" s="152">
        <v>7</v>
      </c>
      <c r="GB21" s="153">
        <v>14</v>
      </c>
      <c r="GC21" s="153">
        <v>16</v>
      </c>
      <c r="GD21" s="153">
        <v>14</v>
      </c>
      <c r="GE21" s="154">
        <v>5</v>
      </c>
      <c r="GF21" s="154">
        <v>11</v>
      </c>
      <c r="GG21" s="279"/>
      <c r="GH21" s="279">
        <v>6</v>
      </c>
      <c r="GI21" s="155"/>
      <c r="GJ21" s="152">
        <v>1268</v>
      </c>
      <c r="GK21" s="153">
        <v>1989</v>
      </c>
      <c r="GL21" s="153">
        <v>2179</v>
      </c>
      <c r="GM21" s="153">
        <v>2346</v>
      </c>
      <c r="GN21" s="154">
        <v>1860</v>
      </c>
      <c r="GO21" s="154">
        <v>1400</v>
      </c>
      <c r="GP21" s="279">
        <v>1028</v>
      </c>
      <c r="GQ21" s="279">
        <v>969</v>
      </c>
      <c r="GR21" s="155"/>
      <c r="GS21" s="152">
        <v>527</v>
      </c>
      <c r="GT21" s="153">
        <v>728</v>
      </c>
      <c r="GU21" s="153">
        <v>780</v>
      </c>
      <c r="GV21" s="153">
        <v>842</v>
      </c>
      <c r="GW21" s="154">
        <v>522</v>
      </c>
      <c r="GX21" s="154">
        <v>426</v>
      </c>
      <c r="GY21" s="279">
        <v>340</v>
      </c>
      <c r="GZ21" s="279">
        <v>298</v>
      </c>
      <c r="HA21" s="155"/>
      <c r="HB21" s="152"/>
      <c r="HC21" s="153"/>
      <c r="HD21" s="153"/>
      <c r="HE21" s="153"/>
      <c r="HF21" s="154">
        <v>6</v>
      </c>
      <c r="HG21" s="154">
        <v>8</v>
      </c>
      <c r="HH21" s="279">
        <v>4</v>
      </c>
      <c r="HI21" s="279">
        <v>11</v>
      </c>
      <c r="HJ21" s="155"/>
      <c r="HK21" s="152"/>
      <c r="HL21" s="153"/>
      <c r="HM21" s="153"/>
      <c r="HN21" s="153"/>
      <c r="HO21" s="154"/>
      <c r="HP21" s="154"/>
      <c r="HQ21" s="279"/>
      <c r="HR21" s="279"/>
      <c r="HS21" s="155"/>
      <c r="HT21" s="152">
        <v>811</v>
      </c>
      <c r="HU21" s="153">
        <v>963</v>
      </c>
      <c r="HV21" s="153">
        <v>859</v>
      </c>
      <c r="HW21" s="153">
        <v>936</v>
      </c>
      <c r="HX21" s="154">
        <v>616</v>
      </c>
      <c r="HY21" s="154">
        <v>518</v>
      </c>
      <c r="HZ21" s="279">
        <v>431</v>
      </c>
      <c r="IA21" s="279">
        <v>399</v>
      </c>
      <c r="IB21" s="155"/>
      <c r="IC21" s="152">
        <v>2135</v>
      </c>
      <c r="ID21" s="153">
        <v>2817</v>
      </c>
      <c r="IE21" s="153">
        <v>3888</v>
      </c>
      <c r="IF21" s="153">
        <v>3214</v>
      </c>
      <c r="IG21" s="154">
        <v>2535</v>
      </c>
      <c r="IH21" s="154">
        <v>2276</v>
      </c>
      <c r="II21" s="279">
        <v>1783</v>
      </c>
      <c r="IJ21" s="279">
        <v>1745</v>
      </c>
      <c r="IK21" s="155"/>
    </row>
    <row r="22" spans="1:245" x14ac:dyDescent="0.2">
      <c r="A22" s="961"/>
      <c r="B22" s="151" t="s">
        <v>647</v>
      </c>
      <c r="C22" s="152"/>
      <c r="D22" s="153"/>
      <c r="E22" s="153"/>
      <c r="F22" s="153">
        <v>1</v>
      </c>
      <c r="G22" s="154"/>
      <c r="H22" s="154"/>
      <c r="I22" s="279"/>
      <c r="J22" s="279"/>
      <c r="K22" s="155"/>
      <c r="L22" s="152"/>
      <c r="M22" s="153"/>
      <c r="N22" s="153"/>
      <c r="O22" s="153"/>
      <c r="P22" s="154"/>
      <c r="Q22" s="154"/>
      <c r="R22" s="279"/>
      <c r="S22" s="279"/>
      <c r="T22" s="155"/>
      <c r="U22" s="152"/>
      <c r="V22" s="153"/>
      <c r="W22" s="153"/>
      <c r="X22" s="153">
        <v>1</v>
      </c>
      <c r="Y22" s="154"/>
      <c r="Z22" s="154"/>
      <c r="AA22" s="279"/>
      <c r="AB22" s="279"/>
      <c r="AC22" s="155"/>
      <c r="AD22" s="152">
        <v>94</v>
      </c>
      <c r="AE22" s="153">
        <v>102</v>
      </c>
      <c r="AF22" s="153">
        <v>109</v>
      </c>
      <c r="AG22" s="153">
        <v>83</v>
      </c>
      <c r="AH22" s="154">
        <v>46</v>
      </c>
      <c r="AI22" s="154">
        <v>73</v>
      </c>
      <c r="AJ22" s="279">
        <v>86</v>
      </c>
      <c r="AK22" s="279">
        <v>35</v>
      </c>
      <c r="AL22" s="155"/>
      <c r="AM22" s="152">
        <v>76</v>
      </c>
      <c r="AN22" s="153">
        <v>75</v>
      </c>
      <c r="AO22" s="153">
        <v>81</v>
      </c>
      <c r="AP22" s="153">
        <v>54</v>
      </c>
      <c r="AQ22" s="154">
        <v>27</v>
      </c>
      <c r="AR22" s="154">
        <v>29</v>
      </c>
      <c r="AS22" s="279">
        <v>45</v>
      </c>
      <c r="AT22" s="279">
        <v>13</v>
      </c>
      <c r="AU22" s="155"/>
      <c r="AV22" s="152"/>
      <c r="AW22" s="153"/>
      <c r="AX22" s="153"/>
      <c r="AY22" s="153"/>
      <c r="AZ22" s="154"/>
      <c r="BA22" s="154"/>
      <c r="BB22" s="279"/>
      <c r="BC22" s="279"/>
      <c r="BD22" s="155"/>
      <c r="BE22" s="152">
        <v>7</v>
      </c>
      <c r="BF22" s="153">
        <v>11</v>
      </c>
      <c r="BG22" s="153">
        <v>15</v>
      </c>
      <c r="BH22" s="153">
        <v>8</v>
      </c>
      <c r="BI22" s="154">
        <v>1</v>
      </c>
      <c r="BJ22" s="154">
        <v>6</v>
      </c>
      <c r="BK22" s="279">
        <v>6</v>
      </c>
      <c r="BL22" s="279">
        <v>5</v>
      </c>
      <c r="BM22" s="155"/>
      <c r="BN22" s="152"/>
      <c r="BO22" s="153"/>
      <c r="BP22" s="153"/>
      <c r="BQ22" s="153"/>
      <c r="BR22" s="154"/>
      <c r="BS22" s="154">
        <v>2</v>
      </c>
      <c r="BT22" s="279"/>
      <c r="BU22" s="279"/>
      <c r="BV22" s="155"/>
      <c r="BW22" s="152">
        <v>52</v>
      </c>
      <c r="BX22" s="153">
        <v>79</v>
      </c>
      <c r="BY22" s="153">
        <v>85</v>
      </c>
      <c r="BZ22" s="153">
        <v>97</v>
      </c>
      <c r="CA22" s="154">
        <v>74</v>
      </c>
      <c r="CB22" s="154">
        <v>104</v>
      </c>
      <c r="CC22" s="279">
        <v>100</v>
      </c>
      <c r="CD22" s="279">
        <v>80</v>
      </c>
      <c r="CE22" s="155"/>
      <c r="CF22" s="152">
        <v>6</v>
      </c>
      <c r="CG22" s="153">
        <v>10</v>
      </c>
      <c r="CH22" s="153">
        <v>8</v>
      </c>
      <c r="CI22" s="153">
        <v>5</v>
      </c>
      <c r="CJ22" s="154">
        <v>6</v>
      </c>
      <c r="CK22" s="154">
        <v>3</v>
      </c>
      <c r="CL22" s="279">
        <v>4</v>
      </c>
      <c r="CM22" s="279">
        <v>1</v>
      </c>
      <c r="CN22" s="155"/>
      <c r="CO22" s="152">
        <v>2</v>
      </c>
      <c r="CP22" s="153"/>
      <c r="CQ22" s="153"/>
      <c r="CR22" s="153">
        <v>2</v>
      </c>
      <c r="CS22" s="154"/>
      <c r="CT22" s="154">
        <v>3</v>
      </c>
      <c r="CU22" s="279"/>
      <c r="CV22" s="279">
        <v>2</v>
      </c>
      <c r="CW22" s="155"/>
      <c r="CX22" s="152">
        <v>1051</v>
      </c>
      <c r="CY22" s="153">
        <v>1222</v>
      </c>
      <c r="CZ22" s="153">
        <v>1063</v>
      </c>
      <c r="DA22" s="153">
        <v>1206</v>
      </c>
      <c r="DB22" s="154">
        <v>874</v>
      </c>
      <c r="DC22" s="154">
        <v>769</v>
      </c>
      <c r="DD22" s="279">
        <v>524</v>
      </c>
      <c r="DE22" s="279">
        <v>575</v>
      </c>
      <c r="DF22" s="155"/>
      <c r="DG22" s="152">
        <v>28</v>
      </c>
      <c r="DH22" s="153">
        <v>43</v>
      </c>
      <c r="DI22" s="153">
        <v>38</v>
      </c>
      <c r="DJ22" s="153">
        <v>134</v>
      </c>
      <c r="DK22" s="154">
        <v>75</v>
      </c>
      <c r="DL22" s="154">
        <v>51</v>
      </c>
      <c r="DM22" s="279">
        <v>16</v>
      </c>
      <c r="DN22" s="279">
        <v>41</v>
      </c>
      <c r="DO22" s="155"/>
      <c r="DP22" s="152">
        <v>27</v>
      </c>
      <c r="DQ22" s="153">
        <v>158</v>
      </c>
      <c r="DR22" s="153">
        <v>91</v>
      </c>
      <c r="DS22" s="153">
        <v>112</v>
      </c>
      <c r="DT22" s="154">
        <v>62</v>
      </c>
      <c r="DU22" s="154">
        <v>35</v>
      </c>
      <c r="DV22" s="279">
        <v>26</v>
      </c>
      <c r="DW22" s="279">
        <v>28</v>
      </c>
      <c r="DX22" s="155"/>
      <c r="DY22" s="152">
        <v>230</v>
      </c>
      <c r="DZ22" s="153">
        <v>312</v>
      </c>
      <c r="EA22" s="153">
        <v>220</v>
      </c>
      <c r="EB22" s="153">
        <v>216</v>
      </c>
      <c r="EC22" s="154">
        <v>162</v>
      </c>
      <c r="ED22" s="154">
        <v>141</v>
      </c>
      <c r="EE22" s="279">
        <v>56</v>
      </c>
      <c r="EF22" s="279">
        <v>62</v>
      </c>
      <c r="EG22" s="155"/>
      <c r="EH22" s="152">
        <v>7</v>
      </c>
      <c r="EI22" s="153">
        <v>36</v>
      </c>
      <c r="EJ22" s="153">
        <v>65</v>
      </c>
      <c r="EK22" s="153">
        <v>33</v>
      </c>
      <c r="EL22" s="154">
        <v>38</v>
      </c>
      <c r="EM22" s="154">
        <v>19</v>
      </c>
      <c r="EN22" s="279">
        <v>11</v>
      </c>
      <c r="EO22" s="279">
        <v>5</v>
      </c>
      <c r="EP22" s="155"/>
      <c r="EQ22" s="152">
        <v>5</v>
      </c>
      <c r="ER22" s="153">
        <v>14</v>
      </c>
      <c r="ES22" s="153">
        <v>24</v>
      </c>
      <c r="ET22" s="153">
        <v>25</v>
      </c>
      <c r="EU22" s="154">
        <v>17</v>
      </c>
      <c r="EV22" s="154">
        <v>19</v>
      </c>
      <c r="EW22" s="279">
        <v>17</v>
      </c>
      <c r="EX22" s="279">
        <v>16</v>
      </c>
      <c r="EY22" s="155"/>
      <c r="EZ22" s="152">
        <v>2</v>
      </c>
      <c r="FA22" s="153">
        <v>3</v>
      </c>
      <c r="FB22" s="153">
        <v>5</v>
      </c>
      <c r="FC22" s="153">
        <v>3</v>
      </c>
      <c r="FD22" s="154">
        <v>1</v>
      </c>
      <c r="FE22" s="154">
        <v>3</v>
      </c>
      <c r="FF22" s="279"/>
      <c r="FG22" s="279">
        <v>1</v>
      </c>
      <c r="FH22" s="155"/>
      <c r="FI22" s="152">
        <v>120</v>
      </c>
      <c r="FJ22" s="153">
        <v>95</v>
      </c>
      <c r="FK22" s="153">
        <v>110</v>
      </c>
      <c r="FL22" s="153">
        <v>55</v>
      </c>
      <c r="FM22" s="154">
        <v>54</v>
      </c>
      <c r="FN22" s="154">
        <v>49</v>
      </c>
      <c r="FO22" s="279">
        <v>39</v>
      </c>
      <c r="FP22" s="279">
        <v>43</v>
      </c>
      <c r="FQ22" s="155"/>
      <c r="FR22" s="152">
        <v>2</v>
      </c>
      <c r="FS22" s="153">
        <v>2</v>
      </c>
      <c r="FT22" s="153">
        <v>6</v>
      </c>
      <c r="FU22" s="153">
        <v>1</v>
      </c>
      <c r="FV22" s="154">
        <v>2</v>
      </c>
      <c r="FW22" s="154">
        <v>1</v>
      </c>
      <c r="FX22" s="279">
        <v>6</v>
      </c>
      <c r="FY22" s="279">
        <v>1</v>
      </c>
      <c r="FZ22" s="155"/>
      <c r="GA22" s="152">
        <v>4</v>
      </c>
      <c r="GB22" s="153">
        <v>34</v>
      </c>
      <c r="GC22" s="153">
        <v>27</v>
      </c>
      <c r="GD22" s="153">
        <v>11</v>
      </c>
      <c r="GE22" s="154">
        <v>5</v>
      </c>
      <c r="GF22" s="154">
        <v>7</v>
      </c>
      <c r="GG22" s="279">
        <v>3</v>
      </c>
      <c r="GH22" s="279">
        <v>10</v>
      </c>
      <c r="GI22" s="155"/>
      <c r="GJ22" s="152">
        <v>1352</v>
      </c>
      <c r="GK22" s="153">
        <v>1608</v>
      </c>
      <c r="GL22" s="153">
        <v>1517</v>
      </c>
      <c r="GM22" s="153">
        <v>1530</v>
      </c>
      <c r="GN22" s="154">
        <v>1118</v>
      </c>
      <c r="GO22" s="154">
        <v>1058</v>
      </c>
      <c r="GP22" s="279">
        <v>796</v>
      </c>
      <c r="GQ22" s="279">
        <v>774</v>
      </c>
      <c r="GR22" s="155"/>
      <c r="GS22" s="152">
        <v>497</v>
      </c>
      <c r="GT22" s="153">
        <v>710</v>
      </c>
      <c r="GU22" s="153">
        <v>750</v>
      </c>
      <c r="GV22" s="153">
        <v>677</v>
      </c>
      <c r="GW22" s="154">
        <v>238</v>
      </c>
      <c r="GX22" s="154">
        <v>257</v>
      </c>
      <c r="GY22" s="279">
        <v>193</v>
      </c>
      <c r="GZ22" s="279">
        <v>200</v>
      </c>
      <c r="HA22" s="155"/>
      <c r="HB22" s="152"/>
      <c r="HC22" s="153">
        <v>1</v>
      </c>
      <c r="HD22" s="153"/>
      <c r="HE22" s="153">
        <v>1</v>
      </c>
      <c r="HF22" s="154">
        <v>8</v>
      </c>
      <c r="HG22" s="154">
        <v>3</v>
      </c>
      <c r="HH22" s="279">
        <v>3</v>
      </c>
      <c r="HI22" s="279">
        <v>4</v>
      </c>
      <c r="HJ22" s="155"/>
      <c r="HK22" s="152"/>
      <c r="HL22" s="153"/>
      <c r="HM22" s="153"/>
      <c r="HN22" s="153"/>
      <c r="HO22" s="154"/>
      <c r="HP22" s="154"/>
      <c r="HQ22" s="279"/>
      <c r="HR22" s="279"/>
      <c r="HS22" s="155"/>
      <c r="HT22" s="152">
        <v>578</v>
      </c>
      <c r="HU22" s="153">
        <v>807</v>
      </c>
      <c r="HV22" s="153">
        <v>789</v>
      </c>
      <c r="HW22" s="153">
        <v>745</v>
      </c>
      <c r="HX22" s="154">
        <v>314</v>
      </c>
      <c r="HY22" s="154">
        <v>379</v>
      </c>
      <c r="HZ22" s="279">
        <v>320</v>
      </c>
      <c r="IA22" s="279">
        <v>306</v>
      </c>
      <c r="IB22" s="155"/>
      <c r="IC22" s="152">
        <v>2021</v>
      </c>
      <c r="ID22" s="153">
        <v>2321</v>
      </c>
      <c r="IE22" s="153">
        <v>2659</v>
      </c>
      <c r="IF22" s="153">
        <v>2407</v>
      </c>
      <c r="IG22" s="154">
        <v>1577</v>
      </c>
      <c r="IH22" s="154">
        <v>1575</v>
      </c>
      <c r="II22" s="279">
        <v>1421</v>
      </c>
      <c r="IJ22" s="279">
        <v>1336</v>
      </c>
      <c r="IK22" s="155"/>
    </row>
    <row r="23" spans="1:245" x14ac:dyDescent="0.2">
      <c r="A23" s="961"/>
      <c r="B23" s="151" t="s">
        <v>648</v>
      </c>
      <c r="C23" s="152"/>
      <c r="D23" s="153"/>
      <c r="E23" s="153"/>
      <c r="F23" s="153"/>
      <c r="G23" s="154"/>
      <c r="H23" s="154"/>
      <c r="I23" s="279"/>
      <c r="J23" s="279"/>
      <c r="K23" s="155"/>
      <c r="L23" s="152"/>
      <c r="M23" s="153"/>
      <c r="N23" s="153"/>
      <c r="O23" s="153"/>
      <c r="P23" s="154"/>
      <c r="Q23" s="154"/>
      <c r="R23" s="279"/>
      <c r="S23" s="279"/>
      <c r="T23" s="155"/>
      <c r="U23" s="152"/>
      <c r="V23" s="153"/>
      <c r="W23" s="153"/>
      <c r="X23" s="153"/>
      <c r="Y23" s="154"/>
      <c r="Z23" s="154"/>
      <c r="AA23" s="279"/>
      <c r="AB23" s="279"/>
      <c r="AC23" s="155"/>
      <c r="AD23" s="152">
        <v>70</v>
      </c>
      <c r="AE23" s="153">
        <v>57</v>
      </c>
      <c r="AF23" s="153">
        <v>49</v>
      </c>
      <c r="AG23" s="153">
        <v>56</v>
      </c>
      <c r="AH23" s="154">
        <v>42</v>
      </c>
      <c r="AI23" s="154">
        <v>59</v>
      </c>
      <c r="AJ23" s="279">
        <v>44</v>
      </c>
      <c r="AK23" s="279">
        <v>122</v>
      </c>
      <c r="AL23" s="155"/>
      <c r="AM23" s="152">
        <v>49</v>
      </c>
      <c r="AN23" s="153">
        <v>31</v>
      </c>
      <c r="AO23" s="153">
        <v>29</v>
      </c>
      <c r="AP23" s="153">
        <v>31</v>
      </c>
      <c r="AQ23" s="154">
        <v>27</v>
      </c>
      <c r="AR23" s="154">
        <v>42</v>
      </c>
      <c r="AS23" s="279">
        <v>26</v>
      </c>
      <c r="AT23" s="279">
        <v>36</v>
      </c>
      <c r="AU23" s="155"/>
      <c r="AV23" s="152"/>
      <c r="AW23" s="153"/>
      <c r="AX23" s="153"/>
      <c r="AY23" s="153"/>
      <c r="AZ23" s="154"/>
      <c r="BA23" s="154"/>
      <c r="BB23" s="279"/>
      <c r="BC23" s="279"/>
      <c r="BD23" s="155"/>
      <c r="BE23" s="152">
        <v>4</v>
      </c>
      <c r="BF23" s="153">
        <v>13</v>
      </c>
      <c r="BG23" s="153">
        <v>10</v>
      </c>
      <c r="BH23" s="153">
        <v>5</v>
      </c>
      <c r="BI23" s="154">
        <v>11</v>
      </c>
      <c r="BJ23" s="154">
        <v>15</v>
      </c>
      <c r="BK23" s="279">
        <v>20</v>
      </c>
      <c r="BL23" s="279">
        <v>9</v>
      </c>
      <c r="BM23" s="155"/>
      <c r="BN23" s="152"/>
      <c r="BO23" s="153"/>
      <c r="BP23" s="153"/>
      <c r="BQ23" s="153"/>
      <c r="BR23" s="154"/>
      <c r="BS23" s="154">
        <v>2</v>
      </c>
      <c r="BT23" s="279">
        <v>2</v>
      </c>
      <c r="BU23" s="279"/>
      <c r="BV23" s="155"/>
      <c r="BW23" s="152">
        <v>57</v>
      </c>
      <c r="BX23" s="153">
        <v>66</v>
      </c>
      <c r="BY23" s="153">
        <v>68</v>
      </c>
      <c r="BZ23" s="153">
        <v>86</v>
      </c>
      <c r="CA23" s="154">
        <v>83</v>
      </c>
      <c r="CB23" s="154">
        <v>61</v>
      </c>
      <c r="CC23" s="279">
        <v>48</v>
      </c>
      <c r="CD23" s="279">
        <v>63</v>
      </c>
      <c r="CE23" s="155"/>
      <c r="CF23" s="152">
        <v>2</v>
      </c>
      <c r="CG23" s="153">
        <v>2</v>
      </c>
      <c r="CH23" s="153">
        <v>6</v>
      </c>
      <c r="CI23" s="153">
        <v>5</v>
      </c>
      <c r="CJ23" s="154">
        <v>6</v>
      </c>
      <c r="CK23" s="154">
        <v>2</v>
      </c>
      <c r="CL23" s="279">
        <v>5</v>
      </c>
      <c r="CM23" s="279">
        <v>2</v>
      </c>
      <c r="CN23" s="155"/>
      <c r="CO23" s="152">
        <v>2</v>
      </c>
      <c r="CP23" s="153">
        <v>1</v>
      </c>
      <c r="CQ23" s="153">
        <v>2</v>
      </c>
      <c r="CR23" s="153">
        <v>1</v>
      </c>
      <c r="CS23" s="154">
        <v>2</v>
      </c>
      <c r="CT23" s="154">
        <v>1</v>
      </c>
      <c r="CU23" s="279">
        <v>2</v>
      </c>
      <c r="CV23" s="279">
        <v>2</v>
      </c>
      <c r="CW23" s="155"/>
      <c r="CX23" s="152">
        <v>1318</v>
      </c>
      <c r="CY23" s="153">
        <v>2096</v>
      </c>
      <c r="CZ23" s="153">
        <v>2062</v>
      </c>
      <c r="DA23" s="153">
        <v>1902</v>
      </c>
      <c r="DB23" s="154">
        <v>1601</v>
      </c>
      <c r="DC23" s="154">
        <v>1148</v>
      </c>
      <c r="DD23" s="279">
        <v>1055</v>
      </c>
      <c r="DE23" s="279">
        <v>778</v>
      </c>
      <c r="DF23" s="155"/>
      <c r="DG23" s="152">
        <v>20</v>
      </c>
      <c r="DH23" s="153">
        <v>61</v>
      </c>
      <c r="DI23" s="153">
        <v>40</v>
      </c>
      <c r="DJ23" s="153">
        <v>144</v>
      </c>
      <c r="DK23" s="154">
        <v>122</v>
      </c>
      <c r="DL23" s="154">
        <v>61</v>
      </c>
      <c r="DM23" s="279">
        <v>29</v>
      </c>
      <c r="DN23" s="279">
        <v>17</v>
      </c>
      <c r="DO23" s="155"/>
      <c r="DP23" s="152">
        <v>74</v>
      </c>
      <c r="DQ23" s="153">
        <v>276</v>
      </c>
      <c r="DR23" s="153">
        <v>203</v>
      </c>
      <c r="DS23" s="153">
        <v>148</v>
      </c>
      <c r="DT23" s="154">
        <v>130</v>
      </c>
      <c r="DU23" s="154">
        <v>122</v>
      </c>
      <c r="DV23" s="279">
        <v>105</v>
      </c>
      <c r="DW23" s="279">
        <v>87</v>
      </c>
      <c r="DX23" s="155"/>
      <c r="DY23" s="152">
        <v>89</v>
      </c>
      <c r="DZ23" s="153">
        <v>382</v>
      </c>
      <c r="EA23" s="153">
        <v>510</v>
      </c>
      <c r="EB23" s="153">
        <v>386</v>
      </c>
      <c r="EC23" s="154">
        <v>383</v>
      </c>
      <c r="ED23" s="154">
        <v>244</v>
      </c>
      <c r="EE23" s="279">
        <v>242</v>
      </c>
      <c r="EF23" s="279">
        <v>127</v>
      </c>
      <c r="EG23" s="155"/>
      <c r="EH23" s="152">
        <v>4</v>
      </c>
      <c r="EI23" s="153">
        <v>44</v>
      </c>
      <c r="EJ23" s="153">
        <v>62</v>
      </c>
      <c r="EK23" s="153">
        <v>30</v>
      </c>
      <c r="EL23" s="154">
        <v>31</v>
      </c>
      <c r="EM23" s="154">
        <v>37</v>
      </c>
      <c r="EN23" s="279">
        <v>15</v>
      </c>
      <c r="EO23" s="279">
        <v>7</v>
      </c>
      <c r="EP23" s="155"/>
      <c r="EQ23" s="152">
        <v>7</v>
      </c>
      <c r="ER23" s="153">
        <v>11</v>
      </c>
      <c r="ES23" s="153">
        <v>36</v>
      </c>
      <c r="ET23" s="153">
        <v>16</v>
      </c>
      <c r="EU23" s="154">
        <v>26</v>
      </c>
      <c r="EV23" s="154">
        <v>25</v>
      </c>
      <c r="EW23" s="279">
        <v>19</v>
      </c>
      <c r="EX23" s="279">
        <v>24</v>
      </c>
      <c r="EY23" s="155"/>
      <c r="EZ23" s="152">
        <v>2</v>
      </c>
      <c r="FA23" s="153">
        <v>1</v>
      </c>
      <c r="FB23" s="153"/>
      <c r="FC23" s="153">
        <v>3</v>
      </c>
      <c r="FD23" s="154">
        <v>4</v>
      </c>
      <c r="FE23" s="154">
        <v>3</v>
      </c>
      <c r="FF23" s="279"/>
      <c r="FG23" s="279">
        <v>4</v>
      </c>
      <c r="FH23" s="155"/>
      <c r="FI23" s="152">
        <v>257</v>
      </c>
      <c r="FJ23" s="153">
        <v>228</v>
      </c>
      <c r="FK23" s="153">
        <v>160</v>
      </c>
      <c r="FL23" s="153">
        <v>122</v>
      </c>
      <c r="FM23" s="154">
        <v>82</v>
      </c>
      <c r="FN23" s="154">
        <v>67</v>
      </c>
      <c r="FO23" s="279">
        <v>104</v>
      </c>
      <c r="FP23" s="279">
        <v>72</v>
      </c>
      <c r="FQ23" s="155"/>
      <c r="FR23" s="152">
        <v>4</v>
      </c>
      <c r="FS23" s="153">
        <v>4</v>
      </c>
      <c r="FT23" s="153">
        <v>2</v>
      </c>
      <c r="FU23" s="153">
        <v>7</v>
      </c>
      <c r="FV23" s="154">
        <v>7</v>
      </c>
      <c r="FW23" s="154">
        <v>3</v>
      </c>
      <c r="FX23" s="279">
        <v>2</v>
      </c>
      <c r="FY23" s="279">
        <v>4</v>
      </c>
      <c r="FZ23" s="155"/>
      <c r="GA23" s="152">
        <v>7</v>
      </c>
      <c r="GB23" s="153">
        <v>23</v>
      </c>
      <c r="GC23" s="153">
        <v>22</v>
      </c>
      <c r="GD23" s="153">
        <v>31</v>
      </c>
      <c r="GE23" s="154">
        <v>17</v>
      </c>
      <c r="GF23" s="154">
        <v>18</v>
      </c>
      <c r="GG23" s="279">
        <v>18</v>
      </c>
      <c r="GH23" s="279">
        <v>20</v>
      </c>
      <c r="GI23" s="155"/>
      <c r="GJ23" s="152">
        <v>1734</v>
      </c>
      <c r="GK23" s="153">
        <v>2546</v>
      </c>
      <c r="GL23" s="153">
        <v>2479</v>
      </c>
      <c r="GM23" s="153">
        <v>2264</v>
      </c>
      <c r="GN23" s="154">
        <v>1912</v>
      </c>
      <c r="GO23" s="154">
        <v>1441</v>
      </c>
      <c r="GP23" s="279">
        <v>1334</v>
      </c>
      <c r="GQ23" s="279">
        <v>1107</v>
      </c>
      <c r="GR23" s="155"/>
      <c r="GS23" s="152">
        <v>675</v>
      </c>
      <c r="GT23" s="153">
        <v>1028</v>
      </c>
      <c r="GU23" s="153">
        <v>969</v>
      </c>
      <c r="GV23" s="153">
        <v>833</v>
      </c>
      <c r="GW23" s="154">
        <v>491</v>
      </c>
      <c r="GX23" s="154">
        <v>358</v>
      </c>
      <c r="GY23" s="279">
        <v>347</v>
      </c>
      <c r="GZ23" s="279">
        <v>299</v>
      </c>
      <c r="HA23" s="155"/>
      <c r="HB23" s="152"/>
      <c r="HC23" s="153">
        <v>1</v>
      </c>
      <c r="HD23" s="153"/>
      <c r="HE23" s="153">
        <v>1</v>
      </c>
      <c r="HF23" s="154">
        <v>11</v>
      </c>
      <c r="HG23" s="154">
        <v>3</v>
      </c>
      <c r="HH23" s="279">
        <v>4</v>
      </c>
      <c r="HI23" s="279">
        <v>8</v>
      </c>
      <c r="HJ23" s="155"/>
      <c r="HK23" s="152"/>
      <c r="HL23" s="153"/>
      <c r="HM23" s="153"/>
      <c r="HN23" s="153"/>
      <c r="HO23" s="154"/>
      <c r="HP23" s="154"/>
      <c r="HQ23" s="279"/>
      <c r="HR23" s="279"/>
      <c r="HS23" s="155"/>
      <c r="HT23" s="152">
        <v>716</v>
      </c>
      <c r="HU23" s="153">
        <v>1079</v>
      </c>
      <c r="HV23" s="153">
        <v>1001</v>
      </c>
      <c r="HW23" s="153">
        <v>902</v>
      </c>
      <c r="HX23" s="154">
        <v>615</v>
      </c>
      <c r="HY23" s="154">
        <v>492</v>
      </c>
      <c r="HZ23" s="279">
        <v>506</v>
      </c>
      <c r="IA23" s="279">
        <v>455</v>
      </c>
      <c r="IB23" s="155"/>
      <c r="IC23" s="152">
        <v>2864</v>
      </c>
      <c r="ID23" s="153">
        <v>3344</v>
      </c>
      <c r="IE23" s="153">
        <v>3791</v>
      </c>
      <c r="IF23" s="153">
        <v>3866</v>
      </c>
      <c r="IG23" s="154">
        <v>2497</v>
      </c>
      <c r="IH23" s="154">
        <v>2266</v>
      </c>
      <c r="II23" s="279">
        <v>2253</v>
      </c>
      <c r="IJ23" s="279">
        <v>1908</v>
      </c>
      <c r="IK23" s="155"/>
    </row>
    <row r="24" spans="1:245" x14ac:dyDescent="0.2">
      <c r="A24" s="961"/>
      <c r="B24" s="151" t="s">
        <v>649</v>
      </c>
      <c r="C24" s="152"/>
      <c r="D24" s="153"/>
      <c r="E24" s="153"/>
      <c r="F24" s="153"/>
      <c r="G24" s="154"/>
      <c r="H24" s="154">
        <v>2</v>
      </c>
      <c r="I24" s="279"/>
      <c r="J24" s="279"/>
      <c r="K24" s="155"/>
      <c r="L24" s="152"/>
      <c r="M24" s="153"/>
      <c r="N24" s="153"/>
      <c r="O24" s="153"/>
      <c r="P24" s="154"/>
      <c r="Q24" s="154"/>
      <c r="R24" s="279"/>
      <c r="S24" s="279"/>
      <c r="T24" s="155"/>
      <c r="U24" s="152"/>
      <c r="V24" s="153"/>
      <c r="W24" s="153"/>
      <c r="X24" s="153"/>
      <c r="Y24" s="154"/>
      <c r="Z24" s="154">
        <v>2</v>
      </c>
      <c r="AA24" s="279"/>
      <c r="AB24" s="279"/>
      <c r="AC24" s="155"/>
      <c r="AD24" s="152">
        <v>80</v>
      </c>
      <c r="AE24" s="153">
        <v>51</v>
      </c>
      <c r="AF24" s="153">
        <v>52</v>
      </c>
      <c r="AG24" s="153">
        <v>62</v>
      </c>
      <c r="AH24" s="154">
        <v>67</v>
      </c>
      <c r="AI24" s="154">
        <v>57</v>
      </c>
      <c r="AJ24" s="279">
        <v>77</v>
      </c>
      <c r="AK24" s="279">
        <v>70</v>
      </c>
      <c r="AL24" s="155"/>
      <c r="AM24" s="152">
        <v>57</v>
      </c>
      <c r="AN24" s="153">
        <v>36</v>
      </c>
      <c r="AO24" s="153">
        <v>37</v>
      </c>
      <c r="AP24" s="153">
        <v>46</v>
      </c>
      <c r="AQ24" s="154">
        <v>37</v>
      </c>
      <c r="AR24" s="154">
        <v>25</v>
      </c>
      <c r="AS24" s="279">
        <v>33</v>
      </c>
      <c r="AT24" s="279">
        <v>31</v>
      </c>
      <c r="AU24" s="155"/>
      <c r="AV24" s="152"/>
      <c r="AW24" s="153"/>
      <c r="AX24" s="153"/>
      <c r="AY24" s="153"/>
      <c r="AZ24" s="154"/>
      <c r="BA24" s="154"/>
      <c r="BB24" s="279"/>
      <c r="BC24" s="279"/>
      <c r="BD24" s="155"/>
      <c r="BE24" s="152">
        <v>5</v>
      </c>
      <c r="BF24" s="153">
        <v>12</v>
      </c>
      <c r="BG24" s="153">
        <v>3</v>
      </c>
      <c r="BH24" s="153">
        <v>4</v>
      </c>
      <c r="BI24" s="154">
        <v>15</v>
      </c>
      <c r="BJ24" s="154">
        <v>10</v>
      </c>
      <c r="BK24" s="279">
        <v>3</v>
      </c>
      <c r="BL24" s="279">
        <v>13</v>
      </c>
      <c r="BM24" s="155"/>
      <c r="BN24" s="152"/>
      <c r="BO24" s="153"/>
      <c r="BP24" s="153"/>
      <c r="BQ24" s="153"/>
      <c r="BR24" s="154"/>
      <c r="BS24" s="154"/>
      <c r="BT24" s="279">
        <v>2</v>
      </c>
      <c r="BU24" s="279"/>
      <c r="BV24" s="155"/>
      <c r="BW24" s="152">
        <v>66</v>
      </c>
      <c r="BX24" s="153">
        <v>49</v>
      </c>
      <c r="BY24" s="153">
        <v>61</v>
      </c>
      <c r="BZ24" s="153">
        <v>60</v>
      </c>
      <c r="CA24" s="154">
        <v>46</v>
      </c>
      <c r="CB24" s="154">
        <v>52</v>
      </c>
      <c r="CC24" s="279">
        <v>75</v>
      </c>
      <c r="CD24" s="279">
        <v>56</v>
      </c>
      <c r="CE24" s="155"/>
      <c r="CF24" s="152">
        <v>5</v>
      </c>
      <c r="CG24" s="153">
        <v>6</v>
      </c>
      <c r="CH24" s="153">
        <v>5</v>
      </c>
      <c r="CI24" s="153">
        <v>1</v>
      </c>
      <c r="CJ24" s="154">
        <v>4</v>
      </c>
      <c r="CK24" s="154">
        <v>5</v>
      </c>
      <c r="CL24" s="279">
        <v>2</v>
      </c>
      <c r="CM24" s="279"/>
      <c r="CN24" s="155"/>
      <c r="CO24" s="152">
        <v>1</v>
      </c>
      <c r="CP24" s="153">
        <v>3</v>
      </c>
      <c r="CQ24" s="153">
        <v>3</v>
      </c>
      <c r="CR24" s="153"/>
      <c r="CS24" s="154">
        <v>4</v>
      </c>
      <c r="CT24" s="154">
        <v>1</v>
      </c>
      <c r="CU24" s="279">
        <v>7</v>
      </c>
      <c r="CV24" s="279">
        <v>11</v>
      </c>
      <c r="CW24" s="155"/>
      <c r="CX24" s="152">
        <v>865</v>
      </c>
      <c r="CY24" s="153">
        <v>1382</v>
      </c>
      <c r="CZ24" s="153">
        <v>1192</v>
      </c>
      <c r="DA24" s="153">
        <v>1307</v>
      </c>
      <c r="DB24" s="154">
        <v>914</v>
      </c>
      <c r="DC24" s="154">
        <v>686</v>
      </c>
      <c r="DD24" s="279">
        <v>605</v>
      </c>
      <c r="DE24" s="279">
        <v>521</v>
      </c>
      <c r="DF24" s="155"/>
      <c r="DG24" s="152">
        <v>9</v>
      </c>
      <c r="DH24" s="153">
        <v>48</v>
      </c>
      <c r="DI24" s="153">
        <v>30</v>
      </c>
      <c r="DJ24" s="153">
        <v>108</v>
      </c>
      <c r="DK24" s="154">
        <v>59</v>
      </c>
      <c r="DL24" s="154">
        <v>22</v>
      </c>
      <c r="DM24" s="279">
        <v>18</v>
      </c>
      <c r="DN24" s="279">
        <v>20</v>
      </c>
      <c r="DO24" s="155"/>
      <c r="DP24" s="152">
        <v>20</v>
      </c>
      <c r="DQ24" s="153">
        <v>75</v>
      </c>
      <c r="DR24" s="153">
        <v>49</v>
      </c>
      <c r="DS24" s="153">
        <v>47</v>
      </c>
      <c r="DT24" s="154">
        <v>52</v>
      </c>
      <c r="DU24" s="154">
        <v>36</v>
      </c>
      <c r="DV24" s="279">
        <v>44</v>
      </c>
      <c r="DW24" s="279">
        <v>28</v>
      </c>
      <c r="DX24" s="155"/>
      <c r="DY24" s="152">
        <v>45</v>
      </c>
      <c r="DZ24" s="153">
        <v>283</v>
      </c>
      <c r="EA24" s="153">
        <v>240</v>
      </c>
      <c r="EB24" s="153">
        <v>285</v>
      </c>
      <c r="EC24" s="154">
        <v>173</v>
      </c>
      <c r="ED24" s="154">
        <v>161</v>
      </c>
      <c r="EE24" s="279">
        <v>164</v>
      </c>
      <c r="EF24" s="279">
        <v>142</v>
      </c>
      <c r="EG24" s="155"/>
      <c r="EH24" s="152">
        <v>40</v>
      </c>
      <c r="EI24" s="153">
        <v>121</v>
      </c>
      <c r="EJ24" s="153">
        <v>50</v>
      </c>
      <c r="EK24" s="153">
        <v>32</v>
      </c>
      <c r="EL24" s="154">
        <v>20</v>
      </c>
      <c r="EM24" s="154">
        <v>7</v>
      </c>
      <c r="EN24" s="279">
        <v>19</v>
      </c>
      <c r="EO24" s="279">
        <v>13</v>
      </c>
      <c r="EP24" s="155"/>
      <c r="EQ24" s="152">
        <v>7</v>
      </c>
      <c r="ER24" s="153">
        <v>19</v>
      </c>
      <c r="ES24" s="153">
        <v>26</v>
      </c>
      <c r="ET24" s="153">
        <v>36</v>
      </c>
      <c r="EU24" s="154">
        <v>27</v>
      </c>
      <c r="EV24" s="154">
        <v>26</v>
      </c>
      <c r="EW24" s="279">
        <v>21</v>
      </c>
      <c r="EX24" s="279">
        <v>14</v>
      </c>
      <c r="EY24" s="155"/>
      <c r="EZ24" s="152">
        <v>7</v>
      </c>
      <c r="FA24" s="153">
        <v>9</v>
      </c>
      <c r="FB24" s="153">
        <v>9</v>
      </c>
      <c r="FC24" s="153">
        <v>15</v>
      </c>
      <c r="FD24" s="154">
        <v>6</v>
      </c>
      <c r="FE24" s="154">
        <v>1</v>
      </c>
      <c r="FF24" s="279"/>
      <c r="FG24" s="279">
        <v>8</v>
      </c>
      <c r="FH24" s="155"/>
      <c r="FI24" s="152">
        <v>232</v>
      </c>
      <c r="FJ24" s="153">
        <v>157</v>
      </c>
      <c r="FK24" s="153">
        <v>126</v>
      </c>
      <c r="FL24" s="153">
        <v>158</v>
      </c>
      <c r="FM24" s="154">
        <v>122</v>
      </c>
      <c r="FN24" s="154">
        <v>105</v>
      </c>
      <c r="FO24" s="279">
        <v>90</v>
      </c>
      <c r="FP24" s="279">
        <v>94</v>
      </c>
      <c r="FQ24" s="155"/>
      <c r="FR24" s="152">
        <v>3</v>
      </c>
      <c r="FS24" s="153">
        <v>7</v>
      </c>
      <c r="FT24" s="153">
        <v>10</v>
      </c>
      <c r="FU24" s="153">
        <v>4</v>
      </c>
      <c r="FV24" s="154">
        <v>3</v>
      </c>
      <c r="FW24" s="154">
        <v>1</v>
      </c>
      <c r="FX24" s="279">
        <v>1</v>
      </c>
      <c r="FY24" s="279">
        <v>2</v>
      </c>
      <c r="FZ24" s="155"/>
      <c r="GA24" s="152">
        <v>7</v>
      </c>
      <c r="GB24" s="153">
        <v>15</v>
      </c>
      <c r="GC24" s="153">
        <v>16</v>
      </c>
      <c r="GD24" s="153">
        <v>15</v>
      </c>
      <c r="GE24" s="154">
        <v>17</v>
      </c>
      <c r="GF24" s="154">
        <v>4</v>
      </c>
      <c r="GG24" s="279">
        <v>9</v>
      </c>
      <c r="GH24" s="279">
        <v>6</v>
      </c>
      <c r="GI24" s="155"/>
      <c r="GJ24" s="152">
        <v>1318</v>
      </c>
      <c r="GK24" s="153">
        <v>1831</v>
      </c>
      <c r="GL24" s="153">
        <v>1553</v>
      </c>
      <c r="GM24" s="153">
        <v>1694</v>
      </c>
      <c r="GN24" s="154">
        <v>1245</v>
      </c>
      <c r="GO24" s="154">
        <v>957</v>
      </c>
      <c r="GP24" s="279">
        <v>911</v>
      </c>
      <c r="GQ24" s="279">
        <v>808</v>
      </c>
      <c r="GR24" s="155"/>
      <c r="GS24" s="152">
        <v>552</v>
      </c>
      <c r="GT24" s="153">
        <v>732</v>
      </c>
      <c r="GU24" s="153">
        <v>526</v>
      </c>
      <c r="GV24" s="153">
        <v>525</v>
      </c>
      <c r="GW24" s="154">
        <v>304</v>
      </c>
      <c r="GX24" s="154">
        <v>241</v>
      </c>
      <c r="GY24" s="279">
        <v>257</v>
      </c>
      <c r="GZ24" s="279">
        <v>209</v>
      </c>
      <c r="HA24" s="155"/>
      <c r="HB24" s="152"/>
      <c r="HC24" s="153"/>
      <c r="HD24" s="153">
        <v>1</v>
      </c>
      <c r="HE24" s="153">
        <v>1</v>
      </c>
      <c r="HF24" s="154">
        <v>3</v>
      </c>
      <c r="HG24" s="154">
        <v>7</v>
      </c>
      <c r="HH24" s="279">
        <v>9</v>
      </c>
      <c r="HI24" s="279">
        <v>6</v>
      </c>
      <c r="HJ24" s="155"/>
      <c r="HK24" s="152"/>
      <c r="HL24" s="153"/>
      <c r="HM24" s="153"/>
      <c r="HN24" s="153"/>
      <c r="HO24" s="154"/>
      <c r="HP24" s="154"/>
      <c r="HQ24" s="279"/>
      <c r="HR24" s="279"/>
      <c r="HS24" s="155"/>
      <c r="HT24" s="152">
        <v>634</v>
      </c>
      <c r="HU24" s="153">
        <v>800</v>
      </c>
      <c r="HV24" s="153">
        <v>611</v>
      </c>
      <c r="HW24" s="153">
        <v>638</v>
      </c>
      <c r="HX24" s="154">
        <v>447</v>
      </c>
      <c r="HY24" s="154">
        <v>341</v>
      </c>
      <c r="HZ24" s="279">
        <v>350</v>
      </c>
      <c r="IA24" s="279">
        <v>363</v>
      </c>
      <c r="IB24" s="155"/>
      <c r="IC24" s="152">
        <v>2308</v>
      </c>
      <c r="ID24" s="153">
        <v>2804</v>
      </c>
      <c r="IE24" s="153">
        <v>2141</v>
      </c>
      <c r="IF24" s="153">
        <v>2750</v>
      </c>
      <c r="IG24" s="154">
        <v>3293</v>
      </c>
      <c r="IH24" s="154">
        <v>1709</v>
      </c>
      <c r="II24" s="279">
        <v>1830</v>
      </c>
      <c r="IJ24" s="279">
        <v>1465</v>
      </c>
      <c r="IK24" s="155"/>
    </row>
    <row r="25" spans="1:245" x14ac:dyDescent="0.2">
      <c r="A25" s="961"/>
      <c r="B25" s="151" t="s">
        <v>650</v>
      </c>
      <c r="C25" s="152"/>
      <c r="D25" s="154"/>
      <c r="E25" s="154"/>
      <c r="F25" s="154"/>
      <c r="G25" s="154"/>
      <c r="H25" s="154"/>
      <c r="I25" s="279"/>
      <c r="J25" s="279"/>
      <c r="K25" s="155"/>
      <c r="L25" s="152"/>
      <c r="M25" s="154"/>
      <c r="N25" s="154"/>
      <c r="O25" s="154"/>
      <c r="P25" s="154"/>
      <c r="Q25" s="154"/>
      <c r="R25" s="279"/>
      <c r="S25" s="279"/>
      <c r="T25" s="155"/>
      <c r="U25" s="152"/>
      <c r="V25" s="154"/>
      <c r="W25" s="154"/>
      <c r="X25" s="154"/>
      <c r="Y25" s="154"/>
      <c r="Z25" s="154"/>
      <c r="AA25" s="279"/>
      <c r="AB25" s="279"/>
      <c r="AC25" s="155"/>
      <c r="AD25" s="152">
        <v>52</v>
      </c>
      <c r="AE25" s="154">
        <v>33</v>
      </c>
      <c r="AF25" s="154">
        <v>48</v>
      </c>
      <c r="AG25" s="154">
        <v>28</v>
      </c>
      <c r="AH25" s="154">
        <v>56</v>
      </c>
      <c r="AI25" s="154">
        <v>83</v>
      </c>
      <c r="AJ25" s="279">
        <v>55</v>
      </c>
      <c r="AK25" s="279">
        <v>52</v>
      </c>
      <c r="AL25" s="155"/>
      <c r="AM25" s="152">
        <v>45</v>
      </c>
      <c r="AN25" s="154">
        <v>28</v>
      </c>
      <c r="AO25" s="154">
        <v>30</v>
      </c>
      <c r="AP25" s="154">
        <v>22</v>
      </c>
      <c r="AQ25" s="154">
        <v>22</v>
      </c>
      <c r="AR25" s="154">
        <v>43</v>
      </c>
      <c r="AS25" s="279">
        <v>24</v>
      </c>
      <c r="AT25" s="279">
        <v>22</v>
      </c>
      <c r="AU25" s="155"/>
      <c r="AV25" s="152"/>
      <c r="AW25" s="154"/>
      <c r="AX25" s="154"/>
      <c r="AY25" s="154"/>
      <c r="AZ25" s="154"/>
      <c r="BA25" s="154"/>
      <c r="BB25" s="279"/>
      <c r="BC25" s="279"/>
      <c r="BD25" s="155"/>
      <c r="BE25" s="152">
        <v>4</v>
      </c>
      <c r="BF25" s="154">
        <v>4</v>
      </c>
      <c r="BG25" s="154">
        <v>4</v>
      </c>
      <c r="BH25" s="154">
        <v>4</v>
      </c>
      <c r="BI25" s="154">
        <v>6</v>
      </c>
      <c r="BJ25" s="154">
        <v>6</v>
      </c>
      <c r="BK25" s="279">
        <v>5</v>
      </c>
      <c r="BL25" s="279">
        <v>3</v>
      </c>
      <c r="BM25" s="155"/>
      <c r="BN25" s="152"/>
      <c r="BO25" s="154"/>
      <c r="BP25" s="154"/>
      <c r="BQ25" s="154"/>
      <c r="BR25" s="154"/>
      <c r="BS25" s="154">
        <v>1</v>
      </c>
      <c r="BT25" s="279"/>
      <c r="BU25" s="279">
        <v>1</v>
      </c>
      <c r="BV25" s="155"/>
      <c r="BW25" s="152">
        <v>65</v>
      </c>
      <c r="BX25" s="154">
        <v>42</v>
      </c>
      <c r="BY25" s="154">
        <v>56</v>
      </c>
      <c r="BZ25" s="154">
        <v>52</v>
      </c>
      <c r="CA25" s="154">
        <v>73</v>
      </c>
      <c r="CB25" s="154">
        <v>103</v>
      </c>
      <c r="CC25" s="279">
        <v>86</v>
      </c>
      <c r="CD25" s="279">
        <v>58</v>
      </c>
      <c r="CE25" s="155"/>
      <c r="CF25" s="152">
        <v>1</v>
      </c>
      <c r="CG25" s="154"/>
      <c r="CH25" s="154">
        <v>5</v>
      </c>
      <c r="CI25" s="154">
        <v>3</v>
      </c>
      <c r="CJ25" s="154">
        <v>3</v>
      </c>
      <c r="CK25" s="154">
        <v>4</v>
      </c>
      <c r="CL25" s="279">
        <v>5</v>
      </c>
      <c r="CM25" s="279">
        <v>3</v>
      </c>
      <c r="CN25" s="155"/>
      <c r="CO25" s="152">
        <v>1</v>
      </c>
      <c r="CP25" s="154"/>
      <c r="CQ25" s="154"/>
      <c r="CR25" s="154">
        <v>1</v>
      </c>
      <c r="CS25" s="154">
        <v>1</v>
      </c>
      <c r="CT25" s="154"/>
      <c r="CU25" s="279">
        <v>2</v>
      </c>
      <c r="CV25" s="279">
        <v>1</v>
      </c>
      <c r="CW25" s="155"/>
      <c r="CX25" s="152">
        <v>502</v>
      </c>
      <c r="CY25" s="154">
        <v>989</v>
      </c>
      <c r="CZ25" s="154">
        <v>765</v>
      </c>
      <c r="DA25" s="154">
        <v>959</v>
      </c>
      <c r="DB25" s="154">
        <v>930</v>
      </c>
      <c r="DC25" s="154">
        <v>600</v>
      </c>
      <c r="DD25" s="279">
        <v>544</v>
      </c>
      <c r="DE25" s="279">
        <v>448</v>
      </c>
      <c r="DF25" s="155"/>
      <c r="DG25" s="152">
        <v>9</v>
      </c>
      <c r="DH25" s="154">
        <v>27</v>
      </c>
      <c r="DI25" s="154">
        <v>19</v>
      </c>
      <c r="DJ25" s="154">
        <v>72</v>
      </c>
      <c r="DK25" s="154">
        <v>38</v>
      </c>
      <c r="DL25" s="154">
        <v>29</v>
      </c>
      <c r="DM25" s="279">
        <v>17</v>
      </c>
      <c r="DN25" s="279">
        <v>26</v>
      </c>
      <c r="DO25" s="155"/>
      <c r="DP25" s="152">
        <v>12</v>
      </c>
      <c r="DQ25" s="154">
        <v>97</v>
      </c>
      <c r="DR25" s="154">
        <v>81</v>
      </c>
      <c r="DS25" s="154">
        <v>54</v>
      </c>
      <c r="DT25" s="154">
        <v>60</v>
      </c>
      <c r="DU25" s="154">
        <v>60</v>
      </c>
      <c r="DV25" s="279">
        <v>27</v>
      </c>
      <c r="DW25" s="279">
        <v>41</v>
      </c>
      <c r="DX25" s="155"/>
      <c r="DY25" s="152">
        <v>30</v>
      </c>
      <c r="DZ25" s="154">
        <v>258</v>
      </c>
      <c r="EA25" s="154">
        <v>182</v>
      </c>
      <c r="EB25" s="154">
        <v>210</v>
      </c>
      <c r="EC25" s="154">
        <v>308</v>
      </c>
      <c r="ED25" s="154">
        <v>184</v>
      </c>
      <c r="EE25" s="279">
        <v>259</v>
      </c>
      <c r="EF25" s="279">
        <v>129</v>
      </c>
      <c r="EG25" s="155"/>
      <c r="EH25" s="152">
        <v>5</v>
      </c>
      <c r="EI25" s="154">
        <v>28</v>
      </c>
      <c r="EJ25" s="154">
        <v>15</v>
      </c>
      <c r="EK25" s="154">
        <v>10</v>
      </c>
      <c r="EL25" s="154">
        <v>9</v>
      </c>
      <c r="EM25" s="154">
        <v>6</v>
      </c>
      <c r="EN25" s="279">
        <v>4</v>
      </c>
      <c r="EO25" s="279">
        <v>3</v>
      </c>
      <c r="EP25" s="155"/>
      <c r="EQ25" s="152">
        <v>3</v>
      </c>
      <c r="ER25" s="154">
        <v>8</v>
      </c>
      <c r="ES25" s="154">
        <v>14</v>
      </c>
      <c r="ET25" s="154">
        <v>22</v>
      </c>
      <c r="EU25" s="154">
        <v>33</v>
      </c>
      <c r="EV25" s="154">
        <v>23</v>
      </c>
      <c r="EW25" s="279">
        <v>15</v>
      </c>
      <c r="EX25" s="279">
        <v>13</v>
      </c>
      <c r="EY25" s="155"/>
      <c r="EZ25" s="152">
        <v>1</v>
      </c>
      <c r="FA25" s="154">
        <v>4</v>
      </c>
      <c r="FB25" s="154">
        <v>1</v>
      </c>
      <c r="FC25" s="154"/>
      <c r="FD25" s="154">
        <v>19</v>
      </c>
      <c r="FE25" s="154">
        <v>2</v>
      </c>
      <c r="FF25" s="279">
        <v>3</v>
      </c>
      <c r="FG25" s="279">
        <v>1</v>
      </c>
      <c r="FH25" s="155"/>
      <c r="FI25" s="152">
        <v>82</v>
      </c>
      <c r="FJ25" s="154">
        <v>104</v>
      </c>
      <c r="FK25" s="154">
        <v>85</v>
      </c>
      <c r="FL25" s="154">
        <v>102</v>
      </c>
      <c r="FM25" s="154">
        <v>69</v>
      </c>
      <c r="FN25" s="154">
        <v>64</v>
      </c>
      <c r="FO25" s="279">
        <v>54</v>
      </c>
      <c r="FP25" s="279">
        <v>43</v>
      </c>
      <c r="FQ25" s="155"/>
      <c r="FR25" s="152">
        <v>1</v>
      </c>
      <c r="FS25" s="154"/>
      <c r="FT25" s="154">
        <v>3</v>
      </c>
      <c r="FU25" s="154">
        <v>1</v>
      </c>
      <c r="FV25" s="154"/>
      <c r="FW25" s="154">
        <v>2</v>
      </c>
      <c r="FX25" s="279">
        <v>2</v>
      </c>
      <c r="FY25" s="279"/>
      <c r="FZ25" s="155"/>
      <c r="GA25" s="152">
        <v>2</v>
      </c>
      <c r="GB25" s="154">
        <v>8</v>
      </c>
      <c r="GC25" s="154">
        <v>12</v>
      </c>
      <c r="GD25" s="154">
        <v>14</v>
      </c>
      <c r="GE25" s="154">
        <v>8</v>
      </c>
      <c r="GF25" s="154">
        <v>4</v>
      </c>
      <c r="GG25" s="279">
        <v>3</v>
      </c>
      <c r="GH25" s="279">
        <v>1</v>
      </c>
      <c r="GI25" s="155"/>
      <c r="GJ25" s="152">
        <v>719</v>
      </c>
      <c r="GK25" s="154">
        <v>1220</v>
      </c>
      <c r="GL25" s="154">
        <v>1008</v>
      </c>
      <c r="GM25" s="154">
        <v>1196</v>
      </c>
      <c r="GN25" s="154">
        <v>1207</v>
      </c>
      <c r="GO25" s="154">
        <v>898</v>
      </c>
      <c r="GP25" s="279">
        <v>778</v>
      </c>
      <c r="GQ25" s="279">
        <v>627</v>
      </c>
      <c r="GR25" s="155"/>
      <c r="GS25" s="152">
        <v>236</v>
      </c>
      <c r="GT25" s="154">
        <v>403</v>
      </c>
      <c r="GU25" s="154">
        <v>385</v>
      </c>
      <c r="GV25" s="154">
        <v>371</v>
      </c>
      <c r="GW25" s="154">
        <v>256</v>
      </c>
      <c r="GX25" s="154">
        <v>253</v>
      </c>
      <c r="GY25" s="279">
        <v>156</v>
      </c>
      <c r="GZ25" s="279">
        <v>152</v>
      </c>
      <c r="HA25" s="155"/>
      <c r="HB25" s="152"/>
      <c r="HC25" s="154"/>
      <c r="HD25" s="154"/>
      <c r="HE25" s="154">
        <v>1</v>
      </c>
      <c r="HF25" s="154"/>
      <c r="HG25" s="154">
        <v>1</v>
      </c>
      <c r="HH25" s="279"/>
      <c r="HI25" s="279">
        <v>3</v>
      </c>
      <c r="HJ25" s="155"/>
      <c r="HK25" s="152"/>
      <c r="HL25" s="154"/>
      <c r="HM25" s="154"/>
      <c r="HN25" s="154"/>
      <c r="HO25" s="154"/>
      <c r="HP25" s="154"/>
      <c r="HQ25" s="279"/>
      <c r="HR25" s="279"/>
      <c r="HS25" s="155"/>
      <c r="HT25" s="152">
        <v>281</v>
      </c>
      <c r="HU25" s="154">
        <v>439</v>
      </c>
      <c r="HV25" s="154">
        <v>436</v>
      </c>
      <c r="HW25" s="154">
        <v>410</v>
      </c>
      <c r="HX25" s="154">
        <v>379</v>
      </c>
      <c r="HY25" s="154">
        <v>374</v>
      </c>
      <c r="HZ25" s="279">
        <v>255</v>
      </c>
      <c r="IA25" s="279">
        <v>235</v>
      </c>
      <c r="IB25" s="155"/>
      <c r="IC25" s="152">
        <v>1194</v>
      </c>
      <c r="ID25" s="154">
        <v>1909</v>
      </c>
      <c r="IE25" s="154">
        <v>1567</v>
      </c>
      <c r="IF25" s="154">
        <v>1565</v>
      </c>
      <c r="IG25" s="154">
        <v>1629</v>
      </c>
      <c r="IH25" s="154">
        <v>1534</v>
      </c>
      <c r="II25" s="279">
        <v>1296</v>
      </c>
      <c r="IJ25" s="279">
        <v>1068</v>
      </c>
      <c r="IK25" s="155"/>
    </row>
    <row r="26" spans="1:245" ht="13.5" thickBot="1" x14ac:dyDescent="0.25">
      <c r="A26" s="961"/>
      <c r="B26" s="156" t="s">
        <v>651</v>
      </c>
      <c r="C26" s="157"/>
      <c r="D26" s="158"/>
      <c r="E26" s="158"/>
      <c r="F26" s="158"/>
      <c r="G26" s="158"/>
      <c r="H26" s="158"/>
      <c r="I26" s="280"/>
      <c r="J26" s="280"/>
      <c r="K26" s="159"/>
      <c r="L26" s="157"/>
      <c r="M26" s="158"/>
      <c r="N26" s="158"/>
      <c r="O26" s="158"/>
      <c r="P26" s="158"/>
      <c r="Q26" s="158"/>
      <c r="R26" s="280"/>
      <c r="S26" s="280"/>
      <c r="T26" s="159"/>
      <c r="U26" s="157"/>
      <c r="V26" s="158"/>
      <c r="W26" s="158"/>
      <c r="X26" s="158"/>
      <c r="Y26" s="158"/>
      <c r="Z26" s="158"/>
      <c r="AA26" s="280"/>
      <c r="AB26" s="280"/>
      <c r="AC26" s="159"/>
      <c r="AD26" s="157"/>
      <c r="AE26" s="158"/>
      <c r="AF26" s="158"/>
      <c r="AG26" s="158"/>
      <c r="AH26" s="158"/>
      <c r="AI26" s="158"/>
      <c r="AJ26" s="280">
        <v>2</v>
      </c>
      <c r="AK26" s="280"/>
      <c r="AL26" s="159"/>
      <c r="AM26" s="157"/>
      <c r="AN26" s="158"/>
      <c r="AO26" s="158"/>
      <c r="AP26" s="158"/>
      <c r="AQ26" s="158"/>
      <c r="AR26" s="158"/>
      <c r="AS26" s="280">
        <v>2</v>
      </c>
      <c r="AT26" s="280"/>
      <c r="AU26" s="159"/>
      <c r="AV26" s="157"/>
      <c r="AW26" s="158"/>
      <c r="AX26" s="158"/>
      <c r="AY26" s="158"/>
      <c r="AZ26" s="158"/>
      <c r="BA26" s="158"/>
      <c r="BB26" s="280"/>
      <c r="BC26" s="280"/>
      <c r="BD26" s="159"/>
      <c r="BE26" s="157"/>
      <c r="BF26" s="158"/>
      <c r="BG26" s="158"/>
      <c r="BH26" s="158"/>
      <c r="BI26" s="158"/>
      <c r="BJ26" s="158"/>
      <c r="BK26" s="280"/>
      <c r="BL26" s="280"/>
      <c r="BM26" s="159"/>
      <c r="BN26" s="157"/>
      <c r="BO26" s="158"/>
      <c r="BP26" s="158"/>
      <c r="BQ26" s="158"/>
      <c r="BR26" s="158"/>
      <c r="BS26" s="158"/>
      <c r="BT26" s="280"/>
      <c r="BU26" s="280"/>
      <c r="BV26" s="159"/>
      <c r="BW26" s="157"/>
      <c r="BX26" s="158"/>
      <c r="BY26" s="158"/>
      <c r="BZ26" s="158"/>
      <c r="CA26" s="158"/>
      <c r="CB26" s="158"/>
      <c r="CC26" s="280"/>
      <c r="CD26" s="280"/>
      <c r="CE26" s="159"/>
      <c r="CF26" s="157"/>
      <c r="CG26" s="158"/>
      <c r="CH26" s="158"/>
      <c r="CI26" s="158"/>
      <c r="CJ26" s="158"/>
      <c r="CK26" s="158"/>
      <c r="CL26" s="280"/>
      <c r="CM26" s="280"/>
      <c r="CN26" s="159"/>
      <c r="CO26" s="157"/>
      <c r="CP26" s="158"/>
      <c r="CQ26" s="158"/>
      <c r="CR26" s="158"/>
      <c r="CS26" s="158"/>
      <c r="CT26" s="158"/>
      <c r="CU26" s="280">
        <v>1</v>
      </c>
      <c r="CV26" s="280"/>
      <c r="CW26" s="159"/>
      <c r="CX26" s="157">
        <v>12</v>
      </c>
      <c r="CY26" s="158">
        <v>29</v>
      </c>
      <c r="CZ26" s="158">
        <v>25</v>
      </c>
      <c r="DA26" s="158">
        <v>15</v>
      </c>
      <c r="DB26" s="158">
        <v>7</v>
      </c>
      <c r="DC26" s="158">
        <v>15</v>
      </c>
      <c r="DD26" s="280">
        <v>25</v>
      </c>
      <c r="DE26" s="280">
        <v>8</v>
      </c>
      <c r="DF26" s="159"/>
      <c r="DG26" s="157"/>
      <c r="DH26" s="158"/>
      <c r="DI26" s="158"/>
      <c r="DJ26" s="158"/>
      <c r="DK26" s="158"/>
      <c r="DL26" s="158"/>
      <c r="DM26" s="280"/>
      <c r="DN26" s="280"/>
      <c r="DO26" s="159"/>
      <c r="DP26" s="157"/>
      <c r="DQ26" s="158"/>
      <c r="DR26" s="158"/>
      <c r="DS26" s="158"/>
      <c r="DT26" s="158"/>
      <c r="DU26" s="158"/>
      <c r="DV26" s="280"/>
      <c r="DW26" s="280"/>
      <c r="DX26" s="159"/>
      <c r="DY26" s="157"/>
      <c r="DZ26" s="158"/>
      <c r="EA26" s="158"/>
      <c r="EB26" s="158"/>
      <c r="EC26" s="158"/>
      <c r="ED26" s="158"/>
      <c r="EE26" s="280"/>
      <c r="EF26" s="280"/>
      <c r="EG26" s="159"/>
      <c r="EH26" s="157"/>
      <c r="EI26" s="158"/>
      <c r="EJ26" s="158"/>
      <c r="EK26" s="158"/>
      <c r="EL26" s="158"/>
      <c r="EM26" s="158"/>
      <c r="EN26" s="280"/>
      <c r="EO26" s="280"/>
      <c r="EP26" s="159"/>
      <c r="EQ26" s="157"/>
      <c r="ER26" s="158"/>
      <c r="ES26" s="158"/>
      <c r="ET26" s="158"/>
      <c r="EU26" s="158"/>
      <c r="EV26" s="158"/>
      <c r="EW26" s="280"/>
      <c r="EX26" s="280"/>
      <c r="EY26" s="159"/>
      <c r="EZ26" s="157"/>
      <c r="FA26" s="158"/>
      <c r="FB26" s="158"/>
      <c r="FC26" s="158"/>
      <c r="FD26" s="158"/>
      <c r="FE26" s="158"/>
      <c r="FF26" s="280"/>
      <c r="FG26" s="280"/>
      <c r="FH26" s="159"/>
      <c r="FI26" s="157">
        <v>1</v>
      </c>
      <c r="FJ26" s="158"/>
      <c r="FK26" s="158">
        <v>2</v>
      </c>
      <c r="FL26" s="158">
        <v>1</v>
      </c>
      <c r="FM26" s="158">
        <v>3</v>
      </c>
      <c r="FN26" s="158"/>
      <c r="FO26" s="280"/>
      <c r="FP26" s="280"/>
      <c r="FQ26" s="159"/>
      <c r="FR26" s="157"/>
      <c r="FS26" s="158"/>
      <c r="FT26" s="158"/>
      <c r="FU26" s="158"/>
      <c r="FV26" s="158"/>
      <c r="FW26" s="158"/>
      <c r="FX26" s="280"/>
      <c r="FY26" s="280"/>
      <c r="FZ26" s="159"/>
      <c r="GA26" s="157"/>
      <c r="GB26" s="158"/>
      <c r="GC26" s="158"/>
      <c r="GD26" s="158">
        <v>1</v>
      </c>
      <c r="GE26" s="158"/>
      <c r="GF26" s="158"/>
      <c r="GG26" s="280"/>
      <c r="GH26" s="280">
        <v>1</v>
      </c>
      <c r="GI26" s="159"/>
      <c r="GJ26" s="157">
        <v>13</v>
      </c>
      <c r="GK26" s="158">
        <v>29</v>
      </c>
      <c r="GL26" s="158">
        <v>27</v>
      </c>
      <c r="GM26" s="158">
        <v>17</v>
      </c>
      <c r="GN26" s="158">
        <v>10</v>
      </c>
      <c r="GO26" s="158">
        <v>15</v>
      </c>
      <c r="GP26" s="280">
        <v>28</v>
      </c>
      <c r="GQ26" s="280">
        <v>9</v>
      </c>
      <c r="GR26" s="159"/>
      <c r="GS26" s="157">
        <v>13</v>
      </c>
      <c r="GT26" s="158">
        <v>29</v>
      </c>
      <c r="GU26" s="158">
        <v>27</v>
      </c>
      <c r="GV26" s="158">
        <v>14</v>
      </c>
      <c r="GW26" s="158">
        <v>6</v>
      </c>
      <c r="GX26" s="158">
        <v>11</v>
      </c>
      <c r="GY26" s="280">
        <v>23</v>
      </c>
      <c r="GZ26" s="280">
        <v>7</v>
      </c>
      <c r="HA26" s="159"/>
      <c r="HB26" s="157"/>
      <c r="HC26" s="158"/>
      <c r="HD26" s="158"/>
      <c r="HE26" s="158"/>
      <c r="HF26" s="158"/>
      <c r="HG26" s="158"/>
      <c r="HH26" s="280"/>
      <c r="HI26" s="280"/>
      <c r="HJ26" s="159"/>
      <c r="HK26" s="157"/>
      <c r="HL26" s="158"/>
      <c r="HM26" s="158"/>
      <c r="HN26" s="158"/>
      <c r="HO26" s="158"/>
      <c r="HP26" s="158"/>
      <c r="HQ26" s="280"/>
      <c r="HR26" s="280"/>
      <c r="HS26" s="159"/>
      <c r="HT26" s="157">
        <v>40</v>
      </c>
      <c r="HU26" s="158">
        <v>45</v>
      </c>
      <c r="HV26" s="158">
        <v>44</v>
      </c>
      <c r="HW26" s="158">
        <v>36</v>
      </c>
      <c r="HX26" s="158">
        <v>27</v>
      </c>
      <c r="HY26" s="158">
        <v>24</v>
      </c>
      <c r="HZ26" s="280">
        <v>47</v>
      </c>
      <c r="IA26" s="280">
        <v>29</v>
      </c>
      <c r="IB26" s="159"/>
      <c r="IC26" s="157">
        <v>46</v>
      </c>
      <c r="ID26" s="158">
        <v>52</v>
      </c>
      <c r="IE26" s="158">
        <v>48</v>
      </c>
      <c r="IF26" s="158">
        <v>43</v>
      </c>
      <c r="IG26" s="158">
        <v>50</v>
      </c>
      <c r="IH26" s="158">
        <v>35</v>
      </c>
      <c r="II26" s="280">
        <v>65</v>
      </c>
      <c r="IJ26" s="280">
        <v>35</v>
      </c>
      <c r="IK26" s="159"/>
    </row>
    <row r="27" spans="1:245" s="134" customFormat="1" ht="13.5" thickBot="1" x14ac:dyDescent="0.25">
      <c r="A27" s="962"/>
      <c r="B27" s="196" t="s">
        <v>786</v>
      </c>
      <c r="C27" s="193">
        <v>78</v>
      </c>
      <c r="D27" s="194">
        <v>89</v>
      </c>
      <c r="E27" s="194">
        <v>46</v>
      </c>
      <c r="F27" s="194">
        <v>46</v>
      </c>
      <c r="G27" s="194">
        <v>43</v>
      </c>
      <c r="H27" s="194">
        <v>33</v>
      </c>
      <c r="I27" s="194">
        <v>44</v>
      </c>
      <c r="J27" s="194">
        <v>34</v>
      </c>
      <c r="K27" s="195"/>
      <c r="L27" s="193">
        <v>31</v>
      </c>
      <c r="M27" s="194">
        <v>31</v>
      </c>
      <c r="N27" s="194">
        <v>25</v>
      </c>
      <c r="O27" s="194">
        <v>23</v>
      </c>
      <c r="P27" s="194">
        <v>25</v>
      </c>
      <c r="Q27" s="194">
        <v>18</v>
      </c>
      <c r="R27" s="194">
        <v>20</v>
      </c>
      <c r="S27" s="194">
        <v>15</v>
      </c>
      <c r="T27" s="195"/>
      <c r="U27" s="193">
        <v>37</v>
      </c>
      <c r="V27" s="194">
        <v>33</v>
      </c>
      <c r="W27" s="194">
        <v>17</v>
      </c>
      <c r="X27" s="194">
        <v>23</v>
      </c>
      <c r="Y27" s="194">
        <v>16</v>
      </c>
      <c r="Z27" s="194">
        <v>11</v>
      </c>
      <c r="AA27" s="194">
        <v>18</v>
      </c>
      <c r="AB27" s="194">
        <v>16</v>
      </c>
      <c r="AC27" s="195"/>
      <c r="AD27" s="193">
        <v>2013</v>
      </c>
      <c r="AE27" s="194">
        <v>1842</v>
      </c>
      <c r="AF27" s="194">
        <v>1935</v>
      </c>
      <c r="AG27" s="194">
        <v>1859</v>
      </c>
      <c r="AH27" s="194">
        <v>2021</v>
      </c>
      <c r="AI27" s="194">
        <v>2121</v>
      </c>
      <c r="AJ27" s="194">
        <v>2076</v>
      </c>
      <c r="AK27" s="194">
        <v>2054</v>
      </c>
      <c r="AL27" s="195"/>
      <c r="AM27" s="193">
        <v>1470</v>
      </c>
      <c r="AN27" s="194">
        <v>1327</v>
      </c>
      <c r="AO27" s="194">
        <v>1328</v>
      </c>
      <c r="AP27" s="194">
        <v>1292</v>
      </c>
      <c r="AQ27" s="194">
        <v>1267</v>
      </c>
      <c r="AR27" s="194">
        <v>1299</v>
      </c>
      <c r="AS27" s="194">
        <v>1240</v>
      </c>
      <c r="AT27" s="194">
        <v>1128</v>
      </c>
      <c r="AU27" s="195"/>
      <c r="AV27" s="193">
        <v>8</v>
      </c>
      <c r="AW27" s="194">
        <v>8</v>
      </c>
      <c r="AX27" s="194">
        <v>3</v>
      </c>
      <c r="AY27" s="194">
        <v>3</v>
      </c>
      <c r="AZ27" s="194">
        <v>4</v>
      </c>
      <c r="BA27" s="194">
        <v>1</v>
      </c>
      <c r="BB27" s="194">
        <v>6</v>
      </c>
      <c r="BC27" s="194">
        <v>3</v>
      </c>
      <c r="BD27" s="195"/>
      <c r="BE27" s="193">
        <v>194</v>
      </c>
      <c r="BF27" s="194">
        <v>220</v>
      </c>
      <c r="BG27" s="194">
        <v>148</v>
      </c>
      <c r="BH27" s="194">
        <v>127</v>
      </c>
      <c r="BI27" s="194">
        <v>166</v>
      </c>
      <c r="BJ27" s="194">
        <v>158</v>
      </c>
      <c r="BK27" s="194">
        <v>134</v>
      </c>
      <c r="BL27" s="194">
        <v>187</v>
      </c>
      <c r="BM27" s="195"/>
      <c r="BN27" s="193">
        <v>2</v>
      </c>
      <c r="BO27" s="194">
        <v>1</v>
      </c>
      <c r="BP27" s="194"/>
      <c r="BQ27" s="194"/>
      <c r="BR27" s="194">
        <v>1</v>
      </c>
      <c r="BS27" s="194">
        <v>40</v>
      </c>
      <c r="BT27" s="194">
        <v>37</v>
      </c>
      <c r="BU27" s="194">
        <v>27</v>
      </c>
      <c r="BV27" s="195"/>
      <c r="BW27" s="193">
        <v>1890</v>
      </c>
      <c r="BX27" s="194">
        <v>1743</v>
      </c>
      <c r="BY27" s="194">
        <v>2042</v>
      </c>
      <c r="BZ27" s="194">
        <v>2280</v>
      </c>
      <c r="CA27" s="194">
        <v>2457</v>
      </c>
      <c r="CB27" s="194">
        <v>2757</v>
      </c>
      <c r="CC27" s="194">
        <v>2659</v>
      </c>
      <c r="CD27" s="194">
        <v>2602</v>
      </c>
      <c r="CE27" s="195"/>
      <c r="CF27" s="193">
        <v>147</v>
      </c>
      <c r="CG27" s="194">
        <v>138</v>
      </c>
      <c r="CH27" s="194">
        <v>107</v>
      </c>
      <c r="CI27" s="194">
        <v>109</v>
      </c>
      <c r="CJ27" s="194">
        <v>116</v>
      </c>
      <c r="CK27" s="194">
        <v>94</v>
      </c>
      <c r="CL27" s="194">
        <v>109</v>
      </c>
      <c r="CM27" s="194">
        <v>78</v>
      </c>
      <c r="CN27" s="195"/>
      <c r="CO27" s="193">
        <v>107</v>
      </c>
      <c r="CP27" s="194">
        <v>98</v>
      </c>
      <c r="CQ27" s="194">
        <v>131</v>
      </c>
      <c r="CR27" s="194">
        <v>84</v>
      </c>
      <c r="CS27" s="194">
        <v>64</v>
      </c>
      <c r="CT27" s="194">
        <v>99</v>
      </c>
      <c r="CU27" s="194">
        <v>106</v>
      </c>
      <c r="CV27" s="194">
        <v>156</v>
      </c>
      <c r="CW27" s="195"/>
      <c r="CX27" s="193">
        <v>52073</v>
      </c>
      <c r="CY27" s="194">
        <v>53736</v>
      </c>
      <c r="CZ27" s="194">
        <v>51522</v>
      </c>
      <c r="DA27" s="194">
        <v>51163</v>
      </c>
      <c r="DB27" s="194">
        <v>42780</v>
      </c>
      <c r="DC27" s="194">
        <v>34260</v>
      </c>
      <c r="DD27" s="194">
        <v>28912</v>
      </c>
      <c r="DE27" s="194">
        <v>25270</v>
      </c>
      <c r="DF27" s="195"/>
      <c r="DG27" s="193">
        <v>3331</v>
      </c>
      <c r="DH27" s="194">
        <v>3659</v>
      </c>
      <c r="DI27" s="194">
        <v>4156</v>
      </c>
      <c r="DJ27" s="194">
        <v>3441</v>
      </c>
      <c r="DK27" s="194">
        <v>2907</v>
      </c>
      <c r="DL27" s="194">
        <v>1859</v>
      </c>
      <c r="DM27" s="194">
        <v>1187</v>
      </c>
      <c r="DN27" s="194">
        <v>869</v>
      </c>
      <c r="DO27" s="195"/>
      <c r="DP27" s="193">
        <v>6426</v>
      </c>
      <c r="DQ27" s="194">
        <v>5982</v>
      </c>
      <c r="DR27" s="194">
        <v>5494</v>
      </c>
      <c r="DS27" s="194">
        <v>4604</v>
      </c>
      <c r="DT27" s="194">
        <v>3734</v>
      </c>
      <c r="DU27" s="194">
        <v>2560</v>
      </c>
      <c r="DV27" s="194">
        <v>2100</v>
      </c>
      <c r="DW27" s="194">
        <v>1774</v>
      </c>
      <c r="DX27" s="195"/>
      <c r="DY27" s="193">
        <v>5579</v>
      </c>
      <c r="DZ27" s="194">
        <v>6876</v>
      </c>
      <c r="EA27" s="194">
        <v>6724</v>
      </c>
      <c r="EB27" s="194">
        <v>6831</v>
      </c>
      <c r="EC27" s="194">
        <v>6754</v>
      </c>
      <c r="ED27" s="194">
        <v>5054</v>
      </c>
      <c r="EE27" s="194">
        <v>3953</v>
      </c>
      <c r="EF27" s="194">
        <v>2979</v>
      </c>
      <c r="EG27" s="195"/>
      <c r="EH27" s="193">
        <v>1484</v>
      </c>
      <c r="EI27" s="194">
        <v>1540</v>
      </c>
      <c r="EJ27" s="194">
        <v>1435</v>
      </c>
      <c r="EK27" s="194">
        <v>909</v>
      </c>
      <c r="EL27" s="194">
        <v>824</v>
      </c>
      <c r="EM27" s="194">
        <v>639</v>
      </c>
      <c r="EN27" s="194">
        <v>468</v>
      </c>
      <c r="EO27" s="194">
        <v>271</v>
      </c>
      <c r="EP27" s="195"/>
      <c r="EQ27" s="193">
        <v>747</v>
      </c>
      <c r="ER27" s="194">
        <v>1094</v>
      </c>
      <c r="ES27" s="194">
        <v>1440</v>
      </c>
      <c r="ET27" s="194">
        <v>1467</v>
      </c>
      <c r="EU27" s="194">
        <v>1375</v>
      </c>
      <c r="EV27" s="194">
        <v>1242</v>
      </c>
      <c r="EW27" s="194">
        <v>989</v>
      </c>
      <c r="EX27" s="194">
        <v>737</v>
      </c>
      <c r="EY27" s="195"/>
      <c r="EZ27" s="193">
        <v>116</v>
      </c>
      <c r="FA27" s="194">
        <v>98</v>
      </c>
      <c r="FB27" s="194">
        <v>98</v>
      </c>
      <c r="FC27" s="194">
        <v>99</v>
      </c>
      <c r="FD27" s="194">
        <v>132</v>
      </c>
      <c r="FE27" s="194">
        <v>66</v>
      </c>
      <c r="FF27" s="194">
        <v>72</v>
      </c>
      <c r="FG27" s="194">
        <v>61</v>
      </c>
      <c r="FH27" s="195"/>
      <c r="FI27" s="193">
        <v>7397</v>
      </c>
      <c r="FJ27" s="194">
        <v>5994</v>
      </c>
      <c r="FK27" s="194">
        <v>4630</v>
      </c>
      <c r="FL27" s="194">
        <v>3744</v>
      </c>
      <c r="FM27" s="194">
        <v>3281</v>
      </c>
      <c r="FN27" s="194">
        <v>2571</v>
      </c>
      <c r="FO27" s="194">
        <v>2615</v>
      </c>
      <c r="FP27" s="194">
        <v>2429</v>
      </c>
      <c r="FQ27" s="195"/>
      <c r="FR27" s="193">
        <v>137</v>
      </c>
      <c r="FS27" s="194">
        <v>99</v>
      </c>
      <c r="FT27" s="194">
        <v>120</v>
      </c>
      <c r="FU27" s="194">
        <v>107</v>
      </c>
      <c r="FV27" s="194">
        <v>122</v>
      </c>
      <c r="FW27" s="194">
        <v>96</v>
      </c>
      <c r="FX27" s="194">
        <v>73</v>
      </c>
      <c r="FY27" s="194">
        <v>65</v>
      </c>
      <c r="FZ27" s="195"/>
      <c r="GA27" s="193">
        <v>896</v>
      </c>
      <c r="GB27" s="194">
        <v>722</v>
      </c>
      <c r="GC27" s="194">
        <v>518</v>
      </c>
      <c r="GD27" s="194">
        <v>388</v>
      </c>
      <c r="GE27" s="194">
        <v>355</v>
      </c>
      <c r="GF27" s="194">
        <v>234</v>
      </c>
      <c r="GG27" s="194">
        <v>142</v>
      </c>
      <c r="GH27" s="194">
        <v>148</v>
      </c>
      <c r="GI27" s="195"/>
      <c r="GJ27" s="193">
        <v>67281</v>
      </c>
      <c r="GK27" s="194">
        <v>67414</v>
      </c>
      <c r="GL27" s="194">
        <v>64172</v>
      </c>
      <c r="GM27" s="194">
        <v>62382</v>
      </c>
      <c r="GN27" s="194">
        <v>53737</v>
      </c>
      <c r="GO27" s="194">
        <v>44410</v>
      </c>
      <c r="GP27" s="194">
        <v>38436</v>
      </c>
      <c r="GQ27" s="194">
        <v>34119</v>
      </c>
      <c r="GR27" s="195"/>
      <c r="GS27" s="193">
        <v>34834</v>
      </c>
      <c r="GT27" s="194">
        <v>34528</v>
      </c>
      <c r="GU27" s="194">
        <v>34040</v>
      </c>
      <c r="GV27" s="194">
        <v>27749</v>
      </c>
      <c r="GW27" s="194">
        <v>17152</v>
      </c>
      <c r="GX27" s="194">
        <v>12981</v>
      </c>
      <c r="GY27" s="194">
        <v>11301</v>
      </c>
      <c r="GZ27" s="194">
        <v>9544</v>
      </c>
      <c r="HA27" s="195"/>
      <c r="HB27" s="193">
        <v>245</v>
      </c>
      <c r="HC27" s="194">
        <v>209</v>
      </c>
      <c r="HD27" s="194">
        <v>219</v>
      </c>
      <c r="HE27" s="194">
        <v>179</v>
      </c>
      <c r="HF27" s="194">
        <v>210</v>
      </c>
      <c r="HG27" s="194">
        <v>220</v>
      </c>
      <c r="HH27" s="194">
        <v>177</v>
      </c>
      <c r="HI27" s="194">
        <v>165</v>
      </c>
      <c r="HJ27" s="195"/>
      <c r="HK27" s="193">
        <v>86</v>
      </c>
      <c r="HL27" s="194">
        <v>85</v>
      </c>
      <c r="HM27" s="194">
        <v>42</v>
      </c>
      <c r="HN27" s="194">
        <v>23</v>
      </c>
      <c r="HO27" s="194">
        <v>31</v>
      </c>
      <c r="HP27" s="194">
        <v>21</v>
      </c>
      <c r="HQ27" s="194">
        <v>13</v>
      </c>
      <c r="HR27" s="194">
        <v>26</v>
      </c>
      <c r="HS27" s="195"/>
      <c r="HT27" s="193">
        <v>39761</v>
      </c>
      <c r="HU27" s="194">
        <v>38178</v>
      </c>
      <c r="HV27" s="194">
        <v>36974</v>
      </c>
      <c r="HW27" s="194">
        <v>32452</v>
      </c>
      <c r="HX27" s="194">
        <v>21109</v>
      </c>
      <c r="HY27" s="194">
        <v>16896</v>
      </c>
      <c r="HZ27" s="194">
        <v>15879</v>
      </c>
      <c r="IA27" s="194">
        <v>14510</v>
      </c>
      <c r="IB27" s="195"/>
      <c r="IC27" s="193">
        <v>103287</v>
      </c>
      <c r="ID27" s="194">
        <v>101280</v>
      </c>
      <c r="IE27" s="194">
        <v>110781</v>
      </c>
      <c r="IF27" s="194">
        <v>101936</v>
      </c>
      <c r="IG27" s="194">
        <v>86044</v>
      </c>
      <c r="IH27" s="194">
        <v>70062</v>
      </c>
      <c r="II27" s="194">
        <v>60864</v>
      </c>
      <c r="IJ27" s="194">
        <v>61263</v>
      </c>
      <c r="IK27" s="195"/>
    </row>
    <row r="28" spans="1:245" x14ac:dyDescent="0.2">
      <c r="A28" s="960" t="s">
        <v>575</v>
      </c>
      <c r="B28" s="247" t="s">
        <v>576</v>
      </c>
      <c r="C28" s="285">
        <v>14</v>
      </c>
      <c r="D28" s="161">
        <v>11</v>
      </c>
      <c r="E28" s="161">
        <v>6</v>
      </c>
      <c r="F28" s="161">
        <v>13</v>
      </c>
      <c r="G28" s="162">
        <v>9</v>
      </c>
      <c r="H28" s="162">
        <v>11</v>
      </c>
      <c r="I28" s="281">
        <v>6</v>
      </c>
      <c r="J28" s="281">
        <v>8</v>
      </c>
      <c r="K28" s="163"/>
      <c r="L28" s="285">
        <v>6</v>
      </c>
      <c r="M28" s="161">
        <v>9</v>
      </c>
      <c r="N28" s="161">
        <v>4</v>
      </c>
      <c r="O28" s="161">
        <v>10</v>
      </c>
      <c r="P28" s="162">
        <v>4</v>
      </c>
      <c r="Q28" s="162">
        <v>6</v>
      </c>
      <c r="R28" s="281">
        <v>1</v>
      </c>
      <c r="S28" s="281">
        <v>4</v>
      </c>
      <c r="T28" s="163"/>
      <c r="U28" s="285">
        <v>7</v>
      </c>
      <c r="V28" s="161">
        <v>2</v>
      </c>
      <c r="W28" s="161">
        <v>2</v>
      </c>
      <c r="X28" s="161">
        <v>2</v>
      </c>
      <c r="Y28" s="162">
        <v>4</v>
      </c>
      <c r="Z28" s="162">
        <v>3</v>
      </c>
      <c r="AA28" s="281">
        <v>5</v>
      </c>
      <c r="AB28" s="281">
        <v>3</v>
      </c>
      <c r="AC28" s="163"/>
      <c r="AD28" s="285">
        <v>31</v>
      </c>
      <c r="AE28" s="161">
        <v>35</v>
      </c>
      <c r="AF28" s="161">
        <v>34</v>
      </c>
      <c r="AG28" s="161">
        <v>30</v>
      </c>
      <c r="AH28" s="162">
        <v>27</v>
      </c>
      <c r="AI28" s="162">
        <v>23</v>
      </c>
      <c r="AJ28" s="281">
        <v>15</v>
      </c>
      <c r="AK28" s="281">
        <v>12</v>
      </c>
      <c r="AL28" s="163"/>
      <c r="AM28" s="285">
        <v>27</v>
      </c>
      <c r="AN28" s="161">
        <v>25</v>
      </c>
      <c r="AO28" s="161">
        <v>26</v>
      </c>
      <c r="AP28" s="161">
        <v>20</v>
      </c>
      <c r="AQ28" s="162">
        <v>22</v>
      </c>
      <c r="AR28" s="162">
        <v>19</v>
      </c>
      <c r="AS28" s="281">
        <v>10</v>
      </c>
      <c r="AT28" s="281">
        <v>8</v>
      </c>
      <c r="AU28" s="163"/>
      <c r="AV28" s="285">
        <v>2</v>
      </c>
      <c r="AW28" s="161">
        <v>1</v>
      </c>
      <c r="AX28" s="161"/>
      <c r="AY28" s="161">
        <v>1</v>
      </c>
      <c r="AZ28" s="162">
        <v>1</v>
      </c>
      <c r="BA28" s="162"/>
      <c r="BB28" s="281"/>
      <c r="BC28" s="281"/>
      <c r="BD28" s="163"/>
      <c r="BE28" s="285"/>
      <c r="BF28" s="161">
        <v>7</v>
      </c>
      <c r="BG28" s="161">
        <v>11</v>
      </c>
      <c r="BH28" s="161"/>
      <c r="BI28" s="162"/>
      <c r="BJ28" s="162">
        <v>2</v>
      </c>
      <c r="BK28" s="281"/>
      <c r="BL28" s="281">
        <v>1</v>
      </c>
      <c r="BM28" s="163"/>
      <c r="BN28" s="285"/>
      <c r="BO28" s="161"/>
      <c r="BP28" s="161"/>
      <c r="BQ28" s="161"/>
      <c r="BR28" s="162">
        <v>3</v>
      </c>
      <c r="BS28" s="162">
        <v>1</v>
      </c>
      <c r="BT28" s="281">
        <v>1</v>
      </c>
      <c r="BU28" s="281"/>
      <c r="BV28" s="163"/>
      <c r="BW28" s="285">
        <v>10</v>
      </c>
      <c r="BX28" s="161">
        <v>24</v>
      </c>
      <c r="BY28" s="161">
        <v>15</v>
      </c>
      <c r="BZ28" s="161">
        <v>24</v>
      </c>
      <c r="CA28" s="162">
        <v>16</v>
      </c>
      <c r="CB28" s="162">
        <v>3</v>
      </c>
      <c r="CC28" s="281">
        <v>5</v>
      </c>
      <c r="CD28" s="281">
        <v>4</v>
      </c>
      <c r="CE28" s="163"/>
      <c r="CF28" s="285">
        <v>1</v>
      </c>
      <c r="CG28" s="161">
        <v>2</v>
      </c>
      <c r="CH28" s="161">
        <v>1</v>
      </c>
      <c r="CI28" s="161"/>
      <c r="CJ28" s="162"/>
      <c r="CK28" s="162">
        <v>3</v>
      </c>
      <c r="CL28" s="281"/>
      <c r="CM28" s="281"/>
      <c r="CN28" s="163"/>
      <c r="CO28" s="285">
        <v>12</v>
      </c>
      <c r="CP28" s="161">
        <v>11</v>
      </c>
      <c r="CQ28" s="161">
        <v>1</v>
      </c>
      <c r="CR28" s="161">
        <v>2</v>
      </c>
      <c r="CS28" s="162">
        <v>3</v>
      </c>
      <c r="CT28" s="162">
        <v>4</v>
      </c>
      <c r="CU28" s="281">
        <v>16</v>
      </c>
      <c r="CV28" s="281">
        <v>7</v>
      </c>
      <c r="CW28" s="163"/>
      <c r="CX28" s="285">
        <v>7</v>
      </c>
      <c r="CY28" s="161">
        <v>5</v>
      </c>
      <c r="CZ28" s="161">
        <v>9</v>
      </c>
      <c r="DA28" s="161">
        <v>4</v>
      </c>
      <c r="DB28" s="162">
        <v>16</v>
      </c>
      <c r="DC28" s="162">
        <v>13</v>
      </c>
      <c r="DD28" s="281"/>
      <c r="DE28" s="281">
        <v>2</v>
      </c>
      <c r="DF28" s="163"/>
      <c r="DG28" s="285">
        <v>2</v>
      </c>
      <c r="DH28" s="161">
        <v>1</v>
      </c>
      <c r="DI28" s="161"/>
      <c r="DJ28" s="161"/>
      <c r="DK28" s="162"/>
      <c r="DL28" s="162"/>
      <c r="DM28" s="281"/>
      <c r="DN28" s="281"/>
      <c r="DO28" s="163"/>
      <c r="DP28" s="285"/>
      <c r="DQ28" s="161"/>
      <c r="DR28" s="161"/>
      <c r="DS28" s="161"/>
      <c r="DT28" s="162">
        <v>2</v>
      </c>
      <c r="DU28" s="162"/>
      <c r="DV28" s="281"/>
      <c r="DW28" s="281"/>
      <c r="DX28" s="163"/>
      <c r="DY28" s="285"/>
      <c r="DZ28" s="161"/>
      <c r="EA28" s="161"/>
      <c r="EB28" s="161">
        <v>2</v>
      </c>
      <c r="EC28" s="162">
        <v>9</v>
      </c>
      <c r="ED28" s="162">
        <v>4</v>
      </c>
      <c r="EE28" s="281"/>
      <c r="EF28" s="281"/>
      <c r="EG28" s="163"/>
      <c r="EH28" s="285">
        <v>4</v>
      </c>
      <c r="EI28" s="161">
        <v>10</v>
      </c>
      <c r="EJ28" s="161">
        <v>5</v>
      </c>
      <c r="EK28" s="161">
        <v>3</v>
      </c>
      <c r="EL28" s="162">
        <v>2</v>
      </c>
      <c r="EM28" s="162">
        <v>6</v>
      </c>
      <c r="EN28" s="281">
        <v>1</v>
      </c>
      <c r="EO28" s="281">
        <v>5</v>
      </c>
      <c r="EP28" s="163"/>
      <c r="EQ28" s="285"/>
      <c r="ER28" s="161">
        <v>2</v>
      </c>
      <c r="ES28" s="161">
        <v>1</v>
      </c>
      <c r="ET28" s="161">
        <v>2</v>
      </c>
      <c r="EU28" s="162">
        <v>1</v>
      </c>
      <c r="EV28" s="162">
        <v>1</v>
      </c>
      <c r="EW28" s="281"/>
      <c r="EX28" s="281">
        <v>1</v>
      </c>
      <c r="EY28" s="163"/>
      <c r="EZ28" s="285">
        <v>2</v>
      </c>
      <c r="FA28" s="161">
        <v>2</v>
      </c>
      <c r="FB28" s="161">
        <v>4</v>
      </c>
      <c r="FC28" s="161"/>
      <c r="FD28" s="162"/>
      <c r="FE28" s="162"/>
      <c r="FF28" s="281"/>
      <c r="FG28" s="281"/>
      <c r="FH28" s="163"/>
      <c r="FI28" s="285"/>
      <c r="FJ28" s="161">
        <v>3</v>
      </c>
      <c r="FK28" s="161">
        <v>2</v>
      </c>
      <c r="FL28" s="161">
        <v>1</v>
      </c>
      <c r="FM28" s="162">
        <v>3</v>
      </c>
      <c r="FN28" s="162">
        <v>1</v>
      </c>
      <c r="FO28" s="281"/>
      <c r="FP28" s="281"/>
      <c r="FQ28" s="163"/>
      <c r="FR28" s="285"/>
      <c r="FS28" s="161">
        <v>1</v>
      </c>
      <c r="FT28" s="161">
        <v>1</v>
      </c>
      <c r="FU28" s="161"/>
      <c r="FV28" s="162"/>
      <c r="FW28" s="162"/>
      <c r="FX28" s="281"/>
      <c r="FY28" s="281">
        <v>2</v>
      </c>
      <c r="FZ28" s="163"/>
      <c r="GA28" s="285">
        <v>1</v>
      </c>
      <c r="GB28" s="161"/>
      <c r="GC28" s="161"/>
      <c r="GD28" s="161"/>
      <c r="GE28" s="162">
        <v>2</v>
      </c>
      <c r="GF28" s="162"/>
      <c r="GG28" s="281"/>
      <c r="GH28" s="281"/>
      <c r="GI28" s="163"/>
      <c r="GJ28" s="285">
        <v>82</v>
      </c>
      <c r="GK28" s="161">
        <v>113</v>
      </c>
      <c r="GL28" s="161">
        <v>90</v>
      </c>
      <c r="GM28" s="161">
        <v>79</v>
      </c>
      <c r="GN28" s="162">
        <v>82</v>
      </c>
      <c r="GO28" s="162">
        <v>68</v>
      </c>
      <c r="GP28" s="281">
        <v>44</v>
      </c>
      <c r="GQ28" s="281">
        <v>42</v>
      </c>
      <c r="GR28" s="163"/>
      <c r="GS28" s="285">
        <v>31</v>
      </c>
      <c r="GT28" s="161">
        <v>42</v>
      </c>
      <c r="GU28" s="161">
        <v>28</v>
      </c>
      <c r="GV28" s="161">
        <v>42</v>
      </c>
      <c r="GW28" s="162">
        <v>24</v>
      </c>
      <c r="GX28" s="162">
        <v>17</v>
      </c>
      <c r="GY28" s="281">
        <v>7</v>
      </c>
      <c r="GZ28" s="281">
        <v>9</v>
      </c>
      <c r="HA28" s="163"/>
      <c r="HB28" s="285">
        <v>1</v>
      </c>
      <c r="HC28" s="161">
        <v>1</v>
      </c>
      <c r="HD28" s="161">
        <v>1</v>
      </c>
      <c r="HE28" s="161"/>
      <c r="HF28" s="162"/>
      <c r="HG28" s="162"/>
      <c r="HH28" s="281">
        <v>1</v>
      </c>
      <c r="HI28" s="281"/>
      <c r="HJ28" s="163"/>
      <c r="HK28" s="285"/>
      <c r="HL28" s="161"/>
      <c r="HM28" s="161"/>
      <c r="HN28" s="161"/>
      <c r="HO28" s="162"/>
      <c r="HP28" s="162"/>
      <c r="HQ28" s="281"/>
      <c r="HR28" s="281"/>
      <c r="HS28" s="163"/>
      <c r="HT28" s="285">
        <v>49</v>
      </c>
      <c r="HU28" s="161">
        <v>49</v>
      </c>
      <c r="HV28" s="161">
        <v>41</v>
      </c>
      <c r="HW28" s="161">
        <v>48</v>
      </c>
      <c r="HX28" s="162">
        <v>27</v>
      </c>
      <c r="HY28" s="162">
        <v>23</v>
      </c>
      <c r="HZ28" s="281">
        <v>7</v>
      </c>
      <c r="IA28" s="281">
        <v>11</v>
      </c>
      <c r="IB28" s="163"/>
      <c r="IC28" s="285">
        <v>266</v>
      </c>
      <c r="ID28" s="161">
        <v>182</v>
      </c>
      <c r="IE28" s="161">
        <v>206</v>
      </c>
      <c r="IF28" s="161">
        <v>389</v>
      </c>
      <c r="IG28" s="162">
        <v>174</v>
      </c>
      <c r="IH28" s="162">
        <v>221</v>
      </c>
      <c r="II28" s="281">
        <v>389</v>
      </c>
      <c r="IJ28" s="281">
        <v>88</v>
      </c>
      <c r="IK28" s="163"/>
    </row>
    <row r="29" spans="1:245" x14ac:dyDescent="0.2">
      <c r="A29" s="961"/>
      <c r="B29" s="151" t="s">
        <v>652</v>
      </c>
      <c r="C29" s="152"/>
      <c r="D29" s="153"/>
      <c r="E29" s="153"/>
      <c r="F29" s="153"/>
      <c r="G29" s="154"/>
      <c r="H29" s="154"/>
      <c r="I29" s="279"/>
      <c r="J29" s="279"/>
      <c r="K29" s="155"/>
      <c r="L29" s="152"/>
      <c r="M29" s="153"/>
      <c r="N29" s="153"/>
      <c r="O29" s="153"/>
      <c r="P29" s="154"/>
      <c r="Q29" s="154"/>
      <c r="R29" s="279"/>
      <c r="S29" s="279"/>
      <c r="T29" s="155"/>
      <c r="U29" s="152"/>
      <c r="V29" s="153"/>
      <c r="W29" s="153"/>
      <c r="X29" s="153"/>
      <c r="Y29" s="154"/>
      <c r="Z29" s="154"/>
      <c r="AA29" s="279"/>
      <c r="AB29" s="279"/>
      <c r="AC29" s="155"/>
      <c r="AD29" s="152">
        <v>255</v>
      </c>
      <c r="AE29" s="153">
        <v>212</v>
      </c>
      <c r="AF29" s="153">
        <v>233</v>
      </c>
      <c r="AG29" s="153">
        <v>208</v>
      </c>
      <c r="AH29" s="154">
        <v>156</v>
      </c>
      <c r="AI29" s="154">
        <v>186</v>
      </c>
      <c r="AJ29" s="279">
        <v>190</v>
      </c>
      <c r="AK29" s="279">
        <v>185</v>
      </c>
      <c r="AL29" s="155"/>
      <c r="AM29" s="152">
        <v>134</v>
      </c>
      <c r="AN29" s="153">
        <v>104</v>
      </c>
      <c r="AO29" s="153">
        <v>107</v>
      </c>
      <c r="AP29" s="153">
        <v>96</v>
      </c>
      <c r="AQ29" s="154">
        <v>92</v>
      </c>
      <c r="AR29" s="154">
        <v>89</v>
      </c>
      <c r="AS29" s="279">
        <v>97</v>
      </c>
      <c r="AT29" s="279">
        <v>92</v>
      </c>
      <c r="AU29" s="155"/>
      <c r="AV29" s="152"/>
      <c r="AW29" s="153"/>
      <c r="AX29" s="153"/>
      <c r="AY29" s="153"/>
      <c r="AZ29" s="154"/>
      <c r="BA29" s="154"/>
      <c r="BB29" s="279"/>
      <c r="BC29" s="279"/>
      <c r="BD29" s="155"/>
      <c r="BE29" s="152">
        <v>33</v>
      </c>
      <c r="BF29" s="153">
        <v>42</v>
      </c>
      <c r="BG29" s="153">
        <v>18</v>
      </c>
      <c r="BH29" s="153">
        <v>21</v>
      </c>
      <c r="BI29" s="154">
        <v>32</v>
      </c>
      <c r="BJ29" s="154">
        <v>18</v>
      </c>
      <c r="BK29" s="279">
        <v>15</v>
      </c>
      <c r="BL29" s="279">
        <v>16</v>
      </c>
      <c r="BM29" s="155"/>
      <c r="BN29" s="152"/>
      <c r="BO29" s="153"/>
      <c r="BP29" s="153"/>
      <c r="BQ29" s="153"/>
      <c r="BR29" s="154"/>
      <c r="BS29" s="154"/>
      <c r="BT29" s="279"/>
      <c r="BU29" s="279"/>
      <c r="BV29" s="155"/>
      <c r="BW29" s="152">
        <v>176</v>
      </c>
      <c r="BX29" s="153">
        <v>200</v>
      </c>
      <c r="BY29" s="153">
        <v>236</v>
      </c>
      <c r="BZ29" s="153">
        <v>218</v>
      </c>
      <c r="CA29" s="154">
        <v>146</v>
      </c>
      <c r="CB29" s="154">
        <v>196</v>
      </c>
      <c r="CC29" s="279">
        <v>279</v>
      </c>
      <c r="CD29" s="279">
        <v>244</v>
      </c>
      <c r="CE29" s="155"/>
      <c r="CF29" s="152">
        <v>15</v>
      </c>
      <c r="CG29" s="153">
        <v>16</v>
      </c>
      <c r="CH29" s="153">
        <v>15</v>
      </c>
      <c r="CI29" s="153">
        <v>18</v>
      </c>
      <c r="CJ29" s="154">
        <v>12</v>
      </c>
      <c r="CK29" s="154">
        <v>16</v>
      </c>
      <c r="CL29" s="279">
        <v>5</v>
      </c>
      <c r="CM29" s="279">
        <v>8</v>
      </c>
      <c r="CN29" s="155"/>
      <c r="CO29" s="152">
        <v>2</v>
      </c>
      <c r="CP29" s="153">
        <v>1</v>
      </c>
      <c r="CQ29" s="153">
        <v>5</v>
      </c>
      <c r="CR29" s="153">
        <v>5</v>
      </c>
      <c r="CS29" s="154">
        <v>2</v>
      </c>
      <c r="CT29" s="154">
        <v>1</v>
      </c>
      <c r="CU29" s="279">
        <v>1</v>
      </c>
      <c r="CV29" s="279">
        <v>2</v>
      </c>
      <c r="CW29" s="155"/>
      <c r="CX29" s="152">
        <v>3157</v>
      </c>
      <c r="CY29" s="153">
        <v>2970</v>
      </c>
      <c r="CZ29" s="153">
        <v>3175</v>
      </c>
      <c r="DA29" s="153">
        <v>3157</v>
      </c>
      <c r="DB29" s="154">
        <v>2751</v>
      </c>
      <c r="DC29" s="154">
        <v>1793</v>
      </c>
      <c r="DD29" s="279">
        <v>1481</v>
      </c>
      <c r="DE29" s="279">
        <v>1207</v>
      </c>
      <c r="DF29" s="155"/>
      <c r="DG29" s="152">
        <v>38</v>
      </c>
      <c r="DH29" s="153">
        <v>33</v>
      </c>
      <c r="DI29" s="153">
        <v>39</v>
      </c>
      <c r="DJ29" s="153">
        <v>18</v>
      </c>
      <c r="DK29" s="154">
        <v>7</v>
      </c>
      <c r="DL29" s="154">
        <v>5</v>
      </c>
      <c r="DM29" s="279">
        <v>7</v>
      </c>
      <c r="DN29" s="279">
        <v>14</v>
      </c>
      <c r="DO29" s="155"/>
      <c r="DP29" s="152">
        <v>332</v>
      </c>
      <c r="DQ29" s="153">
        <v>160</v>
      </c>
      <c r="DR29" s="153">
        <v>125</v>
      </c>
      <c r="DS29" s="153">
        <v>114</v>
      </c>
      <c r="DT29" s="154">
        <v>154</v>
      </c>
      <c r="DU29" s="154">
        <v>97</v>
      </c>
      <c r="DV29" s="279">
        <v>42</v>
      </c>
      <c r="DW29" s="279">
        <v>46</v>
      </c>
      <c r="DX29" s="155"/>
      <c r="DY29" s="152">
        <v>468</v>
      </c>
      <c r="DZ29" s="153">
        <v>483</v>
      </c>
      <c r="EA29" s="153">
        <v>669</v>
      </c>
      <c r="EB29" s="153">
        <v>638</v>
      </c>
      <c r="EC29" s="154">
        <v>771</v>
      </c>
      <c r="ED29" s="154">
        <v>474</v>
      </c>
      <c r="EE29" s="279">
        <v>311</v>
      </c>
      <c r="EF29" s="279">
        <v>312</v>
      </c>
      <c r="EG29" s="155"/>
      <c r="EH29" s="152">
        <v>51</v>
      </c>
      <c r="EI29" s="153">
        <v>40</v>
      </c>
      <c r="EJ29" s="153">
        <v>43</v>
      </c>
      <c r="EK29" s="153">
        <v>42</v>
      </c>
      <c r="EL29" s="154">
        <v>32</v>
      </c>
      <c r="EM29" s="154">
        <v>19</v>
      </c>
      <c r="EN29" s="279">
        <v>19</v>
      </c>
      <c r="EO29" s="279">
        <v>23</v>
      </c>
      <c r="EP29" s="155"/>
      <c r="EQ29" s="152">
        <v>7</v>
      </c>
      <c r="ER29" s="153">
        <v>9</v>
      </c>
      <c r="ES29" s="153">
        <v>7</v>
      </c>
      <c r="ET29" s="153">
        <v>14</v>
      </c>
      <c r="EU29" s="154">
        <v>17</v>
      </c>
      <c r="EV29" s="154">
        <v>18</v>
      </c>
      <c r="EW29" s="279">
        <v>16</v>
      </c>
      <c r="EX29" s="279">
        <v>10</v>
      </c>
      <c r="EY29" s="155"/>
      <c r="EZ29" s="152">
        <v>5</v>
      </c>
      <c r="FA29" s="153">
        <v>8</v>
      </c>
      <c r="FB29" s="153">
        <v>6</v>
      </c>
      <c r="FC29" s="153">
        <v>9</v>
      </c>
      <c r="FD29" s="154">
        <v>7</v>
      </c>
      <c r="FE29" s="154">
        <v>2</v>
      </c>
      <c r="FF29" s="279">
        <v>5</v>
      </c>
      <c r="FG29" s="279">
        <v>8</v>
      </c>
      <c r="FH29" s="155"/>
      <c r="FI29" s="152">
        <v>220</v>
      </c>
      <c r="FJ29" s="153">
        <v>289</v>
      </c>
      <c r="FK29" s="153">
        <v>254</v>
      </c>
      <c r="FL29" s="153">
        <v>142</v>
      </c>
      <c r="FM29" s="154">
        <v>137</v>
      </c>
      <c r="FN29" s="154">
        <v>130</v>
      </c>
      <c r="FO29" s="279">
        <v>126</v>
      </c>
      <c r="FP29" s="279">
        <v>124</v>
      </c>
      <c r="FQ29" s="155"/>
      <c r="FR29" s="152">
        <v>14</v>
      </c>
      <c r="FS29" s="153">
        <v>21</v>
      </c>
      <c r="FT29" s="153">
        <v>6</v>
      </c>
      <c r="FU29" s="153">
        <v>8</v>
      </c>
      <c r="FV29" s="154">
        <v>4</v>
      </c>
      <c r="FW29" s="154">
        <v>15</v>
      </c>
      <c r="FX29" s="279">
        <v>2</v>
      </c>
      <c r="FY29" s="279">
        <v>5</v>
      </c>
      <c r="FZ29" s="155"/>
      <c r="GA29" s="152">
        <v>40</v>
      </c>
      <c r="GB29" s="153">
        <v>41</v>
      </c>
      <c r="GC29" s="153">
        <v>22</v>
      </c>
      <c r="GD29" s="153">
        <v>19</v>
      </c>
      <c r="GE29" s="154">
        <v>19</v>
      </c>
      <c r="GF29" s="154">
        <v>21</v>
      </c>
      <c r="GG29" s="279">
        <v>32</v>
      </c>
      <c r="GH29" s="279">
        <v>20</v>
      </c>
      <c r="GI29" s="155"/>
      <c r="GJ29" s="152">
        <v>3975</v>
      </c>
      <c r="GK29" s="153">
        <v>3849</v>
      </c>
      <c r="GL29" s="153">
        <v>4020</v>
      </c>
      <c r="GM29" s="153">
        <v>3861</v>
      </c>
      <c r="GN29" s="154">
        <v>3315</v>
      </c>
      <c r="GO29" s="154">
        <v>2415</v>
      </c>
      <c r="GP29" s="279">
        <v>2171</v>
      </c>
      <c r="GQ29" s="279">
        <v>1852</v>
      </c>
      <c r="GR29" s="155"/>
      <c r="GS29" s="152">
        <v>1464</v>
      </c>
      <c r="GT29" s="153">
        <v>1239</v>
      </c>
      <c r="GU29" s="153">
        <v>1135</v>
      </c>
      <c r="GV29" s="153">
        <v>864</v>
      </c>
      <c r="GW29" s="154">
        <v>484</v>
      </c>
      <c r="GX29" s="154">
        <v>455</v>
      </c>
      <c r="GY29" s="279">
        <v>416</v>
      </c>
      <c r="GZ29" s="279">
        <v>406</v>
      </c>
      <c r="HA29" s="155"/>
      <c r="HB29" s="152">
        <v>9</v>
      </c>
      <c r="HC29" s="153">
        <v>3</v>
      </c>
      <c r="HD29" s="153">
        <v>9</v>
      </c>
      <c r="HE29" s="153">
        <v>8</v>
      </c>
      <c r="HF29" s="154">
        <v>7</v>
      </c>
      <c r="HG29" s="154">
        <v>5</v>
      </c>
      <c r="HH29" s="279">
        <v>3</v>
      </c>
      <c r="HI29" s="279">
        <v>11</v>
      </c>
      <c r="HJ29" s="155"/>
      <c r="HK29" s="152">
        <v>7</v>
      </c>
      <c r="HL29" s="153">
        <v>7</v>
      </c>
      <c r="HM29" s="153">
        <v>3</v>
      </c>
      <c r="HN29" s="153">
        <v>4</v>
      </c>
      <c r="HO29" s="154">
        <v>5</v>
      </c>
      <c r="HP29" s="154">
        <v>6</v>
      </c>
      <c r="HQ29" s="279">
        <v>1</v>
      </c>
      <c r="HR29" s="279">
        <v>8</v>
      </c>
      <c r="HS29" s="155"/>
      <c r="HT29" s="152">
        <v>1980</v>
      </c>
      <c r="HU29" s="153">
        <v>1721</v>
      </c>
      <c r="HV29" s="153">
        <v>1534</v>
      </c>
      <c r="HW29" s="153">
        <v>1242</v>
      </c>
      <c r="HX29" s="154">
        <v>885</v>
      </c>
      <c r="HY29" s="154">
        <v>800</v>
      </c>
      <c r="HZ29" s="279">
        <v>712</v>
      </c>
      <c r="IA29" s="279">
        <v>755</v>
      </c>
      <c r="IB29" s="155"/>
      <c r="IC29" s="152">
        <v>7676</v>
      </c>
      <c r="ID29" s="153">
        <v>7994</v>
      </c>
      <c r="IE29" s="153">
        <v>8019</v>
      </c>
      <c r="IF29" s="153">
        <v>6403</v>
      </c>
      <c r="IG29" s="154">
        <v>5278</v>
      </c>
      <c r="IH29" s="154">
        <v>4070</v>
      </c>
      <c r="II29" s="279">
        <v>3712</v>
      </c>
      <c r="IJ29" s="279">
        <v>3355</v>
      </c>
      <c r="IK29" s="155"/>
    </row>
    <row r="30" spans="1:245" x14ac:dyDescent="0.2">
      <c r="A30" s="961"/>
      <c r="B30" s="151" t="s">
        <v>653</v>
      </c>
      <c r="C30" s="152"/>
      <c r="D30" s="153"/>
      <c r="E30" s="153"/>
      <c r="F30" s="153"/>
      <c r="G30" s="154"/>
      <c r="H30" s="154"/>
      <c r="I30" s="279"/>
      <c r="J30" s="279"/>
      <c r="K30" s="155"/>
      <c r="L30" s="152"/>
      <c r="M30" s="153"/>
      <c r="N30" s="153"/>
      <c r="O30" s="153"/>
      <c r="P30" s="154"/>
      <c r="Q30" s="154"/>
      <c r="R30" s="279"/>
      <c r="S30" s="279"/>
      <c r="T30" s="155"/>
      <c r="U30" s="152"/>
      <c r="V30" s="153"/>
      <c r="W30" s="153"/>
      <c r="X30" s="153"/>
      <c r="Y30" s="154"/>
      <c r="Z30" s="154"/>
      <c r="AA30" s="279"/>
      <c r="AB30" s="279"/>
      <c r="AC30" s="155"/>
      <c r="AD30" s="152">
        <v>90</v>
      </c>
      <c r="AE30" s="153">
        <v>78</v>
      </c>
      <c r="AF30" s="153">
        <v>47</v>
      </c>
      <c r="AG30" s="153">
        <v>56</v>
      </c>
      <c r="AH30" s="154">
        <v>69</v>
      </c>
      <c r="AI30" s="154">
        <v>69</v>
      </c>
      <c r="AJ30" s="279">
        <v>62</v>
      </c>
      <c r="AK30" s="279">
        <v>40</v>
      </c>
      <c r="AL30" s="155"/>
      <c r="AM30" s="152">
        <v>48</v>
      </c>
      <c r="AN30" s="153">
        <v>41</v>
      </c>
      <c r="AO30" s="153">
        <v>22</v>
      </c>
      <c r="AP30" s="153">
        <v>20</v>
      </c>
      <c r="AQ30" s="154">
        <v>33</v>
      </c>
      <c r="AR30" s="154">
        <v>27</v>
      </c>
      <c r="AS30" s="279">
        <v>29</v>
      </c>
      <c r="AT30" s="279">
        <v>14</v>
      </c>
      <c r="AU30" s="155"/>
      <c r="AV30" s="152"/>
      <c r="AW30" s="153"/>
      <c r="AX30" s="153"/>
      <c r="AY30" s="153"/>
      <c r="AZ30" s="154"/>
      <c r="BA30" s="154"/>
      <c r="BB30" s="279"/>
      <c r="BC30" s="279"/>
      <c r="BD30" s="155"/>
      <c r="BE30" s="152">
        <v>8</v>
      </c>
      <c r="BF30" s="153">
        <v>7</v>
      </c>
      <c r="BG30" s="153">
        <v>9</v>
      </c>
      <c r="BH30" s="153">
        <v>17</v>
      </c>
      <c r="BI30" s="154">
        <v>25</v>
      </c>
      <c r="BJ30" s="154">
        <v>9</v>
      </c>
      <c r="BK30" s="279">
        <v>9</v>
      </c>
      <c r="BL30" s="279">
        <v>16</v>
      </c>
      <c r="BM30" s="155"/>
      <c r="BN30" s="152"/>
      <c r="BO30" s="153"/>
      <c r="BP30" s="153"/>
      <c r="BQ30" s="153"/>
      <c r="BR30" s="154"/>
      <c r="BS30" s="154"/>
      <c r="BT30" s="279"/>
      <c r="BU30" s="279"/>
      <c r="BV30" s="155"/>
      <c r="BW30" s="152">
        <v>62</v>
      </c>
      <c r="BX30" s="153">
        <v>81</v>
      </c>
      <c r="BY30" s="153">
        <v>38</v>
      </c>
      <c r="BZ30" s="153">
        <v>62</v>
      </c>
      <c r="CA30" s="154">
        <v>61</v>
      </c>
      <c r="CB30" s="154">
        <v>58</v>
      </c>
      <c r="CC30" s="279">
        <v>48</v>
      </c>
      <c r="CD30" s="279">
        <v>52</v>
      </c>
      <c r="CE30" s="155"/>
      <c r="CF30" s="152">
        <v>2</v>
      </c>
      <c r="CG30" s="153">
        <v>6</v>
      </c>
      <c r="CH30" s="153">
        <v>3</v>
      </c>
      <c r="CI30" s="153">
        <v>2</v>
      </c>
      <c r="CJ30" s="154">
        <v>2</v>
      </c>
      <c r="CK30" s="154">
        <v>6</v>
      </c>
      <c r="CL30" s="279">
        <v>6</v>
      </c>
      <c r="CM30" s="279"/>
      <c r="CN30" s="155"/>
      <c r="CO30" s="152">
        <v>2</v>
      </c>
      <c r="CP30" s="153"/>
      <c r="CQ30" s="153"/>
      <c r="CR30" s="153">
        <v>3</v>
      </c>
      <c r="CS30" s="154">
        <v>5</v>
      </c>
      <c r="CT30" s="154"/>
      <c r="CU30" s="279"/>
      <c r="CV30" s="279"/>
      <c r="CW30" s="155"/>
      <c r="CX30" s="152">
        <v>768</v>
      </c>
      <c r="CY30" s="153">
        <v>873</v>
      </c>
      <c r="CZ30" s="153">
        <v>900</v>
      </c>
      <c r="DA30" s="153">
        <v>664</v>
      </c>
      <c r="DB30" s="154">
        <v>686</v>
      </c>
      <c r="DC30" s="154">
        <v>395</v>
      </c>
      <c r="DD30" s="279">
        <v>314</v>
      </c>
      <c r="DE30" s="279">
        <v>254</v>
      </c>
      <c r="DF30" s="155"/>
      <c r="DG30" s="152">
        <v>4</v>
      </c>
      <c r="DH30" s="153">
        <v>9</v>
      </c>
      <c r="DI30" s="153">
        <v>4</v>
      </c>
      <c r="DJ30" s="153"/>
      <c r="DK30" s="154">
        <v>3</v>
      </c>
      <c r="DL30" s="154"/>
      <c r="DM30" s="279">
        <v>1</v>
      </c>
      <c r="DN30" s="279">
        <v>1</v>
      </c>
      <c r="DO30" s="155"/>
      <c r="DP30" s="152">
        <v>44</v>
      </c>
      <c r="DQ30" s="153">
        <v>30</v>
      </c>
      <c r="DR30" s="153">
        <v>17</v>
      </c>
      <c r="DS30" s="153">
        <v>17</v>
      </c>
      <c r="DT30" s="154">
        <v>19</v>
      </c>
      <c r="DU30" s="154">
        <v>5</v>
      </c>
      <c r="DV30" s="279">
        <v>4</v>
      </c>
      <c r="DW30" s="279">
        <v>1</v>
      </c>
      <c r="DX30" s="155"/>
      <c r="DY30" s="152">
        <v>98</v>
      </c>
      <c r="DZ30" s="153">
        <v>85</v>
      </c>
      <c r="EA30" s="153">
        <v>106</v>
      </c>
      <c r="EB30" s="153">
        <v>99</v>
      </c>
      <c r="EC30" s="154">
        <v>98</v>
      </c>
      <c r="ED30" s="154">
        <v>119</v>
      </c>
      <c r="EE30" s="279">
        <v>68</v>
      </c>
      <c r="EF30" s="279">
        <v>55</v>
      </c>
      <c r="EG30" s="155"/>
      <c r="EH30" s="152">
        <v>12</v>
      </c>
      <c r="EI30" s="153">
        <v>9</v>
      </c>
      <c r="EJ30" s="153">
        <v>9</v>
      </c>
      <c r="EK30" s="153">
        <v>5</v>
      </c>
      <c r="EL30" s="154">
        <v>4</v>
      </c>
      <c r="EM30" s="154">
        <v>3</v>
      </c>
      <c r="EN30" s="279">
        <v>1</v>
      </c>
      <c r="EO30" s="279">
        <v>1</v>
      </c>
      <c r="EP30" s="155"/>
      <c r="EQ30" s="152">
        <v>1</v>
      </c>
      <c r="ER30" s="153">
        <v>2</v>
      </c>
      <c r="ES30" s="153">
        <v>5</v>
      </c>
      <c r="ET30" s="153"/>
      <c r="EU30" s="154">
        <v>5</v>
      </c>
      <c r="EV30" s="154">
        <v>2</v>
      </c>
      <c r="EW30" s="279">
        <v>2</v>
      </c>
      <c r="EX30" s="279">
        <v>2</v>
      </c>
      <c r="EY30" s="155"/>
      <c r="EZ30" s="152">
        <v>5</v>
      </c>
      <c r="FA30" s="153">
        <v>4</v>
      </c>
      <c r="FB30" s="153">
        <v>2</v>
      </c>
      <c r="FC30" s="153">
        <v>6</v>
      </c>
      <c r="FD30" s="154">
        <v>3</v>
      </c>
      <c r="FE30" s="154"/>
      <c r="FF30" s="279"/>
      <c r="FG30" s="279"/>
      <c r="FH30" s="155"/>
      <c r="FI30" s="152">
        <v>58</v>
      </c>
      <c r="FJ30" s="153">
        <v>63</v>
      </c>
      <c r="FK30" s="153">
        <v>42</v>
      </c>
      <c r="FL30" s="153">
        <v>18</v>
      </c>
      <c r="FM30" s="154">
        <v>19</v>
      </c>
      <c r="FN30" s="154">
        <v>26</v>
      </c>
      <c r="FO30" s="279">
        <v>22</v>
      </c>
      <c r="FP30" s="279">
        <v>24</v>
      </c>
      <c r="FQ30" s="155"/>
      <c r="FR30" s="152">
        <v>7</v>
      </c>
      <c r="FS30" s="153">
        <v>1</v>
      </c>
      <c r="FT30" s="153">
        <v>4</v>
      </c>
      <c r="FU30" s="153">
        <v>7</v>
      </c>
      <c r="FV30" s="154">
        <v>2</v>
      </c>
      <c r="FW30" s="154">
        <v>3</v>
      </c>
      <c r="FX30" s="279">
        <v>2</v>
      </c>
      <c r="FY30" s="279">
        <v>4</v>
      </c>
      <c r="FZ30" s="155"/>
      <c r="GA30" s="152">
        <v>11</v>
      </c>
      <c r="GB30" s="153">
        <v>11</v>
      </c>
      <c r="GC30" s="153">
        <v>5</v>
      </c>
      <c r="GD30" s="153">
        <v>9</v>
      </c>
      <c r="GE30" s="154">
        <v>12</v>
      </c>
      <c r="GF30" s="154">
        <v>3</v>
      </c>
      <c r="GG30" s="279">
        <v>11</v>
      </c>
      <c r="GH30" s="279">
        <v>4</v>
      </c>
      <c r="GI30" s="155"/>
      <c r="GJ30" s="152">
        <v>1026</v>
      </c>
      <c r="GK30" s="153">
        <v>1135</v>
      </c>
      <c r="GL30" s="153">
        <v>1064</v>
      </c>
      <c r="GM30" s="153">
        <v>849</v>
      </c>
      <c r="GN30" s="154">
        <v>893</v>
      </c>
      <c r="GO30" s="154">
        <v>574</v>
      </c>
      <c r="GP30" s="279">
        <v>477</v>
      </c>
      <c r="GQ30" s="279">
        <v>397</v>
      </c>
      <c r="GR30" s="155"/>
      <c r="GS30" s="152">
        <v>329</v>
      </c>
      <c r="GT30" s="153">
        <v>340</v>
      </c>
      <c r="GU30" s="153">
        <v>274</v>
      </c>
      <c r="GV30" s="153">
        <v>200</v>
      </c>
      <c r="GW30" s="154">
        <v>122</v>
      </c>
      <c r="GX30" s="154">
        <v>83</v>
      </c>
      <c r="GY30" s="279">
        <v>77</v>
      </c>
      <c r="GZ30" s="279">
        <v>85</v>
      </c>
      <c r="HA30" s="155"/>
      <c r="HB30" s="152">
        <v>2</v>
      </c>
      <c r="HC30" s="153">
        <v>4</v>
      </c>
      <c r="HD30" s="153">
        <v>3</v>
      </c>
      <c r="HE30" s="153"/>
      <c r="HF30" s="154">
        <v>1</v>
      </c>
      <c r="HG30" s="154">
        <v>1</v>
      </c>
      <c r="HH30" s="279"/>
      <c r="HI30" s="279"/>
      <c r="HJ30" s="155"/>
      <c r="HK30" s="152">
        <v>4</v>
      </c>
      <c r="HL30" s="153">
        <v>2</v>
      </c>
      <c r="HM30" s="153"/>
      <c r="HN30" s="153"/>
      <c r="HO30" s="154"/>
      <c r="HP30" s="154">
        <v>1</v>
      </c>
      <c r="HQ30" s="279"/>
      <c r="HR30" s="279">
        <v>1</v>
      </c>
      <c r="HS30" s="155"/>
      <c r="HT30" s="152">
        <v>472</v>
      </c>
      <c r="HU30" s="153">
        <v>450</v>
      </c>
      <c r="HV30" s="153">
        <v>354</v>
      </c>
      <c r="HW30" s="153">
        <v>280</v>
      </c>
      <c r="HX30" s="154">
        <v>222</v>
      </c>
      <c r="HY30" s="154">
        <v>176</v>
      </c>
      <c r="HZ30" s="279">
        <v>170</v>
      </c>
      <c r="IA30" s="279">
        <v>168</v>
      </c>
      <c r="IB30" s="155"/>
      <c r="IC30" s="152">
        <v>1852</v>
      </c>
      <c r="ID30" s="153">
        <v>2282</v>
      </c>
      <c r="IE30" s="153">
        <v>1832</v>
      </c>
      <c r="IF30" s="153">
        <v>1333</v>
      </c>
      <c r="IG30" s="154">
        <v>1286</v>
      </c>
      <c r="IH30" s="154">
        <v>932</v>
      </c>
      <c r="II30" s="279">
        <v>846</v>
      </c>
      <c r="IJ30" s="279">
        <v>669</v>
      </c>
      <c r="IK30" s="155"/>
    </row>
    <row r="31" spans="1:245" x14ac:dyDescent="0.2">
      <c r="A31" s="961"/>
      <c r="B31" s="151" t="s">
        <v>654</v>
      </c>
      <c r="C31" s="152"/>
      <c r="D31" s="153"/>
      <c r="E31" s="153"/>
      <c r="F31" s="153"/>
      <c r="G31" s="154"/>
      <c r="H31" s="154"/>
      <c r="I31" s="279"/>
      <c r="J31" s="279"/>
      <c r="K31" s="155"/>
      <c r="L31" s="152"/>
      <c r="M31" s="153"/>
      <c r="N31" s="153"/>
      <c r="O31" s="153"/>
      <c r="P31" s="154"/>
      <c r="Q31" s="154"/>
      <c r="R31" s="279"/>
      <c r="S31" s="279"/>
      <c r="T31" s="155"/>
      <c r="U31" s="152"/>
      <c r="V31" s="153"/>
      <c r="W31" s="153"/>
      <c r="X31" s="153"/>
      <c r="Y31" s="154"/>
      <c r="Z31" s="154"/>
      <c r="AA31" s="279"/>
      <c r="AB31" s="279"/>
      <c r="AC31" s="155"/>
      <c r="AD31" s="152">
        <v>44</v>
      </c>
      <c r="AE31" s="153">
        <v>37</v>
      </c>
      <c r="AF31" s="153">
        <v>23</v>
      </c>
      <c r="AG31" s="153">
        <v>28</v>
      </c>
      <c r="AH31" s="154">
        <v>30</v>
      </c>
      <c r="AI31" s="154">
        <v>22</v>
      </c>
      <c r="AJ31" s="279">
        <v>14</v>
      </c>
      <c r="AK31" s="279">
        <v>12</v>
      </c>
      <c r="AL31" s="155"/>
      <c r="AM31" s="152">
        <v>18</v>
      </c>
      <c r="AN31" s="153">
        <v>23</v>
      </c>
      <c r="AO31" s="153">
        <v>10</v>
      </c>
      <c r="AP31" s="153">
        <v>12</v>
      </c>
      <c r="AQ31" s="154">
        <v>11</v>
      </c>
      <c r="AR31" s="154">
        <v>10</v>
      </c>
      <c r="AS31" s="279">
        <v>6</v>
      </c>
      <c r="AT31" s="279">
        <v>6</v>
      </c>
      <c r="AU31" s="155"/>
      <c r="AV31" s="152"/>
      <c r="AW31" s="153"/>
      <c r="AX31" s="153"/>
      <c r="AY31" s="153"/>
      <c r="AZ31" s="154"/>
      <c r="BA31" s="154"/>
      <c r="BB31" s="279"/>
      <c r="BC31" s="279"/>
      <c r="BD31" s="155"/>
      <c r="BE31" s="152">
        <v>18</v>
      </c>
      <c r="BF31" s="153">
        <v>3</v>
      </c>
      <c r="BG31" s="153"/>
      <c r="BH31" s="153">
        <v>1</v>
      </c>
      <c r="BI31" s="154">
        <v>1</v>
      </c>
      <c r="BJ31" s="154"/>
      <c r="BK31" s="279">
        <v>1</v>
      </c>
      <c r="BL31" s="279"/>
      <c r="BM31" s="155"/>
      <c r="BN31" s="152"/>
      <c r="BO31" s="153"/>
      <c r="BP31" s="153"/>
      <c r="BQ31" s="153"/>
      <c r="BR31" s="154"/>
      <c r="BS31" s="154"/>
      <c r="BT31" s="279"/>
      <c r="BU31" s="279"/>
      <c r="BV31" s="155"/>
      <c r="BW31" s="152">
        <v>28</v>
      </c>
      <c r="BX31" s="153">
        <v>21</v>
      </c>
      <c r="BY31" s="153">
        <v>13</v>
      </c>
      <c r="BZ31" s="153">
        <v>16</v>
      </c>
      <c r="CA31" s="154">
        <v>22</v>
      </c>
      <c r="CB31" s="154">
        <v>22</v>
      </c>
      <c r="CC31" s="279">
        <v>23</v>
      </c>
      <c r="CD31" s="279">
        <v>46</v>
      </c>
      <c r="CE31" s="155"/>
      <c r="CF31" s="152">
        <v>4</v>
      </c>
      <c r="CG31" s="153">
        <v>1</v>
      </c>
      <c r="CH31" s="153">
        <v>1</v>
      </c>
      <c r="CI31" s="153">
        <v>3</v>
      </c>
      <c r="CJ31" s="154">
        <v>1</v>
      </c>
      <c r="CK31" s="154">
        <v>2</v>
      </c>
      <c r="CL31" s="279">
        <v>2</v>
      </c>
      <c r="CM31" s="279">
        <v>4</v>
      </c>
      <c r="CN31" s="155"/>
      <c r="CO31" s="152">
        <v>2</v>
      </c>
      <c r="CP31" s="153">
        <v>4</v>
      </c>
      <c r="CQ31" s="153">
        <v>6</v>
      </c>
      <c r="CR31" s="153">
        <v>4</v>
      </c>
      <c r="CS31" s="154"/>
      <c r="CT31" s="154"/>
      <c r="CU31" s="279"/>
      <c r="CV31" s="279">
        <v>1</v>
      </c>
      <c r="CW31" s="155"/>
      <c r="CX31" s="152">
        <v>683</v>
      </c>
      <c r="CY31" s="153">
        <v>526</v>
      </c>
      <c r="CZ31" s="153">
        <v>532</v>
      </c>
      <c r="DA31" s="153">
        <v>448</v>
      </c>
      <c r="DB31" s="154">
        <v>420</v>
      </c>
      <c r="DC31" s="154">
        <v>241</v>
      </c>
      <c r="DD31" s="279">
        <v>160</v>
      </c>
      <c r="DE31" s="279">
        <v>172</v>
      </c>
      <c r="DF31" s="155"/>
      <c r="DG31" s="152">
        <v>2</v>
      </c>
      <c r="DH31" s="153"/>
      <c r="DI31" s="153">
        <v>1</v>
      </c>
      <c r="DJ31" s="153">
        <v>3</v>
      </c>
      <c r="DK31" s="154"/>
      <c r="DL31" s="154"/>
      <c r="DM31" s="279">
        <v>2</v>
      </c>
      <c r="DN31" s="279">
        <v>1</v>
      </c>
      <c r="DO31" s="155"/>
      <c r="DP31" s="152">
        <v>20</v>
      </c>
      <c r="DQ31" s="153">
        <v>4</v>
      </c>
      <c r="DR31" s="153">
        <v>22</v>
      </c>
      <c r="DS31" s="153">
        <v>18</v>
      </c>
      <c r="DT31" s="154">
        <v>15</v>
      </c>
      <c r="DU31" s="154">
        <v>4</v>
      </c>
      <c r="DV31" s="279">
        <v>9</v>
      </c>
      <c r="DW31" s="279">
        <v>3</v>
      </c>
      <c r="DX31" s="155"/>
      <c r="DY31" s="152">
        <v>122</v>
      </c>
      <c r="DZ31" s="153">
        <v>76</v>
      </c>
      <c r="EA31" s="153">
        <v>59</v>
      </c>
      <c r="EB31" s="153">
        <v>70</v>
      </c>
      <c r="EC31" s="154">
        <v>100</v>
      </c>
      <c r="ED31" s="154">
        <v>59</v>
      </c>
      <c r="EE31" s="279">
        <v>33</v>
      </c>
      <c r="EF31" s="279">
        <v>38</v>
      </c>
      <c r="EG31" s="155"/>
      <c r="EH31" s="152">
        <v>4</v>
      </c>
      <c r="EI31" s="153">
        <v>1</v>
      </c>
      <c r="EJ31" s="153">
        <v>1</v>
      </c>
      <c r="EK31" s="153">
        <v>3</v>
      </c>
      <c r="EL31" s="154">
        <v>2</v>
      </c>
      <c r="EM31" s="154">
        <v>1</v>
      </c>
      <c r="EN31" s="279">
        <v>1</v>
      </c>
      <c r="EO31" s="279"/>
      <c r="EP31" s="155"/>
      <c r="EQ31" s="152"/>
      <c r="ER31" s="153">
        <v>1</v>
      </c>
      <c r="ES31" s="153">
        <v>1</v>
      </c>
      <c r="ET31" s="153">
        <v>1</v>
      </c>
      <c r="EU31" s="154">
        <v>5</v>
      </c>
      <c r="EV31" s="154"/>
      <c r="EW31" s="279">
        <v>3</v>
      </c>
      <c r="EX31" s="279">
        <v>4</v>
      </c>
      <c r="EY31" s="155"/>
      <c r="EZ31" s="152">
        <v>1</v>
      </c>
      <c r="FA31" s="153">
        <v>1</v>
      </c>
      <c r="FB31" s="153">
        <v>2</v>
      </c>
      <c r="FC31" s="153">
        <v>3</v>
      </c>
      <c r="FD31" s="154"/>
      <c r="FE31" s="154"/>
      <c r="FF31" s="279"/>
      <c r="FG31" s="279"/>
      <c r="FH31" s="155"/>
      <c r="FI31" s="152">
        <v>35</v>
      </c>
      <c r="FJ31" s="153">
        <v>49</v>
      </c>
      <c r="FK31" s="153">
        <v>15</v>
      </c>
      <c r="FL31" s="153">
        <v>37</v>
      </c>
      <c r="FM31" s="154">
        <v>12</v>
      </c>
      <c r="FN31" s="154">
        <v>14</v>
      </c>
      <c r="FO31" s="279">
        <v>24</v>
      </c>
      <c r="FP31" s="279">
        <v>15</v>
      </c>
      <c r="FQ31" s="155"/>
      <c r="FR31" s="152">
        <v>3</v>
      </c>
      <c r="FS31" s="153">
        <v>4</v>
      </c>
      <c r="FT31" s="153">
        <v>1</v>
      </c>
      <c r="FU31" s="153"/>
      <c r="FV31" s="154">
        <v>2</v>
      </c>
      <c r="FW31" s="154">
        <v>1</v>
      </c>
      <c r="FX31" s="279"/>
      <c r="FY31" s="279"/>
      <c r="FZ31" s="155"/>
      <c r="GA31" s="152">
        <v>12</v>
      </c>
      <c r="GB31" s="153">
        <v>7</v>
      </c>
      <c r="GC31" s="153">
        <v>5</v>
      </c>
      <c r="GD31" s="153"/>
      <c r="GE31" s="154">
        <v>3</v>
      </c>
      <c r="GF31" s="154">
        <v>4</v>
      </c>
      <c r="GG31" s="279">
        <v>3</v>
      </c>
      <c r="GH31" s="279">
        <v>6</v>
      </c>
      <c r="GI31" s="155"/>
      <c r="GJ31" s="152">
        <v>834</v>
      </c>
      <c r="GK31" s="153">
        <v>655</v>
      </c>
      <c r="GL31" s="153">
        <v>600</v>
      </c>
      <c r="GM31" s="153">
        <v>544</v>
      </c>
      <c r="GN31" s="154">
        <v>498</v>
      </c>
      <c r="GO31" s="154">
        <v>307</v>
      </c>
      <c r="GP31" s="279">
        <v>231</v>
      </c>
      <c r="GQ31" s="279">
        <v>260</v>
      </c>
      <c r="GR31" s="155"/>
      <c r="GS31" s="152">
        <v>199</v>
      </c>
      <c r="GT31" s="153">
        <v>162</v>
      </c>
      <c r="GU31" s="153">
        <v>135</v>
      </c>
      <c r="GV31" s="153">
        <v>112</v>
      </c>
      <c r="GW31" s="154">
        <v>107</v>
      </c>
      <c r="GX31" s="154">
        <v>45</v>
      </c>
      <c r="GY31" s="279">
        <v>50</v>
      </c>
      <c r="GZ31" s="279">
        <v>61</v>
      </c>
      <c r="HA31" s="155"/>
      <c r="HB31" s="152"/>
      <c r="HC31" s="153">
        <v>1</v>
      </c>
      <c r="HD31" s="153">
        <v>1</v>
      </c>
      <c r="HE31" s="153">
        <v>2</v>
      </c>
      <c r="HF31" s="154">
        <v>3</v>
      </c>
      <c r="HG31" s="154"/>
      <c r="HH31" s="279">
        <v>1</v>
      </c>
      <c r="HI31" s="279"/>
      <c r="HJ31" s="155"/>
      <c r="HK31" s="152">
        <v>2</v>
      </c>
      <c r="HL31" s="153">
        <v>1</v>
      </c>
      <c r="HM31" s="153">
        <v>1</v>
      </c>
      <c r="HN31" s="153"/>
      <c r="HO31" s="154">
        <v>1</v>
      </c>
      <c r="HP31" s="154">
        <v>1</v>
      </c>
      <c r="HQ31" s="279"/>
      <c r="HR31" s="279">
        <v>1</v>
      </c>
      <c r="HS31" s="155"/>
      <c r="HT31" s="152">
        <v>287</v>
      </c>
      <c r="HU31" s="153">
        <v>240</v>
      </c>
      <c r="HV31" s="153">
        <v>205</v>
      </c>
      <c r="HW31" s="153">
        <v>178</v>
      </c>
      <c r="HX31" s="154">
        <v>194</v>
      </c>
      <c r="HY31" s="154">
        <v>96</v>
      </c>
      <c r="HZ31" s="279">
        <v>154</v>
      </c>
      <c r="IA31" s="279">
        <v>152</v>
      </c>
      <c r="IB31" s="155"/>
      <c r="IC31" s="152">
        <v>1506</v>
      </c>
      <c r="ID31" s="153">
        <v>1192</v>
      </c>
      <c r="IE31" s="153">
        <v>1055</v>
      </c>
      <c r="IF31" s="153">
        <v>1016</v>
      </c>
      <c r="IG31" s="154">
        <v>783</v>
      </c>
      <c r="IH31" s="154">
        <v>569</v>
      </c>
      <c r="II31" s="279">
        <v>536</v>
      </c>
      <c r="IJ31" s="279">
        <v>473</v>
      </c>
      <c r="IK31" s="155"/>
    </row>
    <row r="32" spans="1:245" x14ac:dyDescent="0.2">
      <c r="A32" s="961"/>
      <c r="B32" s="151" t="s">
        <v>655</v>
      </c>
      <c r="C32" s="152"/>
      <c r="D32" s="153"/>
      <c r="E32" s="153"/>
      <c r="F32" s="153"/>
      <c r="G32" s="154"/>
      <c r="H32" s="154"/>
      <c r="I32" s="279"/>
      <c r="J32" s="279"/>
      <c r="K32" s="155"/>
      <c r="L32" s="152"/>
      <c r="M32" s="153"/>
      <c r="N32" s="153"/>
      <c r="O32" s="153"/>
      <c r="P32" s="154"/>
      <c r="Q32" s="154"/>
      <c r="R32" s="279"/>
      <c r="S32" s="279"/>
      <c r="T32" s="155"/>
      <c r="U32" s="152"/>
      <c r="V32" s="153"/>
      <c r="W32" s="153"/>
      <c r="X32" s="153"/>
      <c r="Y32" s="154"/>
      <c r="Z32" s="154"/>
      <c r="AA32" s="279"/>
      <c r="AB32" s="279"/>
      <c r="AC32" s="155"/>
      <c r="AD32" s="152">
        <v>93</v>
      </c>
      <c r="AE32" s="153">
        <v>71</v>
      </c>
      <c r="AF32" s="153">
        <v>73</v>
      </c>
      <c r="AG32" s="153">
        <v>79</v>
      </c>
      <c r="AH32" s="154">
        <v>66</v>
      </c>
      <c r="AI32" s="154">
        <v>48</v>
      </c>
      <c r="AJ32" s="279">
        <v>48</v>
      </c>
      <c r="AK32" s="279">
        <v>37</v>
      </c>
      <c r="AL32" s="155"/>
      <c r="AM32" s="152">
        <v>38</v>
      </c>
      <c r="AN32" s="153">
        <v>24</v>
      </c>
      <c r="AO32" s="153">
        <v>21</v>
      </c>
      <c r="AP32" s="153">
        <v>27</v>
      </c>
      <c r="AQ32" s="154">
        <v>30</v>
      </c>
      <c r="AR32" s="154">
        <v>22</v>
      </c>
      <c r="AS32" s="279">
        <v>23</v>
      </c>
      <c r="AT32" s="279">
        <v>16</v>
      </c>
      <c r="AU32" s="155"/>
      <c r="AV32" s="152"/>
      <c r="AW32" s="153"/>
      <c r="AX32" s="153"/>
      <c r="AY32" s="153"/>
      <c r="AZ32" s="154"/>
      <c r="BA32" s="154"/>
      <c r="BB32" s="279"/>
      <c r="BC32" s="279"/>
      <c r="BD32" s="155"/>
      <c r="BE32" s="152">
        <v>16</v>
      </c>
      <c r="BF32" s="153">
        <v>12</v>
      </c>
      <c r="BG32" s="153">
        <v>4</v>
      </c>
      <c r="BH32" s="153">
        <v>10</v>
      </c>
      <c r="BI32" s="154">
        <v>5</v>
      </c>
      <c r="BJ32" s="154">
        <v>9</v>
      </c>
      <c r="BK32" s="279">
        <v>11</v>
      </c>
      <c r="BL32" s="279">
        <v>5</v>
      </c>
      <c r="BM32" s="155"/>
      <c r="BN32" s="152"/>
      <c r="BO32" s="153">
        <v>2</v>
      </c>
      <c r="BP32" s="153"/>
      <c r="BQ32" s="153"/>
      <c r="BR32" s="154"/>
      <c r="BS32" s="154"/>
      <c r="BT32" s="279"/>
      <c r="BU32" s="279"/>
      <c r="BV32" s="155"/>
      <c r="BW32" s="152">
        <v>65</v>
      </c>
      <c r="BX32" s="153">
        <v>65</v>
      </c>
      <c r="BY32" s="153">
        <v>75</v>
      </c>
      <c r="BZ32" s="153">
        <v>65</v>
      </c>
      <c r="CA32" s="154">
        <v>51</v>
      </c>
      <c r="CB32" s="154">
        <v>25</v>
      </c>
      <c r="CC32" s="279">
        <v>50</v>
      </c>
      <c r="CD32" s="279">
        <v>58</v>
      </c>
      <c r="CE32" s="155"/>
      <c r="CF32" s="152">
        <v>2</v>
      </c>
      <c r="CG32" s="153">
        <v>14</v>
      </c>
      <c r="CH32" s="153">
        <v>6</v>
      </c>
      <c r="CI32" s="153">
        <v>4</v>
      </c>
      <c r="CJ32" s="154">
        <v>3</v>
      </c>
      <c r="CK32" s="154">
        <v>1</v>
      </c>
      <c r="CL32" s="279">
        <v>2</v>
      </c>
      <c r="CM32" s="279"/>
      <c r="CN32" s="155"/>
      <c r="CO32" s="152">
        <v>6</v>
      </c>
      <c r="CP32" s="153">
        <v>2</v>
      </c>
      <c r="CQ32" s="153"/>
      <c r="CR32" s="153">
        <v>2</v>
      </c>
      <c r="CS32" s="154">
        <v>1</v>
      </c>
      <c r="CT32" s="154">
        <v>1</v>
      </c>
      <c r="CU32" s="279">
        <v>1</v>
      </c>
      <c r="CV32" s="279"/>
      <c r="CW32" s="155"/>
      <c r="CX32" s="152">
        <v>869</v>
      </c>
      <c r="CY32" s="153">
        <v>871</v>
      </c>
      <c r="CZ32" s="153">
        <v>708</v>
      </c>
      <c r="DA32" s="153">
        <v>755</v>
      </c>
      <c r="DB32" s="154">
        <v>757</v>
      </c>
      <c r="DC32" s="154">
        <v>401</v>
      </c>
      <c r="DD32" s="279">
        <v>298</v>
      </c>
      <c r="DE32" s="279">
        <v>252</v>
      </c>
      <c r="DF32" s="155"/>
      <c r="DG32" s="152">
        <v>7</v>
      </c>
      <c r="DH32" s="153">
        <v>1</v>
      </c>
      <c r="DI32" s="153"/>
      <c r="DJ32" s="153">
        <v>7</v>
      </c>
      <c r="DK32" s="154"/>
      <c r="DL32" s="154">
        <v>3</v>
      </c>
      <c r="DM32" s="279">
        <v>2</v>
      </c>
      <c r="DN32" s="279"/>
      <c r="DO32" s="155"/>
      <c r="DP32" s="152">
        <v>9</v>
      </c>
      <c r="DQ32" s="153">
        <v>7</v>
      </c>
      <c r="DR32" s="153">
        <v>3</v>
      </c>
      <c r="DS32" s="153">
        <v>9</v>
      </c>
      <c r="DT32" s="154">
        <v>9</v>
      </c>
      <c r="DU32" s="154">
        <v>7</v>
      </c>
      <c r="DV32" s="279"/>
      <c r="DW32" s="279">
        <v>1</v>
      </c>
      <c r="DX32" s="155"/>
      <c r="DY32" s="152">
        <v>114</v>
      </c>
      <c r="DZ32" s="153">
        <v>108</v>
      </c>
      <c r="EA32" s="153">
        <v>111</v>
      </c>
      <c r="EB32" s="153">
        <v>113</v>
      </c>
      <c r="EC32" s="154">
        <v>154</v>
      </c>
      <c r="ED32" s="154">
        <v>90</v>
      </c>
      <c r="EE32" s="279">
        <v>72</v>
      </c>
      <c r="EF32" s="279">
        <v>45</v>
      </c>
      <c r="EG32" s="155"/>
      <c r="EH32" s="152">
        <v>8</v>
      </c>
      <c r="EI32" s="153">
        <v>13</v>
      </c>
      <c r="EJ32" s="153">
        <v>7</v>
      </c>
      <c r="EK32" s="153">
        <v>3</v>
      </c>
      <c r="EL32" s="154">
        <v>6</v>
      </c>
      <c r="EM32" s="154"/>
      <c r="EN32" s="279">
        <v>1</v>
      </c>
      <c r="EO32" s="279"/>
      <c r="EP32" s="155"/>
      <c r="EQ32" s="152">
        <v>2</v>
      </c>
      <c r="ER32" s="153"/>
      <c r="ES32" s="153">
        <v>2</v>
      </c>
      <c r="ET32" s="153"/>
      <c r="EU32" s="154">
        <v>5</v>
      </c>
      <c r="EV32" s="154">
        <v>2</v>
      </c>
      <c r="EW32" s="279"/>
      <c r="EX32" s="279">
        <v>1</v>
      </c>
      <c r="EY32" s="155"/>
      <c r="EZ32" s="152">
        <v>8</v>
      </c>
      <c r="FA32" s="153">
        <v>5</v>
      </c>
      <c r="FB32" s="153">
        <v>1</v>
      </c>
      <c r="FC32" s="153">
        <v>5</v>
      </c>
      <c r="FD32" s="154">
        <v>3</v>
      </c>
      <c r="FE32" s="154">
        <v>1</v>
      </c>
      <c r="FF32" s="279">
        <v>1</v>
      </c>
      <c r="FG32" s="279">
        <v>1</v>
      </c>
      <c r="FH32" s="155"/>
      <c r="FI32" s="152">
        <v>57</v>
      </c>
      <c r="FJ32" s="153">
        <v>57</v>
      </c>
      <c r="FK32" s="153">
        <v>35</v>
      </c>
      <c r="FL32" s="153">
        <v>23</v>
      </c>
      <c r="FM32" s="154">
        <v>24</v>
      </c>
      <c r="FN32" s="154">
        <v>23</v>
      </c>
      <c r="FO32" s="279">
        <v>17</v>
      </c>
      <c r="FP32" s="279">
        <v>7</v>
      </c>
      <c r="FQ32" s="155"/>
      <c r="FR32" s="152">
        <v>4</v>
      </c>
      <c r="FS32" s="153">
        <v>14</v>
      </c>
      <c r="FT32" s="153">
        <v>4</v>
      </c>
      <c r="FU32" s="153">
        <v>5</v>
      </c>
      <c r="FV32" s="154">
        <v>8</v>
      </c>
      <c r="FW32" s="154"/>
      <c r="FX32" s="279">
        <v>4</v>
      </c>
      <c r="FY32" s="279">
        <v>14</v>
      </c>
      <c r="FZ32" s="155"/>
      <c r="GA32" s="152">
        <v>3</v>
      </c>
      <c r="GB32" s="153">
        <v>4</v>
      </c>
      <c r="GC32" s="153">
        <v>11</v>
      </c>
      <c r="GD32" s="153">
        <v>4</v>
      </c>
      <c r="GE32" s="154">
        <v>3</v>
      </c>
      <c r="GF32" s="154">
        <v>7</v>
      </c>
      <c r="GG32" s="279">
        <v>1</v>
      </c>
      <c r="GH32" s="279"/>
      <c r="GI32" s="155"/>
      <c r="GJ32" s="152">
        <v>1133</v>
      </c>
      <c r="GK32" s="153">
        <v>1130</v>
      </c>
      <c r="GL32" s="153">
        <v>926</v>
      </c>
      <c r="GM32" s="153">
        <v>955</v>
      </c>
      <c r="GN32" s="154">
        <v>932</v>
      </c>
      <c r="GO32" s="154">
        <v>518</v>
      </c>
      <c r="GP32" s="279">
        <v>434</v>
      </c>
      <c r="GQ32" s="279">
        <v>375</v>
      </c>
      <c r="GR32" s="155"/>
      <c r="GS32" s="152">
        <v>390</v>
      </c>
      <c r="GT32" s="153">
        <v>350</v>
      </c>
      <c r="GU32" s="153">
        <v>295</v>
      </c>
      <c r="GV32" s="153">
        <v>222</v>
      </c>
      <c r="GW32" s="154">
        <v>162</v>
      </c>
      <c r="GX32" s="154">
        <v>71</v>
      </c>
      <c r="GY32" s="279">
        <v>65</v>
      </c>
      <c r="GZ32" s="279">
        <v>70</v>
      </c>
      <c r="HA32" s="155"/>
      <c r="HB32" s="152">
        <v>3</v>
      </c>
      <c r="HC32" s="153">
        <v>2</v>
      </c>
      <c r="HD32" s="153">
        <v>3</v>
      </c>
      <c r="HE32" s="153">
        <v>3</v>
      </c>
      <c r="HF32" s="154">
        <v>2</v>
      </c>
      <c r="HG32" s="154">
        <v>5</v>
      </c>
      <c r="HH32" s="279">
        <v>1</v>
      </c>
      <c r="HI32" s="279">
        <v>5</v>
      </c>
      <c r="HJ32" s="155"/>
      <c r="HK32" s="152">
        <v>1</v>
      </c>
      <c r="HL32" s="153">
        <v>3</v>
      </c>
      <c r="HM32" s="153"/>
      <c r="HN32" s="153">
        <v>1</v>
      </c>
      <c r="HO32" s="154">
        <v>2</v>
      </c>
      <c r="HP32" s="154"/>
      <c r="HQ32" s="279"/>
      <c r="HR32" s="279"/>
      <c r="HS32" s="155"/>
      <c r="HT32" s="152">
        <v>549</v>
      </c>
      <c r="HU32" s="153">
        <v>494</v>
      </c>
      <c r="HV32" s="153">
        <v>392</v>
      </c>
      <c r="HW32" s="153">
        <v>331</v>
      </c>
      <c r="HX32" s="154">
        <v>264</v>
      </c>
      <c r="HY32" s="154">
        <v>169</v>
      </c>
      <c r="HZ32" s="279">
        <v>203</v>
      </c>
      <c r="IA32" s="279">
        <v>237</v>
      </c>
      <c r="IB32" s="155"/>
      <c r="IC32" s="152">
        <v>2229</v>
      </c>
      <c r="ID32" s="153">
        <v>2146</v>
      </c>
      <c r="IE32" s="153">
        <v>2350</v>
      </c>
      <c r="IF32" s="153">
        <v>1500</v>
      </c>
      <c r="IG32" s="154">
        <v>1438</v>
      </c>
      <c r="IH32" s="154">
        <v>929</v>
      </c>
      <c r="II32" s="279">
        <v>746</v>
      </c>
      <c r="IJ32" s="279">
        <v>1013</v>
      </c>
      <c r="IK32" s="155"/>
    </row>
    <row r="33" spans="1:245" ht="13.5" thickBot="1" x14ac:dyDescent="0.25">
      <c r="A33" s="961"/>
      <c r="B33" s="156" t="s">
        <v>656</v>
      </c>
      <c r="C33" s="157"/>
      <c r="D33" s="166"/>
      <c r="E33" s="166"/>
      <c r="F33" s="166"/>
      <c r="G33" s="158"/>
      <c r="H33" s="158"/>
      <c r="I33" s="280"/>
      <c r="J33" s="280"/>
      <c r="K33" s="159"/>
      <c r="L33" s="157"/>
      <c r="M33" s="166"/>
      <c r="N33" s="166"/>
      <c r="O33" s="166"/>
      <c r="P33" s="158"/>
      <c r="Q33" s="158"/>
      <c r="R33" s="280"/>
      <c r="S33" s="280"/>
      <c r="T33" s="159"/>
      <c r="U33" s="157"/>
      <c r="V33" s="166"/>
      <c r="W33" s="166"/>
      <c r="X33" s="166"/>
      <c r="Y33" s="158"/>
      <c r="Z33" s="158"/>
      <c r="AA33" s="280"/>
      <c r="AB33" s="280"/>
      <c r="AC33" s="159"/>
      <c r="AD33" s="157">
        <v>49</v>
      </c>
      <c r="AE33" s="166">
        <v>42</v>
      </c>
      <c r="AF33" s="166">
        <v>39</v>
      </c>
      <c r="AG33" s="166">
        <v>58</v>
      </c>
      <c r="AH33" s="158">
        <v>63</v>
      </c>
      <c r="AI33" s="158">
        <v>82</v>
      </c>
      <c r="AJ33" s="280">
        <v>66</v>
      </c>
      <c r="AK33" s="280">
        <v>40</v>
      </c>
      <c r="AL33" s="159"/>
      <c r="AM33" s="157">
        <v>34</v>
      </c>
      <c r="AN33" s="166">
        <v>20</v>
      </c>
      <c r="AO33" s="166">
        <v>22</v>
      </c>
      <c r="AP33" s="166">
        <v>29</v>
      </c>
      <c r="AQ33" s="158">
        <v>30</v>
      </c>
      <c r="AR33" s="158">
        <v>42</v>
      </c>
      <c r="AS33" s="280">
        <v>23</v>
      </c>
      <c r="AT33" s="280">
        <v>18</v>
      </c>
      <c r="AU33" s="159"/>
      <c r="AV33" s="157"/>
      <c r="AW33" s="166"/>
      <c r="AX33" s="166"/>
      <c r="AY33" s="166"/>
      <c r="AZ33" s="158"/>
      <c r="BA33" s="158"/>
      <c r="BB33" s="280"/>
      <c r="BC33" s="280"/>
      <c r="BD33" s="159"/>
      <c r="BE33" s="157">
        <v>10</v>
      </c>
      <c r="BF33" s="166">
        <v>20</v>
      </c>
      <c r="BG33" s="166">
        <v>5</v>
      </c>
      <c r="BH33" s="166">
        <v>2</v>
      </c>
      <c r="BI33" s="158">
        <v>4</v>
      </c>
      <c r="BJ33" s="158">
        <v>5</v>
      </c>
      <c r="BK33" s="280">
        <v>14</v>
      </c>
      <c r="BL33" s="280">
        <v>2</v>
      </c>
      <c r="BM33" s="159"/>
      <c r="BN33" s="157"/>
      <c r="BO33" s="166"/>
      <c r="BP33" s="166"/>
      <c r="BQ33" s="166"/>
      <c r="BR33" s="158"/>
      <c r="BS33" s="158"/>
      <c r="BT33" s="280"/>
      <c r="BU33" s="280"/>
      <c r="BV33" s="159"/>
      <c r="BW33" s="157">
        <v>56</v>
      </c>
      <c r="BX33" s="166">
        <v>56</v>
      </c>
      <c r="BY33" s="166">
        <v>61</v>
      </c>
      <c r="BZ33" s="166">
        <v>63</v>
      </c>
      <c r="CA33" s="158">
        <v>57</v>
      </c>
      <c r="CB33" s="158">
        <v>55</v>
      </c>
      <c r="CC33" s="280">
        <v>90</v>
      </c>
      <c r="CD33" s="280">
        <v>53</v>
      </c>
      <c r="CE33" s="159"/>
      <c r="CF33" s="157">
        <v>4</v>
      </c>
      <c r="CG33" s="166">
        <v>4</v>
      </c>
      <c r="CH33" s="166">
        <v>1</v>
      </c>
      <c r="CI33" s="166">
        <v>2</v>
      </c>
      <c r="CJ33" s="158">
        <v>1</v>
      </c>
      <c r="CK33" s="158"/>
      <c r="CL33" s="280">
        <v>1</v>
      </c>
      <c r="CM33" s="280">
        <v>1</v>
      </c>
      <c r="CN33" s="159"/>
      <c r="CO33" s="157"/>
      <c r="CP33" s="166">
        <v>1</v>
      </c>
      <c r="CQ33" s="166"/>
      <c r="CR33" s="166">
        <v>1</v>
      </c>
      <c r="CS33" s="158">
        <v>1</v>
      </c>
      <c r="CT33" s="158"/>
      <c r="CU33" s="280">
        <v>1</v>
      </c>
      <c r="CV33" s="280">
        <v>4</v>
      </c>
      <c r="CW33" s="159"/>
      <c r="CX33" s="157">
        <v>476</v>
      </c>
      <c r="CY33" s="166">
        <v>512</v>
      </c>
      <c r="CZ33" s="166">
        <v>604</v>
      </c>
      <c r="DA33" s="166">
        <v>485</v>
      </c>
      <c r="DB33" s="158">
        <v>515</v>
      </c>
      <c r="DC33" s="158">
        <v>371</v>
      </c>
      <c r="DD33" s="280">
        <v>197</v>
      </c>
      <c r="DE33" s="280">
        <v>225</v>
      </c>
      <c r="DF33" s="159"/>
      <c r="DG33" s="157">
        <v>1</v>
      </c>
      <c r="DH33" s="166">
        <v>1</v>
      </c>
      <c r="DI33" s="166">
        <v>2</v>
      </c>
      <c r="DJ33" s="166"/>
      <c r="DK33" s="158">
        <v>5</v>
      </c>
      <c r="DL33" s="158"/>
      <c r="DM33" s="280">
        <v>2</v>
      </c>
      <c r="DN33" s="280">
        <v>1</v>
      </c>
      <c r="DO33" s="159"/>
      <c r="DP33" s="157">
        <v>8</v>
      </c>
      <c r="DQ33" s="166">
        <v>6</v>
      </c>
      <c r="DR33" s="166">
        <v>4</v>
      </c>
      <c r="DS33" s="166">
        <v>6</v>
      </c>
      <c r="DT33" s="158">
        <v>7</v>
      </c>
      <c r="DU33" s="158">
        <v>5</v>
      </c>
      <c r="DV33" s="280">
        <v>3</v>
      </c>
      <c r="DW33" s="280">
        <v>7</v>
      </c>
      <c r="DX33" s="159"/>
      <c r="DY33" s="157">
        <v>54</v>
      </c>
      <c r="DZ33" s="166">
        <v>38</v>
      </c>
      <c r="EA33" s="166">
        <v>65</v>
      </c>
      <c r="EB33" s="166">
        <v>56</v>
      </c>
      <c r="EC33" s="158">
        <v>117</v>
      </c>
      <c r="ED33" s="158">
        <v>73</v>
      </c>
      <c r="EE33" s="280">
        <v>51</v>
      </c>
      <c r="EF33" s="280">
        <v>51</v>
      </c>
      <c r="EG33" s="159"/>
      <c r="EH33" s="157">
        <v>6</v>
      </c>
      <c r="EI33" s="166">
        <v>5</v>
      </c>
      <c r="EJ33" s="166">
        <v>5</v>
      </c>
      <c r="EK33" s="166">
        <v>7</v>
      </c>
      <c r="EL33" s="158">
        <v>3</v>
      </c>
      <c r="EM33" s="158">
        <v>3</v>
      </c>
      <c r="EN33" s="280">
        <v>1</v>
      </c>
      <c r="EO33" s="280"/>
      <c r="EP33" s="159"/>
      <c r="EQ33" s="157">
        <v>1</v>
      </c>
      <c r="ER33" s="166">
        <v>1</v>
      </c>
      <c r="ES33" s="166">
        <v>1</v>
      </c>
      <c r="ET33" s="166">
        <v>1</v>
      </c>
      <c r="EU33" s="158">
        <v>2</v>
      </c>
      <c r="EV33" s="158"/>
      <c r="EW33" s="280">
        <v>5</v>
      </c>
      <c r="EX33" s="280">
        <v>2</v>
      </c>
      <c r="EY33" s="159"/>
      <c r="EZ33" s="157">
        <v>5</v>
      </c>
      <c r="FA33" s="166">
        <v>6</v>
      </c>
      <c r="FB33" s="166"/>
      <c r="FC33" s="166">
        <v>1</v>
      </c>
      <c r="FD33" s="158">
        <v>4</v>
      </c>
      <c r="FE33" s="158"/>
      <c r="FF33" s="280">
        <v>2</v>
      </c>
      <c r="FG33" s="280"/>
      <c r="FH33" s="159"/>
      <c r="FI33" s="157">
        <v>41</v>
      </c>
      <c r="FJ33" s="166">
        <v>50</v>
      </c>
      <c r="FK33" s="166">
        <v>33</v>
      </c>
      <c r="FL33" s="166">
        <v>19</v>
      </c>
      <c r="FM33" s="158">
        <v>12</v>
      </c>
      <c r="FN33" s="158">
        <v>12</v>
      </c>
      <c r="FO33" s="280">
        <v>14</v>
      </c>
      <c r="FP33" s="280">
        <v>12</v>
      </c>
      <c r="FQ33" s="159"/>
      <c r="FR33" s="157">
        <v>8</v>
      </c>
      <c r="FS33" s="166">
        <v>14</v>
      </c>
      <c r="FT33" s="166">
        <v>1</v>
      </c>
      <c r="FU33" s="166">
        <v>2</v>
      </c>
      <c r="FV33" s="158">
        <v>3</v>
      </c>
      <c r="FW33" s="158">
        <v>2</v>
      </c>
      <c r="FX33" s="280"/>
      <c r="FY33" s="280">
        <v>6</v>
      </c>
      <c r="FZ33" s="159"/>
      <c r="GA33" s="157">
        <v>7</v>
      </c>
      <c r="GB33" s="166">
        <v>6</v>
      </c>
      <c r="GC33" s="166">
        <v>1</v>
      </c>
      <c r="GD33" s="166">
        <v>9</v>
      </c>
      <c r="GE33" s="158">
        <v>8</v>
      </c>
      <c r="GF33" s="158">
        <v>15</v>
      </c>
      <c r="GG33" s="280">
        <v>5</v>
      </c>
      <c r="GH33" s="280">
        <v>5</v>
      </c>
      <c r="GI33" s="159"/>
      <c r="GJ33" s="157">
        <v>663</v>
      </c>
      <c r="GK33" s="166">
        <v>717</v>
      </c>
      <c r="GL33" s="166">
        <v>751</v>
      </c>
      <c r="GM33" s="166">
        <v>650</v>
      </c>
      <c r="GN33" s="158">
        <v>673</v>
      </c>
      <c r="GO33" s="158">
        <v>545</v>
      </c>
      <c r="GP33" s="280">
        <v>396</v>
      </c>
      <c r="GQ33" s="280">
        <v>350</v>
      </c>
      <c r="GR33" s="159"/>
      <c r="GS33" s="157">
        <v>207</v>
      </c>
      <c r="GT33" s="166">
        <v>212</v>
      </c>
      <c r="GU33" s="166">
        <v>203</v>
      </c>
      <c r="GV33" s="166">
        <v>175</v>
      </c>
      <c r="GW33" s="158">
        <v>94</v>
      </c>
      <c r="GX33" s="158">
        <v>76</v>
      </c>
      <c r="GY33" s="280">
        <v>83</v>
      </c>
      <c r="GZ33" s="280">
        <v>83</v>
      </c>
      <c r="HA33" s="159"/>
      <c r="HB33" s="157">
        <v>1</v>
      </c>
      <c r="HC33" s="166">
        <v>3</v>
      </c>
      <c r="HD33" s="166">
        <v>3</v>
      </c>
      <c r="HE33" s="166"/>
      <c r="HF33" s="158">
        <v>1</v>
      </c>
      <c r="HG33" s="158">
        <v>1</v>
      </c>
      <c r="HH33" s="280">
        <v>3</v>
      </c>
      <c r="HI33" s="280">
        <v>4</v>
      </c>
      <c r="HJ33" s="159"/>
      <c r="HK33" s="157"/>
      <c r="HL33" s="166"/>
      <c r="HM33" s="166">
        <v>1</v>
      </c>
      <c r="HN33" s="166"/>
      <c r="HO33" s="158">
        <v>2</v>
      </c>
      <c r="HP33" s="158"/>
      <c r="HQ33" s="280">
        <v>2</v>
      </c>
      <c r="HR33" s="280"/>
      <c r="HS33" s="159"/>
      <c r="HT33" s="157">
        <v>325</v>
      </c>
      <c r="HU33" s="166">
        <v>287</v>
      </c>
      <c r="HV33" s="166">
        <v>266</v>
      </c>
      <c r="HW33" s="166">
        <v>252</v>
      </c>
      <c r="HX33" s="158">
        <v>198</v>
      </c>
      <c r="HY33" s="158">
        <v>162</v>
      </c>
      <c r="HZ33" s="280">
        <v>160</v>
      </c>
      <c r="IA33" s="280">
        <v>214</v>
      </c>
      <c r="IB33" s="159"/>
      <c r="IC33" s="157">
        <v>1175</v>
      </c>
      <c r="ID33" s="166">
        <v>1134</v>
      </c>
      <c r="IE33" s="166">
        <v>1167</v>
      </c>
      <c r="IF33" s="166">
        <v>883</v>
      </c>
      <c r="IG33" s="158">
        <v>1020</v>
      </c>
      <c r="IH33" s="158">
        <v>1332</v>
      </c>
      <c r="II33" s="280">
        <v>652</v>
      </c>
      <c r="IJ33" s="280">
        <v>650</v>
      </c>
      <c r="IK33" s="159"/>
    </row>
    <row r="34" spans="1:245" s="134" customFormat="1" ht="13.5" thickBot="1" x14ac:dyDescent="0.25">
      <c r="A34" s="962"/>
      <c r="B34" s="189" t="s">
        <v>785</v>
      </c>
      <c r="C34" s="273">
        <v>14</v>
      </c>
      <c r="D34" s="190">
        <v>11</v>
      </c>
      <c r="E34" s="190">
        <v>6</v>
      </c>
      <c r="F34" s="190">
        <v>13</v>
      </c>
      <c r="G34" s="190">
        <v>9</v>
      </c>
      <c r="H34" s="190">
        <v>11</v>
      </c>
      <c r="I34" s="190">
        <v>6</v>
      </c>
      <c r="J34" s="190">
        <v>8</v>
      </c>
      <c r="K34" s="286"/>
      <c r="L34" s="273">
        <v>6</v>
      </c>
      <c r="M34" s="190">
        <v>9</v>
      </c>
      <c r="N34" s="190">
        <v>4</v>
      </c>
      <c r="O34" s="190">
        <v>10</v>
      </c>
      <c r="P34" s="190">
        <v>4</v>
      </c>
      <c r="Q34" s="190">
        <v>6</v>
      </c>
      <c r="R34" s="190">
        <v>1</v>
      </c>
      <c r="S34" s="190">
        <v>4</v>
      </c>
      <c r="T34" s="286"/>
      <c r="U34" s="273">
        <v>7</v>
      </c>
      <c r="V34" s="190">
        <v>2</v>
      </c>
      <c r="W34" s="190">
        <v>2</v>
      </c>
      <c r="X34" s="190">
        <v>2</v>
      </c>
      <c r="Y34" s="190">
        <v>4</v>
      </c>
      <c r="Z34" s="190">
        <v>3</v>
      </c>
      <c r="AA34" s="190">
        <v>5</v>
      </c>
      <c r="AB34" s="190">
        <v>3</v>
      </c>
      <c r="AC34" s="286"/>
      <c r="AD34" s="273">
        <v>562</v>
      </c>
      <c r="AE34" s="190">
        <v>475</v>
      </c>
      <c r="AF34" s="190">
        <v>449</v>
      </c>
      <c r="AG34" s="190">
        <v>459</v>
      </c>
      <c r="AH34" s="190">
        <v>411</v>
      </c>
      <c r="AI34" s="190">
        <v>430</v>
      </c>
      <c r="AJ34" s="190">
        <v>395</v>
      </c>
      <c r="AK34" s="190">
        <v>326</v>
      </c>
      <c r="AL34" s="286"/>
      <c r="AM34" s="273">
        <v>299</v>
      </c>
      <c r="AN34" s="190">
        <v>237</v>
      </c>
      <c r="AO34" s="190">
        <v>208</v>
      </c>
      <c r="AP34" s="190">
        <v>204</v>
      </c>
      <c r="AQ34" s="190">
        <v>218</v>
      </c>
      <c r="AR34" s="190">
        <v>209</v>
      </c>
      <c r="AS34" s="190">
        <v>188</v>
      </c>
      <c r="AT34" s="190">
        <v>154</v>
      </c>
      <c r="AU34" s="286"/>
      <c r="AV34" s="273">
        <v>2</v>
      </c>
      <c r="AW34" s="190">
        <v>1</v>
      </c>
      <c r="AX34" s="190"/>
      <c r="AY34" s="190">
        <v>1</v>
      </c>
      <c r="AZ34" s="190">
        <v>1</v>
      </c>
      <c r="BA34" s="190"/>
      <c r="BB34" s="190"/>
      <c r="BC34" s="190"/>
      <c r="BD34" s="286"/>
      <c r="BE34" s="273">
        <v>85</v>
      </c>
      <c r="BF34" s="190">
        <v>91</v>
      </c>
      <c r="BG34" s="190">
        <v>47</v>
      </c>
      <c r="BH34" s="190">
        <v>51</v>
      </c>
      <c r="BI34" s="190">
        <v>67</v>
      </c>
      <c r="BJ34" s="190">
        <v>43</v>
      </c>
      <c r="BK34" s="190">
        <v>50</v>
      </c>
      <c r="BL34" s="190">
        <v>40</v>
      </c>
      <c r="BM34" s="286"/>
      <c r="BN34" s="273"/>
      <c r="BO34" s="190">
        <v>2</v>
      </c>
      <c r="BP34" s="190"/>
      <c r="BQ34" s="190"/>
      <c r="BR34" s="190">
        <v>3</v>
      </c>
      <c r="BS34" s="190">
        <v>1</v>
      </c>
      <c r="BT34" s="190">
        <v>1</v>
      </c>
      <c r="BU34" s="190"/>
      <c r="BV34" s="286"/>
      <c r="BW34" s="273">
        <v>397</v>
      </c>
      <c r="BX34" s="190">
        <v>447</v>
      </c>
      <c r="BY34" s="190">
        <v>438</v>
      </c>
      <c r="BZ34" s="190">
        <v>448</v>
      </c>
      <c r="CA34" s="190">
        <v>353</v>
      </c>
      <c r="CB34" s="190">
        <v>359</v>
      </c>
      <c r="CC34" s="190">
        <v>495</v>
      </c>
      <c r="CD34" s="190">
        <v>457</v>
      </c>
      <c r="CE34" s="286"/>
      <c r="CF34" s="273">
        <v>28</v>
      </c>
      <c r="CG34" s="190">
        <v>43</v>
      </c>
      <c r="CH34" s="190">
        <v>27</v>
      </c>
      <c r="CI34" s="190">
        <v>29</v>
      </c>
      <c r="CJ34" s="190">
        <v>19</v>
      </c>
      <c r="CK34" s="190">
        <v>28</v>
      </c>
      <c r="CL34" s="190">
        <v>16</v>
      </c>
      <c r="CM34" s="190">
        <v>13</v>
      </c>
      <c r="CN34" s="286"/>
      <c r="CO34" s="273">
        <v>24</v>
      </c>
      <c r="CP34" s="190">
        <v>19</v>
      </c>
      <c r="CQ34" s="190">
        <v>12</v>
      </c>
      <c r="CR34" s="190">
        <v>17</v>
      </c>
      <c r="CS34" s="190">
        <v>12</v>
      </c>
      <c r="CT34" s="190">
        <v>6</v>
      </c>
      <c r="CU34" s="190">
        <v>19</v>
      </c>
      <c r="CV34" s="190">
        <v>14</v>
      </c>
      <c r="CW34" s="286"/>
      <c r="CX34" s="273">
        <v>5960</v>
      </c>
      <c r="CY34" s="190">
        <v>5757</v>
      </c>
      <c r="CZ34" s="190">
        <v>5928</v>
      </c>
      <c r="DA34" s="190">
        <v>5513</v>
      </c>
      <c r="DB34" s="190">
        <v>5145</v>
      </c>
      <c r="DC34" s="190">
        <v>3214</v>
      </c>
      <c r="DD34" s="190">
        <v>2450</v>
      </c>
      <c r="DE34" s="190">
        <v>2112</v>
      </c>
      <c r="DF34" s="286"/>
      <c r="DG34" s="273">
        <v>54</v>
      </c>
      <c r="DH34" s="190">
        <v>45</v>
      </c>
      <c r="DI34" s="190">
        <v>46</v>
      </c>
      <c r="DJ34" s="190">
        <v>28</v>
      </c>
      <c r="DK34" s="190">
        <v>15</v>
      </c>
      <c r="DL34" s="190">
        <v>8</v>
      </c>
      <c r="DM34" s="190">
        <v>14</v>
      </c>
      <c r="DN34" s="190">
        <v>17</v>
      </c>
      <c r="DO34" s="286"/>
      <c r="DP34" s="273">
        <v>413</v>
      </c>
      <c r="DQ34" s="190">
        <v>207</v>
      </c>
      <c r="DR34" s="190">
        <v>171</v>
      </c>
      <c r="DS34" s="190">
        <v>164</v>
      </c>
      <c r="DT34" s="190">
        <v>206</v>
      </c>
      <c r="DU34" s="190">
        <v>118</v>
      </c>
      <c r="DV34" s="190">
        <v>58</v>
      </c>
      <c r="DW34" s="190">
        <v>58</v>
      </c>
      <c r="DX34" s="286"/>
      <c r="DY34" s="273">
        <v>856</v>
      </c>
      <c r="DZ34" s="190">
        <v>790</v>
      </c>
      <c r="EA34" s="190">
        <v>1010</v>
      </c>
      <c r="EB34" s="190">
        <v>978</v>
      </c>
      <c r="EC34" s="190">
        <v>1249</v>
      </c>
      <c r="ED34" s="190">
        <v>819</v>
      </c>
      <c r="EE34" s="190">
        <v>535</v>
      </c>
      <c r="EF34" s="190">
        <v>501</v>
      </c>
      <c r="EG34" s="286"/>
      <c r="EH34" s="273">
        <v>85</v>
      </c>
      <c r="EI34" s="190">
        <v>78</v>
      </c>
      <c r="EJ34" s="190">
        <v>70</v>
      </c>
      <c r="EK34" s="190">
        <v>63</v>
      </c>
      <c r="EL34" s="190">
        <v>49</v>
      </c>
      <c r="EM34" s="190">
        <v>32</v>
      </c>
      <c r="EN34" s="190">
        <v>24</v>
      </c>
      <c r="EO34" s="190">
        <v>29</v>
      </c>
      <c r="EP34" s="286"/>
      <c r="EQ34" s="273">
        <v>11</v>
      </c>
      <c r="ER34" s="190">
        <v>15</v>
      </c>
      <c r="ES34" s="190">
        <v>17</v>
      </c>
      <c r="ET34" s="190">
        <v>18</v>
      </c>
      <c r="EU34" s="190">
        <v>35</v>
      </c>
      <c r="EV34" s="190">
        <v>23</v>
      </c>
      <c r="EW34" s="190">
        <v>26</v>
      </c>
      <c r="EX34" s="190">
        <v>20</v>
      </c>
      <c r="EY34" s="286"/>
      <c r="EZ34" s="273">
        <v>26</v>
      </c>
      <c r="FA34" s="190">
        <v>26</v>
      </c>
      <c r="FB34" s="190">
        <v>15</v>
      </c>
      <c r="FC34" s="190">
        <v>24</v>
      </c>
      <c r="FD34" s="190">
        <v>17</v>
      </c>
      <c r="FE34" s="190">
        <v>3</v>
      </c>
      <c r="FF34" s="190">
        <v>8</v>
      </c>
      <c r="FG34" s="190">
        <v>9</v>
      </c>
      <c r="FH34" s="286"/>
      <c r="FI34" s="273">
        <v>411</v>
      </c>
      <c r="FJ34" s="190">
        <v>511</v>
      </c>
      <c r="FK34" s="190">
        <v>381</v>
      </c>
      <c r="FL34" s="190">
        <v>240</v>
      </c>
      <c r="FM34" s="190">
        <v>207</v>
      </c>
      <c r="FN34" s="190">
        <v>206</v>
      </c>
      <c r="FO34" s="190">
        <v>203</v>
      </c>
      <c r="FP34" s="190">
        <v>182</v>
      </c>
      <c r="FQ34" s="286"/>
      <c r="FR34" s="273">
        <v>36</v>
      </c>
      <c r="FS34" s="190">
        <v>55</v>
      </c>
      <c r="FT34" s="190">
        <v>17</v>
      </c>
      <c r="FU34" s="190">
        <v>22</v>
      </c>
      <c r="FV34" s="190">
        <v>19</v>
      </c>
      <c r="FW34" s="190">
        <v>21</v>
      </c>
      <c r="FX34" s="190">
        <v>8</v>
      </c>
      <c r="FY34" s="190">
        <v>31</v>
      </c>
      <c r="FZ34" s="286"/>
      <c r="GA34" s="273">
        <v>74</v>
      </c>
      <c r="GB34" s="190">
        <v>69</v>
      </c>
      <c r="GC34" s="190">
        <v>44</v>
      </c>
      <c r="GD34" s="190">
        <v>41</v>
      </c>
      <c r="GE34" s="190">
        <v>47</v>
      </c>
      <c r="GF34" s="190">
        <v>50</v>
      </c>
      <c r="GG34" s="190">
        <v>52</v>
      </c>
      <c r="GH34" s="190">
        <v>35</v>
      </c>
      <c r="GI34" s="286"/>
      <c r="GJ34" s="273">
        <v>7713</v>
      </c>
      <c r="GK34" s="190">
        <v>7599</v>
      </c>
      <c r="GL34" s="190">
        <v>7451</v>
      </c>
      <c r="GM34" s="190">
        <v>6938</v>
      </c>
      <c r="GN34" s="190">
        <v>6393</v>
      </c>
      <c r="GO34" s="190">
        <v>4427</v>
      </c>
      <c r="GP34" s="190">
        <v>3753</v>
      </c>
      <c r="GQ34" s="190">
        <v>3276</v>
      </c>
      <c r="GR34" s="286"/>
      <c r="GS34" s="273">
        <v>2620</v>
      </c>
      <c r="GT34" s="190">
        <v>2345</v>
      </c>
      <c r="GU34" s="190">
        <v>2070</v>
      </c>
      <c r="GV34" s="190">
        <v>1615</v>
      </c>
      <c r="GW34" s="190">
        <v>993</v>
      </c>
      <c r="GX34" s="190">
        <v>747</v>
      </c>
      <c r="GY34" s="190">
        <v>698</v>
      </c>
      <c r="GZ34" s="190">
        <v>714</v>
      </c>
      <c r="HA34" s="286"/>
      <c r="HB34" s="273">
        <v>16</v>
      </c>
      <c r="HC34" s="190">
        <v>14</v>
      </c>
      <c r="HD34" s="190">
        <v>20</v>
      </c>
      <c r="HE34" s="190">
        <v>13</v>
      </c>
      <c r="HF34" s="190">
        <v>14</v>
      </c>
      <c r="HG34" s="190">
        <v>12</v>
      </c>
      <c r="HH34" s="190">
        <v>9</v>
      </c>
      <c r="HI34" s="190">
        <v>20</v>
      </c>
      <c r="HJ34" s="286"/>
      <c r="HK34" s="273">
        <v>14</v>
      </c>
      <c r="HL34" s="190">
        <v>13</v>
      </c>
      <c r="HM34" s="190">
        <v>5</v>
      </c>
      <c r="HN34" s="190">
        <v>5</v>
      </c>
      <c r="HO34" s="190">
        <v>10</v>
      </c>
      <c r="HP34" s="190">
        <v>8</v>
      </c>
      <c r="HQ34" s="190">
        <v>3</v>
      </c>
      <c r="HR34" s="190">
        <v>10</v>
      </c>
      <c r="HS34" s="286"/>
      <c r="HT34" s="273">
        <v>3662</v>
      </c>
      <c r="HU34" s="190">
        <v>3241</v>
      </c>
      <c r="HV34" s="190">
        <v>2792</v>
      </c>
      <c r="HW34" s="190">
        <v>2331</v>
      </c>
      <c r="HX34" s="190">
        <v>1790</v>
      </c>
      <c r="HY34" s="190">
        <v>1426</v>
      </c>
      <c r="HZ34" s="190">
        <v>1406</v>
      </c>
      <c r="IA34" s="190">
        <v>1537</v>
      </c>
      <c r="IB34" s="286"/>
      <c r="IC34" s="273">
        <v>14704</v>
      </c>
      <c r="ID34" s="190">
        <v>14930</v>
      </c>
      <c r="IE34" s="190">
        <v>14629</v>
      </c>
      <c r="IF34" s="190">
        <v>11524</v>
      </c>
      <c r="IG34" s="190">
        <v>9979</v>
      </c>
      <c r="IH34" s="190">
        <v>8053</v>
      </c>
      <c r="II34" s="190">
        <v>6881</v>
      </c>
      <c r="IJ34" s="190">
        <v>6248</v>
      </c>
      <c r="IK34" s="286"/>
    </row>
    <row r="35" spans="1:245" x14ac:dyDescent="0.2">
      <c r="A35" s="960" t="s">
        <v>577</v>
      </c>
      <c r="B35" s="146" t="s">
        <v>578</v>
      </c>
      <c r="C35" s="147">
        <v>16</v>
      </c>
      <c r="D35" s="148">
        <v>12</v>
      </c>
      <c r="E35" s="148">
        <v>15</v>
      </c>
      <c r="F35" s="148">
        <v>12</v>
      </c>
      <c r="G35" s="149">
        <v>14</v>
      </c>
      <c r="H35" s="149">
        <v>11</v>
      </c>
      <c r="I35" s="278">
        <v>10</v>
      </c>
      <c r="J35" s="278">
        <v>12</v>
      </c>
      <c r="K35" s="150"/>
      <c r="L35" s="147">
        <v>11</v>
      </c>
      <c r="M35" s="148">
        <v>1</v>
      </c>
      <c r="N35" s="148">
        <v>6</v>
      </c>
      <c r="O35" s="148">
        <v>8</v>
      </c>
      <c r="P35" s="149">
        <v>8</v>
      </c>
      <c r="Q35" s="149">
        <v>6</v>
      </c>
      <c r="R35" s="278">
        <v>6</v>
      </c>
      <c r="S35" s="278">
        <v>9</v>
      </c>
      <c r="T35" s="150"/>
      <c r="U35" s="147">
        <v>5</v>
      </c>
      <c r="V35" s="148">
        <v>10</v>
      </c>
      <c r="W35" s="148">
        <v>8</v>
      </c>
      <c r="X35" s="148">
        <v>4</v>
      </c>
      <c r="Y35" s="149">
        <v>4</v>
      </c>
      <c r="Z35" s="149">
        <v>5</v>
      </c>
      <c r="AA35" s="278">
        <v>3</v>
      </c>
      <c r="AB35" s="278">
        <v>3</v>
      </c>
      <c r="AC35" s="150"/>
      <c r="AD35" s="147">
        <v>14</v>
      </c>
      <c r="AE35" s="148">
        <v>37</v>
      </c>
      <c r="AF35" s="148">
        <v>39</v>
      </c>
      <c r="AG35" s="148">
        <v>17</v>
      </c>
      <c r="AH35" s="149">
        <v>30</v>
      </c>
      <c r="AI35" s="149">
        <v>22</v>
      </c>
      <c r="AJ35" s="278">
        <v>34</v>
      </c>
      <c r="AK35" s="278">
        <v>29</v>
      </c>
      <c r="AL35" s="150"/>
      <c r="AM35" s="147">
        <v>13</v>
      </c>
      <c r="AN35" s="148">
        <v>28</v>
      </c>
      <c r="AO35" s="148">
        <v>37</v>
      </c>
      <c r="AP35" s="148">
        <v>17</v>
      </c>
      <c r="AQ35" s="149">
        <v>27</v>
      </c>
      <c r="AR35" s="149">
        <v>21</v>
      </c>
      <c r="AS35" s="278">
        <v>28</v>
      </c>
      <c r="AT35" s="278">
        <v>26</v>
      </c>
      <c r="AU35" s="150"/>
      <c r="AV35" s="147"/>
      <c r="AW35" s="148"/>
      <c r="AX35" s="148"/>
      <c r="AY35" s="148">
        <v>1</v>
      </c>
      <c r="AZ35" s="149"/>
      <c r="BA35" s="149">
        <v>1</v>
      </c>
      <c r="BB35" s="278"/>
      <c r="BC35" s="278">
        <v>4</v>
      </c>
      <c r="BD35" s="150"/>
      <c r="BE35" s="147">
        <v>7</v>
      </c>
      <c r="BF35" s="148">
        <v>1</v>
      </c>
      <c r="BG35" s="148">
        <v>1</v>
      </c>
      <c r="BH35" s="148">
        <v>3</v>
      </c>
      <c r="BI35" s="149">
        <v>2</v>
      </c>
      <c r="BJ35" s="149">
        <v>3</v>
      </c>
      <c r="BK35" s="278">
        <v>6</v>
      </c>
      <c r="BL35" s="278">
        <v>10</v>
      </c>
      <c r="BM35" s="150"/>
      <c r="BN35" s="147">
        <v>24</v>
      </c>
      <c r="BO35" s="148">
        <v>33</v>
      </c>
      <c r="BP35" s="148">
        <v>27</v>
      </c>
      <c r="BQ35" s="148">
        <v>50</v>
      </c>
      <c r="BR35" s="149">
        <v>43</v>
      </c>
      <c r="BS35" s="149">
        <v>75</v>
      </c>
      <c r="BT35" s="278">
        <v>73</v>
      </c>
      <c r="BU35" s="278">
        <v>21</v>
      </c>
      <c r="BV35" s="150"/>
      <c r="BW35" s="147"/>
      <c r="BX35" s="148">
        <v>5</v>
      </c>
      <c r="BY35" s="148">
        <v>4</v>
      </c>
      <c r="BZ35" s="148">
        <v>1</v>
      </c>
      <c r="CA35" s="149">
        <v>5</v>
      </c>
      <c r="CB35" s="149">
        <v>1</v>
      </c>
      <c r="CC35" s="278">
        <v>2</v>
      </c>
      <c r="CD35" s="278">
        <v>6</v>
      </c>
      <c r="CE35" s="150"/>
      <c r="CF35" s="147">
        <v>1</v>
      </c>
      <c r="CG35" s="148"/>
      <c r="CH35" s="148"/>
      <c r="CI35" s="148"/>
      <c r="CJ35" s="149">
        <v>1</v>
      </c>
      <c r="CK35" s="149"/>
      <c r="CL35" s="278"/>
      <c r="CM35" s="278"/>
      <c r="CN35" s="150"/>
      <c r="CO35" s="147"/>
      <c r="CP35" s="148"/>
      <c r="CQ35" s="148"/>
      <c r="CR35" s="148">
        <v>1</v>
      </c>
      <c r="CS35" s="149"/>
      <c r="CT35" s="149">
        <v>5</v>
      </c>
      <c r="CU35" s="278">
        <v>3</v>
      </c>
      <c r="CV35" s="278">
        <v>3</v>
      </c>
      <c r="CW35" s="150"/>
      <c r="CX35" s="147">
        <v>2</v>
      </c>
      <c r="CY35" s="148">
        <v>4</v>
      </c>
      <c r="CZ35" s="148">
        <v>18</v>
      </c>
      <c r="DA35" s="148">
        <v>2</v>
      </c>
      <c r="DB35" s="149">
        <v>25</v>
      </c>
      <c r="DC35" s="149">
        <v>15</v>
      </c>
      <c r="DD35" s="278">
        <v>22</v>
      </c>
      <c r="DE35" s="278">
        <v>3</v>
      </c>
      <c r="DF35" s="150"/>
      <c r="DG35" s="147"/>
      <c r="DH35" s="148"/>
      <c r="DI35" s="148"/>
      <c r="DJ35" s="148"/>
      <c r="DK35" s="149">
        <v>21</v>
      </c>
      <c r="DL35" s="149"/>
      <c r="DM35" s="278">
        <v>1</v>
      </c>
      <c r="DN35" s="278"/>
      <c r="DO35" s="150"/>
      <c r="DP35" s="147"/>
      <c r="DQ35" s="148"/>
      <c r="DR35" s="148">
        <v>3</v>
      </c>
      <c r="DS35" s="148">
        <v>1</v>
      </c>
      <c r="DT35" s="149"/>
      <c r="DU35" s="149"/>
      <c r="DV35" s="278">
        <v>10</v>
      </c>
      <c r="DW35" s="278"/>
      <c r="DX35" s="150"/>
      <c r="DY35" s="147">
        <v>1</v>
      </c>
      <c r="DZ35" s="148"/>
      <c r="EA35" s="148"/>
      <c r="EB35" s="148"/>
      <c r="EC35" s="149"/>
      <c r="ED35" s="149">
        <v>1</v>
      </c>
      <c r="EE35" s="278"/>
      <c r="EF35" s="278">
        <v>1</v>
      </c>
      <c r="EG35" s="150"/>
      <c r="EH35" s="147">
        <v>14</v>
      </c>
      <c r="EI35" s="148">
        <v>6</v>
      </c>
      <c r="EJ35" s="148">
        <v>2</v>
      </c>
      <c r="EK35" s="148">
        <v>9</v>
      </c>
      <c r="EL35" s="149">
        <v>6</v>
      </c>
      <c r="EM35" s="149">
        <v>1</v>
      </c>
      <c r="EN35" s="278">
        <v>4</v>
      </c>
      <c r="EO35" s="278"/>
      <c r="EP35" s="150"/>
      <c r="EQ35" s="147">
        <v>2</v>
      </c>
      <c r="ER35" s="148"/>
      <c r="ES35" s="148">
        <v>2</v>
      </c>
      <c r="ET35" s="148"/>
      <c r="EU35" s="149"/>
      <c r="EV35" s="149"/>
      <c r="EW35" s="278">
        <v>1</v>
      </c>
      <c r="EX35" s="278">
        <v>1</v>
      </c>
      <c r="EY35" s="150"/>
      <c r="EZ35" s="147">
        <v>5</v>
      </c>
      <c r="FA35" s="148">
        <v>1</v>
      </c>
      <c r="FB35" s="148">
        <v>2</v>
      </c>
      <c r="FC35" s="148">
        <v>12</v>
      </c>
      <c r="FD35" s="149"/>
      <c r="FE35" s="149">
        <v>4</v>
      </c>
      <c r="FF35" s="278"/>
      <c r="FG35" s="278"/>
      <c r="FH35" s="150"/>
      <c r="FI35" s="147"/>
      <c r="FJ35" s="148"/>
      <c r="FK35" s="148"/>
      <c r="FL35" s="148"/>
      <c r="FM35" s="149">
        <v>1</v>
      </c>
      <c r="FN35" s="149">
        <v>2</v>
      </c>
      <c r="FO35" s="278">
        <v>1</v>
      </c>
      <c r="FP35" s="278">
        <v>1</v>
      </c>
      <c r="FQ35" s="150"/>
      <c r="FR35" s="147"/>
      <c r="FS35" s="148"/>
      <c r="FT35" s="148"/>
      <c r="FU35" s="148">
        <v>1</v>
      </c>
      <c r="FV35" s="149">
        <v>10</v>
      </c>
      <c r="FW35" s="149">
        <v>1</v>
      </c>
      <c r="FX35" s="278">
        <v>1</v>
      </c>
      <c r="FY35" s="278"/>
      <c r="FZ35" s="150"/>
      <c r="GA35" s="147">
        <v>1</v>
      </c>
      <c r="GB35" s="148"/>
      <c r="GC35" s="148">
        <v>2</v>
      </c>
      <c r="GD35" s="148"/>
      <c r="GE35" s="149"/>
      <c r="GF35" s="149"/>
      <c r="GG35" s="278"/>
      <c r="GH35" s="278">
        <v>1</v>
      </c>
      <c r="GI35" s="150"/>
      <c r="GJ35" s="147">
        <v>86</v>
      </c>
      <c r="GK35" s="148">
        <v>99</v>
      </c>
      <c r="GL35" s="148">
        <v>112</v>
      </c>
      <c r="GM35" s="148">
        <v>108</v>
      </c>
      <c r="GN35" s="149">
        <v>137</v>
      </c>
      <c r="GO35" s="149">
        <v>140</v>
      </c>
      <c r="GP35" s="278">
        <v>157</v>
      </c>
      <c r="GQ35" s="278">
        <v>87</v>
      </c>
      <c r="GR35" s="150"/>
      <c r="GS35" s="147">
        <v>8</v>
      </c>
      <c r="GT35" s="148">
        <v>24</v>
      </c>
      <c r="GU35" s="148">
        <v>34</v>
      </c>
      <c r="GV35" s="148">
        <v>23</v>
      </c>
      <c r="GW35" s="149">
        <v>46</v>
      </c>
      <c r="GX35" s="149">
        <v>52</v>
      </c>
      <c r="GY35" s="278">
        <v>57</v>
      </c>
      <c r="GZ35" s="278">
        <v>29</v>
      </c>
      <c r="HA35" s="150"/>
      <c r="HB35" s="147"/>
      <c r="HC35" s="148">
        <v>2</v>
      </c>
      <c r="HD35" s="148">
        <v>3</v>
      </c>
      <c r="HE35" s="148"/>
      <c r="HF35" s="149">
        <v>1</v>
      </c>
      <c r="HG35" s="149">
        <v>1</v>
      </c>
      <c r="HH35" s="278">
        <v>5</v>
      </c>
      <c r="HI35" s="278">
        <v>3</v>
      </c>
      <c r="HJ35" s="150"/>
      <c r="HK35" s="147"/>
      <c r="HL35" s="148"/>
      <c r="HM35" s="148"/>
      <c r="HN35" s="148"/>
      <c r="HO35" s="149"/>
      <c r="HP35" s="149"/>
      <c r="HQ35" s="278"/>
      <c r="HR35" s="278">
        <v>1</v>
      </c>
      <c r="HS35" s="150"/>
      <c r="HT35" s="147">
        <v>10</v>
      </c>
      <c r="HU35" s="148">
        <v>40</v>
      </c>
      <c r="HV35" s="148">
        <v>42</v>
      </c>
      <c r="HW35" s="148">
        <v>46</v>
      </c>
      <c r="HX35" s="149">
        <v>49</v>
      </c>
      <c r="HY35" s="149">
        <v>61</v>
      </c>
      <c r="HZ35" s="278">
        <v>70</v>
      </c>
      <c r="IA35" s="278">
        <v>80</v>
      </c>
      <c r="IB35" s="150"/>
      <c r="IC35" s="147">
        <v>460</v>
      </c>
      <c r="ID35" s="148">
        <v>741</v>
      </c>
      <c r="IE35" s="148">
        <v>925</v>
      </c>
      <c r="IF35" s="148">
        <v>312</v>
      </c>
      <c r="IG35" s="149">
        <v>203</v>
      </c>
      <c r="IH35" s="149">
        <v>268</v>
      </c>
      <c r="II35" s="278">
        <v>228</v>
      </c>
      <c r="IJ35" s="278">
        <v>214</v>
      </c>
      <c r="IK35" s="150"/>
    </row>
    <row r="36" spans="1:245" x14ac:dyDescent="0.2">
      <c r="A36" s="961"/>
      <c r="B36" s="151" t="s">
        <v>657</v>
      </c>
      <c r="C36" s="152">
        <v>1</v>
      </c>
      <c r="D36" s="153"/>
      <c r="E36" s="153"/>
      <c r="F36" s="153"/>
      <c r="G36" s="154"/>
      <c r="H36" s="154"/>
      <c r="I36" s="279"/>
      <c r="J36" s="279"/>
      <c r="K36" s="155"/>
      <c r="L36" s="152"/>
      <c r="M36" s="153"/>
      <c r="N36" s="153"/>
      <c r="O36" s="153"/>
      <c r="P36" s="154"/>
      <c r="Q36" s="154"/>
      <c r="R36" s="279"/>
      <c r="S36" s="279"/>
      <c r="T36" s="155"/>
      <c r="U36" s="152"/>
      <c r="V36" s="153"/>
      <c r="W36" s="153"/>
      <c r="X36" s="153"/>
      <c r="Y36" s="154"/>
      <c r="Z36" s="154"/>
      <c r="AA36" s="279"/>
      <c r="AB36" s="279"/>
      <c r="AC36" s="155"/>
      <c r="AD36" s="152">
        <v>221</v>
      </c>
      <c r="AE36" s="153">
        <v>220</v>
      </c>
      <c r="AF36" s="153">
        <v>206</v>
      </c>
      <c r="AG36" s="153">
        <v>220</v>
      </c>
      <c r="AH36" s="154">
        <v>221</v>
      </c>
      <c r="AI36" s="154">
        <v>180</v>
      </c>
      <c r="AJ36" s="279">
        <v>238</v>
      </c>
      <c r="AK36" s="279">
        <v>193</v>
      </c>
      <c r="AL36" s="155"/>
      <c r="AM36" s="152">
        <v>101</v>
      </c>
      <c r="AN36" s="153">
        <v>105</v>
      </c>
      <c r="AO36" s="153">
        <v>94</v>
      </c>
      <c r="AP36" s="153">
        <v>79</v>
      </c>
      <c r="AQ36" s="154">
        <v>99</v>
      </c>
      <c r="AR36" s="154">
        <v>71</v>
      </c>
      <c r="AS36" s="279">
        <v>92</v>
      </c>
      <c r="AT36" s="279">
        <v>65</v>
      </c>
      <c r="AU36" s="155"/>
      <c r="AV36" s="152"/>
      <c r="AW36" s="153"/>
      <c r="AX36" s="153"/>
      <c r="AY36" s="153"/>
      <c r="AZ36" s="154"/>
      <c r="BA36" s="154"/>
      <c r="BB36" s="279"/>
      <c r="BC36" s="279"/>
      <c r="BD36" s="155"/>
      <c r="BE36" s="152">
        <v>28</v>
      </c>
      <c r="BF36" s="153">
        <v>21</v>
      </c>
      <c r="BG36" s="153">
        <v>16</v>
      </c>
      <c r="BH36" s="153">
        <v>30</v>
      </c>
      <c r="BI36" s="154">
        <v>25</v>
      </c>
      <c r="BJ36" s="154">
        <v>16</v>
      </c>
      <c r="BK36" s="279">
        <v>20</v>
      </c>
      <c r="BL36" s="279">
        <v>14</v>
      </c>
      <c r="BM36" s="155"/>
      <c r="BN36" s="152">
        <v>1</v>
      </c>
      <c r="BO36" s="153"/>
      <c r="BP36" s="153"/>
      <c r="BQ36" s="153"/>
      <c r="BR36" s="154"/>
      <c r="BS36" s="154">
        <v>8</v>
      </c>
      <c r="BT36" s="279">
        <v>2</v>
      </c>
      <c r="BU36" s="279"/>
      <c r="BV36" s="155"/>
      <c r="BW36" s="152">
        <v>157</v>
      </c>
      <c r="BX36" s="153">
        <v>150</v>
      </c>
      <c r="BY36" s="153">
        <v>153</v>
      </c>
      <c r="BZ36" s="153">
        <v>203</v>
      </c>
      <c r="CA36" s="154">
        <v>245</v>
      </c>
      <c r="CB36" s="154">
        <v>212</v>
      </c>
      <c r="CC36" s="279">
        <v>248</v>
      </c>
      <c r="CD36" s="279">
        <v>196</v>
      </c>
      <c r="CE36" s="155"/>
      <c r="CF36" s="152">
        <v>18</v>
      </c>
      <c r="CG36" s="153">
        <v>14</v>
      </c>
      <c r="CH36" s="153">
        <v>10</v>
      </c>
      <c r="CI36" s="153">
        <v>6</v>
      </c>
      <c r="CJ36" s="154">
        <v>12</v>
      </c>
      <c r="CK36" s="154">
        <v>7</v>
      </c>
      <c r="CL36" s="279">
        <v>16</v>
      </c>
      <c r="CM36" s="279">
        <v>13</v>
      </c>
      <c r="CN36" s="155"/>
      <c r="CO36" s="152">
        <v>10</v>
      </c>
      <c r="CP36" s="153">
        <v>12</v>
      </c>
      <c r="CQ36" s="153">
        <v>6</v>
      </c>
      <c r="CR36" s="153">
        <v>5</v>
      </c>
      <c r="CS36" s="154">
        <v>4</v>
      </c>
      <c r="CT36" s="154">
        <v>2</v>
      </c>
      <c r="CU36" s="279">
        <v>4</v>
      </c>
      <c r="CV36" s="279">
        <v>2</v>
      </c>
      <c r="CW36" s="155"/>
      <c r="CX36" s="152">
        <v>3593</v>
      </c>
      <c r="CY36" s="153">
        <v>2986</v>
      </c>
      <c r="CZ36" s="153">
        <v>4262</v>
      </c>
      <c r="DA36" s="153">
        <v>3529</v>
      </c>
      <c r="DB36" s="154">
        <v>2765</v>
      </c>
      <c r="DC36" s="154">
        <v>3016</v>
      </c>
      <c r="DD36" s="279">
        <v>2571</v>
      </c>
      <c r="DE36" s="279">
        <v>1891</v>
      </c>
      <c r="DF36" s="155"/>
      <c r="DG36" s="152">
        <v>74</v>
      </c>
      <c r="DH36" s="153">
        <v>49</v>
      </c>
      <c r="DI36" s="153">
        <v>65</v>
      </c>
      <c r="DJ36" s="153">
        <v>87</v>
      </c>
      <c r="DK36" s="154">
        <v>26</v>
      </c>
      <c r="DL36" s="154">
        <v>22</v>
      </c>
      <c r="DM36" s="279">
        <v>15</v>
      </c>
      <c r="DN36" s="279">
        <v>18</v>
      </c>
      <c r="DO36" s="155"/>
      <c r="DP36" s="152">
        <v>343</v>
      </c>
      <c r="DQ36" s="153">
        <v>319</v>
      </c>
      <c r="DR36" s="153">
        <v>784</v>
      </c>
      <c r="DS36" s="153">
        <v>632</v>
      </c>
      <c r="DT36" s="154">
        <v>173</v>
      </c>
      <c r="DU36" s="154">
        <v>367</v>
      </c>
      <c r="DV36" s="279">
        <v>236</v>
      </c>
      <c r="DW36" s="279">
        <v>157</v>
      </c>
      <c r="DX36" s="155"/>
      <c r="DY36" s="152">
        <v>515</v>
      </c>
      <c r="DZ36" s="153">
        <v>339</v>
      </c>
      <c r="EA36" s="153">
        <v>445</v>
      </c>
      <c r="EB36" s="153">
        <v>438</v>
      </c>
      <c r="EC36" s="154">
        <v>504</v>
      </c>
      <c r="ED36" s="154">
        <v>623</v>
      </c>
      <c r="EE36" s="279">
        <v>510</v>
      </c>
      <c r="EF36" s="279">
        <v>383</v>
      </c>
      <c r="EG36" s="155"/>
      <c r="EH36" s="152">
        <v>33</v>
      </c>
      <c r="EI36" s="153">
        <v>26</v>
      </c>
      <c r="EJ36" s="153">
        <v>33</v>
      </c>
      <c r="EK36" s="153">
        <v>24</v>
      </c>
      <c r="EL36" s="154">
        <v>31</v>
      </c>
      <c r="EM36" s="154">
        <v>19</v>
      </c>
      <c r="EN36" s="279">
        <v>36</v>
      </c>
      <c r="EO36" s="279">
        <v>15</v>
      </c>
      <c r="EP36" s="155"/>
      <c r="EQ36" s="152">
        <v>19</v>
      </c>
      <c r="ER36" s="153">
        <v>5</v>
      </c>
      <c r="ES36" s="153">
        <v>10</v>
      </c>
      <c r="ET36" s="153">
        <v>15</v>
      </c>
      <c r="EU36" s="154">
        <v>12</v>
      </c>
      <c r="EV36" s="154">
        <v>4</v>
      </c>
      <c r="EW36" s="279">
        <v>10</v>
      </c>
      <c r="EX36" s="279">
        <v>14</v>
      </c>
      <c r="EY36" s="155"/>
      <c r="EZ36" s="152">
        <v>3</v>
      </c>
      <c r="FA36" s="153">
        <v>7</v>
      </c>
      <c r="FB36" s="153">
        <v>8</v>
      </c>
      <c r="FC36" s="153">
        <v>7</v>
      </c>
      <c r="FD36" s="154">
        <v>4</v>
      </c>
      <c r="FE36" s="154">
        <v>4</v>
      </c>
      <c r="FF36" s="279">
        <v>4</v>
      </c>
      <c r="FG36" s="279">
        <v>2</v>
      </c>
      <c r="FH36" s="155"/>
      <c r="FI36" s="152">
        <v>245</v>
      </c>
      <c r="FJ36" s="153">
        <v>193</v>
      </c>
      <c r="FK36" s="153">
        <v>172</v>
      </c>
      <c r="FL36" s="153">
        <v>112</v>
      </c>
      <c r="FM36" s="154">
        <v>133</v>
      </c>
      <c r="FN36" s="154">
        <v>98</v>
      </c>
      <c r="FO36" s="279">
        <v>104</v>
      </c>
      <c r="FP36" s="279">
        <v>91</v>
      </c>
      <c r="FQ36" s="155"/>
      <c r="FR36" s="152">
        <v>24</v>
      </c>
      <c r="FS36" s="153">
        <v>28</v>
      </c>
      <c r="FT36" s="153">
        <v>27</v>
      </c>
      <c r="FU36" s="153">
        <v>14</v>
      </c>
      <c r="FV36" s="154">
        <v>13</v>
      </c>
      <c r="FW36" s="154">
        <v>32</v>
      </c>
      <c r="FX36" s="279">
        <v>14</v>
      </c>
      <c r="FY36" s="279">
        <v>18</v>
      </c>
      <c r="FZ36" s="155"/>
      <c r="GA36" s="152">
        <v>13</v>
      </c>
      <c r="GB36" s="153">
        <v>20</v>
      </c>
      <c r="GC36" s="153">
        <v>20</v>
      </c>
      <c r="GD36" s="153">
        <v>13</v>
      </c>
      <c r="GE36" s="154">
        <v>15</v>
      </c>
      <c r="GF36" s="154">
        <v>15</v>
      </c>
      <c r="GG36" s="279">
        <v>20</v>
      </c>
      <c r="GH36" s="279">
        <v>17</v>
      </c>
      <c r="GI36" s="155"/>
      <c r="GJ36" s="152">
        <v>4366</v>
      </c>
      <c r="GK36" s="153">
        <v>3682</v>
      </c>
      <c r="GL36" s="153">
        <v>4923</v>
      </c>
      <c r="GM36" s="153">
        <v>4178</v>
      </c>
      <c r="GN36" s="154">
        <v>3480</v>
      </c>
      <c r="GO36" s="154">
        <v>3613</v>
      </c>
      <c r="GP36" s="279">
        <v>3287</v>
      </c>
      <c r="GQ36" s="279">
        <v>2466</v>
      </c>
      <c r="GR36" s="155"/>
      <c r="GS36" s="152">
        <v>1511</v>
      </c>
      <c r="GT36" s="153">
        <v>1236</v>
      </c>
      <c r="GU36" s="153">
        <v>2007</v>
      </c>
      <c r="GV36" s="153">
        <v>1669</v>
      </c>
      <c r="GW36" s="154">
        <v>903</v>
      </c>
      <c r="GX36" s="154">
        <v>1006</v>
      </c>
      <c r="GY36" s="279">
        <v>1014</v>
      </c>
      <c r="GZ36" s="279">
        <v>642</v>
      </c>
      <c r="HA36" s="155"/>
      <c r="HB36" s="152">
        <v>16</v>
      </c>
      <c r="HC36" s="153">
        <v>14</v>
      </c>
      <c r="HD36" s="153">
        <v>12</v>
      </c>
      <c r="HE36" s="153">
        <v>12</v>
      </c>
      <c r="HF36" s="154">
        <v>14</v>
      </c>
      <c r="HG36" s="154">
        <v>8</v>
      </c>
      <c r="HH36" s="279">
        <v>22</v>
      </c>
      <c r="HI36" s="279">
        <v>7</v>
      </c>
      <c r="HJ36" s="155"/>
      <c r="HK36" s="152">
        <v>13</v>
      </c>
      <c r="HL36" s="153">
        <v>14</v>
      </c>
      <c r="HM36" s="153">
        <v>19</v>
      </c>
      <c r="HN36" s="153">
        <v>16</v>
      </c>
      <c r="HO36" s="154">
        <v>16</v>
      </c>
      <c r="HP36" s="154">
        <v>7</v>
      </c>
      <c r="HQ36" s="279">
        <v>9</v>
      </c>
      <c r="HR36" s="279">
        <v>8</v>
      </c>
      <c r="HS36" s="155"/>
      <c r="HT36" s="152">
        <v>1899</v>
      </c>
      <c r="HU36" s="153">
        <v>1554</v>
      </c>
      <c r="HV36" s="153">
        <v>2379</v>
      </c>
      <c r="HW36" s="153">
        <v>2088</v>
      </c>
      <c r="HX36" s="154">
        <v>1448</v>
      </c>
      <c r="HY36" s="154">
        <v>1601</v>
      </c>
      <c r="HZ36" s="279">
        <v>1710</v>
      </c>
      <c r="IA36" s="279">
        <v>1197</v>
      </c>
      <c r="IB36" s="155"/>
      <c r="IC36" s="152">
        <v>6935</v>
      </c>
      <c r="ID36" s="153">
        <v>6841</v>
      </c>
      <c r="IE36" s="153">
        <v>11223</v>
      </c>
      <c r="IF36" s="153">
        <v>6361</v>
      </c>
      <c r="IG36" s="154">
        <v>5156</v>
      </c>
      <c r="IH36" s="154">
        <v>5519</v>
      </c>
      <c r="II36" s="279">
        <v>5008</v>
      </c>
      <c r="IJ36" s="279">
        <v>4071</v>
      </c>
      <c r="IK36" s="155"/>
    </row>
    <row r="37" spans="1:245" x14ac:dyDescent="0.2">
      <c r="A37" s="961"/>
      <c r="B37" s="151" t="s">
        <v>658</v>
      </c>
      <c r="C37" s="152"/>
      <c r="D37" s="153"/>
      <c r="E37" s="153"/>
      <c r="F37" s="153"/>
      <c r="G37" s="154"/>
      <c r="H37" s="154"/>
      <c r="I37" s="279"/>
      <c r="J37" s="279"/>
      <c r="K37" s="155"/>
      <c r="L37" s="152"/>
      <c r="M37" s="153"/>
      <c r="N37" s="153"/>
      <c r="O37" s="153"/>
      <c r="P37" s="154"/>
      <c r="Q37" s="154"/>
      <c r="R37" s="279"/>
      <c r="S37" s="279"/>
      <c r="T37" s="155"/>
      <c r="U37" s="152"/>
      <c r="V37" s="153"/>
      <c r="W37" s="153"/>
      <c r="X37" s="153"/>
      <c r="Y37" s="154"/>
      <c r="Z37" s="154"/>
      <c r="AA37" s="279"/>
      <c r="AB37" s="279"/>
      <c r="AC37" s="155"/>
      <c r="AD37" s="152">
        <v>78</v>
      </c>
      <c r="AE37" s="153">
        <v>70</v>
      </c>
      <c r="AF37" s="153">
        <v>61</v>
      </c>
      <c r="AG37" s="153">
        <v>75</v>
      </c>
      <c r="AH37" s="154">
        <v>73</v>
      </c>
      <c r="AI37" s="154">
        <v>79</v>
      </c>
      <c r="AJ37" s="279">
        <v>49</v>
      </c>
      <c r="AK37" s="279">
        <v>49</v>
      </c>
      <c r="AL37" s="155"/>
      <c r="AM37" s="152">
        <v>57</v>
      </c>
      <c r="AN37" s="153">
        <v>43</v>
      </c>
      <c r="AO37" s="153">
        <v>40</v>
      </c>
      <c r="AP37" s="153">
        <v>42</v>
      </c>
      <c r="AQ37" s="154">
        <v>33</v>
      </c>
      <c r="AR37" s="154">
        <v>35</v>
      </c>
      <c r="AS37" s="279">
        <v>21</v>
      </c>
      <c r="AT37" s="279">
        <v>22</v>
      </c>
      <c r="AU37" s="155"/>
      <c r="AV37" s="152"/>
      <c r="AW37" s="153"/>
      <c r="AX37" s="153"/>
      <c r="AY37" s="153"/>
      <c r="AZ37" s="154"/>
      <c r="BA37" s="154"/>
      <c r="BB37" s="279"/>
      <c r="BC37" s="279"/>
      <c r="BD37" s="155"/>
      <c r="BE37" s="152">
        <v>11</v>
      </c>
      <c r="BF37" s="153">
        <v>10</v>
      </c>
      <c r="BG37" s="153">
        <v>24</v>
      </c>
      <c r="BH37" s="153">
        <v>18</v>
      </c>
      <c r="BI37" s="154">
        <v>6</v>
      </c>
      <c r="BJ37" s="154">
        <v>20</v>
      </c>
      <c r="BK37" s="279">
        <v>9</v>
      </c>
      <c r="BL37" s="279">
        <v>12</v>
      </c>
      <c r="BM37" s="155"/>
      <c r="BN37" s="152"/>
      <c r="BO37" s="153"/>
      <c r="BP37" s="153"/>
      <c r="BQ37" s="153"/>
      <c r="BR37" s="154"/>
      <c r="BS37" s="154"/>
      <c r="BT37" s="279"/>
      <c r="BU37" s="279"/>
      <c r="BV37" s="155"/>
      <c r="BW37" s="152">
        <v>43</v>
      </c>
      <c r="BX37" s="153">
        <v>65</v>
      </c>
      <c r="BY37" s="153">
        <v>75</v>
      </c>
      <c r="BZ37" s="153">
        <v>88</v>
      </c>
      <c r="CA37" s="154">
        <v>71</v>
      </c>
      <c r="CB37" s="154">
        <v>65</v>
      </c>
      <c r="CC37" s="279">
        <v>44</v>
      </c>
      <c r="CD37" s="279">
        <v>35</v>
      </c>
      <c r="CE37" s="155"/>
      <c r="CF37" s="152">
        <v>7</v>
      </c>
      <c r="CG37" s="153">
        <v>5</v>
      </c>
      <c r="CH37" s="153">
        <v>3</v>
      </c>
      <c r="CI37" s="153">
        <v>6</v>
      </c>
      <c r="CJ37" s="154">
        <v>5</v>
      </c>
      <c r="CK37" s="154">
        <v>5</v>
      </c>
      <c r="CL37" s="279">
        <v>3</v>
      </c>
      <c r="CM37" s="279">
        <v>3</v>
      </c>
      <c r="CN37" s="155"/>
      <c r="CO37" s="152">
        <v>1</v>
      </c>
      <c r="CP37" s="153">
        <v>5</v>
      </c>
      <c r="CQ37" s="153">
        <v>5</v>
      </c>
      <c r="CR37" s="153">
        <v>4</v>
      </c>
      <c r="CS37" s="154">
        <v>5</v>
      </c>
      <c r="CT37" s="154">
        <v>5</v>
      </c>
      <c r="CU37" s="279">
        <v>3</v>
      </c>
      <c r="CV37" s="279">
        <v>6</v>
      </c>
      <c r="CW37" s="155"/>
      <c r="CX37" s="152">
        <v>852</v>
      </c>
      <c r="CY37" s="153">
        <v>870</v>
      </c>
      <c r="CZ37" s="153">
        <v>1062</v>
      </c>
      <c r="DA37" s="153">
        <v>777</v>
      </c>
      <c r="DB37" s="154">
        <v>741</v>
      </c>
      <c r="DC37" s="154">
        <v>505</v>
      </c>
      <c r="DD37" s="279">
        <v>442</v>
      </c>
      <c r="DE37" s="279">
        <v>411</v>
      </c>
      <c r="DF37" s="155"/>
      <c r="DG37" s="152">
        <v>4</v>
      </c>
      <c r="DH37" s="153">
        <v>10</v>
      </c>
      <c r="DI37" s="153">
        <v>8</v>
      </c>
      <c r="DJ37" s="153">
        <v>6</v>
      </c>
      <c r="DK37" s="154">
        <v>6</v>
      </c>
      <c r="DL37" s="154">
        <v>3</v>
      </c>
      <c r="DM37" s="279"/>
      <c r="DN37" s="279"/>
      <c r="DO37" s="155"/>
      <c r="DP37" s="152">
        <v>44</v>
      </c>
      <c r="DQ37" s="153">
        <v>19</v>
      </c>
      <c r="DR37" s="153">
        <v>46</v>
      </c>
      <c r="DS37" s="153">
        <v>28</v>
      </c>
      <c r="DT37" s="154">
        <v>2</v>
      </c>
      <c r="DU37" s="154">
        <v>1</v>
      </c>
      <c r="DV37" s="279">
        <v>11</v>
      </c>
      <c r="DW37" s="279">
        <v>3</v>
      </c>
      <c r="DX37" s="155"/>
      <c r="DY37" s="152">
        <v>95</v>
      </c>
      <c r="DZ37" s="153">
        <v>79</v>
      </c>
      <c r="EA37" s="153">
        <v>85</v>
      </c>
      <c r="EB37" s="153">
        <v>104</v>
      </c>
      <c r="EC37" s="154">
        <v>100</v>
      </c>
      <c r="ED37" s="154">
        <v>99</v>
      </c>
      <c r="EE37" s="279">
        <v>80</v>
      </c>
      <c r="EF37" s="279">
        <v>45</v>
      </c>
      <c r="EG37" s="155"/>
      <c r="EH37" s="152">
        <v>10</v>
      </c>
      <c r="EI37" s="153">
        <v>10</v>
      </c>
      <c r="EJ37" s="153">
        <v>13</v>
      </c>
      <c r="EK37" s="153">
        <v>5</v>
      </c>
      <c r="EL37" s="154">
        <v>6</v>
      </c>
      <c r="EM37" s="154">
        <v>2</v>
      </c>
      <c r="EN37" s="279">
        <v>6</v>
      </c>
      <c r="EO37" s="279">
        <v>5</v>
      </c>
      <c r="EP37" s="155"/>
      <c r="EQ37" s="152">
        <v>1</v>
      </c>
      <c r="ER37" s="153">
        <v>2</v>
      </c>
      <c r="ES37" s="153">
        <v>4</v>
      </c>
      <c r="ET37" s="153"/>
      <c r="EU37" s="154"/>
      <c r="EV37" s="154">
        <v>2</v>
      </c>
      <c r="EW37" s="279">
        <v>4</v>
      </c>
      <c r="EX37" s="279">
        <v>3</v>
      </c>
      <c r="EY37" s="155"/>
      <c r="EZ37" s="152"/>
      <c r="FA37" s="153">
        <v>1</v>
      </c>
      <c r="FB37" s="153">
        <v>2</v>
      </c>
      <c r="FC37" s="153"/>
      <c r="FD37" s="154">
        <v>6</v>
      </c>
      <c r="FE37" s="154">
        <v>6</v>
      </c>
      <c r="FF37" s="279"/>
      <c r="FG37" s="279">
        <v>3</v>
      </c>
      <c r="FH37" s="155"/>
      <c r="FI37" s="152">
        <v>92</v>
      </c>
      <c r="FJ37" s="153">
        <v>81</v>
      </c>
      <c r="FK37" s="153">
        <v>56</v>
      </c>
      <c r="FL37" s="153">
        <v>42</v>
      </c>
      <c r="FM37" s="154">
        <v>39</v>
      </c>
      <c r="FN37" s="154">
        <v>24</v>
      </c>
      <c r="FO37" s="279">
        <v>18</v>
      </c>
      <c r="FP37" s="279">
        <v>27</v>
      </c>
      <c r="FQ37" s="155"/>
      <c r="FR37" s="152">
        <v>13</v>
      </c>
      <c r="FS37" s="153">
        <v>9</v>
      </c>
      <c r="FT37" s="153">
        <v>5</v>
      </c>
      <c r="FU37" s="153">
        <v>8</v>
      </c>
      <c r="FV37" s="154">
        <v>7</v>
      </c>
      <c r="FW37" s="154">
        <v>3</v>
      </c>
      <c r="FX37" s="279">
        <v>3</v>
      </c>
      <c r="FY37" s="279">
        <v>3</v>
      </c>
      <c r="FZ37" s="155"/>
      <c r="GA37" s="152">
        <v>3</v>
      </c>
      <c r="GB37" s="153">
        <v>11</v>
      </c>
      <c r="GC37" s="153">
        <v>5</v>
      </c>
      <c r="GD37" s="153">
        <v>10</v>
      </c>
      <c r="GE37" s="154">
        <v>5</v>
      </c>
      <c r="GF37" s="154">
        <v>6</v>
      </c>
      <c r="GG37" s="279">
        <v>8</v>
      </c>
      <c r="GH37" s="279">
        <v>10</v>
      </c>
      <c r="GI37" s="155"/>
      <c r="GJ37" s="152">
        <v>1111</v>
      </c>
      <c r="GK37" s="153">
        <v>1139</v>
      </c>
      <c r="GL37" s="153">
        <v>1315</v>
      </c>
      <c r="GM37" s="153">
        <v>1033</v>
      </c>
      <c r="GN37" s="154">
        <v>964</v>
      </c>
      <c r="GO37" s="154">
        <v>722</v>
      </c>
      <c r="GP37" s="279">
        <v>589</v>
      </c>
      <c r="GQ37" s="279">
        <v>567</v>
      </c>
      <c r="GR37" s="155"/>
      <c r="GS37" s="152">
        <v>291</v>
      </c>
      <c r="GT37" s="153">
        <v>344</v>
      </c>
      <c r="GU37" s="153">
        <v>485</v>
      </c>
      <c r="GV37" s="153">
        <v>294</v>
      </c>
      <c r="GW37" s="154">
        <v>154</v>
      </c>
      <c r="GX37" s="154">
        <v>139</v>
      </c>
      <c r="GY37" s="279">
        <v>110</v>
      </c>
      <c r="GZ37" s="279">
        <v>108</v>
      </c>
      <c r="HA37" s="155"/>
      <c r="HB37" s="152">
        <v>1</v>
      </c>
      <c r="HC37" s="153">
        <v>4</v>
      </c>
      <c r="HD37" s="153">
        <v>4</v>
      </c>
      <c r="HE37" s="153">
        <v>7</v>
      </c>
      <c r="HF37" s="154">
        <v>8</v>
      </c>
      <c r="HG37" s="154"/>
      <c r="HH37" s="279">
        <v>9</v>
      </c>
      <c r="HI37" s="279">
        <v>2</v>
      </c>
      <c r="HJ37" s="155"/>
      <c r="HK37" s="152">
        <v>3</v>
      </c>
      <c r="HL37" s="153">
        <v>5</v>
      </c>
      <c r="HM37" s="153">
        <v>3</v>
      </c>
      <c r="HN37" s="153">
        <v>1</v>
      </c>
      <c r="HO37" s="154">
        <v>3</v>
      </c>
      <c r="HP37" s="154"/>
      <c r="HQ37" s="279">
        <v>2</v>
      </c>
      <c r="HR37" s="279">
        <v>1</v>
      </c>
      <c r="HS37" s="155"/>
      <c r="HT37" s="152">
        <v>471</v>
      </c>
      <c r="HU37" s="153">
        <v>478</v>
      </c>
      <c r="HV37" s="153">
        <v>641</v>
      </c>
      <c r="HW37" s="153">
        <v>569</v>
      </c>
      <c r="HX37" s="154">
        <v>541</v>
      </c>
      <c r="HY37" s="154">
        <v>542</v>
      </c>
      <c r="HZ37" s="279">
        <v>470</v>
      </c>
      <c r="IA37" s="279">
        <v>439</v>
      </c>
      <c r="IB37" s="155"/>
      <c r="IC37" s="152">
        <v>1794</v>
      </c>
      <c r="ID37" s="153">
        <v>2030</v>
      </c>
      <c r="IE37" s="153">
        <v>2232</v>
      </c>
      <c r="IF37" s="153">
        <v>1793</v>
      </c>
      <c r="IG37" s="154">
        <v>1872</v>
      </c>
      <c r="IH37" s="154">
        <v>1766</v>
      </c>
      <c r="II37" s="279">
        <v>2188</v>
      </c>
      <c r="IJ37" s="279">
        <v>1542</v>
      </c>
      <c r="IK37" s="155"/>
    </row>
    <row r="38" spans="1:245" x14ac:dyDescent="0.2">
      <c r="A38" s="961"/>
      <c r="B38" s="151" t="s">
        <v>659</v>
      </c>
      <c r="C38" s="152"/>
      <c r="D38" s="153"/>
      <c r="E38" s="153"/>
      <c r="F38" s="153"/>
      <c r="G38" s="154"/>
      <c r="H38" s="154"/>
      <c r="I38" s="279"/>
      <c r="J38" s="279"/>
      <c r="K38" s="155"/>
      <c r="L38" s="152"/>
      <c r="M38" s="153"/>
      <c r="N38" s="153"/>
      <c r="O38" s="153"/>
      <c r="P38" s="154"/>
      <c r="Q38" s="154"/>
      <c r="R38" s="279"/>
      <c r="S38" s="279"/>
      <c r="T38" s="155"/>
      <c r="U38" s="152"/>
      <c r="V38" s="153"/>
      <c r="W38" s="153"/>
      <c r="X38" s="153"/>
      <c r="Y38" s="154"/>
      <c r="Z38" s="154"/>
      <c r="AA38" s="279"/>
      <c r="AB38" s="279"/>
      <c r="AC38" s="155"/>
      <c r="AD38" s="152">
        <v>73</v>
      </c>
      <c r="AE38" s="153">
        <v>67</v>
      </c>
      <c r="AF38" s="153">
        <v>80</v>
      </c>
      <c r="AG38" s="153">
        <v>74</v>
      </c>
      <c r="AH38" s="154">
        <v>56</v>
      </c>
      <c r="AI38" s="154">
        <v>41</v>
      </c>
      <c r="AJ38" s="279">
        <v>53</v>
      </c>
      <c r="AK38" s="279">
        <v>24</v>
      </c>
      <c r="AL38" s="155"/>
      <c r="AM38" s="152">
        <v>30</v>
      </c>
      <c r="AN38" s="153">
        <v>28</v>
      </c>
      <c r="AO38" s="153">
        <v>29</v>
      </c>
      <c r="AP38" s="153">
        <v>19</v>
      </c>
      <c r="AQ38" s="154">
        <v>25</v>
      </c>
      <c r="AR38" s="154">
        <v>17</v>
      </c>
      <c r="AS38" s="279">
        <v>19</v>
      </c>
      <c r="AT38" s="279">
        <v>8</v>
      </c>
      <c r="AU38" s="155"/>
      <c r="AV38" s="152"/>
      <c r="AW38" s="153"/>
      <c r="AX38" s="153"/>
      <c r="AY38" s="153"/>
      <c r="AZ38" s="154"/>
      <c r="BA38" s="154"/>
      <c r="BB38" s="279"/>
      <c r="BC38" s="279"/>
      <c r="BD38" s="155"/>
      <c r="BE38" s="152">
        <v>3</v>
      </c>
      <c r="BF38" s="153">
        <v>26</v>
      </c>
      <c r="BG38" s="153">
        <v>7</v>
      </c>
      <c r="BH38" s="153">
        <v>19</v>
      </c>
      <c r="BI38" s="154">
        <v>8</v>
      </c>
      <c r="BJ38" s="154">
        <v>2</v>
      </c>
      <c r="BK38" s="279">
        <v>5</v>
      </c>
      <c r="BL38" s="279">
        <v>3</v>
      </c>
      <c r="BM38" s="155"/>
      <c r="BN38" s="152"/>
      <c r="BO38" s="153"/>
      <c r="BP38" s="153"/>
      <c r="BQ38" s="153"/>
      <c r="BR38" s="154"/>
      <c r="BS38" s="154"/>
      <c r="BT38" s="279"/>
      <c r="BU38" s="279"/>
      <c r="BV38" s="155"/>
      <c r="BW38" s="152">
        <v>37</v>
      </c>
      <c r="BX38" s="153">
        <v>49</v>
      </c>
      <c r="BY38" s="153">
        <v>50</v>
      </c>
      <c r="BZ38" s="153">
        <v>63</v>
      </c>
      <c r="CA38" s="154">
        <v>31</v>
      </c>
      <c r="CB38" s="154">
        <v>26</v>
      </c>
      <c r="CC38" s="279">
        <v>18</v>
      </c>
      <c r="CD38" s="279">
        <v>19</v>
      </c>
      <c r="CE38" s="155"/>
      <c r="CF38" s="152">
        <v>5</v>
      </c>
      <c r="CG38" s="153">
        <v>5</v>
      </c>
      <c r="CH38" s="153">
        <v>1</v>
      </c>
      <c r="CI38" s="153">
        <v>6</v>
      </c>
      <c r="CJ38" s="154">
        <v>4</v>
      </c>
      <c r="CK38" s="154"/>
      <c r="CL38" s="279">
        <v>2</v>
      </c>
      <c r="CM38" s="279"/>
      <c r="CN38" s="155"/>
      <c r="CO38" s="152">
        <v>7</v>
      </c>
      <c r="CP38" s="153">
        <v>4</v>
      </c>
      <c r="CQ38" s="153">
        <v>12</v>
      </c>
      <c r="CR38" s="153">
        <v>9</v>
      </c>
      <c r="CS38" s="154">
        <v>4</v>
      </c>
      <c r="CT38" s="154">
        <v>2</v>
      </c>
      <c r="CU38" s="279">
        <v>1</v>
      </c>
      <c r="CV38" s="279">
        <v>2</v>
      </c>
      <c r="CW38" s="155"/>
      <c r="CX38" s="152">
        <v>780</v>
      </c>
      <c r="CY38" s="153">
        <v>563</v>
      </c>
      <c r="CZ38" s="153">
        <v>597</v>
      </c>
      <c r="DA38" s="153">
        <v>582</v>
      </c>
      <c r="DB38" s="154">
        <v>503</v>
      </c>
      <c r="DC38" s="154">
        <v>404</v>
      </c>
      <c r="DD38" s="279">
        <v>271</v>
      </c>
      <c r="DE38" s="279">
        <v>279</v>
      </c>
      <c r="DF38" s="155"/>
      <c r="DG38" s="152">
        <v>2</v>
      </c>
      <c r="DH38" s="153">
        <v>3</v>
      </c>
      <c r="DI38" s="153">
        <v>3</v>
      </c>
      <c r="DJ38" s="153">
        <v>1</v>
      </c>
      <c r="DK38" s="154">
        <v>1</v>
      </c>
      <c r="DL38" s="154">
        <v>4</v>
      </c>
      <c r="DM38" s="279"/>
      <c r="DN38" s="279"/>
      <c r="DO38" s="155"/>
      <c r="DP38" s="152">
        <v>11</v>
      </c>
      <c r="DQ38" s="153">
        <v>29</v>
      </c>
      <c r="DR38" s="153">
        <v>8</v>
      </c>
      <c r="DS38" s="153">
        <v>8</v>
      </c>
      <c r="DT38" s="154">
        <v>8</v>
      </c>
      <c r="DU38" s="154">
        <v>3</v>
      </c>
      <c r="DV38" s="279">
        <v>3</v>
      </c>
      <c r="DW38" s="279">
        <v>2</v>
      </c>
      <c r="DX38" s="155"/>
      <c r="DY38" s="152">
        <v>80</v>
      </c>
      <c r="DZ38" s="153">
        <v>47</v>
      </c>
      <c r="EA38" s="153">
        <v>38</v>
      </c>
      <c r="EB38" s="153">
        <v>77</v>
      </c>
      <c r="EC38" s="154">
        <v>76</v>
      </c>
      <c r="ED38" s="154">
        <v>75</v>
      </c>
      <c r="EE38" s="279">
        <v>29</v>
      </c>
      <c r="EF38" s="279">
        <v>61</v>
      </c>
      <c r="EG38" s="155"/>
      <c r="EH38" s="152">
        <v>11</v>
      </c>
      <c r="EI38" s="153">
        <v>4</v>
      </c>
      <c r="EJ38" s="153">
        <v>5</v>
      </c>
      <c r="EK38" s="153">
        <v>10</v>
      </c>
      <c r="EL38" s="154">
        <v>6</v>
      </c>
      <c r="EM38" s="154">
        <v>1</v>
      </c>
      <c r="EN38" s="279">
        <v>1</v>
      </c>
      <c r="EO38" s="279">
        <v>9</v>
      </c>
      <c r="EP38" s="155"/>
      <c r="EQ38" s="152">
        <v>4</v>
      </c>
      <c r="ER38" s="153"/>
      <c r="ES38" s="153">
        <v>3</v>
      </c>
      <c r="ET38" s="153">
        <v>1</v>
      </c>
      <c r="EU38" s="154">
        <v>1</v>
      </c>
      <c r="EV38" s="154">
        <v>1</v>
      </c>
      <c r="EW38" s="279">
        <v>4</v>
      </c>
      <c r="EX38" s="279">
        <v>3</v>
      </c>
      <c r="EY38" s="155"/>
      <c r="EZ38" s="152">
        <v>4</v>
      </c>
      <c r="FA38" s="153">
        <v>1</v>
      </c>
      <c r="FB38" s="153"/>
      <c r="FC38" s="153">
        <v>2</v>
      </c>
      <c r="FD38" s="154">
        <v>1</v>
      </c>
      <c r="FE38" s="154">
        <v>4</v>
      </c>
      <c r="FF38" s="279">
        <v>6</v>
      </c>
      <c r="FG38" s="279">
        <v>2</v>
      </c>
      <c r="FH38" s="155"/>
      <c r="FI38" s="152">
        <v>63</v>
      </c>
      <c r="FJ38" s="153">
        <v>61</v>
      </c>
      <c r="FK38" s="153">
        <v>44</v>
      </c>
      <c r="FL38" s="153">
        <v>26</v>
      </c>
      <c r="FM38" s="154">
        <v>26</v>
      </c>
      <c r="FN38" s="154">
        <v>10</v>
      </c>
      <c r="FO38" s="279">
        <v>11</v>
      </c>
      <c r="FP38" s="279">
        <v>27</v>
      </c>
      <c r="FQ38" s="155"/>
      <c r="FR38" s="152">
        <v>13</v>
      </c>
      <c r="FS38" s="153">
        <v>5</v>
      </c>
      <c r="FT38" s="153">
        <v>5</v>
      </c>
      <c r="FU38" s="153">
        <v>3</v>
      </c>
      <c r="FV38" s="154">
        <v>3</v>
      </c>
      <c r="FW38" s="154">
        <v>6</v>
      </c>
      <c r="FX38" s="279">
        <v>2</v>
      </c>
      <c r="FY38" s="279">
        <v>3</v>
      </c>
      <c r="FZ38" s="155"/>
      <c r="GA38" s="152">
        <v>3</v>
      </c>
      <c r="GB38" s="153">
        <v>5</v>
      </c>
      <c r="GC38" s="153">
        <v>7</v>
      </c>
      <c r="GD38" s="153">
        <v>7</v>
      </c>
      <c r="GE38" s="154">
        <v>4</v>
      </c>
      <c r="GF38" s="154">
        <v>6</v>
      </c>
      <c r="GG38" s="279">
        <v>8</v>
      </c>
      <c r="GH38" s="279">
        <v>6</v>
      </c>
      <c r="GI38" s="155"/>
      <c r="GJ38" s="152">
        <v>1003</v>
      </c>
      <c r="GK38" s="153">
        <v>790</v>
      </c>
      <c r="GL38" s="153">
        <v>811</v>
      </c>
      <c r="GM38" s="153">
        <v>802</v>
      </c>
      <c r="GN38" s="154">
        <v>647</v>
      </c>
      <c r="GO38" s="154">
        <v>503</v>
      </c>
      <c r="GP38" s="279">
        <v>382</v>
      </c>
      <c r="GQ38" s="279">
        <v>377</v>
      </c>
      <c r="GR38" s="155"/>
      <c r="GS38" s="152">
        <v>275</v>
      </c>
      <c r="GT38" s="153">
        <v>257</v>
      </c>
      <c r="GU38" s="153">
        <v>206</v>
      </c>
      <c r="GV38" s="153">
        <v>161</v>
      </c>
      <c r="GW38" s="154">
        <v>84</v>
      </c>
      <c r="GX38" s="154">
        <v>97</v>
      </c>
      <c r="GY38" s="279">
        <v>74</v>
      </c>
      <c r="GZ38" s="279">
        <v>87</v>
      </c>
      <c r="HA38" s="155"/>
      <c r="HB38" s="152">
        <v>1</v>
      </c>
      <c r="HC38" s="153"/>
      <c r="HD38" s="153">
        <v>2</v>
      </c>
      <c r="HE38" s="153"/>
      <c r="HF38" s="154">
        <v>1</v>
      </c>
      <c r="HG38" s="154">
        <v>1</v>
      </c>
      <c r="HH38" s="279">
        <v>1</v>
      </c>
      <c r="HI38" s="279">
        <v>1</v>
      </c>
      <c r="HJ38" s="155"/>
      <c r="HK38" s="152">
        <v>1</v>
      </c>
      <c r="HL38" s="153">
        <v>1</v>
      </c>
      <c r="HM38" s="153"/>
      <c r="HN38" s="153"/>
      <c r="HO38" s="154"/>
      <c r="HP38" s="154"/>
      <c r="HQ38" s="279">
        <v>1</v>
      </c>
      <c r="HR38" s="279">
        <v>1</v>
      </c>
      <c r="HS38" s="155"/>
      <c r="HT38" s="152">
        <v>367</v>
      </c>
      <c r="HU38" s="153">
        <v>325</v>
      </c>
      <c r="HV38" s="153">
        <v>339</v>
      </c>
      <c r="HW38" s="153">
        <v>270</v>
      </c>
      <c r="HX38" s="154">
        <v>188</v>
      </c>
      <c r="HY38" s="154">
        <v>225</v>
      </c>
      <c r="HZ38" s="279">
        <v>200</v>
      </c>
      <c r="IA38" s="279">
        <v>219</v>
      </c>
      <c r="IB38" s="155"/>
      <c r="IC38" s="152">
        <v>1580</v>
      </c>
      <c r="ID38" s="153">
        <v>1352</v>
      </c>
      <c r="IE38" s="153">
        <v>1584</v>
      </c>
      <c r="IF38" s="153">
        <v>1347</v>
      </c>
      <c r="IG38" s="154">
        <v>1041</v>
      </c>
      <c r="IH38" s="154">
        <v>1429</v>
      </c>
      <c r="II38" s="279">
        <v>771</v>
      </c>
      <c r="IJ38" s="279">
        <v>744</v>
      </c>
      <c r="IK38" s="155"/>
    </row>
    <row r="39" spans="1:245" x14ac:dyDescent="0.2">
      <c r="A39" s="961"/>
      <c r="B39" s="151" t="s">
        <v>660</v>
      </c>
      <c r="C39" s="152"/>
      <c r="D39" s="153"/>
      <c r="E39" s="153"/>
      <c r="F39" s="153"/>
      <c r="G39" s="154"/>
      <c r="H39" s="154"/>
      <c r="I39" s="279"/>
      <c r="J39" s="279"/>
      <c r="K39" s="155"/>
      <c r="L39" s="152"/>
      <c r="M39" s="153"/>
      <c r="N39" s="153"/>
      <c r="O39" s="153"/>
      <c r="P39" s="154"/>
      <c r="Q39" s="154"/>
      <c r="R39" s="279"/>
      <c r="S39" s="279"/>
      <c r="T39" s="155"/>
      <c r="U39" s="152"/>
      <c r="V39" s="153"/>
      <c r="W39" s="153"/>
      <c r="X39" s="153"/>
      <c r="Y39" s="154"/>
      <c r="Z39" s="154"/>
      <c r="AA39" s="279"/>
      <c r="AB39" s="279"/>
      <c r="AC39" s="155"/>
      <c r="AD39" s="152">
        <v>72</v>
      </c>
      <c r="AE39" s="153">
        <v>68</v>
      </c>
      <c r="AF39" s="153">
        <v>97</v>
      </c>
      <c r="AG39" s="153">
        <v>106</v>
      </c>
      <c r="AH39" s="154">
        <v>83</v>
      </c>
      <c r="AI39" s="154">
        <v>109</v>
      </c>
      <c r="AJ39" s="279">
        <v>68</v>
      </c>
      <c r="AK39" s="279">
        <v>66</v>
      </c>
      <c r="AL39" s="155"/>
      <c r="AM39" s="152">
        <v>29</v>
      </c>
      <c r="AN39" s="153">
        <v>19</v>
      </c>
      <c r="AO39" s="153">
        <v>28</v>
      </c>
      <c r="AP39" s="153">
        <v>39</v>
      </c>
      <c r="AQ39" s="154">
        <v>31</v>
      </c>
      <c r="AR39" s="154">
        <v>35</v>
      </c>
      <c r="AS39" s="279">
        <v>22</v>
      </c>
      <c r="AT39" s="279">
        <v>27</v>
      </c>
      <c r="AU39" s="155"/>
      <c r="AV39" s="152"/>
      <c r="AW39" s="153"/>
      <c r="AX39" s="153"/>
      <c r="AY39" s="153"/>
      <c r="AZ39" s="154"/>
      <c r="BA39" s="154"/>
      <c r="BB39" s="279"/>
      <c r="BC39" s="279"/>
      <c r="BD39" s="155"/>
      <c r="BE39" s="152">
        <v>22</v>
      </c>
      <c r="BF39" s="153">
        <v>13</v>
      </c>
      <c r="BG39" s="153">
        <v>10</v>
      </c>
      <c r="BH39" s="153">
        <v>20</v>
      </c>
      <c r="BI39" s="154">
        <v>11</v>
      </c>
      <c r="BJ39" s="154">
        <v>25</v>
      </c>
      <c r="BK39" s="279">
        <v>11</v>
      </c>
      <c r="BL39" s="279">
        <v>10</v>
      </c>
      <c r="BM39" s="155"/>
      <c r="BN39" s="152"/>
      <c r="BO39" s="153"/>
      <c r="BP39" s="153"/>
      <c r="BQ39" s="153"/>
      <c r="BR39" s="154"/>
      <c r="BS39" s="154">
        <v>3</v>
      </c>
      <c r="BT39" s="279">
        <v>4</v>
      </c>
      <c r="BU39" s="279"/>
      <c r="BV39" s="155"/>
      <c r="BW39" s="152">
        <v>57</v>
      </c>
      <c r="BX39" s="153">
        <v>69</v>
      </c>
      <c r="BY39" s="153">
        <v>86</v>
      </c>
      <c r="BZ39" s="153">
        <v>103</v>
      </c>
      <c r="CA39" s="154">
        <v>80</v>
      </c>
      <c r="CB39" s="154">
        <v>96</v>
      </c>
      <c r="CC39" s="279">
        <v>53</v>
      </c>
      <c r="CD39" s="279">
        <v>74</v>
      </c>
      <c r="CE39" s="155"/>
      <c r="CF39" s="152">
        <v>1</v>
      </c>
      <c r="CG39" s="153">
        <v>3</v>
      </c>
      <c r="CH39" s="153">
        <v>4</v>
      </c>
      <c r="CI39" s="153">
        <v>1</v>
      </c>
      <c r="CJ39" s="154">
        <v>3</v>
      </c>
      <c r="CK39" s="154">
        <v>2</v>
      </c>
      <c r="CL39" s="279">
        <v>1</v>
      </c>
      <c r="CM39" s="279"/>
      <c r="CN39" s="155"/>
      <c r="CO39" s="152">
        <v>8</v>
      </c>
      <c r="CP39" s="153">
        <v>14</v>
      </c>
      <c r="CQ39" s="153">
        <v>6</v>
      </c>
      <c r="CR39" s="153">
        <v>1</v>
      </c>
      <c r="CS39" s="154"/>
      <c r="CT39" s="154">
        <v>1</v>
      </c>
      <c r="CU39" s="279">
        <v>7</v>
      </c>
      <c r="CV39" s="279"/>
      <c r="CW39" s="155"/>
      <c r="CX39" s="152">
        <v>490</v>
      </c>
      <c r="CY39" s="153">
        <v>394</v>
      </c>
      <c r="CZ39" s="153">
        <v>445</v>
      </c>
      <c r="DA39" s="153">
        <v>493</v>
      </c>
      <c r="DB39" s="154">
        <v>454</v>
      </c>
      <c r="DC39" s="154">
        <v>441</v>
      </c>
      <c r="DD39" s="279">
        <v>364</v>
      </c>
      <c r="DE39" s="279">
        <v>351</v>
      </c>
      <c r="DF39" s="155"/>
      <c r="DG39" s="152">
        <v>7</v>
      </c>
      <c r="DH39" s="153">
        <v>5</v>
      </c>
      <c r="DI39" s="153">
        <v>4</v>
      </c>
      <c r="DJ39" s="153">
        <v>1</v>
      </c>
      <c r="DK39" s="154">
        <v>7</v>
      </c>
      <c r="DL39" s="154">
        <v>4</v>
      </c>
      <c r="DM39" s="279">
        <v>1</v>
      </c>
      <c r="DN39" s="279">
        <v>5</v>
      </c>
      <c r="DO39" s="155"/>
      <c r="DP39" s="152">
        <v>29</v>
      </c>
      <c r="DQ39" s="153">
        <v>20</v>
      </c>
      <c r="DR39" s="153">
        <v>14</v>
      </c>
      <c r="DS39" s="153">
        <v>12</v>
      </c>
      <c r="DT39" s="154">
        <v>8</v>
      </c>
      <c r="DU39" s="154">
        <v>29</v>
      </c>
      <c r="DV39" s="279">
        <v>16</v>
      </c>
      <c r="DW39" s="279">
        <v>12</v>
      </c>
      <c r="DX39" s="155"/>
      <c r="DY39" s="152">
        <v>66</v>
      </c>
      <c r="DZ39" s="153">
        <v>40</v>
      </c>
      <c r="EA39" s="153">
        <v>73</v>
      </c>
      <c r="EB39" s="153">
        <v>59</v>
      </c>
      <c r="EC39" s="154">
        <v>97</v>
      </c>
      <c r="ED39" s="154">
        <v>87</v>
      </c>
      <c r="EE39" s="279">
        <v>67</v>
      </c>
      <c r="EF39" s="279">
        <v>72</v>
      </c>
      <c r="EG39" s="155"/>
      <c r="EH39" s="152">
        <v>7</v>
      </c>
      <c r="EI39" s="153">
        <v>3</v>
      </c>
      <c r="EJ39" s="153">
        <v>4</v>
      </c>
      <c r="EK39" s="153">
        <v>12</v>
      </c>
      <c r="EL39" s="154">
        <v>5</v>
      </c>
      <c r="EM39" s="154">
        <v>9</v>
      </c>
      <c r="EN39" s="279">
        <v>1</v>
      </c>
      <c r="EO39" s="279">
        <v>1</v>
      </c>
      <c r="EP39" s="155"/>
      <c r="EQ39" s="152"/>
      <c r="ER39" s="153">
        <v>1</v>
      </c>
      <c r="ES39" s="153"/>
      <c r="ET39" s="153">
        <v>2</v>
      </c>
      <c r="EU39" s="154">
        <v>1</v>
      </c>
      <c r="EV39" s="154"/>
      <c r="EW39" s="279"/>
      <c r="EX39" s="279">
        <v>2</v>
      </c>
      <c r="EY39" s="155"/>
      <c r="EZ39" s="152">
        <v>4</v>
      </c>
      <c r="FA39" s="153">
        <v>2</v>
      </c>
      <c r="FB39" s="153">
        <v>3</v>
      </c>
      <c r="FC39" s="153">
        <v>1</v>
      </c>
      <c r="FD39" s="154"/>
      <c r="FE39" s="154">
        <v>4</v>
      </c>
      <c r="FF39" s="279">
        <v>1</v>
      </c>
      <c r="FG39" s="279">
        <v>3</v>
      </c>
      <c r="FH39" s="155"/>
      <c r="FI39" s="152">
        <v>40</v>
      </c>
      <c r="FJ39" s="153">
        <v>25</v>
      </c>
      <c r="FK39" s="153">
        <v>27</v>
      </c>
      <c r="FL39" s="153">
        <v>26</v>
      </c>
      <c r="FM39" s="154">
        <v>26</v>
      </c>
      <c r="FN39" s="154">
        <v>21</v>
      </c>
      <c r="FO39" s="279">
        <v>28</v>
      </c>
      <c r="FP39" s="279">
        <v>25</v>
      </c>
      <c r="FQ39" s="155"/>
      <c r="FR39" s="152">
        <v>9</v>
      </c>
      <c r="FS39" s="153">
        <v>3</v>
      </c>
      <c r="FT39" s="153">
        <v>3</v>
      </c>
      <c r="FU39" s="153">
        <v>1</v>
      </c>
      <c r="FV39" s="154">
        <v>6</v>
      </c>
      <c r="FW39" s="154">
        <v>3</v>
      </c>
      <c r="FX39" s="279">
        <v>1</v>
      </c>
      <c r="FY39" s="279">
        <v>2</v>
      </c>
      <c r="FZ39" s="155"/>
      <c r="GA39" s="152">
        <v>6</v>
      </c>
      <c r="GB39" s="153">
        <v>6</v>
      </c>
      <c r="GC39" s="153">
        <v>5</v>
      </c>
      <c r="GD39" s="153">
        <v>1</v>
      </c>
      <c r="GE39" s="154">
        <v>1</v>
      </c>
      <c r="GF39" s="154">
        <v>5</v>
      </c>
      <c r="GG39" s="279">
        <v>7</v>
      </c>
      <c r="GH39" s="279">
        <v>4</v>
      </c>
      <c r="GI39" s="155"/>
      <c r="GJ39" s="152">
        <v>716</v>
      </c>
      <c r="GK39" s="153">
        <v>601</v>
      </c>
      <c r="GL39" s="153">
        <v>690</v>
      </c>
      <c r="GM39" s="153">
        <v>767</v>
      </c>
      <c r="GN39" s="154">
        <v>670</v>
      </c>
      <c r="GO39" s="154">
        <v>719</v>
      </c>
      <c r="GP39" s="279">
        <v>546</v>
      </c>
      <c r="GQ39" s="279">
        <v>538</v>
      </c>
      <c r="GR39" s="155"/>
      <c r="GS39" s="152">
        <v>212</v>
      </c>
      <c r="GT39" s="153">
        <v>159</v>
      </c>
      <c r="GU39" s="153">
        <v>194</v>
      </c>
      <c r="GV39" s="153">
        <v>240</v>
      </c>
      <c r="GW39" s="154">
        <v>129</v>
      </c>
      <c r="GX39" s="154">
        <v>133</v>
      </c>
      <c r="GY39" s="279">
        <v>131</v>
      </c>
      <c r="GZ39" s="279">
        <v>101</v>
      </c>
      <c r="HA39" s="155"/>
      <c r="HB39" s="152">
        <v>10</v>
      </c>
      <c r="HC39" s="153">
        <v>8</v>
      </c>
      <c r="HD39" s="153">
        <v>2</v>
      </c>
      <c r="HE39" s="153">
        <v>9</v>
      </c>
      <c r="HF39" s="154">
        <v>5</v>
      </c>
      <c r="HG39" s="154">
        <v>6</v>
      </c>
      <c r="HH39" s="279">
        <v>6</v>
      </c>
      <c r="HI39" s="279">
        <v>5</v>
      </c>
      <c r="HJ39" s="155"/>
      <c r="HK39" s="152">
        <v>7</v>
      </c>
      <c r="HL39" s="153">
        <v>7</v>
      </c>
      <c r="HM39" s="153">
        <v>1</v>
      </c>
      <c r="HN39" s="153">
        <v>3</v>
      </c>
      <c r="HO39" s="154">
        <v>1</v>
      </c>
      <c r="HP39" s="154">
        <v>2</v>
      </c>
      <c r="HQ39" s="279">
        <v>4</v>
      </c>
      <c r="HR39" s="279">
        <v>2</v>
      </c>
      <c r="HS39" s="155"/>
      <c r="HT39" s="152">
        <v>446</v>
      </c>
      <c r="HU39" s="153">
        <v>398</v>
      </c>
      <c r="HV39" s="153">
        <v>420</v>
      </c>
      <c r="HW39" s="153">
        <v>502</v>
      </c>
      <c r="HX39" s="154">
        <v>375</v>
      </c>
      <c r="HY39" s="154">
        <v>398</v>
      </c>
      <c r="HZ39" s="279">
        <v>386</v>
      </c>
      <c r="IA39" s="279">
        <v>435</v>
      </c>
      <c r="IB39" s="155"/>
      <c r="IC39" s="152">
        <v>1680</v>
      </c>
      <c r="ID39" s="153">
        <v>1320</v>
      </c>
      <c r="IE39" s="153">
        <v>1345</v>
      </c>
      <c r="IF39" s="153">
        <v>1426</v>
      </c>
      <c r="IG39" s="154">
        <v>1355</v>
      </c>
      <c r="IH39" s="154">
        <v>1575</v>
      </c>
      <c r="II39" s="279">
        <v>1362</v>
      </c>
      <c r="IJ39" s="279">
        <v>1177</v>
      </c>
      <c r="IK39" s="155"/>
    </row>
    <row r="40" spans="1:245" x14ac:dyDescent="0.2">
      <c r="A40" s="961"/>
      <c r="B40" s="151" t="s">
        <v>769</v>
      </c>
      <c r="C40" s="152"/>
      <c r="D40" s="153"/>
      <c r="E40" s="153"/>
      <c r="F40" s="153"/>
      <c r="G40" s="154"/>
      <c r="H40" s="154"/>
      <c r="I40" s="279"/>
      <c r="J40" s="279"/>
      <c r="K40" s="155"/>
      <c r="L40" s="152"/>
      <c r="M40" s="153"/>
      <c r="N40" s="153"/>
      <c r="O40" s="153"/>
      <c r="P40" s="154"/>
      <c r="Q40" s="154"/>
      <c r="R40" s="279"/>
      <c r="S40" s="279"/>
      <c r="T40" s="155"/>
      <c r="U40" s="152"/>
      <c r="V40" s="153"/>
      <c r="W40" s="153"/>
      <c r="X40" s="153"/>
      <c r="Y40" s="154"/>
      <c r="Z40" s="154"/>
      <c r="AA40" s="279"/>
      <c r="AB40" s="279"/>
      <c r="AC40" s="155"/>
      <c r="AD40" s="152">
        <v>47</v>
      </c>
      <c r="AE40" s="153">
        <v>41</v>
      </c>
      <c r="AF40" s="153">
        <v>48</v>
      </c>
      <c r="AG40" s="153">
        <v>58</v>
      </c>
      <c r="AH40" s="154">
        <v>36</v>
      </c>
      <c r="AI40" s="154">
        <v>43</v>
      </c>
      <c r="AJ40" s="279">
        <v>21</v>
      </c>
      <c r="AK40" s="279">
        <v>25</v>
      </c>
      <c r="AL40" s="155"/>
      <c r="AM40" s="152">
        <v>29</v>
      </c>
      <c r="AN40" s="153">
        <v>26</v>
      </c>
      <c r="AO40" s="153">
        <v>29</v>
      </c>
      <c r="AP40" s="153">
        <v>34</v>
      </c>
      <c r="AQ40" s="154">
        <v>13</v>
      </c>
      <c r="AR40" s="154">
        <v>21</v>
      </c>
      <c r="AS40" s="279">
        <v>8</v>
      </c>
      <c r="AT40" s="279">
        <v>13</v>
      </c>
      <c r="AU40" s="155"/>
      <c r="AV40" s="152"/>
      <c r="AW40" s="153"/>
      <c r="AX40" s="153"/>
      <c r="AY40" s="153"/>
      <c r="AZ40" s="154"/>
      <c r="BA40" s="154"/>
      <c r="BB40" s="279"/>
      <c r="BC40" s="279"/>
      <c r="BD40" s="155"/>
      <c r="BE40" s="152">
        <v>13</v>
      </c>
      <c r="BF40" s="153">
        <v>8</v>
      </c>
      <c r="BG40" s="153">
        <v>5</v>
      </c>
      <c r="BH40" s="153">
        <v>6</v>
      </c>
      <c r="BI40" s="154">
        <v>13</v>
      </c>
      <c r="BJ40" s="154">
        <v>13</v>
      </c>
      <c r="BK40" s="279">
        <v>9</v>
      </c>
      <c r="BL40" s="279">
        <v>16</v>
      </c>
      <c r="BM40" s="155"/>
      <c r="BN40" s="152"/>
      <c r="BO40" s="153"/>
      <c r="BP40" s="153"/>
      <c r="BQ40" s="153"/>
      <c r="BR40" s="154"/>
      <c r="BS40" s="154">
        <v>6</v>
      </c>
      <c r="BT40" s="279">
        <v>2</v>
      </c>
      <c r="BU40" s="279"/>
      <c r="BV40" s="155"/>
      <c r="BW40" s="152">
        <v>31</v>
      </c>
      <c r="BX40" s="153">
        <v>35</v>
      </c>
      <c r="BY40" s="153">
        <v>43</v>
      </c>
      <c r="BZ40" s="153">
        <v>43</v>
      </c>
      <c r="CA40" s="154">
        <v>30</v>
      </c>
      <c r="CB40" s="154">
        <v>40</v>
      </c>
      <c r="CC40" s="279">
        <v>30</v>
      </c>
      <c r="CD40" s="279">
        <v>30</v>
      </c>
      <c r="CE40" s="155"/>
      <c r="CF40" s="152">
        <v>1</v>
      </c>
      <c r="CG40" s="153">
        <v>1</v>
      </c>
      <c r="CH40" s="153"/>
      <c r="CI40" s="153">
        <v>5</v>
      </c>
      <c r="CJ40" s="154">
        <v>2</v>
      </c>
      <c r="CK40" s="154">
        <v>2</v>
      </c>
      <c r="CL40" s="279">
        <v>2</v>
      </c>
      <c r="CM40" s="279">
        <v>4</v>
      </c>
      <c r="CN40" s="155"/>
      <c r="CO40" s="152">
        <v>2</v>
      </c>
      <c r="CP40" s="153">
        <v>1</v>
      </c>
      <c r="CQ40" s="153"/>
      <c r="CR40" s="153">
        <v>1</v>
      </c>
      <c r="CS40" s="154"/>
      <c r="CT40" s="154">
        <v>1</v>
      </c>
      <c r="CU40" s="279"/>
      <c r="CV40" s="279">
        <v>5</v>
      </c>
      <c r="CW40" s="155"/>
      <c r="CX40" s="152">
        <v>584</v>
      </c>
      <c r="CY40" s="153">
        <v>399</v>
      </c>
      <c r="CZ40" s="153">
        <v>425</v>
      </c>
      <c r="DA40" s="153">
        <v>358</v>
      </c>
      <c r="DB40" s="154">
        <v>297</v>
      </c>
      <c r="DC40" s="154">
        <v>309</v>
      </c>
      <c r="DD40" s="279">
        <v>239</v>
      </c>
      <c r="DE40" s="279">
        <v>237</v>
      </c>
      <c r="DF40" s="155"/>
      <c r="DG40" s="152">
        <v>9</v>
      </c>
      <c r="DH40" s="153">
        <v>4</v>
      </c>
      <c r="DI40" s="153">
        <v>4</v>
      </c>
      <c r="DJ40" s="153">
        <v>6</v>
      </c>
      <c r="DK40" s="154">
        <v>4</v>
      </c>
      <c r="DL40" s="154">
        <v>6</v>
      </c>
      <c r="DM40" s="279">
        <v>1</v>
      </c>
      <c r="DN40" s="279"/>
      <c r="DO40" s="155"/>
      <c r="DP40" s="152">
        <v>36</v>
      </c>
      <c r="DQ40" s="153">
        <v>15</v>
      </c>
      <c r="DR40" s="153">
        <v>8</v>
      </c>
      <c r="DS40" s="153">
        <v>15</v>
      </c>
      <c r="DT40" s="154">
        <v>8</v>
      </c>
      <c r="DU40" s="154">
        <v>17</v>
      </c>
      <c r="DV40" s="279">
        <v>8</v>
      </c>
      <c r="DW40" s="279">
        <v>10</v>
      </c>
      <c r="DX40" s="155"/>
      <c r="DY40" s="152">
        <v>118</v>
      </c>
      <c r="DZ40" s="153">
        <v>53</v>
      </c>
      <c r="EA40" s="153">
        <v>73</v>
      </c>
      <c r="EB40" s="153">
        <v>44</v>
      </c>
      <c r="EC40" s="154">
        <v>48</v>
      </c>
      <c r="ED40" s="154">
        <v>65</v>
      </c>
      <c r="EE40" s="279">
        <v>44</v>
      </c>
      <c r="EF40" s="279">
        <v>20</v>
      </c>
      <c r="EG40" s="155"/>
      <c r="EH40" s="152">
        <v>6</v>
      </c>
      <c r="EI40" s="153">
        <v>2</v>
      </c>
      <c r="EJ40" s="153">
        <v>4</v>
      </c>
      <c r="EK40" s="153">
        <v>10</v>
      </c>
      <c r="EL40" s="154">
        <v>4</v>
      </c>
      <c r="EM40" s="154"/>
      <c r="EN40" s="279">
        <v>1</v>
      </c>
      <c r="EO40" s="279">
        <v>1</v>
      </c>
      <c r="EP40" s="155"/>
      <c r="EQ40" s="152"/>
      <c r="ER40" s="153"/>
      <c r="ES40" s="153"/>
      <c r="ET40" s="153"/>
      <c r="EU40" s="154"/>
      <c r="EV40" s="154">
        <v>1</v>
      </c>
      <c r="EW40" s="279">
        <v>2</v>
      </c>
      <c r="EX40" s="279"/>
      <c r="EY40" s="155"/>
      <c r="EZ40" s="152"/>
      <c r="FA40" s="153">
        <v>2</v>
      </c>
      <c r="FB40" s="153">
        <v>1</v>
      </c>
      <c r="FC40" s="153">
        <v>1</v>
      </c>
      <c r="FD40" s="154">
        <v>3</v>
      </c>
      <c r="FE40" s="154">
        <v>1</v>
      </c>
      <c r="FF40" s="279">
        <v>2</v>
      </c>
      <c r="FG40" s="279"/>
      <c r="FH40" s="155"/>
      <c r="FI40" s="152">
        <v>44</v>
      </c>
      <c r="FJ40" s="153">
        <v>35</v>
      </c>
      <c r="FK40" s="153">
        <v>22</v>
      </c>
      <c r="FL40" s="153">
        <v>15</v>
      </c>
      <c r="FM40" s="154">
        <v>18</v>
      </c>
      <c r="FN40" s="154">
        <v>8</v>
      </c>
      <c r="FO40" s="279">
        <v>12</v>
      </c>
      <c r="FP40" s="279">
        <v>9</v>
      </c>
      <c r="FQ40" s="155"/>
      <c r="FR40" s="152">
        <v>1</v>
      </c>
      <c r="FS40" s="153">
        <v>2</v>
      </c>
      <c r="FT40" s="153">
        <v>1</v>
      </c>
      <c r="FU40" s="153">
        <v>1</v>
      </c>
      <c r="FV40" s="154">
        <v>4</v>
      </c>
      <c r="FW40" s="154">
        <v>3</v>
      </c>
      <c r="FX40" s="279">
        <v>1</v>
      </c>
      <c r="FY40" s="279">
        <v>3</v>
      </c>
      <c r="FZ40" s="155"/>
      <c r="GA40" s="152">
        <v>3</v>
      </c>
      <c r="GB40" s="153">
        <v>1</v>
      </c>
      <c r="GC40" s="153"/>
      <c r="GD40" s="153">
        <v>3</v>
      </c>
      <c r="GE40" s="154">
        <v>5</v>
      </c>
      <c r="GF40" s="154">
        <v>7</v>
      </c>
      <c r="GG40" s="279">
        <v>2</v>
      </c>
      <c r="GH40" s="279">
        <v>1</v>
      </c>
      <c r="GI40" s="155"/>
      <c r="GJ40" s="152">
        <v>732</v>
      </c>
      <c r="GK40" s="153">
        <v>527</v>
      </c>
      <c r="GL40" s="153">
        <v>549</v>
      </c>
      <c r="GM40" s="153">
        <v>501</v>
      </c>
      <c r="GN40" s="154">
        <v>412</v>
      </c>
      <c r="GO40" s="154">
        <v>434</v>
      </c>
      <c r="GP40" s="279">
        <v>323</v>
      </c>
      <c r="GQ40" s="279">
        <v>331</v>
      </c>
      <c r="GR40" s="155"/>
      <c r="GS40" s="152">
        <v>200</v>
      </c>
      <c r="GT40" s="153">
        <v>169</v>
      </c>
      <c r="GU40" s="153">
        <v>184</v>
      </c>
      <c r="GV40" s="153">
        <v>166</v>
      </c>
      <c r="GW40" s="154">
        <v>101</v>
      </c>
      <c r="GX40" s="154">
        <v>85</v>
      </c>
      <c r="GY40" s="279">
        <v>73</v>
      </c>
      <c r="GZ40" s="279">
        <v>83</v>
      </c>
      <c r="HA40" s="155"/>
      <c r="HB40" s="152">
        <v>1</v>
      </c>
      <c r="HC40" s="153">
        <v>1</v>
      </c>
      <c r="HD40" s="153">
        <v>1</v>
      </c>
      <c r="HE40" s="153">
        <v>2</v>
      </c>
      <c r="HF40" s="154">
        <v>5</v>
      </c>
      <c r="HG40" s="154">
        <v>1</v>
      </c>
      <c r="HH40" s="279">
        <v>2</v>
      </c>
      <c r="HI40" s="279"/>
      <c r="HJ40" s="155"/>
      <c r="HK40" s="152"/>
      <c r="HL40" s="153"/>
      <c r="HM40" s="153">
        <v>1</v>
      </c>
      <c r="HN40" s="153">
        <v>1</v>
      </c>
      <c r="HO40" s="154">
        <v>1</v>
      </c>
      <c r="HP40" s="154"/>
      <c r="HQ40" s="279">
        <v>3</v>
      </c>
      <c r="HR40" s="279"/>
      <c r="HS40" s="155"/>
      <c r="HT40" s="152">
        <v>277</v>
      </c>
      <c r="HU40" s="153">
        <v>229</v>
      </c>
      <c r="HV40" s="153">
        <v>270</v>
      </c>
      <c r="HW40" s="153">
        <v>232</v>
      </c>
      <c r="HX40" s="154">
        <v>246</v>
      </c>
      <c r="HY40" s="154">
        <v>209</v>
      </c>
      <c r="HZ40" s="279">
        <v>220</v>
      </c>
      <c r="IA40" s="279">
        <v>235</v>
      </c>
      <c r="IB40" s="155"/>
      <c r="IC40" s="152">
        <v>1301</v>
      </c>
      <c r="ID40" s="153">
        <v>939</v>
      </c>
      <c r="IE40" s="153">
        <v>1085</v>
      </c>
      <c r="IF40" s="153">
        <v>774</v>
      </c>
      <c r="IG40" s="154">
        <v>730</v>
      </c>
      <c r="IH40" s="154">
        <v>699</v>
      </c>
      <c r="II40" s="279">
        <v>661</v>
      </c>
      <c r="IJ40" s="279">
        <v>654</v>
      </c>
      <c r="IK40" s="155"/>
    </row>
    <row r="41" spans="1:245" x14ac:dyDescent="0.2">
      <c r="A41" s="961"/>
      <c r="B41" s="151" t="s">
        <v>661</v>
      </c>
      <c r="C41" s="152"/>
      <c r="D41" s="153"/>
      <c r="E41" s="153"/>
      <c r="F41" s="153"/>
      <c r="G41" s="154"/>
      <c r="H41" s="154"/>
      <c r="I41" s="279"/>
      <c r="J41" s="279"/>
      <c r="K41" s="155"/>
      <c r="L41" s="152"/>
      <c r="M41" s="153"/>
      <c r="N41" s="153"/>
      <c r="O41" s="153"/>
      <c r="P41" s="154"/>
      <c r="Q41" s="154"/>
      <c r="R41" s="279"/>
      <c r="S41" s="279"/>
      <c r="T41" s="155"/>
      <c r="U41" s="152"/>
      <c r="V41" s="153"/>
      <c r="W41" s="153"/>
      <c r="X41" s="153"/>
      <c r="Y41" s="154"/>
      <c r="Z41" s="154"/>
      <c r="AA41" s="279"/>
      <c r="AB41" s="279"/>
      <c r="AC41" s="155"/>
      <c r="AD41" s="152">
        <v>66</v>
      </c>
      <c r="AE41" s="153">
        <v>57</v>
      </c>
      <c r="AF41" s="153">
        <v>75</v>
      </c>
      <c r="AG41" s="153">
        <v>54</v>
      </c>
      <c r="AH41" s="154">
        <v>79</v>
      </c>
      <c r="AI41" s="154">
        <v>54</v>
      </c>
      <c r="AJ41" s="279">
        <v>59</v>
      </c>
      <c r="AK41" s="279">
        <v>40</v>
      </c>
      <c r="AL41" s="155"/>
      <c r="AM41" s="152">
        <v>42</v>
      </c>
      <c r="AN41" s="153">
        <v>36</v>
      </c>
      <c r="AO41" s="153">
        <v>44</v>
      </c>
      <c r="AP41" s="153">
        <v>33</v>
      </c>
      <c r="AQ41" s="154">
        <v>31</v>
      </c>
      <c r="AR41" s="154">
        <v>20</v>
      </c>
      <c r="AS41" s="279">
        <v>32</v>
      </c>
      <c r="AT41" s="279">
        <v>23</v>
      </c>
      <c r="AU41" s="155"/>
      <c r="AV41" s="152"/>
      <c r="AW41" s="153"/>
      <c r="AX41" s="153"/>
      <c r="AY41" s="153"/>
      <c r="AZ41" s="154"/>
      <c r="BA41" s="154"/>
      <c r="BB41" s="279"/>
      <c r="BC41" s="279"/>
      <c r="BD41" s="155"/>
      <c r="BE41" s="152">
        <v>7</v>
      </c>
      <c r="BF41" s="153">
        <v>30</v>
      </c>
      <c r="BG41" s="153">
        <v>28</v>
      </c>
      <c r="BH41" s="153">
        <v>55</v>
      </c>
      <c r="BI41" s="154">
        <v>23</v>
      </c>
      <c r="BJ41" s="154">
        <v>18</v>
      </c>
      <c r="BK41" s="279">
        <v>27</v>
      </c>
      <c r="BL41" s="279">
        <v>16</v>
      </c>
      <c r="BM41" s="155"/>
      <c r="BN41" s="152"/>
      <c r="BO41" s="153"/>
      <c r="BP41" s="153"/>
      <c r="BQ41" s="153"/>
      <c r="BR41" s="154"/>
      <c r="BS41" s="154"/>
      <c r="BT41" s="279"/>
      <c r="BU41" s="279"/>
      <c r="BV41" s="155"/>
      <c r="BW41" s="152">
        <v>44</v>
      </c>
      <c r="BX41" s="153">
        <v>29</v>
      </c>
      <c r="BY41" s="153">
        <v>57</v>
      </c>
      <c r="BZ41" s="153">
        <v>48</v>
      </c>
      <c r="CA41" s="154">
        <v>79</v>
      </c>
      <c r="CB41" s="154">
        <v>59</v>
      </c>
      <c r="CC41" s="279">
        <v>52</v>
      </c>
      <c r="CD41" s="279">
        <v>40</v>
      </c>
      <c r="CE41" s="155"/>
      <c r="CF41" s="152">
        <v>4</v>
      </c>
      <c r="CG41" s="153">
        <v>4</v>
      </c>
      <c r="CH41" s="153">
        <v>5</v>
      </c>
      <c r="CI41" s="153">
        <v>4</v>
      </c>
      <c r="CJ41" s="154">
        <v>6</v>
      </c>
      <c r="CK41" s="154">
        <v>7</v>
      </c>
      <c r="CL41" s="279">
        <v>2</v>
      </c>
      <c r="CM41" s="279">
        <v>4</v>
      </c>
      <c r="CN41" s="155"/>
      <c r="CO41" s="152">
        <v>4</v>
      </c>
      <c r="CP41" s="153">
        <v>3</v>
      </c>
      <c r="CQ41" s="153">
        <v>1</v>
      </c>
      <c r="CR41" s="153">
        <v>4</v>
      </c>
      <c r="CS41" s="154"/>
      <c r="CT41" s="154">
        <v>1</v>
      </c>
      <c r="CU41" s="279">
        <v>2</v>
      </c>
      <c r="CV41" s="279">
        <v>3</v>
      </c>
      <c r="CW41" s="155"/>
      <c r="CX41" s="152">
        <v>797</v>
      </c>
      <c r="CY41" s="153">
        <v>912</v>
      </c>
      <c r="CZ41" s="153">
        <v>910</v>
      </c>
      <c r="DA41" s="153">
        <v>874</v>
      </c>
      <c r="DB41" s="154">
        <v>785</v>
      </c>
      <c r="DC41" s="154">
        <v>874</v>
      </c>
      <c r="DD41" s="279">
        <v>595</v>
      </c>
      <c r="DE41" s="279">
        <v>796</v>
      </c>
      <c r="DF41" s="155"/>
      <c r="DG41" s="152">
        <v>10</v>
      </c>
      <c r="DH41" s="153">
        <v>5</v>
      </c>
      <c r="DI41" s="153">
        <v>8</v>
      </c>
      <c r="DJ41" s="153">
        <v>3</v>
      </c>
      <c r="DK41" s="154">
        <v>2</v>
      </c>
      <c r="DL41" s="154">
        <v>1</v>
      </c>
      <c r="DM41" s="279"/>
      <c r="DN41" s="279">
        <v>4</v>
      </c>
      <c r="DO41" s="155"/>
      <c r="DP41" s="152">
        <v>17</v>
      </c>
      <c r="DQ41" s="153">
        <v>55</v>
      </c>
      <c r="DR41" s="153">
        <v>16</v>
      </c>
      <c r="DS41" s="153">
        <v>20</v>
      </c>
      <c r="DT41" s="154">
        <v>12</v>
      </c>
      <c r="DU41" s="154">
        <v>30</v>
      </c>
      <c r="DV41" s="279">
        <v>18</v>
      </c>
      <c r="DW41" s="279">
        <v>18</v>
      </c>
      <c r="DX41" s="155"/>
      <c r="DY41" s="152">
        <v>69</v>
      </c>
      <c r="DZ41" s="153">
        <v>65</v>
      </c>
      <c r="EA41" s="153">
        <v>99</v>
      </c>
      <c r="EB41" s="153">
        <v>107</v>
      </c>
      <c r="EC41" s="154">
        <v>125</v>
      </c>
      <c r="ED41" s="154">
        <v>123</v>
      </c>
      <c r="EE41" s="279">
        <v>129</v>
      </c>
      <c r="EF41" s="279">
        <v>131</v>
      </c>
      <c r="EG41" s="155"/>
      <c r="EH41" s="152">
        <v>14</v>
      </c>
      <c r="EI41" s="153">
        <v>9</v>
      </c>
      <c r="EJ41" s="153">
        <v>12</v>
      </c>
      <c r="EK41" s="153">
        <v>7</v>
      </c>
      <c r="EL41" s="154">
        <v>11</v>
      </c>
      <c r="EM41" s="154">
        <v>6</v>
      </c>
      <c r="EN41" s="279">
        <v>5</v>
      </c>
      <c r="EO41" s="279">
        <v>8</v>
      </c>
      <c r="EP41" s="155"/>
      <c r="EQ41" s="152">
        <v>1</v>
      </c>
      <c r="ER41" s="153">
        <v>2</v>
      </c>
      <c r="ES41" s="153"/>
      <c r="ET41" s="153">
        <v>6</v>
      </c>
      <c r="EU41" s="154">
        <v>4</v>
      </c>
      <c r="EV41" s="154">
        <v>5</v>
      </c>
      <c r="EW41" s="279">
        <v>8</v>
      </c>
      <c r="EX41" s="279">
        <v>11</v>
      </c>
      <c r="EY41" s="155"/>
      <c r="EZ41" s="152">
        <v>4</v>
      </c>
      <c r="FA41" s="153">
        <v>2</v>
      </c>
      <c r="FB41" s="153">
        <v>4</v>
      </c>
      <c r="FC41" s="153">
        <v>2</v>
      </c>
      <c r="FD41" s="154">
        <v>3</v>
      </c>
      <c r="FE41" s="154">
        <v>3</v>
      </c>
      <c r="FF41" s="279">
        <v>4</v>
      </c>
      <c r="FG41" s="279">
        <v>2</v>
      </c>
      <c r="FH41" s="155"/>
      <c r="FI41" s="152">
        <v>64</v>
      </c>
      <c r="FJ41" s="153">
        <v>58</v>
      </c>
      <c r="FK41" s="153">
        <v>60</v>
      </c>
      <c r="FL41" s="153">
        <v>32</v>
      </c>
      <c r="FM41" s="154">
        <v>31</v>
      </c>
      <c r="FN41" s="154">
        <v>25</v>
      </c>
      <c r="FO41" s="279">
        <v>46</v>
      </c>
      <c r="FP41" s="279">
        <v>33</v>
      </c>
      <c r="FQ41" s="155"/>
      <c r="FR41" s="152">
        <v>13</v>
      </c>
      <c r="FS41" s="153">
        <v>10</v>
      </c>
      <c r="FT41" s="153">
        <v>15</v>
      </c>
      <c r="FU41" s="153">
        <v>14</v>
      </c>
      <c r="FV41" s="154">
        <v>7</v>
      </c>
      <c r="FW41" s="154">
        <v>6</v>
      </c>
      <c r="FX41" s="279">
        <v>4</v>
      </c>
      <c r="FY41" s="279">
        <v>6</v>
      </c>
      <c r="FZ41" s="155"/>
      <c r="GA41" s="152">
        <v>22</v>
      </c>
      <c r="GB41" s="153">
        <v>30</v>
      </c>
      <c r="GC41" s="153">
        <v>15</v>
      </c>
      <c r="GD41" s="153">
        <v>19</v>
      </c>
      <c r="GE41" s="154">
        <v>15</v>
      </c>
      <c r="GF41" s="154">
        <v>9</v>
      </c>
      <c r="GG41" s="279">
        <v>14</v>
      </c>
      <c r="GH41" s="279">
        <v>17</v>
      </c>
      <c r="GI41" s="155"/>
      <c r="GJ41" s="152">
        <v>1040</v>
      </c>
      <c r="GK41" s="153">
        <v>1146</v>
      </c>
      <c r="GL41" s="153">
        <v>1182</v>
      </c>
      <c r="GM41" s="153">
        <v>1119</v>
      </c>
      <c r="GN41" s="154">
        <v>1043</v>
      </c>
      <c r="GO41" s="154">
        <v>1067</v>
      </c>
      <c r="GP41" s="279">
        <v>818</v>
      </c>
      <c r="GQ41" s="279">
        <v>976</v>
      </c>
      <c r="GR41" s="155"/>
      <c r="GS41" s="152">
        <v>301</v>
      </c>
      <c r="GT41" s="153">
        <v>364</v>
      </c>
      <c r="GU41" s="153">
        <v>313</v>
      </c>
      <c r="GV41" s="153">
        <v>233</v>
      </c>
      <c r="GW41" s="154">
        <v>148</v>
      </c>
      <c r="GX41" s="154">
        <v>356</v>
      </c>
      <c r="GY41" s="279">
        <v>140</v>
      </c>
      <c r="GZ41" s="279">
        <v>197</v>
      </c>
      <c r="HA41" s="155"/>
      <c r="HB41" s="152">
        <v>5</v>
      </c>
      <c r="HC41" s="153">
        <v>4</v>
      </c>
      <c r="HD41" s="153">
        <v>3</v>
      </c>
      <c r="HE41" s="153">
        <v>2</v>
      </c>
      <c r="HF41" s="154">
        <v>3</v>
      </c>
      <c r="HG41" s="154">
        <v>3</v>
      </c>
      <c r="HH41" s="279">
        <v>6</v>
      </c>
      <c r="HI41" s="279">
        <v>3</v>
      </c>
      <c r="HJ41" s="155"/>
      <c r="HK41" s="152">
        <v>3</v>
      </c>
      <c r="HL41" s="153">
        <v>6</v>
      </c>
      <c r="HM41" s="153">
        <v>1</v>
      </c>
      <c r="HN41" s="153"/>
      <c r="HO41" s="154">
        <v>1</v>
      </c>
      <c r="HP41" s="154">
        <v>1</v>
      </c>
      <c r="HQ41" s="279">
        <v>4</v>
      </c>
      <c r="HR41" s="279">
        <v>4</v>
      </c>
      <c r="HS41" s="155"/>
      <c r="HT41" s="152">
        <v>578</v>
      </c>
      <c r="HU41" s="153">
        <v>553</v>
      </c>
      <c r="HV41" s="153">
        <v>541</v>
      </c>
      <c r="HW41" s="153">
        <v>475</v>
      </c>
      <c r="HX41" s="154">
        <v>461</v>
      </c>
      <c r="HY41" s="154">
        <v>701</v>
      </c>
      <c r="HZ41" s="279">
        <v>496</v>
      </c>
      <c r="IA41" s="279">
        <v>556</v>
      </c>
      <c r="IB41" s="155"/>
      <c r="IC41" s="152">
        <v>1825</v>
      </c>
      <c r="ID41" s="153">
        <v>1888</v>
      </c>
      <c r="IE41" s="153">
        <v>2075</v>
      </c>
      <c r="IF41" s="153">
        <v>1882</v>
      </c>
      <c r="IG41" s="154">
        <v>1754</v>
      </c>
      <c r="IH41" s="154">
        <v>1888</v>
      </c>
      <c r="II41" s="279">
        <v>2324</v>
      </c>
      <c r="IJ41" s="279">
        <v>1852</v>
      </c>
      <c r="IK41" s="155"/>
    </row>
    <row r="42" spans="1:245" ht="13.5" thickBot="1" x14ac:dyDescent="0.25">
      <c r="A42" s="961"/>
      <c r="B42" s="156" t="s">
        <v>662</v>
      </c>
      <c r="C42" s="157"/>
      <c r="D42" s="166"/>
      <c r="E42" s="166"/>
      <c r="F42" s="166"/>
      <c r="G42" s="158"/>
      <c r="H42" s="158"/>
      <c r="I42" s="280"/>
      <c r="J42" s="280"/>
      <c r="K42" s="159"/>
      <c r="L42" s="157"/>
      <c r="M42" s="166"/>
      <c r="N42" s="166"/>
      <c r="O42" s="166"/>
      <c r="P42" s="158"/>
      <c r="Q42" s="158"/>
      <c r="R42" s="280"/>
      <c r="S42" s="280"/>
      <c r="T42" s="159"/>
      <c r="U42" s="157"/>
      <c r="V42" s="166"/>
      <c r="W42" s="166"/>
      <c r="X42" s="166"/>
      <c r="Y42" s="158"/>
      <c r="Z42" s="158"/>
      <c r="AA42" s="280"/>
      <c r="AB42" s="280"/>
      <c r="AC42" s="159"/>
      <c r="AD42" s="157">
        <v>33</v>
      </c>
      <c r="AE42" s="166">
        <v>33</v>
      </c>
      <c r="AF42" s="166">
        <v>44</v>
      </c>
      <c r="AG42" s="166">
        <v>44</v>
      </c>
      <c r="AH42" s="158">
        <v>56</v>
      </c>
      <c r="AI42" s="158">
        <v>31</v>
      </c>
      <c r="AJ42" s="280">
        <v>55</v>
      </c>
      <c r="AK42" s="280">
        <v>34</v>
      </c>
      <c r="AL42" s="159"/>
      <c r="AM42" s="157">
        <v>7</v>
      </c>
      <c r="AN42" s="166">
        <v>12</v>
      </c>
      <c r="AO42" s="166">
        <v>19</v>
      </c>
      <c r="AP42" s="166">
        <v>11</v>
      </c>
      <c r="AQ42" s="158">
        <v>9</v>
      </c>
      <c r="AR42" s="158">
        <v>5</v>
      </c>
      <c r="AS42" s="280">
        <v>7</v>
      </c>
      <c r="AT42" s="280">
        <v>12</v>
      </c>
      <c r="AU42" s="159"/>
      <c r="AV42" s="157"/>
      <c r="AW42" s="166"/>
      <c r="AX42" s="166"/>
      <c r="AY42" s="166"/>
      <c r="AZ42" s="158"/>
      <c r="BA42" s="158"/>
      <c r="BB42" s="280"/>
      <c r="BC42" s="280"/>
      <c r="BD42" s="159"/>
      <c r="BE42" s="157">
        <v>11</v>
      </c>
      <c r="BF42" s="166"/>
      <c r="BG42" s="166">
        <v>7</v>
      </c>
      <c r="BH42" s="166">
        <v>3</v>
      </c>
      <c r="BI42" s="158">
        <v>4</v>
      </c>
      <c r="BJ42" s="158">
        <v>7</v>
      </c>
      <c r="BK42" s="280">
        <v>16</v>
      </c>
      <c r="BL42" s="280">
        <v>8</v>
      </c>
      <c r="BM42" s="159"/>
      <c r="BN42" s="157"/>
      <c r="BO42" s="166"/>
      <c r="BP42" s="166"/>
      <c r="BQ42" s="166"/>
      <c r="BR42" s="158"/>
      <c r="BS42" s="158">
        <v>2</v>
      </c>
      <c r="BT42" s="280">
        <v>5</v>
      </c>
      <c r="BU42" s="280"/>
      <c r="BV42" s="159"/>
      <c r="BW42" s="157">
        <v>41</v>
      </c>
      <c r="BX42" s="166">
        <v>31</v>
      </c>
      <c r="BY42" s="166">
        <v>41</v>
      </c>
      <c r="BZ42" s="166">
        <v>38</v>
      </c>
      <c r="CA42" s="158">
        <v>40</v>
      </c>
      <c r="CB42" s="158">
        <v>41</v>
      </c>
      <c r="CC42" s="280">
        <v>58</v>
      </c>
      <c r="CD42" s="280">
        <v>31</v>
      </c>
      <c r="CE42" s="159"/>
      <c r="CF42" s="157">
        <v>1</v>
      </c>
      <c r="CG42" s="166">
        <v>1</v>
      </c>
      <c r="CH42" s="166">
        <v>3</v>
      </c>
      <c r="CI42" s="166">
        <v>1</v>
      </c>
      <c r="CJ42" s="158"/>
      <c r="CK42" s="158">
        <v>1</v>
      </c>
      <c r="CL42" s="280">
        <v>6</v>
      </c>
      <c r="CM42" s="280"/>
      <c r="CN42" s="159"/>
      <c r="CO42" s="157">
        <v>2</v>
      </c>
      <c r="CP42" s="166"/>
      <c r="CQ42" s="166">
        <v>3</v>
      </c>
      <c r="CR42" s="166"/>
      <c r="CS42" s="158"/>
      <c r="CT42" s="158"/>
      <c r="CU42" s="280">
        <v>3</v>
      </c>
      <c r="CV42" s="280"/>
      <c r="CW42" s="159"/>
      <c r="CX42" s="157">
        <v>325</v>
      </c>
      <c r="CY42" s="166">
        <v>434</v>
      </c>
      <c r="CZ42" s="166">
        <v>357</v>
      </c>
      <c r="DA42" s="166">
        <v>309</v>
      </c>
      <c r="DB42" s="158">
        <v>298</v>
      </c>
      <c r="DC42" s="158">
        <v>295</v>
      </c>
      <c r="DD42" s="280">
        <v>219</v>
      </c>
      <c r="DE42" s="280">
        <v>183</v>
      </c>
      <c r="DF42" s="159"/>
      <c r="DG42" s="157">
        <v>3</v>
      </c>
      <c r="DH42" s="166">
        <v>1</v>
      </c>
      <c r="DI42" s="166">
        <v>1</v>
      </c>
      <c r="DJ42" s="166"/>
      <c r="DK42" s="158">
        <v>2</v>
      </c>
      <c r="DL42" s="158">
        <v>5</v>
      </c>
      <c r="DM42" s="280"/>
      <c r="DN42" s="280">
        <v>2</v>
      </c>
      <c r="DO42" s="159"/>
      <c r="DP42" s="157">
        <v>6</v>
      </c>
      <c r="DQ42" s="166">
        <v>9</v>
      </c>
      <c r="DR42" s="166">
        <v>8</v>
      </c>
      <c r="DS42" s="166">
        <v>6</v>
      </c>
      <c r="DT42" s="158">
        <v>14</v>
      </c>
      <c r="DU42" s="158">
        <v>10</v>
      </c>
      <c r="DV42" s="280">
        <v>8</v>
      </c>
      <c r="DW42" s="280">
        <v>4</v>
      </c>
      <c r="DX42" s="159"/>
      <c r="DY42" s="157">
        <v>40</v>
      </c>
      <c r="DZ42" s="166">
        <v>81</v>
      </c>
      <c r="EA42" s="166">
        <v>28</v>
      </c>
      <c r="EB42" s="166">
        <v>50</v>
      </c>
      <c r="EC42" s="158">
        <v>65</v>
      </c>
      <c r="ED42" s="158">
        <v>60</v>
      </c>
      <c r="EE42" s="280">
        <v>47</v>
      </c>
      <c r="EF42" s="280">
        <v>29</v>
      </c>
      <c r="EG42" s="159"/>
      <c r="EH42" s="157">
        <v>2</v>
      </c>
      <c r="EI42" s="166">
        <v>3</v>
      </c>
      <c r="EJ42" s="166">
        <v>5</v>
      </c>
      <c r="EK42" s="166">
        <v>4</v>
      </c>
      <c r="EL42" s="158">
        <v>3</v>
      </c>
      <c r="EM42" s="158">
        <v>2</v>
      </c>
      <c r="EN42" s="280">
        <v>1</v>
      </c>
      <c r="EO42" s="280"/>
      <c r="EP42" s="159"/>
      <c r="EQ42" s="157"/>
      <c r="ER42" s="166"/>
      <c r="ES42" s="166">
        <v>1</v>
      </c>
      <c r="ET42" s="166">
        <v>2</v>
      </c>
      <c r="EU42" s="158">
        <v>1</v>
      </c>
      <c r="EV42" s="158">
        <v>4</v>
      </c>
      <c r="EW42" s="280">
        <v>5</v>
      </c>
      <c r="EX42" s="280">
        <v>1</v>
      </c>
      <c r="EY42" s="159"/>
      <c r="EZ42" s="157">
        <v>3</v>
      </c>
      <c r="FA42" s="166">
        <v>6</v>
      </c>
      <c r="FB42" s="166">
        <v>3</v>
      </c>
      <c r="FC42" s="166">
        <v>2</v>
      </c>
      <c r="FD42" s="158">
        <v>2</v>
      </c>
      <c r="FE42" s="158"/>
      <c r="FF42" s="280"/>
      <c r="FG42" s="280"/>
      <c r="FH42" s="159"/>
      <c r="FI42" s="157">
        <v>34</v>
      </c>
      <c r="FJ42" s="166">
        <v>21</v>
      </c>
      <c r="FK42" s="166">
        <v>24</v>
      </c>
      <c r="FL42" s="166">
        <v>8</v>
      </c>
      <c r="FM42" s="158">
        <v>15</v>
      </c>
      <c r="FN42" s="158">
        <v>6</v>
      </c>
      <c r="FO42" s="280">
        <v>6</v>
      </c>
      <c r="FP42" s="280">
        <v>7</v>
      </c>
      <c r="FQ42" s="159"/>
      <c r="FR42" s="157">
        <v>12</v>
      </c>
      <c r="FS42" s="166">
        <v>1</v>
      </c>
      <c r="FT42" s="166">
        <v>3</v>
      </c>
      <c r="FU42" s="166">
        <v>3</v>
      </c>
      <c r="FV42" s="158">
        <v>9</v>
      </c>
      <c r="FW42" s="158">
        <v>1</v>
      </c>
      <c r="FX42" s="280">
        <v>3</v>
      </c>
      <c r="FY42" s="280"/>
      <c r="FZ42" s="159"/>
      <c r="GA42" s="157">
        <v>7</v>
      </c>
      <c r="GB42" s="166">
        <v>4</v>
      </c>
      <c r="GC42" s="166">
        <v>4</v>
      </c>
      <c r="GD42" s="166">
        <v>2</v>
      </c>
      <c r="GE42" s="158">
        <v>3</v>
      </c>
      <c r="GF42" s="158">
        <v>4</v>
      </c>
      <c r="GG42" s="280">
        <v>2</v>
      </c>
      <c r="GH42" s="280">
        <v>8</v>
      </c>
      <c r="GI42" s="159"/>
      <c r="GJ42" s="157">
        <v>471</v>
      </c>
      <c r="GK42" s="166">
        <v>534</v>
      </c>
      <c r="GL42" s="166">
        <v>495</v>
      </c>
      <c r="GM42" s="166">
        <v>416</v>
      </c>
      <c r="GN42" s="158">
        <v>431</v>
      </c>
      <c r="GO42" s="158">
        <v>394</v>
      </c>
      <c r="GP42" s="280">
        <v>379</v>
      </c>
      <c r="GQ42" s="280">
        <v>272</v>
      </c>
      <c r="GR42" s="159"/>
      <c r="GS42" s="157">
        <v>147</v>
      </c>
      <c r="GT42" s="166">
        <v>106</v>
      </c>
      <c r="GU42" s="166">
        <v>130</v>
      </c>
      <c r="GV42" s="166">
        <v>93</v>
      </c>
      <c r="GW42" s="158">
        <v>71</v>
      </c>
      <c r="GX42" s="158">
        <v>61</v>
      </c>
      <c r="GY42" s="280">
        <v>63</v>
      </c>
      <c r="GZ42" s="280">
        <v>54</v>
      </c>
      <c r="HA42" s="159"/>
      <c r="HB42" s="157">
        <v>2</v>
      </c>
      <c r="HC42" s="166">
        <v>1</v>
      </c>
      <c r="HD42" s="166">
        <v>2</v>
      </c>
      <c r="HE42" s="166"/>
      <c r="HF42" s="158">
        <v>3</v>
      </c>
      <c r="HG42" s="158">
        <v>3</v>
      </c>
      <c r="HH42" s="280">
        <v>1</v>
      </c>
      <c r="HI42" s="280"/>
      <c r="HJ42" s="159"/>
      <c r="HK42" s="157">
        <v>5</v>
      </c>
      <c r="HL42" s="166"/>
      <c r="HM42" s="166">
        <v>1</v>
      </c>
      <c r="HN42" s="166">
        <v>2</v>
      </c>
      <c r="HO42" s="158"/>
      <c r="HP42" s="158">
        <v>4</v>
      </c>
      <c r="HQ42" s="280">
        <v>1</v>
      </c>
      <c r="HR42" s="280"/>
      <c r="HS42" s="159"/>
      <c r="HT42" s="157">
        <v>207</v>
      </c>
      <c r="HU42" s="166">
        <v>170</v>
      </c>
      <c r="HV42" s="166">
        <v>206</v>
      </c>
      <c r="HW42" s="166">
        <v>182</v>
      </c>
      <c r="HX42" s="158">
        <v>153</v>
      </c>
      <c r="HY42" s="158">
        <v>147</v>
      </c>
      <c r="HZ42" s="280">
        <v>185</v>
      </c>
      <c r="IA42" s="280">
        <v>168</v>
      </c>
      <c r="IB42" s="159"/>
      <c r="IC42" s="157">
        <v>663</v>
      </c>
      <c r="ID42" s="166">
        <v>847</v>
      </c>
      <c r="IE42" s="166">
        <v>1101</v>
      </c>
      <c r="IF42" s="166">
        <v>634</v>
      </c>
      <c r="IG42" s="158">
        <v>1284</v>
      </c>
      <c r="IH42" s="158">
        <v>627</v>
      </c>
      <c r="II42" s="280">
        <v>725</v>
      </c>
      <c r="IJ42" s="280">
        <v>510</v>
      </c>
      <c r="IK42" s="159"/>
    </row>
    <row r="43" spans="1:245" s="134" customFormat="1" ht="13.5" thickBot="1" x14ac:dyDescent="0.25">
      <c r="A43" s="962"/>
      <c r="B43" s="189" t="s">
        <v>784</v>
      </c>
      <c r="C43" s="273">
        <v>17</v>
      </c>
      <c r="D43" s="190">
        <v>12</v>
      </c>
      <c r="E43" s="190">
        <v>15</v>
      </c>
      <c r="F43" s="190">
        <v>12</v>
      </c>
      <c r="G43" s="190">
        <v>14</v>
      </c>
      <c r="H43" s="190">
        <v>11</v>
      </c>
      <c r="I43" s="190">
        <v>10</v>
      </c>
      <c r="J43" s="190">
        <v>12</v>
      </c>
      <c r="K43" s="286"/>
      <c r="L43" s="273">
        <v>11</v>
      </c>
      <c r="M43" s="190">
        <v>1</v>
      </c>
      <c r="N43" s="190">
        <v>6</v>
      </c>
      <c r="O43" s="190">
        <v>8</v>
      </c>
      <c r="P43" s="190">
        <v>8</v>
      </c>
      <c r="Q43" s="190">
        <v>6</v>
      </c>
      <c r="R43" s="190">
        <v>6</v>
      </c>
      <c r="S43" s="190">
        <v>9</v>
      </c>
      <c r="T43" s="286"/>
      <c r="U43" s="273">
        <v>5</v>
      </c>
      <c r="V43" s="190">
        <v>10</v>
      </c>
      <c r="W43" s="190">
        <v>8</v>
      </c>
      <c r="X43" s="190">
        <v>4</v>
      </c>
      <c r="Y43" s="190">
        <v>4</v>
      </c>
      <c r="Z43" s="190">
        <v>5</v>
      </c>
      <c r="AA43" s="190">
        <v>3</v>
      </c>
      <c r="AB43" s="190">
        <v>3</v>
      </c>
      <c r="AC43" s="286"/>
      <c r="AD43" s="273">
        <v>604</v>
      </c>
      <c r="AE43" s="190">
        <v>593</v>
      </c>
      <c r="AF43" s="190">
        <v>650</v>
      </c>
      <c r="AG43" s="190">
        <v>648</v>
      </c>
      <c r="AH43" s="190">
        <v>634</v>
      </c>
      <c r="AI43" s="190">
        <v>559</v>
      </c>
      <c r="AJ43" s="190">
        <v>577</v>
      </c>
      <c r="AK43" s="190">
        <v>460</v>
      </c>
      <c r="AL43" s="286"/>
      <c r="AM43" s="273">
        <v>308</v>
      </c>
      <c r="AN43" s="190">
        <v>297</v>
      </c>
      <c r="AO43" s="190">
        <v>320</v>
      </c>
      <c r="AP43" s="190">
        <v>274</v>
      </c>
      <c r="AQ43" s="190">
        <v>268</v>
      </c>
      <c r="AR43" s="190">
        <v>225</v>
      </c>
      <c r="AS43" s="190">
        <v>229</v>
      </c>
      <c r="AT43" s="190">
        <v>196</v>
      </c>
      <c r="AU43" s="286"/>
      <c r="AV43" s="273"/>
      <c r="AW43" s="190"/>
      <c r="AX43" s="190"/>
      <c r="AY43" s="190">
        <v>1</v>
      </c>
      <c r="AZ43" s="190"/>
      <c r="BA43" s="190">
        <v>1</v>
      </c>
      <c r="BB43" s="190"/>
      <c r="BC43" s="190">
        <v>4</v>
      </c>
      <c r="BD43" s="286"/>
      <c r="BE43" s="273">
        <v>102</v>
      </c>
      <c r="BF43" s="190">
        <v>109</v>
      </c>
      <c r="BG43" s="190">
        <v>98</v>
      </c>
      <c r="BH43" s="190">
        <v>154</v>
      </c>
      <c r="BI43" s="190">
        <v>92</v>
      </c>
      <c r="BJ43" s="190">
        <v>104</v>
      </c>
      <c r="BK43" s="190">
        <v>103</v>
      </c>
      <c r="BL43" s="190">
        <v>89</v>
      </c>
      <c r="BM43" s="286"/>
      <c r="BN43" s="273">
        <v>25</v>
      </c>
      <c r="BO43" s="190">
        <v>33</v>
      </c>
      <c r="BP43" s="190">
        <v>27</v>
      </c>
      <c r="BQ43" s="190">
        <v>50</v>
      </c>
      <c r="BR43" s="190">
        <v>43</v>
      </c>
      <c r="BS43" s="190">
        <v>94</v>
      </c>
      <c r="BT43" s="190">
        <v>86</v>
      </c>
      <c r="BU43" s="190">
        <v>21</v>
      </c>
      <c r="BV43" s="286"/>
      <c r="BW43" s="273">
        <v>410</v>
      </c>
      <c r="BX43" s="190">
        <v>433</v>
      </c>
      <c r="BY43" s="190">
        <v>509</v>
      </c>
      <c r="BZ43" s="190">
        <v>587</v>
      </c>
      <c r="CA43" s="190">
        <v>581</v>
      </c>
      <c r="CB43" s="190">
        <v>540</v>
      </c>
      <c r="CC43" s="190">
        <v>505</v>
      </c>
      <c r="CD43" s="190">
        <v>431</v>
      </c>
      <c r="CE43" s="286"/>
      <c r="CF43" s="273">
        <v>38</v>
      </c>
      <c r="CG43" s="190">
        <v>33</v>
      </c>
      <c r="CH43" s="190">
        <v>26</v>
      </c>
      <c r="CI43" s="190">
        <v>29</v>
      </c>
      <c r="CJ43" s="190">
        <v>33</v>
      </c>
      <c r="CK43" s="190">
        <v>24</v>
      </c>
      <c r="CL43" s="190">
        <v>32</v>
      </c>
      <c r="CM43" s="190">
        <v>24</v>
      </c>
      <c r="CN43" s="286"/>
      <c r="CO43" s="273">
        <v>34</v>
      </c>
      <c r="CP43" s="190">
        <v>39</v>
      </c>
      <c r="CQ43" s="190">
        <v>33</v>
      </c>
      <c r="CR43" s="190">
        <v>25</v>
      </c>
      <c r="CS43" s="190">
        <v>13</v>
      </c>
      <c r="CT43" s="190">
        <v>17</v>
      </c>
      <c r="CU43" s="190">
        <v>23</v>
      </c>
      <c r="CV43" s="190">
        <v>21</v>
      </c>
      <c r="CW43" s="286"/>
      <c r="CX43" s="273">
        <v>7423</v>
      </c>
      <c r="CY43" s="190">
        <v>6562</v>
      </c>
      <c r="CZ43" s="190">
        <v>8076</v>
      </c>
      <c r="DA43" s="190">
        <v>6924</v>
      </c>
      <c r="DB43" s="190">
        <v>5868</v>
      </c>
      <c r="DC43" s="190">
        <v>5859</v>
      </c>
      <c r="DD43" s="190">
        <v>4723</v>
      </c>
      <c r="DE43" s="190">
        <v>4151</v>
      </c>
      <c r="DF43" s="286"/>
      <c r="DG43" s="273">
        <v>109</v>
      </c>
      <c r="DH43" s="190">
        <v>77</v>
      </c>
      <c r="DI43" s="190">
        <v>93</v>
      </c>
      <c r="DJ43" s="190">
        <v>104</v>
      </c>
      <c r="DK43" s="190">
        <v>69</v>
      </c>
      <c r="DL43" s="190">
        <v>45</v>
      </c>
      <c r="DM43" s="190">
        <v>18</v>
      </c>
      <c r="DN43" s="190">
        <v>29</v>
      </c>
      <c r="DO43" s="286"/>
      <c r="DP43" s="273">
        <v>486</v>
      </c>
      <c r="DQ43" s="190">
        <v>466</v>
      </c>
      <c r="DR43" s="190">
        <v>887</v>
      </c>
      <c r="DS43" s="190">
        <v>722</v>
      </c>
      <c r="DT43" s="190">
        <v>225</v>
      </c>
      <c r="DU43" s="190">
        <v>457</v>
      </c>
      <c r="DV43" s="190">
        <v>310</v>
      </c>
      <c r="DW43" s="190">
        <v>206</v>
      </c>
      <c r="DX43" s="286"/>
      <c r="DY43" s="273">
        <v>984</v>
      </c>
      <c r="DZ43" s="190">
        <v>704</v>
      </c>
      <c r="EA43" s="190">
        <v>841</v>
      </c>
      <c r="EB43" s="190">
        <v>879</v>
      </c>
      <c r="EC43" s="190">
        <v>1015</v>
      </c>
      <c r="ED43" s="190">
        <v>1133</v>
      </c>
      <c r="EE43" s="190">
        <v>906</v>
      </c>
      <c r="EF43" s="190">
        <v>742</v>
      </c>
      <c r="EG43" s="286"/>
      <c r="EH43" s="273">
        <v>97</v>
      </c>
      <c r="EI43" s="190">
        <v>63</v>
      </c>
      <c r="EJ43" s="190">
        <v>78</v>
      </c>
      <c r="EK43" s="190">
        <v>81</v>
      </c>
      <c r="EL43" s="190">
        <v>72</v>
      </c>
      <c r="EM43" s="190">
        <v>40</v>
      </c>
      <c r="EN43" s="190">
        <v>55</v>
      </c>
      <c r="EO43" s="190">
        <v>39</v>
      </c>
      <c r="EP43" s="286"/>
      <c r="EQ43" s="273">
        <v>27</v>
      </c>
      <c r="ER43" s="190">
        <v>10</v>
      </c>
      <c r="ES43" s="190">
        <v>20</v>
      </c>
      <c r="ET43" s="190">
        <v>26</v>
      </c>
      <c r="EU43" s="190">
        <v>19</v>
      </c>
      <c r="EV43" s="190">
        <v>17</v>
      </c>
      <c r="EW43" s="190">
        <v>34</v>
      </c>
      <c r="EX43" s="190">
        <v>35</v>
      </c>
      <c r="EY43" s="286"/>
      <c r="EZ43" s="273">
        <v>23</v>
      </c>
      <c r="FA43" s="190">
        <v>22</v>
      </c>
      <c r="FB43" s="190">
        <v>23</v>
      </c>
      <c r="FC43" s="190">
        <v>27</v>
      </c>
      <c r="FD43" s="190">
        <v>19</v>
      </c>
      <c r="FE43" s="190">
        <v>26</v>
      </c>
      <c r="FF43" s="190">
        <v>17</v>
      </c>
      <c r="FG43" s="190">
        <v>12</v>
      </c>
      <c r="FH43" s="286"/>
      <c r="FI43" s="273">
        <v>582</v>
      </c>
      <c r="FJ43" s="190">
        <v>474</v>
      </c>
      <c r="FK43" s="190">
        <v>405</v>
      </c>
      <c r="FL43" s="190">
        <v>261</v>
      </c>
      <c r="FM43" s="190">
        <v>289</v>
      </c>
      <c r="FN43" s="190">
        <v>194</v>
      </c>
      <c r="FO43" s="190">
        <v>226</v>
      </c>
      <c r="FP43" s="190">
        <v>220</v>
      </c>
      <c r="FQ43" s="286"/>
      <c r="FR43" s="273">
        <v>85</v>
      </c>
      <c r="FS43" s="190">
        <v>58</v>
      </c>
      <c r="FT43" s="190">
        <v>59</v>
      </c>
      <c r="FU43" s="190">
        <v>45</v>
      </c>
      <c r="FV43" s="190">
        <v>59</v>
      </c>
      <c r="FW43" s="190">
        <v>55</v>
      </c>
      <c r="FX43" s="190">
        <v>29</v>
      </c>
      <c r="FY43" s="190">
        <v>35</v>
      </c>
      <c r="FZ43" s="286"/>
      <c r="GA43" s="273">
        <v>58</v>
      </c>
      <c r="GB43" s="190">
        <v>77</v>
      </c>
      <c r="GC43" s="190">
        <v>58</v>
      </c>
      <c r="GD43" s="190">
        <v>55</v>
      </c>
      <c r="GE43" s="190">
        <v>48</v>
      </c>
      <c r="GF43" s="190">
        <v>52</v>
      </c>
      <c r="GG43" s="190">
        <v>61</v>
      </c>
      <c r="GH43" s="190">
        <v>64</v>
      </c>
      <c r="GI43" s="286"/>
      <c r="GJ43" s="273">
        <v>9525</v>
      </c>
      <c r="GK43" s="190">
        <v>8518</v>
      </c>
      <c r="GL43" s="190">
        <v>10077</v>
      </c>
      <c r="GM43" s="190">
        <v>8924</v>
      </c>
      <c r="GN43" s="190">
        <v>7784</v>
      </c>
      <c r="GO43" s="190">
        <v>7592</v>
      </c>
      <c r="GP43" s="190">
        <v>6481</v>
      </c>
      <c r="GQ43" s="190">
        <v>5614</v>
      </c>
      <c r="GR43" s="286"/>
      <c r="GS43" s="273">
        <v>2945</v>
      </c>
      <c r="GT43" s="190">
        <v>2659</v>
      </c>
      <c r="GU43" s="190">
        <v>3553</v>
      </c>
      <c r="GV43" s="190">
        <v>2879</v>
      </c>
      <c r="GW43" s="190">
        <v>1636</v>
      </c>
      <c r="GX43" s="190">
        <v>1929</v>
      </c>
      <c r="GY43" s="190">
        <v>1662</v>
      </c>
      <c r="GZ43" s="190">
        <v>1301</v>
      </c>
      <c r="HA43" s="286"/>
      <c r="HB43" s="273">
        <v>36</v>
      </c>
      <c r="HC43" s="190">
        <v>34</v>
      </c>
      <c r="HD43" s="190">
        <v>29</v>
      </c>
      <c r="HE43" s="190">
        <v>32</v>
      </c>
      <c r="HF43" s="190">
        <v>40</v>
      </c>
      <c r="HG43" s="190">
        <v>23</v>
      </c>
      <c r="HH43" s="190">
        <v>52</v>
      </c>
      <c r="HI43" s="190">
        <v>21</v>
      </c>
      <c r="HJ43" s="286"/>
      <c r="HK43" s="273">
        <v>32</v>
      </c>
      <c r="HL43" s="190">
        <v>33</v>
      </c>
      <c r="HM43" s="190">
        <v>26</v>
      </c>
      <c r="HN43" s="190">
        <v>23</v>
      </c>
      <c r="HO43" s="190">
        <v>22</v>
      </c>
      <c r="HP43" s="190">
        <v>14</v>
      </c>
      <c r="HQ43" s="190">
        <v>24</v>
      </c>
      <c r="HR43" s="190">
        <v>17</v>
      </c>
      <c r="HS43" s="286"/>
      <c r="HT43" s="273">
        <v>4255</v>
      </c>
      <c r="HU43" s="190">
        <v>3747</v>
      </c>
      <c r="HV43" s="190">
        <v>4838</v>
      </c>
      <c r="HW43" s="190">
        <v>4364</v>
      </c>
      <c r="HX43" s="190">
        <v>3461</v>
      </c>
      <c r="HY43" s="190">
        <v>3884</v>
      </c>
      <c r="HZ43" s="190">
        <v>3737</v>
      </c>
      <c r="IA43" s="190">
        <v>3329</v>
      </c>
      <c r="IB43" s="286"/>
      <c r="IC43" s="273">
        <v>16238</v>
      </c>
      <c r="ID43" s="190">
        <v>15958</v>
      </c>
      <c r="IE43" s="190">
        <v>21570</v>
      </c>
      <c r="IF43" s="190">
        <v>14529</v>
      </c>
      <c r="IG43" s="190">
        <v>13395</v>
      </c>
      <c r="IH43" s="190">
        <v>13771</v>
      </c>
      <c r="II43" s="190">
        <v>13267</v>
      </c>
      <c r="IJ43" s="190">
        <v>10764</v>
      </c>
      <c r="IK43" s="286"/>
    </row>
    <row r="44" spans="1:245" x14ac:dyDescent="0.2">
      <c r="A44" s="960" t="s">
        <v>579</v>
      </c>
      <c r="B44" s="146" t="s">
        <v>580</v>
      </c>
      <c r="C44" s="147">
        <v>4</v>
      </c>
      <c r="D44" s="148">
        <v>12</v>
      </c>
      <c r="E44" s="148">
        <v>8</v>
      </c>
      <c r="F44" s="148">
        <v>11</v>
      </c>
      <c r="G44" s="149">
        <v>9</v>
      </c>
      <c r="H44" s="149">
        <v>4</v>
      </c>
      <c r="I44" s="278">
        <v>6</v>
      </c>
      <c r="J44" s="278">
        <v>5</v>
      </c>
      <c r="K44" s="150"/>
      <c r="L44" s="147">
        <v>3</v>
      </c>
      <c r="M44" s="148">
        <v>10</v>
      </c>
      <c r="N44" s="148">
        <v>2</v>
      </c>
      <c r="O44" s="148">
        <v>7</v>
      </c>
      <c r="P44" s="149">
        <v>3</v>
      </c>
      <c r="Q44" s="149">
        <v>3</v>
      </c>
      <c r="R44" s="278">
        <v>2</v>
      </c>
      <c r="S44" s="278">
        <v>2</v>
      </c>
      <c r="T44" s="150"/>
      <c r="U44" s="147"/>
      <c r="V44" s="148">
        <v>1</v>
      </c>
      <c r="W44" s="148">
        <v>5</v>
      </c>
      <c r="X44" s="148">
        <v>3</v>
      </c>
      <c r="Y44" s="149">
        <v>6</v>
      </c>
      <c r="Z44" s="149">
        <v>1</v>
      </c>
      <c r="AA44" s="278">
        <v>3</v>
      </c>
      <c r="AB44" s="278">
        <v>2</v>
      </c>
      <c r="AC44" s="150"/>
      <c r="AD44" s="147">
        <v>17</v>
      </c>
      <c r="AE44" s="148">
        <v>19</v>
      </c>
      <c r="AF44" s="148">
        <v>14</v>
      </c>
      <c r="AG44" s="148">
        <v>28</v>
      </c>
      <c r="AH44" s="149">
        <v>10</v>
      </c>
      <c r="AI44" s="149">
        <v>28</v>
      </c>
      <c r="AJ44" s="278">
        <v>10</v>
      </c>
      <c r="AK44" s="278">
        <v>7</v>
      </c>
      <c r="AL44" s="150"/>
      <c r="AM44" s="147">
        <v>11</v>
      </c>
      <c r="AN44" s="148">
        <v>16</v>
      </c>
      <c r="AO44" s="148">
        <v>12</v>
      </c>
      <c r="AP44" s="148">
        <v>24</v>
      </c>
      <c r="AQ44" s="149">
        <v>8</v>
      </c>
      <c r="AR44" s="149">
        <v>18</v>
      </c>
      <c r="AS44" s="278">
        <v>7</v>
      </c>
      <c r="AT44" s="278">
        <v>5</v>
      </c>
      <c r="AU44" s="150"/>
      <c r="AV44" s="147">
        <v>1</v>
      </c>
      <c r="AW44" s="148"/>
      <c r="AX44" s="148"/>
      <c r="AY44" s="148"/>
      <c r="AZ44" s="149">
        <v>3</v>
      </c>
      <c r="BA44" s="149">
        <v>1</v>
      </c>
      <c r="BB44" s="278"/>
      <c r="BC44" s="278">
        <v>1</v>
      </c>
      <c r="BD44" s="150"/>
      <c r="BE44" s="147"/>
      <c r="BF44" s="148">
        <v>2</v>
      </c>
      <c r="BG44" s="148">
        <v>2</v>
      </c>
      <c r="BH44" s="148">
        <v>4</v>
      </c>
      <c r="BI44" s="149"/>
      <c r="BJ44" s="149">
        <v>7</v>
      </c>
      <c r="BK44" s="278">
        <v>3</v>
      </c>
      <c r="BL44" s="278">
        <v>1</v>
      </c>
      <c r="BM44" s="150"/>
      <c r="BN44" s="147">
        <v>4</v>
      </c>
      <c r="BO44" s="148">
        <v>5</v>
      </c>
      <c r="BP44" s="148">
        <v>16</v>
      </c>
      <c r="BQ44" s="148">
        <v>4</v>
      </c>
      <c r="BR44" s="149">
        <v>10</v>
      </c>
      <c r="BS44" s="149">
        <v>4</v>
      </c>
      <c r="BT44" s="278">
        <v>6</v>
      </c>
      <c r="BU44" s="278">
        <v>7</v>
      </c>
      <c r="BV44" s="150"/>
      <c r="BW44" s="147">
        <v>5</v>
      </c>
      <c r="BX44" s="148">
        <v>3</v>
      </c>
      <c r="BY44" s="148">
        <v>10</v>
      </c>
      <c r="BZ44" s="148">
        <v>3</v>
      </c>
      <c r="CA44" s="149">
        <v>1</v>
      </c>
      <c r="CB44" s="149">
        <v>13</v>
      </c>
      <c r="CC44" s="278">
        <v>3</v>
      </c>
      <c r="CD44" s="278">
        <v>4</v>
      </c>
      <c r="CE44" s="150"/>
      <c r="CF44" s="147">
        <v>1</v>
      </c>
      <c r="CG44" s="148">
        <v>1</v>
      </c>
      <c r="CH44" s="148"/>
      <c r="CI44" s="148"/>
      <c r="CJ44" s="149"/>
      <c r="CK44" s="149">
        <v>1</v>
      </c>
      <c r="CL44" s="278"/>
      <c r="CM44" s="278">
        <v>1</v>
      </c>
      <c r="CN44" s="150"/>
      <c r="CO44" s="147">
        <v>6</v>
      </c>
      <c r="CP44" s="148">
        <v>3</v>
      </c>
      <c r="CQ44" s="148">
        <v>1</v>
      </c>
      <c r="CR44" s="148">
        <v>2</v>
      </c>
      <c r="CS44" s="149"/>
      <c r="CT44" s="149">
        <v>3</v>
      </c>
      <c r="CU44" s="278"/>
      <c r="CV44" s="278">
        <v>3</v>
      </c>
      <c r="CW44" s="150"/>
      <c r="CX44" s="147">
        <v>20</v>
      </c>
      <c r="CY44" s="148">
        <v>22</v>
      </c>
      <c r="CZ44" s="148">
        <v>9</v>
      </c>
      <c r="DA44" s="148">
        <v>2</v>
      </c>
      <c r="DB44" s="149">
        <v>4</v>
      </c>
      <c r="DC44" s="149">
        <v>48</v>
      </c>
      <c r="DD44" s="278">
        <v>58</v>
      </c>
      <c r="DE44" s="278">
        <v>50</v>
      </c>
      <c r="DF44" s="150"/>
      <c r="DG44" s="147"/>
      <c r="DH44" s="148"/>
      <c r="DI44" s="148"/>
      <c r="DJ44" s="148"/>
      <c r="DK44" s="149"/>
      <c r="DL44" s="149">
        <v>1</v>
      </c>
      <c r="DM44" s="278"/>
      <c r="DN44" s="278"/>
      <c r="DO44" s="150"/>
      <c r="DP44" s="147"/>
      <c r="DQ44" s="148"/>
      <c r="DR44" s="148"/>
      <c r="DS44" s="148"/>
      <c r="DT44" s="149"/>
      <c r="DU44" s="149">
        <v>1</v>
      </c>
      <c r="DV44" s="278">
        <v>2</v>
      </c>
      <c r="DW44" s="278"/>
      <c r="DX44" s="150"/>
      <c r="DY44" s="147"/>
      <c r="DZ44" s="148">
        <v>3</v>
      </c>
      <c r="EA44" s="148"/>
      <c r="EB44" s="148"/>
      <c r="EC44" s="149"/>
      <c r="ED44" s="149">
        <v>10</v>
      </c>
      <c r="EE44" s="278">
        <v>13</v>
      </c>
      <c r="EF44" s="278">
        <v>29</v>
      </c>
      <c r="EG44" s="150"/>
      <c r="EH44" s="147">
        <v>3</v>
      </c>
      <c r="EI44" s="148">
        <v>18</v>
      </c>
      <c r="EJ44" s="148"/>
      <c r="EK44" s="148">
        <v>2</v>
      </c>
      <c r="EL44" s="149">
        <v>2</v>
      </c>
      <c r="EM44" s="149">
        <v>4</v>
      </c>
      <c r="EN44" s="278"/>
      <c r="EO44" s="278"/>
      <c r="EP44" s="150"/>
      <c r="EQ44" s="147"/>
      <c r="ER44" s="148"/>
      <c r="ES44" s="148"/>
      <c r="ET44" s="148"/>
      <c r="EU44" s="149"/>
      <c r="EV44" s="149">
        <v>1</v>
      </c>
      <c r="EW44" s="278"/>
      <c r="EX44" s="278"/>
      <c r="EY44" s="150"/>
      <c r="EZ44" s="147">
        <v>6</v>
      </c>
      <c r="FA44" s="148">
        <v>4</v>
      </c>
      <c r="FB44" s="148"/>
      <c r="FC44" s="148">
        <v>4</v>
      </c>
      <c r="FD44" s="149"/>
      <c r="FE44" s="149">
        <v>2</v>
      </c>
      <c r="FF44" s="278"/>
      <c r="FG44" s="278"/>
      <c r="FH44" s="150"/>
      <c r="FI44" s="147">
        <v>1</v>
      </c>
      <c r="FJ44" s="148">
        <v>1</v>
      </c>
      <c r="FK44" s="148"/>
      <c r="FL44" s="148">
        <v>3</v>
      </c>
      <c r="FM44" s="149"/>
      <c r="FN44" s="149">
        <v>1</v>
      </c>
      <c r="FO44" s="278"/>
      <c r="FP44" s="278">
        <v>1</v>
      </c>
      <c r="FQ44" s="150"/>
      <c r="FR44" s="147">
        <v>3</v>
      </c>
      <c r="FS44" s="148"/>
      <c r="FT44" s="148"/>
      <c r="FU44" s="148"/>
      <c r="FV44" s="149"/>
      <c r="FW44" s="149">
        <v>94</v>
      </c>
      <c r="FX44" s="278"/>
      <c r="FY44" s="278"/>
      <c r="FZ44" s="150"/>
      <c r="GA44" s="147">
        <v>1</v>
      </c>
      <c r="GB44" s="148"/>
      <c r="GC44" s="148">
        <v>1</v>
      </c>
      <c r="GD44" s="148"/>
      <c r="GE44" s="149"/>
      <c r="GF44" s="149">
        <v>1</v>
      </c>
      <c r="GG44" s="278"/>
      <c r="GH44" s="278"/>
      <c r="GI44" s="150"/>
      <c r="GJ44" s="147">
        <v>71</v>
      </c>
      <c r="GK44" s="148">
        <v>90</v>
      </c>
      <c r="GL44" s="148">
        <v>61</v>
      </c>
      <c r="GM44" s="148">
        <v>63</v>
      </c>
      <c r="GN44" s="149">
        <v>36</v>
      </c>
      <c r="GO44" s="149">
        <v>211</v>
      </c>
      <c r="GP44" s="278">
        <v>86</v>
      </c>
      <c r="GQ44" s="278">
        <v>79</v>
      </c>
      <c r="GR44" s="150"/>
      <c r="GS44" s="147">
        <v>18</v>
      </c>
      <c r="GT44" s="148">
        <v>12</v>
      </c>
      <c r="GU44" s="148">
        <v>11</v>
      </c>
      <c r="GV44" s="148">
        <v>23</v>
      </c>
      <c r="GW44" s="149">
        <v>13</v>
      </c>
      <c r="GX44" s="149">
        <v>22</v>
      </c>
      <c r="GY44" s="278">
        <v>14</v>
      </c>
      <c r="GZ44" s="278">
        <v>6</v>
      </c>
      <c r="HA44" s="150"/>
      <c r="HB44" s="147"/>
      <c r="HC44" s="148">
        <v>1</v>
      </c>
      <c r="HD44" s="148"/>
      <c r="HE44" s="148"/>
      <c r="HF44" s="149">
        <v>1</v>
      </c>
      <c r="HG44" s="149">
        <v>2</v>
      </c>
      <c r="HH44" s="278"/>
      <c r="HI44" s="278">
        <v>2</v>
      </c>
      <c r="HJ44" s="150"/>
      <c r="HK44" s="147"/>
      <c r="HL44" s="148"/>
      <c r="HM44" s="148"/>
      <c r="HN44" s="148"/>
      <c r="HO44" s="149"/>
      <c r="HP44" s="149"/>
      <c r="HQ44" s="278"/>
      <c r="HR44" s="278"/>
      <c r="HS44" s="150"/>
      <c r="HT44" s="147">
        <v>37</v>
      </c>
      <c r="HU44" s="148">
        <v>26</v>
      </c>
      <c r="HV44" s="148">
        <v>16</v>
      </c>
      <c r="HW44" s="148">
        <v>35</v>
      </c>
      <c r="HX44" s="149">
        <v>18</v>
      </c>
      <c r="HY44" s="149">
        <v>36</v>
      </c>
      <c r="HZ44" s="278">
        <v>15</v>
      </c>
      <c r="IA44" s="278">
        <v>16</v>
      </c>
      <c r="IB44" s="150"/>
      <c r="IC44" s="147">
        <v>497</v>
      </c>
      <c r="ID44" s="148">
        <v>425</v>
      </c>
      <c r="IE44" s="148">
        <v>259</v>
      </c>
      <c r="IF44" s="148">
        <v>588</v>
      </c>
      <c r="IG44" s="149">
        <v>107</v>
      </c>
      <c r="IH44" s="149">
        <v>606</v>
      </c>
      <c r="II44" s="278">
        <v>180</v>
      </c>
      <c r="IJ44" s="278">
        <v>368</v>
      </c>
      <c r="IK44" s="150"/>
    </row>
    <row r="45" spans="1:245" x14ac:dyDescent="0.2">
      <c r="A45" s="961"/>
      <c r="B45" s="151" t="s">
        <v>663</v>
      </c>
      <c r="C45" s="152"/>
      <c r="D45" s="153"/>
      <c r="E45" s="153"/>
      <c r="F45" s="153"/>
      <c r="G45" s="154"/>
      <c r="H45" s="154"/>
      <c r="I45" s="279"/>
      <c r="J45" s="279"/>
      <c r="K45" s="155"/>
      <c r="L45" s="152"/>
      <c r="M45" s="153"/>
      <c r="N45" s="153"/>
      <c r="O45" s="153"/>
      <c r="P45" s="154"/>
      <c r="Q45" s="154"/>
      <c r="R45" s="279"/>
      <c r="S45" s="279"/>
      <c r="T45" s="155"/>
      <c r="U45" s="152"/>
      <c r="V45" s="153"/>
      <c r="W45" s="153"/>
      <c r="X45" s="153"/>
      <c r="Y45" s="154"/>
      <c r="Z45" s="154"/>
      <c r="AA45" s="279"/>
      <c r="AB45" s="279"/>
      <c r="AC45" s="155"/>
      <c r="AD45" s="152">
        <v>84</v>
      </c>
      <c r="AE45" s="153">
        <v>90</v>
      </c>
      <c r="AF45" s="153">
        <v>63</v>
      </c>
      <c r="AG45" s="153">
        <v>54</v>
      </c>
      <c r="AH45" s="154">
        <v>58</v>
      </c>
      <c r="AI45" s="154">
        <v>61</v>
      </c>
      <c r="AJ45" s="279">
        <v>43</v>
      </c>
      <c r="AK45" s="279">
        <v>37</v>
      </c>
      <c r="AL45" s="155"/>
      <c r="AM45" s="152">
        <v>23</v>
      </c>
      <c r="AN45" s="153">
        <v>31</v>
      </c>
      <c r="AO45" s="153">
        <v>27</v>
      </c>
      <c r="AP45" s="153">
        <v>23</v>
      </c>
      <c r="AQ45" s="154">
        <v>24</v>
      </c>
      <c r="AR45" s="154">
        <v>35</v>
      </c>
      <c r="AS45" s="279">
        <v>24</v>
      </c>
      <c r="AT45" s="279">
        <v>20</v>
      </c>
      <c r="AU45" s="155"/>
      <c r="AV45" s="152"/>
      <c r="AW45" s="153"/>
      <c r="AX45" s="153"/>
      <c r="AY45" s="153"/>
      <c r="AZ45" s="154"/>
      <c r="BA45" s="154"/>
      <c r="BB45" s="279"/>
      <c r="BC45" s="279"/>
      <c r="BD45" s="155"/>
      <c r="BE45" s="152">
        <v>2</v>
      </c>
      <c r="BF45" s="153">
        <v>4</v>
      </c>
      <c r="BG45" s="153">
        <v>3</v>
      </c>
      <c r="BH45" s="153">
        <v>1</v>
      </c>
      <c r="BI45" s="154">
        <v>7</v>
      </c>
      <c r="BJ45" s="154">
        <v>1</v>
      </c>
      <c r="BK45" s="279">
        <v>10</v>
      </c>
      <c r="BL45" s="279">
        <v>2</v>
      </c>
      <c r="BM45" s="155"/>
      <c r="BN45" s="152"/>
      <c r="BO45" s="153"/>
      <c r="BP45" s="153"/>
      <c r="BQ45" s="153"/>
      <c r="BR45" s="154"/>
      <c r="BS45" s="154"/>
      <c r="BT45" s="279"/>
      <c r="BU45" s="279"/>
      <c r="BV45" s="155"/>
      <c r="BW45" s="152">
        <v>86</v>
      </c>
      <c r="BX45" s="153">
        <v>88</v>
      </c>
      <c r="BY45" s="153">
        <v>83</v>
      </c>
      <c r="BZ45" s="153">
        <v>72</v>
      </c>
      <c r="CA45" s="154">
        <v>58</v>
      </c>
      <c r="CB45" s="154">
        <v>56</v>
      </c>
      <c r="CC45" s="279">
        <v>47</v>
      </c>
      <c r="CD45" s="279">
        <v>59</v>
      </c>
      <c r="CE45" s="155"/>
      <c r="CF45" s="152">
        <v>6</v>
      </c>
      <c r="CG45" s="153">
        <v>4</v>
      </c>
      <c r="CH45" s="153">
        <v>3</v>
      </c>
      <c r="CI45" s="153">
        <v>3</v>
      </c>
      <c r="CJ45" s="154">
        <v>3</v>
      </c>
      <c r="CK45" s="154">
        <v>3</v>
      </c>
      <c r="CL45" s="279"/>
      <c r="CM45" s="279">
        <v>1</v>
      </c>
      <c r="CN45" s="155"/>
      <c r="CO45" s="152"/>
      <c r="CP45" s="153">
        <v>1</v>
      </c>
      <c r="CQ45" s="153">
        <v>1</v>
      </c>
      <c r="CR45" s="153">
        <v>1</v>
      </c>
      <c r="CS45" s="154">
        <v>5</v>
      </c>
      <c r="CT45" s="154">
        <v>4</v>
      </c>
      <c r="CU45" s="279">
        <v>2</v>
      </c>
      <c r="CV45" s="279">
        <v>1</v>
      </c>
      <c r="CW45" s="155"/>
      <c r="CX45" s="152">
        <v>1178</v>
      </c>
      <c r="CY45" s="153">
        <v>1083</v>
      </c>
      <c r="CZ45" s="153">
        <v>1306</v>
      </c>
      <c r="DA45" s="153">
        <v>1062</v>
      </c>
      <c r="DB45" s="154">
        <v>932</v>
      </c>
      <c r="DC45" s="154">
        <v>710</v>
      </c>
      <c r="DD45" s="279">
        <v>690</v>
      </c>
      <c r="DE45" s="279">
        <v>573</v>
      </c>
      <c r="DF45" s="155"/>
      <c r="DG45" s="152">
        <v>4</v>
      </c>
      <c r="DH45" s="153">
        <v>5</v>
      </c>
      <c r="DI45" s="153">
        <v>3</v>
      </c>
      <c r="DJ45" s="153">
        <v>5</v>
      </c>
      <c r="DK45" s="154">
        <v>2</v>
      </c>
      <c r="DL45" s="154">
        <v>1</v>
      </c>
      <c r="DM45" s="279">
        <v>1</v>
      </c>
      <c r="DN45" s="279"/>
      <c r="DO45" s="155"/>
      <c r="DP45" s="152">
        <v>48</v>
      </c>
      <c r="DQ45" s="153">
        <v>27</v>
      </c>
      <c r="DR45" s="153">
        <v>34</v>
      </c>
      <c r="DS45" s="153">
        <v>20</v>
      </c>
      <c r="DT45" s="154">
        <v>16</v>
      </c>
      <c r="DU45" s="154">
        <v>37</v>
      </c>
      <c r="DV45" s="279">
        <v>17</v>
      </c>
      <c r="DW45" s="279">
        <v>7</v>
      </c>
      <c r="DX45" s="155"/>
      <c r="DY45" s="152">
        <v>120</v>
      </c>
      <c r="DZ45" s="153">
        <v>120</v>
      </c>
      <c r="EA45" s="153">
        <v>106</v>
      </c>
      <c r="EB45" s="153">
        <v>56</v>
      </c>
      <c r="EC45" s="154">
        <v>91</v>
      </c>
      <c r="ED45" s="154">
        <v>91</v>
      </c>
      <c r="EE45" s="279">
        <v>136</v>
      </c>
      <c r="EF45" s="279">
        <v>99</v>
      </c>
      <c r="EG45" s="155"/>
      <c r="EH45" s="152">
        <v>13</v>
      </c>
      <c r="EI45" s="153">
        <v>6</v>
      </c>
      <c r="EJ45" s="153">
        <v>12</v>
      </c>
      <c r="EK45" s="153">
        <v>14</v>
      </c>
      <c r="EL45" s="154">
        <v>4</v>
      </c>
      <c r="EM45" s="154">
        <v>7</v>
      </c>
      <c r="EN45" s="279">
        <v>5</v>
      </c>
      <c r="EO45" s="279">
        <v>1</v>
      </c>
      <c r="EP45" s="155"/>
      <c r="EQ45" s="152">
        <v>1</v>
      </c>
      <c r="ER45" s="153">
        <v>3</v>
      </c>
      <c r="ES45" s="153">
        <v>2</v>
      </c>
      <c r="ET45" s="153">
        <v>3</v>
      </c>
      <c r="EU45" s="154">
        <v>2</v>
      </c>
      <c r="EV45" s="154">
        <v>2</v>
      </c>
      <c r="EW45" s="279">
        <v>8</v>
      </c>
      <c r="EX45" s="279">
        <v>3</v>
      </c>
      <c r="EY45" s="155"/>
      <c r="EZ45" s="152">
        <v>4</v>
      </c>
      <c r="FA45" s="153">
        <v>2</v>
      </c>
      <c r="FB45" s="153">
        <v>6</v>
      </c>
      <c r="FC45" s="153">
        <v>2</v>
      </c>
      <c r="FD45" s="154">
        <v>2</v>
      </c>
      <c r="FE45" s="154">
        <v>2</v>
      </c>
      <c r="FF45" s="279">
        <v>1</v>
      </c>
      <c r="FG45" s="279">
        <v>1</v>
      </c>
      <c r="FH45" s="155"/>
      <c r="FI45" s="152">
        <v>94</v>
      </c>
      <c r="FJ45" s="153">
        <v>89</v>
      </c>
      <c r="FK45" s="153">
        <v>109</v>
      </c>
      <c r="FL45" s="153">
        <v>64</v>
      </c>
      <c r="FM45" s="154">
        <v>56</v>
      </c>
      <c r="FN45" s="154">
        <v>41</v>
      </c>
      <c r="FO45" s="279">
        <v>65</v>
      </c>
      <c r="FP45" s="279">
        <v>43</v>
      </c>
      <c r="FQ45" s="155"/>
      <c r="FR45" s="152">
        <v>6</v>
      </c>
      <c r="FS45" s="153">
        <v>21</v>
      </c>
      <c r="FT45" s="153">
        <v>3</v>
      </c>
      <c r="FU45" s="153">
        <v>7</v>
      </c>
      <c r="FV45" s="154">
        <v>6</v>
      </c>
      <c r="FW45" s="154">
        <v>3</v>
      </c>
      <c r="FX45" s="279">
        <v>2</v>
      </c>
      <c r="FY45" s="279">
        <v>1</v>
      </c>
      <c r="FZ45" s="155"/>
      <c r="GA45" s="152">
        <v>4</v>
      </c>
      <c r="GB45" s="153">
        <v>8</v>
      </c>
      <c r="GC45" s="153">
        <v>6</v>
      </c>
      <c r="GD45" s="153">
        <v>3</v>
      </c>
      <c r="GE45" s="154">
        <v>12</v>
      </c>
      <c r="GF45" s="154">
        <v>6</v>
      </c>
      <c r="GG45" s="279">
        <v>7</v>
      </c>
      <c r="GH45" s="279">
        <v>7</v>
      </c>
      <c r="GI45" s="155"/>
      <c r="GJ45" s="152">
        <v>1478</v>
      </c>
      <c r="GK45" s="153">
        <v>1399</v>
      </c>
      <c r="GL45" s="153">
        <v>1597</v>
      </c>
      <c r="GM45" s="153">
        <v>1286</v>
      </c>
      <c r="GN45" s="154">
        <v>1145</v>
      </c>
      <c r="GO45" s="154">
        <v>896</v>
      </c>
      <c r="GP45" s="279">
        <v>880</v>
      </c>
      <c r="GQ45" s="279">
        <v>729</v>
      </c>
      <c r="GR45" s="155"/>
      <c r="GS45" s="152">
        <v>475</v>
      </c>
      <c r="GT45" s="153">
        <v>621</v>
      </c>
      <c r="GU45" s="153">
        <v>701</v>
      </c>
      <c r="GV45" s="153">
        <v>463</v>
      </c>
      <c r="GW45" s="154">
        <v>227</v>
      </c>
      <c r="GX45" s="154">
        <v>236</v>
      </c>
      <c r="GY45" s="279">
        <v>237</v>
      </c>
      <c r="GZ45" s="279">
        <v>145</v>
      </c>
      <c r="HA45" s="155"/>
      <c r="HB45" s="152">
        <v>9</v>
      </c>
      <c r="HC45" s="153">
        <v>3</v>
      </c>
      <c r="HD45" s="153">
        <v>5</v>
      </c>
      <c r="HE45" s="153">
        <v>7</v>
      </c>
      <c r="HF45" s="154">
        <v>5</v>
      </c>
      <c r="HG45" s="154">
        <v>5</v>
      </c>
      <c r="HH45" s="279">
        <v>2</v>
      </c>
      <c r="HI45" s="279">
        <v>4</v>
      </c>
      <c r="HJ45" s="155"/>
      <c r="HK45" s="152">
        <v>7</v>
      </c>
      <c r="HL45" s="153">
        <v>4</v>
      </c>
      <c r="HM45" s="153">
        <v>6</v>
      </c>
      <c r="HN45" s="153">
        <v>4</v>
      </c>
      <c r="HO45" s="154">
        <v>4</v>
      </c>
      <c r="HP45" s="154">
        <v>3</v>
      </c>
      <c r="HQ45" s="279">
        <v>3</v>
      </c>
      <c r="HR45" s="279">
        <v>2</v>
      </c>
      <c r="HS45" s="155"/>
      <c r="HT45" s="152">
        <v>652</v>
      </c>
      <c r="HU45" s="153">
        <v>824</v>
      </c>
      <c r="HV45" s="153">
        <v>854</v>
      </c>
      <c r="HW45" s="153">
        <v>615</v>
      </c>
      <c r="HX45" s="154">
        <v>441</v>
      </c>
      <c r="HY45" s="154">
        <v>426</v>
      </c>
      <c r="HZ45" s="279">
        <v>427</v>
      </c>
      <c r="IA45" s="279">
        <v>331</v>
      </c>
      <c r="IB45" s="155"/>
      <c r="IC45" s="152">
        <v>2437</v>
      </c>
      <c r="ID45" s="153">
        <v>2506</v>
      </c>
      <c r="IE45" s="153">
        <v>3055</v>
      </c>
      <c r="IF45" s="153">
        <v>2327</v>
      </c>
      <c r="IG45" s="154">
        <v>1862</v>
      </c>
      <c r="IH45" s="154">
        <v>1621</v>
      </c>
      <c r="II45" s="279">
        <v>1503</v>
      </c>
      <c r="IJ45" s="279">
        <v>1379</v>
      </c>
      <c r="IK45" s="155"/>
    </row>
    <row r="46" spans="1:245" x14ac:dyDescent="0.2">
      <c r="A46" s="961"/>
      <c r="B46" s="151" t="s">
        <v>664</v>
      </c>
      <c r="C46" s="152"/>
      <c r="D46" s="153"/>
      <c r="E46" s="153"/>
      <c r="F46" s="153"/>
      <c r="G46" s="154"/>
      <c r="H46" s="154"/>
      <c r="I46" s="279"/>
      <c r="J46" s="279"/>
      <c r="K46" s="155"/>
      <c r="L46" s="152"/>
      <c r="M46" s="153"/>
      <c r="N46" s="153"/>
      <c r="O46" s="153"/>
      <c r="P46" s="154"/>
      <c r="Q46" s="154"/>
      <c r="R46" s="279"/>
      <c r="S46" s="279"/>
      <c r="T46" s="155"/>
      <c r="U46" s="152"/>
      <c r="V46" s="153"/>
      <c r="W46" s="153"/>
      <c r="X46" s="153"/>
      <c r="Y46" s="154"/>
      <c r="Z46" s="154"/>
      <c r="AA46" s="279"/>
      <c r="AB46" s="279"/>
      <c r="AC46" s="155"/>
      <c r="AD46" s="152">
        <v>13</v>
      </c>
      <c r="AE46" s="153">
        <v>20</v>
      </c>
      <c r="AF46" s="153">
        <v>20</v>
      </c>
      <c r="AG46" s="153">
        <v>8</v>
      </c>
      <c r="AH46" s="154">
        <v>12</v>
      </c>
      <c r="AI46" s="154">
        <v>29</v>
      </c>
      <c r="AJ46" s="279">
        <v>19</v>
      </c>
      <c r="AK46" s="279">
        <v>38</v>
      </c>
      <c r="AL46" s="155"/>
      <c r="AM46" s="152">
        <v>8</v>
      </c>
      <c r="AN46" s="153">
        <v>10</v>
      </c>
      <c r="AO46" s="153">
        <v>7</v>
      </c>
      <c r="AP46" s="153">
        <v>4</v>
      </c>
      <c r="AQ46" s="154">
        <v>8</v>
      </c>
      <c r="AR46" s="154">
        <v>9</v>
      </c>
      <c r="AS46" s="279">
        <v>5</v>
      </c>
      <c r="AT46" s="279">
        <v>3</v>
      </c>
      <c r="AU46" s="155"/>
      <c r="AV46" s="152"/>
      <c r="AW46" s="153"/>
      <c r="AX46" s="153"/>
      <c r="AY46" s="153"/>
      <c r="AZ46" s="154"/>
      <c r="BA46" s="154"/>
      <c r="BB46" s="279"/>
      <c r="BC46" s="279"/>
      <c r="BD46" s="155"/>
      <c r="BE46" s="152">
        <v>1</v>
      </c>
      <c r="BF46" s="153">
        <v>10</v>
      </c>
      <c r="BG46" s="153">
        <v>1</v>
      </c>
      <c r="BH46" s="153"/>
      <c r="BI46" s="154">
        <v>4</v>
      </c>
      <c r="BJ46" s="154"/>
      <c r="BK46" s="279">
        <v>6</v>
      </c>
      <c r="BL46" s="279">
        <v>6</v>
      </c>
      <c r="BM46" s="155"/>
      <c r="BN46" s="152"/>
      <c r="BO46" s="153"/>
      <c r="BP46" s="153"/>
      <c r="BQ46" s="153"/>
      <c r="BR46" s="154"/>
      <c r="BS46" s="154"/>
      <c r="BT46" s="279"/>
      <c r="BU46" s="279"/>
      <c r="BV46" s="155"/>
      <c r="BW46" s="152">
        <v>17</v>
      </c>
      <c r="BX46" s="153">
        <v>16</v>
      </c>
      <c r="BY46" s="153">
        <v>12</v>
      </c>
      <c r="BZ46" s="153">
        <v>14</v>
      </c>
      <c r="CA46" s="154">
        <v>10</v>
      </c>
      <c r="CB46" s="154">
        <v>7</v>
      </c>
      <c r="CC46" s="279">
        <v>3</v>
      </c>
      <c r="CD46" s="279">
        <v>14</v>
      </c>
      <c r="CE46" s="155"/>
      <c r="CF46" s="152"/>
      <c r="CG46" s="153"/>
      <c r="CH46" s="153">
        <v>4</v>
      </c>
      <c r="CI46" s="153">
        <v>1</v>
      </c>
      <c r="CJ46" s="154">
        <v>1</v>
      </c>
      <c r="CK46" s="154">
        <v>1</v>
      </c>
      <c r="CL46" s="279">
        <v>2</v>
      </c>
      <c r="CM46" s="279"/>
      <c r="CN46" s="155"/>
      <c r="CO46" s="152"/>
      <c r="CP46" s="153">
        <v>1</v>
      </c>
      <c r="CQ46" s="153"/>
      <c r="CR46" s="153"/>
      <c r="CS46" s="154"/>
      <c r="CT46" s="154">
        <v>1</v>
      </c>
      <c r="CU46" s="279"/>
      <c r="CV46" s="279">
        <v>1</v>
      </c>
      <c r="CW46" s="155"/>
      <c r="CX46" s="152">
        <v>232</v>
      </c>
      <c r="CY46" s="153">
        <v>349</v>
      </c>
      <c r="CZ46" s="153">
        <v>367</v>
      </c>
      <c r="DA46" s="153">
        <v>350</v>
      </c>
      <c r="DB46" s="154">
        <v>366</v>
      </c>
      <c r="DC46" s="154">
        <v>242</v>
      </c>
      <c r="DD46" s="279">
        <v>278</v>
      </c>
      <c r="DE46" s="279">
        <v>174</v>
      </c>
      <c r="DF46" s="155"/>
      <c r="DG46" s="152"/>
      <c r="DH46" s="153"/>
      <c r="DI46" s="153"/>
      <c r="DJ46" s="153"/>
      <c r="DK46" s="154">
        <v>3</v>
      </c>
      <c r="DL46" s="154"/>
      <c r="DM46" s="279"/>
      <c r="DN46" s="279"/>
      <c r="DO46" s="155"/>
      <c r="DP46" s="152">
        <v>4</v>
      </c>
      <c r="DQ46" s="153">
        <v>6</v>
      </c>
      <c r="DR46" s="153">
        <v>1</v>
      </c>
      <c r="DS46" s="153">
        <v>3</v>
      </c>
      <c r="DT46" s="154">
        <v>5</v>
      </c>
      <c r="DU46" s="154">
        <v>7</v>
      </c>
      <c r="DV46" s="279">
        <v>7</v>
      </c>
      <c r="DW46" s="279">
        <v>1</v>
      </c>
      <c r="DX46" s="155"/>
      <c r="DY46" s="152">
        <v>28</v>
      </c>
      <c r="DZ46" s="153">
        <v>17</v>
      </c>
      <c r="EA46" s="153">
        <v>20</v>
      </c>
      <c r="EB46" s="153">
        <v>20</v>
      </c>
      <c r="EC46" s="154">
        <v>41</v>
      </c>
      <c r="ED46" s="154">
        <v>27</v>
      </c>
      <c r="EE46" s="279">
        <v>59</v>
      </c>
      <c r="EF46" s="279">
        <v>15</v>
      </c>
      <c r="EG46" s="155"/>
      <c r="EH46" s="152">
        <v>2</v>
      </c>
      <c r="EI46" s="153">
        <v>1</v>
      </c>
      <c r="EJ46" s="153">
        <v>4</v>
      </c>
      <c r="EK46" s="153">
        <v>2</v>
      </c>
      <c r="EL46" s="154"/>
      <c r="EM46" s="154"/>
      <c r="EN46" s="279">
        <v>2</v>
      </c>
      <c r="EO46" s="279"/>
      <c r="EP46" s="155"/>
      <c r="EQ46" s="152"/>
      <c r="ER46" s="153"/>
      <c r="ES46" s="153"/>
      <c r="ET46" s="153"/>
      <c r="EU46" s="154">
        <v>1</v>
      </c>
      <c r="EV46" s="154"/>
      <c r="EW46" s="279"/>
      <c r="EX46" s="279">
        <v>2</v>
      </c>
      <c r="EY46" s="155"/>
      <c r="EZ46" s="152"/>
      <c r="FA46" s="153">
        <v>1</v>
      </c>
      <c r="FB46" s="153">
        <v>5</v>
      </c>
      <c r="FC46" s="153"/>
      <c r="FD46" s="154"/>
      <c r="FE46" s="154">
        <v>2</v>
      </c>
      <c r="FF46" s="279">
        <v>1</v>
      </c>
      <c r="FG46" s="279"/>
      <c r="FH46" s="155"/>
      <c r="FI46" s="152">
        <v>13</v>
      </c>
      <c r="FJ46" s="153">
        <v>17</v>
      </c>
      <c r="FK46" s="153">
        <v>10</v>
      </c>
      <c r="FL46" s="153">
        <v>12</v>
      </c>
      <c r="FM46" s="154">
        <v>3</v>
      </c>
      <c r="FN46" s="154">
        <v>3</v>
      </c>
      <c r="FO46" s="279">
        <v>2</v>
      </c>
      <c r="FP46" s="279">
        <v>5</v>
      </c>
      <c r="FQ46" s="155"/>
      <c r="FR46" s="152">
        <v>4</v>
      </c>
      <c r="FS46" s="153">
        <v>3</v>
      </c>
      <c r="FT46" s="153">
        <v>3</v>
      </c>
      <c r="FU46" s="153">
        <v>4</v>
      </c>
      <c r="FV46" s="154">
        <v>1</v>
      </c>
      <c r="FW46" s="154"/>
      <c r="FX46" s="279">
        <v>5</v>
      </c>
      <c r="FY46" s="279">
        <v>1</v>
      </c>
      <c r="FZ46" s="155"/>
      <c r="GA46" s="152">
        <v>6</v>
      </c>
      <c r="GB46" s="153">
        <v>3</v>
      </c>
      <c r="GC46" s="153">
        <v>2</v>
      </c>
      <c r="GD46" s="153">
        <v>1</v>
      </c>
      <c r="GE46" s="154">
        <v>2</v>
      </c>
      <c r="GF46" s="154">
        <v>3</v>
      </c>
      <c r="GG46" s="279">
        <v>12</v>
      </c>
      <c r="GH46" s="279">
        <v>2</v>
      </c>
      <c r="GI46" s="155"/>
      <c r="GJ46" s="152">
        <v>288</v>
      </c>
      <c r="GK46" s="153">
        <v>421</v>
      </c>
      <c r="GL46" s="153">
        <v>428</v>
      </c>
      <c r="GM46" s="153">
        <v>392</v>
      </c>
      <c r="GN46" s="154">
        <v>400</v>
      </c>
      <c r="GO46" s="154">
        <v>288</v>
      </c>
      <c r="GP46" s="279">
        <v>330</v>
      </c>
      <c r="GQ46" s="279">
        <v>243</v>
      </c>
      <c r="GR46" s="155"/>
      <c r="GS46" s="152">
        <v>80</v>
      </c>
      <c r="GT46" s="153">
        <v>171</v>
      </c>
      <c r="GU46" s="153">
        <v>126</v>
      </c>
      <c r="GV46" s="153">
        <v>113</v>
      </c>
      <c r="GW46" s="154">
        <v>104</v>
      </c>
      <c r="GX46" s="154">
        <v>80</v>
      </c>
      <c r="GY46" s="279">
        <v>90</v>
      </c>
      <c r="GZ46" s="279">
        <v>58</v>
      </c>
      <c r="HA46" s="155"/>
      <c r="HB46" s="152"/>
      <c r="HC46" s="153"/>
      <c r="HD46" s="153"/>
      <c r="HE46" s="153"/>
      <c r="HF46" s="154"/>
      <c r="HG46" s="154"/>
      <c r="HH46" s="279"/>
      <c r="HI46" s="279"/>
      <c r="HJ46" s="155"/>
      <c r="HK46" s="152"/>
      <c r="HL46" s="153"/>
      <c r="HM46" s="153"/>
      <c r="HN46" s="153"/>
      <c r="HO46" s="154"/>
      <c r="HP46" s="154"/>
      <c r="HQ46" s="279"/>
      <c r="HR46" s="279"/>
      <c r="HS46" s="155"/>
      <c r="HT46" s="152">
        <v>118</v>
      </c>
      <c r="HU46" s="153">
        <v>211</v>
      </c>
      <c r="HV46" s="153">
        <v>160</v>
      </c>
      <c r="HW46" s="153">
        <v>139</v>
      </c>
      <c r="HX46" s="154">
        <v>138</v>
      </c>
      <c r="HY46" s="154">
        <v>137</v>
      </c>
      <c r="HZ46" s="279">
        <v>142</v>
      </c>
      <c r="IA46" s="279">
        <v>139</v>
      </c>
      <c r="IB46" s="155"/>
      <c r="IC46" s="152">
        <v>553</v>
      </c>
      <c r="ID46" s="153">
        <v>719</v>
      </c>
      <c r="IE46" s="153">
        <v>675</v>
      </c>
      <c r="IF46" s="153">
        <v>552</v>
      </c>
      <c r="IG46" s="154">
        <v>527</v>
      </c>
      <c r="IH46" s="154">
        <v>440</v>
      </c>
      <c r="II46" s="279">
        <v>495</v>
      </c>
      <c r="IJ46" s="279">
        <v>426</v>
      </c>
      <c r="IK46" s="155"/>
    </row>
    <row r="47" spans="1:245" x14ac:dyDescent="0.2">
      <c r="A47" s="961"/>
      <c r="B47" s="151" t="s">
        <v>665</v>
      </c>
      <c r="C47" s="152"/>
      <c r="D47" s="153"/>
      <c r="E47" s="153"/>
      <c r="F47" s="153"/>
      <c r="G47" s="154"/>
      <c r="H47" s="154"/>
      <c r="I47" s="279"/>
      <c r="J47" s="279"/>
      <c r="K47" s="155"/>
      <c r="L47" s="152"/>
      <c r="M47" s="153"/>
      <c r="N47" s="153"/>
      <c r="O47" s="153"/>
      <c r="P47" s="154"/>
      <c r="Q47" s="154"/>
      <c r="R47" s="279"/>
      <c r="S47" s="279"/>
      <c r="T47" s="155"/>
      <c r="U47" s="152"/>
      <c r="V47" s="153"/>
      <c r="W47" s="153"/>
      <c r="X47" s="153"/>
      <c r="Y47" s="154"/>
      <c r="Z47" s="154"/>
      <c r="AA47" s="279"/>
      <c r="AB47" s="279"/>
      <c r="AC47" s="155"/>
      <c r="AD47" s="152">
        <v>34</v>
      </c>
      <c r="AE47" s="153">
        <v>36</v>
      </c>
      <c r="AF47" s="153">
        <v>56</v>
      </c>
      <c r="AG47" s="153">
        <v>68</v>
      </c>
      <c r="AH47" s="154">
        <v>65</v>
      </c>
      <c r="AI47" s="154">
        <v>86</v>
      </c>
      <c r="AJ47" s="279">
        <v>78</v>
      </c>
      <c r="AK47" s="279">
        <v>62</v>
      </c>
      <c r="AL47" s="155"/>
      <c r="AM47" s="152">
        <v>20</v>
      </c>
      <c r="AN47" s="153">
        <v>22</v>
      </c>
      <c r="AO47" s="153">
        <v>19</v>
      </c>
      <c r="AP47" s="153">
        <v>25</v>
      </c>
      <c r="AQ47" s="154">
        <v>14</v>
      </c>
      <c r="AR47" s="154">
        <v>16</v>
      </c>
      <c r="AS47" s="279">
        <v>14</v>
      </c>
      <c r="AT47" s="279">
        <v>21</v>
      </c>
      <c r="AU47" s="155"/>
      <c r="AV47" s="152"/>
      <c r="AW47" s="153"/>
      <c r="AX47" s="153"/>
      <c r="AY47" s="153"/>
      <c r="AZ47" s="154"/>
      <c r="BA47" s="154"/>
      <c r="BB47" s="279"/>
      <c r="BC47" s="279"/>
      <c r="BD47" s="155"/>
      <c r="BE47" s="152">
        <v>3</v>
      </c>
      <c r="BF47" s="153">
        <v>2</v>
      </c>
      <c r="BG47" s="153">
        <v>8</v>
      </c>
      <c r="BH47" s="153">
        <v>1</v>
      </c>
      <c r="BI47" s="154">
        <v>4</v>
      </c>
      <c r="BJ47" s="154">
        <v>4</v>
      </c>
      <c r="BK47" s="279"/>
      <c r="BL47" s="279"/>
      <c r="BM47" s="155"/>
      <c r="BN47" s="152"/>
      <c r="BO47" s="153"/>
      <c r="BP47" s="153"/>
      <c r="BQ47" s="153"/>
      <c r="BR47" s="154"/>
      <c r="BS47" s="154"/>
      <c r="BT47" s="279"/>
      <c r="BU47" s="279"/>
      <c r="BV47" s="155"/>
      <c r="BW47" s="152">
        <v>40</v>
      </c>
      <c r="BX47" s="153">
        <v>34</v>
      </c>
      <c r="BY47" s="153">
        <v>48</v>
      </c>
      <c r="BZ47" s="153">
        <v>38</v>
      </c>
      <c r="CA47" s="154">
        <v>46</v>
      </c>
      <c r="CB47" s="154">
        <v>34</v>
      </c>
      <c r="CC47" s="279">
        <v>27</v>
      </c>
      <c r="CD47" s="279">
        <v>26</v>
      </c>
      <c r="CE47" s="155"/>
      <c r="CF47" s="152">
        <v>4</v>
      </c>
      <c r="CG47" s="153">
        <v>3</v>
      </c>
      <c r="CH47" s="153">
        <v>4</v>
      </c>
      <c r="CI47" s="153">
        <v>6</v>
      </c>
      <c r="CJ47" s="154">
        <v>2</v>
      </c>
      <c r="CK47" s="154">
        <v>3</v>
      </c>
      <c r="CL47" s="279"/>
      <c r="CM47" s="279"/>
      <c r="CN47" s="155"/>
      <c r="CO47" s="152">
        <v>1</v>
      </c>
      <c r="CP47" s="153"/>
      <c r="CQ47" s="153">
        <v>1</v>
      </c>
      <c r="CR47" s="153">
        <v>1</v>
      </c>
      <c r="CS47" s="154"/>
      <c r="CT47" s="154">
        <v>3</v>
      </c>
      <c r="CU47" s="279">
        <v>1</v>
      </c>
      <c r="CV47" s="279">
        <v>1</v>
      </c>
      <c r="CW47" s="155"/>
      <c r="CX47" s="152">
        <v>544</v>
      </c>
      <c r="CY47" s="153">
        <v>452</v>
      </c>
      <c r="CZ47" s="153">
        <v>505</v>
      </c>
      <c r="DA47" s="153">
        <v>417</v>
      </c>
      <c r="DB47" s="154">
        <v>430</v>
      </c>
      <c r="DC47" s="154">
        <v>400</v>
      </c>
      <c r="DD47" s="279">
        <v>269</v>
      </c>
      <c r="DE47" s="279">
        <v>266</v>
      </c>
      <c r="DF47" s="155"/>
      <c r="DG47" s="152">
        <v>1</v>
      </c>
      <c r="DH47" s="153">
        <v>1</v>
      </c>
      <c r="DI47" s="153">
        <v>1</v>
      </c>
      <c r="DJ47" s="153"/>
      <c r="DK47" s="154"/>
      <c r="DL47" s="154"/>
      <c r="DM47" s="279"/>
      <c r="DN47" s="279"/>
      <c r="DO47" s="155"/>
      <c r="DP47" s="152">
        <v>11</v>
      </c>
      <c r="DQ47" s="153">
        <v>5</v>
      </c>
      <c r="DR47" s="153">
        <v>7</v>
      </c>
      <c r="DS47" s="153">
        <v>2</v>
      </c>
      <c r="DT47" s="154">
        <v>3</v>
      </c>
      <c r="DU47" s="154">
        <v>5</v>
      </c>
      <c r="DV47" s="279">
        <v>3</v>
      </c>
      <c r="DW47" s="279"/>
      <c r="DX47" s="155"/>
      <c r="DY47" s="152">
        <v>16</v>
      </c>
      <c r="DZ47" s="153">
        <v>23</v>
      </c>
      <c r="EA47" s="153">
        <v>27</v>
      </c>
      <c r="EB47" s="153">
        <v>34</v>
      </c>
      <c r="EC47" s="154">
        <v>35</v>
      </c>
      <c r="ED47" s="154">
        <v>30</v>
      </c>
      <c r="EE47" s="279">
        <v>50</v>
      </c>
      <c r="EF47" s="279">
        <v>42</v>
      </c>
      <c r="EG47" s="155"/>
      <c r="EH47" s="152">
        <v>8</v>
      </c>
      <c r="EI47" s="153">
        <v>6</v>
      </c>
      <c r="EJ47" s="153">
        <v>1</v>
      </c>
      <c r="EK47" s="153">
        <v>4</v>
      </c>
      <c r="EL47" s="154">
        <v>3</v>
      </c>
      <c r="EM47" s="154">
        <v>5</v>
      </c>
      <c r="EN47" s="279">
        <v>1</v>
      </c>
      <c r="EO47" s="279">
        <v>2</v>
      </c>
      <c r="EP47" s="155"/>
      <c r="EQ47" s="152"/>
      <c r="ER47" s="153">
        <v>1</v>
      </c>
      <c r="ES47" s="153"/>
      <c r="ET47" s="153"/>
      <c r="EU47" s="154">
        <v>1</v>
      </c>
      <c r="EV47" s="154"/>
      <c r="EW47" s="279"/>
      <c r="EX47" s="279"/>
      <c r="EY47" s="155"/>
      <c r="EZ47" s="152">
        <v>3</v>
      </c>
      <c r="FA47" s="153">
        <v>3</v>
      </c>
      <c r="FB47" s="153">
        <v>4</v>
      </c>
      <c r="FC47" s="153"/>
      <c r="FD47" s="154"/>
      <c r="FE47" s="154">
        <v>1</v>
      </c>
      <c r="FF47" s="279">
        <v>1</v>
      </c>
      <c r="FG47" s="279">
        <v>3</v>
      </c>
      <c r="FH47" s="155"/>
      <c r="FI47" s="152">
        <v>34</v>
      </c>
      <c r="FJ47" s="153">
        <v>55</v>
      </c>
      <c r="FK47" s="153">
        <v>35</v>
      </c>
      <c r="FL47" s="153">
        <v>23</v>
      </c>
      <c r="FM47" s="154">
        <v>32</v>
      </c>
      <c r="FN47" s="154">
        <v>20</v>
      </c>
      <c r="FO47" s="279">
        <v>50</v>
      </c>
      <c r="FP47" s="279">
        <v>24</v>
      </c>
      <c r="FQ47" s="155"/>
      <c r="FR47" s="152">
        <v>2</v>
      </c>
      <c r="FS47" s="153">
        <v>1</v>
      </c>
      <c r="FT47" s="153">
        <v>3</v>
      </c>
      <c r="FU47" s="153"/>
      <c r="FV47" s="154">
        <v>4</v>
      </c>
      <c r="FW47" s="154">
        <v>9</v>
      </c>
      <c r="FX47" s="279">
        <v>3</v>
      </c>
      <c r="FY47" s="279">
        <v>1</v>
      </c>
      <c r="FZ47" s="155"/>
      <c r="GA47" s="152">
        <v>8</v>
      </c>
      <c r="GB47" s="153">
        <v>1</v>
      </c>
      <c r="GC47" s="153"/>
      <c r="GD47" s="153">
        <v>3</v>
      </c>
      <c r="GE47" s="154">
        <v>5</v>
      </c>
      <c r="GF47" s="154">
        <v>4</v>
      </c>
      <c r="GG47" s="279">
        <v>2</v>
      </c>
      <c r="GH47" s="279">
        <v>1</v>
      </c>
      <c r="GI47" s="155"/>
      <c r="GJ47" s="152">
        <v>681</v>
      </c>
      <c r="GK47" s="153">
        <v>594</v>
      </c>
      <c r="GL47" s="153">
        <v>665</v>
      </c>
      <c r="GM47" s="153">
        <v>561</v>
      </c>
      <c r="GN47" s="154">
        <v>592</v>
      </c>
      <c r="GO47" s="154">
        <v>569</v>
      </c>
      <c r="GP47" s="279">
        <v>432</v>
      </c>
      <c r="GQ47" s="279">
        <v>386</v>
      </c>
      <c r="GR47" s="155"/>
      <c r="GS47" s="152">
        <v>261</v>
      </c>
      <c r="GT47" s="153">
        <v>251</v>
      </c>
      <c r="GU47" s="153">
        <v>270</v>
      </c>
      <c r="GV47" s="153">
        <v>139</v>
      </c>
      <c r="GW47" s="154">
        <v>126</v>
      </c>
      <c r="GX47" s="154">
        <v>184</v>
      </c>
      <c r="GY47" s="279">
        <v>117</v>
      </c>
      <c r="GZ47" s="279">
        <v>93</v>
      </c>
      <c r="HA47" s="155"/>
      <c r="HB47" s="152">
        <v>3</v>
      </c>
      <c r="HC47" s="153">
        <v>1</v>
      </c>
      <c r="HD47" s="153">
        <v>5</v>
      </c>
      <c r="HE47" s="153">
        <v>2</v>
      </c>
      <c r="HF47" s="154">
        <v>3</v>
      </c>
      <c r="HG47" s="154">
        <v>4</v>
      </c>
      <c r="HH47" s="279">
        <v>4</v>
      </c>
      <c r="HI47" s="279">
        <v>1</v>
      </c>
      <c r="HJ47" s="155"/>
      <c r="HK47" s="152">
        <v>1</v>
      </c>
      <c r="HL47" s="153"/>
      <c r="HM47" s="153">
        <v>1</v>
      </c>
      <c r="HN47" s="153"/>
      <c r="HO47" s="154"/>
      <c r="HP47" s="154"/>
      <c r="HQ47" s="279">
        <v>3</v>
      </c>
      <c r="HR47" s="279">
        <v>1</v>
      </c>
      <c r="HS47" s="155"/>
      <c r="HT47" s="152">
        <v>345</v>
      </c>
      <c r="HU47" s="153">
        <v>338</v>
      </c>
      <c r="HV47" s="153">
        <v>344</v>
      </c>
      <c r="HW47" s="153">
        <v>204</v>
      </c>
      <c r="HX47" s="154">
        <v>201</v>
      </c>
      <c r="HY47" s="154">
        <v>278</v>
      </c>
      <c r="HZ47" s="279">
        <v>195</v>
      </c>
      <c r="IA47" s="279">
        <v>167</v>
      </c>
      <c r="IB47" s="155"/>
      <c r="IC47" s="152">
        <v>1042</v>
      </c>
      <c r="ID47" s="153">
        <v>1045</v>
      </c>
      <c r="IE47" s="153">
        <v>1197</v>
      </c>
      <c r="IF47" s="153">
        <v>1002</v>
      </c>
      <c r="IG47" s="154">
        <v>936</v>
      </c>
      <c r="IH47" s="154">
        <v>868</v>
      </c>
      <c r="II47" s="279">
        <v>692</v>
      </c>
      <c r="IJ47" s="279">
        <v>702</v>
      </c>
      <c r="IK47" s="155"/>
    </row>
    <row r="48" spans="1:245" x14ac:dyDescent="0.2">
      <c r="A48" s="961"/>
      <c r="B48" s="151" t="s">
        <v>770</v>
      </c>
      <c r="C48" s="152"/>
      <c r="D48" s="153"/>
      <c r="E48" s="153"/>
      <c r="F48" s="153"/>
      <c r="G48" s="154"/>
      <c r="H48" s="154"/>
      <c r="I48" s="279"/>
      <c r="J48" s="279"/>
      <c r="K48" s="155"/>
      <c r="L48" s="152"/>
      <c r="M48" s="153"/>
      <c r="N48" s="153"/>
      <c r="O48" s="153"/>
      <c r="P48" s="154"/>
      <c r="Q48" s="154"/>
      <c r="R48" s="279"/>
      <c r="S48" s="279"/>
      <c r="T48" s="155"/>
      <c r="U48" s="152"/>
      <c r="V48" s="153"/>
      <c r="W48" s="153"/>
      <c r="X48" s="153"/>
      <c r="Y48" s="154"/>
      <c r="Z48" s="154"/>
      <c r="AA48" s="279"/>
      <c r="AB48" s="279"/>
      <c r="AC48" s="155"/>
      <c r="AD48" s="152">
        <v>48</v>
      </c>
      <c r="AE48" s="153">
        <v>69</v>
      </c>
      <c r="AF48" s="153">
        <v>72</v>
      </c>
      <c r="AG48" s="153">
        <v>52</v>
      </c>
      <c r="AH48" s="154">
        <v>82</v>
      </c>
      <c r="AI48" s="154">
        <v>68</v>
      </c>
      <c r="AJ48" s="279">
        <v>67</v>
      </c>
      <c r="AK48" s="279">
        <v>79</v>
      </c>
      <c r="AL48" s="155"/>
      <c r="AM48" s="152">
        <v>24</v>
      </c>
      <c r="AN48" s="153">
        <v>30</v>
      </c>
      <c r="AO48" s="153">
        <v>25</v>
      </c>
      <c r="AP48" s="153">
        <v>25</v>
      </c>
      <c r="AQ48" s="154">
        <v>22</v>
      </c>
      <c r="AR48" s="154">
        <v>25</v>
      </c>
      <c r="AS48" s="279">
        <v>21</v>
      </c>
      <c r="AT48" s="279">
        <v>17</v>
      </c>
      <c r="AU48" s="155"/>
      <c r="AV48" s="152"/>
      <c r="AW48" s="153"/>
      <c r="AX48" s="153"/>
      <c r="AY48" s="153"/>
      <c r="AZ48" s="154"/>
      <c r="BA48" s="154"/>
      <c r="BB48" s="279"/>
      <c r="BC48" s="279"/>
      <c r="BD48" s="155"/>
      <c r="BE48" s="152">
        <v>6</v>
      </c>
      <c r="BF48" s="153">
        <v>12</v>
      </c>
      <c r="BG48" s="153">
        <v>31</v>
      </c>
      <c r="BH48" s="153">
        <v>12</v>
      </c>
      <c r="BI48" s="154">
        <v>19</v>
      </c>
      <c r="BJ48" s="154">
        <v>12</v>
      </c>
      <c r="BK48" s="279">
        <v>5</v>
      </c>
      <c r="BL48" s="279"/>
      <c r="BM48" s="155"/>
      <c r="BN48" s="152"/>
      <c r="BO48" s="153"/>
      <c r="BP48" s="153"/>
      <c r="BQ48" s="153"/>
      <c r="BR48" s="154"/>
      <c r="BS48" s="154"/>
      <c r="BT48" s="279"/>
      <c r="BU48" s="279"/>
      <c r="BV48" s="155"/>
      <c r="BW48" s="152">
        <v>49</v>
      </c>
      <c r="BX48" s="153">
        <v>63</v>
      </c>
      <c r="BY48" s="153">
        <v>74</v>
      </c>
      <c r="BZ48" s="153">
        <v>74</v>
      </c>
      <c r="CA48" s="154">
        <v>89</v>
      </c>
      <c r="CB48" s="154">
        <v>65</v>
      </c>
      <c r="CC48" s="279">
        <v>74</v>
      </c>
      <c r="CD48" s="279">
        <v>69</v>
      </c>
      <c r="CE48" s="155"/>
      <c r="CF48" s="152">
        <v>3</v>
      </c>
      <c r="CG48" s="153">
        <v>4</v>
      </c>
      <c r="CH48" s="153">
        <v>3</v>
      </c>
      <c r="CI48" s="153">
        <v>6</v>
      </c>
      <c r="CJ48" s="154">
        <v>7</v>
      </c>
      <c r="CK48" s="154">
        <v>4</v>
      </c>
      <c r="CL48" s="279">
        <v>3</v>
      </c>
      <c r="CM48" s="279">
        <v>6</v>
      </c>
      <c r="CN48" s="155"/>
      <c r="CO48" s="152">
        <v>5</v>
      </c>
      <c r="CP48" s="153"/>
      <c r="CQ48" s="153"/>
      <c r="CR48" s="153">
        <v>6</v>
      </c>
      <c r="CS48" s="154"/>
      <c r="CT48" s="154"/>
      <c r="CU48" s="279"/>
      <c r="CV48" s="279"/>
      <c r="CW48" s="155"/>
      <c r="CX48" s="152">
        <v>365</v>
      </c>
      <c r="CY48" s="153">
        <v>491</v>
      </c>
      <c r="CZ48" s="153">
        <v>361</v>
      </c>
      <c r="DA48" s="153">
        <v>366</v>
      </c>
      <c r="DB48" s="154">
        <v>367</v>
      </c>
      <c r="DC48" s="154">
        <v>217</v>
      </c>
      <c r="DD48" s="279">
        <v>199</v>
      </c>
      <c r="DE48" s="279">
        <v>195</v>
      </c>
      <c r="DF48" s="155"/>
      <c r="DG48" s="152">
        <v>1</v>
      </c>
      <c r="DH48" s="153">
        <v>2</v>
      </c>
      <c r="DI48" s="153">
        <v>2</v>
      </c>
      <c r="DJ48" s="153">
        <v>2</v>
      </c>
      <c r="DK48" s="154">
        <v>2</v>
      </c>
      <c r="DL48" s="154"/>
      <c r="DM48" s="279"/>
      <c r="DN48" s="279">
        <v>1</v>
      </c>
      <c r="DO48" s="155"/>
      <c r="DP48" s="152">
        <v>2</v>
      </c>
      <c r="DQ48" s="153">
        <v>16</v>
      </c>
      <c r="DR48" s="153">
        <v>4</v>
      </c>
      <c r="DS48" s="153">
        <v>2</v>
      </c>
      <c r="DT48" s="154">
        <v>3</v>
      </c>
      <c r="DU48" s="154"/>
      <c r="DV48" s="279"/>
      <c r="DW48" s="279"/>
      <c r="DX48" s="155"/>
      <c r="DY48" s="152">
        <v>62</v>
      </c>
      <c r="DZ48" s="153">
        <v>58</v>
      </c>
      <c r="EA48" s="153">
        <v>53</v>
      </c>
      <c r="EB48" s="153">
        <v>45</v>
      </c>
      <c r="EC48" s="154">
        <v>85</v>
      </c>
      <c r="ED48" s="154">
        <v>61</v>
      </c>
      <c r="EE48" s="279">
        <v>54</v>
      </c>
      <c r="EF48" s="279">
        <v>43</v>
      </c>
      <c r="EG48" s="155"/>
      <c r="EH48" s="152">
        <v>3</v>
      </c>
      <c r="EI48" s="153">
        <v>3</v>
      </c>
      <c r="EJ48" s="153">
        <v>3</v>
      </c>
      <c r="EK48" s="153">
        <v>5</v>
      </c>
      <c r="EL48" s="154">
        <v>3</v>
      </c>
      <c r="EM48" s="154">
        <v>5</v>
      </c>
      <c r="EN48" s="279">
        <v>1</v>
      </c>
      <c r="EO48" s="279">
        <v>2</v>
      </c>
      <c r="EP48" s="155"/>
      <c r="EQ48" s="152">
        <v>2</v>
      </c>
      <c r="ER48" s="153">
        <v>1</v>
      </c>
      <c r="ES48" s="153">
        <v>3</v>
      </c>
      <c r="ET48" s="153"/>
      <c r="EU48" s="154">
        <v>1</v>
      </c>
      <c r="EV48" s="154">
        <v>1</v>
      </c>
      <c r="EW48" s="279">
        <v>2</v>
      </c>
      <c r="EX48" s="279">
        <v>1</v>
      </c>
      <c r="EY48" s="155"/>
      <c r="EZ48" s="152">
        <v>1</v>
      </c>
      <c r="FA48" s="153">
        <v>6</v>
      </c>
      <c r="FB48" s="153">
        <v>2</v>
      </c>
      <c r="FC48" s="153">
        <v>5</v>
      </c>
      <c r="FD48" s="154">
        <v>4</v>
      </c>
      <c r="FE48" s="154"/>
      <c r="FF48" s="279">
        <v>1</v>
      </c>
      <c r="FG48" s="279">
        <v>3</v>
      </c>
      <c r="FH48" s="155"/>
      <c r="FI48" s="152">
        <v>33</v>
      </c>
      <c r="FJ48" s="153">
        <v>25</v>
      </c>
      <c r="FK48" s="153">
        <v>15</v>
      </c>
      <c r="FL48" s="153">
        <v>8</v>
      </c>
      <c r="FM48" s="154">
        <v>12</v>
      </c>
      <c r="FN48" s="154">
        <v>14</v>
      </c>
      <c r="FO48" s="279">
        <v>11</v>
      </c>
      <c r="FP48" s="279">
        <v>6</v>
      </c>
      <c r="FQ48" s="155"/>
      <c r="FR48" s="152">
        <v>2</v>
      </c>
      <c r="FS48" s="153">
        <v>4</v>
      </c>
      <c r="FT48" s="153">
        <v>1</v>
      </c>
      <c r="FU48" s="153">
        <v>9</v>
      </c>
      <c r="FV48" s="154">
        <v>4</v>
      </c>
      <c r="FW48" s="154">
        <v>1</v>
      </c>
      <c r="FX48" s="279">
        <v>1</v>
      </c>
      <c r="FY48" s="279">
        <v>1</v>
      </c>
      <c r="FZ48" s="155"/>
      <c r="GA48" s="152">
        <v>9</v>
      </c>
      <c r="GB48" s="153">
        <v>2</v>
      </c>
      <c r="GC48" s="153">
        <v>4</v>
      </c>
      <c r="GD48" s="153"/>
      <c r="GE48" s="154">
        <v>1</v>
      </c>
      <c r="GF48" s="154"/>
      <c r="GG48" s="279">
        <v>4</v>
      </c>
      <c r="GH48" s="279">
        <v>2</v>
      </c>
      <c r="GI48" s="155"/>
      <c r="GJ48" s="152">
        <v>526</v>
      </c>
      <c r="GK48" s="153">
        <v>680</v>
      </c>
      <c r="GL48" s="153">
        <v>569</v>
      </c>
      <c r="GM48" s="153">
        <v>543</v>
      </c>
      <c r="GN48" s="154">
        <v>589</v>
      </c>
      <c r="GO48" s="154">
        <v>387</v>
      </c>
      <c r="GP48" s="279">
        <v>368</v>
      </c>
      <c r="GQ48" s="279">
        <v>364</v>
      </c>
      <c r="GR48" s="155"/>
      <c r="GS48" s="152">
        <v>127</v>
      </c>
      <c r="GT48" s="153">
        <v>153</v>
      </c>
      <c r="GU48" s="153">
        <v>142</v>
      </c>
      <c r="GV48" s="153">
        <v>127</v>
      </c>
      <c r="GW48" s="154">
        <v>101</v>
      </c>
      <c r="GX48" s="154">
        <v>78</v>
      </c>
      <c r="GY48" s="279">
        <v>94</v>
      </c>
      <c r="GZ48" s="279">
        <v>85</v>
      </c>
      <c r="HA48" s="155"/>
      <c r="HB48" s="152"/>
      <c r="HC48" s="153"/>
      <c r="HD48" s="153"/>
      <c r="HE48" s="153"/>
      <c r="HF48" s="154">
        <v>3</v>
      </c>
      <c r="HG48" s="154">
        <v>1</v>
      </c>
      <c r="HH48" s="279">
        <v>1</v>
      </c>
      <c r="HI48" s="279"/>
      <c r="HJ48" s="155"/>
      <c r="HK48" s="152"/>
      <c r="HL48" s="153">
        <v>1</v>
      </c>
      <c r="HM48" s="153"/>
      <c r="HN48" s="153"/>
      <c r="HO48" s="154"/>
      <c r="HP48" s="154">
        <v>1</v>
      </c>
      <c r="HQ48" s="279">
        <v>1</v>
      </c>
      <c r="HR48" s="279"/>
      <c r="HS48" s="155"/>
      <c r="HT48" s="152">
        <v>169</v>
      </c>
      <c r="HU48" s="153">
        <v>202</v>
      </c>
      <c r="HV48" s="153">
        <v>189</v>
      </c>
      <c r="HW48" s="153">
        <v>182</v>
      </c>
      <c r="HX48" s="154">
        <v>166</v>
      </c>
      <c r="HY48" s="154">
        <v>122</v>
      </c>
      <c r="HZ48" s="279">
        <v>174</v>
      </c>
      <c r="IA48" s="279">
        <v>153</v>
      </c>
      <c r="IB48" s="155"/>
      <c r="IC48" s="152">
        <v>945</v>
      </c>
      <c r="ID48" s="153">
        <v>1080</v>
      </c>
      <c r="IE48" s="153">
        <v>938</v>
      </c>
      <c r="IF48" s="153">
        <v>854</v>
      </c>
      <c r="IG48" s="154">
        <v>911</v>
      </c>
      <c r="IH48" s="154">
        <v>690</v>
      </c>
      <c r="II48" s="279">
        <v>629</v>
      </c>
      <c r="IJ48" s="279">
        <v>647</v>
      </c>
      <c r="IK48" s="155"/>
    </row>
    <row r="49" spans="1:245" x14ac:dyDescent="0.2">
      <c r="A49" s="961"/>
      <c r="B49" s="151" t="s">
        <v>771</v>
      </c>
      <c r="C49" s="152"/>
      <c r="D49" s="153"/>
      <c r="E49" s="153"/>
      <c r="F49" s="153"/>
      <c r="G49" s="154"/>
      <c r="H49" s="154"/>
      <c r="I49" s="279"/>
      <c r="J49" s="279"/>
      <c r="K49" s="155"/>
      <c r="L49" s="152"/>
      <c r="M49" s="153"/>
      <c r="N49" s="153"/>
      <c r="O49" s="153"/>
      <c r="P49" s="154"/>
      <c r="Q49" s="154"/>
      <c r="R49" s="279"/>
      <c r="S49" s="279"/>
      <c r="T49" s="155"/>
      <c r="U49" s="152"/>
      <c r="V49" s="153"/>
      <c r="W49" s="153"/>
      <c r="X49" s="153"/>
      <c r="Y49" s="154"/>
      <c r="Z49" s="154"/>
      <c r="AA49" s="279"/>
      <c r="AB49" s="279"/>
      <c r="AC49" s="155"/>
      <c r="AD49" s="152">
        <v>28</v>
      </c>
      <c r="AE49" s="153">
        <v>27</v>
      </c>
      <c r="AF49" s="153">
        <v>17</v>
      </c>
      <c r="AG49" s="153">
        <v>20</v>
      </c>
      <c r="AH49" s="154">
        <v>22</v>
      </c>
      <c r="AI49" s="154">
        <v>23</v>
      </c>
      <c r="AJ49" s="279">
        <v>18</v>
      </c>
      <c r="AK49" s="279">
        <v>26</v>
      </c>
      <c r="AL49" s="155"/>
      <c r="AM49" s="152">
        <v>17</v>
      </c>
      <c r="AN49" s="153">
        <v>18</v>
      </c>
      <c r="AO49" s="153">
        <v>11</v>
      </c>
      <c r="AP49" s="153">
        <v>16</v>
      </c>
      <c r="AQ49" s="154">
        <v>18</v>
      </c>
      <c r="AR49" s="154">
        <v>14</v>
      </c>
      <c r="AS49" s="279">
        <v>14</v>
      </c>
      <c r="AT49" s="279">
        <v>15</v>
      </c>
      <c r="AU49" s="155"/>
      <c r="AV49" s="152"/>
      <c r="AW49" s="153"/>
      <c r="AX49" s="153"/>
      <c r="AY49" s="153"/>
      <c r="AZ49" s="154"/>
      <c r="BA49" s="154"/>
      <c r="BB49" s="279"/>
      <c r="BC49" s="279"/>
      <c r="BD49" s="155"/>
      <c r="BE49" s="152">
        <v>2</v>
      </c>
      <c r="BF49" s="153">
        <v>1</v>
      </c>
      <c r="BG49" s="153">
        <v>2</v>
      </c>
      <c r="BH49" s="153">
        <v>6</v>
      </c>
      <c r="BI49" s="154">
        <v>1</v>
      </c>
      <c r="BJ49" s="154">
        <v>4</v>
      </c>
      <c r="BK49" s="279">
        <v>5</v>
      </c>
      <c r="BL49" s="279">
        <v>5</v>
      </c>
      <c r="BM49" s="155"/>
      <c r="BN49" s="152"/>
      <c r="BO49" s="153"/>
      <c r="BP49" s="153"/>
      <c r="BQ49" s="153"/>
      <c r="BR49" s="154"/>
      <c r="BS49" s="154"/>
      <c r="BT49" s="279"/>
      <c r="BU49" s="279"/>
      <c r="BV49" s="155"/>
      <c r="BW49" s="152">
        <v>6</v>
      </c>
      <c r="BX49" s="153">
        <v>14</v>
      </c>
      <c r="BY49" s="153">
        <v>7</v>
      </c>
      <c r="BZ49" s="153">
        <v>8</v>
      </c>
      <c r="CA49" s="154">
        <v>9</v>
      </c>
      <c r="CB49" s="154">
        <v>15</v>
      </c>
      <c r="CC49" s="279">
        <v>13</v>
      </c>
      <c r="CD49" s="279">
        <v>24</v>
      </c>
      <c r="CE49" s="155"/>
      <c r="CF49" s="152">
        <v>1</v>
      </c>
      <c r="CG49" s="153">
        <v>6</v>
      </c>
      <c r="CH49" s="153"/>
      <c r="CI49" s="153"/>
      <c r="CJ49" s="154">
        <v>1</v>
      </c>
      <c r="CK49" s="154">
        <v>2</v>
      </c>
      <c r="CL49" s="279"/>
      <c r="CM49" s="279">
        <v>5</v>
      </c>
      <c r="CN49" s="155"/>
      <c r="CO49" s="152">
        <v>3</v>
      </c>
      <c r="CP49" s="153"/>
      <c r="CQ49" s="153">
        <v>2</v>
      </c>
      <c r="CR49" s="153">
        <v>2</v>
      </c>
      <c r="CS49" s="154">
        <v>2</v>
      </c>
      <c r="CT49" s="154">
        <v>2</v>
      </c>
      <c r="CU49" s="279">
        <v>2</v>
      </c>
      <c r="CV49" s="279">
        <v>2</v>
      </c>
      <c r="CW49" s="155"/>
      <c r="CX49" s="152">
        <v>3011</v>
      </c>
      <c r="CY49" s="153">
        <v>385</v>
      </c>
      <c r="CZ49" s="153">
        <v>401</v>
      </c>
      <c r="DA49" s="153">
        <v>385</v>
      </c>
      <c r="DB49" s="154">
        <v>323</v>
      </c>
      <c r="DC49" s="154">
        <v>267</v>
      </c>
      <c r="DD49" s="279">
        <v>211</v>
      </c>
      <c r="DE49" s="279">
        <v>220</v>
      </c>
      <c r="DF49" s="155"/>
      <c r="DG49" s="152">
        <v>1</v>
      </c>
      <c r="DH49" s="153">
        <v>1</v>
      </c>
      <c r="DI49" s="153">
        <v>1</v>
      </c>
      <c r="DJ49" s="153">
        <v>1</v>
      </c>
      <c r="DK49" s="154">
        <v>1</v>
      </c>
      <c r="DL49" s="154"/>
      <c r="DM49" s="279"/>
      <c r="DN49" s="279"/>
      <c r="DO49" s="155"/>
      <c r="DP49" s="152">
        <v>33</v>
      </c>
      <c r="DQ49" s="153">
        <v>9</v>
      </c>
      <c r="DR49" s="153">
        <v>1</v>
      </c>
      <c r="DS49" s="153">
        <v>3</v>
      </c>
      <c r="DT49" s="154">
        <v>5</v>
      </c>
      <c r="DU49" s="154">
        <v>6</v>
      </c>
      <c r="DV49" s="279">
        <v>3</v>
      </c>
      <c r="DW49" s="279">
        <v>2</v>
      </c>
      <c r="DX49" s="155"/>
      <c r="DY49" s="152">
        <v>79</v>
      </c>
      <c r="DZ49" s="153">
        <v>54</v>
      </c>
      <c r="EA49" s="153">
        <v>54</v>
      </c>
      <c r="EB49" s="153">
        <v>43</v>
      </c>
      <c r="EC49" s="154">
        <v>39</v>
      </c>
      <c r="ED49" s="154">
        <v>39</v>
      </c>
      <c r="EE49" s="279">
        <v>35</v>
      </c>
      <c r="EF49" s="279">
        <v>29</v>
      </c>
      <c r="EG49" s="155"/>
      <c r="EH49" s="152">
        <v>6</v>
      </c>
      <c r="EI49" s="153">
        <v>8</v>
      </c>
      <c r="EJ49" s="153">
        <v>3</v>
      </c>
      <c r="EK49" s="153">
        <v>3</v>
      </c>
      <c r="EL49" s="154">
        <v>3</v>
      </c>
      <c r="EM49" s="154">
        <v>6</v>
      </c>
      <c r="EN49" s="279">
        <v>1</v>
      </c>
      <c r="EO49" s="279">
        <v>7</v>
      </c>
      <c r="EP49" s="155"/>
      <c r="EQ49" s="152">
        <v>2</v>
      </c>
      <c r="ER49" s="153">
        <v>2</v>
      </c>
      <c r="ES49" s="153">
        <v>1</v>
      </c>
      <c r="ET49" s="153"/>
      <c r="EU49" s="154">
        <v>2</v>
      </c>
      <c r="EV49" s="154">
        <v>1</v>
      </c>
      <c r="EW49" s="279">
        <v>2</v>
      </c>
      <c r="EX49" s="279">
        <v>3</v>
      </c>
      <c r="EY49" s="155"/>
      <c r="EZ49" s="152">
        <v>7</v>
      </c>
      <c r="FA49" s="153">
        <v>7</v>
      </c>
      <c r="FB49" s="153">
        <v>18</v>
      </c>
      <c r="FC49" s="153">
        <v>6</v>
      </c>
      <c r="FD49" s="154">
        <v>1</v>
      </c>
      <c r="FE49" s="154">
        <v>1</v>
      </c>
      <c r="FF49" s="279">
        <v>2</v>
      </c>
      <c r="FG49" s="279">
        <v>1</v>
      </c>
      <c r="FH49" s="155"/>
      <c r="FI49" s="152">
        <v>36</v>
      </c>
      <c r="FJ49" s="153">
        <v>28</v>
      </c>
      <c r="FK49" s="153">
        <v>21</v>
      </c>
      <c r="FL49" s="153">
        <v>21</v>
      </c>
      <c r="FM49" s="154">
        <v>17</v>
      </c>
      <c r="FN49" s="154">
        <v>18</v>
      </c>
      <c r="FO49" s="279">
        <v>18</v>
      </c>
      <c r="FP49" s="279">
        <v>14</v>
      </c>
      <c r="FQ49" s="155"/>
      <c r="FR49" s="152">
        <v>1</v>
      </c>
      <c r="FS49" s="153">
        <v>3</v>
      </c>
      <c r="FT49" s="153">
        <v>1</v>
      </c>
      <c r="FU49" s="153">
        <v>1</v>
      </c>
      <c r="FV49" s="154"/>
      <c r="FW49" s="154"/>
      <c r="FX49" s="279"/>
      <c r="FY49" s="279">
        <v>1</v>
      </c>
      <c r="FZ49" s="155"/>
      <c r="GA49" s="152">
        <v>9</v>
      </c>
      <c r="GB49" s="153">
        <v>3</v>
      </c>
      <c r="GC49" s="153">
        <v>2</v>
      </c>
      <c r="GD49" s="153">
        <v>2</v>
      </c>
      <c r="GE49" s="154">
        <v>5</v>
      </c>
      <c r="GF49" s="154"/>
      <c r="GG49" s="279">
        <v>2</v>
      </c>
      <c r="GH49" s="279">
        <v>6</v>
      </c>
      <c r="GI49" s="155"/>
      <c r="GJ49" s="152">
        <v>3112</v>
      </c>
      <c r="GK49" s="153">
        <v>484</v>
      </c>
      <c r="GL49" s="153">
        <v>475</v>
      </c>
      <c r="GM49" s="153">
        <v>454</v>
      </c>
      <c r="GN49" s="154">
        <v>386</v>
      </c>
      <c r="GO49" s="154">
        <v>339</v>
      </c>
      <c r="GP49" s="279">
        <v>274</v>
      </c>
      <c r="GQ49" s="279">
        <v>314</v>
      </c>
      <c r="GR49" s="155"/>
      <c r="GS49" s="152">
        <v>2521</v>
      </c>
      <c r="GT49" s="153">
        <v>139</v>
      </c>
      <c r="GU49" s="153">
        <v>133</v>
      </c>
      <c r="GV49" s="153">
        <v>113</v>
      </c>
      <c r="GW49" s="154">
        <v>71</v>
      </c>
      <c r="GX49" s="154">
        <v>43</v>
      </c>
      <c r="GY49" s="279">
        <v>42</v>
      </c>
      <c r="GZ49" s="279">
        <v>59</v>
      </c>
      <c r="HA49" s="155"/>
      <c r="HB49" s="152">
        <v>4</v>
      </c>
      <c r="HC49" s="153">
        <v>1</v>
      </c>
      <c r="HD49" s="153">
        <v>4</v>
      </c>
      <c r="HE49" s="153">
        <v>1</v>
      </c>
      <c r="HF49" s="154">
        <v>1</v>
      </c>
      <c r="HG49" s="154">
        <v>3</v>
      </c>
      <c r="HH49" s="279"/>
      <c r="HI49" s="279">
        <v>1</v>
      </c>
      <c r="HJ49" s="155"/>
      <c r="HK49" s="152"/>
      <c r="HL49" s="153"/>
      <c r="HM49" s="153">
        <v>1</v>
      </c>
      <c r="HN49" s="153"/>
      <c r="HO49" s="154"/>
      <c r="HP49" s="154"/>
      <c r="HQ49" s="279">
        <v>1</v>
      </c>
      <c r="HR49" s="279">
        <v>1</v>
      </c>
      <c r="HS49" s="155"/>
      <c r="HT49" s="152">
        <v>2633</v>
      </c>
      <c r="HU49" s="153">
        <v>214</v>
      </c>
      <c r="HV49" s="153">
        <v>206</v>
      </c>
      <c r="HW49" s="153">
        <v>212</v>
      </c>
      <c r="HX49" s="154">
        <v>164</v>
      </c>
      <c r="HY49" s="154">
        <v>149</v>
      </c>
      <c r="HZ49" s="279">
        <v>139</v>
      </c>
      <c r="IA49" s="279">
        <v>141</v>
      </c>
      <c r="IB49" s="155"/>
      <c r="IC49" s="152">
        <v>3719</v>
      </c>
      <c r="ID49" s="153">
        <v>891</v>
      </c>
      <c r="IE49" s="153">
        <v>1047</v>
      </c>
      <c r="IF49" s="153">
        <v>828</v>
      </c>
      <c r="IG49" s="154">
        <v>826</v>
      </c>
      <c r="IH49" s="154">
        <v>684</v>
      </c>
      <c r="II49" s="279">
        <v>630</v>
      </c>
      <c r="IJ49" s="279">
        <v>598</v>
      </c>
      <c r="IK49" s="155"/>
    </row>
    <row r="50" spans="1:245" x14ac:dyDescent="0.2">
      <c r="A50" s="961"/>
      <c r="B50" s="151" t="s">
        <v>666</v>
      </c>
      <c r="C50" s="152"/>
      <c r="D50" s="153"/>
      <c r="E50" s="153"/>
      <c r="F50" s="153"/>
      <c r="G50" s="154"/>
      <c r="H50" s="154"/>
      <c r="I50" s="279"/>
      <c r="J50" s="279"/>
      <c r="K50" s="155"/>
      <c r="L50" s="152"/>
      <c r="M50" s="153"/>
      <c r="N50" s="153"/>
      <c r="O50" s="153"/>
      <c r="P50" s="154"/>
      <c r="Q50" s="154"/>
      <c r="R50" s="279"/>
      <c r="S50" s="279"/>
      <c r="T50" s="155"/>
      <c r="U50" s="152"/>
      <c r="V50" s="153"/>
      <c r="W50" s="153"/>
      <c r="X50" s="153"/>
      <c r="Y50" s="154"/>
      <c r="Z50" s="154"/>
      <c r="AA50" s="279"/>
      <c r="AB50" s="279"/>
      <c r="AC50" s="155"/>
      <c r="AD50" s="152">
        <v>21</v>
      </c>
      <c r="AE50" s="153">
        <v>20</v>
      </c>
      <c r="AF50" s="153">
        <v>28</v>
      </c>
      <c r="AG50" s="153">
        <v>25</v>
      </c>
      <c r="AH50" s="154">
        <v>40</v>
      </c>
      <c r="AI50" s="154">
        <v>54</v>
      </c>
      <c r="AJ50" s="279">
        <v>63</v>
      </c>
      <c r="AK50" s="279">
        <v>83</v>
      </c>
      <c r="AL50" s="155"/>
      <c r="AM50" s="152">
        <v>12</v>
      </c>
      <c r="AN50" s="153">
        <v>7</v>
      </c>
      <c r="AO50" s="153">
        <v>14</v>
      </c>
      <c r="AP50" s="153">
        <v>14</v>
      </c>
      <c r="AQ50" s="154">
        <v>19</v>
      </c>
      <c r="AR50" s="154">
        <v>16</v>
      </c>
      <c r="AS50" s="279">
        <v>19</v>
      </c>
      <c r="AT50" s="279">
        <v>11</v>
      </c>
      <c r="AU50" s="155"/>
      <c r="AV50" s="152"/>
      <c r="AW50" s="153"/>
      <c r="AX50" s="153"/>
      <c r="AY50" s="153"/>
      <c r="AZ50" s="154"/>
      <c r="BA50" s="154"/>
      <c r="BB50" s="279"/>
      <c r="BC50" s="279"/>
      <c r="BD50" s="155"/>
      <c r="BE50" s="152">
        <v>4</v>
      </c>
      <c r="BF50" s="153"/>
      <c r="BG50" s="153">
        <v>2</v>
      </c>
      <c r="BH50" s="153">
        <v>6</v>
      </c>
      <c r="BI50" s="154">
        <v>5</v>
      </c>
      <c r="BJ50" s="154">
        <v>8</v>
      </c>
      <c r="BK50" s="279">
        <v>5</v>
      </c>
      <c r="BL50" s="279">
        <v>15</v>
      </c>
      <c r="BM50" s="155"/>
      <c r="BN50" s="152"/>
      <c r="BO50" s="153"/>
      <c r="BP50" s="153"/>
      <c r="BQ50" s="153"/>
      <c r="BR50" s="154"/>
      <c r="BS50" s="154"/>
      <c r="BT50" s="279"/>
      <c r="BU50" s="279"/>
      <c r="BV50" s="155"/>
      <c r="BW50" s="152">
        <v>9</v>
      </c>
      <c r="BX50" s="153">
        <v>5</v>
      </c>
      <c r="BY50" s="153">
        <v>4</v>
      </c>
      <c r="BZ50" s="153">
        <v>8</v>
      </c>
      <c r="CA50" s="154">
        <v>14</v>
      </c>
      <c r="CB50" s="154">
        <v>7</v>
      </c>
      <c r="CC50" s="279">
        <v>16</v>
      </c>
      <c r="CD50" s="279">
        <v>8</v>
      </c>
      <c r="CE50" s="155"/>
      <c r="CF50" s="152">
        <v>1</v>
      </c>
      <c r="CG50" s="153">
        <v>2</v>
      </c>
      <c r="CH50" s="153">
        <v>1</v>
      </c>
      <c r="CI50" s="153">
        <v>3</v>
      </c>
      <c r="CJ50" s="154">
        <v>1</v>
      </c>
      <c r="CK50" s="154">
        <v>2</v>
      </c>
      <c r="CL50" s="279"/>
      <c r="CM50" s="279">
        <v>1</v>
      </c>
      <c r="CN50" s="155"/>
      <c r="CO50" s="152">
        <v>3</v>
      </c>
      <c r="CP50" s="153"/>
      <c r="CQ50" s="153">
        <v>3</v>
      </c>
      <c r="CR50" s="153"/>
      <c r="CS50" s="154"/>
      <c r="CT50" s="154"/>
      <c r="CU50" s="279">
        <v>1</v>
      </c>
      <c r="CV50" s="279"/>
      <c r="CW50" s="155"/>
      <c r="CX50" s="152">
        <v>592</v>
      </c>
      <c r="CY50" s="153">
        <v>621</v>
      </c>
      <c r="CZ50" s="153">
        <v>577</v>
      </c>
      <c r="DA50" s="153">
        <v>759</v>
      </c>
      <c r="DB50" s="154">
        <v>480</v>
      </c>
      <c r="DC50" s="154">
        <v>316</v>
      </c>
      <c r="DD50" s="279">
        <v>254</v>
      </c>
      <c r="DE50" s="279">
        <v>214</v>
      </c>
      <c r="DF50" s="155"/>
      <c r="DG50" s="152">
        <v>2</v>
      </c>
      <c r="DH50" s="153">
        <v>3</v>
      </c>
      <c r="DI50" s="153">
        <v>2</v>
      </c>
      <c r="DJ50" s="153">
        <v>1</v>
      </c>
      <c r="DK50" s="154"/>
      <c r="DL50" s="154"/>
      <c r="DM50" s="279"/>
      <c r="DN50" s="279">
        <v>1</v>
      </c>
      <c r="DO50" s="155"/>
      <c r="DP50" s="152">
        <v>16</v>
      </c>
      <c r="DQ50" s="153">
        <v>25</v>
      </c>
      <c r="DR50" s="153">
        <v>11</v>
      </c>
      <c r="DS50" s="153">
        <v>4</v>
      </c>
      <c r="DT50" s="154">
        <v>11</v>
      </c>
      <c r="DU50" s="154">
        <v>7</v>
      </c>
      <c r="DV50" s="279">
        <v>2</v>
      </c>
      <c r="DW50" s="279">
        <v>2</v>
      </c>
      <c r="DX50" s="155"/>
      <c r="DY50" s="152">
        <v>66</v>
      </c>
      <c r="DZ50" s="153">
        <v>52</v>
      </c>
      <c r="EA50" s="153">
        <v>36</v>
      </c>
      <c r="EB50" s="153">
        <v>256</v>
      </c>
      <c r="EC50" s="154">
        <v>36</v>
      </c>
      <c r="ED50" s="154">
        <v>39</v>
      </c>
      <c r="EE50" s="279">
        <v>63</v>
      </c>
      <c r="EF50" s="279">
        <v>39</v>
      </c>
      <c r="EG50" s="155"/>
      <c r="EH50" s="152">
        <v>9</v>
      </c>
      <c r="EI50" s="153">
        <v>4</v>
      </c>
      <c r="EJ50" s="153">
        <v>17</v>
      </c>
      <c r="EK50" s="153">
        <v>1</v>
      </c>
      <c r="EL50" s="154">
        <v>4</v>
      </c>
      <c r="EM50" s="154">
        <v>1</v>
      </c>
      <c r="EN50" s="279">
        <v>2</v>
      </c>
      <c r="EO50" s="279"/>
      <c r="EP50" s="155"/>
      <c r="EQ50" s="152">
        <v>1</v>
      </c>
      <c r="ER50" s="153"/>
      <c r="ES50" s="153">
        <v>1</v>
      </c>
      <c r="ET50" s="153">
        <v>3</v>
      </c>
      <c r="EU50" s="154"/>
      <c r="EV50" s="154"/>
      <c r="EW50" s="279">
        <v>3</v>
      </c>
      <c r="EX50" s="279">
        <v>3</v>
      </c>
      <c r="EY50" s="155"/>
      <c r="EZ50" s="152">
        <v>8</v>
      </c>
      <c r="FA50" s="153">
        <v>1</v>
      </c>
      <c r="FB50" s="153">
        <v>5</v>
      </c>
      <c r="FC50" s="153">
        <v>2</v>
      </c>
      <c r="FD50" s="154">
        <v>1</v>
      </c>
      <c r="FE50" s="154">
        <v>2</v>
      </c>
      <c r="FF50" s="279"/>
      <c r="FG50" s="279">
        <v>1</v>
      </c>
      <c r="FH50" s="155"/>
      <c r="FI50" s="152">
        <v>17</v>
      </c>
      <c r="FJ50" s="153">
        <v>21</v>
      </c>
      <c r="FK50" s="153">
        <v>9</v>
      </c>
      <c r="FL50" s="153">
        <v>15</v>
      </c>
      <c r="FM50" s="154">
        <v>20</v>
      </c>
      <c r="FN50" s="154">
        <v>5</v>
      </c>
      <c r="FO50" s="279">
        <v>7</v>
      </c>
      <c r="FP50" s="279">
        <v>9</v>
      </c>
      <c r="FQ50" s="155"/>
      <c r="FR50" s="152">
        <v>3</v>
      </c>
      <c r="FS50" s="153">
        <v>2</v>
      </c>
      <c r="FT50" s="153">
        <v>2</v>
      </c>
      <c r="FU50" s="153">
        <v>1</v>
      </c>
      <c r="FV50" s="154">
        <v>1</v>
      </c>
      <c r="FW50" s="154"/>
      <c r="FX50" s="279">
        <v>2</v>
      </c>
      <c r="FY50" s="279">
        <v>1</v>
      </c>
      <c r="FZ50" s="155"/>
      <c r="GA50" s="152">
        <v>5</v>
      </c>
      <c r="GB50" s="153">
        <v>4</v>
      </c>
      <c r="GC50" s="153">
        <v>2</v>
      </c>
      <c r="GD50" s="153">
        <v>8</v>
      </c>
      <c r="GE50" s="154">
        <v>2</v>
      </c>
      <c r="GF50" s="154">
        <v>2</v>
      </c>
      <c r="GG50" s="279">
        <v>5</v>
      </c>
      <c r="GH50" s="279">
        <v>5</v>
      </c>
      <c r="GI50" s="155"/>
      <c r="GJ50" s="152">
        <v>673</v>
      </c>
      <c r="GK50" s="153">
        <v>680</v>
      </c>
      <c r="GL50" s="153">
        <v>651</v>
      </c>
      <c r="GM50" s="153">
        <v>831</v>
      </c>
      <c r="GN50" s="154">
        <v>568</v>
      </c>
      <c r="GO50" s="154">
        <v>397</v>
      </c>
      <c r="GP50" s="279">
        <v>358</v>
      </c>
      <c r="GQ50" s="279">
        <v>340</v>
      </c>
      <c r="GR50" s="155"/>
      <c r="GS50" s="152">
        <v>155</v>
      </c>
      <c r="GT50" s="153">
        <v>164</v>
      </c>
      <c r="GU50" s="153">
        <v>127</v>
      </c>
      <c r="GV50" s="153">
        <v>95</v>
      </c>
      <c r="GW50" s="154">
        <v>56</v>
      </c>
      <c r="GX50" s="154">
        <v>61</v>
      </c>
      <c r="GY50" s="279">
        <v>46</v>
      </c>
      <c r="GZ50" s="279">
        <v>33</v>
      </c>
      <c r="HA50" s="155"/>
      <c r="HB50" s="152">
        <v>3</v>
      </c>
      <c r="HC50" s="153">
        <v>1</v>
      </c>
      <c r="HD50" s="153">
        <v>3</v>
      </c>
      <c r="HE50" s="153"/>
      <c r="HF50" s="154">
        <v>1</v>
      </c>
      <c r="HG50" s="154">
        <v>5</v>
      </c>
      <c r="HH50" s="279"/>
      <c r="HI50" s="279"/>
      <c r="HJ50" s="155"/>
      <c r="HK50" s="152">
        <v>4</v>
      </c>
      <c r="HL50" s="153">
        <v>2</v>
      </c>
      <c r="HM50" s="153">
        <v>2</v>
      </c>
      <c r="HN50" s="153"/>
      <c r="HO50" s="154">
        <v>4</v>
      </c>
      <c r="HP50" s="154">
        <v>5</v>
      </c>
      <c r="HQ50" s="279">
        <v>1</v>
      </c>
      <c r="HR50" s="279"/>
      <c r="HS50" s="155"/>
      <c r="HT50" s="152">
        <v>237</v>
      </c>
      <c r="HU50" s="153">
        <v>232</v>
      </c>
      <c r="HV50" s="153">
        <v>206</v>
      </c>
      <c r="HW50" s="153">
        <v>182</v>
      </c>
      <c r="HX50" s="154">
        <v>155</v>
      </c>
      <c r="HY50" s="154">
        <v>162</v>
      </c>
      <c r="HZ50" s="279">
        <v>159</v>
      </c>
      <c r="IA50" s="279">
        <v>149</v>
      </c>
      <c r="IB50" s="155"/>
      <c r="IC50" s="152">
        <v>1316</v>
      </c>
      <c r="ID50" s="153">
        <v>1390</v>
      </c>
      <c r="IE50" s="153">
        <v>7607</v>
      </c>
      <c r="IF50" s="153">
        <v>1264</v>
      </c>
      <c r="IG50" s="154">
        <v>853</v>
      </c>
      <c r="IH50" s="154">
        <v>693</v>
      </c>
      <c r="II50" s="279">
        <v>1096</v>
      </c>
      <c r="IJ50" s="279">
        <v>588</v>
      </c>
      <c r="IK50" s="155"/>
    </row>
    <row r="51" spans="1:245" x14ac:dyDescent="0.2">
      <c r="A51" s="961"/>
      <c r="B51" s="151" t="s">
        <v>772</v>
      </c>
      <c r="C51" s="152"/>
      <c r="D51" s="153"/>
      <c r="E51" s="153"/>
      <c r="F51" s="153"/>
      <c r="G51" s="154"/>
      <c r="H51" s="154"/>
      <c r="I51" s="279"/>
      <c r="J51" s="279"/>
      <c r="K51" s="155"/>
      <c r="L51" s="152"/>
      <c r="M51" s="153"/>
      <c r="N51" s="153"/>
      <c r="O51" s="153"/>
      <c r="P51" s="154"/>
      <c r="Q51" s="154"/>
      <c r="R51" s="279"/>
      <c r="S51" s="279"/>
      <c r="T51" s="155"/>
      <c r="U51" s="152"/>
      <c r="V51" s="153"/>
      <c r="W51" s="153"/>
      <c r="X51" s="153"/>
      <c r="Y51" s="154"/>
      <c r="Z51" s="154"/>
      <c r="AA51" s="279"/>
      <c r="AB51" s="279"/>
      <c r="AC51" s="155"/>
      <c r="AD51" s="152">
        <v>47</v>
      </c>
      <c r="AE51" s="153">
        <v>36</v>
      </c>
      <c r="AF51" s="153">
        <v>47</v>
      </c>
      <c r="AG51" s="153">
        <v>26</v>
      </c>
      <c r="AH51" s="154">
        <v>60</v>
      </c>
      <c r="AI51" s="154">
        <v>61</v>
      </c>
      <c r="AJ51" s="279">
        <v>30</v>
      </c>
      <c r="AK51" s="279">
        <v>46</v>
      </c>
      <c r="AL51" s="155"/>
      <c r="AM51" s="152">
        <v>20</v>
      </c>
      <c r="AN51" s="153">
        <v>17</v>
      </c>
      <c r="AO51" s="153">
        <v>20</v>
      </c>
      <c r="AP51" s="153">
        <v>16</v>
      </c>
      <c r="AQ51" s="154">
        <v>20</v>
      </c>
      <c r="AR51" s="154">
        <v>20</v>
      </c>
      <c r="AS51" s="279">
        <v>10</v>
      </c>
      <c r="AT51" s="279">
        <v>18</v>
      </c>
      <c r="AU51" s="155"/>
      <c r="AV51" s="152"/>
      <c r="AW51" s="153"/>
      <c r="AX51" s="153"/>
      <c r="AY51" s="153"/>
      <c r="AZ51" s="154"/>
      <c r="BA51" s="154"/>
      <c r="BB51" s="279"/>
      <c r="BC51" s="279"/>
      <c r="BD51" s="155"/>
      <c r="BE51" s="152">
        <v>1</v>
      </c>
      <c r="BF51" s="153"/>
      <c r="BG51" s="153">
        <v>4</v>
      </c>
      <c r="BH51" s="153">
        <v>7</v>
      </c>
      <c r="BI51" s="154"/>
      <c r="BJ51" s="154">
        <v>4</v>
      </c>
      <c r="BK51" s="279">
        <v>6</v>
      </c>
      <c r="BL51" s="279">
        <v>3</v>
      </c>
      <c r="BM51" s="155"/>
      <c r="BN51" s="152"/>
      <c r="BO51" s="153"/>
      <c r="BP51" s="153"/>
      <c r="BQ51" s="153"/>
      <c r="BR51" s="154"/>
      <c r="BS51" s="154"/>
      <c r="BT51" s="279"/>
      <c r="BU51" s="279"/>
      <c r="BV51" s="155"/>
      <c r="BW51" s="152">
        <v>15</v>
      </c>
      <c r="BX51" s="153">
        <v>11</v>
      </c>
      <c r="BY51" s="153">
        <v>19</v>
      </c>
      <c r="BZ51" s="153">
        <v>15</v>
      </c>
      <c r="CA51" s="154">
        <v>31</v>
      </c>
      <c r="CB51" s="154">
        <v>23</v>
      </c>
      <c r="CC51" s="279">
        <v>51</v>
      </c>
      <c r="CD51" s="279">
        <v>54</v>
      </c>
      <c r="CE51" s="155"/>
      <c r="CF51" s="152">
        <v>1</v>
      </c>
      <c r="CG51" s="153">
        <v>2</v>
      </c>
      <c r="CH51" s="153">
        <v>2</v>
      </c>
      <c r="CI51" s="153"/>
      <c r="CJ51" s="154">
        <v>2</v>
      </c>
      <c r="CK51" s="154">
        <v>1</v>
      </c>
      <c r="CL51" s="279"/>
      <c r="CM51" s="279">
        <v>2</v>
      </c>
      <c r="CN51" s="155"/>
      <c r="CO51" s="152">
        <v>1</v>
      </c>
      <c r="CP51" s="153">
        <v>1</v>
      </c>
      <c r="CQ51" s="153">
        <v>2</v>
      </c>
      <c r="CR51" s="153"/>
      <c r="CS51" s="154"/>
      <c r="CT51" s="154">
        <v>2</v>
      </c>
      <c r="CU51" s="279">
        <v>1</v>
      </c>
      <c r="CV51" s="279">
        <v>1</v>
      </c>
      <c r="CW51" s="155"/>
      <c r="CX51" s="152">
        <v>405</v>
      </c>
      <c r="CY51" s="153">
        <v>365</v>
      </c>
      <c r="CZ51" s="153">
        <v>380</v>
      </c>
      <c r="DA51" s="153">
        <v>310</v>
      </c>
      <c r="DB51" s="154">
        <v>256</v>
      </c>
      <c r="DC51" s="154">
        <v>197</v>
      </c>
      <c r="DD51" s="279">
        <v>181</v>
      </c>
      <c r="DE51" s="279">
        <v>162</v>
      </c>
      <c r="DF51" s="155"/>
      <c r="DG51" s="152"/>
      <c r="DH51" s="153"/>
      <c r="DI51" s="153">
        <v>2</v>
      </c>
      <c r="DJ51" s="153"/>
      <c r="DK51" s="154"/>
      <c r="DL51" s="154"/>
      <c r="DM51" s="279"/>
      <c r="DN51" s="279"/>
      <c r="DO51" s="155"/>
      <c r="DP51" s="152">
        <v>2</v>
      </c>
      <c r="DQ51" s="153">
        <v>1</v>
      </c>
      <c r="DR51" s="153">
        <v>1</v>
      </c>
      <c r="DS51" s="153">
        <v>1</v>
      </c>
      <c r="DT51" s="154">
        <v>2</v>
      </c>
      <c r="DU51" s="154">
        <v>1</v>
      </c>
      <c r="DV51" s="279">
        <v>2</v>
      </c>
      <c r="DW51" s="279">
        <v>2</v>
      </c>
      <c r="DX51" s="155"/>
      <c r="DY51" s="152">
        <v>7</v>
      </c>
      <c r="DZ51" s="153">
        <v>10</v>
      </c>
      <c r="EA51" s="153">
        <v>9</v>
      </c>
      <c r="EB51" s="153">
        <v>18</v>
      </c>
      <c r="EC51" s="154">
        <v>32</v>
      </c>
      <c r="ED51" s="154">
        <v>37</v>
      </c>
      <c r="EE51" s="279">
        <v>44</v>
      </c>
      <c r="EF51" s="279">
        <v>30</v>
      </c>
      <c r="EG51" s="155"/>
      <c r="EH51" s="152">
        <v>6</v>
      </c>
      <c r="EI51" s="153">
        <v>1</v>
      </c>
      <c r="EJ51" s="153">
        <v>1</v>
      </c>
      <c r="EK51" s="153"/>
      <c r="EL51" s="154"/>
      <c r="EM51" s="154">
        <v>1</v>
      </c>
      <c r="EN51" s="279">
        <v>3</v>
      </c>
      <c r="EO51" s="279">
        <v>3</v>
      </c>
      <c r="EP51" s="155"/>
      <c r="EQ51" s="152"/>
      <c r="ER51" s="153">
        <v>1</v>
      </c>
      <c r="ES51" s="153">
        <v>1</v>
      </c>
      <c r="ET51" s="153"/>
      <c r="EU51" s="154"/>
      <c r="EV51" s="154"/>
      <c r="EW51" s="279"/>
      <c r="EX51" s="279"/>
      <c r="EY51" s="155"/>
      <c r="EZ51" s="152">
        <v>2</v>
      </c>
      <c r="FA51" s="153">
        <v>1</v>
      </c>
      <c r="FB51" s="153"/>
      <c r="FC51" s="153"/>
      <c r="FD51" s="154"/>
      <c r="FE51" s="154">
        <v>5</v>
      </c>
      <c r="FF51" s="279"/>
      <c r="FG51" s="279">
        <v>1</v>
      </c>
      <c r="FH51" s="155"/>
      <c r="FI51" s="152">
        <v>19</v>
      </c>
      <c r="FJ51" s="153">
        <v>27</v>
      </c>
      <c r="FK51" s="153">
        <v>14</v>
      </c>
      <c r="FL51" s="153">
        <v>15</v>
      </c>
      <c r="FM51" s="154">
        <v>2</v>
      </c>
      <c r="FN51" s="154">
        <v>10</v>
      </c>
      <c r="FO51" s="279">
        <v>12</v>
      </c>
      <c r="FP51" s="279">
        <v>7</v>
      </c>
      <c r="FQ51" s="155"/>
      <c r="FR51" s="152">
        <v>3</v>
      </c>
      <c r="FS51" s="153">
        <v>4</v>
      </c>
      <c r="FT51" s="153">
        <v>1</v>
      </c>
      <c r="FU51" s="153">
        <v>4</v>
      </c>
      <c r="FV51" s="154">
        <v>2</v>
      </c>
      <c r="FW51" s="154">
        <v>1</v>
      </c>
      <c r="FX51" s="279">
        <v>2</v>
      </c>
      <c r="FY51" s="279">
        <v>1</v>
      </c>
      <c r="FZ51" s="155"/>
      <c r="GA51" s="152">
        <v>2</v>
      </c>
      <c r="GB51" s="153">
        <v>3</v>
      </c>
      <c r="GC51" s="153"/>
      <c r="GD51" s="153">
        <v>1</v>
      </c>
      <c r="GE51" s="154">
        <v>2</v>
      </c>
      <c r="GF51" s="154">
        <v>1</v>
      </c>
      <c r="GG51" s="279">
        <v>2</v>
      </c>
      <c r="GH51" s="279">
        <v>6</v>
      </c>
      <c r="GI51" s="155"/>
      <c r="GJ51" s="152">
        <v>502</v>
      </c>
      <c r="GK51" s="153">
        <v>452</v>
      </c>
      <c r="GL51" s="153">
        <v>471</v>
      </c>
      <c r="GM51" s="153">
        <v>378</v>
      </c>
      <c r="GN51" s="154">
        <v>355</v>
      </c>
      <c r="GO51" s="154">
        <v>306</v>
      </c>
      <c r="GP51" s="279">
        <v>288</v>
      </c>
      <c r="GQ51" s="279">
        <v>286</v>
      </c>
      <c r="GR51" s="155"/>
      <c r="GS51" s="152">
        <v>126</v>
      </c>
      <c r="GT51" s="153">
        <v>137</v>
      </c>
      <c r="GU51" s="153">
        <v>114</v>
      </c>
      <c r="GV51" s="153">
        <v>72</v>
      </c>
      <c r="GW51" s="154">
        <v>32</v>
      </c>
      <c r="GX51" s="154">
        <v>34</v>
      </c>
      <c r="GY51" s="279">
        <v>36</v>
      </c>
      <c r="GZ51" s="279">
        <v>79</v>
      </c>
      <c r="HA51" s="155"/>
      <c r="HB51" s="152"/>
      <c r="HC51" s="153">
        <v>3</v>
      </c>
      <c r="HD51" s="153">
        <v>3</v>
      </c>
      <c r="HE51" s="153">
        <v>3</v>
      </c>
      <c r="HF51" s="154">
        <v>2</v>
      </c>
      <c r="HG51" s="154"/>
      <c r="HH51" s="279"/>
      <c r="HI51" s="279"/>
      <c r="HJ51" s="155"/>
      <c r="HK51" s="152">
        <v>3</v>
      </c>
      <c r="HL51" s="153"/>
      <c r="HM51" s="153">
        <v>1</v>
      </c>
      <c r="HN51" s="153"/>
      <c r="HO51" s="154"/>
      <c r="HP51" s="154"/>
      <c r="HQ51" s="279"/>
      <c r="HR51" s="279"/>
      <c r="HS51" s="155"/>
      <c r="HT51" s="152">
        <v>183</v>
      </c>
      <c r="HU51" s="153">
        <v>193</v>
      </c>
      <c r="HV51" s="153">
        <v>178</v>
      </c>
      <c r="HW51" s="153">
        <v>128</v>
      </c>
      <c r="HX51" s="154">
        <v>77</v>
      </c>
      <c r="HY51" s="154">
        <v>95</v>
      </c>
      <c r="HZ51" s="279">
        <v>108</v>
      </c>
      <c r="IA51" s="279">
        <v>166</v>
      </c>
      <c r="IB51" s="155"/>
      <c r="IC51" s="152">
        <v>887</v>
      </c>
      <c r="ID51" s="153">
        <v>777</v>
      </c>
      <c r="IE51" s="153">
        <v>722</v>
      </c>
      <c r="IF51" s="153">
        <v>652</v>
      </c>
      <c r="IG51" s="154">
        <v>529</v>
      </c>
      <c r="IH51" s="154">
        <v>681</v>
      </c>
      <c r="II51" s="279">
        <v>537</v>
      </c>
      <c r="IJ51" s="279">
        <v>514</v>
      </c>
      <c r="IK51" s="155"/>
    </row>
    <row r="52" spans="1:245" ht="13.5" thickBot="1" x14ac:dyDescent="0.25">
      <c r="A52" s="961"/>
      <c r="B52" s="156" t="s">
        <v>667</v>
      </c>
      <c r="C52" s="157"/>
      <c r="D52" s="166"/>
      <c r="E52" s="166"/>
      <c r="F52" s="166"/>
      <c r="G52" s="158"/>
      <c r="H52" s="158"/>
      <c r="I52" s="280"/>
      <c r="J52" s="280"/>
      <c r="K52" s="159"/>
      <c r="L52" s="157"/>
      <c r="M52" s="166"/>
      <c r="N52" s="166"/>
      <c r="O52" s="166"/>
      <c r="P52" s="158"/>
      <c r="Q52" s="158"/>
      <c r="R52" s="280"/>
      <c r="S52" s="280"/>
      <c r="T52" s="159"/>
      <c r="U52" s="157"/>
      <c r="V52" s="166"/>
      <c r="W52" s="166"/>
      <c r="X52" s="166"/>
      <c r="Y52" s="158"/>
      <c r="Z52" s="158"/>
      <c r="AA52" s="280"/>
      <c r="AB52" s="280"/>
      <c r="AC52" s="159"/>
      <c r="AD52" s="157">
        <v>14</v>
      </c>
      <c r="AE52" s="166">
        <v>20</v>
      </c>
      <c r="AF52" s="166">
        <v>23</v>
      </c>
      <c r="AG52" s="166">
        <v>26</v>
      </c>
      <c r="AH52" s="158">
        <v>45</v>
      </c>
      <c r="AI52" s="158">
        <v>41</v>
      </c>
      <c r="AJ52" s="280">
        <v>41</v>
      </c>
      <c r="AK52" s="280">
        <v>52</v>
      </c>
      <c r="AL52" s="159"/>
      <c r="AM52" s="157">
        <v>4</v>
      </c>
      <c r="AN52" s="166">
        <v>11</v>
      </c>
      <c r="AO52" s="166">
        <v>8</v>
      </c>
      <c r="AP52" s="166">
        <v>8</v>
      </c>
      <c r="AQ52" s="158">
        <v>11</v>
      </c>
      <c r="AR52" s="158">
        <v>7</v>
      </c>
      <c r="AS52" s="280">
        <v>6</v>
      </c>
      <c r="AT52" s="280">
        <v>9</v>
      </c>
      <c r="AU52" s="159"/>
      <c r="AV52" s="157"/>
      <c r="AW52" s="166"/>
      <c r="AX52" s="166"/>
      <c r="AY52" s="166"/>
      <c r="AZ52" s="158"/>
      <c r="BA52" s="158"/>
      <c r="BB52" s="280"/>
      <c r="BC52" s="280"/>
      <c r="BD52" s="159"/>
      <c r="BE52" s="157">
        <v>4</v>
      </c>
      <c r="BF52" s="166">
        <v>6</v>
      </c>
      <c r="BG52" s="166">
        <v>2</v>
      </c>
      <c r="BH52" s="166">
        <v>3</v>
      </c>
      <c r="BI52" s="158">
        <v>2</v>
      </c>
      <c r="BJ52" s="158">
        <v>1</v>
      </c>
      <c r="BK52" s="280">
        <v>3</v>
      </c>
      <c r="BL52" s="280">
        <v>3</v>
      </c>
      <c r="BM52" s="159"/>
      <c r="BN52" s="157"/>
      <c r="BO52" s="166"/>
      <c r="BP52" s="166"/>
      <c r="BQ52" s="166"/>
      <c r="BR52" s="158"/>
      <c r="BS52" s="158"/>
      <c r="BT52" s="280"/>
      <c r="BU52" s="280"/>
      <c r="BV52" s="159"/>
      <c r="BW52" s="157">
        <v>16</v>
      </c>
      <c r="BX52" s="166">
        <v>15</v>
      </c>
      <c r="BY52" s="166">
        <v>15</v>
      </c>
      <c r="BZ52" s="166">
        <v>31</v>
      </c>
      <c r="CA52" s="158">
        <v>45</v>
      </c>
      <c r="CB52" s="158">
        <v>31</v>
      </c>
      <c r="CC52" s="280">
        <v>29</v>
      </c>
      <c r="CD52" s="280">
        <v>23</v>
      </c>
      <c r="CE52" s="159"/>
      <c r="CF52" s="157"/>
      <c r="CG52" s="166">
        <v>4</v>
      </c>
      <c r="CH52" s="166">
        <v>1</v>
      </c>
      <c r="CI52" s="166">
        <v>3</v>
      </c>
      <c r="CJ52" s="158">
        <v>3</v>
      </c>
      <c r="CK52" s="158"/>
      <c r="CL52" s="280"/>
      <c r="CM52" s="280">
        <v>1</v>
      </c>
      <c r="CN52" s="159"/>
      <c r="CO52" s="157"/>
      <c r="CP52" s="166"/>
      <c r="CQ52" s="166"/>
      <c r="CR52" s="166"/>
      <c r="CS52" s="158"/>
      <c r="CT52" s="158"/>
      <c r="CU52" s="280">
        <v>1</v>
      </c>
      <c r="CV52" s="280">
        <v>1</v>
      </c>
      <c r="CW52" s="159"/>
      <c r="CX52" s="157">
        <v>326</v>
      </c>
      <c r="CY52" s="166">
        <v>312</v>
      </c>
      <c r="CZ52" s="166">
        <v>330</v>
      </c>
      <c r="DA52" s="166">
        <v>205</v>
      </c>
      <c r="DB52" s="158">
        <v>262</v>
      </c>
      <c r="DC52" s="158">
        <v>165</v>
      </c>
      <c r="DD52" s="280">
        <v>135</v>
      </c>
      <c r="DE52" s="280">
        <v>122</v>
      </c>
      <c r="DF52" s="159"/>
      <c r="DG52" s="157"/>
      <c r="DH52" s="166">
        <v>2</v>
      </c>
      <c r="DI52" s="166"/>
      <c r="DJ52" s="166"/>
      <c r="DK52" s="158"/>
      <c r="DL52" s="158"/>
      <c r="DM52" s="280">
        <v>1</v>
      </c>
      <c r="DN52" s="280"/>
      <c r="DO52" s="159"/>
      <c r="DP52" s="157">
        <v>1</v>
      </c>
      <c r="DQ52" s="166">
        <v>1</v>
      </c>
      <c r="DR52" s="166">
        <v>1</v>
      </c>
      <c r="DS52" s="166">
        <v>1</v>
      </c>
      <c r="DT52" s="158">
        <v>1</v>
      </c>
      <c r="DU52" s="158"/>
      <c r="DV52" s="280"/>
      <c r="DW52" s="280"/>
      <c r="DX52" s="159"/>
      <c r="DY52" s="157">
        <v>45</v>
      </c>
      <c r="DZ52" s="166">
        <v>44</v>
      </c>
      <c r="EA52" s="166">
        <v>42</v>
      </c>
      <c r="EB52" s="166">
        <v>18</v>
      </c>
      <c r="EC52" s="158">
        <v>42</v>
      </c>
      <c r="ED52" s="158">
        <v>27</v>
      </c>
      <c r="EE52" s="280">
        <v>24</v>
      </c>
      <c r="EF52" s="280">
        <v>33</v>
      </c>
      <c r="EG52" s="159"/>
      <c r="EH52" s="157">
        <v>4</v>
      </c>
      <c r="EI52" s="166">
        <v>2</v>
      </c>
      <c r="EJ52" s="166"/>
      <c r="EK52" s="166">
        <v>1</v>
      </c>
      <c r="EL52" s="158"/>
      <c r="EM52" s="158">
        <v>1</v>
      </c>
      <c r="EN52" s="280">
        <v>1</v>
      </c>
      <c r="EO52" s="280">
        <v>1</v>
      </c>
      <c r="EP52" s="159"/>
      <c r="EQ52" s="157"/>
      <c r="ER52" s="166">
        <v>1</v>
      </c>
      <c r="ES52" s="166"/>
      <c r="ET52" s="166"/>
      <c r="EU52" s="158">
        <v>2</v>
      </c>
      <c r="EV52" s="158"/>
      <c r="EW52" s="280"/>
      <c r="EX52" s="280">
        <v>1</v>
      </c>
      <c r="EY52" s="159"/>
      <c r="EZ52" s="157">
        <v>2</v>
      </c>
      <c r="FA52" s="166">
        <v>1</v>
      </c>
      <c r="FB52" s="166"/>
      <c r="FC52" s="166"/>
      <c r="FD52" s="158"/>
      <c r="FE52" s="158">
        <v>3</v>
      </c>
      <c r="FF52" s="280"/>
      <c r="FG52" s="280">
        <v>1</v>
      </c>
      <c r="FH52" s="159"/>
      <c r="FI52" s="157">
        <v>21</v>
      </c>
      <c r="FJ52" s="166">
        <v>21</v>
      </c>
      <c r="FK52" s="166">
        <v>13</v>
      </c>
      <c r="FL52" s="166">
        <v>3</v>
      </c>
      <c r="FM52" s="158">
        <v>5</v>
      </c>
      <c r="FN52" s="158">
        <v>10</v>
      </c>
      <c r="FO52" s="280">
        <v>7</v>
      </c>
      <c r="FP52" s="280">
        <v>9</v>
      </c>
      <c r="FQ52" s="159"/>
      <c r="FR52" s="157">
        <v>3</v>
      </c>
      <c r="FS52" s="166">
        <v>5</v>
      </c>
      <c r="FT52" s="166">
        <v>2</v>
      </c>
      <c r="FU52" s="166">
        <v>2</v>
      </c>
      <c r="FV52" s="158"/>
      <c r="FW52" s="158"/>
      <c r="FX52" s="280"/>
      <c r="FY52" s="280">
        <v>2</v>
      </c>
      <c r="FZ52" s="159"/>
      <c r="GA52" s="157">
        <v>1</v>
      </c>
      <c r="GB52" s="166">
        <v>4</v>
      </c>
      <c r="GC52" s="166">
        <v>3</v>
      </c>
      <c r="GD52" s="166">
        <v>1</v>
      </c>
      <c r="GE52" s="158">
        <v>3</v>
      </c>
      <c r="GF52" s="158">
        <v>2</v>
      </c>
      <c r="GG52" s="280">
        <v>4</v>
      </c>
      <c r="GH52" s="280">
        <v>2</v>
      </c>
      <c r="GI52" s="159"/>
      <c r="GJ52" s="157">
        <v>391</v>
      </c>
      <c r="GK52" s="166">
        <v>391</v>
      </c>
      <c r="GL52" s="166">
        <v>389</v>
      </c>
      <c r="GM52" s="166">
        <v>275</v>
      </c>
      <c r="GN52" s="158">
        <v>367</v>
      </c>
      <c r="GO52" s="158">
        <v>254</v>
      </c>
      <c r="GP52" s="280">
        <v>221</v>
      </c>
      <c r="GQ52" s="280">
        <v>218</v>
      </c>
      <c r="GR52" s="159"/>
      <c r="GS52" s="157">
        <v>137</v>
      </c>
      <c r="GT52" s="166">
        <v>107</v>
      </c>
      <c r="GU52" s="166">
        <v>109</v>
      </c>
      <c r="GV52" s="166">
        <v>72</v>
      </c>
      <c r="GW52" s="158">
        <v>76</v>
      </c>
      <c r="GX52" s="158">
        <v>55</v>
      </c>
      <c r="GY52" s="280">
        <v>46</v>
      </c>
      <c r="GZ52" s="280">
        <v>40</v>
      </c>
      <c r="HA52" s="159"/>
      <c r="HB52" s="157"/>
      <c r="HC52" s="166"/>
      <c r="HD52" s="166"/>
      <c r="HE52" s="166"/>
      <c r="HF52" s="158"/>
      <c r="HG52" s="158"/>
      <c r="HH52" s="280"/>
      <c r="HI52" s="280"/>
      <c r="HJ52" s="159"/>
      <c r="HK52" s="157"/>
      <c r="HL52" s="166"/>
      <c r="HM52" s="166"/>
      <c r="HN52" s="166"/>
      <c r="HO52" s="158"/>
      <c r="HP52" s="158"/>
      <c r="HQ52" s="280"/>
      <c r="HR52" s="280"/>
      <c r="HS52" s="159"/>
      <c r="HT52" s="157">
        <v>158</v>
      </c>
      <c r="HU52" s="166">
        <v>121</v>
      </c>
      <c r="HV52" s="166">
        <v>123</v>
      </c>
      <c r="HW52" s="166">
        <v>85</v>
      </c>
      <c r="HX52" s="158">
        <v>93</v>
      </c>
      <c r="HY52" s="158">
        <v>76</v>
      </c>
      <c r="HZ52" s="280">
        <v>72</v>
      </c>
      <c r="IA52" s="280">
        <v>66</v>
      </c>
      <c r="IB52" s="159"/>
      <c r="IC52" s="157">
        <v>676</v>
      </c>
      <c r="ID52" s="166">
        <v>597</v>
      </c>
      <c r="IE52" s="166">
        <v>515</v>
      </c>
      <c r="IF52" s="166">
        <v>429</v>
      </c>
      <c r="IG52" s="158">
        <v>514</v>
      </c>
      <c r="IH52" s="158">
        <v>631</v>
      </c>
      <c r="II52" s="280">
        <v>361</v>
      </c>
      <c r="IJ52" s="280">
        <v>443</v>
      </c>
      <c r="IK52" s="159"/>
    </row>
    <row r="53" spans="1:245" s="134" customFormat="1" ht="13.5" thickBot="1" x14ac:dyDescent="0.25">
      <c r="A53" s="962"/>
      <c r="B53" s="189" t="s">
        <v>783</v>
      </c>
      <c r="C53" s="273">
        <v>4</v>
      </c>
      <c r="D53" s="190">
        <v>12</v>
      </c>
      <c r="E53" s="190">
        <v>8</v>
      </c>
      <c r="F53" s="190">
        <v>11</v>
      </c>
      <c r="G53" s="190">
        <v>9</v>
      </c>
      <c r="H53" s="190">
        <v>4</v>
      </c>
      <c r="I53" s="190">
        <v>6</v>
      </c>
      <c r="J53" s="190">
        <v>5</v>
      </c>
      <c r="K53" s="286"/>
      <c r="L53" s="273">
        <v>3</v>
      </c>
      <c r="M53" s="190">
        <v>10</v>
      </c>
      <c r="N53" s="190">
        <v>2</v>
      </c>
      <c r="O53" s="190">
        <v>7</v>
      </c>
      <c r="P53" s="190">
        <v>3</v>
      </c>
      <c r="Q53" s="190">
        <v>3</v>
      </c>
      <c r="R53" s="190">
        <v>2</v>
      </c>
      <c r="S53" s="190">
        <v>2</v>
      </c>
      <c r="T53" s="286"/>
      <c r="U53" s="273"/>
      <c r="V53" s="190">
        <v>1</v>
      </c>
      <c r="W53" s="190">
        <v>5</v>
      </c>
      <c r="X53" s="190">
        <v>3</v>
      </c>
      <c r="Y53" s="190">
        <v>6</v>
      </c>
      <c r="Z53" s="190">
        <v>1</v>
      </c>
      <c r="AA53" s="190">
        <v>3</v>
      </c>
      <c r="AB53" s="190">
        <v>2</v>
      </c>
      <c r="AC53" s="286"/>
      <c r="AD53" s="273">
        <v>306</v>
      </c>
      <c r="AE53" s="190">
        <v>337</v>
      </c>
      <c r="AF53" s="190">
        <v>340</v>
      </c>
      <c r="AG53" s="190">
        <v>307</v>
      </c>
      <c r="AH53" s="190">
        <v>394</v>
      </c>
      <c r="AI53" s="190">
        <v>451</v>
      </c>
      <c r="AJ53" s="190">
        <v>369</v>
      </c>
      <c r="AK53" s="190">
        <v>430</v>
      </c>
      <c r="AL53" s="286"/>
      <c r="AM53" s="273">
        <v>139</v>
      </c>
      <c r="AN53" s="190">
        <v>162</v>
      </c>
      <c r="AO53" s="190">
        <v>143</v>
      </c>
      <c r="AP53" s="190">
        <v>155</v>
      </c>
      <c r="AQ53" s="190">
        <v>144</v>
      </c>
      <c r="AR53" s="190">
        <v>160</v>
      </c>
      <c r="AS53" s="190">
        <v>120</v>
      </c>
      <c r="AT53" s="190">
        <v>119</v>
      </c>
      <c r="AU53" s="286"/>
      <c r="AV53" s="273">
        <v>1</v>
      </c>
      <c r="AW53" s="190"/>
      <c r="AX53" s="190"/>
      <c r="AY53" s="190"/>
      <c r="AZ53" s="190">
        <v>3</v>
      </c>
      <c r="BA53" s="190">
        <v>1</v>
      </c>
      <c r="BB53" s="190"/>
      <c r="BC53" s="190">
        <v>1</v>
      </c>
      <c r="BD53" s="286"/>
      <c r="BE53" s="273">
        <v>23</v>
      </c>
      <c r="BF53" s="190">
        <v>37</v>
      </c>
      <c r="BG53" s="190">
        <v>55</v>
      </c>
      <c r="BH53" s="190">
        <v>40</v>
      </c>
      <c r="BI53" s="190">
        <v>42</v>
      </c>
      <c r="BJ53" s="190">
        <v>41</v>
      </c>
      <c r="BK53" s="190">
        <v>43</v>
      </c>
      <c r="BL53" s="190">
        <v>35</v>
      </c>
      <c r="BM53" s="286"/>
      <c r="BN53" s="273">
        <v>4</v>
      </c>
      <c r="BO53" s="190">
        <v>5</v>
      </c>
      <c r="BP53" s="190">
        <v>16</v>
      </c>
      <c r="BQ53" s="190">
        <v>4</v>
      </c>
      <c r="BR53" s="190">
        <v>10</v>
      </c>
      <c r="BS53" s="190">
        <v>4</v>
      </c>
      <c r="BT53" s="190">
        <v>6</v>
      </c>
      <c r="BU53" s="190">
        <v>7</v>
      </c>
      <c r="BV53" s="286"/>
      <c r="BW53" s="273">
        <v>243</v>
      </c>
      <c r="BX53" s="190">
        <v>249</v>
      </c>
      <c r="BY53" s="190">
        <v>272</v>
      </c>
      <c r="BZ53" s="190">
        <v>263</v>
      </c>
      <c r="CA53" s="190">
        <v>303</v>
      </c>
      <c r="CB53" s="190">
        <v>251</v>
      </c>
      <c r="CC53" s="190">
        <v>263</v>
      </c>
      <c r="CD53" s="190">
        <v>281</v>
      </c>
      <c r="CE53" s="286"/>
      <c r="CF53" s="273">
        <v>17</v>
      </c>
      <c r="CG53" s="190">
        <v>26</v>
      </c>
      <c r="CH53" s="190">
        <v>18</v>
      </c>
      <c r="CI53" s="190">
        <v>22</v>
      </c>
      <c r="CJ53" s="190">
        <v>20</v>
      </c>
      <c r="CK53" s="190">
        <v>17</v>
      </c>
      <c r="CL53" s="190">
        <v>5</v>
      </c>
      <c r="CM53" s="190">
        <v>17</v>
      </c>
      <c r="CN53" s="286"/>
      <c r="CO53" s="273">
        <v>19</v>
      </c>
      <c r="CP53" s="190">
        <v>6</v>
      </c>
      <c r="CQ53" s="190">
        <v>10</v>
      </c>
      <c r="CR53" s="190">
        <v>12</v>
      </c>
      <c r="CS53" s="190">
        <v>7</v>
      </c>
      <c r="CT53" s="190">
        <v>15</v>
      </c>
      <c r="CU53" s="190">
        <v>8</v>
      </c>
      <c r="CV53" s="190">
        <v>10</v>
      </c>
      <c r="CW53" s="286"/>
      <c r="CX53" s="273">
        <v>6673</v>
      </c>
      <c r="CY53" s="190">
        <v>4080</v>
      </c>
      <c r="CZ53" s="190">
        <v>4236</v>
      </c>
      <c r="DA53" s="190">
        <v>3856</v>
      </c>
      <c r="DB53" s="190">
        <v>3420</v>
      </c>
      <c r="DC53" s="190">
        <v>2562</v>
      </c>
      <c r="DD53" s="190">
        <v>2275</v>
      </c>
      <c r="DE53" s="190">
        <v>1976</v>
      </c>
      <c r="DF53" s="286"/>
      <c r="DG53" s="273">
        <v>9</v>
      </c>
      <c r="DH53" s="190">
        <v>14</v>
      </c>
      <c r="DI53" s="190">
        <v>11</v>
      </c>
      <c r="DJ53" s="190">
        <v>9</v>
      </c>
      <c r="DK53" s="190">
        <v>8</v>
      </c>
      <c r="DL53" s="190">
        <v>2</v>
      </c>
      <c r="DM53" s="190">
        <v>2</v>
      </c>
      <c r="DN53" s="190">
        <v>2</v>
      </c>
      <c r="DO53" s="286"/>
      <c r="DP53" s="273">
        <v>117</v>
      </c>
      <c r="DQ53" s="190">
        <v>90</v>
      </c>
      <c r="DR53" s="190">
        <v>60</v>
      </c>
      <c r="DS53" s="190">
        <v>36</v>
      </c>
      <c r="DT53" s="190">
        <v>46</v>
      </c>
      <c r="DU53" s="190">
        <v>64</v>
      </c>
      <c r="DV53" s="190">
        <v>36</v>
      </c>
      <c r="DW53" s="190">
        <v>14</v>
      </c>
      <c r="DX53" s="286"/>
      <c r="DY53" s="273">
        <v>423</v>
      </c>
      <c r="DZ53" s="190">
        <v>381</v>
      </c>
      <c r="EA53" s="190">
        <v>347</v>
      </c>
      <c r="EB53" s="190">
        <v>490</v>
      </c>
      <c r="EC53" s="190">
        <v>401</v>
      </c>
      <c r="ED53" s="190">
        <v>361</v>
      </c>
      <c r="EE53" s="190">
        <v>478</v>
      </c>
      <c r="EF53" s="190">
        <v>359</v>
      </c>
      <c r="EG53" s="286"/>
      <c r="EH53" s="273">
        <v>54</v>
      </c>
      <c r="EI53" s="190">
        <v>49</v>
      </c>
      <c r="EJ53" s="190">
        <v>41</v>
      </c>
      <c r="EK53" s="190">
        <v>32</v>
      </c>
      <c r="EL53" s="190">
        <v>19</v>
      </c>
      <c r="EM53" s="190">
        <v>30</v>
      </c>
      <c r="EN53" s="190">
        <v>16</v>
      </c>
      <c r="EO53" s="190">
        <v>16</v>
      </c>
      <c r="EP53" s="286"/>
      <c r="EQ53" s="273">
        <v>6</v>
      </c>
      <c r="ER53" s="190">
        <v>9</v>
      </c>
      <c r="ES53" s="190">
        <v>8</v>
      </c>
      <c r="ET53" s="190">
        <v>6</v>
      </c>
      <c r="EU53" s="190">
        <v>9</v>
      </c>
      <c r="EV53" s="190">
        <v>5</v>
      </c>
      <c r="EW53" s="190">
        <v>15</v>
      </c>
      <c r="EX53" s="190">
        <v>13</v>
      </c>
      <c r="EY53" s="286"/>
      <c r="EZ53" s="273">
        <v>33</v>
      </c>
      <c r="FA53" s="190">
        <v>26</v>
      </c>
      <c r="FB53" s="190">
        <v>40</v>
      </c>
      <c r="FC53" s="190">
        <v>19</v>
      </c>
      <c r="FD53" s="190">
        <v>8</v>
      </c>
      <c r="FE53" s="190">
        <v>18</v>
      </c>
      <c r="FF53" s="190">
        <v>6</v>
      </c>
      <c r="FG53" s="190">
        <v>11</v>
      </c>
      <c r="FH53" s="286"/>
      <c r="FI53" s="273">
        <v>268</v>
      </c>
      <c r="FJ53" s="190">
        <v>284</v>
      </c>
      <c r="FK53" s="190">
        <v>226</v>
      </c>
      <c r="FL53" s="190">
        <v>164</v>
      </c>
      <c r="FM53" s="190">
        <v>147</v>
      </c>
      <c r="FN53" s="190">
        <v>122</v>
      </c>
      <c r="FO53" s="190">
        <v>172</v>
      </c>
      <c r="FP53" s="190">
        <v>118</v>
      </c>
      <c r="FQ53" s="286"/>
      <c r="FR53" s="273">
        <v>27</v>
      </c>
      <c r="FS53" s="190">
        <v>43</v>
      </c>
      <c r="FT53" s="190">
        <v>16</v>
      </c>
      <c r="FU53" s="190">
        <v>28</v>
      </c>
      <c r="FV53" s="190">
        <v>18</v>
      </c>
      <c r="FW53" s="190">
        <v>108</v>
      </c>
      <c r="FX53" s="190">
        <v>15</v>
      </c>
      <c r="FY53" s="190">
        <v>9</v>
      </c>
      <c r="FZ53" s="286"/>
      <c r="GA53" s="273">
        <v>45</v>
      </c>
      <c r="GB53" s="190">
        <v>28</v>
      </c>
      <c r="GC53" s="190">
        <v>20</v>
      </c>
      <c r="GD53" s="190">
        <v>19</v>
      </c>
      <c r="GE53" s="190">
        <v>32</v>
      </c>
      <c r="GF53" s="190">
        <v>19</v>
      </c>
      <c r="GG53" s="190">
        <v>38</v>
      </c>
      <c r="GH53" s="190">
        <v>31</v>
      </c>
      <c r="GI53" s="286"/>
      <c r="GJ53" s="273">
        <v>7722</v>
      </c>
      <c r="GK53" s="190">
        <v>5191</v>
      </c>
      <c r="GL53" s="190">
        <v>5306</v>
      </c>
      <c r="GM53" s="190">
        <v>4783</v>
      </c>
      <c r="GN53" s="190">
        <v>4438</v>
      </c>
      <c r="GO53" s="190">
        <v>3647</v>
      </c>
      <c r="GP53" s="190">
        <v>3237</v>
      </c>
      <c r="GQ53" s="190">
        <v>2959</v>
      </c>
      <c r="GR53" s="286"/>
      <c r="GS53" s="273">
        <v>3900</v>
      </c>
      <c r="GT53" s="190">
        <v>1755</v>
      </c>
      <c r="GU53" s="190">
        <v>1733</v>
      </c>
      <c r="GV53" s="190">
        <v>1217</v>
      </c>
      <c r="GW53" s="190">
        <v>806</v>
      </c>
      <c r="GX53" s="190">
        <v>793</v>
      </c>
      <c r="GY53" s="190">
        <v>722</v>
      </c>
      <c r="GZ53" s="190">
        <v>598</v>
      </c>
      <c r="HA53" s="286"/>
      <c r="HB53" s="273">
        <v>19</v>
      </c>
      <c r="HC53" s="190">
        <v>10</v>
      </c>
      <c r="HD53" s="190">
        <v>20</v>
      </c>
      <c r="HE53" s="190">
        <v>13</v>
      </c>
      <c r="HF53" s="190">
        <v>16</v>
      </c>
      <c r="HG53" s="190">
        <v>20</v>
      </c>
      <c r="HH53" s="190">
        <v>7</v>
      </c>
      <c r="HI53" s="190">
        <v>8</v>
      </c>
      <c r="HJ53" s="286"/>
      <c r="HK53" s="273">
        <v>15</v>
      </c>
      <c r="HL53" s="190">
        <v>7</v>
      </c>
      <c r="HM53" s="190">
        <v>11</v>
      </c>
      <c r="HN53" s="190">
        <v>4</v>
      </c>
      <c r="HO53" s="190">
        <v>8</v>
      </c>
      <c r="HP53" s="190">
        <v>9</v>
      </c>
      <c r="HQ53" s="190">
        <v>9</v>
      </c>
      <c r="HR53" s="190">
        <v>4</v>
      </c>
      <c r="HS53" s="286"/>
      <c r="HT53" s="273">
        <v>4532</v>
      </c>
      <c r="HU53" s="190">
        <v>2361</v>
      </c>
      <c r="HV53" s="190">
        <v>2276</v>
      </c>
      <c r="HW53" s="190">
        <v>1782</v>
      </c>
      <c r="HX53" s="190">
        <v>1453</v>
      </c>
      <c r="HY53" s="190">
        <v>1481</v>
      </c>
      <c r="HZ53" s="190">
        <v>1431</v>
      </c>
      <c r="IA53" s="190">
        <v>1328</v>
      </c>
      <c r="IB53" s="286"/>
      <c r="IC53" s="273">
        <v>12072</v>
      </c>
      <c r="ID53" s="190">
        <v>9430</v>
      </c>
      <c r="IE53" s="190">
        <v>16015</v>
      </c>
      <c r="IF53" s="190">
        <v>8496</v>
      </c>
      <c r="IG53" s="190">
        <v>7065</v>
      </c>
      <c r="IH53" s="190">
        <v>6914</v>
      </c>
      <c r="II53" s="190">
        <v>6123</v>
      </c>
      <c r="IJ53" s="190">
        <v>5665</v>
      </c>
      <c r="IK53" s="286"/>
    </row>
    <row r="54" spans="1:245" x14ac:dyDescent="0.2">
      <c r="A54" s="960" t="s">
        <v>581</v>
      </c>
      <c r="B54" s="146" t="s">
        <v>582</v>
      </c>
      <c r="C54" s="147">
        <v>19</v>
      </c>
      <c r="D54" s="148">
        <v>29</v>
      </c>
      <c r="E54" s="148">
        <v>14</v>
      </c>
      <c r="F54" s="148">
        <v>17</v>
      </c>
      <c r="G54" s="149">
        <v>28</v>
      </c>
      <c r="H54" s="149">
        <v>14</v>
      </c>
      <c r="I54" s="278">
        <v>18</v>
      </c>
      <c r="J54" s="278">
        <v>12</v>
      </c>
      <c r="K54" s="150"/>
      <c r="L54" s="147">
        <v>6</v>
      </c>
      <c r="M54" s="148">
        <v>14</v>
      </c>
      <c r="N54" s="148">
        <v>6</v>
      </c>
      <c r="O54" s="148">
        <v>6</v>
      </c>
      <c r="P54" s="149">
        <v>12</v>
      </c>
      <c r="Q54" s="149">
        <v>8</v>
      </c>
      <c r="R54" s="278">
        <v>7</v>
      </c>
      <c r="S54" s="278">
        <v>7</v>
      </c>
      <c r="T54" s="150"/>
      <c r="U54" s="147">
        <v>12</v>
      </c>
      <c r="V54" s="148">
        <v>8</v>
      </c>
      <c r="W54" s="148">
        <v>8</v>
      </c>
      <c r="X54" s="148">
        <v>8</v>
      </c>
      <c r="Y54" s="149">
        <v>12</v>
      </c>
      <c r="Z54" s="149">
        <v>5</v>
      </c>
      <c r="AA54" s="278">
        <v>9</v>
      </c>
      <c r="AB54" s="278">
        <v>5</v>
      </c>
      <c r="AC54" s="150"/>
      <c r="AD54" s="147">
        <v>43</v>
      </c>
      <c r="AE54" s="148">
        <v>34</v>
      </c>
      <c r="AF54" s="148">
        <v>21</v>
      </c>
      <c r="AG54" s="148">
        <v>45</v>
      </c>
      <c r="AH54" s="149">
        <v>32</v>
      </c>
      <c r="AI54" s="149">
        <v>33</v>
      </c>
      <c r="AJ54" s="278">
        <v>34</v>
      </c>
      <c r="AK54" s="278">
        <v>40</v>
      </c>
      <c r="AL54" s="150"/>
      <c r="AM54" s="147">
        <v>39</v>
      </c>
      <c r="AN54" s="148">
        <v>30</v>
      </c>
      <c r="AO54" s="148">
        <v>18</v>
      </c>
      <c r="AP54" s="148">
        <v>38</v>
      </c>
      <c r="AQ54" s="149">
        <v>28</v>
      </c>
      <c r="AR54" s="149">
        <v>27</v>
      </c>
      <c r="AS54" s="278">
        <v>30</v>
      </c>
      <c r="AT54" s="278">
        <v>34</v>
      </c>
      <c r="AU54" s="150"/>
      <c r="AV54" s="147">
        <v>3</v>
      </c>
      <c r="AW54" s="148">
        <v>4</v>
      </c>
      <c r="AX54" s="148">
        <v>1</v>
      </c>
      <c r="AY54" s="148">
        <v>1</v>
      </c>
      <c r="AZ54" s="149">
        <v>4</v>
      </c>
      <c r="BA54" s="149">
        <v>2</v>
      </c>
      <c r="BB54" s="278">
        <v>6</v>
      </c>
      <c r="BC54" s="278">
        <v>3</v>
      </c>
      <c r="BD54" s="150"/>
      <c r="BE54" s="147"/>
      <c r="BF54" s="148"/>
      <c r="BG54" s="148"/>
      <c r="BH54" s="148"/>
      <c r="BI54" s="149"/>
      <c r="BJ54" s="149"/>
      <c r="BK54" s="278">
        <v>6</v>
      </c>
      <c r="BL54" s="278">
        <v>9</v>
      </c>
      <c r="BM54" s="150"/>
      <c r="BN54" s="147"/>
      <c r="BO54" s="148"/>
      <c r="BP54" s="148"/>
      <c r="BQ54" s="148"/>
      <c r="BR54" s="149">
        <v>1</v>
      </c>
      <c r="BS54" s="149"/>
      <c r="BT54" s="278"/>
      <c r="BU54" s="278">
        <v>2</v>
      </c>
      <c r="BV54" s="150"/>
      <c r="BW54" s="147">
        <v>15</v>
      </c>
      <c r="BX54" s="148">
        <v>4</v>
      </c>
      <c r="BY54" s="148">
        <v>5</v>
      </c>
      <c r="BZ54" s="148">
        <v>6</v>
      </c>
      <c r="CA54" s="149">
        <v>8</v>
      </c>
      <c r="CB54" s="149">
        <v>4</v>
      </c>
      <c r="CC54" s="278">
        <v>4</v>
      </c>
      <c r="CD54" s="278">
        <v>11</v>
      </c>
      <c r="CE54" s="150"/>
      <c r="CF54" s="147"/>
      <c r="CG54" s="148">
        <v>1</v>
      </c>
      <c r="CH54" s="148">
        <v>2</v>
      </c>
      <c r="CI54" s="148"/>
      <c r="CJ54" s="149"/>
      <c r="CK54" s="149">
        <v>1</v>
      </c>
      <c r="CL54" s="278">
        <v>2</v>
      </c>
      <c r="CM54" s="278"/>
      <c r="CN54" s="150"/>
      <c r="CO54" s="147">
        <v>8</v>
      </c>
      <c r="CP54" s="148">
        <v>29</v>
      </c>
      <c r="CQ54" s="148"/>
      <c r="CR54" s="148"/>
      <c r="CS54" s="149">
        <v>2</v>
      </c>
      <c r="CT54" s="149">
        <v>6</v>
      </c>
      <c r="CU54" s="278">
        <v>7</v>
      </c>
      <c r="CV54" s="278">
        <v>10</v>
      </c>
      <c r="CW54" s="150"/>
      <c r="CX54" s="147">
        <v>45</v>
      </c>
      <c r="CY54" s="148">
        <v>2</v>
      </c>
      <c r="CZ54" s="148">
        <v>2</v>
      </c>
      <c r="DA54" s="148">
        <v>32</v>
      </c>
      <c r="DB54" s="149">
        <v>5</v>
      </c>
      <c r="DC54" s="149">
        <v>3</v>
      </c>
      <c r="DD54" s="278">
        <v>4</v>
      </c>
      <c r="DE54" s="278">
        <v>2</v>
      </c>
      <c r="DF54" s="150"/>
      <c r="DG54" s="147"/>
      <c r="DH54" s="148"/>
      <c r="DI54" s="148"/>
      <c r="DJ54" s="148"/>
      <c r="DK54" s="149"/>
      <c r="DL54" s="149"/>
      <c r="DM54" s="278">
        <v>3</v>
      </c>
      <c r="DN54" s="278"/>
      <c r="DO54" s="150"/>
      <c r="DP54" s="147"/>
      <c r="DQ54" s="148"/>
      <c r="DR54" s="148"/>
      <c r="DS54" s="148"/>
      <c r="DT54" s="149"/>
      <c r="DU54" s="149"/>
      <c r="DV54" s="278"/>
      <c r="DW54" s="278"/>
      <c r="DX54" s="150"/>
      <c r="DY54" s="147">
        <v>34</v>
      </c>
      <c r="DZ54" s="148"/>
      <c r="EA54" s="148"/>
      <c r="EB54" s="148"/>
      <c r="EC54" s="149">
        <v>1</v>
      </c>
      <c r="ED54" s="149">
        <v>2</v>
      </c>
      <c r="EE54" s="278"/>
      <c r="EF54" s="278"/>
      <c r="EG54" s="150"/>
      <c r="EH54" s="147">
        <v>8</v>
      </c>
      <c r="EI54" s="148">
        <v>2</v>
      </c>
      <c r="EJ54" s="148">
        <v>12</v>
      </c>
      <c r="EK54" s="148">
        <v>19</v>
      </c>
      <c r="EL54" s="149">
        <v>7</v>
      </c>
      <c r="EM54" s="149">
        <v>3</v>
      </c>
      <c r="EN54" s="278">
        <v>5</v>
      </c>
      <c r="EO54" s="278">
        <v>2</v>
      </c>
      <c r="EP54" s="150"/>
      <c r="EQ54" s="147"/>
      <c r="ER54" s="148">
        <v>1</v>
      </c>
      <c r="ES54" s="148">
        <v>1</v>
      </c>
      <c r="ET54" s="148"/>
      <c r="EU54" s="149">
        <v>1</v>
      </c>
      <c r="EV54" s="149">
        <v>1</v>
      </c>
      <c r="EW54" s="278"/>
      <c r="EX54" s="278">
        <v>2</v>
      </c>
      <c r="EY54" s="150"/>
      <c r="EZ54" s="147">
        <v>3</v>
      </c>
      <c r="FA54" s="148">
        <v>8</v>
      </c>
      <c r="FB54" s="148">
        <v>8</v>
      </c>
      <c r="FC54" s="148"/>
      <c r="FD54" s="149">
        <v>2</v>
      </c>
      <c r="FE54" s="149"/>
      <c r="FF54" s="278">
        <v>2</v>
      </c>
      <c r="FG54" s="278"/>
      <c r="FH54" s="150"/>
      <c r="FI54" s="147">
        <v>2</v>
      </c>
      <c r="FJ54" s="148">
        <v>2</v>
      </c>
      <c r="FK54" s="148"/>
      <c r="FL54" s="148">
        <v>1</v>
      </c>
      <c r="FM54" s="149">
        <v>1</v>
      </c>
      <c r="FN54" s="149"/>
      <c r="FO54" s="278"/>
      <c r="FP54" s="278">
        <v>1</v>
      </c>
      <c r="FQ54" s="150"/>
      <c r="FR54" s="147">
        <v>1</v>
      </c>
      <c r="FS54" s="148">
        <v>1</v>
      </c>
      <c r="FT54" s="148"/>
      <c r="FU54" s="148">
        <v>1</v>
      </c>
      <c r="FV54" s="149"/>
      <c r="FW54" s="149"/>
      <c r="FX54" s="278"/>
      <c r="FY54" s="278"/>
      <c r="FZ54" s="150"/>
      <c r="GA54" s="147"/>
      <c r="GB54" s="148"/>
      <c r="GC54" s="148"/>
      <c r="GD54" s="148"/>
      <c r="GE54" s="149"/>
      <c r="GF54" s="149"/>
      <c r="GG54" s="278"/>
      <c r="GH54" s="278"/>
      <c r="GI54" s="150"/>
      <c r="GJ54" s="147">
        <v>144</v>
      </c>
      <c r="GK54" s="148">
        <v>113</v>
      </c>
      <c r="GL54" s="148">
        <v>65</v>
      </c>
      <c r="GM54" s="148">
        <v>121</v>
      </c>
      <c r="GN54" s="149">
        <v>87</v>
      </c>
      <c r="GO54" s="149">
        <v>65</v>
      </c>
      <c r="GP54" s="278">
        <v>82</v>
      </c>
      <c r="GQ54" s="278">
        <v>91</v>
      </c>
      <c r="GR54" s="150"/>
      <c r="GS54" s="147">
        <v>35</v>
      </c>
      <c r="GT54" s="148">
        <v>35</v>
      </c>
      <c r="GU54" s="148">
        <v>20</v>
      </c>
      <c r="GV54" s="148">
        <v>18</v>
      </c>
      <c r="GW54" s="149">
        <v>18</v>
      </c>
      <c r="GX54" s="149">
        <v>16</v>
      </c>
      <c r="GY54" s="278">
        <v>22</v>
      </c>
      <c r="GZ54" s="278">
        <v>37</v>
      </c>
      <c r="HA54" s="150"/>
      <c r="HB54" s="147">
        <v>4</v>
      </c>
      <c r="HC54" s="148">
        <v>5</v>
      </c>
      <c r="HD54" s="148">
        <v>2</v>
      </c>
      <c r="HE54" s="148">
        <v>7</v>
      </c>
      <c r="HF54" s="149">
        <v>4</v>
      </c>
      <c r="HG54" s="149">
        <v>1</v>
      </c>
      <c r="HH54" s="278">
        <v>1</v>
      </c>
      <c r="HI54" s="278">
        <v>2</v>
      </c>
      <c r="HJ54" s="150"/>
      <c r="HK54" s="147"/>
      <c r="HL54" s="148"/>
      <c r="HM54" s="148"/>
      <c r="HN54" s="148">
        <v>2</v>
      </c>
      <c r="HO54" s="149"/>
      <c r="HP54" s="149"/>
      <c r="HQ54" s="278"/>
      <c r="HR54" s="278"/>
      <c r="HS54" s="150"/>
      <c r="HT54" s="147">
        <v>83</v>
      </c>
      <c r="HU54" s="148">
        <v>150</v>
      </c>
      <c r="HV54" s="148">
        <v>49</v>
      </c>
      <c r="HW54" s="148">
        <v>60</v>
      </c>
      <c r="HX54" s="149">
        <v>50</v>
      </c>
      <c r="HY54" s="149">
        <v>37</v>
      </c>
      <c r="HZ54" s="278">
        <v>45</v>
      </c>
      <c r="IA54" s="278">
        <v>55</v>
      </c>
      <c r="IB54" s="150"/>
      <c r="IC54" s="147">
        <v>584</v>
      </c>
      <c r="ID54" s="148">
        <v>531</v>
      </c>
      <c r="IE54" s="148">
        <v>849</v>
      </c>
      <c r="IF54" s="148">
        <v>918</v>
      </c>
      <c r="IG54" s="149">
        <v>438</v>
      </c>
      <c r="IH54" s="149">
        <v>502</v>
      </c>
      <c r="II54" s="278">
        <v>215</v>
      </c>
      <c r="IJ54" s="278">
        <v>228</v>
      </c>
      <c r="IK54" s="150"/>
    </row>
    <row r="55" spans="1:245" x14ac:dyDescent="0.2">
      <c r="A55" s="961"/>
      <c r="B55" s="151" t="s">
        <v>668</v>
      </c>
      <c r="C55" s="152"/>
      <c r="D55" s="153"/>
      <c r="E55" s="153"/>
      <c r="F55" s="153"/>
      <c r="G55" s="154"/>
      <c r="H55" s="154"/>
      <c r="I55" s="279"/>
      <c r="J55" s="279"/>
      <c r="K55" s="155"/>
      <c r="L55" s="152"/>
      <c r="M55" s="153"/>
      <c r="N55" s="153"/>
      <c r="O55" s="153"/>
      <c r="P55" s="154"/>
      <c r="Q55" s="154"/>
      <c r="R55" s="279"/>
      <c r="S55" s="279"/>
      <c r="T55" s="155"/>
      <c r="U55" s="152"/>
      <c r="V55" s="153"/>
      <c r="W55" s="153"/>
      <c r="X55" s="153"/>
      <c r="Y55" s="154"/>
      <c r="Z55" s="154"/>
      <c r="AA55" s="279"/>
      <c r="AB55" s="279"/>
      <c r="AC55" s="155"/>
      <c r="AD55" s="152">
        <v>315</v>
      </c>
      <c r="AE55" s="153">
        <v>272</v>
      </c>
      <c r="AF55" s="153">
        <v>310</v>
      </c>
      <c r="AG55" s="153">
        <v>323</v>
      </c>
      <c r="AH55" s="154">
        <v>262</v>
      </c>
      <c r="AI55" s="154">
        <v>319</v>
      </c>
      <c r="AJ55" s="279">
        <v>206</v>
      </c>
      <c r="AK55" s="279">
        <v>231</v>
      </c>
      <c r="AL55" s="155"/>
      <c r="AM55" s="152">
        <v>153</v>
      </c>
      <c r="AN55" s="153">
        <v>118</v>
      </c>
      <c r="AO55" s="153">
        <v>133</v>
      </c>
      <c r="AP55" s="153">
        <v>138</v>
      </c>
      <c r="AQ55" s="154">
        <v>98</v>
      </c>
      <c r="AR55" s="154">
        <v>128</v>
      </c>
      <c r="AS55" s="279">
        <v>82</v>
      </c>
      <c r="AT55" s="279">
        <v>98</v>
      </c>
      <c r="AU55" s="155"/>
      <c r="AV55" s="152"/>
      <c r="AW55" s="153"/>
      <c r="AX55" s="153"/>
      <c r="AY55" s="153"/>
      <c r="AZ55" s="154"/>
      <c r="BA55" s="154"/>
      <c r="BB55" s="279"/>
      <c r="BC55" s="279"/>
      <c r="BD55" s="155"/>
      <c r="BE55" s="152">
        <v>104</v>
      </c>
      <c r="BF55" s="153">
        <v>62</v>
      </c>
      <c r="BG55" s="153">
        <v>63</v>
      </c>
      <c r="BH55" s="153">
        <v>44</v>
      </c>
      <c r="BI55" s="154">
        <v>29</v>
      </c>
      <c r="BJ55" s="154">
        <v>60</v>
      </c>
      <c r="BK55" s="279">
        <v>59</v>
      </c>
      <c r="BL55" s="279">
        <v>41</v>
      </c>
      <c r="BM55" s="155"/>
      <c r="BN55" s="152"/>
      <c r="BO55" s="153"/>
      <c r="BP55" s="153"/>
      <c r="BQ55" s="153"/>
      <c r="BR55" s="154"/>
      <c r="BS55" s="154"/>
      <c r="BT55" s="279"/>
      <c r="BU55" s="279"/>
      <c r="BV55" s="155"/>
      <c r="BW55" s="152">
        <v>364</v>
      </c>
      <c r="BX55" s="153">
        <v>357</v>
      </c>
      <c r="BY55" s="153">
        <v>410</v>
      </c>
      <c r="BZ55" s="153">
        <v>400</v>
      </c>
      <c r="CA55" s="154">
        <v>478</v>
      </c>
      <c r="CB55" s="154">
        <v>558</v>
      </c>
      <c r="CC55" s="279">
        <v>456</v>
      </c>
      <c r="CD55" s="279">
        <v>425</v>
      </c>
      <c r="CE55" s="155"/>
      <c r="CF55" s="152">
        <v>18</v>
      </c>
      <c r="CG55" s="153">
        <v>14</v>
      </c>
      <c r="CH55" s="153">
        <v>20</v>
      </c>
      <c r="CI55" s="153">
        <v>17</v>
      </c>
      <c r="CJ55" s="154">
        <v>12</v>
      </c>
      <c r="CK55" s="154">
        <v>14</v>
      </c>
      <c r="CL55" s="279">
        <v>7</v>
      </c>
      <c r="CM55" s="279">
        <v>4</v>
      </c>
      <c r="CN55" s="155"/>
      <c r="CO55" s="152">
        <v>50</v>
      </c>
      <c r="CP55" s="153">
        <v>18</v>
      </c>
      <c r="CQ55" s="153">
        <v>12</v>
      </c>
      <c r="CR55" s="153">
        <v>7</v>
      </c>
      <c r="CS55" s="154">
        <v>5</v>
      </c>
      <c r="CT55" s="154">
        <v>2</v>
      </c>
      <c r="CU55" s="279">
        <v>15</v>
      </c>
      <c r="CV55" s="279">
        <v>34</v>
      </c>
      <c r="CW55" s="155"/>
      <c r="CX55" s="152">
        <v>4704</v>
      </c>
      <c r="CY55" s="153">
        <v>4941</v>
      </c>
      <c r="CZ55" s="153">
        <v>5480</v>
      </c>
      <c r="DA55" s="153">
        <v>4915</v>
      </c>
      <c r="DB55" s="154">
        <v>4823</v>
      </c>
      <c r="DC55" s="154">
        <v>3400</v>
      </c>
      <c r="DD55" s="279">
        <v>2782</v>
      </c>
      <c r="DE55" s="279">
        <v>2545</v>
      </c>
      <c r="DF55" s="155"/>
      <c r="DG55" s="152">
        <v>26</v>
      </c>
      <c r="DH55" s="153">
        <v>15</v>
      </c>
      <c r="DI55" s="153">
        <v>25</v>
      </c>
      <c r="DJ55" s="153">
        <v>10</v>
      </c>
      <c r="DK55" s="154">
        <v>9</v>
      </c>
      <c r="DL55" s="154">
        <v>9</v>
      </c>
      <c r="DM55" s="279">
        <v>10</v>
      </c>
      <c r="DN55" s="279">
        <v>10</v>
      </c>
      <c r="DO55" s="155"/>
      <c r="DP55" s="152">
        <v>154</v>
      </c>
      <c r="DQ55" s="153">
        <v>162</v>
      </c>
      <c r="DR55" s="153">
        <v>126</v>
      </c>
      <c r="DS55" s="153">
        <v>111</v>
      </c>
      <c r="DT55" s="154">
        <v>137</v>
      </c>
      <c r="DU55" s="154">
        <v>89</v>
      </c>
      <c r="DV55" s="279">
        <v>65</v>
      </c>
      <c r="DW55" s="279">
        <v>49</v>
      </c>
      <c r="DX55" s="155"/>
      <c r="DY55" s="152">
        <v>606</v>
      </c>
      <c r="DZ55" s="153">
        <v>459</v>
      </c>
      <c r="EA55" s="153">
        <v>526</v>
      </c>
      <c r="EB55" s="153">
        <v>739</v>
      </c>
      <c r="EC55" s="154">
        <v>1036</v>
      </c>
      <c r="ED55" s="154">
        <v>627</v>
      </c>
      <c r="EE55" s="279">
        <v>483</v>
      </c>
      <c r="EF55" s="279">
        <v>520</v>
      </c>
      <c r="EG55" s="155"/>
      <c r="EH55" s="152">
        <v>95</v>
      </c>
      <c r="EI55" s="153">
        <v>79</v>
      </c>
      <c r="EJ55" s="153">
        <v>107</v>
      </c>
      <c r="EK55" s="153">
        <v>90</v>
      </c>
      <c r="EL55" s="154">
        <v>102</v>
      </c>
      <c r="EM55" s="154">
        <v>72</v>
      </c>
      <c r="EN55" s="279">
        <v>47</v>
      </c>
      <c r="EO55" s="279">
        <v>38</v>
      </c>
      <c r="EP55" s="155"/>
      <c r="EQ55" s="152">
        <v>10</v>
      </c>
      <c r="ER55" s="153">
        <v>13</v>
      </c>
      <c r="ES55" s="153">
        <v>13</v>
      </c>
      <c r="ET55" s="153">
        <v>14</v>
      </c>
      <c r="EU55" s="154">
        <v>27</v>
      </c>
      <c r="EV55" s="154">
        <v>57</v>
      </c>
      <c r="EW55" s="279">
        <v>56</v>
      </c>
      <c r="EX55" s="279">
        <v>59</v>
      </c>
      <c r="EY55" s="155"/>
      <c r="EZ55" s="152">
        <v>15</v>
      </c>
      <c r="FA55" s="153">
        <v>4</v>
      </c>
      <c r="FB55" s="153">
        <v>26</v>
      </c>
      <c r="FC55" s="153">
        <v>13</v>
      </c>
      <c r="FD55" s="154">
        <v>7</v>
      </c>
      <c r="FE55" s="154">
        <v>11</v>
      </c>
      <c r="FF55" s="279">
        <v>7</v>
      </c>
      <c r="FG55" s="279">
        <v>5</v>
      </c>
      <c r="FH55" s="155"/>
      <c r="FI55" s="152">
        <v>281</v>
      </c>
      <c r="FJ55" s="153">
        <v>335</v>
      </c>
      <c r="FK55" s="153">
        <v>281</v>
      </c>
      <c r="FL55" s="153">
        <v>219</v>
      </c>
      <c r="FM55" s="154">
        <v>206</v>
      </c>
      <c r="FN55" s="154">
        <v>176</v>
      </c>
      <c r="FO55" s="279">
        <v>190</v>
      </c>
      <c r="FP55" s="279">
        <v>159</v>
      </c>
      <c r="FQ55" s="155"/>
      <c r="FR55" s="152">
        <v>34</v>
      </c>
      <c r="FS55" s="153">
        <v>9</v>
      </c>
      <c r="FT55" s="153">
        <v>16</v>
      </c>
      <c r="FU55" s="153">
        <v>10</v>
      </c>
      <c r="FV55" s="154">
        <v>11</v>
      </c>
      <c r="FW55" s="154">
        <v>11</v>
      </c>
      <c r="FX55" s="279">
        <v>1</v>
      </c>
      <c r="FY55" s="279">
        <v>7</v>
      </c>
      <c r="FZ55" s="155"/>
      <c r="GA55" s="152">
        <v>39</v>
      </c>
      <c r="GB55" s="153">
        <v>22</v>
      </c>
      <c r="GC55" s="153">
        <v>43</v>
      </c>
      <c r="GD55" s="153">
        <v>24</v>
      </c>
      <c r="GE55" s="154">
        <v>16</v>
      </c>
      <c r="GF55" s="154">
        <v>21</v>
      </c>
      <c r="GG55" s="279">
        <v>24</v>
      </c>
      <c r="GH55" s="279">
        <v>31</v>
      </c>
      <c r="GI55" s="155"/>
      <c r="GJ55" s="152">
        <v>6029</v>
      </c>
      <c r="GK55" s="153">
        <v>6126</v>
      </c>
      <c r="GL55" s="153">
        <v>6781</v>
      </c>
      <c r="GM55" s="153">
        <v>6076</v>
      </c>
      <c r="GN55" s="154">
        <v>5978</v>
      </c>
      <c r="GO55" s="154">
        <v>4701</v>
      </c>
      <c r="GP55" s="279">
        <v>3850</v>
      </c>
      <c r="GQ55" s="279">
        <v>3579</v>
      </c>
      <c r="GR55" s="155"/>
      <c r="GS55" s="152">
        <v>1715</v>
      </c>
      <c r="GT55" s="153">
        <v>1602</v>
      </c>
      <c r="GU55" s="153">
        <v>1674</v>
      </c>
      <c r="GV55" s="153">
        <v>1374</v>
      </c>
      <c r="GW55" s="154">
        <v>997</v>
      </c>
      <c r="GX55" s="154">
        <v>932</v>
      </c>
      <c r="GY55" s="279">
        <v>788</v>
      </c>
      <c r="GZ55" s="279">
        <v>770</v>
      </c>
      <c r="HA55" s="155"/>
      <c r="HB55" s="152">
        <v>17</v>
      </c>
      <c r="HC55" s="153">
        <v>19</v>
      </c>
      <c r="HD55" s="153">
        <v>15</v>
      </c>
      <c r="HE55" s="153">
        <v>12</v>
      </c>
      <c r="HF55" s="154">
        <v>17</v>
      </c>
      <c r="HG55" s="154">
        <v>8</v>
      </c>
      <c r="HH55" s="279">
        <v>11</v>
      </c>
      <c r="HI55" s="279">
        <v>10</v>
      </c>
      <c r="HJ55" s="155"/>
      <c r="HK55" s="152">
        <v>11</v>
      </c>
      <c r="HL55" s="153">
        <v>9</v>
      </c>
      <c r="HM55" s="153">
        <v>2</v>
      </c>
      <c r="HN55" s="153">
        <v>4</v>
      </c>
      <c r="HO55" s="154">
        <v>5</v>
      </c>
      <c r="HP55" s="154">
        <v>9</v>
      </c>
      <c r="HQ55" s="279">
        <v>5</v>
      </c>
      <c r="HR55" s="279">
        <v>8</v>
      </c>
      <c r="HS55" s="155"/>
      <c r="HT55" s="152">
        <v>2220</v>
      </c>
      <c r="HU55" s="153">
        <v>2028</v>
      </c>
      <c r="HV55" s="153">
        <v>2047</v>
      </c>
      <c r="HW55" s="153">
        <v>1768</v>
      </c>
      <c r="HX55" s="154">
        <v>1452</v>
      </c>
      <c r="HY55" s="154">
        <v>1374</v>
      </c>
      <c r="HZ55" s="279">
        <v>1231</v>
      </c>
      <c r="IA55" s="279">
        <v>1206</v>
      </c>
      <c r="IB55" s="155"/>
      <c r="IC55" s="152">
        <v>9237</v>
      </c>
      <c r="ID55" s="153">
        <v>9070</v>
      </c>
      <c r="IE55" s="153">
        <v>11273</v>
      </c>
      <c r="IF55" s="153">
        <v>10267</v>
      </c>
      <c r="IG55" s="154">
        <v>8169</v>
      </c>
      <c r="IH55" s="154">
        <v>6858</v>
      </c>
      <c r="II55" s="279">
        <v>6021</v>
      </c>
      <c r="IJ55" s="279">
        <v>5997</v>
      </c>
      <c r="IK55" s="155"/>
    </row>
    <row r="56" spans="1:245" x14ac:dyDescent="0.2">
      <c r="A56" s="961"/>
      <c r="B56" s="151" t="s">
        <v>669</v>
      </c>
      <c r="C56" s="152"/>
      <c r="D56" s="153"/>
      <c r="E56" s="153"/>
      <c r="F56" s="153"/>
      <c r="G56" s="154"/>
      <c r="H56" s="154"/>
      <c r="I56" s="279"/>
      <c r="J56" s="279"/>
      <c r="K56" s="155"/>
      <c r="L56" s="152"/>
      <c r="M56" s="153"/>
      <c r="N56" s="153"/>
      <c r="O56" s="153"/>
      <c r="P56" s="154"/>
      <c r="Q56" s="154"/>
      <c r="R56" s="279"/>
      <c r="S56" s="279"/>
      <c r="T56" s="155"/>
      <c r="U56" s="152"/>
      <c r="V56" s="153"/>
      <c r="W56" s="153"/>
      <c r="X56" s="153"/>
      <c r="Y56" s="154"/>
      <c r="Z56" s="154"/>
      <c r="AA56" s="279"/>
      <c r="AB56" s="279"/>
      <c r="AC56" s="155"/>
      <c r="AD56" s="152">
        <v>43</v>
      </c>
      <c r="AE56" s="153">
        <v>40</v>
      </c>
      <c r="AF56" s="153">
        <v>36</v>
      </c>
      <c r="AG56" s="153">
        <v>43</v>
      </c>
      <c r="AH56" s="154">
        <v>28</v>
      </c>
      <c r="AI56" s="154">
        <v>36</v>
      </c>
      <c r="AJ56" s="279">
        <v>19</v>
      </c>
      <c r="AK56" s="279">
        <v>15</v>
      </c>
      <c r="AL56" s="155"/>
      <c r="AM56" s="152">
        <v>22</v>
      </c>
      <c r="AN56" s="153">
        <v>10</v>
      </c>
      <c r="AO56" s="153">
        <v>16</v>
      </c>
      <c r="AP56" s="153">
        <v>13</v>
      </c>
      <c r="AQ56" s="154">
        <v>10</v>
      </c>
      <c r="AR56" s="154">
        <v>17</v>
      </c>
      <c r="AS56" s="279">
        <v>7</v>
      </c>
      <c r="AT56" s="279">
        <v>7</v>
      </c>
      <c r="AU56" s="155"/>
      <c r="AV56" s="152"/>
      <c r="AW56" s="153"/>
      <c r="AX56" s="153"/>
      <c r="AY56" s="153"/>
      <c r="AZ56" s="154"/>
      <c r="BA56" s="154"/>
      <c r="BB56" s="279"/>
      <c r="BC56" s="279"/>
      <c r="BD56" s="155"/>
      <c r="BE56" s="152">
        <v>53</v>
      </c>
      <c r="BF56" s="153">
        <v>18</v>
      </c>
      <c r="BG56" s="153">
        <v>33</v>
      </c>
      <c r="BH56" s="153">
        <v>10</v>
      </c>
      <c r="BI56" s="154">
        <v>7</v>
      </c>
      <c r="BJ56" s="154">
        <v>11</v>
      </c>
      <c r="BK56" s="279">
        <v>7</v>
      </c>
      <c r="BL56" s="279">
        <v>3</v>
      </c>
      <c r="BM56" s="155"/>
      <c r="BN56" s="152"/>
      <c r="BO56" s="153"/>
      <c r="BP56" s="153"/>
      <c r="BQ56" s="153"/>
      <c r="BR56" s="154"/>
      <c r="BS56" s="154"/>
      <c r="BT56" s="279"/>
      <c r="BU56" s="279"/>
      <c r="BV56" s="155"/>
      <c r="BW56" s="152">
        <v>64</v>
      </c>
      <c r="BX56" s="153">
        <v>54</v>
      </c>
      <c r="BY56" s="153">
        <v>68</v>
      </c>
      <c r="BZ56" s="153">
        <v>62</v>
      </c>
      <c r="CA56" s="154">
        <v>78</v>
      </c>
      <c r="CB56" s="154">
        <v>60</v>
      </c>
      <c r="CC56" s="279">
        <v>42</v>
      </c>
      <c r="CD56" s="279">
        <v>23</v>
      </c>
      <c r="CE56" s="155"/>
      <c r="CF56" s="152"/>
      <c r="CG56" s="153">
        <v>1</v>
      </c>
      <c r="CH56" s="153">
        <v>1</v>
      </c>
      <c r="CI56" s="153">
        <v>3</v>
      </c>
      <c r="CJ56" s="154"/>
      <c r="CK56" s="154"/>
      <c r="CL56" s="279">
        <v>2</v>
      </c>
      <c r="CM56" s="279"/>
      <c r="CN56" s="155"/>
      <c r="CO56" s="152">
        <v>2</v>
      </c>
      <c r="CP56" s="153"/>
      <c r="CQ56" s="153"/>
      <c r="CR56" s="153"/>
      <c r="CS56" s="154"/>
      <c r="CT56" s="154"/>
      <c r="CU56" s="279">
        <v>1</v>
      </c>
      <c r="CV56" s="279"/>
      <c r="CW56" s="155"/>
      <c r="CX56" s="152">
        <v>328</v>
      </c>
      <c r="CY56" s="153">
        <v>447</v>
      </c>
      <c r="CZ56" s="153">
        <v>432</v>
      </c>
      <c r="DA56" s="153">
        <v>359</v>
      </c>
      <c r="DB56" s="154">
        <v>322</v>
      </c>
      <c r="DC56" s="154">
        <v>247</v>
      </c>
      <c r="DD56" s="279">
        <v>204</v>
      </c>
      <c r="DE56" s="279">
        <v>204</v>
      </c>
      <c r="DF56" s="155"/>
      <c r="DG56" s="152"/>
      <c r="DH56" s="153"/>
      <c r="DI56" s="153"/>
      <c r="DJ56" s="153"/>
      <c r="DK56" s="154"/>
      <c r="DL56" s="154"/>
      <c r="DM56" s="279"/>
      <c r="DN56" s="279"/>
      <c r="DO56" s="155"/>
      <c r="DP56" s="152"/>
      <c r="DQ56" s="153">
        <v>3</v>
      </c>
      <c r="DR56" s="153">
        <v>2</v>
      </c>
      <c r="DS56" s="153">
        <v>1</v>
      </c>
      <c r="DT56" s="154">
        <v>8</v>
      </c>
      <c r="DU56" s="154">
        <v>2</v>
      </c>
      <c r="DV56" s="279">
        <v>1</v>
      </c>
      <c r="DW56" s="279">
        <v>4</v>
      </c>
      <c r="DX56" s="155"/>
      <c r="DY56" s="152">
        <v>34</v>
      </c>
      <c r="DZ56" s="153">
        <v>60</v>
      </c>
      <c r="EA56" s="153">
        <v>55</v>
      </c>
      <c r="EB56" s="153">
        <v>63</v>
      </c>
      <c r="EC56" s="154">
        <v>77</v>
      </c>
      <c r="ED56" s="154">
        <v>47</v>
      </c>
      <c r="EE56" s="279">
        <v>33</v>
      </c>
      <c r="EF56" s="279">
        <v>29</v>
      </c>
      <c r="EG56" s="155"/>
      <c r="EH56" s="152">
        <v>3</v>
      </c>
      <c r="EI56" s="153">
        <v>2</v>
      </c>
      <c r="EJ56" s="153">
        <v>9</v>
      </c>
      <c r="EK56" s="153">
        <v>2</v>
      </c>
      <c r="EL56" s="154">
        <v>4</v>
      </c>
      <c r="EM56" s="154"/>
      <c r="EN56" s="279">
        <v>2</v>
      </c>
      <c r="EO56" s="279"/>
      <c r="EP56" s="155"/>
      <c r="EQ56" s="152">
        <v>1</v>
      </c>
      <c r="ER56" s="153"/>
      <c r="ES56" s="153">
        <v>3</v>
      </c>
      <c r="ET56" s="153">
        <v>3</v>
      </c>
      <c r="EU56" s="154">
        <v>4</v>
      </c>
      <c r="EV56" s="154">
        <v>2</v>
      </c>
      <c r="EW56" s="279">
        <v>1</v>
      </c>
      <c r="EX56" s="279"/>
      <c r="EY56" s="155"/>
      <c r="EZ56" s="152"/>
      <c r="FA56" s="153">
        <v>1</v>
      </c>
      <c r="FB56" s="153">
        <v>3</v>
      </c>
      <c r="FC56" s="153"/>
      <c r="FD56" s="154">
        <v>1</v>
      </c>
      <c r="FE56" s="154"/>
      <c r="FF56" s="279"/>
      <c r="FG56" s="279">
        <v>1</v>
      </c>
      <c r="FH56" s="155"/>
      <c r="FI56" s="152">
        <v>24</v>
      </c>
      <c r="FJ56" s="153">
        <v>32</v>
      </c>
      <c r="FK56" s="153">
        <v>26</v>
      </c>
      <c r="FL56" s="153">
        <v>10</v>
      </c>
      <c r="FM56" s="154">
        <v>7</v>
      </c>
      <c r="FN56" s="154">
        <v>20</v>
      </c>
      <c r="FO56" s="279">
        <v>9</v>
      </c>
      <c r="FP56" s="279">
        <v>4</v>
      </c>
      <c r="FQ56" s="155"/>
      <c r="FR56" s="152">
        <v>2</v>
      </c>
      <c r="FS56" s="153">
        <v>6</v>
      </c>
      <c r="FT56" s="153">
        <v>2</v>
      </c>
      <c r="FU56" s="153">
        <v>8</v>
      </c>
      <c r="FV56" s="154">
        <v>2</v>
      </c>
      <c r="FW56" s="154">
        <v>2</v>
      </c>
      <c r="FX56" s="279">
        <v>1</v>
      </c>
      <c r="FY56" s="279">
        <v>1</v>
      </c>
      <c r="FZ56" s="155"/>
      <c r="GA56" s="152"/>
      <c r="GB56" s="153">
        <v>2</v>
      </c>
      <c r="GC56" s="153">
        <v>2</v>
      </c>
      <c r="GD56" s="153">
        <v>4</v>
      </c>
      <c r="GE56" s="154">
        <v>2</v>
      </c>
      <c r="GF56" s="154">
        <v>2</v>
      </c>
      <c r="GG56" s="279">
        <v>3</v>
      </c>
      <c r="GH56" s="279"/>
      <c r="GI56" s="155"/>
      <c r="GJ56" s="152">
        <v>520</v>
      </c>
      <c r="GK56" s="153">
        <v>603</v>
      </c>
      <c r="GL56" s="153">
        <v>615</v>
      </c>
      <c r="GM56" s="153">
        <v>504</v>
      </c>
      <c r="GN56" s="154">
        <v>455</v>
      </c>
      <c r="GO56" s="154">
        <v>380</v>
      </c>
      <c r="GP56" s="279">
        <v>291</v>
      </c>
      <c r="GQ56" s="279">
        <v>251</v>
      </c>
      <c r="GR56" s="155"/>
      <c r="GS56" s="152">
        <v>167</v>
      </c>
      <c r="GT56" s="153">
        <v>198</v>
      </c>
      <c r="GU56" s="153">
        <v>224</v>
      </c>
      <c r="GV56" s="153">
        <v>139</v>
      </c>
      <c r="GW56" s="154">
        <v>45</v>
      </c>
      <c r="GX56" s="154">
        <v>25</v>
      </c>
      <c r="GY56" s="279">
        <v>17</v>
      </c>
      <c r="GZ56" s="279">
        <v>17</v>
      </c>
      <c r="HA56" s="155"/>
      <c r="HB56" s="152"/>
      <c r="HC56" s="153"/>
      <c r="HD56" s="153"/>
      <c r="HE56" s="153"/>
      <c r="HF56" s="154">
        <v>1</v>
      </c>
      <c r="HG56" s="154"/>
      <c r="HH56" s="279">
        <v>2</v>
      </c>
      <c r="HI56" s="279"/>
      <c r="HJ56" s="155"/>
      <c r="HK56" s="152"/>
      <c r="HL56" s="153"/>
      <c r="HM56" s="153"/>
      <c r="HN56" s="153"/>
      <c r="HO56" s="154"/>
      <c r="HP56" s="154">
        <v>1</v>
      </c>
      <c r="HQ56" s="279">
        <v>1</v>
      </c>
      <c r="HR56" s="279">
        <v>1</v>
      </c>
      <c r="HS56" s="155"/>
      <c r="HT56" s="152">
        <v>287</v>
      </c>
      <c r="HU56" s="153">
        <v>263</v>
      </c>
      <c r="HV56" s="153">
        <v>289</v>
      </c>
      <c r="HW56" s="153">
        <v>190</v>
      </c>
      <c r="HX56" s="154">
        <v>98</v>
      </c>
      <c r="HY56" s="154">
        <v>80</v>
      </c>
      <c r="HZ56" s="279">
        <v>89</v>
      </c>
      <c r="IA56" s="279">
        <v>61</v>
      </c>
      <c r="IB56" s="155"/>
      <c r="IC56" s="152">
        <v>3144</v>
      </c>
      <c r="ID56" s="153">
        <v>801</v>
      </c>
      <c r="IE56" s="153">
        <v>891</v>
      </c>
      <c r="IF56" s="153">
        <v>707</v>
      </c>
      <c r="IG56" s="154">
        <v>605</v>
      </c>
      <c r="IH56" s="154">
        <v>548</v>
      </c>
      <c r="II56" s="279">
        <v>529</v>
      </c>
      <c r="IJ56" s="279">
        <v>392</v>
      </c>
      <c r="IK56" s="155"/>
    </row>
    <row r="57" spans="1:245" x14ac:dyDescent="0.2">
      <c r="A57" s="961"/>
      <c r="B57" s="151" t="s">
        <v>670</v>
      </c>
      <c r="C57" s="152"/>
      <c r="D57" s="153"/>
      <c r="E57" s="153"/>
      <c r="F57" s="153"/>
      <c r="G57" s="154"/>
      <c r="H57" s="154"/>
      <c r="I57" s="279"/>
      <c r="J57" s="279"/>
      <c r="K57" s="155"/>
      <c r="L57" s="152"/>
      <c r="M57" s="153"/>
      <c r="N57" s="153"/>
      <c r="O57" s="153"/>
      <c r="P57" s="154"/>
      <c r="Q57" s="154"/>
      <c r="R57" s="279"/>
      <c r="S57" s="279"/>
      <c r="T57" s="155"/>
      <c r="U57" s="152"/>
      <c r="V57" s="153"/>
      <c r="W57" s="153"/>
      <c r="X57" s="153"/>
      <c r="Y57" s="154"/>
      <c r="Z57" s="154"/>
      <c r="AA57" s="279"/>
      <c r="AB57" s="279"/>
      <c r="AC57" s="155"/>
      <c r="AD57" s="152">
        <v>104</v>
      </c>
      <c r="AE57" s="153">
        <v>85</v>
      </c>
      <c r="AF57" s="153">
        <v>55</v>
      </c>
      <c r="AG57" s="153">
        <v>111</v>
      </c>
      <c r="AH57" s="154">
        <v>78</v>
      </c>
      <c r="AI57" s="154">
        <v>81</v>
      </c>
      <c r="AJ57" s="279">
        <v>85</v>
      </c>
      <c r="AK57" s="279">
        <v>82</v>
      </c>
      <c r="AL57" s="155"/>
      <c r="AM57" s="152">
        <v>26</v>
      </c>
      <c r="AN57" s="153">
        <v>21</v>
      </c>
      <c r="AO57" s="153">
        <v>15</v>
      </c>
      <c r="AP57" s="153">
        <v>25</v>
      </c>
      <c r="AQ57" s="154">
        <v>20</v>
      </c>
      <c r="AR57" s="154">
        <v>21</v>
      </c>
      <c r="AS57" s="279">
        <v>20</v>
      </c>
      <c r="AT57" s="279">
        <v>18</v>
      </c>
      <c r="AU57" s="155"/>
      <c r="AV57" s="152"/>
      <c r="AW57" s="153"/>
      <c r="AX57" s="153"/>
      <c r="AY57" s="153"/>
      <c r="AZ57" s="154"/>
      <c r="BA57" s="154"/>
      <c r="BB57" s="279"/>
      <c r="BC57" s="279"/>
      <c r="BD57" s="155"/>
      <c r="BE57" s="152">
        <v>11</v>
      </c>
      <c r="BF57" s="153">
        <v>46</v>
      </c>
      <c r="BG57" s="153">
        <v>26</v>
      </c>
      <c r="BH57" s="153">
        <v>16</v>
      </c>
      <c r="BI57" s="154">
        <v>31</v>
      </c>
      <c r="BJ57" s="154">
        <v>27</v>
      </c>
      <c r="BK57" s="279">
        <v>24</v>
      </c>
      <c r="BL57" s="279">
        <v>12</v>
      </c>
      <c r="BM57" s="155"/>
      <c r="BN57" s="152"/>
      <c r="BO57" s="153"/>
      <c r="BP57" s="153"/>
      <c r="BQ57" s="153"/>
      <c r="BR57" s="154"/>
      <c r="BS57" s="154"/>
      <c r="BT57" s="279"/>
      <c r="BU57" s="279"/>
      <c r="BV57" s="155"/>
      <c r="BW57" s="152">
        <v>118</v>
      </c>
      <c r="BX57" s="153">
        <v>137</v>
      </c>
      <c r="BY57" s="153">
        <v>100</v>
      </c>
      <c r="BZ57" s="153">
        <v>162</v>
      </c>
      <c r="CA57" s="154">
        <v>121</v>
      </c>
      <c r="CB57" s="154">
        <v>116</v>
      </c>
      <c r="CC57" s="279">
        <v>93</v>
      </c>
      <c r="CD57" s="279">
        <v>85</v>
      </c>
      <c r="CE57" s="155"/>
      <c r="CF57" s="152">
        <v>3</v>
      </c>
      <c r="CG57" s="153">
        <v>3</v>
      </c>
      <c r="CH57" s="153">
        <v>3</v>
      </c>
      <c r="CI57" s="153">
        <v>2</v>
      </c>
      <c r="CJ57" s="154">
        <v>1</v>
      </c>
      <c r="CK57" s="154">
        <v>2</v>
      </c>
      <c r="CL57" s="279">
        <v>3</v>
      </c>
      <c r="CM57" s="279">
        <v>2</v>
      </c>
      <c r="CN57" s="155"/>
      <c r="CO57" s="152"/>
      <c r="CP57" s="153"/>
      <c r="CQ57" s="153"/>
      <c r="CR57" s="153"/>
      <c r="CS57" s="154"/>
      <c r="CT57" s="154"/>
      <c r="CU57" s="279">
        <v>2</v>
      </c>
      <c r="CV57" s="279">
        <v>3</v>
      </c>
      <c r="CW57" s="155"/>
      <c r="CX57" s="152">
        <v>802</v>
      </c>
      <c r="CY57" s="153">
        <v>936</v>
      </c>
      <c r="CZ57" s="153">
        <v>936</v>
      </c>
      <c r="DA57" s="153">
        <v>811</v>
      </c>
      <c r="DB57" s="154">
        <v>673</v>
      </c>
      <c r="DC57" s="154">
        <v>595</v>
      </c>
      <c r="DD57" s="279">
        <v>656</v>
      </c>
      <c r="DE57" s="279">
        <v>557</v>
      </c>
      <c r="DF57" s="155"/>
      <c r="DG57" s="152">
        <v>3</v>
      </c>
      <c r="DH57" s="153">
        <v>1</v>
      </c>
      <c r="DI57" s="153"/>
      <c r="DJ57" s="153">
        <v>1</v>
      </c>
      <c r="DK57" s="154"/>
      <c r="DL57" s="154">
        <v>1</v>
      </c>
      <c r="DM57" s="279"/>
      <c r="DN57" s="279">
        <v>1</v>
      </c>
      <c r="DO57" s="155"/>
      <c r="DP57" s="152">
        <v>7</v>
      </c>
      <c r="DQ57" s="153">
        <v>4</v>
      </c>
      <c r="DR57" s="153">
        <v>2</v>
      </c>
      <c r="DS57" s="153">
        <v>1</v>
      </c>
      <c r="DT57" s="154">
        <v>4</v>
      </c>
      <c r="DU57" s="154"/>
      <c r="DV57" s="279">
        <v>4</v>
      </c>
      <c r="DW57" s="279">
        <v>2</v>
      </c>
      <c r="DX57" s="155"/>
      <c r="DY57" s="152">
        <v>104</v>
      </c>
      <c r="DZ57" s="153">
        <v>127</v>
      </c>
      <c r="EA57" s="153">
        <v>185</v>
      </c>
      <c r="EB57" s="153">
        <v>161</v>
      </c>
      <c r="EC57" s="154">
        <v>150</v>
      </c>
      <c r="ED57" s="154">
        <v>176</v>
      </c>
      <c r="EE57" s="279">
        <v>201</v>
      </c>
      <c r="EF57" s="279">
        <v>141</v>
      </c>
      <c r="EG57" s="155"/>
      <c r="EH57" s="152">
        <v>7</v>
      </c>
      <c r="EI57" s="153">
        <v>9</v>
      </c>
      <c r="EJ57" s="153">
        <v>11</v>
      </c>
      <c r="EK57" s="153">
        <v>10</v>
      </c>
      <c r="EL57" s="154">
        <v>6</v>
      </c>
      <c r="EM57" s="154">
        <v>7</v>
      </c>
      <c r="EN57" s="279">
        <v>4</v>
      </c>
      <c r="EO57" s="279">
        <v>8</v>
      </c>
      <c r="EP57" s="155"/>
      <c r="EQ57" s="152">
        <v>2</v>
      </c>
      <c r="ER57" s="153"/>
      <c r="ES57" s="153">
        <v>3</v>
      </c>
      <c r="ET57" s="153">
        <v>2</v>
      </c>
      <c r="EU57" s="154">
        <v>1</v>
      </c>
      <c r="EV57" s="154">
        <v>2</v>
      </c>
      <c r="EW57" s="279">
        <v>3</v>
      </c>
      <c r="EX57" s="279">
        <v>1</v>
      </c>
      <c r="EY57" s="155"/>
      <c r="EZ57" s="152">
        <v>12</v>
      </c>
      <c r="FA57" s="153">
        <v>1</v>
      </c>
      <c r="FB57" s="153">
        <v>5</v>
      </c>
      <c r="FC57" s="153">
        <v>3</v>
      </c>
      <c r="FD57" s="154">
        <v>4</v>
      </c>
      <c r="FE57" s="154">
        <v>2</v>
      </c>
      <c r="FF57" s="279">
        <v>1</v>
      </c>
      <c r="FG57" s="279">
        <v>1</v>
      </c>
      <c r="FH57" s="155"/>
      <c r="FI57" s="152">
        <v>74</v>
      </c>
      <c r="FJ57" s="153">
        <v>53</v>
      </c>
      <c r="FK57" s="153">
        <v>38</v>
      </c>
      <c r="FL57" s="153">
        <v>29</v>
      </c>
      <c r="FM57" s="154">
        <v>22</v>
      </c>
      <c r="FN57" s="154">
        <v>93</v>
      </c>
      <c r="FO57" s="279">
        <v>26</v>
      </c>
      <c r="FP57" s="279">
        <v>25</v>
      </c>
      <c r="FQ57" s="155"/>
      <c r="FR57" s="152">
        <v>5</v>
      </c>
      <c r="FS57" s="153">
        <v>5</v>
      </c>
      <c r="FT57" s="153">
        <v>6</v>
      </c>
      <c r="FU57" s="153">
        <v>1</v>
      </c>
      <c r="FV57" s="154">
        <v>4</v>
      </c>
      <c r="FW57" s="154">
        <v>4</v>
      </c>
      <c r="FX57" s="279">
        <v>15</v>
      </c>
      <c r="FY57" s="279">
        <v>2</v>
      </c>
      <c r="FZ57" s="155"/>
      <c r="GA57" s="152">
        <v>4</v>
      </c>
      <c r="GB57" s="153">
        <v>2</v>
      </c>
      <c r="GC57" s="153">
        <v>3</v>
      </c>
      <c r="GD57" s="153">
        <v>4</v>
      </c>
      <c r="GE57" s="154">
        <v>4</v>
      </c>
      <c r="GF57" s="154">
        <v>3</v>
      </c>
      <c r="GG57" s="279">
        <v>5</v>
      </c>
      <c r="GH57" s="279">
        <v>8</v>
      </c>
      <c r="GI57" s="155"/>
      <c r="GJ57" s="152">
        <v>1142</v>
      </c>
      <c r="GK57" s="153">
        <v>1277</v>
      </c>
      <c r="GL57" s="153">
        <v>1186</v>
      </c>
      <c r="GM57" s="153">
        <v>1151</v>
      </c>
      <c r="GN57" s="154">
        <v>945</v>
      </c>
      <c r="GO57" s="154">
        <v>932</v>
      </c>
      <c r="GP57" s="279">
        <v>917</v>
      </c>
      <c r="GQ57" s="279">
        <v>786</v>
      </c>
      <c r="GR57" s="155"/>
      <c r="GS57" s="152">
        <v>320</v>
      </c>
      <c r="GT57" s="153">
        <v>333</v>
      </c>
      <c r="GU57" s="153">
        <v>249</v>
      </c>
      <c r="GV57" s="153">
        <v>271</v>
      </c>
      <c r="GW57" s="154">
        <v>175</v>
      </c>
      <c r="GX57" s="154">
        <v>142</v>
      </c>
      <c r="GY57" s="279">
        <v>130</v>
      </c>
      <c r="GZ57" s="279">
        <v>152</v>
      </c>
      <c r="HA57" s="155"/>
      <c r="HB57" s="152"/>
      <c r="HC57" s="153">
        <v>1</v>
      </c>
      <c r="HD57" s="153">
        <v>3</v>
      </c>
      <c r="HE57" s="153">
        <v>1</v>
      </c>
      <c r="HF57" s="154"/>
      <c r="HG57" s="154"/>
      <c r="HH57" s="279"/>
      <c r="HI57" s="279">
        <v>2</v>
      </c>
      <c r="HJ57" s="155"/>
      <c r="HK57" s="152"/>
      <c r="HL57" s="153">
        <v>1</v>
      </c>
      <c r="HM57" s="153"/>
      <c r="HN57" s="153">
        <v>2</v>
      </c>
      <c r="HO57" s="154"/>
      <c r="HP57" s="154"/>
      <c r="HQ57" s="279"/>
      <c r="HR57" s="279">
        <v>1</v>
      </c>
      <c r="HS57" s="155"/>
      <c r="HT57" s="152">
        <v>604</v>
      </c>
      <c r="HU57" s="153">
        <v>417</v>
      </c>
      <c r="HV57" s="153">
        <v>320</v>
      </c>
      <c r="HW57" s="153">
        <v>339</v>
      </c>
      <c r="HX57" s="154">
        <v>278</v>
      </c>
      <c r="HY57" s="154">
        <v>250</v>
      </c>
      <c r="HZ57" s="279">
        <v>211</v>
      </c>
      <c r="IA57" s="279">
        <v>248</v>
      </c>
      <c r="IB57" s="155"/>
      <c r="IC57" s="152">
        <v>2552</v>
      </c>
      <c r="ID57" s="153">
        <v>1798</v>
      </c>
      <c r="IE57" s="153">
        <v>1552</v>
      </c>
      <c r="IF57" s="153">
        <v>1581</v>
      </c>
      <c r="IG57" s="154">
        <v>1372</v>
      </c>
      <c r="IH57" s="154">
        <v>1349</v>
      </c>
      <c r="II57" s="279">
        <v>1229</v>
      </c>
      <c r="IJ57" s="279">
        <v>1092</v>
      </c>
      <c r="IK57" s="155"/>
    </row>
    <row r="58" spans="1:245" x14ac:dyDescent="0.2">
      <c r="A58" s="961"/>
      <c r="B58" s="151" t="s">
        <v>671</v>
      </c>
      <c r="C58" s="152"/>
      <c r="D58" s="153"/>
      <c r="E58" s="153"/>
      <c r="F58" s="153"/>
      <c r="G58" s="154"/>
      <c r="H58" s="154"/>
      <c r="I58" s="279"/>
      <c r="J58" s="279"/>
      <c r="K58" s="155"/>
      <c r="L58" s="152"/>
      <c r="M58" s="153"/>
      <c r="N58" s="153"/>
      <c r="O58" s="153"/>
      <c r="P58" s="154"/>
      <c r="Q58" s="154"/>
      <c r="R58" s="279"/>
      <c r="S58" s="279"/>
      <c r="T58" s="155"/>
      <c r="U58" s="152"/>
      <c r="V58" s="153"/>
      <c r="W58" s="153"/>
      <c r="X58" s="153"/>
      <c r="Y58" s="154"/>
      <c r="Z58" s="154"/>
      <c r="AA58" s="279"/>
      <c r="AB58" s="279"/>
      <c r="AC58" s="155"/>
      <c r="AD58" s="152">
        <v>120</v>
      </c>
      <c r="AE58" s="153">
        <v>83</v>
      </c>
      <c r="AF58" s="153">
        <v>105</v>
      </c>
      <c r="AG58" s="153">
        <v>97</v>
      </c>
      <c r="AH58" s="154">
        <v>94</v>
      </c>
      <c r="AI58" s="154">
        <v>79</v>
      </c>
      <c r="AJ58" s="279">
        <v>81</v>
      </c>
      <c r="AK58" s="279">
        <v>55</v>
      </c>
      <c r="AL58" s="155"/>
      <c r="AM58" s="152">
        <v>43</v>
      </c>
      <c r="AN58" s="153">
        <v>29</v>
      </c>
      <c r="AO58" s="153">
        <v>27</v>
      </c>
      <c r="AP58" s="153">
        <v>43</v>
      </c>
      <c r="AQ58" s="154">
        <v>35</v>
      </c>
      <c r="AR58" s="154">
        <v>27</v>
      </c>
      <c r="AS58" s="279">
        <v>34</v>
      </c>
      <c r="AT58" s="279">
        <v>21</v>
      </c>
      <c r="AU58" s="155"/>
      <c r="AV58" s="152"/>
      <c r="AW58" s="153"/>
      <c r="AX58" s="153"/>
      <c r="AY58" s="153"/>
      <c r="AZ58" s="154"/>
      <c r="BA58" s="154"/>
      <c r="BB58" s="279"/>
      <c r="BC58" s="279"/>
      <c r="BD58" s="155"/>
      <c r="BE58" s="152">
        <v>26</v>
      </c>
      <c r="BF58" s="153">
        <v>22</v>
      </c>
      <c r="BG58" s="153">
        <v>22</v>
      </c>
      <c r="BH58" s="153">
        <v>6</v>
      </c>
      <c r="BI58" s="154">
        <v>13</v>
      </c>
      <c r="BJ58" s="154">
        <v>15</v>
      </c>
      <c r="BK58" s="279">
        <v>17</v>
      </c>
      <c r="BL58" s="279">
        <v>8</v>
      </c>
      <c r="BM58" s="155"/>
      <c r="BN58" s="152"/>
      <c r="BO58" s="153"/>
      <c r="BP58" s="153"/>
      <c r="BQ58" s="153"/>
      <c r="BR58" s="154"/>
      <c r="BS58" s="154"/>
      <c r="BT58" s="279"/>
      <c r="BU58" s="279"/>
      <c r="BV58" s="155"/>
      <c r="BW58" s="152">
        <v>165</v>
      </c>
      <c r="BX58" s="153">
        <v>163</v>
      </c>
      <c r="BY58" s="153">
        <v>194</v>
      </c>
      <c r="BZ58" s="153">
        <v>210</v>
      </c>
      <c r="CA58" s="154">
        <v>171</v>
      </c>
      <c r="CB58" s="154">
        <v>158</v>
      </c>
      <c r="CC58" s="279">
        <v>132</v>
      </c>
      <c r="CD58" s="279">
        <v>121</v>
      </c>
      <c r="CE58" s="155"/>
      <c r="CF58" s="152">
        <v>7</v>
      </c>
      <c r="CG58" s="153">
        <v>11</v>
      </c>
      <c r="CH58" s="153">
        <v>5</v>
      </c>
      <c r="CI58" s="153">
        <v>2</v>
      </c>
      <c r="CJ58" s="154">
        <v>5</v>
      </c>
      <c r="CK58" s="154">
        <v>3</v>
      </c>
      <c r="CL58" s="279"/>
      <c r="CM58" s="279">
        <v>2</v>
      </c>
      <c r="CN58" s="155"/>
      <c r="CO58" s="152"/>
      <c r="CP58" s="153">
        <v>1</v>
      </c>
      <c r="CQ58" s="153">
        <v>1</v>
      </c>
      <c r="CR58" s="153">
        <v>3</v>
      </c>
      <c r="CS58" s="154">
        <v>1</v>
      </c>
      <c r="CT58" s="154">
        <v>3</v>
      </c>
      <c r="CU58" s="279">
        <v>1</v>
      </c>
      <c r="CV58" s="279">
        <v>7</v>
      </c>
      <c r="CW58" s="155"/>
      <c r="CX58" s="152">
        <v>974</v>
      </c>
      <c r="CY58" s="153">
        <v>1182</v>
      </c>
      <c r="CZ58" s="153">
        <v>1094</v>
      </c>
      <c r="DA58" s="153">
        <v>1094</v>
      </c>
      <c r="DB58" s="154">
        <v>877</v>
      </c>
      <c r="DC58" s="154">
        <v>531</v>
      </c>
      <c r="DD58" s="279">
        <v>502</v>
      </c>
      <c r="DE58" s="279">
        <v>438</v>
      </c>
      <c r="DF58" s="155"/>
      <c r="DG58" s="152">
        <v>3</v>
      </c>
      <c r="DH58" s="153">
        <v>12</v>
      </c>
      <c r="DI58" s="153">
        <v>4</v>
      </c>
      <c r="DJ58" s="153">
        <v>2</v>
      </c>
      <c r="DK58" s="154">
        <v>1</v>
      </c>
      <c r="DL58" s="154"/>
      <c r="DM58" s="279"/>
      <c r="DN58" s="279">
        <v>2</v>
      </c>
      <c r="DO58" s="155"/>
      <c r="DP58" s="152">
        <v>20</v>
      </c>
      <c r="DQ58" s="153">
        <v>16</v>
      </c>
      <c r="DR58" s="153">
        <v>27</v>
      </c>
      <c r="DS58" s="153">
        <v>38</v>
      </c>
      <c r="DT58" s="154">
        <v>6</v>
      </c>
      <c r="DU58" s="154">
        <v>14</v>
      </c>
      <c r="DV58" s="279">
        <v>7</v>
      </c>
      <c r="DW58" s="279">
        <v>6</v>
      </c>
      <c r="DX58" s="155"/>
      <c r="DY58" s="152">
        <v>136</v>
      </c>
      <c r="DZ58" s="153">
        <v>115</v>
      </c>
      <c r="EA58" s="153">
        <v>155</v>
      </c>
      <c r="EB58" s="153">
        <v>126</v>
      </c>
      <c r="EC58" s="154">
        <v>145</v>
      </c>
      <c r="ED58" s="154">
        <v>113</v>
      </c>
      <c r="EE58" s="279">
        <v>89</v>
      </c>
      <c r="EF58" s="279">
        <v>80</v>
      </c>
      <c r="EG58" s="155"/>
      <c r="EH58" s="152">
        <v>24</v>
      </c>
      <c r="EI58" s="153">
        <v>16</v>
      </c>
      <c r="EJ58" s="153">
        <v>28</v>
      </c>
      <c r="EK58" s="153">
        <v>23</v>
      </c>
      <c r="EL58" s="154">
        <v>23</v>
      </c>
      <c r="EM58" s="154">
        <v>12</v>
      </c>
      <c r="EN58" s="279">
        <v>9</v>
      </c>
      <c r="EO58" s="279">
        <v>5</v>
      </c>
      <c r="EP58" s="155"/>
      <c r="EQ58" s="152">
        <v>1</v>
      </c>
      <c r="ER58" s="153">
        <v>6</v>
      </c>
      <c r="ES58" s="153">
        <v>9</v>
      </c>
      <c r="ET58" s="153">
        <v>12</v>
      </c>
      <c r="EU58" s="154">
        <v>1</v>
      </c>
      <c r="EV58" s="154">
        <v>3</v>
      </c>
      <c r="EW58" s="279">
        <v>12</v>
      </c>
      <c r="EX58" s="279">
        <v>6</v>
      </c>
      <c r="EY58" s="155"/>
      <c r="EZ58" s="152">
        <v>9</v>
      </c>
      <c r="FA58" s="153">
        <v>8</v>
      </c>
      <c r="FB58" s="153">
        <v>12</v>
      </c>
      <c r="FC58" s="153">
        <v>4</v>
      </c>
      <c r="FD58" s="154">
        <v>3</v>
      </c>
      <c r="FE58" s="154">
        <v>5</v>
      </c>
      <c r="FF58" s="279">
        <v>1</v>
      </c>
      <c r="FG58" s="279"/>
      <c r="FH58" s="155"/>
      <c r="FI58" s="152">
        <v>57</v>
      </c>
      <c r="FJ58" s="153">
        <v>62</v>
      </c>
      <c r="FK58" s="153">
        <v>61</v>
      </c>
      <c r="FL58" s="153">
        <v>41</v>
      </c>
      <c r="FM58" s="154">
        <v>50</v>
      </c>
      <c r="FN58" s="154">
        <v>52</v>
      </c>
      <c r="FO58" s="279">
        <v>35</v>
      </c>
      <c r="FP58" s="279">
        <v>46</v>
      </c>
      <c r="FQ58" s="155"/>
      <c r="FR58" s="152">
        <v>5</v>
      </c>
      <c r="FS58" s="153">
        <v>10</v>
      </c>
      <c r="FT58" s="153">
        <v>6</v>
      </c>
      <c r="FU58" s="153">
        <v>8</v>
      </c>
      <c r="FV58" s="154">
        <v>5</v>
      </c>
      <c r="FW58" s="154">
        <v>2</v>
      </c>
      <c r="FX58" s="279">
        <v>2</v>
      </c>
      <c r="FY58" s="279">
        <v>2</v>
      </c>
      <c r="FZ58" s="155"/>
      <c r="GA58" s="152">
        <v>8</v>
      </c>
      <c r="GB58" s="153">
        <v>6</v>
      </c>
      <c r="GC58" s="153">
        <v>5</v>
      </c>
      <c r="GD58" s="153">
        <v>5</v>
      </c>
      <c r="GE58" s="154">
        <v>4</v>
      </c>
      <c r="GF58" s="154">
        <v>4</v>
      </c>
      <c r="GG58" s="279">
        <v>14</v>
      </c>
      <c r="GH58" s="279">
        <v>8</v>
      </c>
      <c r="GI58" s="155"/>
      <c r="GJ58" s="152">
        <v>1396</v>
      </c>
      <c r="GK58" s="153">
        <v>1570</v>
      </c>
      <c r="GL58" s="153">
        <v>1542</v>
      </c>
      <c r="GM58" s="153">
        <v>1505</v>
      </c>
      <c r="GN58" s="154">
        <v>1247</v>
      </c>
      <c r="GO58" s="154">
        <v>867</v>
      </c>
      <c r="GP58" s="279">
        <v>806</v>
      </c>
      <c r="GQ58" s="279">
        <v>698</v>
      </c>
      <c r="GR58" s="155"/>
      <c r="GS58" s="152">
        <v>430</v>
      </c>
      <c r="GT58" s="153">
        <v>734</v>
      </c>
      <c r="GU58" s="153">
        <v>480</v>
      </c>
      <c r="GV58" s="153">
        <v>377</v>
      </c>
      <c r="GW58" s="154">
        <v>265</v>
      </c>
      <c r="GX58" s="154">
        <v>220</v>
      </c>
      <c r="GY58" s="279">
        <v>189</v>
      </c>
      <c r="GZ58" s="279">
        <v>165</v>
      </c>
      <c r="HA58" s="155"/>
      <c r="HB58" s="152">
        <v>7</v>
      </c>
      <c r="HC58" s="153">
        <v>8</v>
      </c>
      <c r="HD58" s="153">
        <v>4</v>
      </c>
      <c r="HE58" s="153">
        <v>5</v>
      </c>
      <c r="HF58" s="154">
        <v>3</v>
      </c>
      <c r="HG58" s="154">
        <v>4</v>
      </c>
      <c r="HH58" s="279">
        <v>2</v>
      </c>
      <c r="HI58" s="279">
        <v>2</v>
      </c>
      <c r="HJ58" s="155"/>
      <c r="HK58" s="152">
        <v>1</v>
      </c>
      <c r="HL58" s="153"/>
      <c r="HM58" s="153">
        <v>2</v>
      </c>
      <c r="HN58" s="153"/>
      <c r="HO58" s="154">
        <v>1</v>
      </c>
      <c r="HP58" s="154"/>
      <c r="HQ58" s="279"/>
      <c r="HR58" s="279">
        <v>2</v>
      </c>
      <c r="HS58" s="155"/>
      <c r="HT58" s="152">
        <v>539</v>
      </c>
      <c r="HU58" s="153">
        <v>827</v>
      </c>
      <c r="HV58" s="153">
        <v>584</v>
      </c>
      <c r="HW58" s="153">
        <v>496</v>
      </c>
      <c r="HX58" s="154">
        <v>387</v>
      </c>
      <c r="HY58" s="154">
        <v>411</v>
      </c>
      <c r="HZ58" s="279">
        <v>364</v>
      </c>
      <c r="IA58" s="279">
        <v>316</v>
      </c>
      <c r="IB58" s="155"/>
      <c r="IC58" s="152">
        <v>2072</v>
      </c>
      <c r="ID58" s="153">
        <v>2346</v>
      </c>
      <c r="IE58" s="153">
        <v>2267</v>
      </c>
      <c r="IF58" s="153">
        <v>2037</v>
      </c>
      <c r="IG58" s="154">
        <v>1669</v>
      </c>
      <c r="IH58" s="154">
        <v>1433</v>
      </c>
      <c r="II58" s="279">
        <v>1222</v>
      </c>
      <c r="IJ58" s="279">
        <v>1090</v>
      </c>
      <c r="IK58" s="155"/>
    </row>
    <row r="59" spans="1:245" x14ac:dyDescent="0.2">
      <c r="A59" s="961"/>
      <c r="B59" s="151" t="s">
        <v>672</v>
      </c>
      <c r="C59" s="152"/>
      <c r="D59" s="153"/>
      <c r="E59" s="153"/>
      <c r="F59" s="153"/>
      <c r="G59" s="154"/>
      <c r="H59" s="154"/>
      <c r="I59" s="279"/>
      <c r="J59" s="279"/>
      <c r="K59" s="155"/>
      <c r="L59" s="152"/>
      <c r="M59" s="153"/>
      <c r="N59" s="153"/>
      <c r="O59" s="153"/>
      <c r="P59" s="154"/>
      <c r="Q59" s="154"/>
      <c r="R59" s="279"/>
      <c r="S59" s="279"/>
      <c r="T59" s="155"/>
      <c r="U59" s="152"/>
      <c r="V59" s="153"/>
      <c r="W59" s="153"/>
      <c r="X59" s="153"/>
      <c r="Y59" s="154"/>
      <c r="Z59" s="154"/>
      <c r="AA59" s="279"/>
      <c r="AB59" s="279"/>
      <c r="AC59" s="155"/>
      <c r="AD59" s="152">
        <v>54</v>
      </c>
      <c r="AE59" s="153">
        <v>37</v>
      </c>
      <c r="AF59" s="153">
        <v>46</v>
      </c>
      <c r="AG59" s="153">
        <v>44</v>
      </c>
      <c r="AH59" s="154">
        <v>53</v>
      </c>
      <c r="AI59" s="154">
        <v>50</v>
      </c>
      <c r="AJ59" s="279">
        <v>51</v>
      </c>
      <c r="AK59" s="279">
        <v>47</v>
      </c>
      <c r="AL59" s="155"/>
      <c r="AM59" s="152">
        <v>31</v>
      </c>
      <c r="AN59" s="153">
        <v>16</v>
      </c>
      <c r="AO59" s="153">
        <v>16</v>
      </c>
      <c r="AP59" s="153">
        <v>19</v>
      </c>
      <c r="AQ59" s="154">
        <v>28</v>
      </c>
      <c r="AR59" s="154">
        <v>16</v>
      </c>
      <c r="AS59" s="279">
        <v>20</v>
      </c>
      <c r="AT59" s="279">
        <v>17</v>
      </c>
      <c r="AU59" s="155"/>
      <c r="AV59" s="152"/>
      <c r="AW59" s="153"/>
      <c r="AX59" s="153"/>
      <c r="AY59" s="153"/>
      <c r="AZ59" s="154"/>
      <c r="BA59" s="154"/>
      <c r="BB59" s="279"/>
      <c r="BC59" s="279"/>
      <c r="BD59" s="155"/>
      <c r="BE59" s="152">
        <v>14</v>
      </c>
      <c r="BF59" s="153">
        <v>15</v>
      </c>
      <c r="BG59" s="153">
        <v>16</v>
      </c>
      <c r="BH59" s="153">
        <v>13</v>
      </c>
      <c r="BI59" s="154">
        <v>17</v>
      </c>
      <c r="BJ59" s="154">
        <v>7</v>
      </c>
      <c r="BK59" s="279">
        <v>23</v>
      </c>
      <c r="BL59" s="279">
        <v>12</v>
      </c>
      <c r="BM59" s="155"/>
      <c r="BN59" s="152"/>
      <c r="BO59" s="153"/>
      <c r="BP59" s="153"/>
      <c r="BQ59" s="153"/>
      <c r="BR59" s="154"/>
      <c r="BS59" s="154"/>
      <c r="BT59" s="279"/>
      <c r="BU59" s="279"/>
      <c r="BV59" s="155"/>
      <c r="BW59" s="152">
        <v>58</v>
      </c>
      <c r="BX59" s="153">
        <v>66</v>
      </c>
      <c r="BY59" s="153">
        <v>92</v>
      </c>
      <c r="BZ59" s="153">
        <v>138</v>
      </c>
      <c r="CA59" s="154">
        <v>150</v>
      </c>
      <c r="CB59" s="154">
        <v>159</v>
      </c>
      <c r="CC59" s="279">
        <v>140</v>
      </c>
      <c r="CD59" s="279">
        <v>130</v>
      </c>
      <c r="CE59" s="155"/>
      <c r="CF59" s="152"/>
      <c r="CG59" s="153">
        <v>4</v>
      </c>
      <c r="CH59" s="153">
        <v>4</v>
      </c>
      <c r="CI59" s="153">
        <v>2</v>
      </c>
      <c r="CJ59" s="154">
        <v>4</v>
      </c>
      <c r="CK59" s="154">
        <v>10</v>
      </c>
      <c r="CL59" s="279">
        <v>7</v>
      </c>
      <c r="CM59" s="279">
        <v>5</v>
      </c>
      <c r="CN59" s="155"/>
      <c r="CO59" s="152">
        <v>8</v>
      </c>
      <c r="CP59" s="153">
        <v>2</v>
      </c>
      <c r="CQ59" s="153"/>
      <c r="CR59" s="153">
        <v>3</v>
      </c>
      <c r="CS59" s="154"/>
      <c r="CT59" s="154"/>
      <c r="CU59" s="279">
        <v>3</v>
      </c>
      <c r="CV59" s="279">
        <v>3</v>
      </c>
      <c r="CW59" s="155"/>
      <c r="CX59" s="152">
        <v>506</v>
      </c>
      <c r="CY59" s="153">
        <v>486</v>
      </c>
      <c r="CZ59" s="153">
        <v>612</v>
      </c>
      <c r="DA59" s="153">
        <v>715</v>
      </c>
      <c r="DB59" s="154">
        <v>599</v>
      </c>
      <c r="DC59" s="154">
        <v>408</v>
      </c>
      <c r="DD59" s="279">
        <v>373</v>
      </c>
      <c r="DE59" s="279">
        <v>417</v>
      </c>
      <c r="DF59" s="155"/>
      <c r="DG59" s="152"/>
      <c r="DH59" s="153">
        <v>2</v>
      </c>
      <c r="DI59" s="153">
        <v>1</v>
      </c>
      <c r="DJ59" s="153">
        <v>2</v>
      </c>
      <c r="DK59" s="154">
        <v>3</v>
      </c>
      <c r="DL59" s="154"/>
      <c r="DM59" s="279"/>
      <c r="DN59" s="279"/>
      <c r="DO59" s="155"/>
      <c r="DP59" s="152">
        <v>14</v>
      </c>
      <c r="DQ59" s="153">
        <v>5</v>
      </c>
      <c r="DR59" s="153">
        <v>7</v>
      </c>
      <c r="DS59" s="153">
        <v>7</v>
      </c>
      <c r="DT59" s="154">
        <v>3</v>
      </c>
      <c r="DU59" s="154">
        <v>9</v>
      </c>
      <c r="DV59" s="279">
        <v>4</v>
      </c>
      <c r="DW59" s="279">
        <v>5</v>
      </c>
      <c r="DX59" s="155"/>
      <c r="DY59" s="152">
        <v>63</v>
      </c>
      <c r="DZ59" s="153">
        <v>54</v>
      </c>
      <c r="EA59" s="153">
        <v>68</v>
      </c>
      <c r="EB59" s="153">
        <v>78</v>
      </c>
      <c r="EC59" s="154">
        <v>151</v>
      </c>
      <c r="ED59" s="154">
        <v>99</v>
      </c>
      <c r="EE59" s="279">
        <v>100</v>
      </c>
      <c r="EF59" s="279">
        <v>56</v>
      </c>
      <c r="EG59" s="155"/>
      <c r="EH59" s="152">
        <v>4</v>
      </c>
      <c r="EI59" s="153">
        <v>6</v>
      </c>
      <c r="EJ59" s="153">
        <v>9</v>
      </c>
      <c r="EK59" s="153">
        <v>2</v>
      </c>
      <c r="EL59" s="154">
        <v>7</v>
      </c>
      <c r="EM59" s="154">
        <v>3</v>
      </c>
      <c r="EN59" s="279">
        <v>6</v>
      </c>
      <c r="EO59" s="279">
        <v>5</v>
      </c>
      <c r="EP59" s="155"/>
      <c r="EQ59" s="152">
        <v>3</v>
      </c>
      <c r="ER59" s="153">
        <v>2</v>
      </c>
      <c r="ES59" s="153">
        <v>6</v>
      </c>
      <c r="ET59" s="153">
        <v>1</v>
      </c>
      <c r="EU59" s="154">
        <v>5</v>
      </c>
      <c r="EV59" s="154">
        <v>3</v>
      </c>
      <c r="EW59" s="279">
        <v>3</v>
      </c>
      <c r="EX59" s="279">
        <v>3</v>
      </c>
      <c r="EY59" s="155"/>
      <c r="EZ59" s="152">
        <v>1</v>
      </c>
      <c r="FA59" s="153">
        <v>2</v>
      </c>
      <c r="FB59" s="153">
        <v>1</v>
      </c>
      <c r="FC59" s="153">
        <v>1</v>
      </c>
      <c r="FD59" s="154">
        <v>1</v>
      </c>
      <c r="FE59" s="154">
        <v>2</v>
      </c>
      <c r="FF59" s="279">
        <v>1</v>
      </c>
      <c r="FG59" s="279">
        <v>1</v>
      </c>
      <c r="FH59" s="155"/>
      <c r="FI59" s="152">
        <v>25</v>
      </c>
      <c r="FJ59" s="153">
        <v>24</v>
      </c>
      <c r="FK59" s="153">
        <v>33</v>
      </c>
      <c r="FL59" s="153">
        <v>24</v>
      </c>
      <c r="FM59" s="154">
        <v>24</v>
      </c>
      <c r="FN59" s="154">
        <v>24</v>
      </c>
      <c r="FO59" s="279">
        <v>13</v>
      </c>
      <c r="FP59" s="279">
        <v>23</v>
      </c>
      <c r="FQ59" s="155"/>
      <c r="FR59" s="152">
        <v>5</v>
      </c>
      <c r="FS59" s="153">
        <v>4</v>
      </c>
      <c r="FT59" s="153">
        <v>7</v>
      </c>
      <c r="FU59" s="153">
        <v>8</v>
      </c>
      <c r="FV59" s="154">
        <v>2</v>
      </c>
      <c r="FW59" s="154">
        <v>1</v>
      </c>
      <c r="FX59" s="279">
        <v>2</v>
      </c>
      <c r="FY59" s="279"/>
      <c r="FZ59" s="155"/>
      <c r="GA59" s="152">
        <v>5</v>
      </c>
      <c r="GB59" s="153">
        <v>6</v>
      </c>
      <c r="GC59" s="153">
        <v>5</v>
      </c>
      <c r="GD59" s="153">
        <v>5</v>
      </c>
      <c r="GE59" s="154">
        <v>5</v>
      </c>
      <c r="GF59" s="154">
        <v>9</v>
      </c>
      <c r="GG59" s="279">
        <v>5</v>
      </c>
      <c r="GH59" s="279">
        <v>10</v>
      </c>
      <c r="GI59" s="155"/>
      <c r="GJ59" s="152">
        <v>683</v>
      </c>
      <c r="GK59" s="153">
        <v>654</v>
      </c>
      <c r="GL59" s="153">
        <v>831</v>
      </c>
      <c r="GM59" s="153">
        <v>956</v>
      </c>
      <c r="GN59" s="154">
        <v>867</v>
      </c>
      <c r="GO59" s="154">
        <v>676</v>
      </c>
      <c r="GP59" s="279">
        <v>627</v>
      </c>
      <c r="GQ59" s="279">
        <v>656</v>
      </c>
      <c r="GR59" s="155"/>
      <c r="GS59" s="152">
        <v>171</v>
      </c>
      <c r="GT59" s="153">
        <v>147</v>
      </c>
      <c r="GU59" s="153">
        <v>214</v>
      </c>
      <c r="GV59" s="153">
        <v>206</v>
      </c>
      <c r="GW59" s="154">
        <v>201</v>
      </c>
      <c r="GX59" s="154">
        <v>217</v>
      </c>
      <c r="GY59" s="279">
        <v>161</v>
      </c>
      <c r="GZ59" s="279">
        <v>165</v>
      </c>
      <c r="HA59" s="155"/>
      <c r="HB59" s="152">
        <v>1</v>
      </c>
      <c r="HC59" s="153">
        <v>1</v>
      </c>
      <c r="HD59" s="153">
        <v>4</v>
      </c>
      <c r="HE59" s="153">
        <v>1</v>
      </c>
      <c r="HF59" s="154"/>
      <c r="HG59" s="154"/>
      <c r="HH59" s="279">
        <v>1</v>
      </c>
      <c r="HI59" s="279">
        <v>3</v>
      </c>
      <c r="HJ59" s="155"/>
      <c r="HK59" s="152"/>
      <c r="HL59" s="153"/>
      <c r="HM59" s="153"/>
      <c r="HN59" s="153"/>
      <c r="HO59" s="154"/>
      <c r="HP59" s="154"/>
      <c r="HQ59" s="279">
        <v>1</v>
      </c>
      <c r="HR59" s="279">
        <v>1</v>
      </c>
      <c r="HS59" s="155"/>
      <c r="HT59" s="152">
        <v>262</v>
      </c>
      <c r="HU59" s="153">
        <v>238</v>
      </c>
      <c r="HV59" s="153">
        <v>263</v>
      </c>
      <c r="HW59" s="153">
        <v>290</v>
      </c>
      <c r="HX59" s="154">
        <v>275</v>
      </c>
      <c r="HY59" s="154">
        <v>347</v>
      </c>
      <c r="HZ59" s="279">
        <v>278</v>
      </c>
      <c r="IA59" s="279">
        <v>292</v>
      </c>
      <c r="IB59" s="155"/>
      <c r="IC59" s="152">
        <v>1269</v>
      </c>
      <c r="ID59" s="153">
        <v>1047</v>
      </c>
      <c r="IE59" s="153">
        <v>1226</v>
      </c>
      <c r="IF59" s="153">
        <v>1387</v>
      </c>
      <c r="IG59" s="154">
        <v>1176</v>
      </c>
      <c r="IH59" s="154">
        <v>1148</v>
      </c>
      <c r="II59" s="279">
        <v>955</v>
      </c>
      <c r="IJ59" s="279">
        <v>1090</v>
      </c>
      <c r="IK59" s="155"/>
    </row>
    <row r="60" spans="1:245" x14ac:dyDescent="0.2">
      <c r="A60" s="961"/>
      <c r="B60" s="151" t="s">
        <v>673</v>
      </c>
      <c r="C60" s="152"/>
      <c r="D60" s="153"/>
      <c r="E60" s="153"/>
      <c r="F60" s="153"/>
      <c r="G60" s="154"/>
      <c r="H60" s="154"/>
      <c r="I60" s="279"/>
      <c r="J60" s="279"/>
      <c r="K60" s="155"/>
      <c r="L60" s="152"/>
      <c r="M60" s="153"/>
      <c r="N60" s="153"/>
      <c r="O60" s="153"/>
      <c r="P60" s="154"/>
      <c r="Q60" s="154"/>
      <c r="R60" s="279"/>
      <c r="S60" s="279"/>
      <c r="T60" s="155"/>
      <c r="U60" s="152"/>
      <c r="V60" s="153"/>
      <c r="W60" s="153"/>
      <c r="X60" s="153"/>
      <c r="Y60" s="154"/>
      <c r="Z60" s="154"/>
      <c r="AA60" s="279"/>
      <c r="AB60" s="279"/>
      <c r="AC60" s="155"/>
      <c r="AD60" s="152">
        <v>81</v>
      </c>
      <c r="AE60" s="153">
        <v>82</v>
      </c>
      <c r="AF60" s="153">
        <v>58</v>
      </c>
      <c r="AG60" s="153">
        <v>74</v>
      </c>
      <c r="AH60" s="154">
        <v>62</v>
      </c>
      <c r="AI60" s="154">
        <v>62</v>
      </c>
      <c r="AJ60" s="279">
        <v>74</v>
      </c>
      <c r="AK60" s="279">
        <v>40</v>
      </c>
      <c r="AL60" s="155"/>
      <c r="AM60" s="152">
        <v>31</v>
      </c>
      <c r="AN60" s="153">
        <v>27</v>
      </c>
      <c r="AO60" s="153">
        <v>28</v>
      </c>
      <c r="AP60" s="153">
        <v>34</v>
      </c>
      <c r="AQ60" s="154">
        <v>25</v>
      </c>
      <c r="AR60" s="154">
        <v>22</v>
      </c>
      <c r="AS60" s="279">
        <v>28</v>
      </c>
      <c r="AT60" s="279">
        <v>18</v>
      </c>
      <c r="AU60" s="155"/>
      <c r="AV60" s="152"/>
      <c r="AW60" s="153"/>
      <c r="AX60" s="153"/>
      <c r="AY60" s="153"/>
      <c r="AZ60" s="154"/>
      <c r="BA60" s="154"/>
      <c r="BB60" s="279"/>
      <c r="BC60" s="279"/>
      <c r="BD60" s="155"/>
      <c r="BE60" s="152">
        <v>10</v>
      </c>
      <c r="BF60" s="153">
        <v>7</v>
      </c>
      <c r="BG60" s="153">
        <v>12</v>
      </c>
      <c r="BH60" s="153">
        <v>21</v>
      </c>
      <c r="BI60" s="154">
        <v>19</v>
      </c>
      <c r="BJ60" s="154">
        <v>10</v>
      </c>
      <c r="BK60" s="279">
        <v>3</v>
      </c>
      <c r="BL60" s="279">
        <v>8</v>
      </c>
      <c r="BM60" s="155"/>
      <c r="BN60" s="152"/>
      <c r="BO60" s="153"/>
      <c r="BP60" s="153"/>
      <c r="BQ60" s="153"/>
      <c r="BR60" s="154"/>
      <c r="BS60" s="154"/>
      <c r="BT60" s="279"/>
      <c r="BU60" s="279"/>
      <c r="BV60" s="155"/>
      <c r="BW60" s="152">
        <v>71</v>
      </c>
      <c r="BX60" s="153">
        <v>97</v>
      </c>
      <c r="BY60" s="153">
        <v>89</v>
      </c>
      <c r="BZ60" s="153">
        <v>73</v>
      </c>
      <c r="CA60" s="154">
        <v>76</v>
      </c>
      <c r="CB60" s="154">
        <v>104</v>
      </c>
      <c r="CC60" s="279">
        <v>75</v>
      </c>
      <c r="CD60" s="279">
        <v>46</v>
      </c>
      <c r="CE60" s="155"/>
      <c r="CF60" s="152">
        <v>8</v>
      </c>
      <c r="CG60" s="153">
        <v>3</v>
      </c>
      <c r="CH60" s="153">
        <v>8</v>
      </c>
      <c r="CI60" s="153">
        <v>2</v>
      </c>
      <c r="CJ60" s="154">
        <v>2</v>
      </c>
      <c r="CK60" s="154">
        <v>3</v>
      </c>
      <c r="CL60" s="279">
        <v>2</v>
      </c>
      <c r="CM60" s="279">
        <v>1</v>
      </c>
      <c r="CN60" s="155"/>
      <c r="CO60" s="152">
        <v>3</v>
      </c>
      <c r="CP60" s="153">
        <v>2</v>
      </c>
      <c r="CQ60" s="153">
        <v>5</v>
      </c>
      <c r="CR60" s="153"/>
      <c r="CS60" s="154"/>
      <c r="CT60" s="154">
        <v>1</v>
      </c>
      <c r="CU60" s="279">
        <v>2</v>
      </c>
      <c r="CV60" s="279"/>
      <c r="CW60" s="155"/>
      <c r="CX60" s="152">
        <v>791</v>
      </c>
      <c r="CY60" s="153">
        <v>633</v>
      </c>
      <c r="CZ60" s="153">
        <v>729</v>
      </c>
      <c r="DA60" s="153">
        <v>674</v>
      </c>
      <c r="DB60" s="154">
        <v>469</v>
      </c>
      <c r="DC60" s="154">
        <v>361</v>
      </c>
      <c r="DD60" s="279">
        <v>332</v>
      </c>
      <c r="DE60" s="279">
        <v>359</v>
      </c>
      <c r="DF60" s="155"/>
      <c r="DG60" s="152">
        <v>2</v>
      </c>
      <c r="DH60" s="153">
        <v>3</v>
      </c>
      <c r="DI60" s="153">
        <v>1</v>
      </c>
      <c r="DJ60" s="153">
        <v>4</v>
      </c>
      <c r="DK60" s="154">
        <v>2</v>
      </c>
      <c r="DL60" s="154"/>
      <c r="DM60" s="279"/>
      <c r="DN60" s="279"/>
      <c r="DO60" s="155"/>
      <c r="DP60" s="152">
        <v>21</v>
      </c>
      <c r="DQ60" s="153">
        <v>5</v>
      </c>
      <c r="DR60" s="153">
        <v>12</v>
      </c>
      <c r="DS60" s="153">
        <v>15</v>
      </c>
      <c r="DT60" s="154">
        <v>4</v>
      </c>
      <c r="DU60" s="154">
        <v>8</v>
      </c>
      <c r="DV60" s="279">
        <v>4</v>
      </c>
      <c r="DW60" s="279">
        <v>5</v>
      </c>
      <c r="DX60" s="155"/>
      <c r="DY60" s="152">
        <v>178</v>
      </c>
      <c r="DZ60" s="153">
        <v>94</v>
      </c>
      <c r="EA60" s="153">
        <v>130</v>
      </c>
      <c r="EB60" s="153">
        <v>117</v>
      </c>
      <c r="EC60" s="154">
        <v>99</v>
      </c>
      <c r="ED60" s="154">
        <v>100</v>
      </c>
      <c r="EE60" s="279">
        <v>94</v>
      </c>
      <c r="EF60" s="279">
        <v>67</v>
      </c>
      <c r="EG60" s="155"/>
      <c r="EH60" s="152">
        <v>11</v>
      </c>
      <c r="EI60" s="153">
        <v>4</v>
      </c>
      <c r="EJ60" s="153">
        <v>11</v>
      </c>
      <c r="EK60" s="153">
        <v>11</v>
      </c>
      <c r="EL60" s="154">
        <v>2</v>
      </c>
      <c r="EM60" s="154">
        <v>6</v>
      </c>
      <c r="EN60" s="279">
        <v>3</v>
      </c>
      <c r="EO60" s="279">
        <v>2</v>
      </c>
      <c r="EP60" s="155"/>
      <c r="EQ60" s="152">
        <v>3</v>
      </c>
      <c r="ER60" s="153">
        <v>2</v>
      </c>
      <c r="ES60" s="153">
        <v>4</v>
      </c>
      <c r="ET60" s="153">
        <v>2</v>
      </c>
      <c r="EU60" s="154">
        <v>1</v>
      </c>
      <c r="EV60" s="154">
        <v>3</v>
      </c>
      <c r="EW60" s="279">
        <v>3</v>
      </c>
      <c r="EX60" s="279">
        <v>3</v>
      </c>
      <c r="EY60" s="155"/>
      <c r="EZ60" s="152">
        <v>7</v>
      </c>
      <c r="FA60" s="153">
        <v>2</v>
      </c>
      <c r="FB60" s="153">
        <v>4</v>
      </c>
      <c r="FC60" s="153">
        <v>2</v>
      </c>
      <c r="FD60" s="154">
        <v>3</v>
      </c>
      <c r="FE60" s="154">
        <v>1</v>
      </c>
      <c r="FF60" s="279">
        <v>3</v>
      </c>
      <c r="FG60" s="279">
        <v>1</v>
      </c>
      <c r="FH60" s="155"/>
      <c r="FI60" s="152">
        <v>47</v>
      </c>
      <c r="FJ60" s="153">
        <v>42</v>
      </c>
      <c r="FK60" s="153">
        <v>28</v>
      </c>
      <c r="FL60" s="153">
        <v>15</v>
      </c>
      <c r="FM60" s="154">
        <v>23</v>
      </c>
      <c r="FN60" s="154">
        <v>7</v>
      </c>
      <c r="FO60" s="279">
        <v>11</v>
      </c>
      <c r="FP60" s="279">
        <v>13</v>
      </c>
      <c r="FQ60" s="155"/>
      <c r="FR60" s="152">
        <v>1</v>
      </c>
      <c r="FS60" s="153">
        <v>3</v>
      </c>
      <c r="FT60" s="153">
        <v>7</v>
      </c>
      <c r="FU60" s="153">
        <v>1</v>
      </c>
      <c r="FV60" s="154">
        <v>2</v>
      </c>
      <c r="FW60" s="154"/>
      <c r="FX60" s="279">
        <v>1</v>
      </c>
      <c r="FY60" s="279">
        <v>2</v>
      </c>
      <c r="FZ60" s="155"/>
      <c r="GA60" s="152">
        <v>4</v>
      </c>
      <c r="GB60" s="153">
        <v>2</v>
      </c>
      <c r="GC60" s="153">
        <v>3</v>
      </c>
      <c r="GD60" s="153">
        <v>5</v>
      </c>
      <c r="GE60" s="154">
        <v>2</v>
      </c>
      <c r="GF60" s="154">
        <v>1</v>
      </c>
      <c r="GG60" s="279">
        <v>6</v>
      </c>
      <c r="GH60" s="279">
        <v>1</v>
      </c>
      <c r="GI60" s="155"/>
      <c r="GJ60" s="152">
        <v>1037</v>
      </c>
      <c r="GK60" s="153">
        <v>879</v>
      </c>
      <c r="GL60" s="153">
        <v>958</v>
      </c>
      <c r="GM60" s="153">
        <v>880</v>
      </c>
      <c r="GN60" s="154">
        <v>661</v>
      </c>
      <c r="GO60" s="154">
        <v>559</v>
      </c>
      <c r="GP60" s="279">
        <v>515</v>
      </c>
      <c r="GQ60" s="279">
        <v>476</v>
      </c>
      <c r="GR60" s="155"/>
      <c r="GS60" s="152">
        <v>277</v>
      </c>
      <c r="GT60" s="153">
        <v>270</v>
      </c>
      <c r="GU60" s="153">
        <v>237</v>
      </c>
      <c r="GV60" s="153">
        <v>251</v>
      </c>
      <c r="GW60" s="154">
        <v>93</v>
      </c>
      <c r="GX60" s="154">
        <v>134</v>
      </c>
      <c r="GY60" s="279">
        <v>119</v>
      </c>
      <c r="GZ60" s="279">
        <v>81</v>
      </c>
      <c r="HA60" s="155"/>
      <c r="HB60" s="152"/>
      <c r="HC60" s="153">
        <v>2</v>
      </c>
      <c r="HD60" s="153"/>
      <c r="HE60" s="153"/>
      <c r="HF60" s="154">
        <v>4</v>
      </c>
      <c r="HG60" s="154">
        <v>2</v>
      </c>
      <c r="HH60" s="279">
        <v>1</v>
      </c>
      <c r="HI60" s="279"/>
      <c r="HJ60" s="155"/>
      <c r="HK60" s="152">
        <v>3</v>
      </c>
      <c r="HL60" s="153">
        <v>4</v>
      </c>
      <c r="HM60" s="153"/>
      <c r="HN60" s="153"/>
      <c r="HO60" s="154">
        <v>1</v>
      </c>
      <c r="HP60" s="154">
        <v>1</v>
      </c>
      <c r="HQ60" s="279"/>
      <c r="HR60" s="279">
        <v>1</v>
      </c>
      <c r="HS60" s="155"/>
      <c r="HT60" s="152">
        <v>345</v>
      </c>
      <c r="HU60" s="153">
        <v>334</v>
      </c>
      <c r="HV60" s="153">
        <v>301</v>
      </c>
      <c r="HW60" s="153">
        <v>325</v>
      </c>
      <c r="HX60" s="154">
        <v>209</v>
      </c>
      <c r="HY60" s="154">
        <v>243</v>
      </c>
      <c r="HZ60" s="279">
        <v>230</v>
      </c>
      <c r="IA60" s="279">
        <v>189</v>
      </c>
      <c r="IB60" s="155"/>
      <c r="IC60" s="152">
        <v>2014</v>
      </c>
      <c r="ID60" s="153">
        <v>1453</v>
      </c>
      <c r="IE60" s="153">
        <v>3220</v>
      </c>
      <c r="IF60" s="153">
        <v>1212</v>
      </c>
      <c r="IG60" s="154">
        <v>1011</v>
      </c>
      <c r="IH60" s="154">
        <v>909</v>
      </c>
      <c r="II60" s="279">
        <v>920</v>
      </c>
      <c r="IJ60" s="279">
        <v>728</v>
      </c>
      <c r="IK60" s="155"/>
    </row>
    <row r="61" spans="1:245" x14ac:dyDescent="0.2">
      <c r="A61" s="961"/>
      <c r="B61" s="151" t="s">
        <v>674</v>
      </c>
      <c r="C61" s="152"/>
      <c r="D61" s="153"/>
      <c r="E61" s="153"/>
      <c r="F61" s="153"/>
      <c r="G61" s="154"/>
      <c r="H61" s="154"/>
      <c r="I61" s="279"/>
      <c r="J61" s="279"/>
      <c r="K61" s="155"/>
      <c r="L61" s="152"/>
      <c r="M61" s="153"/>
      <c r="N61" s="153"/>
      <c r="O61" s="153"/>
      <c r="P61" s="154"/>
      <c r="Q61" s="154"/>
      <c r="R61" s="279"/>
      <c r="S61" s="279"/>
      <c r="T61" s="155"/>
      <c r="U61" s="152"/>
      <c r="V61" s="153"/>
      <c r="W61" s="153"/>
      <c r="X61" s="153"/>
      <c r="Y61" s="154"/>
      <c r="Z61" s="154"/>
      <c r="AA61" s="279"/>
      <c r="AB61" s="279"/>
      <c r="AC61" s="155"/>
      <c r="AD61" s="152">
        <v>135</v>
      </c>
      <c r="AE61" s="153">
        <v>126</v>
      </c>
      <c r="AF61" s="153">
        <v>113</v>
      </c>
      <c r="AG61" s="153">
        <v>124</v>
      </c>
      <c r="AH61" s="154">
        <v>137</v>
      </c>
      <c r="AI61" s="154">
        <v>103</v>
      </c>
      <c r="AJ61" s="279">
        <v>113</v>
      </c>
      <c r="AK61" s="279">
        <v>101</v>
      </c>
      <c r="AL61" s="155"/>
      <c r="AM61" s="152">
        <v>43</v>
      </c>
      <c r="AN61" s="153">
        <v>40</v>
      </c>
      <c r="AO61" s="153">
        <v>33</v>
      </c>
      <c r="AP61" s="153">
        <v>39</v>
      </c>
      <c r="AQ61" s="154">
        <v>38</v>
      </c>
      <c r="AR61" s="154">
        <v>25</v>
      </c>
      <c r="AS61" s="279">
        <v>38</v>
      </c>
      <c r="AT61" s="279">
        <v>44</v>
      </c>
      <c r="AU61" s="155"/>
      <c r="AV61" s="152"/>
      <c r="AW61" s="153"/>
      <c r="AX61" s="153"/>
      <c r="AY61" s="153"/>
      <c r="AZ61" s="154"/>
      <c r="BA61" s="154"/>
      <c r="BB61" s="279"/>
      <c r="BC61" s="279"/>
      <c r="BD61" s="155"/>
      <c r="BE61" s="152">
        <v>29</v>
      </c>
      <c r="BF61" s="153">
        <v>19</v>
      </c>
      <c r="BG61" s="153">
        <v>10</v>
      </c>
      <c r="BH61" s="153">
        <v>36</v>
      </c>
      <c r="BI61" s="154">
        <v>16</v>
      </c>
      <c r="BJ61" s="154">
        <v>16</v>
      </c>
      <c r="BK61" s="279">
        <v>24</v>
      </c>
      <c r="BL61" s="279">
        <v>19</v>
      </c>
      <c r="BM61" s="155"/>
      <c r="BN61" s="152"/>
      <c r="BO61" s="153"/>
      <c r="BP61" s="153"/>
      <c r="BQ61" s="153"/>
      <c r="BR61" s="154"/>
      <c r="BS61" s="154"/>
      <c r="BT61" s="279"/>
      <c r="BU61" s="279"/>
      <c r="BV61" s="155"/>
      <c r="BW61" s="152">
        <v>168</v>
      </c>
      <c r="BX61" s="153">
        <v>204</v>
      </c>
      <c r="BY61" s="153">
        <v>194</v>
      </c>
      <c r="BZ61" s="153">
        <v>265</v>
      </c>
      <c r="CA61" s="154">
        <v>227</v>
      </c>
      <c r="CB61" s="154">
        <v>228</v>
      </c>
      <c r="CC61" s="279">
        <v>172</v>
      </c>
      <c r="CD61" s="279">
        <v>174</v>
      </c>
      <c r="CE61" s="155"/>
      <c r="CF61" s="152">
        <v>8</v>
      </c>
      <c r="CG61" s="153">
        <v>11</v>
      </c>
      <c r="CH61" s="153">
        <v>13</v>
      </c>
      <c r="CI61" s="153">
        <v>9</v>
      </c>
      <c r="CJ61" s="154">
        <v>13</v>
      </c>
      <c r="CK61" s="154">
        <v>6</v>
      </c>
      <c r="CL61" s="279">
        <v>2</v>
      </c>
      <c r="CM61" s="279">
        <v>7</v>
      </c>
      <c r="CN61" s="155"/>
      <c r="CO61" s="152">
        <v>2</v>
      </c>
      <c r="CP61" s="153">
        <v>7</v>
      </c>
      <c r="CQ61" s="153">
        <v>2</v>
      </c>
      <c r="CR61" s="153">
        <v>10</v>
      </c>
      <c r="CS61" s="154">
        <v>5</v>
      </c>
      <c r="CT61" s="154">
        <v>10</v>
      </c>
      <c r="CU61" s="279">
        <v>2</v>
      </c>
      <c r="CV61" s="279">
        <v>7</v>
      </c>
      <c r="CW61" s="155"/>
      <c r="CX61" s="152">
        <v>1133</v>
      </c>
      <c r="CY61" s="153">
        <v>1095</v>
      </c>
      <c r="CZ61" s="153">
        <v>1309</v>
      </c>
      <c r="DA61" s="153">
        <v>1144</v>
      </c>
      <c r="DB61" s="154">
        <v>1045</v>
      </c>
      <c r="DC61" s="154">
        <v>804</v>
      </c>
      <c r="DD61" s="279">
        <v>789</v>
      </c>
      <c r="DE61" s="279">
        <v>878</v>
      </c>
      <c r="DF61" s="155"/>
      <c r="DG61" s="152">
        <v>2</v>
      </c>
      <c r="DH61" s="153">
        <v>4</v>
      </c>
      <c r="DI61" s="153">
        <v>1</v>
      </c>
      <c r="DJ61" s="153">
        <v>3</v>
      </c>
      <c r="DK61" s="154">
        <v>2</v>
      </c>
      <c r="DL61" s="154">
        <v>1</v>
      </c>
      <c r="DM61" s="279">
        <v>9</v>
      </c>
      <c r="DN61" s="279">
        <v>1</v>
      </c>
      <c r="DO61" s="155"/>
      <c r="DP61" s="152">
        <v>15</v>
      </c>
      <c r="DQ61" s="153">
        <v>5</v>
      </c>
      <c r="DR61" s="153">
        <v>6</v>
      </c>
      <c r="DS61" s="153">
        <v>7</v>
      </c>
      <c r="DT61" s="154">
        <v>2</v>
      </c>
      <c r="DU61" s="154">
        <v>1</v>
      </c>
      <c r="DV61" s="279">
        <v>10</v>
      </c>
      <c r="DW61" s="279">
        <v>9</v>
      </c>
      <c r="DX61" s="155"/>
      <c r="DY61" s="152">
        <v>84</v>
      </c>
      <c r="DZ61" s="153">
        <v>101</v>
      </c>
      <c r="EA61" s="153">
        <v>174</v>
      </c>
      <c r="EB61" s="153">
        <v>177</v>
      </c>
      <c r="EC61" s="154">
        <v>198</v>
      </c>
      <c r="ED61" s="154">
        <v>155</v>
      </c>
      <c r="EE61" s="279">
        <v>217</v>
      </c>
      <c r="EF61" s="279">
        <v>180</v>
      </c>
      <c r="EG61" s="155"/>
      <c r="EH61" s="152">
        <v>36</v>
      </c>
      <c r="EI61" s="153">
        <v>25</v>
      </c>
      <c r="EJ61" s="153">
        <v>33</v>
      </c>
      <c r="EK61" s="153">
        <v>30</v>
      </c>
      <c r="EL61" s="154">
        <v>23</v>
      </c>
      <c r="EM61" s="154">
        <v>16</v>
      </c>
      <c r="EN61" s="279">
        <v>16</v>
      </c>
      <c r="EO61" s="279">
        <v>24</v>
      </c>
      <c r="EP61" s="155"/>
      <c r="EQ61" s="152">
        <v>1</v>
      </c>
      <c r="ER61" s="153">
        <v>1</v>
      </c>
      <c r="ES61" s="153">
        <v>2</v>
      </c>
      <c r="ET61" s="153">
        <v>3</v>
      </c>
      <c r="EU61" s="154">
        <v>8</v>
      </c>
      <c r="EV61" s="154">
        <v>4</v>
      </c>
      <c r="EW61" s="279">
        <v>5</v>
      </c>
      <c r="EX61" s="279">
        <v>13</v>
      </c>
      <c r="EY61" s="155"/>
      <c r="EZ61" s="152">
        <v>6</v>
      </c>
      <c r="FA61" s="153">
        <v>13</v>
      </c>
      <c r="FB61" s="153">
        <v>54</v>
      </c>
      <c r="FC61" s="153">
        <v>50</v>
      </c>
      <c r="FD61" s="154">
        <v>34</v>
      </c>
      <c r="FE61" s="154">
        <v>14</v>
      </c>
      <c r="FF61" s="279">
        <v>42</v>
      </c>
      <c r="FG61" s="279">
        <v>11</v>
      </c>
      <c r="FH61" s="155"/>
      <c r="FI61" s="152">
        <v>70</v>
      </c>
      <c r="FJ61" s="153">
        <v>71</v>
      </c>
      <c r="FK61" s="153">
        <v>64</v>
      </c>
      <c r="FL61" s="153">
        <v>37</v>
      </c>
      <c r="FM61" s="154">
        <v>26</v>
      </c>
      <c r="FN61" s="154">
        <v>27</v>
      </c>
      <c r="FO61" s="279">
        <v>35</v>
      </c>
      <c r="FP61" s="279">
        <v>27</v>
      </c>
      <c r="FQ61" s="155"/>
      <c r="FR61" s="152">
        <v>8</v>
      </c>
      <c r="FS61" s="153"/>
      <c r="FT61" s="153">
        <v>3</v>
      </c>
      <c r="FU61" s="153">
        <v>3</v>
      </c>
      <c r="FV61" s="154">
        <v>5</v>
      </c>
      <c r="FW61" s="154">
        <v>2</v>
      </c>
      <c r="FX61" s="279">
        <v>2</v>
      </c>
      <c r="FY61" s="279">
        <v>3</v>
      </c>
      <c r="FZ61" s="155"/>
      <c r="GA61" s="152">
        <v>1</v>
      </c>
      <c r="GB61" s="153">
        <v>1</v>
      </c>
      <c r="GC61" s="153">
        <v>1</v>
      </c>
      <c r="GD61" s="153">
        <v>1</v>
      </c>
      <c r="GE61" s="154">
        <v>1</v>
      </c>
      <c r="GF61" s="154">
        <v>10</v>
      </c>
      <c r="GG61" s="279">
        <v>7</v>
      </c>
      <c r="GH61" s="279">
        <v>8</v>
      </c>
      <c r="GI61" s="155"/>
      <c r="GJ61" s="152">
        <v>1597</v>
      </c>
      <c r="GK61" s="153">
        <v>1573</v>
      </c>
      <c r="GL61" s="153">
        <v>1798</v>
      </c>
      <c r="GM61" s="153">
        <v>1712</v>
      </c>
      <c r="GN61" s="154">
        <v>1540</v>
      </c>
      <c r="GO61" s="154">
        <v>1240</v>
      </c>
      <c r="GP61" s="279">
        <v>1209</v>
      </c>
      <c r="GQ61" s="279">
        <v>1272</v>
      </c>
      <c r="GR61" s="155"/>
      <c r="GS61" s="152">
        <v>486</v>
      </c>
      <c r="GT61" s="153">
        <v>472</v>
      </c>
      <c r="GU61" s="153">
        <v>478</v>
      </c>
      <c r="GV61" s="153">
        <v>462</v>
      </c>
      <c r="GW61" s="154">
        <v>268</v>
      </c>
      <c r="GX61" s="154">
        <v>252</v>
      </c>
      <c r="GY61" s="279">
        <v>234</v>
      </c>
      <c r="GZ61" s="279">
        <v>248</v>
      </c>
      <c r="HA61" s="155"/>
      <c r="HB61" s="152">
        <v>2</v>
      </c>
      <c r="HC61" s="153">
        <v>3</v>
      </c>
      <c r="HD61" s="153">
        <v>4</v>
      </c>
      <c r="HE61" s="153">
        <v>7</v>
      </c>
      <c r="HF61" s="154">
        <v>3</v>
      </c>
      <c r="HG61" s="154">
        <v>2</v>
      </c>
      <c r="HH61" s="279">
        <v>1</v>
      </c>
      <c r="HI61" s="279">
        <v>4</v>
      </c>
      <c r="HJ61" s="155"/>
      <c r="HK61" s="152">
        <v>1</v>
      </c>
      <c r="HL61" s="153"/>
      <c r="HM61" s="153"/>
      <c r="HN61" s="153">
        <v>2</v>
      </c>
      <c r="HO61" s="154">
        <v>1</v>
      </c>
      <c r="HP61" s="154"/>
      <c r="HQ61" s="279">
        <v>3</v>
      </c>
      <c r="HR61" s="279">
        <v>1</v>
      </c>
      <c r="HS61" s="155"/>
      <c r="HT61" s="152">
        <v>643</v>
      </c>
      <c r="HU61" s="153">
        <v>609</v>
      </c>
      <c r="HV61" s="153">
        <v>591</v>
      </c>
      <c r="HW61" s="153">
        <v>583</v>
      </c>
      <c r="HX61" s="154">
        <v>405</v>
      </c>
      <c r="HY61" s="154">
        <v>376</v>
      </c>
      <c r="HZ61" s="279">
        <v>413</v>
      </c>
      <c r="IA61" s="279">
        <v>397</v>
      </c>
      <c r="IB61" s="155"/>
      <c r="IC61" s="152">
        <v>2404</v>
      </c>
      <c r="ID61" s="153">
        <v>2204</v>
      </c>
      <c r="IE61" s="153">
        <v>2570</v>
      </c>
      <c r="IF61" s="153">
        <v>2903</v>
      </c>
      <c r="IG61" s="154">
        <v>2225</v>
      </c>
      <c r="IH61" s="154">
        <v>1982</v>
      </c>
      <c r="II61" s="279">
        <v>1945</v>
      </c>
      <c r="IJ61" s="279">
        <v>2071</v>
      </c>
      <c r="IK61" s="155"/>
    </row>
    <row r="62" spans="1:245" x14ac:dyDescent="0.2">
      <c r="A62" s="961"/>
      <c r="B62" s="151" t="s">
        <v>675</v>
      </c>
      <c r="C62" s="152"/>
      <c r="D62" s="153"/>
      <c r="E62" s="153"/>
      <c r="F62" s="153"/>
      <c r="G62" s="154"/>
      <c r="H62" s="154"/>
      <c r="I62" s="279"/>
      <c r="J62" s="279"/>
      <c r="K62" s="155"/>
      <c r="L62" s="152"/>
      <c r="M62" s="153"/>
      <c r="N62" s="153"/>
      <c r="O62" s="153"/>
      <c r="P62" s="154"/>
      <c r="Q62" s="154"/>
      <c r="R62" s="279"/>
      <c r="S62" s="279"/>
      <c r="T62" s="155"/>
      <c r="U62" s="152"/>
      <c r="V62" s="153"/>
      <c r="W62" s="153"/>
      <c r="X62" s="153"/>
      <c r="Y62" s="154"/>
      <c r="Z62" s="154"/>
      <c r="AA62" s="279"/>
      <c r="AB62" s="279"/>
      <c r="AC62" s="155"/>
      <c r="AD62" s="152">
        <v>51</v>
      </c>
      <c r="AE62" s="153">
        <v>89</v>
      </c>
      <c r="AF62" s="153">
        <v>82</v>
      </c>
      <c r="AG62" s="153">
        <v>57</v>
      </c>
      <c r="AH62" s="154">
        <v>71</v>
      </c>
      <c r="AI62" s="154">
        <v>32</v>
      </c>
      <c r="AJ62" s="279">
        <v>42</v>
      </c>
      <c r="AK62" s="279">
        <v>40</v>
      </c>
      <c r="AL62" s="155"/>
      <c r="AM62" s="152">
        <v>21</v>
      </c>
      <c r="AN62" s="153">
        <v>22</v>
      </c>
      <c r="AO62" s="153">
        <v>23</v>
      </c>
      <c r="AP62" s="153">
        <v>18</v>
      </c>
      <c r="AQ62" s="154">
        <v>24</v>
      </c>
      <c r="AR62" s="154">
        <v>13</v>
      </c>
      <c r="AS62" s="279">
        <v>10</v>
      </c>
      <c r="AT62" s="279">
        <v>14</v>
      </c>
      <c r="AU62" s="155"/>
      <c r="AV62" s="152"/>
      <c r="AW62" s="153"/>
      <c r="AX62" s="153"/>
      <c r="AY62" s="153"/>
      <c r="AZ62" s="154"/>
      <c r="BA62" s="154"/>
      <c r="BB62" s="279"/>
      <c r="BC62" s="279"/>
      <c r="BD62" s="155"/>
      <c r="BE62" s="152">
        <v>22</v>
      </c>
      <c r="BF62" s="153">
        <v>9</v>
      </c>
      <c r="BG62" s="153">
        <v>4</v>
      </c>
      <c r="BH62" s="153">
        <v>6</v>
      </c>
      <c r="BI62" s="154">
        <v>12</v>
      </c>
      <c r="BJ62" s="154">
        <v>12</v>
      </c>
      <c r="BK62" s="279">
        <v>8</v>
      </c>
      <c r="BL62" s="279">
        <v>1</v>
      </c>
      <c r="BM62" s="155"/>
      <c r="BN62" s="152"/>
      <c r="BO62" s="153"/>
      <c r="BP62" s="153"/>
      <c r="BQ62" s="153"/>
      <c r="BR62" s="154"/>
      <c r="BS62" s="154"/>
      <c r="BT62" s="279"/>
      <c r="BU62" s="279"/>
      <c r="BV62" s="155"/>
      <c r="BW62" s="152">
        <v>73</v>
      </c>
      <c r="BX62" s="153">
        <v>108</v>
      </c>
      <c r="BY62" s="153">
        <v>118</v>
      </c>
      <c r="BZ62" s="153">
        <v>99</v>
      </c>
      <c r="CA62" s="154">
        <v>137</v>
      </c>
      <c r="CB62" s="154">
        <v>84</v>
      </c>
      <c r="CC62" s="279">
        <v>100</v>
      </c>
      <c r="CD62" s="279">
        <v>71</v>
      </c>
      <c r="CE62" s="155"/>
      <c r="CF62" s="152">
        <v>7</v>
      </c>
      <c r="CG62" s="153">
        <v>3</v>
      </c>
      <c r="CH62" s="153"/>
      <c r="CI62" s="153">
        <v>1</v>
      </c>
      <c r="CJ62" s="154"/>
      <c r="CK62" s="154"/>
      <c r="CL62" s="279">
        <v>2</v>
      </c>
      <c r="CM62" s="279"/>
      <c r="CN62" s="155"/>
      <c r="CO62" s="152">
        <v>9</v>
      </c>
      <c r="CP62" s="153">
        <v>4</v>
      </c>
      <c r="CQ62" s="153"/>
      <c r="CR62" s="153"/>
      <c r="CS62" s="154">
        <v>1</v>
      </c>
      <c r="CT62" s="154"/>
      <c r="CU62" s="279"/>
      <c r="CV62" s="279"/>
      <c r="CW62" s="155"/>
      <c r="CX62" s="152">
        <v>447</v>
      </c>
      <c r="CY62" s="153">
        <v>448</v>
      </c>
      <c r="CZ62" s="153">
        <v>540</v>
      </c>
      <c r="DA62" s="153">
        <v>417</v>
      </c>
      <c r="DB62" s="154">
        <v>414</v>
      </c>
      <c r="DC62" s="154">
        <v>217</v>
      </c>
      <c r="DD62" s="279">
        <v>230</v>
      </c>
      <c r="DE62" s="279">
        <v>228</v>
      </c>
      <c r="DF62" s="155"/>
      <c r="DG62" s="152"/>
      <c r="DH62" s="153"/>
      <c r="DI62" s="153"/>
      <c r="DJ62" s="153"/>
      <c r="DK62" s="154"/>
      <c r="DL62" s="154"/>
      <c r="DM62" s="279"/>
      <c r="DN62" s="279"/>
      <c r="DO62" s="155"/>
      <c r="DP62" s="152">
        <v>4</v>
      </c>
      <c r="DQ62" s="153">
        <v>3</v>
      </c>
      <c r="DR62" s="153">
        <v>1</v>
      </c>
      <c r="DS62" s="153">
        <v>2</v>
      </c>
      <c r="DT62" s="154">
        <v>4</v>
      </c>
      <c r="DU62" s="154">
        <v>1</v>
      </c>
      <c r="DV62" s="279">
        <v>1</v>
      </c>
      <c r="DW62" s="279">
        <v>3</v>
      </c>
      <c r="DX62" s="155"/>
      <c r="DY62" s="152">
        <v>64</v>
      </c>
      <c r="DZ62" s="153">
        <v>58</v>
      </c>
      <c r="EA62" s="153">
        <v>72</v>
      </c>
      <c r="EB62" s="153">
        <v>57</v>
      </c>
      <c r="EC62" s="154">
        <v>90</v>
      </c>
      <c r="ED62" s="154">
        <v>44</v>
      </c>
      <c r="EE62" s="279">
        <v>52</v>
      </c>
      <c r="EF62" s="279">
        <v>28</v>
      </c>
      <c r="EG62" s="155"/>
      <c r="EH62" s="152">
        <v>4</v>
      </c>
      <c r="EI62" s="153">
        <v>6</v>
      </c>
      <c r="EJ62" s="153">
        <v>2</v>
      </c>
      <c r="EK62" s="153">
        <v>2</v>
      </c>
      <c r="EL62" s="154">
        <v>3</v>
      </c>
      <c r="EM62" s="154">
        <v>1</v>
      </c>
      <c r="EN62" s="279">
        <v>2</v>
      </c>
      <c r="EO62" s="279"/>
      <c r="EP62" s="155"/>
      <c r="EQ62" s="152"/>
      <c r="ER62" s="153">
        <v>2</v>
      </c>
      <c r="ES62" s="153">
        <v>1</v>
      </c>
      <c r="ET62" s="153"/>
      <c r="EU62" s="154"/>
      <c r="EV62" s="154">
        <v>1</v>
      </c>
      <c r="EW62" s="279"/>
      <c r="EX62" s="279">
        <v>2</v>
      </c>
      <c r="EY62" s="155"/>
      <c r="EZ62" s="152">
        <v>15</v>
      </c>
      <c r="FA62" s="153">
        <v>4</v>
      </c>
      <c r="FB62" s="153">
        <v>5</v>
      </c>
      <c r="FC62" s="153">
        <v>1</v>
      </c>
      <c r="FD62" s="154">
        <v>1</v>
      </c>
      <c r="FE62" s="154"/>
      <c r="FF62" s="279">
        <v>1</v>
      </c>
      <c r="FG62" s="279"/>
      <c r="FH62" s="155"/>
      <c r="FI62" s="152">
        <v>45</v>
      </c>
      <c r="FJ62" s="153">
        <v>18</v>
      </c>
      <c r="FK62" s="153">
        <v>19</v>
      </c>
      <c r="FL62" s="153">
        <v>16</v>
      </c>
      <c r="FM62" s="154">
        <v>5</v>
      </c>
      <c r="FN62" s="154">
        <v>6</v>
      </c>
      <c r="FO62" s="279">
        <v>14</v>
      </c>
      <c r="FP62" s="279">
        <v>9</v>
      </c>
      <c r="FQ62" s="155"/>
      <c r="FR62" s="152">
        <v>3</v>
      </c>
      <c r="FS62" s="153">
        <v>3</v>
      </c>
      <c r="FT62" s="153"/>
      <c r="FU62" s="153">
        <v>1</v>
      </c>
      <c r="FV62" s="154">
        <v>4</v>
      </c>
      <c r="FW62" s="154">
        <v>1</v>
      </c>
      <c r="FX62" s="279"/>
      <c r="FY62" s="279">
        <v>5</v>
      </c>
      <c r="FZ62" s="155"/>
      <c r="GA62" s="152">
        <v>3</v>
      </c>
      <c r="GB62" s="153">
        <v>3</v>
      </c>
      <c r="GC62" s="153">
        <v>3</v>
      </c>
      <c r="GD62" s="153">
        <v>1</v>
      </c>
      <c r="GE62" s="154">
        <v>2</v>
      </c>
      <c r="GF62" s="154">
        <v>2</v>
      </c>
      <c r="GG62" s="279">
        <v>2</v>
      </c>
      <c r="GH62" s="279"/>
      <c r="GI62" s="155"/>
      <c r="GJ62" s="152">
        <v>679</v>
      </c>
      <c r="GK62" s="153">
        <v>697</v>
      </c>
      <c r="GL62" s="153">
        <v>774</v>
      </c>
      <c r="GM62" s="153">
        <v>601</v>
      </c>
      <c r="GN62" s="154">
        <v>650</v>
      </c>
      <c r="GO62" s="154">
        <v>356</v>
      </c>
      <c r="GP62" s="279">
        <v>401</v>
      </c>
      <c r="GQ62" s="279">
        <v>356</v>
      </c>
      <c r="GR62" s="155"/>
      <c r="GS62" s="152">
        <v>191</v>
      </c>
      <c r="GT62" s="153">
        <v>233</v>
      </c>
      <c r="GU62" s="153">
        <v>246</v>
      </c>
      <c r="GV62" s="153">
        <v>160</v>
      </c>
      <c r="GW62" s="154">
        <v>190</v>
      </c>
      <c r="GX62" s="154">
        <v>96</v>
      </c>
      <c r="GY62" s="279">
        <v>96</v>
      </c>
      <c r="GZ62" s="279">
        <v>79</v>
      </c>
      <c r="HA62" s="155"/>
      <c r="HB62" s="152">
        <v>2</v>
      </c>
      <c r="HC62" s="153"/>
      <c r="HD62" s="153">
        <v>1</v>
      </c>
      <c r="HE62" s="153"/>
      <c r="HF62" s="154">
        <v>1</v>
      </c>
      <c r="HG62" s="154"/>
      <c r="HH62" s="279">
        <v>1</v>
      </c>
      <c r="HI62" s="279"/>
      <c r="HJ62" s="155"/>
      <c r="HK62" s="152">
        <v>1</v>
      </c>
      <c r="HL62" s="153"/>
      <c r="HM62" s="153"/>
      <c r="HN62" s="153"/>
      <c r="HO62" s="154"/>
      <c r="HP62" s="154"/>
      <c r="HQ62" s="279"/>
      <c r="HR62" s="279"/>
      <c r="HS62" s="155"/>
      <c r="HT62" s="152">
        <v>276</v>
      </c>
      <c r="HU62" s="153">
        <v>276</v>
      </c>
      <c r="HV62" s="153">
        <v>280</v>
      </c>
      <c r="HW62" s="153">
        <v>210</v>
      </c>
      <c r="HX62" s="154">
        <v>245</v>
      </c>
      <c r="HY62" s="154">
        <v>151</v>
      </c>
      <c r="HZ62" s="279">
        <v>184</v>
      </c>
      <c r="IA62" s="279">
        <v>159</v>
      </c>
      <c r="IB62" s="155"/>
      <c r="IC62" s="152">
        <v>997</v>
      </c>
      <c r="ID62" s="153">
        <v>1040</v>
      </c>
      <c r="IE62" s="153">
        <v>1100</v>
      </c>
      <c r="IF62" s="153">
        <v>829</v>
      </c>
      <c r="IG62" s="154">
        <v>891</v>
      </c>
      <c r="IH62" s="154">
        <v>557</v>
      </c>
      <c r="II62" s="279">
        <v>726</v>
      </c>
      <c r="IJ62" s="279">
        <v>565</v>
      </c>
      <c r="IK62" s="155"/>
    </row>
    <row r="63" spans="1:245" x14ac:dyDescent="0.2">
      <c r="A63" s="961"/>
      <c r="B63" s="151" t="s">
        <v>676</v>
      </c>
      <c r="C63" s="152"/>
      <c r="D63" s="153"/>
      <c r="E63" s="153"/>
      <c r="F63" s="153"/>
      <c r="G63" s="154"/>
      <c r="H63" s="154"/>
      <c r="I63" s="279"/>
      <c r="J63" s="279"/>
      <c r="K63" s="155"/>
      <c r="L63" s="152"/>
      <c r="M63" s="153"/>
      <c r="N63" s="153"/>
      <c r="O63" s="153"/>
      <c r="P63" s="154"/>
      <c r="Q63" s="154"/>
      <c r="R63" s="279"/>
      <c r="S63" s="279"/>
      <c r="T63" s="155"/>
      <c r="U63" s="152"/>
      <c r="V63" s="153"/>
      <c r="W63" s="153"/>
      <c r="X63" s="153"/>
      <c r="Y63" s="154"/>
      <c r="Z63" s="154"/>
      <c r="AA63" s="279"/>
      <c r="AB63" s="279"/>
      <c r="AC63" s="155"/>
      <c r="AD63" s="152">
        <v>82</v>
      </c>
      <c r="AE63" s="153">
        <v>83</v>
      </c>
      <c r="AF63" s="153">
        <v>97</v>
      </c>
      <c r="AG63" s="153">
        <v>60</v>
      </c>
      <c r="AH63" s="154">
        <v>93</v>
      </c>
      <c r="AI63" s="154">
        <v>77</v>
      </c>
      <c r="AJ63" s="279">
        <v>71</v>
      </c>
      <c r="AK63" s="279">
        <v>46</v>
      </c>
      <c r="AL63" s="155"/>
      <c r="AM63" s="152">
        <v>28</v>
      </c>
      <c r="AN63" s="153">
        <v>18</v>
      </c>
      <c r="AO63" s="153">
        <v>20</v>
      </c>
      <c r="AP63" s="153">
        <v>16</v>
      </c>
      <c r="AQ63" s="154">
        <v>18</v>
      </c>
      <c r="AR63" s="154">
        <v>17</v>
      </c>
      <c r="AS63" s="279">
        <v>17</v>
      </c>
      <c r="AT63" s="279">
        <v>11</v>
      </c>
      <c r="AU63" s="155"/>
      <c r="AV63" s="152"/>
      <c r="AW63" s="153"/>
      <c r="AX63" s="153"/>
      <c r="AY63" s="153"/>
      <c r="AZ63" s="154"/>
      <c r="BA63" s="154"/>
      <c r="BB63" s="279"/>
      <c r="BC63" s="279"/>
      <c r="BD63" s="155"/>
      <c r="BE63" s="152">
        <v>55</v>
      </c>
      <c r="BF63" s="153">
        <v>33</v>
      </c>
      <c r="BG63" s="153">
        <v>37</v>
      </c>
      <c r="BH63" s="153">
        <v>14</v>
      </c>
      <c r="BI63" s="154">
        <v>6</v>
      </c>
      <c r="BJ63" s="154">
        <v>14</v>
      </c>
      <c r="BK63" s="279">
        <v>9</v>
      </c>
      <c r="BL63" s="279">
        <v>11</v>
      </c>
      <c r="BM63" s="155"/>
      <c r="BN63" s="152"/>
      <c r="BO63" s="153"/>
      <c r="BP63" s="153"/>
      <c r="BQ63" s="153"/>
      <c r="BR63" s="154"/>
      <c r="BS63" s="154"/>
      <c r="BT63" s="279"/>
      <c r="BU63" s="279"/>
      <c r="BV63" s="155"/>
      <c r="BW63" s="152">
        <v>101</v>
      </c>
      <c r="BX63" s="153">
        <v>121</v>
      </c>
      <c r="BY63" s="153">
        <v>121</v>
      </c>
      <c r="BZ63" s="153">
        <v>112</v>
      </c>
      <c r="CA63" s="154">
        <v>134</v>
      </c>
      <c r="CB63" s="154">
        <v>142</v>
      </c>
      <c r="CC63" s="279">
        <v>122</v>
      </c>
      <c r="CD63" s="279">
        <v>110</v>
      </c>
      <c r="CE63" s="155"/>
      <c r="CF63" s="152">
        <v>10</v>
      </c>
      <c r="CG63" s="153">
        <v>4</v>
      </c>
      <c r="CH63" s="153">
        <v>3</v>
      </c>
      <c r="CI63" s="153">
        <v>4</v>
      </c>
      <c r="CJ63" s="154">
        <v>3</v>
      </c>
      <c r="CK63" s="154">
        <v>1</v>
      </c>
      <c r="CL63" s="279">
        <v>2</v>
      </c>
      <c r="CM63" s="279">
        <v>3</v>
      </c>
      <c r="CN63" s="155"/>
      <c r="CO63" s="152">
        <v>7</v>
      </c>
      <c r="CP63" s="153"/>
      <c r="CQ63" s="153">
        <v>1</v>
      </c>
      <c r="CR63" s="153"/>
      <c r="CS63" s="154"/>
      <c r="CT63" s="154"/>
      <c r="CU63" s="279">
        <v>1</v>
      </c>
      <c r="CV63" s="279"/>
      <c r="CW63" s="155"/>
      <c r="CX63" s="152">
        <v>520</v>
      </c>
      <c r="CY63" s="153">
        <v>579</v>
      </c>
      <c r="CZ63" s="153">
        <v>591</v>
      </c>
      <c r="DA63" s="153">
        <v>542</v>
      </c>
      <c r="DB63" s="154">
        <v>314</v>
      </c>
      <c r="DC63" s="154">
        <v>379</v>
      </c>
      <c r="DD63" s="279">
        <v>290</v>
      </c>
      <c r="DE63" s="279">
        <v>213</v>
      </c>
      <c r="DF63" s="155"/>
      <c r="DG63" s="152">
        <v>1</v>
      </c>
      <c r="DH63" s="153"/>
      <c r="DI63" s="153">
        <v>1</v>
      </c>
      <c r="DJ63" s="153">
        <v>2</v>
      </c>
      <c r="DK63" s="154">
        <v>1</v>
      </c>
      <c r="DL63" s="154">
        <v>2</v>
      </c>
      <c r="DM63" s="279">
        <v>1</v>
      </c>
      <c r="DN63" s="279"/>
      <c r="DO63" s="155"/>
      <c r="DP63" s="152">
        <v>3</v>
      </c>
      <c r="DQ63" s="153">
        <v>10</v>
      </c>
      <c r="DR63" s="153">
        <v>1</v>
      </c>
      <c r="DS63" s="153">
        <v>3</v>
      </c>
      <c r="DT63" s="154">
        <v>2</v>
      </c>
      <c r="DU63" s="154">
        <v>10</v>
      </c>
      <c r="DV63" s="279">
        <v>4</v>
      </c>
      <c r="DW63" s="279">
        <v>6</v>
      </c>
      <c r="DX63" s="155"/>
      <c r="DY63" s="152">
        <v>53</v>
      </c>
      <c r="DZ63" s="153">
        <v>98</v>
      </c>
      <c r="EA63" s="153">
        <v>88</v>
      </c>
      <c r="EB63" s="153">
        <v>57</v>
      </c>
      <c r="EC63" s="154">
        <v>63</v>
      </c>
      <c r="ED63" s="154">
        <v>68</v>
      </c>
      <c r="EE63" s="279">
        <v>74</v>
      </c>
      <c r="EF63" s="279">
        <v>41</v>
      </c>
      <c r="EG63" s="155"/>
      <c r="EH63" s="152">
        <v>11</v>
      </c>
      <c r="EI63" s="153">
        <v>13</v>
      </c>
      <c r="EJ63" s="153">
        <v>8</v>
      </c>
      <c r="EK63" s="153">
        <v>5</v>
      </c>
      <c r="EL63" s="154">
        <v>9</v>
      </c>
      <c r="EM63" s="154">
        <v>6</v>
      </c>
      <c r="EN63" s="279">
        <v>4</v>
      </c>
      <c r="EO63" s="279">
        <v>1</v>
      </c>
      <c r="EP63" s="155"/>
      <c r="EQ63" s="152">
        <v>1</v>
      </c>
      <c r="ER63" s="153">
        <v>4</v>
      </c>
      <c r="ES63" s="153">
        <v>3</v>
      </c>
      <c r="ET63" s="153">
        <v>6</v>
      </c>
      <c r="EU63" s="154">
        <v>3</v>
      </c>
      <c r="EV63" s="154">
        <v>4</v>
      </c>
      <c r="EW63" s="279">
        <v>3</v>
      </c>
      <c r="EX63" s="279">
        <v>2</v>
      </c>
      <c r="EY63" s="155"/>
      <c r="EZ63" s="152">
        <v>22</v>
      </c>
      <c r="FA63" s="153">
        <v>1</v>
      </c>
      <c r="FB63" s="153">
        <v>12</v>
      </c>
      <c r="FC63" s="153">
        <v>1</v>
      </c>
      <c r="FD63" s="154"/>
      <c r="FE63" s="154"/>
      <c r="FF63" s="279"/>
      <c r="FG63" s="279">
        <v>1</v>
      </c>
      <c r="FH63" s="155"/>
      <c r="FI63" s="152">
        <v>41</v>
      </c>
      <c r="FJ63" s="153">
        <v>40</v>
      </c>
      <c r="FK63" s="153">
        <v>30</v>
      </c>
      <c r="FL63" s="153">
        <v>19</v>
      </c>
      <c r="FM63" s="154">
        <v>16</v>
      </c>
      <c r="FN63" s="154">
        <v>20</v>
      </c>
      <c r="FO63" s="279">
        <v>17</v>
      </c>
      <c r="FP63" s="279">
        <v>23</v>
      </c>
      <c r="FQ63" s="155"/>
      <c r="FR63" s="152">
        <v>3</v>
      </c>
      <c r="FS63" s="153">
        <v>2</v>
      </c>
      <c r="FT63" s="153"/>
      <c r="FU63" s="153"/>
      <c r="FV63" s="154">
        <v>1</v>
      </c>
      <c r="FW63" s="154">
        <v>1</v>
      </c>
      <c r="FX63" s="279">
        <v>1</v>
      </c>
      <c r="FY63" s="279"/>
      <c r="FZ63" s="155"/>
      <c r="GA63" s="152">
        <v>3</v>
      </c>
      <c r="GB63" s="153">
        <v>4</v>
      </c>
      <c r="GC63" s="153">
        <v>1</v>
      </c>
      <c r="GD63" s="153">
        <v>2</v>
      </c>
      <c r="GE63" s="154">
        <v>5</v>
      </c>
      <c r="GF63" s="154">
        <v>2</v>
      </c>
      <c r="GG63" s="279">
        <v>9</v>
      </c>
      <c r="GH63" s="279">
        <v>7</v>
      </c>
      <c r="GI63" s="155"/>
      <c r="GJ63" s="152">
        <v>856</v>
      </c>
      <c r="GK63" s="153">
        <v>884</v>
      </c>
      <c r="GL63" s="153">
        <v>904</v>
      </c>
      <c r="GM63" s="153">
        <v>765</v>
      </c>
      <c r="GN63" s="154">
        <v>584</v>
      </c>
      <c r="GO63" s="154">
        <v>646</v>
      </c>
      <c r="GP63" s="279">
        <v>529</v>
      </c>
      <c r="GQ63" s="279">
        <v>417</v>
      </c>
      <c r="GR63" s="155"/>
      <c r="GS63" s="152">
        <v>223</v>
      </c>
      <c r="GT63" s="153">
        <v>278</v>
      </c>
      <c r="GU63" s="153">
        <v>277</v>
      </c>
      <c r="GV63" s="153">
        <v>200</v>
      </c>
      <c r="GW63" s="154">
        <v>161</v>
      </c>
      <c r="GX63" s="154">
        <v>184</v>
      </c>
      <c r="GY63" s="279">
        <v>148</v>
      </c>
      <c r="GZ63" s="279">
        <v>135</v>
      </c>
      <c r="HA63" s="155"/>
      <c r="HB63" s="152">
        <v>1</v>
      </c>
      <c r="HC63" s="153"/>
      <c r="HD63" s="153">
        <v>1</v>
      </c>
      <c r="HE63" s="153"/>
      <c r="HF63" s="154">
        <v>1</v>
      </c>
      <c r="HG63" s="154"/>
      <c r="HH63" s="279"/>
      <c r="HI63" s="279">
        <v>1</v>
      </c>
      <c r="HJ63" s="155"/>
      <c r="HK63" s="152">
        <v>2</v>
      </c>
      <c r="HL63" s="153"/>
      <c r="HM63" s="153"/>
      <c r="HN63" s="153">
        <v>1</v>
      </c>
      <c r="HO63" s="154"/>
      <c r="HP63" s="154"/>
      <c r="HQ63" s="279"/>
      <c r="HR63" s="279"/>
      <c r="HS63" s="155"/>
      <c r="HT63" s="152">
        <v>356</v>
      </c>
      <c r="HU63" s="153">
        <v>392</v>
      </c>
      <c r="HV63" s="153">
        <v>373</v>
      </c>
      <c r="HW63" s="153">
        <v>306</v>
      </c>
      <c r="HX63" s="154">
        <v>268</v>
      </c>
      <c r="HY63" s="154">
        <v>285</v>
      </c>
      <c r="HZ63" s="279">
        <v>268</v>
      </c>
      <c r="IA63" s="279">
        <v>234</v>
      </c>
      <c r="IB63" s="155"/>
      <c r="IC63" s="152">
        <v>1197</v>
      </c>
      <c r="ID63" s="153">
        <v>1304</v>
      </c>
      <c r="IE63" s="153">
        <v>1322</v>
      </c>
      <c r="IF63" s="153">
        <v>1085</v>
      </c>
      <c r="IG63" s="154">
        <v>933</v>
      </c>
      <c r="IH63" s="154">
        <v>989</v>
      </c>
      <c r="II63" s="279">
        <v>853</v>
      </c>
      <c r="IJ63" s="279">
        <v>726</v>
      </c>
      <c r="IK63" s="155"/>
    </row>
    <row r="64" spans="1:245" ht="13.5" thickBot="1" x14ac:dyDescent="0.25">
      <c r="A64" s="961"/>
      <c r="B64" s="156" t="s">
        <v>677</v>
      </c>
      <c r="C64" s="157"/>
      <c r="D64" s="166"/>
      <c r="E64" s="166"/>
      <c r="F64" s="166"/>
      <c r="G64" s="158"/>
      <c r="H64" s="158"/>
      <c r="I64" s="280"/>
      <c r="J64" s="280"/>
      <c r="K64" s="159"/>
      <c r="L64" s="157"/>
      <c r="M64" s="166"/>
      <c r="N64" s="166"/>
      <c r="O64" s="166"/>
      <c r="P64" s="158"/>
      <c r="Q64" s="158"/>
      <c r="R64" s="280"/>
      <c r="S64" s="280"/>
      <c r="T64" s="159"/>
      <c r="U64" s="157"/>
      <c r="V64" s="166"/>
      <c r="W64" s="166"/>
      <c r="X64" s="166"/>
      <c r="Y64" s="158"/>
      <c r="Z64" s="158"/>
      <c r="AA64" s="280"/>
      <c r="AB64" s="280"/>
      <c r="AC64" s="159"/>
      <c r="AD64" s="157">
        <v>34</v>
      </c>
      <c r="AE64" s="166">
        <v>37</v>
      </c>
      <c r="AF64" s="166">
        <v>32</v>
      </c>
      <c r="AG64" s="166">
        <v>18</v>
      </c>
      <c r="AH64" s="158">
        <v>22</v>
      </c>
      <c r="AI64" s="158">
        <v>11</v>
      </c>
      <c r="AJ64" s="280">
        <v>17</v>
      </c>
      <c r="AK64" s="280">
        <v>24</v>
      </c>
      <c r="AL64" s="159"/>
      <c r="AM64" s="157">
        <v>11</v>
      </c>
      <c r="AN64" s="166">
        <v>12</v>
      </c>
      <c r="AO64" s="166">
        <v>7</v>
      </c>
      <c r="AP64" s="166">
        <v>4</v>
      </c>
      <c r="AQ64" s="158">
        <v>7</v>
      </c>
      <c r="AR64" s="158">
        <v>6</v>
      </c>
      <c r="AS64" s="280">
        <v>4</v>
      </c>
      <c r="AT64" s="280">
        <v>9</v>
      </c>
      <c r="AU64" s="159"/>
      <c r="AV64" s="157"/>
      <c r="AW64" s="166"/>
      <c r="AX64" s="166"/>
      <c r="AY64" s="166"/>
      <c r="AZ64" s="158"/>
      <c r="BA64" s="158"/>
      <c r="BB64" s="280"/>
      <c r="BC64" s="280"/>
      <c r="BD64" s="159"/>
      <c r="BE64" s="157">
        <v>6</v>
      </c>
      <c r="BF64" s="166">
        <v>4</v>
      </c>
      <c r="BG64" s="166">
        <v>9</v>
      </c>
      <c r="BH64" s="166">
        <v>2</v>
      </c>
      <c r="BI64" s="158">
        <v>2</v>
      </c>
      <c r="BJ64" s="158">
        <v>2</v>
      </c>
      <c r="BK64" s="280">
        <v>1</v>
      </c>
      <c r="BL64" s="280">
        <v>2</v>
      </c>
      <c r="BM64" s="159"/>
      <c r="BN64" s="157"/>
      <c r="BO64" s="166"/>
      <c r="BP64" s="166"/>
      <c r="BQ64" s="166"/>
      <c r="BR64" s="158"/>
      <c r="BS64" s="158"/>
      <c r="BT64" s="280"/>
      <c r="BU64" s="280"/>
      <c r="BV64" s="159"/>
      <c r="BW64" s="157">
        <v>41</v>
      </c>
      <c r="BX64" s="166">
        <v>36</v>
      </c>
      <c r="BY64" s="166">
        <v>77</v>
      </c>
      <c r="BZ64" s="166">
        <v>42</v>
      </c>
      <c r="CA64" s="158">
        <v>51</v>
      </c>
      <c r="CB64" s="158">
        <v>34</v>
      </c>
      <c r="CC64" s="280">
        <v>36</v>
      </c>
      <c r="CD64" s="280">
        <v>46</v>
      </c>
      <c r="CE64" s="159"/>
      <c r="CF64" s="157">
        <v>2</v>
      </c>
      <c r="CG64" s="166">
        <v>2</v>
      </c>
      <c r="CH64" s="166"/>
      <c r="CI64" s="166">
        <v>1</v>
      </c>
      <c r="CJ64" s="158">
        <v>1</v>
      </c>
      <c r="CK64" s="158">
        <v>2</v>
      </c>
      <c r="CL64" s="280">
        <v>1</v>
      </c>
      <c r="CM64" s="280">
        <v>1</v>
      </c>
      <c r="CN64" s="159"/>
      <c r="CO64" s="157">
        <v>1</v>
      </c>
      <c r="CP64" s="166">
        <v>1</v>
      </c>
      <c r="CQ64" s="166"/>
      <c r="CR64" s="166"/>
      <c r="CS64" s="158"/>
      <c r="CT64" s="158"/>
      <c r="CU64" s="280">
        <v>1</v>
      </c>
      <c r="CV64" s="280">
        <v>1</v>
      </c>
      <c r="CW64" s="159"/>
      <c r="CX64" s="157">
        <v>290</v>
      </c>
      <c r="CY64" s="166">
        <v>342</v>
      </c>
      <c r="CZ64" s="166">
        <v>313</v>
      </c>
      <c r="DA64" s="166">
        <v>241</v>
      </c>
      <c r="DB64" s="158">
        <v>145</v>
      </c>
      <c r="DC64" s="158">
        <v>170</v>
      </c>
      <c r="DD64" s="280">
        <v>155</v>
      </c>
      <c r="DE64" s="280">
        <v>120</v>
      </c>
      <c r="DF64" s="159"/>
      <c r="DG64" s="157"/>
      <c r="DH64" s="166"/>
      <c r="DI64" s="166"/>
      <c r="DJ64" s="166"/>
      <c r="DK64" s="158"/>
      <c r="DL64" s="158"/>
      <c r="DM64" s="280"/>
      <c r="DN64" s="280"/>
      <c r="DO64" s="159"/>
      <c r="DP64" s="157">
        <v>4</v>
      </c>
      <c r="DQ64" s="166">
        <v>3</v>
      </c>
      <c r="DR64" s="166">
        <v>2</v>
      </c>
      <c r="DS64" s="166">
        <v>2</v>
      </c>
      <c r="DT64" s="158">
        <v>2</v>
      </c>
      <c r="DU64" s="158">
        <v>2</v>
      </c>
      <c r="DV64" s="280">
        <v>1</v>
      </c>
      <c r="DW64" s="280"/>
      <c r="DX64" s="159"/>
      <c r="DY64" s="157">
        <v>43</v>
      </c>
      <c r="DZ64" s="166">
        <v>55</v>
      </c>
      <c r="EA64" s="166">
        <v>46</v>
      </c>
      <c r="EB64" s="166">
        <v>27</v>
      </c>
      <c r="EC64" s="158">
        <v>22</v>
      </c>
      <c r="ED64" s="158">
        <v>32</v>
      </c>
      <c r="EE64" s="280">
        <v>36</v>
      </c>
      <c r="EF64" s="280">
        <v>14</v>
      </c>
      <c r="EG64" s="159"/>
      <c r="EH64" s="157">
        <v>3</v>
      </c>
      <c r="EI64" s="166">
        <v>1</v>
      </c>
      <c r="EJ64" s="166">
        <v>4</v>
      </c>
      <c r="EK64" s="166">
        <v>2</v>
      </c>
      <c r="EL64" s="158">
        <v>14</v>
      </c>
      <c r="EM64" s="158">
        <v>3</v>
      </c>
      <c r="EN64" s="280"/>
      <c r="EO64" s="280"/>
      <c r="EP64" s="159"/>
      <c r="EQ64" s="157"/>
      <c r="ER64" s="166"/>
      <c r="ES64" s="166"/>
      <c r="ET64" s="166"/>
      <c r="EU64" s="158"/>
      <c r="EV64" s="158">
        <v>1</v>
      </c>
      <c r="EW64" s="280">
        <v>1</v>
      </c>
      <c r="EX64" s="280">
        <v>1</v>
      </c>
      <c r="EY64" s="159"/>
      <c r="EZ64" s="157">
        <v>1</v>
      </c>
      <c r="FA64" s="166">
        <v>3</v>
      </c>
      <c r="FB64" s="166"/>
      <c r="FC64" s="166">
        <v>1</v>
      </c>
      <c r="FD64" s="158">
        <v>4</v>
      </c>
      <c r="FE64" s="158">
        <v>1</v>
      </c>
      <c r="FF64" s="280"/>
      <c r="FG64" s="280"/>
      <c r="FH64" s="159"/>
      <c r="FI64" s="157">
        <v>13</v>
      </c>
      <c r="FJ64" s="166">
        <v>26</v>
      </c>
      <c r="FK64" s="166">
        <v>7</v>
      </c>
      <c r="FL64" s="166">
        <v>14</v>
      </c>
      <c r="FM64" s="158">
        <v>7</v>
      </c>
      <c r="FN64" s="158">
        <v>4</v>
      </c>
      <c r="FO64" s="280">
        <v>7</v>
      </c>
      <c r="FP64" s="280">
        <v>4</v>
      </c>
      <c r="FQ64" s="159"/>
      <c r="FR64" s="157">
        <v>5</v>
      </c>
      <c r="FS64" s="166">
        <v>4</v>
      </c>
      <c r="FT64" s="166"/>
      <c r="FU64" s="166">
        <v>2</v>
      </c>
      <c r="FV64" s="158">
        <v>2</v>
      </c>
      <c r="FW64" s="158"/>
      <c r="FX64" s="280">
        <v>1</v>
      </c>
      <c r="FY64" s="280"/>
      <c r="FZ64" s="159"/>
      <c r="GA64" s="157">
        <v>4</v>
      </c>
      <c r="GB64" s="166">
        <v>1</v>
      </c>
      <c r="GC64" s="166">
        <v>1</v>
      </c>
      <c r="GD64" s="166">
        <v>2</v>
      </c>
      <c r="GE64" s="158">
        <v>10</v>
      </c>
      <c r="GF64" s="158"/>
      <c r="GG64" s="280">
        <v>1</v>
      </c>
      <c r="GH64" s="280">
        <v>2</v>
      </c>
      <c r="GI64" s="159"/>
      <c r="GJ64" s="157">
        <v>400</v>
      </c>
      <c r="GK64" s="166">
        <v>457</v>
      </c>
      <c r="GL64" s="166">
        <v>443</v>
      </c>
      <c r="GM64" s="166">
        <v>325</v>
      </c>
      <c r="GN64" s="158">
        <v>258</v>
      </c>
      <c r="GO64" s="158">
        <v>228</v>
      </c>
      <c r="GP64" s="280">
        <v>221</v>
      </c>
      <c r="GQ64" s="280">
        <v>201</v>
      </c>
      <c r="GR64" s="159"/>
      <c r="GS64" s="157">
        <v>131</v>
      </c>
      <c r="GT64" s="166">
        <v>133</v>
      </c>
      <c r="GU64" s="166">
        <v>130</v>
      </c>
      <c r="GV64" s="166">
        <v>86</v>
      </c>
      <c r="GW64" s="158">
        <v>62</v>
      </c>
      <c r="GX64" s="158">
        <v>29</v>
      </c>
      <c r="GY64" s="280">
        <v>42</v>
      </c>
      <c r="GZ64" s="280">
        <v>52</v>
      </c>
      <c r="HA64" s="159"/>
      <c r="HB64" s="157"/>
      <c r="HC64" s="166">
        <v>2</v>
      </c>
      <c r="HD64" s="166"/>
      <c r="HE64" s="166"/>
      <c r="HF64" s="158"/>
      <c r="HG64" s="158"/>
      <c r="HH64" s="280"/>
      <c r="HI64" s="280"/>
      <c r="HJ64" s="159"/>
      <c r="HK64" s="157"/>
      <c r="HL64" s="166"/>
      <c r="HM64" s="166"/>
      <c r="HN64" s="166"/>
      <c r="HO64" s="158"/>
      <c r="HP64" s="158">
        <v>1</v>
      </c>
      <c r="HQ64" s="280"/>
      <c r="HR64" s="280"/>
      <c r="HS64" s="159"/>
      <c r="HT64" s="157">
        <v>188</v>
      </c>
      <c r="HU64" s="166">
        <v>186</v>
      </c>
      <c r="HV64" s="166">
        <v>173</v>
      </c>
      <c r="HW64" s="166">
        <v>130</v>
      </c>
      <c r="HX64" s="158">
        <v>109</v>
      </c>
      <c r="HY64" s="158">
        <v>73</v>
      </c>
      <c r="HZ64" s="280">
        <v>106</v>
      </c>
      <c r="IA64" s="280">
        <v>119</v>
      </c>
      <c r="IB64" s="159"/>
      <c r="IC64" s="157">
        <v>633</v>
      </c>
      <c r="ID64" s="166">
        <v>661</v>
      </c>
      <c r="IE64" s="166">
        <v>748</v>
      </c>
      <c r="IF64" s="166">
        <v>498</v>
      </c>
      <c r="IG64" s="158">
        <v>426</v>
      </c>
      <c r="IH64" s="158">
        <v>342</v>
      </c>
      <c r="II64" s="280">
        <v>376</v>
      </c>
      <c r="IJ64" s="280">
        <v>336</v>
      </c>
      <c r="IK64" s="159"/>
    </row>
    <row r="65" spans="1:245" s="134" customFormat="1" ht="26.25" thickBot="1" x14ac:dyDescent="0.25">
      <c r="A65" s="962"/>
      <c r="B65" s="189" t="s">
        <v>782</v>
      </c>
      <c r="C65" s="273">
        <v>19</v>
      </c>
      <c r="D65" s="190">
        <v>29</v>
      </c>
      <c r="E65" s="190">
        <v>14</v>
      </c>
      <c r="F65" s="190">
        <v>17</v>
      </c>
      <c r="G65" s="190">
        <v>28</v>
      </c>
      <c r="H65" s="190">
        <v>14</v>
      </c>
      <c r="I65" s="190">
        <v>18</v>
      </c>
      <c r="J65" s="190">
        <v>12</v>
      </c>
      <c r="K65" s="286"/>
      <c r="L65" s="273">
        <v>6</v>
      </c>
      <c r="M65" s="190">
        <v>14</v>
      </c>
      <c r="N65" s="190">
        <v>6</v>
      </c>
      <c r="O65" s="190">
        <v>6</v>
      </c>
      <c r="P65" s="190">
        <v>12</v>
      </c>
      <c r="Q65" s="190">
        <v>8</v>
      </c>
      <c r="R65" s="190">
        <v>7</v>
      </c>
      <c r="S65" s="190">
        <v>7</v>
      </c>
      <c r="T65" s="286"/>
      <c r="U65" s="273">
        <v>12</v>
      </c>
      <c r="V65" s="190">
        <v>8</v>
      </c>
      <c r="W65" s="190">
        <v>8</v>
      </c>
      <c r="X65" s="190">
        <v>8</v>
      </c>
      <c r="Y65" s="190">
        <v>12</v>
      </c>
      <c r="Z65" s="190">
        <v>5</v>
      </c>
      <c r="AA65" s="190">
        <v>9</v>
      </c>
      <c r="AB65" s="190">
        <v>5</v>
      </c>
      <c r="AC65" s="286"/>
      <c r="AD65" s="273">
        <v>1062</v>
      </c>
      <c r="AE65" s="190">
        <v>968</v>
      </c>
      <c r="AF65" s="190">
        <v>955</v>
      </c>
      <c r="AG65" s="190">
        <v>996</v>
      </c>
      <c r="AH65" s="190">
        <v>932</v>
      </c>
      <c r="AI65" s="190">
        <v>883</v>
      </c>
      <c r="AJ65" s="190">
        <v>793</v>
      </c>
      <c r="AK65" s="190">
        <v>721</v>
      </c>
      <c r="AL65" s="286"/>
      <c r="AM65" s="273">
        <v>448</v>
      </c>
      <c r="AN65" s="190">
        <v>343</v>
      </c>
      <c r="AO65" s="190">
        <v>336</v>
      </c>
      <c r="AP65" s="190">
        <v>387</v>
      </c>
      <c r="AQ65" s="190">
        <v>331</v>
      </c>
      <c r="AR65" s="190">
        <v>319</v>
      </c>
      <c r="AS65" s="190">
        <v>290</v>
      </c>
      <c r="AT65" s="190">
        <v>291</v>
      </c>
      <c r="AU65" s="286"/>
      <c r="AV65" s="273">
        <v>3</v>
      </c>
      <c r="AW65" s="190">
        <v>4</v>
      </c>
      <c r="AX65" s="190">
        <v>1</v>
      </c>
      <c r="AY65" s="190">
        <v>1</v>
      </c>
      <c r="AZ65" s="190">
        <v>4</v>
      </c>
      <c r="BA65" s="190">
        <v>2</v>
      </c>
      <c r="BB65" s="190">
        <v>6</v>
      </c>
      <c r="BC65" s="190">
        <v>3</v>
      </c>
      <c r="BD65" s="286"/>
      <c r="BE65" s="273">
        <v>330</v>
      </c>
      <c r="BF65" s="190">
        <v>235</v>
      </c>
      <c r="BG65" s="190">
        <v>232</v>
      </c>
      <c r="BH65" s="190">
        <v>168</v>
      </c>
      <c r="BI65" s="190">
        <v>152</v>
      </c>
      <c r="BJ65" s="190">
        <v>174</v>
      </c>
      <c r="BK65" s="190">
        <v>181</v>
      </c>
      <c r="BL65" s="190">
        <v>126</v>
      </c>
      <c r="BM65" s="286"/>
      <c r="BN65" s="273"/>
      <c r="BO65" s="190"/>
      <c r="BP65" s="190"/>
      <c r="BQ65" s="190"/>
      <c r="BR65" s="190">
        <v>1</v>
      </c>
      <c r="BS65" s="190"/>
      <c r="BT65" s="190"/>
      <c r="BU65" s="190">
        <v>2</v>
      </c>
      <c r="BV65" s="286"/>
      <c r="BW65" s="273">
        <v>1238</v>
      </c>
      <c r="BX65" s="190">
        <v>1347</v>
      </c>
      <c r="BY65" s="190">
        <v>1468</v>
      </c>
      <c r="BZ65" s="190">
        <v>1569</v>
      </c>
      <c r="CA65" s="190">
        <v>1631</v>
      </c>
      <c r="CB65" s="190">
        <v>1647</v>
      </c>
      <c r="CC65" s="190">
        <v>1372</v>
      </c>
      <c r="CD65" s="190">
        <v>1242</v>
      </c>
      <c r="CE65" s="286"/>
      <c r="CF65" s="273">
        <v>63</v>
      </c>
      <c r="CG65" s="190">
        <v>57</v>
      </c>
      <c r="CH65" s="190">
        <v>59</v>
      </c>
      <c r="CI65" s="190">
        <v>43</v>
      </c>
      <c r="CJ65" s="190">
        <v>41</v>
      </c>
      <c r="CK65" s="190">
        <v>42</v>
      </c>
      <c r="CL65" s="190">
        <v>30</v>
      </c>
      <c r="CM65" s="190">
        <v>25</v>
      </c>
      <c r="CN65" s="286"/>
      <c r="CO65" s="273">
        <v>90</v>
      </c>
      <c r="CP65" s="190">
        <v>64</v>
      </c>
      <c r="CQ65" s="190">
        <v>21</v>
      </c>
      <c r="CR65" s="190">
        <v>23</v>
      </c>
      <c r="CS65" s="190">
        <v>14</v>
      </c>
      <c r="CT65" s="190">
        <v>22</v>
      </c>
      <c r="CU65" s="190">
        <v>35</v>
      </c>
      <c r="CV65" s="190">
        <v>65</v>
      </c>
      <c r="CW65" s="286"/>
      <c r="CX65" s="273">
        <v>10540</v>
      </c>
      <c r="CY65" s="190">
        <v>11091</v>
      </c>
      <c r="CZ65" s="190">
        <v>12038</v>
      </c>
      <c r="DA65" s="190">
        <v>10944</v>
      </c>
      <c r="DB65" s="190">
        <v>9686</v>
      </c>
      <c r="DC65" s="190">
        <v>7115</v>
      </c>
      <c r="DD65" s="190">
        <v>6317</v>
      </c>
      <c r="DE65" s="190">
        <v>5961</v>
      </c>
      <c r="DF65" s="286"/>
      <c r="DG65" s="273">
        <v>37</v>
      </c>
      <c r="DH65" s="190">
        <v>37</v>
      </c>
      <c r="DI65" s="190">
        <v>33</v>
      </c>
      <c r="DJ65" s="190">
        <v>24</v>
      </c>
      <c r="DK65" s="190">
        <v>18</v>
      </c>
      <c r="DL65" s="190">
        <v>13</v>
      </c>
      <c r="DM65" s="190">
        <v>23</v>
      </c>
      <c r="DN65" s="190">
        <v>14</v>
      </c>
      <c r="DO65" s="286"/>
      <c r="DP65" s="273">
        <v>242</v>
      </c>
      <c r="DQ65" s="190">
        <v>216</v>
      </c>
      <c r="DR65" s="190">
        <v>186</v>
      </c>
      <c r="DS65" s="190">
        <v>187</v>
      </c>
      <c r="DT65" s="190">
        <v>172</v>
      </c>
      <c r="DU65" s="190">
        <v>136</v>
      </c>
      <c r="DV65" s="190">
        <v>101</v>
      </c>
      <c r="DW65" s="190">
        <v>89</v>
      </c>
      <c r="DX65" s="286"/>
      <c r="DY65" s="273">
        <v>1399</v>
      </c>
      <c r="DZ65" s="190">
        <v>1221</v>
      </c>
      <c r="EA65" s="190">
        <v>1499</v>
      </c>
      <c r="EB65" s="190">
        <v>1602</v>
      </c>
      <c r="EC65" s="190">
        <v>2032</v>
      </c>
      <c r="ED65" s="190">
        <v>1463</v>
      </c>
      <c r="EE65" s="190">
        <v>1379</v>
      </c>
      <c r="EF65" s="190">
        <v>1156</v>
      </c>
      <c r="EG65" s="286"/>
      <c r="EH65" s="273">
        <v>206</v>
      </c>
      <c r="EI65" s="190">
        <v>163</v>
      </c>
      <c r="EJ65" s="190">
        <v>234</v>
      </c>
      <c r="EK65" s="190">
        <v>196</v>
      </c>
      <c r="EL65" s="190">
        <v>200</v>
      </c>
      <c r="EM65" s="190">
        <v>129</v>
      </c>
      <c r="EN65" s="190">
        <v>98</v>
      </c>
      <c r="EO65" s="190">
        <v>85</v>
      </c>
      <c r="EP65" s="286"/>
      <c r="EQ65" s="273">
        <v>22</v>
      </c>
      <c r="ER65" s="190">
        <v>31</v>
      </c>
      <c r="ES65" s="190">
        <v>45</v>
      </c>
      <c r="ET65" s="190">
        <v>43</v>
      </c>
      <c r="EU65" s="190">
        <v>51</v>
      </c>
      <c r="EV65" s="190">
        <v>81</v>
      </c>
      <c r="EW65" s="190">
        <v>87</v>
      </c>
      <c r="EX65" s="190">
        <v>92</v>
      </c>
      <c r="EY65" s="286"/>
      <c r="EZ65" s="273">
        <v>91</v>
      </c>
      <c r="FA65" s="190">
        <v>47</v>
      </c>
      <c r="FB65" s="190">
        <v>130</v>
      </c>
      <c r="FC65" s="190">
        <v>76</v>
      </c>
      <c r="FD65" s="190">
        <v>60</v>
      </c>
      <c r="FE65" s="190">
        <v>36</v>
      </c>
      <c r="FF65" s="190">
        <v>58</v>
      </c>
      <c r="FG65" s="190">
        <v>21</v>
      </c>
      <c r="FH65" s="286"/>
      <c r="FI65" s="273">
        <v>679</v>
      </c>
      <c r="FJ65" s="190">
        <v>705</v>
      </c>
      <c r="FK65" s="190">
        <v>587</v>
      </c>
      <c r="FL65" s="190">
        <v>425</v>
      </c>
      <c r="FM65" s="190">
        <v>387</v>
      </c>
      <c r="FN65" s="190">
        <v>429</v>
      </c>
      <c r="FO65" s="190">
        <v>357</v>
      </c>
      <c r="FP65" s="190">
        <v>334</v>
      </c>
      <c r="FQ65" s="286"/>
      <c r="FR65" s="273">
        <v>72</v>
      </c>
      <c r="FS65" s="190">
        <v>47</v>
      </c>
      <c r="FT65" s="190">
        <v>47</v>
      </c>
      <c r="FU65" s="190">
        <v>43</v>
      </c>
      <c r="FV65" s="190">
        <v>38</v>
      </c>
      <c r="FW65" s="190">
        <v>24</v>
      </c>
      <c r="FX65" s="190">
        <v>26</v>
      </c>
      <c r="FY65" s="190">
        <v>22</v>
      </c>
      <c r="FZ65" s="286"/>
      <c r="GA65" s="273">
        <v>71</v>
      </c>
      <c r="GB65" s="190">
        <v>49</v>
      </c>
      <c r="GC65" s="190">
        <v>67</v>
      </c>
      <c r="GD65" s="190">
        <v>53</v>
      </c>
      <c r="GE65" s="190">
        <v>51</v>
      </c>
      <c r="GF65" s="190">
        <v>54</v>
      </c>
      <c r="GG65" s="190">
        <v>76</v>
      </c>
      <c r="GH65" s="190">
        <v>75</v>
      </c>
      <c r="GI65" s="286"/>
      <c r="GJ65" s="273">
        <v>14483</v>
      </c>
      <c r="GK65" s="190">
        <v>14833</v>
      </c>
      <c r="GL65" s="190">
        <v>15897</v>
      </c>
      <c r="GM65" s="190">
        <v>14596</v>
      </c>
      <c r="GN65" s="190">
        <v>13272</v>
      </c>
      <c r="GO65" s="190">
        <v>10650</v>
      </c>
      <c r="GP65" s="190">
        <v>9448</v>
      </c>
      <c r="GQ65" s="190">
        <v>8783</v>
      </c>
      <c r="GR65" s="286"/>
      <c r="GS65" s="273">
        <v>4146</v>
      </c>
      <c r="GT65" s="190">
        <v>4435</v>
      </c>
      <c r="GU65" s="190">
        <v>4229</v>
      </c>
      <c r="GV65" s="190">
        <v>3544</v>
      </c>
      <c r="GW65" s="190">
        <v>2475</v>
      </c>
      <c r="GX65" s="190">
        <v>2247</v>
      </c>
      <c r="GY65" s="190">
        <v>1946</v>
      </c>
      <c r="GZ65" s="190">
        <v>1901</v>
      </c>
      <c r="HA65" s="286"/>
      <c r="HB65" s="273">
        <v>34</v>
      </c>
      <c r="HC65" s="190">
        <v>41</v>
      </c>
      <c r="HD65" s="190">
        <v>34</v>
      </c>
      <c r="HE65" s="190">
        <v>33</v>
      </c>
      <c r="HF65" s="190">
        <v>34</v>
      </c>
      <c r="HG65" s="190">
        <v>17</v>
      </c>
      <c r="HH65" s="190">
        <v>20</v>
      </c>
      <c r="HI65" s="190">
        <v>24</v>
      </c>
      <c r="HJ65" s="286"/>
      <c r="HK65" s="273">
        <v>19</v>
      </c>
      <c r="HL65" s="190">
        <v>14</v>
      </c>
      <c r="HM65" s="190">
        <v>4</v>
      </c>
      <c r="HN65" s="190">
        <v>11</v>
      </c>
      <c r="HO65" s="190">
        <v>8</v>
      </c>
      <c r="HP65" s="190">
        <v>12</v>
      </c>
      <c r="HQ65" s="190">
        <v>10</v>
      </c>
      <c r="HR65" s="190">
        <v>15</v>
      </c>
      <c r="HS65" s="286"/>
      <c r="HT65" s="273">
        <v>5803</v>
      </c>
      <c r="HU65" s="190">
        <v>5720</v>
      </c>
      <c r="HV65" s="190">
        <v>5270</v>
      </c>
      <c r="HW65" s="190">
        <v>4697</v>
      </c>
      <c r="HX65" s="190">
        <v>3776</v>
      </c>
      <c r="HY65" s="190">
        <v>3627</v>
      </c>
      <c r="HZ65" s="190">
        <v>3419</v>
      </c>
      <c r="IA65" s="190">
        <v>3276</v>
      </c>
      <c r="IB65" s="286"/>
      <c r="IC65" s="273">
        <v>26103</v>
      </c>
      <c r="ID65" s="190">
        <v>22255</v>
      </c>
      <c r="IE65" s="190">
        <v>27018</v>
      </c>
      <c r="IF65" s="190">
        <v>23424</v>
      </c>
      <c r="IG65" s="190">
        <v>18915</v>
      </c>
      <c r="IH65" s="190">
        <v>16617</v>
      </c>
      <c r="II65" s="190">
        <v>14991</v>
      </c>
      <c r="IJ65" s="190">
        <v>14315</v>
      </c>
      <c r="IK65" s="286"/>
    </row>
    <row r="66" spans="1:245" x14ac:dyDescent="0.2">
      <c r="A66" s="960" t="s">
        <v>583</v>
      </c>
      <c r="B66" s="146" t="s">
        <v>584</v>
      </c>
      <c r="C66" s="147">
        <v>5</v>
      </c>
      <c r="D66" s="148">
        <v>9</v>
      </c>
      <c r="E66" s="148">
        <v>4</v>
      </c>
      <c r="F66" s="148">
        <v>10</v>
      </c>
      <c r="G66" s="149">
        <v>4</v>
      </c>
      <c r="H66" s="168">
        <v>5</v>
      </c>
      <c r="I66" s="282">
        <v>11</v>
      </c>
      <c r="J66" s="282">
        <v>5</v>
      </c>
      <c r="K66" s="150"/>
      <c r="L66" s="147">
        <v>4</v>
      </c>
      <c r="M66" s="148">
        <v>8</v>
      </c>
      <c r="N66" s="148">
        <v>2</v>
      </c>
      <c r="O66" s="148">
        <v>7</v>
      </c>
      <c r="P66" s="149">
        <v>2</v>
      </c>
      <c r="Q66" s="168">
        <v>1</v>
      </c>
      <c r="R66" s="282">
        <v>1</v>
      </c>
      <c r="S66" s="282">
        <v>2</v>
      </c>
      <c r="T66" s="150"/>
      <c r="U66" s="147">
        <v>1</v>
      </c>
      <c r="V66" s="148"/>
      <c r="W66" s="148">
        <v>2</v>
      </c>
      <c r="X66" s="148">
        <v>3</v>
      </c>
      <c r="Y66" s="149">
        <v>1</v>
      </c>
      <c r="Z66" s="168">
        <v>3</v>
      </c>
      <c r="AA66" s="282">
        <v>7</v>
      </c>
      <c r="AB66" s="282">
        <v>3</v>
      </c>
      <c r="AC66" s="150"/>
      <c r="AD66" s="147">
        <v>25</v>
      </c>
      <c r="AE66" s="148">
        <v>29</v>
      </c>
      <c r="AF66" s="148">
        <v>47</v>
      </c>
      <c r="AG66" s="148">
        <v>36</v>
      </c>
      <c r="AH66" s="149">
        <v>24</v>
      </c>
      <c r="AI66" s="168">
        <v>20</v>
      </c>
      <c r="AJ66" s="282">
        <v>18</v>
      </c>
      <c r="AK66" s="282">
        <v>16</v>
      </c>
      <c r="AL66" s="150"/>
      <c r="AM66" s="147">
        <v>22</v>
      </c>
      <c r="AN66" s="148">
        <v>25</v>
      </c>
      <c r="AO66" s="148">
        <v>27</v>
      </c>
      <c r="AP66" s="148">
        <v>27</v>
      </c>
      <c r="AQ66" s="149">
        <v>19</v>
      </c>
      <c r="AR66" s="168">
        <v>11</v>
      </c>
      <c r="AS66" s="282">
        <v>14</v>
      </c>
      <c r="AT66" s="282">
        <v>13</v>
      </c>
      <c r="AU66" s="150"/>
      <c r="AV66" s="147">
        <v>1</v>
      </c>
      <c r="AW66" s="148">
        <v>4</v>
      </c>
      <c r="AX66" s="148">
        <v>2</v>
      </c>
      <c r="AY66" s="148">
        <v>4</v>
      </c>
      <c r="AZ66" s="149">
        <v>1</v>
      </c>
      <c r="BA66" s="168">
        <v>1</v>
      </c>
      <c r="BB66" s="282">
        <v>2</v>
      </c>
      <c r="BC66" s="282">
        <v>2</v>
      </c>
      <c r="BD66" s="150"/>
      <c r="BE66" s="147">
        <v>1</v>
      </c>
      <c r="BF66" s="148">
        <v>2</v>
      </c>
      <c r="BG66" s="148">
        <v>8</v>
      </c>
      <c r="BH66" s="148">
        <v>14</v>
      </c>
      <c r="BI66" s="149">
        <v>3</v>
      </c>
      <c r="BJ66" s="168">
        <v>3</v>
      </c>
      <c r="BK66" s="282">
        <v>2</v>
      </c>
      <c r="BL66" s="282">
        <v>3</v>
      </c>
      <c r="BM66" s="150"/>
      <c r="BN66" s="147">
        <v>27</v>
      </c>
      <c r="BO66" s="148">
        <v>33</v>
      </c>
      <c r="BP66" s="148">
        <v>58</v>
      </c>
      <c r="BQ66" s="148">
        <v>62</v>
      </c>
      <c r="BR66" s="149">
        <v>115</v>
      </c>
      <c r="BS66" s="168">
        <v>171</v>
      </c>
      <c r="BT66" s="282">
        <v>76</v>
      </c>
      <c r="BU66" s="282">
        <v>34</v>
      </c>
      <c r="BV66" s="150"/>
      <c r="BW66" s="147">
        <v>5</v>
      </c>
      <c r="BX66" s="148">
        <v>12</v>
      </c>
      <c r="BY66" s="148">
        <v>31</v>
      </c>
      <c r="BZ66" s="148">
        <v>12</v>
      </c>
      <c r="CA66" s="149">
        <v>8</v>
      </c>
      <c r="CB66" s="168">
        <v>13</v>
      </c>
      <c r="CC66" s="282">
        <v>5</v>
      </c>
      <c r="CD66" s="282">
        <v>8</v>
      </c>
      <c r="CE66" s="150"/>
      <c r="CF66" s="147">
        <v>2</v>
      </c>
      <c r="CG66" s="148">
        <v>1</v>
      </c>
      <c r="CH66" s="148">
        <v>1</v>
      </c>
      <c r="CI66" s="148">
        <v>3</v>
      </c>
      <c r="CJ66" s="149">
        <v>1</v>
      </c>
      <c r="CK66" s="168"/>
      <c r="CL66" s="282">
        <v>1</v>
      </c>
      <c r="CM66" s="282">
        <v>1</v>
      </c>
      <c r="CN66" s="150"/>
      <c r="CO66" s="147">
        <v>1</v>
      </c>
      <c r="CP66" s="148">
        <v>2</v>
      </c>
      <c r="CQ66" s="148"/>
      <c r="CR66" s="148">
        <v>2</v>
      </c>
      <c r="CS66" s="149">
        <v>1</v>
      </c>
      <c r="CT66" s="168">
        <v>1</v>
      </c>
      <c r="CU66" s="282">
        <v>4</v>
      </c>
      <c r="CV66" s="282">
        <v>4</v>
      </c>
      <c r="CW66" s="150"/>
      <c r="CX66" s="147">
        <v>32</v>
      </c>
      <c r="CY66" s="148">
        <v>9</v>
      </c>
      <c r="CZ66" s="148">
        <v>29</v>
      </c>
      <c r="DA66" s="148">
        <v>26</v>
      </c>
      <c r="DB66" s="149">
        <v>12</v>
      </c>
      <c r="DC66" s="168">
        <v>15</v>
      </c>
      <c r="DD66" s="282">
        <v>1</v>
      </c>
      <c r="DE66" s="282">
        <v>8</v>
      </c>
      <c r="DF66" s="150"/>
      <c r="DG66" s="147"/>
      <c r="DH66" s="148"/>
      <c r="DI66" s="148"/>
      <c r="DJ66" s="148"/>
      <c r="DK66" s="149"/>
      <c r="DL66" s="168"/>
      <c r="DM66" s="282"/>
      <c r="DN66" s="282"/>
      <c r="DO66" s="150"/>
      <c r="DP66" s="147"/>
      <c r="DQ66" s="148">
        <v>1</v>
      </c>
      <c r="DR66" s="148"/>
      <c r="DS66" s="148"/>
      <c r="DT66" s="149"/>
      <c r="DU66" s="168"/>
      <c r="DV66" s="282"/>
      <c r="DW66" s="282"/>
      <c r="DX66" s="150"/>
      <c r="DY66" s="147"/>
      <c r="DZ66" s="148">
        <v>1</v>
      </c>
      <c r="EA66" s="148">
        <v>1</v>
      </c>
      <c r="EB66" s="148"/>
      <c r="EC66" s="149"/>
      <c r="ED66" s="168">
        <v>3</v>
      </c>
      <c r="EE66" s="282"/>
      <c r="EF66" s="282"/>
      <c r="EG66" s="150"/>
      <c r="EH66" s="147">
        <v>1</v>
      </c>
      <c r="EI66" s="148">
        <v>6</v>
      </c>
      <c r="EJ66" s="148">
        <v>11</v>
      </c>
      <c r="EK66" s="148">
        <v>13</v>
      </c>
      <c r="EL66" s="149">
        <v>2</v>
      </c>
      <c r="EM66" s="168">
        <v>2</v>
      </c>
      <c r="EN66" s="282">
        <v>8</v>
      </c>
      <c r="EO66" s="282">
        <v>1</v>
      </c>
      <c r="EP66" s="150"/>
      <c r="EQ66" s="147">
        <v>2</v>
      </c>
      <c r="ER66" s="148">
        <v>1</v>
      </c>
      <c r="ES66" s="148"/>
      <c r="ET66" s="148">
        <v>2</v>
      </c>
      <c r="EU66" s="149">
        <v>1</v>
      </c>
      <c r="EV66" s="168">
        <v>1</v>
      </c>
      <c r="EW66" s="282"/>
      <c r="EX66" s="282"/>
      <c r="EY66" s="150"/>
      <c r="EZ66" s="147">
        <v>3</v>
      </c>
      <c r="FA66" s="148"/>
      <c r="FB66" s="148">
        <v>5</v>
      </c>
      <c r="FC66" s="148">
        <v>5</v>
      </c>
      <c r="FD66" s="149">
        <v>7</v>
      </c>
      <c r="FE66" s="168"/>
      <c r="FF66" s="282"/>
      <c r="FG66" s="282"/>
      <c r="FH66" s="150"/>
      <c r="FI66" s="147">
        <v>6</v>
      </c>
      <c r="FJ66" s="148">
        <v>6</v>
      </c>
      <c r="FK66" s="148">
        <v>3</v>
      </c>
      <c r="FL66" s="148">
        <v>6</v>
      </c>
      <c r="FM66" s="149">
        <v>1</v>
      </c>
      <c r="FN66" s="168"/>
      <c r="FO66" s="282">
        <v>4</v>
      </c>
      <c r="FP66" s="282">
        <v>2</v>
      </c>
      <c r="FQ66" s="150"/>
      <c r="FR66" s="147">
        <v>1</v>
      </c>
      <c r="FS66" s="148">
        <v>1</v>
      </c>
      <c r="FT66" s="148"/>
      <c r="FU66" s="148">
        <v>1</v>
      </c>
      <c r="FV66" s="149">
        <v>1</v>
      </c>
      <c r="FW66" s="168"/>
      <c r="FX66" s="282"/>
      <c r="FY66" s="282">
        <v>1</v>
      </c>
      <c r="FZ66" s="150"/>
      <c r="GA66" s="147">
        <v>1</v>
      </c>
      <c r="GB66" s="148">
        <v>1</v>
      </c>
      <c r="GC66" s="148"/>
      <c r="GD66" s="148">
        <v>1</v>
      </c>
      <c r="GE66" s="149"/>
      <c r="GF66" s="168"/>
      <c r="GG66" s="282"/>
      <c r="GH66" s="282">
        <v>1</v>
      </c>
      <c r="GI66" s="150"/>
      <c r="GJ66" s="147">
        <v>112</v>
      </c>
      <c r="GK66" s="148">
        <v>112</v>
      </c>
      <c r="GL66" s="148">
        <v>197</v>
      </c>
      <c r="GM66" s="148">
        <v>193</v>
      </c>
      <c r="GN66" s="149">
        <v>180</v>
      </c>
      <c r="GO66" s="168">
        <v>231</v>
      </c>
      <c r="GP66" s="282">
        <v>130</v>
      </c>
      <c r="GQ66" s="282">
        <v>84</v>
      </c>
      <c r="GR66" s="150"/>
      <c r="GS66" s="147">
        <v>11</v>
      </c>
      <c r="GT66" s="148">
        <v>27</v>
      </c>
      <c r="GU66" s="148">
        <v>48</v>
      </c>
      <c r="GV66" s="148">
        <v>55</v>
      </c>
      <c r="GW66" s="149">
        <v>91</v>
      </c>
      <c r="GX66" s="168">
        <v>111</v>
      </c>
      <c r="GY66" s="282">
        <v>64</v>
      </c>
      <c r="GZ66" s="282">
        <v>32</v>
      </c>
      <c r="HA66" s="150"/>
      <c r="HB66" s="147"/>
      <c r="HC66" s="148">
        <v>1</v>
      </c>
      <c r="HD66" s="148"/>
      <c r="HE66" s="148">
        <v>1</v>
      </c>
      <c r="HF66" s="149"/>
      <c r="HG66" s="168"/>
      <c r="HH66" s="282"/>
      <c r="HI66" s="282"/>
      <c r="HJ66" s="150"/>
      <c r="HK66" s="147"/>
      <c r="HL66" s="148">
        <v>1</v>
      </c>
      <c r="HM66" s="148"/>
      <c r="HN66" s="148">
        <v>1</v>
      </c>
      <c r="HO66" s="149"/>
      <c r="HP66" s="168"/>
      <c r="HQ66" s="282"/>
      <c r="HR66" s="282"/>
      <c r="HS66" s="150"/>
      <c r="HT66" s="147">
        <v>25</v>
      </c>
      <c r="HU66" s="148">
        <v>45</v>
      </c>
      <c r="HV66" s="148">
        <v>70</v>
      </c>
      <c r="HW66" s="148">
        <v>96</v>
      </c>
      <c r="HX66" s="149">
        <v>121</v>
      </c>
      <c r="HY66" s="168">
        <v>135</v>
      </c>
      <c r="HZ66" s="282">
        <v>86</v>
      </c>
      <c r="IA66" s="282">
        <v>50</v>
      </c>
      <c r="IB66" s="150"/>
      <c r="IC66" s="147">
        <v>549</v>
      </c>
      <c r="ID66" s="148">
        <v>747</v>
      </c>
      <c r="IE66" s="148">
        <v>1669</v>
      </c>
      <c r="IF66" s="148">
        <v>632</v>
      </c>
      <c r="IG66" s="149">
        <v>504</v>
      </c>
      <c r="IH66" s="168">
        <v>621</v>
      </c>
      <c r="II66" s="282">
        <v>858</v>
      </c>
      <c r="IJ66" s="282">
        <v>314</v>
      </c>
      <c r="IK66" s="150"/>
    </row>
    <row r="67" spans="1:245" x14ac:dyDescent="0.2">
      <c r="A67" s="961"/>
      <c r="B67" s="151" t="s">
        <v>678</v>
      </c>
      <c r="C67" s="152"/>
      <c r="D67" s="153"/>
      <c r="E67" s="153"/>
      <c r="F67" s="153"/>
      <c r="G67" s="154"/>
      <c r="H67" s="154"/>
      <c r="I67" s="279"/>
      <c r="J67" s="279"/>
      <c r="K67" s="155"/>
      <c r="L67" s="152"/>
      <c r="M67" s="153"/>
      <c r="N67" s="153"/>
      <c r="O67" s="153"/>
      <c r="P67" s="154"/>
      <c r="Q67" s="154"/>
      <c r="R67" s="279"/>
      <c r="S67" s="279"/>
      <c r="T67" s="155"/>
      <c r="U67" s="152"/>
      <c r="V67" s="153"/>
      <c r="W67" s="153"/>
      <c r="X67" s="153"/>
      <c r="Y67" s="154"/>
      <c r="Z67" s="154"/>
      <c r="AA67" s="279"/>
      <c r="AB67" s="279"/>
      <c r="AC67" s="155"/>
      <c r="AD67" s="152">
        <v>210</v>
      </c>
      <c r="AE67" s="153">
        <v>236</v>
      </c>
      <c r="AF67" s="153">
        <v>184</v>
      </c>
      <c r="AG67" s="153">
        <v>184</v>
      </c>
      <c r="AH67" s="154">
        <v>205</v>
      </c>
      <c r="AI67" s="154">
        <v>191</v>
      </c>
      <c r="AJ67" s="279">
        <v>142</v>
      </c>
      <c r="AK67" s="279">
        <v>158</v>
      </c>
      <c r="AL67" s="155"/>
      <c r="AM67" s="152">
        <v>122</v>
      </c>
      <c r="AN67" s="153">
        <v>127</v>
      </c>
      <c r="AO67" s="153">
        <v>97</v>
      </c>
      <c r="AP67" s="153">
        <v>103</v>
      </c>
      <c r="AQ67" s="154">
        <v>103</v>
      </c>
      <c r="AR67" s="154">
        <v>100</v>
      </c>
      <c r="AS67" s="279">
        <v>69</v>
      </c>
      <c r="AT67" s="279">
        <v>79</v>
      </c>
      <c r="AU67" s="155"/>
      <c r="AV67" s="152"/>
      <c r="AW67" s="153"/>
      <c r="AX67" s="153"/>
      <c r="AY67" s="153"/>
      <c r="AZ67" s="154"/>
      <c r="BA67" s="154"/>
      <c r="BB67" s="279"/>
      <c r="BC67" s="279"/>
      <c r="BD67" s="155"/>
      <c r="BE67" s="152">
        <v>19</v>
      </c>
      <c r="BF67" s="153">
        <v>53</v>
      </c>
      <c r="BG67" s="153">
        <v>34</v>
      </c>
      <c r="BH67" s="153">
        <v>34</v>
      </c>
      <c r="BI67" s="154">
        <v>31</v>
      </c>
      <c r="BJ67" s="154">
        <v>45</v>
      </c>
      <c r="BK67" s="279">
        <v>15</v>
      </c>
      <c r="BL67" s="279">
        <v>23</v>
      </c>
      <c r="BM67" s="155"/>
      <c r="BN67" s="152"/>
      <c r="BO67" s="153"/>
      <c r="BP67" s="153"/>
      <c r="BQ67" s="153"/>
      <c r="BR67" s="154"/>
      <c r="BS67" s="154">
        <v>1</v>
      </c>
      <c r="BT67" s="279"/>
      <c r="BU67" s="279"/>
      <c r="BV67" s="155"/>
      <c r="BW67" s="152">
        <v>242</v>
      </c>
      <c r="BX67" s="153">
        <v>311</v>
      </c>
      <c r="BY67" s="153">
        <v>315</v>
      </c>
      <c r="BZ67" s="153">
        <v>293</v>
      </c>
      <c r="CA67" s="154">
        <v>274</v>
      </c>
      <c r="CB67" s="154">
        <v>183</v>
      </c>
      <c r="CC67" s="279">
        <v>202</v>
      </c>
      <c r="CD67" s="279">
        <v>196</v>
      </c>
      <c r="CE67" s="155"/>
      <c r="CF67" s="152">
        <v>28</v>
      </c>
      <c r="CG67" s="153">
        <v>13</v>
      </c>
      <c r="CH67" s="153">
        <v>13</v>
      </c>
      <c r="CI67" s="153">
        <v>18</v>
      </c>
      <c r="CJ67" s="154">
        <v>17</v>
      </c>
      <c r="CK67" s="154">
        <v>14</v>
      </c>
      <c r="CL67" s="279">
        <v>4</v>
      </c>
      <c r="CM67" s="279">
        <v>9</v>
      </c>
      <c r="CN67" s="155"/>
      <c r="CO67" s="152">
        <v>18</v>
      </c>
      <c r="CP67" s="153">
        <v>12</v>
      </c>
      <c r="CQ67" s="153">
        <v>9</v>
      </c>
      <c r="CR67" s="153">
        <v>2</v>
      </c>
      <c r="CS67" s="154">
        <v>5</v>
      </c>
      <c r="CT67" s="154">
        <v>5</v>
      </c>
      <c r="CU67" s="279">
        <v>9</v>
      </c>
      <c r="CV67" s="279">
        <v>3</v>
      </c>
      <c r="CW67" s="155"/>
      <c r="CX67" s="152">
        <v>3871</v>
      </c>
      <c r="CY67" s="153">
        <v>3768</v>
      </c>
      <c r="CZ67" s="153">
        <v>3583</v>
      </c>
      <c r="DA67" s="153">
        <v>3378</v>
      </c>
      <c r="DB67" s="154">
        <v>2799</v>
      </c>
      <c r="DC67" s="154">
        <v>2254</v>
      </c>
      <c r="DD67" s="279">
        <v>1860</v>
      </c>
      <c r="DE67" s="279">
        <v>1662</v>
      </c>
      <c r="DF67" s="155"/>
      <c r="DG67" s="152">
        <v>52</v>
      </c>
      <c r="DH67" s="153">
        <v>26</v>
      </c>
      <c r="DI67" s="153">
        <v>29</v>
      </c>
      <c r="DJ67" s="153">
        <v>29</v>
      </c>
      <c r="DK67" s="154">
        <v>29</v>
      </c>
      <c r="DL67" s="154">
        <v>17</v>
      </c>
      <c r="DM67" s="279">
        <v>5</v>
      </c>
      <c r="DN67" s="279">
        <v>8</v>
      </c>
      <c r="DO67" s="155"/>
      <c r="DP67" s="152">
        <v>172</v>
      </c>
      <c r="DQ67" s="153">
        <v>204</v>
      </c>
      <c r="DR67" s="153">
        <v>98</v>
      </c>
      <c r="DS67" s="153">
        <v>151</v>
      </c>
      <c r="DT67" s="154">
        <v>135</v>
      </c>
      <c r="DU67" s="154">
        <v>69</v>
      </c>
      <c r="DV67" s="279">
        <v>81</v>
      </c>
      <c r="DW67" s="279">
        <v>24</v>
      </c>
      <c r="DX67" s="155"/>
      <c r="DY67" s="152">
        <v>322</v>
      </c>
      <c r="DZ67" s="153">
        <v>284</v>
      </c>
      <c r="EA67" s="153">
        <v>388</v>
      </c>
      <c r="EB67" s="153">
        <v>320</v>
      </c>
      <c r="EC67" s="154">
        <v>272</v>
      </c>
      <c r="ED67" s="154">
        <v>292</v>
      </c>
      <c r="EE67" s="279">
        <v>267</v>
      </c>
      <c r="EF67" s="279">
        <v>173</v>
      </c>
      <c r="EG67" s="155"/>
      <c r="EH67" s="152">
        <v>56</v>
      </c>
      <c r="EI67" s="153">
        <v>65</v>
      </c>
      <c r="EJ67" s="153">
        <v>75</v>
      </c>
      <c r="EK67" s="153">
        <v>36</v>
      </c>
      <c r="EL67" s="154">
        <v>25</v>
      </c>
      <c r="EM67" s="154">
        <v>28</v>
      </c>
      <c r="EN67" s="279">
        <v>34</v>
      </c>
      <c r="EO67" s="279">
        <v>20</v>
      </c>
      <c r="EP67" s="155"/>
      <c r="EQ67" s="152">
        <v>25</v>
      </c>
      <c r="ER67" s="153">
        <v>40</v>
      </c>
      <c r="ES67" s="153">
        <v>52</v>
      </c>
      <c r="ET67" s="153">
        <v>42</v>
      </c>
      <c r="EU67" s="154">
        <v>45</v>
      </c>
      <c r="EV67" s="154">
        <v>43</v>
      </c>
      <c r="EW67" s="279">
        <v>73</v>
      </c>
      <c r="EX67" s="279">
        <v>33</v>
      </c>
      <c r="EY67" s="155"/>
      <c r="EZ67" s="152">
        <v>11</v>
      </c>
      <c r="FA67" s="153">
        <v>16</v>
      </c>
      <c r="FB67" s="153">
        <v>7</v>
      </c>
      <c r="FC67" s="153">
        <v>6</v>
      </c>
      <c r="FD67" s="154">
        <v>7</v>
      </c>
      <c r="FE67" s="154">
        <v>5</v>
      </c>
      <c r="FF67" s="279">
        <v>5</v>
      </c>
      <c r="FG67" s="279">
        <v>6</v>
      </c>
      <c r="FH67" s="155"/>
      <c r="FI67" s="152">
        <v>478</v>
      </c>
      <c r="FJ67" s="153">
        <v>440</v>
      </c>
      <c r="FK67" s="153">
        <v>300</v>
      </c>
      <c r="FL67" s="153">
        <v>166</v>
      </c>
      <c r="FM67" s="154">
        <v>180</v>
      </c>
      <c r="FN67" s="154">
        <v>163</v>
      </c>
      <c r="FO67" s="279">
        <v>156</v>
      </c>
      <c r="FP67" s="279">
        <v>178</v>
      </c>
      <c r="FQ67" s="155"/>
      <c r="FR67" s="152">
        <v>24</v>
      </c>
      <c r="FS67" s="153">
        <v>22</v>
      </c>
      <c r="FT67" s="153">
        <v>14</v>
      </c>
      <c r="FU67" s="153">
        <v>7</v>
      </c>
      <c r="FV67" s="154">
        <v>19</v>
      </c>
      <c r="FW67" s="154">
        <v>12</v>
      </c>
      <c r="FX67" s="279">
        <v>3</v>
      </c>
      <c r="FY67" s="279">
        <v>4</v>
      </c>
      <c r="FZ67" s="155"/>
      <c r="GA67" s="152">
        <v>20</v>
      </c>
      <c r="GB67" s="153">
        <v>32</v>
      </c>
      <c r="GC67" s="153">
        <v>26</v>
      </c>
      <c r="GD67" s="153">
        <v>18</v>
      </c>
      <c r="GE67" s="154">
        <v>13</v>
      </c>
      <c r="GF67" s="154">
        <v>28</v>
      </c>
      <c r="GG67" s="279">
        <v>49</v>
      </c>
      <c r="GH67" s="279">
        <v>15</v>
      </c>
      <c r="GI67" s="155"/>
      <c r="GJ67" s="152">
        <v>5002</v>
      </c>
      <c r="GK67" s="153">
        <v>5008</v>
      </c>
      <c r="GL67" s="153">
        <v>4612</v>
      </c>
      <c r="GM67" s="153">
        <v>4184</v>
      </c>
      <c r="GN67" s="154">
        <v>3620</v>
      </c>
      <c r="GO67" s="154">
        <v>2972</v>
      </c>
      <c r="GP67" s="279">
        <v>2552</v>
      </c>
      <c r="GQ67" s="279">
        <v>2307</v>
      </c>
      <c r="GR67" s="155"/>
      <c r="GS67" s="152">
        <v>1760</v>
      </c>
      <c r="GT67" s="153">
        <v>1868</v>
      </c>
      <c r="GU67" s="153">
        <v>1767</v>
      </c>
      <c r="GV67" s="153">
        <v>1263</v>
      </c>
      <c r="GW67" s="154">
        <v>840</v>
      </c>
      <c r="GX67" s="154">
        <v>633</v>
      </c>
      <c r="GY67" s="279">
        <v>570</v>
      </c>
      <c r="GZ67" s="279">
        <v>383</v>
      </c>
      <c r="HA67" s="155"/>
      <c r="HB67" s="152">
        <v>24</v>
      </c>
      <c r="HC67" s="153">
        <v>14</v>
      </c>
      <c r="HD67" s="153">
        <v>7</v>
      </c>
      <c r="HE67" s="153">
        <v>13</v>
      </c>
      <c r="HF67" s="154">
        <v>12</v>
      </c>
      <c r="HG67" s="154">
        <v>8</v>
      </c>
      <c r="HH67" s="279">
        <v>15</v>
      </c>
      <c r="HI67" s="279">
        <v>4</v>
      </c>
      <c r="HJ67" s="155"/>
      <c r="HK67" s="152">
        <v>7</v>
      </c>
      <c r="HL67" s="153">
        <v>3</v>
      </c>
      <c r="HM67" s="153">
        <v>6</v>
      </c>
      <c r="HN67" s="153">
        <v>8</v>
      </c>
      <c r="HO67" s="154">
        <v>3</v>
      </c>
      <c r="HP67" s="154">
        <v>5</v>
      </c>
      <c r="HQ67" s="279">
        <v>7</v>
      </c>
      <c r="HR67" s="279"/>
      <c r="HS67" s="155"/>
      <c r="HT67" s="152">
        <v>2325</v>
      </c>
      <c r="HU67" s="153">
        <v>2355</v>
      </c>
      <c r="HV67" s="153">
        <v>2125</v>
      </c>
      <c r="HW67" s="153">
        <v>1695</v>
      </c>
      <c r="HX67" s="154">
        <v>1326</v>
      </c>
      <c r="HY67" s="154">
        <v>1128</v>
      </c>
      <c r="HZ67" s="279">
        <v>1056</v>
      </c>
      <c r="IA67" s="279">
        <v>828</v>
      </c>
      <c r="IB67" s="155"/>
      <c r="IC67" s="152">
        <v>13212</v>
      </c>
      <c r="ID67" s="153">
        <v>13347</v>
      </c>
      <c r="IE67" s="153">
        <v>10402</v>
      </c>
      <c r="IF67" s="153">
        <v>7028</v>
      </c>
      <c r="IG67" s="154">
        <v>5990</v>
      </c>
      <c r="IH67" s="154">
        <v>6504</v>
      </c>
      <c r="II67" s="279">
        <v>8041</v>
      </c>
      <c r="IJ67" s="279">
        <v>4806</v>
      </c>
      <c r="IK67" s="155"/>
    </row>
    <row r="68" spans="1:245" x14ac:dyDescent="0.2">
      <c r="A68" s="961"/>
      <c r="B68" s="151" t="s">
        <v>679</v>
      </c>
      <c r="C68" s="152"/>
      <c r="D68" s="153"/>
      <c r="E68" s="153"/>
      <c r="F68" s="153"/>
      <c r="G68" s="154"/>
      <c r="H68" s="154"/>
      <c r="I68" s="279"/>
      <c r="J68" s="279"/>
      <c r="K68" s="155"/>
      <c r="L68" s="152"/>
      <c r="M68" s="153"/>
      <c r="N68" s="153"/>
      <c r="O68" s="153"/>
      <c r="P68" s="154"/>
      <c r="Q68" s="154"/>
      <c r="R68" s="279"/>
      <c r="S68" s="279"/>
      <c r="T68" s="155"/>
      <c r="U68" s="152"/>
      <c r="V68" s="153"/>
      <c r="W68" s="153"/>
      <c r="X68" s="153"/>
      <c r="Y68" s="154"/>
      <c r="Z68" s="154"/>
      <c r="AA68" s="279"/>
      <c r="AB68" s="279"/>
      <c r="AC68" s="155"/>
      <c r="AD68" s="152">
        <v>29</v>
      </c>
      <c r="AE68" s="153">
        <v>35</v>
      </c>
      <c r="AF68" s="153">
        <v>19</v>
      </c>
      <c r="AG68" s="153">
        <v>22</v>
      </c>
      <c r="AH68" s="154">
        <v>18</v>
      </c>
      <c r="AI68" s="154">
        <v>10</v>
      </c>
      <c r="AJ68" s="279">
        <v>12</v>
      </c>
      <c r="AK68" s="279">
        <v>5</v>
      </c>
      <c r="AL68" s="155"/>
      <c r="AM68" s="152">
        <v>7</v>
      </c>
      <c r="AN68" s="153">
        <v>13</v>
      </c>
      <c r="AO68" s="153">
        <v>10</v>
      </c>
      <c r="AP68" s="153">
        <v>8</v>
      </c>
      <c r="AQ68" s="154">
        <v>9</v>
      </c>
      <c r="AR68" s="154">
        <v>7</v>
      </c>
      <c r="AS68" s="279">
        <v>7</v>
      </c>
      <c r="AT68" s="279"/>
      <c r="AU68" s="155"/>
      <c r="AV68" s="152"/>
      <c r="AW68" s="153"/>
      <c r="AX68" s="153"/>
      <c r="AY68" s="153"/>
      <c r="AZ68" s="154"/>
      <c r="BA68" s="154"/>
      <c r="BB68" s="279"/>
      <c r="BC68" s="279"/>
      <c r="BD68" s="155"/>
      <c r="BE68" s="152">
        <v>34</v>
      </c>
      <c r="BF68" s="153">
        <v>3</v>
      </c>
      <c r="BG68" s="153">
        <v>11</v>
      </c>
      <c r="BH68" s="153">
        <v>2</v>
      </c>
      <c r="BI68" s="154">
        <v>1</v>
      </c>
      <c r="BJ68" s="154">
        <v>4</v>
      </c>
      <c r="BK68" s="279"/>
      <c r="BL68" s="279">
        <v>1</v>
      </c>
      <c r="BM68" s="155"/>
      <c r="BN68" s="152"/>
      <c r="BO68" s="153"/>
      <c r="BP68" s="153"/>
      <c r="BQ68" s="153"/>
      <c r="BR68" s="154"/>
      <c r="BS68" s="154"/>
      <c r="BT68" s="279"/>
      <c r="BU68" s="279"/>
      <c r="BV68" s="155"/>
      <c r="BW68" s="152">
        <v>36</v>
      </c>
      <c r="BX68" s="153">
        <v>25</v>
      </c>
      <c r="BY68" s="153">
        <v>21</v>
      </c>
      <c r="BZ68" s="153">
        <v>33</v>
      </c>
      <c r="CA68" s="154">
        <v>25</v>
      </c>
      <c r="CB68" s="154">
        <v>30</v>
      </c>
      <c r="CC68" s="279">
        <v>22</v>
      </c>
      <c r="CD68" s="279">
        <v>17</v>
      </c>
      <c r="CE68" s="155"/>
      <c r="CF68" s="152">
        <v>4</v>
      </c>
      <c r="CG68" s="153"/>
      <c r="CH68" s="153"/>
      <c r="CI68" s="153">
        <v>4</v>
      </c>
      <c r="CJ68" s="154">
        <v>1</v>
      </c>
      <c r="CK68" s="154"/>
      <c r="CL68" s="279"/>
      <c r="CM68" s="279"/>
      <c r="CN68" s="155"/>
      <c r="CO68" s="152">
        <v>4</v>
      </c>
      <c r="CP68" s="153"/>
      <c r="CQ68" s="153"/>
      <c r="CR68" s="153">
        <v>3</v>
      </c>
      <c r="CS68" s="154">
        <v>1</v>
      </c>
      <c r="CT68" s="154"/>
      <c r="CU68" s="279"/>
      <c r="CV68" s="279"/>
      <c r="CW68" s="155"/>
      <c r="CX68" s="152">
        <v>404</v>
      </c>
      <c r="CY68" s="153">
        <v>429</v>
      </c>
      <c r="CZ68" s="153">
        <v>434</v>
      </c>
      <c r="DA68" s="153">
        <v>366</v>
      </c>
      <c r="DB68" s="154">
        <v>304</v>
      </c>
      <c r="DC68" s="154">
        <v>177</v>
      </c>
      <c r="DD68" s="279">
        <v>135</v>
      </c>
      <c r="DE68" s="279">
        <v>133</v>
      </c>
      <c r="DF68" s="155"/>
      <c r="DG68" s="152"/>
      <c r="DH68" s="153"/>
      <c r="DI68" s="153">
        <v>2</v>
      </c>
      <c r="DJ68" s="153">
        <v>1</v>
      </c>
      <c r="DK68" s="154"/>
      <c r="DL68" s="154"/>
      <c r="DM68" s="279"/>
      <c r="DN68" s="279"/>
      <c r="DO68" s="155"/>
      <c r="DP68" s="152">
        <v>18</v>
      </c>
      <c r="DQ68" s="153">
        <v>17</v>
      </c>
      <c r="DR68" s="153">
        <v>12</v>
      </c>
      <c r="DS68" s="153">
        <v>4</v>
      </c>
      <c r="DT68" s="154">
        <v>6</v>
      </c>
      <c r="DU68" s="154">
        <v>4</v>
      </c>
      <c r="DV68" s="279"/>
      <c r="DW68" s="279">
        <v>4</v>
      </c>
      <c r="DX68" s="155"/>
      <c r="DY68" s="152">
        <v>34</v>
      </c>
      <c r="DZ68" s="153">
        <v>39</v>
      </c>
      <c r="EA68" s="153">
        <v>30</v>
      </c>
      <c r="EB68" s="153">
        <v>33</v>
      </c>
      <c r="EC68" s="154">
        <v>31</v>
      </c>
      <c r="ED68" s="154">
        <v>22</v>
      </c>
      <c r="EE68" s="279">
        <v>22</v>
      </c>
      <c r="EF68" s="279">
        <v>37</v>
      </c>
      <c r="EG68" s="155"/>
      <c r="EH68" s="152">
        <v>1</v>
      </c>
      <c r="EI68" s="153">
        <v>4</v>
      </c>
      <c r="EJ68" s="153">
        <v>4</v>
      </c>
      <c r="EK68" s="153">
        <v>2</v>
      </c>
      <c r="EL68" s="154">
        <v>3</v>
      </c>
      <c r="EM68" s="154">
        <v>1</v>
      </c>
      <c r="EN68" s="279">
        <v>1</v>
      </c>
      <c r="EO68" s="279"/>
      <c r="EP68" s="155"/>
      <c r="EQ68" s="152"/>
      <c r="ER68" s="153"/>
      <c r="ES68" s="153"/>
      <c r="ET68" s="153"/>
      <c r="EU68" s="154">
        <v>1</v>
      </c>
      <c r="EV68" s="154">
        <v>2</v>
      </c>
      <c r="EW68" s="279">
        <v>2</v>
      </c>
      <c r="EX68" s="279">
        <v>1</v>
      </c>
      <c r="EY68" s="155"/>
      <c r="EZ68" s="152">
        <v>1</v>
      </c>
      <c r="FA68" s="153">
        <v>1</v>
      </c>
      <c r="FB68" s="153">
        <v>4</v>
      </c>
      <c r="FC68" s="153"/>
      <c r="FD68" s="154"/>
      <c r="FE68" s="154"/>
      <c r="FF68" s="279"/>
      <c r="FG68" s="279"/>
      <c r="FH68" s="155"/>
      <c r="FI68" s="152">
        <v>20</v>
      </c>
      <c r="FJ68" s="153">
        <v>40</v>
      </c>
      <c r="FK68" s="153">
        <v>25</v>
      </c>
      <c r="FL68" s="153">
        <v>6</v>
      </c>
      <c r="FM68" s="154">
        <v>5</v>
      </c>
      <c r="FN68" s="154">
        <v>8</v>
      </c>
      <c r="FO68" s="279">
        <v>5</v>
      </c>
      <c r="FP68" s="279">
        <v>5</v>
      </c>
      <c r="FQ68" s="155"/>
      <c r="FR68" s="152">
        <v>1</v>
      </c>
      <c r="FS68" s="153"/>
      <c r="FT68" s="153">
        <v>2</v>
      </c>
      <c r="FU68" s="153">
        <v>1</v>
      </c>
      <c r="FV68" s="154"/>
      <c r="FW68" s="154">
        <v>1</v>
      </c>
      <c r="FX68" s="279"/>
      <c r="FY68" s="279"/>
      <c r="FZ68" s="155"/>
      <c r="GA68" s="152">
        <v>3</v>
      </c>
      <c r="GB68" s="153">
        <v>3</v>
      </c>
      <c r="GC68" s="153">
        <v>2</v>
      </c>
      <c r="GD68" s="153">
        <v>6</v>
      </c>
      <c r="GE68" s="154">
        <v>2</v>
      </c>
      <c r="GF68" s="154">
        <v>8</v>
      </c>
      <c r="GG68" s="279">
        <v>2</v>
      </c>
      <c r="GH68" s="279">
        <v>3</v>
      </c>
      <c r="GI68" s="155"/>
      <c r="GJ68" s="152">
        <v>537</v>
      </c>
      <c r="GK68" s="153">
        <v>540</v>
      </c>
      <c r="GL68" s="153">
        <v>522</v>
      </c>
      <c r="GM68" s="153">
        <v>445</v>
      </c>
      <c r="GN68" s="154">
        <v>361</v>
      </c>
      <c r="GO68" s="154">
        <v>241</v>
      </c>
      <c r="GP68" s="279">
        <v>179</v>
      </c>
      <c r="GQ68" s="279">
        <v>165</v>
      </c>
      <c r="GR68" s="155"/>
      <c r="GS68" s="152">
        <v>150</v>
      </c>
      <c r="GT68" s="153">
        <v>156</v>
      </c>
      <c r="GU68" s="153">
        <v>139</v>
      </c>
      <c r="GV68" s="153">
        <v>88</v>
      </c>
      <c r="GW68" s="154">
        <v>67</v>
      </c>
      <c r="GX68" s="154">
        <v>64</v>
      </c>
      <c r="GY68" s="279">
        <v>39</v>
      </c>
      <c r="GZ68" s="279">
        <v>40</v>
      </c>
      <c r="HA68" s="155"/>
      <c r="HB68" s="152"/>
      <c r="HC68" s="153"/>
      <c r="HD68" s="153">
        <v>1</v>
      </c>
      <c r="HE68" s="153">
        <v>1</v>
      </c>
      <c r="HF68" s="154"/>
      <c r="HG68" s="154"/>
      <c r="HH68" s="279">
        <v>2</v>
      </c>
      <c r="HI68" s="279"/>
      <c r="HJ68" s="155"/>
      <c r="HK68" s="152"/>
      <c r="HL68" s="153">
        <v>1</v>
      </c>
      <c r="HM68" s="153"/>
      <c r="HN68" s="153"/>
      <c r="HO68" s="154">
        <v>1</v>
      </c>
      <c r="HP68" s="154"/>
      <c r="HQ68" s="279">
        <v>1</v>
      </c>
      <c r="HR68" s="279">
        <v>2</v>
      </c>
      <c r="HS68" s="155"/>
      <c r="HT68" s="152">
        <v>229</v>
      </c>
      <c r="HU68" s="153">
        <v>215</v>
      </c>
      <c r="HV68" s="153">
        <v>183</v>
      </c>
      <c r="HW68" s="153">
        <v>147</v>
      </c>
      <c r="HX68" s="154">
        <v>134</v>
      </c>
      <c r="HY68" s="154">
        <v>153</v>
      </c>
      <c r="HZ68" s="279">
        <v>109</v>
      </c>
      <c r="IA68" s="279">
        <v>144</v>
      </c>
      <c r="IB68" s="155"/>
      <c r="IC68" s="152">
        <v>940</v>
      </c>
      <c r="ID68" s="153">
        <v>991</v>
      </c>
      <c r="IE68" s="153">
        <v>795</v>
      </c>
      <c r="IF68" s="153">
        <v>599</v>
      </c>
      <c r="IG68" s="154">
        <v>590</v>
      </c>
      <c r="IH68" s="154">
        <v>402</v>
      </c>
      <c r="II68" s="279">
        <v>362</v>
      </c>
      <c r="IJ68" s="279">
        <v>325</v>
      </c>
      <c r="IK68" s="155"/>
    </row>
    <row r="69" spans="1:245" x14ac:dyDescent="0.2">
      <c r="A69" s="961"/>
      <c r="B69" s="151" t="s">
        <v>680</v>
      </c>
      <c r="C69" s="152"/>
      <c r="D69" s="153"/>
      <c r="E69" s="153"/>
      <c r="F69" s="153"/>
      <c r="G69" s="154"/>
      <c r="H69" s="154"/>
      <c r="I69" s="279"/>
      <c r="J69" s="279"/>
      <c r="K69" s="155"/>
      <c r="L69" s="152"/>
      <c r="M69" s="153"/>
      <c r="N69" s="153"/>
      <c r="O69" s="153"/>
      <c r="P69" s="154"/>
      <c r="Q69" s="154"/>
      <c r="R69" s="279"/>
      <c r="S69" s="279"/>
      <c r="T69" s="155"/>
      <c r="U69" s="152"/>
      <c r="V69" s="153"/>
      <c r="W69" s="153"/>
      <c r="X69" s="153"/>
      <c r="Y69" s="154"/>
      <c r="Z69" s="154"/>
      <c r="AA69" s="279"/>
      <c r="AB69" s="279"/>
      <c r="AC69" s="155"/>
      <c r="AD69" s="152">
        <v>81</v>
      </c>
      <c r="AE69" s="153">
        <v>74</v>
      </c>
      <c r="AF69" s="153">
        <v>53</v>
      </c>
      <c r="AG69" s="153">
        <v>104</v>
      </c>
      <c r="AH69" s="154">
        <v>102</v>
      </c>
      <c r="AI69" s="154">
        <v>96</v>
      </c>
      <c r="AJ69" s="279">
        <v>86</v>
      </c>
      <c r="AK69" s="279">
        <v>94</v>
      </c>
      <c r="AL69" s="155"/>
      <c r="AM69" s="152">
        <v>37</v>
      </c>
      <c r="AN69" s="153">
        <v>18</v>
      </c>
      <c r="AO69" s="153">
        <v>10</v>
      </c>
      <c r="AP69" s="153">
        <v>14</v>
      </c>
      <c r="AQ69" s="154">
        <v>18</v>
      </c>
      <c r="AR69" s="154">
        <v>7</v>
      </c>
      <c r="AS69" s="279">
        <v>15</v>
      </c>
      <c r="AT69" s="279">
        <v>22</v>
      </c>
      <c r="AU69" s="155"/>
      <c r="AV69" s="152"/>
      <c r="AW69" s="153"/>
      <c r="AX69" s="153"/>
      <c r="AY69" s="153"/>
      <c r="AZ69" s="154"/>
      <c r="BA69" s="154"/>
      <c r="BB69" s="279"/>
      <c r="BC69" s="279"/>
      <c r="BD69" s="155"/>
      <c r="BE69" s="152">
        <v>11</v>
      </c>
      <c r="BF69" s="153">
        <v>6</v>
      </c>
      <c r="BG69" s="153">
        <v>9</v>
      </c>
      <c r="BH69" s="153">
        <v>7</v>
      </c>
      <c r="BI69" s="154">
        <v>7</v>
      </c>
      <c r="BJ69" s="154"/>
      <c r="BK69" s="279">
        <v>13</v>
      </c>
      <c r="BL69" s="279">
        <v>12</v>
      </c>
      <c r="BM69" s="155"/>
      <c r="BN69" s="152"/>
      <c r="BO69" s="153"/>
      <c r="BP69" s="153"/>
      <c r="BQ69" s="153"/>
      <c r="BR69" s="154"/>
      <c r="BS69" s="154"/>
      <c r="BT69" s="279"/>
      <c r="BU69" s="279"/>
      <c r="BV69" s="155"/>
      <c r="BW69" s="152">
        <v>92</v>
      </c>
      <c r="BX69" s="153">
        <v>108</v>
      </c>
      <c r="BY69" s="153">
        <v>89</v>
      </c>
      <c r="BZ69" s="153">
        <v>95</v>
      </c>
      <c r="CA69" s="154">
        <v>49</v>
      </c>
      <c r="CB69" s="154">
        <v>74</v>
      </c>
      <c r="CC69" s="279">
        <v>65</v>
      </c>
      <c r="CD69" s="279">
        <v>80</v>
      </c>
      <c r="CE69" s="155"/>
      <c r="CF69" s="152">
        <v>3</v>
      </c>
      <c r="CG69" s="153">
        <v>5</v>
      </c>
      <c r="CH69" s="153">
        <v>4</v>
      </c>
      <c r="CI69" s="153"/>
      <c r="CJ69" s="154">
        <v>3</v>
      </c>
      <c r="CK69" s="154">
        <v>5</v>
      </c>
      <c r="CL69" s="279">
        <v>3</v>
      </c>
      <c r="CM69" s="279">
        <v>2</v>
      </c>
      <c r="CN69" s="155"/>
      <c r="CO69" s="152">
        <v>2</v>
      </c>
      <c r="CP69" s="153">
        <v>3</v>
      </c>
      <c r="CQ69" s="153">
        <v>1</v>
      </c>
      <c r="CR69" s="153">
        <v>2</v>
      </c>
      <c r="CS69" s="154">
        <v>1</v>
      </c>
      <c r="CT69" s="154">
        <v>2</v>
      </c>
      <c r="CU69" s="279">
        <v>3</v>
      </c>
      <c r="CV69" s="279">
        <v>5</v>
      </c>
      <c r="CW69" s="155"/>
      <c r="CX69" s="152">
        <v>867</v>
      </c>
      <c r="CY69" s="153">
        <v>860</v>
      </c>
      <c r="CZ69" s="153">
        <v>837</v>
      </c>
      <c r="DA69" s="153">
        <v>718</v>
      </c>
      <c r="DB69" s="154">
        <v>741</v>
      </c>
      <c r="DC69" s="154">
        <v>381</v>
      </c>
      <c r="DD69" s="279">
        <v>351</v>
      </c>
      <c r="DE69" s="279">
        <v>307</v>
      </c>
      <c r="DF69" s="155"/>
      <c r="DG69" s="152">
        <v>2</v>
      </c>
      <c r="DH69" s="153">
        <v>3</v>
      </c>
      <c r="DI69" s="153">
        <v>3</v>
      </c>
      <c r="DJ69" s="153">
        <v>2</v>
      </c>
      <c r="DK69" s="154">
        <v>1</v>
      </c>
      <c r="DL69" s="154">
        <v>2</v>
      </c>
      <c r="DM69" s="279">
        <v>2</v>
      </c>
      <c r="DN69" s="279">
        <v>1</v>
      </c>
      <c r="DO69" s="155"/>
      <c r="DP69" s="152">
        <v>34</v>
      </c>
      <c r="DQ69" s="153">
        <v>30</v>
      </c>
      <c r="DR69" s="153">
        <v>14</v>
      </c>
      <c r="DS69" s="153">
        <v>9</v>
      </c>
      <c r="DT69" s="154">
        <v>17</v>
      </c>
      <c r="DU69" s="154">
        <v>3</v>
      </c>
      <c r="DV69" s="279">
        <v>2</v>
      </c>
      <c r="DW69" s="279">
        <v>1</v>
      </c>
      <c r="DX69" s="155"/>
      <c r="DY69" s="152">
        <v>37</v>
      </c>
      <c r="DZ69" s="153">
        <v>27</v>
      </c>
      <c r="EA69" s="153">
        <v>50</v>
      </c>
      <c r="EB69" s="153">
        <v>55</v>
      </c>
      <c r="EC69" s="154">
        <v>62</v>
      </c>
      <c r="ED69" s="154">
        <v>67</v>
      </c>
      <c r="EE69" s="279">
        <v>47</v>
      </c>
      <c r="EF69" s="279">
        <v>26</v>
      </c>
      <c r="EG69" s="155"/>
      <c r="EH69" s="152">
        <v>10</v>
      </c>
      <c r="EI69" s="153">
        <v>12</v>
      </c>
      <c r="EJ69" s="153">
        <v>5</v>
      </c>
      <c r="EK69" s="153">
        <v>5</v>
      </c>
      <c r="EL69" s="154">
        <v>5</v>
      </c>
      <c r="EM69" s="154">
        <v>5</v>
      </c>
      <c r="EN69" s="279">
        <v>1</v>
      </c>
      <c r="EO69" s="279">
        <v>1</v>
      </c>
      <c r="EP69" s="155"/>
      <c r="EQ69" s="152"/>
      <c r="ER69" s="153">
        <v>2</v>
      </c>
      <c r="ES69" s="153">
        <v>2</v>
      </c>
      <c r="ET69" s="153"/>
      <c r="EU69" s="154">
        <v>1</v>
      </c>
      <c r="EV69" s="154">
        <v>1</v>
      </c>
      <c r="EW69" s="279"/>
      <c r="EX69" s="279">
        <v>1</v>
      </c>
      <c r="EY69" s="155"/>
      <c r="EZ69" s="152">
        <v>6</v>
      </c>
      <c r="FA69" s="153">
        <v>3</v>
      </c>
      <c r="FB69" s="153"/>
      <c r="FC69" s="153">
        <v>1</v>
      </c>
      <c r="FD69" s="154">
        <v>2</v>
      </c>
      <c r="FE69" s="154"/>
      <c r="FF69" s="279"/>
      <c r="FG69" s="279">
        <v>2</v>
      </c>
      <c r="FH69" s="155"/>
      <c r="FI69" s="152">
        <v>49</v>
      </c>
      <c r="FJ69" s="153">
        <v>73</v>
      </c>
      <c r="FK69" s="153">
        <v>41</v>
      </c>
      <c r="FL69" s="153">
        <v>44</v>
      </c>
      <c r="FM69" s="154">
        <v>24</v>
      </c>
      <c r="FN69" s="154">
        <v>26</v>
      </c>
      <c r="FO69" s="279">
        <v>19</v>
      </c>
      <c r="FP69" s="279">
        <v>16</v>
      </c>
      <c r="FQ69" s="155"/>
      <c r="FR69" s="152">
        <v>6</v>
      </c>
      <c r="FS69" s="153">
        <v>11</v>
      </c>
      <c r="FT69" s="153">
        <v>5</v>
      </c>
      <c r="FU69" s="153">
        <v>4</v>
      </c>
      <c r="FV69" s="154">
        <v>3</v>
      </c>
      <c r="FW69" s="154">
        <v>4</v>
      </c>
      <c r="FX69" s="279">
        <v>2</v>
      </c>
      <c r="FY69" s="279">
        <v>2</v>
      </c>
      <c r="FZ69" s="155"/>
      <c r="GA69" s="152">
        <v>5</v>
      </c>
      <c r="GB69" s="153">
        <v>2</v>
      </c>
      <c r="GC69" s="153">
        <v>9</v>
      </c>
      <c r="GD69" s="153">
        <v>3</v>
      </c>
      <c r="GE69" s="154">
        <v>6</v>
      </c>
      <c r="GF69" s="154">
        <v>3</v>
      </c>
      <c r="GG69" s="279">
        <v>15</v>
      </c>
      <c r="GH69" s="279">
        <v>10</v>
      </c>
      <c r="GI69" s="155"/>
      <c r="GJ69" s="152">
        <v>1132</v>
      </c>
      <c r="GK69" s="153">
        <v>1159</v>
      </c>
      <c r="GL69" s="153">
        <v>1055</v>
      </c>
      <c r="GM69" s="153">
        <v>983</v>
      </c>
      <c r="GN69" s="154">
        <v>944</v>
      </c>
      <c r="GO69" s="154">
        <v>597</v>
      </c>
      <c r="GP69" s="279">
        <v>558</v>
      </c>
      <c r="GQ69" s="279">
        <v>532</v>
      </c>
      <c r="GR69" s="155"/>
      <c r="GS69" s="152">
        <v>426</v>
      </c>
      <c r="GT69" s="153">
        <v>474</v>
      </c>
      <c r="GU69" s="153">
        <v>374</v>
      </c>
      <c r="GV69" s="153">
        <v>291</v>
      </c>
      <c r="GW69" s="154">
        <v>190</v>
      </c>
      <c r="GX69" s="154">
        <v>157</v>
      </c>
      <c r="GY69" s="279">
        <v>134</v>
      </c>
      <c r="GZ69" s="279">
        <v>169</v>
      </c>
      <c r="HA69" s="155"/>
      <c r="HB69" s="152">
        <v>9</v>
      </c>
      <c r="HC69" s="153">
        <v>7</v>
      </c>
      <c r="HD69" s="153">
        <v>2</v>
      </c>
      <c r="HE69" s="153">
        <v>1</v>
      </c>
      <c r="HF69" s="154">
        <v>2</v>
      </c>
      <c r="HG69" s="154">
        <v>3</v>
      </c>
      <c r="HH69" s="279">
        <v>1</v>
      </c>
      <c r="HI69" s="279"/>
      <c r="HJ69" s="155"/>
      <c r="HK69" s="152">
        <v>3</v>
      </c>
      <c r="HL69" s="153">
        <v>2</v>
      </c>
      <c r="HM69" s="153"/>
      <c r="HN69" s="153">
        <v>1</v>
      </c>
      <c r="HO69" s="154">
        <v>2</v>
      </c>
      <c r="HP69" s="154">
        <v>1</v>
      </c>
      <c r="HQ69" s="279"/>
      <c r="HR69" s="279">
        <v>1</v>
      </c>
      <c r="HS69" s="155"/>
      <c r="HT69" s="152">
        <v>564</v>
      </c>
      <c r="HU69" s="153">
        <v>564</v>
      </c>
      <c r="HV69" s="153">
        <v>445</v>
      </c>
      <c r="HW69" s="153">
        <v>375</v>
      </c>
      <c r="HX69" s="154">
        <v>305</v>
      </c>
      <c r="HY69" s="154">
        <v>250</v>
      </c>
      <c r="HZ69" s="279">
        <v>243</v>
      </c>
      <c r="IA69" s="279">
        <v>268</v>
      </c>
      <c r="IB69" s="155"/>
      <c r="IC69" s="152">
        <v>2459</v>
      </c>
      <c r="ID69" s="153">
        <v>2247</v>
      </c>
      <c r="IE69" s="153">
        <v>2020</v>
      </c>
      <c r="IF69" s="153">
        <v>1498</v>
      </c>
      <c r="IG69" s="154">
        <v>1378</v>
      </c>
      <c r="IH69" s="154">
        <v>957</v>
      </c>
      <c r="II69" s="279">
        <v>978</v>
      </c>
      <c r="IJ69" s="279">
        <v>900</v>
      </c>
      <c r="IK69" s="155"/>
    </row>
    <row r="70" spans="1:245" x14ac:dyDescent="0.2">
      <c r="A70" s="961"/>
      <c r="B70" s="151" t="s">
        <v>681</v>
      </c>
      <c r="C70" s="152"/>
      <c r="D70" s="153"/>
      <c r="E70" s="153"/>
      <c r="F70" s="153"/>
      <c r="G70" s="154"/>
      <c r="H70" s="154"/>
      <c r="I70" s="279"/>
      <c r="J70" s="279"/>
      <c r="K70" s="155"/>
      <c r="L70" s="152"/>
      <c r="M70" s="153"/>
      <c r="N70" s="153"/>
      <c r="O70" s="153"/>
      <c r="P70" s="154"/>
      <c r="Q70" s="154"/>
      <c r="R70" s="279"/>
      <c r="S70" s="279"/>
      <c r="T70" s="155"/>
      <c r="U70" s="152"/>
      <c r="V70" s="153"/>
      <c r="W70" s="153"/>
      <c r="X70" s="153"/>
      <c r="Y70" s="154"/>
      <c r="Z70" s="154"/>
      <c r="AA70" s="279"/>
      <c r="AB70" s="279"/>
      <c r="AC70" s="155"/>
      <c r="AD70" s="152">
        <v>58</v>
      </c>
      <c r="AE70" s="153">
        <v>60</v>
      </c>
      <c r="AF70" s="153">
        <v>53</v>
      </c>
      <c r="AG70" s="153">
        <v>57</v>
      </c>
      <c r="AH70" s="154">
        <v>42</v>
      </c>
      <c r="AI70" s="154">
        <v>59</v>
      </c>
      <c r="AJ70" s="279">
        <v>53</v>
      </c>
      <c r="AK70" s="279">
        <v>38</v>
      </c>
      <c r="AL70" s="155"/>
      <c r="AM70" s="152">
        <v>22</v>
      </c>
      <c r="AN70" s="153">
        <v>20</v>
      </c>
      <c r="AO70" s="153">
        <v>12</v>
      </c>
      <c r="AP70" s="153">
        <v>16</v>
      </c>
      <c r="AQ70" s="154">
        <v>13</v>
      </c>
      <c r="AR70" s="154">
        <v>27</v>
      </c>
      <c r="AS70" s="279">
        <v>27</v>
      </c>
      <c r="AT70" s="279">
        <v>14</v>
      </c>
      <c r="AU70" s="155"/>
      <c r="AV70" s="152"/>
      <c r="AW70" s="153"/>
      <c r="AX70" s="153"/>
      <c r="AY70" s="153"/>
      <c r="AZ70" s="154"/>
      <c r="BA70" s="154"/>
      <c r="BB70" s="279"/>
      <c r="BC70" s="279"/>
      <c r="BD70" s="155"/>
      <c r="BE70" s="152">
        <v>9</v>
      </c>
      <c r="BF70" s="153">
        <v>11</v>
      </c>
      <c r="BG70" s="153">
        <v>17</v>
      </c>
      <c r="BH70" s="153">
        <v>13</v>
      </c>
      <c r="BI70" s="154">
        <v>8</v>
      </c>
      <c r="BJ70" s="154">
        <v>12</v>
      </c>
      <c r="BK70" s="279">
        <v>16</v>
      </c>
      <c r="BL70" s="279">
        <v>15</v>
      </c>
      <c r="BM70" s="155"/>
      <c r="BN70" s="152">
        <v>7</v>
      </c>
      <c r="BO70" s="153">
        <v>5</v>
      </c>
      <c r="BP70" s="153">
        <v>3</v>
      </c>
      <c r="BQ70" s="153">
        <v>1</v>
      </c>
      <c r="BR70" s="154"/>
      <c r="BS70" s="154"/>
      <c r="BT70" s="279"/>
      <c r="BU70" s="279"/>
      <c r="BV70" s="155"/>
      <c r="BW70" s="152">
        <v>63</v>
      </c>
      <c r="BX70" s="153">
        <v>62</v>
      </c>
      <c r="BY70" s="153">
        <v>70</v>
      </c>
      <c r="BZ70" s="153">
        <v>52</v>
      </c>
      <c r="CA70" s="154">
        <v>54</v>
      </c>
      <c r="CB70" s="154">
        <v>54</v>
      </c>
      <c r="CC70" s="279">
        <v>51</v>
      </c>
      <c r="CD70" s="279">
        <v>45</v>
      </c>
      <c r="CE70" s="155"/>
      <c r="CF70" s="152">
        <v>9</v>
      </c>
      <c r="CG70" s="153">
        <v>5</v>
      </c>
      <c r="CH70" s="153">
        <v>3</v>
      </c>
      <c r="CI70" s="153">
        <v>2</v>
      </c>
      <c r="CJ70" s="154">
        <v>1</v>
      </c>
      <c r="CK70" s="154">
        <v>2</v>
      </c>
      <c r="CL70" s="279">
        <v>5</v>
      </c>
      <c r="CM70" s="279">
        <v>2</v>
      </c>
      <c r="CN70" s="155"/>
      <c r="CO70" s="152">
        <v>5</v>
      </c>
      <c r="CP70" s="153">
        <v>7</v>
      </c>
      <c r="CQ70" s="153"/>
      <c r="CR70" s="153"/>
      <c r="CS70" s="154">
        <v>2</v>
      </c>
      <c r="CT70" s="154">
        <v>1</v>
      </c>
      <c r="CU70" s="279"/>
      <c r="CV70" s="279"/>
      <c r="CW70" s="155"/>
      <c r="CX70" s="152">
        <v>748</v>
      </c>
      <c r="CY70" s="153">
        <v>602</v>
      </c>
      <c r="CZ70" s="153">
        <v>451</v>
      </c>
      <c r="DA70" s="153">
        <v>432</v>
      </c>
      <c r="DB70" s="154">
        <v>392</v>
      </c>
      <c r="DC70" s="154">
        <v>260</v>
      </c>
      <c r="DD70" s="279">
        <v>292</v>
      </c>
      <c r="DE70" s="279">
        <v>293</v>
      </c>
      <c r="DF70" s="155"/>
      <c r="DG70" s="152">
        <v>3</v>
      </c>
      <c r="DH70" s="153">
        <v>1</v>
      </c>
      <c r="DI70" s="153">
        <v>1</v>
      </c>
      <c r="DJ70" s="153"/>
      <c r="DK70" s="154"/>
      <c r="DL70" s="154"/>
      <c r="DM70" s="279">
        <v>1</v>
      </c>
      <c r="DN70" s="279"/>
      <c r="DO70" s="155"/>
      <c r="DP70" s="152">
        <v>19</v>
      </c>
      <c r="DQ70" s="153">
        <v>10</v>
      </c>
      <c r="DR70" s="153">
        <v>7</v>
      </c>
      <c r="DS70" s="153">
        <v>2</v>
      </c>
      <c r="DT70" s="154">
        <v>1</v>
      </c>
      <c r="DU70" s="154">
        <v>4</v>
      </c>
      <c r="DV70" s="279">
        <v>6</v>
      </c>
      <c r="DW70" s="279">
        <v>3</v>
      </c>
      <c r="DX70" s="155"/>
      <c r="DY70" s="152">
        <v>101</v>
      </c>
      <c r="DZ70" s="153">
        <v>89</v>
      </c>
      <c r="EA70" s="153">
        <v>52</v>
      </c>
      <c r="EB70" s="153">
        <v>47</v>
      </c>
      <c r="EC70" s="154">
        <v>43</v>
      </c>
      <c r="ED70" s="154">
        <v>29</v>
      </c>
      <c r="EE70" s="279">
        <v>69</v>
      </c>
      <c r="EF70" s="279">
        <v>51</v>
      </c>
      <c r="EG70" s="155"/>
      <c r="EH70" s="152">
        <v>8</v>
      </c>
      <c r="EI70" s="153">
        <v>14</v>
      </c>
      <c r="EJ70" s="153">
        <v>8</v>
      </c>
      <c r="EK70" s="153">
        <v>5</v>
      </c>
      <c r="EL70" s="154">
        <v>11</v>
      </c>
      <c r="EM70" s="154">
        <v>4</v>
      </c>
      <c r="EN70" s="279">
        <v>3</v>
      </c>
      <c r="EO70" s="279">
        <v>6</v>
      </c>
      <c r="EP70" s="155"/>
      <c r="EQ70" s="152"/>
      <c r="ER70" s="153">
        <v>1</v>
      </c>
      <c r="ES70" s="153">
        <v>1</v>
      </c>
      <c r="ET70" s="153">
        <v>1</v>
      </c>
      <c r="EU70" s="154">
        <v>1</v>
      </c>
      <c r="EV70" s="154">
        <v>2</v>
      </c>
      <c r="EW70" s="279">
        <v>2</v>
      </c>
      <c r="EX70" s="279">
        <v>6</v>
      </c>
      <c r="EY70" s="155"/>
      <c r="EZ70" s="152">
        <v>7</v>
      </c>
      <c r="FA70" s="153">
        <v>4</v>
      </c>
      <c r="FB70" s="153">
        <v>5</v>
      </c>
      <c r="FC70" s="153">
        <v>3</v>
      </c>
      <c r="FD70" s="154">
        <v>2</v>
      </c>
      <c r="FE70" s="154">
        <v>5</v>
      </c>
      <c r="FF70" s="279"/>
      <c r="FG70" s="279">
        <v>3</v>
      </c>
      <c r="FH70" s="155"/>
      <c r="FI70" s="152">
        <v>39</v>
      </c>
      <c r="FJ70" s="153">
        <v>75</v>
      </c>
      <c r="FK70" s="153">
        <v>20</v>
      </c>
      <c r="FL70" s="153">
        <v>20</v>
      </c>
      <c r="FM70" s="154">
        <v>17</v>
      </c>
      <c r="FN70" s="154">
        <v>5</v>
      </c>
      <c r="FO70" s="279">
        <v>13</v>
      </c>
      <c r="FP70" s="279">
        <v>17</v>
      </c>
      <c r="FQ70" s="155"/>
      <c r="FR70" s="152">
        <v>10</v>
      </c>
      <c r="FS70" s="153">
        <v>11</v>
      </c>
      <c r="FT70" s="153">
        <v>9</v>
      </c>
      <c r="FU70" s="153">
        <v>1</v>
      </c>
      <c r="FV70" s="154">
        <v>15</v>
      </c>
      <c r="FW70" s="154">
        <v>13</v>
      </c>
      <c r="FX70" s="279">
        <v>4</v>
      </c>
      <c r="FY70" s="279"/>
      <c r="FZ70" s="155"/>
      <c r="GA70" s="152">
        <v>7</v>
      </c>
      <c r="GB70" s="153">
        <v>7</v>
      </c>
      <c r="GC70" s="153">
        <v>5</v>
      </c>
      <c r="GD70" s="153">
        <v>2</v>
      </c>
      <c r="GE70" s="154">
        <v>3</v>
      </c>
      <c r="GF70" s="154">
        <v>2</v>
      </c>
      <c r="GG70" s="279">
        <v>3</v>
      </c>
      <c r="GH70" s="279"/>
      <c r="GI70" s="155"/>
      <c r="GJ70" s="152">
        <v>970</v>
      </c>
      <c r="GK70" s="153">
        <v>864</v>
      </c>
      <c r="GL70" s="153">
        <v>645</v>
      </c>
      <c r="GM70" s="153">
        <v>589</v>
      </c>
      <c r="GN70" s="154">
        <v>548</v>
      </c>
      <c r="GO70" s="154">
        <v>419</v>
      </c>
      <c r="GP70" s="279">
        <v>442</v>
      </c>
      <c r="GQ70" s="279">
        <v>425</v>
      </c>
      <c r="GR70" s="155"/>
      <c r="GS70" s="152">
        <v>347</v>
      </c>
      <c r="GT70" s="153">
        <v>289</v>
      </c>
      <c r="GU70" s="153">
        <v>214</v>
      </c>
      <c r="GV70" s="153">
        <v>192</v>
      </c>
      <c r="GW70" s="154">
        <v>143</v>
      </c>
      <c r="GX70" s="154">
        <v>134</v>
      </c>
      <c r="GY70" s="279">
        <v>128</v>
      </c>
      <c r="GZ70" s="279">
        <v>115</v>
      </c>
      <c r="HA70" s="155"/>
      <c r="HB70" s="152"/>
      <c r="HC70" s="153">
        <v>1</v>
      </c>
      <c r="HD70" s="153"/>
      <c r="HE70" s="153"/>
      <c r="HF70" s="154"/>
      <c r="HG70" s="154"/>
      <c r="HH70" s="279"/>
      <c r="HI70" s="279">
        <v>5</v>
      </c>
      <c r="HJ70" s="155"/>
      <c r="HK70" s="152">
        <v>1</v>
      </c>
      <c r="HL70" s="153"/>
      <c r="HM70" s="153"/>
      <c r="HN70" s="153"/>
      <c r="HO70" s="154"/>
      <c r="HP70" s="154">
        <v>1</v>
      </c>
      <c r="HQ70" s="279"/>
      <c r="HR70" s="279"/>
      <c r="HS70" s="155"/>
      <c r="HT70" s="152">
        <v>762</v>
      </c>
      <c r="HU70" s="153">
        <v>360</v>
      </c>
      <c r="HV70" s="153">
        <v>265</v>
      </c>
      <c r="HW70" s="153">
        <v>266</v>
      </c>
      <c r="HX70" s="154">
        <v>230</v>
      </c>
      <c r="HY70" s="154">
        <v>250</v>
      </c>
      <c r="HZ70" s="279">
        <v>197</v>
      </c>
      <c r="IA70" s="279">
        <v>203</v>
      </c>
      <c r="IB70" s="155"/>
      <c r="IC70" s="152">
        <v>2377</v>
      </c>
      <c r="ID70" s="153">
        <v>1656</v>
      </c>
      <c r="IE70" s="153">
        <v>1473</v>
      </c>
      <c r="IF70" s="153">
        <v>1110</v>
      </c>
      <c r="IG70" s="154">
        <v>1055</v>
      </c>
      <c r="IH70" s="154">
        <v>1072</v>
      </c>
      <c r="II70" s="279">
        <v>875</v>
      </c>
      <c r="IJ70" s="279">
        <v>765</v>
      </c>
      <c r="IK70" s="155"/>
    </row>
    <row r="71" spans="1:245" x14ac:dyDescent="0.2">
      <c r="A71" s="961"/>
      <c r="B71" s="151" t="s">
        <v>682</v>
      </c>
      <c r="C71" s="152"/>
      <c r="D71" s="153"/>
      <c r="E71" s="153"/>
      <c r="F71" s="153"/>
      <c r="G71" s="154"/>
      <c r="H71" s="154"/>
      <c r="I71" s="279"/>
      <c r="J71" s="279"/>
      <c r="K71" s="155"/>
      <c r="L71" s="152"/>
      <c r="M71" s="153"/>
      <c r="N71" s="153"/>
      <c r="O71" s="153"/>
      <c r="P71" s="154"/>
      <c r="Q71" s="154"/>
      <c r="R71" s="279"/>
      <c r="S71" s="279"/>
      <c r="T71" s="155"/>
      <c r="U71" s="152"/>
      <c r="V71" s="153"/>
      <c r="W71" s="153"/>
      <c r="X71" s="153"/>
      <c r="Y71" s="154"/>
      <c r="Z71" s="154"/>
      <c r="AA71" s="279"/>
      <c r="AB71" s="279"/>
      <c r="AC71" s="155"/>
      <c r="AD71" s="152">
        <v>40</v>
      </c>
      <c r="AE71" s="153">
        <v>39</v>
      </c>
      <c r="AF71" s="153">
        <v>51</v>
      </c>
      <c r="AG71" s="153">
        <v>51</v>
      </c>
      <c r="AH71" s="154">
        <v>37</v>
      </c>
      <c r="AI71" s="154">
        <v>54</v>
      </c>
      <c r="AJ71" s="279">
        <v>35</v>
      </c>
      <c r="AK71" s="279">
        <v>21</v>
      </c>
      <c r="AL71" s="155"/>
      <c r="AM71" s="152">
        <v>21</v>
      </c>
      <c r="AN71" s="153">
        <v>18</v>
      </c>
      <c r="AO71" s="153">
        <v>18</v>
      </c>
      <c r="AP71" s="153">
        <v>21</v>
      </c>
      <c r="AQ71" s="154">
        <v>8</v>
      </c>
      <c r="AR71" s="154">
        <v>12</v>
      </c>
      <c r="AS71" s="279">
        <v>17</v>
      </c>
      <c r="AT71" s="279">
        <v>13</v>
      </c>
      <c r="AU71" s="155"/>
      <c r="AV71" s="152"/>
      <c r="AW71" s="153"/>
      <c r="AX71" s="153"/>
      <c r="AY71" s="153"/>
      <c r="AZ71" s="154"/>
      <c r="BA71" s="154"/>
      <c r="BB71" s="279"/>
      <c r="BC71" s="279"/>
      <c r="BD71" s="155"/>
      <c r="BE71" s="152">
        <v>14</v>
      </c>
      <c r="BF71" s="153">
        <v>8</v>
      </c>
      <c r="BG71" s="153">
        <v>7</v>
      </c>
      <c r="BH71" s="153">
        <v>7</v>
      </c>
      <c r="BI71" s="154">
        <v>4</v>
      </c>
      <c r="BJ71" s="154">
        <v>4</v>
      </c>
      <c r="BK71" s="279">
        <v>10</v>
      </c>
      <c r="BL71" s="279">
        <v>5</v>
      </c>
      <c r="BM71" s="155"/>
      <c r="BN71" s="152"/>
      <c r="BO71" s="153"/>
      <c r="BP71" s="153"/>
      <c r="BQ71" s="153"/>
      <c r="BR71" s="154"/>
      <c r="BS71" s="154"/>
      <c r="BT71" s="279"/>
      <c r="BU71" s="279"/>
      <c r="BV71" s="155"/>
      <c r="BW71" s="152">
        <v>17</v>
      </c>
      <c r="BX71" s="153">
        <v>43</v>
      </c>
      <c r="BY71" s="153">
        <v>52</v>
      </c>
      <c r="BZ71" s="153">
        <v>55</v>
      </c>
      <c r="CA71" s="154">
        <v>43</v>
      </c>
      <c r="CB71" s="154">
        <v>55</v>
      </c>
      <c r="CC71" s="279">
        <v>39</v>
      </c>
      <c r="CD71" s="279">
        <v>23</v>
      </c>
      <c r="CE71" s="155"/>
      <c r="CF71" s="152">
        <v>3</v>
      </c>
      <c r="CG71" s="153">
        <v>3</v>
      </c>
      <c r="CH71" s="153">
        <v>2</v>
      </c>
      <c r="CI71" s="153">
        <v>4</v>
      </c>
      <c r="CJ71" s="154">
        <v>1</v>
      </c>
      <c r="CK71" s="154">
        <v>3</v>
      </c>
      <c r="CL71" s="279">
        <v>1</v>
      </c>
      <c r="CM71" s="279"/>
      <c r="CN71" s="155"/>
      <c r="CO71" s="152"/>
      <c r="CP71" s="153"/>
      <c r="CQ71" s="153">
        <v>1</v>
      </c>
      <c r="CR71" s="153"/>
      <c r="CS71" s="154">
        <v>1</v>
      </c>
      <c r="CT71" s="154">
        <v>2</v>
      </c>
      <c r="CU71" s="279">
        <v>5</v>
      </c>
      <c r="CV71" s="279">
        <v>9</v>
      </c>
      <c r="CW71" s="155"/>
      <c r="CX71" s="152">
        <v>731</v>
      </c>
      <c r="CY71" s="153">
        <v>643</v>
      </c>
      <c r="CZ71" s="153">
        <v>675</v>
      </c>
      <c r="DA71" s="153">
        <v>598</v>
      </c>
      <c r="DB71" s="154">
        <v>361</v>
      </c>
      <c r="DC71" s="154">
        <v>393</v>
      </c>
      <c r="DD71" s="279">
        <v>459</v>
      </c>
      <c r="DE71" s="279">
        <v>236</v>
      </c>
      <c r="DF71" s="155"/>
      <c r="DG71" s="152">
        <v>1</v>
      </c>
      <c r="DH71" s="153"/>
      <c r="DI71" s="153"/>
      <c r="DJ71" s="153">
        <v>1</v>
      </c>
      <c r="DK71" s="154"/>
      <c r="DL71" s="154"/>
      <c r="DM71" s="279">
        <v>2</v>
      </c>
      <c r="DN71" s="279"/>
      <c r="DO71" s="155"/>
      <c r="DP71" s="152">
        <v>30</v>
      </c>
      <c r="DQ71" s="153">
        <v>36</v>
      </c>
      <c r="DR71" s="153">
        <v>16</v>
      </c>
      <c r="DS71" s="153">
        <v>3</v>
      </c>
      <c r="DT71" s="154">
        <v>7</v>
      </c>
      <c r="DU71" s="154">
        <v>4</v>
      </c>
      <c r="DV71" s="279">
        <v>2</v>
      </c>
      <c r="DW71" s="279">
        <v>8</v>
      </c>
      <c r="DX71" s="155"/>
      <c r="DY71" s="152">
        <v>25</v>
      </c>
      <c r="DZ71" s="153">
        <v>28</v>
      </c>
      <c r="EA71" s="153">
        <v>37</v>
      </c>
      <c r="EB71" s="153">
        <v>32</v>
      </c>
      <c r="EC71" s="154">
        <v>29</v>
      </c>
      <c r="ED71" s="154">
        <v>62</v>
      </c>
      <c r="EE71" s="279">
        <v>75</v>
      </c>
      <c r="EF71" s="279">
        <v>48</v>
      </c>
      <c r="EG71" s="155"/>
      <c r="EH71" s="152">
        <v>5</v>
      </c>
      <c r="EI71" s="153">
        <v>11</v>
      </c>
      <c r="EJ71" s="153">
        <v>15</v>
      </c>
      <c r="EK71" s="153">
        <v>6</v>
      </c>
      <c r="EL71" s="154">
        <v>1</v>
      </c>
      <c r="EM71" s="154">
        <v>2</v>
      </c>
      <c r="EN71" s="279">
        <v>3</v>
      </c>
      <c r="EO71" s="279">
        <v>2</v>
      </c>
      <c r="EP71" s="155"/>
      <c r="EQ71" s="152">
        <v>7</v>
      </c>
      <c r="ER71" s="153">
        <v>3</v>
      </c>
      <c r="ES71" s="153">
        <v>2</v>
      </c>
      <c r="ET71" s="153">
        <v>4</v>
      </c>
      <c r="EU71" s="154">
        <v>3</v>
      </c>
      <c r="EV71" s="154">
        <v>8</v>
      </c>
      <c r="EW71" s="279">
        <v>16</v>
      </c>
      <c r="EX71" s="279">
        <v>2</v>
      </c>
      <c r="EY71" s="155"/>
      <c r="EZ71" s="152">
        <v>5</v>
      </c>
      <c r="FA71" s="153">
        <v>1</v>
      </c>
      <c r="FB71" s="153">
        <v>5</v>
      </c>
      <c r="FC71" s="153"/>
      <c r="FD71" s="154"/>
      <c r="FE71" s="154">
        <v>4</v>
      </c>
      <c r="FF71" s="279">
        <v>3</v>
      </c>
      <c r="FG71" s="279"/>
      <c r="FH71" s="155"/>
      <c r="FI71" s="152">
        <v>26</v>
      </c>
      <c r="FJ71" s="153">
        <v>27</v>
      </c>
      <c r="FK71" s="153">
        <v>23</v>
      </c>
      <c r="FL71" s="153">
        <v>10</v>
      </c>
      <c r="FM71" s="154">
        <v>13</v>
      </c>
      <c r="FN71" s="154">
        <v>9</v>
      </c>
      <c r="FO71" s="279">
        <v>23</v>
      </c>
      <c r="FP71" s="279">
        <v>13</v>
      </c>
      <c r="FQ71" s="155"/>
      <c r="FR71" s="152">
        <v>10</v>
      </c>
      <c r="FS71" s="153">
        <v>4</v>
      </c>
      <c r="FT71" s="153">
        <v>1</v>
      </c>
      <c r="FU71" s="153">
        <v>7</v>
      </c>
      <c r="FV71" s="154">
        <v>2</v>
      </c>
      <c r="FW71" s="154">
        <v>1</v>
      </c>
      <c r="FX71" s="279">
        <v>15</v>
      </c>
      <c r="FY71" s="279">
        <v>6</v>
      </c>
      <c r="FZ71" s="155"/>
      <c r="GA71" s="152">
        <v>7</v>
      </c>
      <c r="GB71" s="153">
        <v>4</v>
      </c>
      <c r="GC71" s="153">
        <v>3</v>
      </c>
      <c r="GD71" s="153">
        <v>6</v>
      </c>
      <c r="GE71" s="154">
        <v>2</v>
      </c>
      <c r="GF71" s="154">
        <v>5</v>
      </c>
      <c r="GG71" s="279">
        <v>4</v>
      </c>
      <c r="GH71" s="279">
        <v>3</v>
      </c>
      <c r="GI71" s="155"/>
      <c r="GJ71" s="152">
        <v>865</v>
      </c>
      <c r="GK71" s="153">
        <v>786</v>
      </c>
      <c r="GL71" s="153">
        <v>837</v>
      </c>
      <c r="GM71" s="153">
        <v>748</v>
      </c>
      <c r="GN71" s="154">
        <v>468</v>
      </c>
      <c r="GO71" s="154">
        <v>540</v>
      </c>
      <c r="GP71" s="279">
        <v>613</v>
      </c>
      <c r="GQ71" s="279">
        <v>320</v>
      </c>
      <c r="GR71" s="155"/>
      <c r="GS71" s="152">
        <v>299</v>
      </c>
      <c r="GT71" s="153">
        <v>225</v>
      </c>
      <c r="GU71" s="153">
        <v>253</v>
      </c>
      <c r="GV71" s="153">
        <v>238</v>
      </c>
      <c r="GW71" s="154">
        <v>131</v>
      </c>
      <c r="GX71" s="154">
        <v>138</v>
      </c>
      <c r="GY71" s="279">
        <v>157</v>
      </c>
      <c r="GZ71" s="279">
        <v>90</v>
      </c>
      <c r="HA71" s="155"/>
      <c r="HB71" s="152">
        <v>2</v>
      </c>
      <c r="HC71" s="153">
        <v>5</v>
      </c>
      <c r="HD71" s="153"/>
      <c r="HE71" s="153">
        <v>3</v>
      </c>
      <c r="HF71" s="154">
        <v>1</v>
      </c>
      <c r="HG71" s="154">
        <v>1</v>
      </c>
      <c r="HH71" s="279">
        <v>2</v>
      </c>
      <c r="HI71" s="279">
        <v>1</v>
      </c>
      <c r="HJ71" s="155"/>
      <c r="HK71" s="152"/>
      <c r="HL71" s="153">
        <v>2</v>
      </c>
      <c r="HM71" s="153"/>
      <c r="HN71" s="153"/>
      <c r="HO71" s="154"/>
      <c r="HP71" s="154"/>
      <c r="HQ71" s="279"/>
      <c r="HR71" s="279"/>
      <c r="HS71" s="155"/>
      <c r="HT71" s="152">
        <v>395</v>
      </c>
      <c r="HU71" s="153">
        <v>317</v>
      </c>
      <c r="HV71" s="153">
        <v>309</v>
      </c>
      <c r="HW71" s="153">
        <v>299</v>
      </c>
      <c r="HX71" s="154">
        <v>219</v>
      </c>
      <c r="HY71" s="154">
        <v>209</v>
      </c>
      <c r="HZ71" s="279">
        <v>233</v>
      </c>
      <c r="IA71" s="279">
        <v>152</v>
      </c>
      <c r="IB71" s="155"/>
      <c r="IC71" s="152">
        <v>2302</v>
      </c>
      <c r="ID71" s="153">
        <v>1651</v>
      </c>
      <c r="IE71" s="153">
        <v>1422</v>
      </c>
      <c r="IF71" s="153">
        <v>1112</v>
      </c>
      <c r="IG71" s="154">
        <v>744</v>
      </c>
      <c r="IH71" s="154">
        <v>888</v>
      </c>
      <c r="II71" s="279">
        <v>1002</v>
      </c>
      <c r="IJ71" s="279">
        <v>538</v>
      </c>
      <c r="IK71" s="155"/>
    </row>
    <row r="72" spans="1:245" ht="13.5" thickBot="1" x14ac:dyDescent="0.25">
      <c r="A72" s="961"/>
      <c r="B72" s="156" t="s">
        <v>683</v>
      </c>
      <c r="C72" s="157"/>
      <c r="D72" s="166"/>
      <c r="E72" s="166"/>
      <c r="F72" s="166"/>
      <c r="G72" s="158"/>
      <c r="H72" s="158"/>
      <c r="I72" s="280"/>
      <c r="J72" s="280"/>
      <c r="K72" s="159"/>
      <c r="L72" s="157"/>
      <c r="M72" s="166"/>
      <c r="N72" s="166"/>
      <c r="O72" s="166"/>
      <c r="P72" s="158"/>
      <c r="Q72" s="158"/>
      <c r="R72" s="280"/>
      <c r="S72" s="280"/>
      <c r="T72" s="159"/>
      <c r="U72" s="157"/>
      <c r="V72" s="166"/>
      <c r="W72" s="166"/>
      <c r="X72" s="166"/>
      <c r="Y72" s="158"/>
      <c r="Z72" s="158"/>
      <c r="AA72" s="280"/>
      <c r="AB72" s="280"/>
      <c r="AC72" s="159"/>
      <c r="AD72" s="157">
        <v>15</v>
      </c>
      <c r="AE72" s="166">
        <v>13</v>
      </c>
      <c r="AF72" s="166">
        <v>12</v>
      </c>
      <c r="AG72" s="166">
        <v>17</v>
      </c>
      <c r="AH72" s="158">
        <v>13</v>
      </c>
      <c r="AI72" s="158">
        <v>11</v>
      </c>
      <c r="AJ72" s="280">
        <v>11</v>
      </c>
      <c r="AK72" s="280">
        <v>24</v>
      </c>
      <c r="AL72" s="159"/>
      <c r="AM72" s="157">
        <v>4</v>
      </c>
      <c r="AN72" s="166">
        <v>10</v>
      </c>
      <c r="AO72" s="166">
        <v>5</v>
      </c>
      <c r="AP72" s="166">
        <v>8</v>
      </c>
      <c r="AQ72" s="158">
        <v>4</v>
      </c>
      <c r="AR72" s="158">
        <v>6</v>
      </c>
      <c r="AS72" s="280">
        <v>4</v>
      </c>
      <c r="AT72" s="280">
        <v>14</v>
      </c>
      <c r="AU72" s="159"/>
      <c r="AV72" s="157"/>
      <c r="AW72" s="166"/>
      <c r="AX72" s="166"/>
      <c r="AY72" s="166"/>
      <c r="AZ72" s="158"/>
      <c r="BA72" s="158"/>
      <c r="BB72" s="280"/>
      <c r="BC72" s="280"/>
      <c r="BD72" s="159"/>
      <c r="BE72" s="157">
        <v>5</v>
      </c>
      <c r="BF72" s="166">
        <v>6</v>
      </c>
      <c r="BG72" s="166">
        <v>4</v>
      </c>
      <c r="BH72" s="166">
        <v>10</v>
      </c>
      <c r="BI72" s="158">
        <v>2</v>
      </c>
      <c r="BJ72" s="158">
        <v>5</v>
      </c>
      <c r="BK72" s="280">
        <v>5</v>
      </c>
      <c r="BL72" s="280"/>
      <c r="BM72" s="159"/>
      <c r="BN72" s="157">
        <v>1</v>
      </c>
      <c r="BO72" s="166"/>
      <c r="BP72" s="166"/>
      <c r="BQ72" s="166"/>
      <c r="BR72" s="158"/>
      <c r="BS72" s="158"/>
      <c r="BT72" s="280"/>
      <c r="BU72" s="280"/>
      <c r="BV72" s="159"/>
      <c r="BW72" s="157">
        <v>9</v>
      </c>
      <c r="BX72" s="166">
        <v>14</v>
      </c>
      <c r="BY72" s="166">
        <v>15</v>
      </c>
      <c r="BZ72" s="166">
        <v>17</v>
      </c>
      <c r="CA72" s="158">
        <v>14</v>
      </c>
      <c r="CB72" s="158">
        <v>15</v>
      </c>
      <c r="CC72" s="280">
        <v>15</v>
      </c>
      <c r="CD72" s="280">
        <v>14</v>
      </c>
      <c r="CE72" s="159"/>
      <c r="CF72" s="157"/>
      <c r="CG72" s="166">
        <v>2</v>
      </c>
      <c r="CH72" s="166">
        <v>2</v>
      </c>
      <c r="CI72" s="166"/>
      <c r="CJ72" s="158">
        <v>1</v>
      </c>
      <c r="CK72" s="158">
        <v>1</v>
      </c>
      <c r="CL72" s="280"/>
      <c r="CM72" s="280">
        <v>3</v>
      </c>
      <c r="CN72" s="159"/>
      <c r="CO72" s="157">
        <v>1</v>
      </c>
      <c r="CP72" s="166">
        <v>4</v>
      </c>
      <c r="CQ72" s="166"/>
      <c r="CR72" s="166">
        <v>1</v>
      </c>
      <c r="CS72" s="158">
        <v>1</v>
      </c>
      <c r="CT72" s="158"/>
      <c r="CU72" s="280"/>
      <c r="CV72" s="280">
        <v>2</v>
      </c>
      <c r="CW72" s="159"/>
      <c r="CX72" s="157">
        <v>227</v>
      </c>
      <c r="CY72" s="166">
        <v>219</v>
      </c>
      <c r="CZ72" s="166">
        <v>221</v>
      </c>
      <c r="DA72" s="166">
        <v>142</v>
      </c>
      <c r="DB72" s="158">
        <v>123</v>
      </c>
      <c r="DC72" s="158">
        <v>117</v>
      </c>
      <c r="DD72" s="280">
        <v>91</v>
      </c>
      <c r="DE72" s="280">
        <v>93</v>
      </c>
      <c r="DF72" s="159"/>
      <c r="DG72" s="157">
        <v>3</v>
      </c>
      <c r="DH72" s="166"/>
      <c r="DI72" s="166">
        <v>1</v>
      </c>
      <c r="DJ72" s="166"/>
      <c r="DK72" s="158"/>
      <c r="DL72" s="158"/>
      <c r="DM72" s="280"/>
      <c r="DN72" s="280"/>
      <c r="DO72" s="159"/>
      <c r="DP72" s="157">
        <v>5</v>
      </c>
      <c r="DQ72" s="166">
        <v>6</v>
      </c>
      <c r="DR72" s="166">
        <v>7</v>
      </c>
      <c r="DS72" s="166">
        <v>1</v>
      </c>
      <c r="DT72" s="158">
        <v>3</v>
      </c>
      <c r="DU72" s="158"/>
      <c r="DV72" s="280">
        <v>1</v>
      </c>
      <c r="DW72" s="280">
        <v>2</v>
      </c>
      <c r="DX72" s="159"/>
      <c r="DY72" s="157">
        <v>13</v>
      </c>
      <c r="DZ72" s="166">
        <v>23</v>
      </c>
      <c r="EA72" s="166">
        <v>16</v>
      </c>
      <c r="EB72" s="166">
        <v>28</v>
      </c>
      <c r="EC72" s="158">
        <v>22</v>
      </c>
      <c r="ED72" s="158">
        <v>29</v>
      </c>
      <c r="EE72" s="280">
        <v>15</v>
      </c>
      <c r="EF72" s="280">
        <v>21</v>
      </c>
      <c r="EG72" s="159"/>
      <c r="EH72" s="157">
        <v>4</v>
      </c>
      <c r="EI72" s="166">
        <v>1</v>
      </c>
      <c r="EJ72" s="166"/>
      <c r="EK72" s="166"/>
      <c r="EL72" s="158">
        <v>1</v>
      </c>
      <c r="EM72" s="158">
        <v>1</v>
      </c>
      <c r="EN72" s="280">
        <v>1</v>
      </c>
      <c r="EO72" s="280">
        <v>2</v>
      </c>
      <c r="EP72" s="159"/>
      <c r="EQ72" s="157"/>
      <c r="ER72" s="166"/>
      <c r="ES72" s="166"/>
      <c r="ET72" s="166">
        <v>1</v>
      </c>
      <c r="EU72" s="158"/>
      <c r="EV72" s="158">
        <v>2</v>
      </c>
      <c r="EW72" s="280">
        <v>2</v>
      </c>
      <c r="EX72" s="280">
        <v>1</v>
      </c>
      <c r="EY72" s="159"/>
      <c r="EZ72" s="157">
        <v>1</v>
      </c>
      <c r="FA72" s="166"/>
      <c r="FB72" s="166"/>
      <c r="FC72" s="166"/>
      <c r="FD72" s="158">
        <v>1</v>
      </c>
      <c r="FE72" s="158"/>
      <c r="FF72" s="280"/>
      <c r="FG72" s="280">
        <v>2</v>
      </c>
      <c r="FH72" s="159"/>
      <c r="FI72" s="157">
        <v>21</v>
      </c>
      <c r="FJ72" s="166">
        <v>12</v>
      </c>
      <c r="FK72" s="166">
        <v>10</v>
      </c>
      <c r="FL72" s="166">
        <v>4</v>
      </c>
      <c r="FM72" s="158">
        <v>15</v>
      </c>
      <c r="FN72" s="158">
        <v>5</v>
      </c>
      <c r="FO72" s="280">
        <v>3</v>
      </c>
      <c r="FP72" s="280">
        <v>10</v>
      </c>
      <c r="FQ72" s="159"/>
      <c r="FR72" s="157">
        <v>1</v>
      </c>
      <c r="FS72" s="166">
        <v>2</v>
      </c>
      <c r="FT72" s="166">
        <v>1</v>
      </c>
      <c r="FU72" s="166">
        <v>2</v>
      </c>
      <c r="FV72" s="158"/>
      <c r="FW72" s="158"/>
      <c r="FX72" s="280">
        <v>2</v>
      </c>
      <c r="FY72" s="280">
        <v>1</v>
      </c>
      <c r="FZ72" s="159"/>
      <c r="GA72" s="157">
        <v>4</v>
      </c>
      <c r="GB72" s="166">
        <v>5</v>
      </c>
      <c r="GC72" s="166">
        <v>2</v>
      </c>
      <c r="GD72" s="166">
        <v>1</v>
      </c>
      <c r="GE72" s="158"/>
      <c r="GF72" s="158"/>
      <c r="GG72" s="280">
        <v>3</v>
      </c>
      <c r="GH72" s="280">
        <v>4</v>
      </c>
      <c r="GI72" s="159"/>
      <c r="GJ72" s="157">
        <v>289</v>
      </c>
      <c r="GK72" s="166">
        <v>278</v>
      </c>
      <c r="GL72" s="166">
        <v>267</v>
      </c>
      <c r="GM72" s="166">
        <v>195</v>
      </c>
      <c r="GN72" s="158">
        <v>171</v>
      </c>
      <c r="GO72" s="158">
        <v>157</v>
      </c>
      <c r="GP72" s="280">
        <v>133</v>
      </c>
      <c r="GQ72" s="280">
        <v>156</v>
      </c>
      <c r="GR72" s="159"/>
      <c r="GS72" s="157">
        <v>80</v>
      </c>
      <c r="GT72" s="166">
        <v>89</v>
      </c>
      <c r="GU72" s="166">
        <v>83</v>
      </c>
      <c r="GV72" s="166">
        <v>43</v>
      </c>
      <c r="GW72" s="158">
        <v>33</v>
      </c>
      <c r="GX72" s="158">
        <v>19</v>
      </c>
      <c r="GY72" s="280">
        <v>26</v>
      </c>
      <c r="GZ72" s="280">
        <v>34</v>
      </c>
      <c r="HA72" s="159"/>
      <c r="HB72" s="157"/>
      <c r="HC72" s="166">
        <v>2</v>
      </c>
      <c r="HD72" s="166"/>
      <c r="HE72" s="166">
        <v>2</v>
      </c>
      <c r="HF72" s="158">
        <v>2</v>
      </c>
      <c r="HG72" s="158"/>
      <c r="HH72" s="280"/>
      <c r="HI72" s="280">
        <v>1</v>
      </c>
      <c r="HJ72" s="159"/>
      <c r="HK72" s="157"/>
      <c r="HL72" s="166"/>
      <c r="HM72" s="166"/>
      <c r="HN72" s="166">
        <v>1</v>
      </c>
      <c r="HO72" s="158"/>
      <c r="HP72" s="158"/>
      <c r="HQ72" s="280"/>
      <c r="HR72" s="280"/>
      <c r="HS72" s="159"/>
      <c r="HT72" s="157">
        <v>107</v>
      </c>
      <c r="HU72" s="166">
        <v>129</v>
      </c>
      <c r="HV72" s="166">
        <v>118</v>
      </c>
      <c r="HW72" s="166">
        <v>85</v>
      </c>
      <c r="HX72" s="158">
        <v>73</v>
      </c>
      <c r="HY72" s="158">
        <v>74</v>
      </c>
      <c r="HZ72" s="280">
        <v>77</v>
      </c>
      <c r="IA72" s="280">
        <v>113</v>
      </c>
      <c r="IB72" s="159"/>
      <c r="IC72" s="157">
        <v>565</v>
      </c>
      <c r="ID72" s="166">
        <v>488</v>
      </c>
      <c r="IE72" s="166">
        <v>461</v>
      </c>
      <c r="IF72" s="166">
        <v>316</v>
      </c>
      <c r="IG72" s="158">
        <v>296</v>
      </c>
      <c r="IH72" s="158">
        <v>291</v>
      </c>
      <c r="II72" s="280">
        <v>275</v>
      </c>
      <c r="IJ72" s="280">
        <v>291</v>
      </c>
      <c r="IK72" s="159"/>
    </row>
    <row r="73" spans="1:245" s="134" customFormat="1" ht="13.5" thickBot="1" x14ac:dyDescent="0.25">
      <c r="A73" s="962"/>
      <c r="B73" s="189" t="s">
        <v>781</v>
      </c>
      <c r="C73" s="273">
        <v>5</v>
      </c>
      <c r="D73" s="190">
        <v>9</v>
      </c>
      <c r="E73" s="190">
        <v>4</v>
      </c>
      <c r="F73" s="190">
        <v>10</v>
      </c>
      <c r="G73" s="190">
        <v>4</v>
      </c>
      <c r="H73" s="190">
        <v>5</v>
      </c>
      <c r="I73" s="190">
        <v>11</v>
      </c>
      <c r="J73" s="190">
        <v>5</v>
      </c>
      <c r="K73" s="286"/>
      <c r="L73" s="273">
        <v>4</v>
      </c>
      <c r="M73" s="190">
        <v>8</v>
      </c>
      <c r="N73" s="190">
        <v>2</v>
      </c>
      <c r="O73" s="190">
        <v>7</v>
      </c>
      <c r="P73" s="190">
        <v>2</v>
      </c>
      <c r="Q73" s="190">
        <v>1</v>
      </c>
      <c r="R73" s="190">
        <v>1</v>
      </c>
      <c r="S73" s="190">
        <v>2</v>
      </c>
      <c r="T73" s="286"/>
      <c r="U73" s="273">
        <v>1</v>
      </c>
      <c r="V73" s="190"/>
      <c r="W73" s="190">
        <v>2</v>
      </c>
      <c r="X73" s="190">
        <v>3</v>
      </c>
      <c r="Y73" s="190">
        <v>1</v>
      </c>
      <c r="Z73" s="190">
        <v>3</v>
      </c>
      <c r="AA73" s="190">
        <v>7</v>
      </c>
      <c r="AB73" s="190">
        <v>3</v>
      </c>
      <c r="AC73" s="286"/>
      <c r="AD73" s="273">
        <v>458</v>
      </c>
      <c r="AE73" s="190">
        <v>486</v>
      </c>
      <c r="AF73" s="190">
        <v>419</v>
      </c>
      <c r="AG73" s="190">
        <v>471</v>
      </c>
      <c r="AH73" s="190">
        <v>441</v>
      </c>
      <c r="AI73" s="190">
        <v>441</v>
      </c>
      <c r="AJ73" s="190">
        <v>357</v>
      </c>
      <c r="AK73" s="190">
        <v>356</v>
      </c>
      <c r="AL73" s="286"/>
      <c r="AM73" s="273">
        <v>235</v>
      </c>
      <c r="AN73" s="190">
        <v>231</v>
      </c>
      <c r="AO73" s="190">
        <v>179</v>
      </c>
      <c r="AP73" s="190">
        <v>197</v>
      </c>
      <c r="AQ73" s="190">
        <v>174</v>
      </c>
      <c r="AR73" s="190">
        <v>170</v>
      </c>
      <c r="AS73" s="190">
        <v>153</v>
      </c>
      <c r="AT73" s="190">
        <v>155</v>
      </c>
      <c r="AU73" s="286"/>
      <c r="AV73" s="273">
        <v>1</v>
      </c>
      <c r="AW73" s="190">
        <v>4</v>
      </c>
      <c r="AX73" s="190">
        <v>2</v>
      </c>
      <c r="AY73" s="190">
        <v>4</v>
      </c>
      <c r="AZ73" s="190">
        <v>1</v>
      </c>
      <c r="BA73" s="190">
        <v>1</v>
      </c>
      <c r="BB73" s="190">
        <v>2</v>
      </c>
      <c r="BC73" s="190">
        <v>2</v>
      </c>
      <c r="BD73" s="286"/>
      <c r="BE73" s="273">
        <v>93</v>
      </c>
      <c r="BF73" s="190">
        <v>89</v>
      </c>
      <c r="BG73" s="190">
        <v>90</v>
      </c>
      <c r="BH73" s="190">
        <v>87</v>
      </c>
      <c r="BI73" s="190">
        <v>56</v>
      </c>
      <c r="BJ73" s="190">
        <v>73</v>
      </c>
      <c r="BK73" s="190">
        <v>61</v>
      </c>
      <c r="BL73" s="190">
        <v>59</v>
      </c>
      <c r="BM73" s="286"/>
      <c r="BN73" s="273">
        <v>35</v>
      </c>
      <c r="BO73" s="190">
        <v>38</v>
      </c>
      <c r="BP73" s="190">
        <v>61</v>
      </c>
      <c r="BQ73" s="190">
        <v>63</v>
      </c>
      <c r="BR73" s="190">
        <v>115</v>
      </c>
      <c r="BS73" s="190">
        <v>172</v>
      </c>
      <c r="BT73" s="190">
        <v>76</v>
      </c>
      <c r="BU73" s="190">
        <v>34</v>
      </c>
      <c r="BV73" s="286"/>
      <c r="BW73" s="273">
        <v>464</v>
      </c>
      <c r="BX73" s="190">
        <v>575</v>
      </c>
      <c r="BY73" s="190">
        <v>593</v>
      </c>
      <c r="BZ73" s="190">
        <v>557</v>
      </c>
      <c r="CA73" s="190">
        <v>467</v>
      </c>
      <c r="CB73" s="190">
        <v>424</v>
      </c>
      <c r="CC73" s="190">
        <v>399</v>
      </c>
      <c r="CD73" s="190">
        <v>383</v>
      </c>
      <c r="CE73" s="286"/>
      <c r="CF73" s="273">
        <v>49</v>
      </c>
      <c r="CG73" s="190">
        <v>29</v>
      </c>
      <c r="CH73" s="190">
        <v>25</v>
      </c>
      <c r="CI73" s="190">
        <v>31</v>
      </c>
      <c r="CJ73" s="190">
        <v>25</v>
      </c>
      <c r="CK73" s="190">
        <v>25</v>
      </c>
      <c r="CL73" s="190">
        <v>14</v>
      </c>
      <c r="CM73" s="190">
        <v>17</v>
      </c>
      <c r="CN73" s="286"/>
      <c r="CO73" s="273">
        <v>31</v>
      </c>
      <c r="CP73" s="190">
        <v>28</v>
      </c>
      <c r="CQ73" s="190">
        <v>11</v>
      </c>
      <c r="CR73" s="190">
        <v>10</v>
      </c>
      <c r="CS73" s="190">
        <v>12</v>
      </c>
      <c r="CT73" s="190">
        <v>11</v>
      </c>
      <c r="CU73" s="190">
        <v>21</v>
      </c>
      <c r="CV73" s="190">
        <v>23</v>
      </c>
      <c r="CW73" s="286"/>
      <c r="CX73" s="273">
        <v>6880</v>
      </c>
      <c r="CY73" s="190">
        <v>6530</v>
      </c>
      <c r="CZ73" s="190">
        <v>6230</v>
      </c>
      <c r="DA73" s="190">
        <v>5660</v>
      </c>
      <c r="DB73" s="190">
        <v>4732</v>
      </c>
      <c r="DC73" s="190">
        <v>3597</v>
      </c>
      <c r="DD73" s="190">
        <v>3189</v>
      </c>
      <c r="DE73" s="190">
        <v>2732</v>
      </c>
      <c r="DF73" s="286"/>
      <c r="DG73" s="273">
        <v>61</v>
      </c>
      <c r="DH73" s="190">
        <v>30</v>
      </c>
      <c r="DI73" s="190">
        <v>36</v>
      </c>
      <c r="DJ73" s="190">
        <v>33</v>
      </c>
      <c r="DK73" s="190">
        <v>30</v>
      </c>
      <c r="DL73" s="190">
        <v>19</v>
      </c>
      <c r="DM73" s="190">
        <v>10</v>
      </c>
      <c r="DN73" s="190">
        <v>9</v>
      </c>
      <c r="DO73" s="286"/>
      <c r="DP73" s="273">
        <v>278</v>
      </c>
      <c r="DQ73" s="190">
        <v>304</v>
      </c>
      <c r="DR73" s="190">
        <v>154</v>
      </c>
      <c r="DS73" s="190">
        <v>170</v>
      </c>
      <c r="DT73" s="190">
        <v>169</v>
      </c>
      <c r="DU73" s="190">
        <v>84</v>
      </c>
      <c r="DV73" s="190">
        <v>92</v>
      </c>
      <c r="DW73" s="190">
        <v>42</v>
      </c>
      <c r="DX73" s="286"/>
      <c r="DY73" s="273">
        <v>532</v>
      </c>
      <c r="DZ73" s="190">
        <v>491</v>
      </c>
      <c r="EA73" s="190">
        <v>574</v>
      </c>
      <c r="EB73" s="190">
        <v>515</v>
      </c>
      <c r="EC73" s="190">
        <v>459</v>
      </c>
      <c r="ED73" s="190">
        <v>504</v>
      </c>
      <c r="EE73" s="190">
        <v>495</v>
      </c>
      <c r="EF73" s="190">
        <v>356</v>
      </c>
      <c r="EG73" s="286"/>
      <c r="EH73" s="273">
        <v>85</v>
      </c>
      <c r="EI73" s="190">
        <v>113</v>
      </c>
      <c r="EJ73" s="190">
        <v>118</v>
      </c>
      <c r="EK73" s="190">
        <v>67</v>
      </c>
      <c r="EL73" s="190">
        <v>48</v>
      </c>
      <c r="EM73" s="190">
        <v>43</v>
      </c>
      <c r="EN73" s="190">
        <v>51</v>
      </c>
      <c r="EO73" s="190">
        <v>32</v>
      </c>
      <c r="EP73" s="286"/>
      <c r="EQ73" s="273">
        <v>34</v>
      </c>
      <c r="ER73" s="190">
        <v>47</v>
      </c>
      <c r="ES73" s="190">
        <v>57</v>
      </c>
      <c r="ET73" s="190">
        <v>50</v>
      </c>
      <c r="EU73" s="190">
        <v>52</v>
      </c>
      <c r="EV73" s="190">
        <v>59</v>
      </c>
      <c r="EW73" s="190">
        <v>95</v>
      </c>
      <c r="EX73" s="190">
        <v>44</v>
      </c>
      <c r="EY73" s="286"/>
      <c r="EZ73" s="273">
        <v>34</v>
      </c>
      <c r="FA73" s="190">
        <v>25</v>
      </c>
      <c r="FB73" s="190">
        <v>26</v>
      </c>
      <c r="FC73" s="190">
        <v>15</v>
      </c>
      <c r="FD73" s="190">
        <v>19</v>
      </c>
      <c r="FE73" s="190">
        <v>14</v>
      </c>
      <c r="FF73" s="190">
        <v>8</v>
      </c>
      <c r="FG73" s="190">
        <v>13</v>
      </c>
      <c r="FH73" s="286"/>
      <c r="FI73" s="273">
        <v>639</v>
      </c>
      <c r="FJ73" s="190">
        <v>673</v>
      </c>
      <c r="FK73" s="190">
        <v>422</v>
      </c>
      <c r="FL73" s="190">
        <v>256</v>
      </c>
      <c r="FM73" s="190">
        <v>255</v>
      </c>
      <c r="FN73" s="190">
        <v>216</v>
      </c>
      <c r="FO73" s="190">
        <v>223</v>
      </c>
      <c r="FP73" s="190">
        <v>241</v>
      </c>
      <c r="FQ73" s="286"/>
      <c r="FR73" s="273">
        <v>53</v>
      </c>
      <c r="FS73" s="190">
        <v>51</v>
      </c>
      <c r="FT73" s="190">
        <v>32</v>
      </c>
      <c r="FU73" s="190">
        <v>23</v>
      </c>
      <c r="FV73" s="190">
        <v>40</v>
      </c>
      <c r="FW73" s="190">
        <v>31</v>
      </c>
      <c r="FX73" s="190">
        <v>26</v>
      </c>
      <c r="FY73" s="190">
        <v>14</v>
      </c>
      <c r="FZ73" s="286"/>
      <c r="GA73" s="273">
        <v>47</v>
      </c>
      <c r="GB73" s="190">
        <v>54</v>
      </c>
      <c r="GC73" s="190">
        <v>47</v>
      </c>
      <c r="GD73" s="190">
        <v>37</v>
      </c>
      <c r="GE73" s="190">
        <v>26</v>
      </c>
      <c r="GF73" s="190">
        <v>46</v>
      </c>
      <c r="GG73" s="190">
        <v>76</v>
      </c>
      <c r="GH73" s="190">
        <v>36</v>
      </c>
      <c r="GI73" s="286"/>
      <c r="GJ73" s="273">
        <v>8907</v>
      </c>
      <c r="GK73" s="190">
        <v>8747</v>
      </c>
      <c r="GL73" s="190">
        <v>8135</v>
      </c>
      <c r="GM73" s="190">
        <v>7337</v>
      </c>
      <c r="GN73" s="190">
        <v>6292</v>
      </c>
      <c r="GO73" s="190">
        <v>5157</v>
      </c>
      <c r="GP73" s="190">
        <v>4607</v>
      </c>
      <c r="GQ73" s="190">
        <v>3989</v>
      </c>
      <c r="GR73" s="286"/>
      <c r="GS73" s="273">
        <v>3073</v>
      </c>
      <c r="GT73" s="190">
        <v>3128</v>
      </c>
      <c r="GU73" s="190">
        <v>2878</v>
      </c>
      <c r="GV73" s="190">
        <v>2170</v>
      </c>
      <c r="GW73" s="190">
        <v>1495</v>
      </c>
      <c r="GX73" s="190">
        <v>1256</v>
      </c>
      <c r="GY73" s="190">
        <v>1118</v>
      </c>
      <c r="GZ73" s="190">
        <v>863</v>
      </c>
      <c r="HA73" s="286"/>
      <c r="HB73" s="273">
        <v>35</v>
      </c>
      <c r="HC73" s="190">
        <v>30</v>
      </c>
      <c r="HD73" s="190">
        <v>10</v>
      </c>
      <c r="HE73" s="190">
        <v>21</v>
      </c>
      <c r="HF73" s="190">
        <v>17</v>
      </c>
      <c r="HG73" s="190">
        <v>12</v>
      </c>
      <c r="HH73" s="190">
        <v>20</v>
      </c>
      <c r="HI73" s="190">
        <v>11</v>
      </c>
      <c r="HJ73" s="286"/>
      <c r="HK73" s="273">
        <v>11</v>
      </c>
      <c r="HL73" s="190">
        <v>9</v>
      </c>
      <c r="HM73" s="190">
        <v>6</v>
      </c>
      <c r="HN73" s="190">
        <v>11</v>
      </c>
      <c r="HO73" s="190">
        <v>6</v>
      </c>
      <c r="HP73" s="190">
        <v>7</v>
      </c>
      <c r="HQ73" s="190">
        <v>8</v>
      </c>
      <c r="HR73" s="190">
        <v>3</v>
      </c>
      <c r="HS73" s="286"/>
      <c r="HT73" s="273">
        <v>4407</v>
      </c>
      <c r="HU73" s="190">
        <v>3985</v>
      </c>
      <c r="HV73" s="190">
        <v>3515</v>
      </c>
      <c r="HW73" s="190">
        <v>2963</v>
      </c>
      <c r="HX73" s="190">
        <v>2408</v>
      </c>
      <c r="HY73" s="190">
        <v>2199</v>
      </c>
      <c r="HZ73" s="190">
        <v>2001</v>
      </c>
      <c r="IA73" s="190">
        <v>1758</v>
      </c>
      <c r="IB73" s="286"/>
      <c r="IC73" s="273">
        <v>22404</v>
      </c>
      <c r="ID73" s="190">
        <v>21127</v>
      </c>
      <c r="IE73" s="190">
        <v>18242</v>
      </c>
      <c r="IF73" s="190">
        <v>12295</v>
      </c>
      <c r="IG73" s="190">
        <v>10557</v>
      </c>
      <c r="IH73" s="190">
        <v>10735</v>
      </c>
      <c r="II73" s="190">
        <v>12391</v>
      </c>
      <c r="IJ73" s="190">
        <v>7939</v>
      </c>
      <c r="IK73" s="286"/>
    </row>
    <row r="74" spans="1:245" x14ac:dyDescent="0.2">
      <c r="A74" s="960" t="s">
        <v>585</v>
      </c>
      <c r="B74" s="146" t="s">
        <v>586</v>
      </c>
      <c r="C74" s="147">
        <v>8</v>
      </c>
      <c r="D74" s="148">
        <v>13</v>
      </c>
      <c r="E74" s="148">
        <v>8</v>
      </c>
      <c r="F74" s="148">
        <v>8</v>
      </c>
      <c r="G74" s="149">
        <v>14</v>
      </c>
      <c r="H74" s="149">
        <v>8</v>
      </c>
      <c r="I74" s="278">
        <v>5</v>
      </c>
      <c r="J74" s="278">
        <v>6</v>
      </c>
      <c r="K74" s="150"/>
      <c r="L74" s="147">
        <v>2</v>
      </c>
      <c r="M74" s="148">
        <v>6</v>
      </c>
      <c r="N74" s="148">
        <v>4</v>
      </c>
      <c r="O74" s="148">
        <v>5</v>
      </c>
      <c r="P74" s="149">
        <v>8</v>
      </c>
      <c r="Q74" s="149">
        <v>2</v>
      </c>
      <c r="R74" s="278">
        <v>4</v>
      </c>
      <c r="S74" s="278">
        <v>4</v>
      </c>
      <c r="T74" s="150"/>
      <c r="U74" s="147">
        <v>4</v>
      </c>
      <c r="V74" s="148">
        <v>6</v>
      </c>
      <c r="W74" s="148">
        <v>3</v>
      </c>
      <c r="X74" s="148">
        <v>3</v>
      </c>
      <c r="Y74" s="149">
        <v>4</v>
      </c>
      <c r="Z74" s="149">
        <v>4</v>
      </c>
      <c r="AA74" s="278">
        <v>1</v>
      </c>
      <c r="AB74" s="278">
        <v>1</v>
      </c>
      <c r="AC74" s="150"/>
      <c r="AD74" s="147">
        <v>8</v>
      </c>
      <c r="AE74" s="148">
        <v>9</v>
      </c>
      <c r="AF74" s="148">
        <v>5</v>
      </c>
      <c r="AG74" s="148">
        <v>8</v>
      </c>
      <c r="AH74" s="149">
        <v>15</v>
      </c>
      <c r="AI74" s="149">
        <v>6</v>
      </c>
      <c r="AJ74" s="278">
        <v>10</v>
      </c>
      <c r="AK74" s="278">
        <v>2</v>
      </c>
      <c r="AL74" s="150"/>
      <c r="AM74" s="147">
        <v>8</v>
      </c>
      <c r="AN74" s="148">
        <v>8</v>
      </c>
      <c r="AO74" s="148">
        <v>4</v>
      </c>
      <c r="AP74" s="148">
        <v>7</v>
      </c>
      <c r="AQ74" s="149">
        <v>14</v>
      </c>
      <c r="AR74" s="149">
        <v>6</v>
      </c>
      <c r="AS74" s="278">
        <v>10</v>
      </c>
      <c r="AT74" s="278">
        <v>2</v>
      </c>
      <c r="AU74" s="150"/>
      <c r="AV74" s="147">
        <v>1</v>
      </c>
      <c r="AW74" s="148">
        <v>2</v>
      </c>
      <c r="AX74" s="148"/>
      <c r="AY74" s="148">
        <v>2</v>
      </c>
      <c r="AZ74" s="149">
        <v>3</v>
      </c>
      <c r="BA74" s="149"/>
      <c r="BB74" s="278">
        <v>2</v>
      </c>
      <c r="BC74" s="278">
        <v>1</v>
      </c>
      <c r="BD74" s="150"/>
      <c r="BE74" s="147">
        <v>1</v>
      </c>
      <c r="BF74" s="148"/>
      <c r="BG74" s="148"/>
      <c r="BH74" s="148">
        <v>1</v>
      </c>
      <c r="BI74" s="149"/>
      <c r="BJ74" s="149"/>
      <c r="BK74" s="278"/>
      <c r="BL74" s="278"/>
      <c r="BM74" s="150"/>
      <c r="BN74" s="147"/>
      <c r="BO74" s="148"/>
      <c r="BP74" s="148"/>
      <c r="BQ74" s="148"/>
      <c r="BR74" s="149"/>
      <c r="BS74" s="149">
        <v>18</v>
      </c>
      <c r="BT74" s="278">
        <v>2</v>
      </c>
      <c r="BU74" s="278">
        <v>6</v>
      </c>
      <c r="BV74" s="150"/>
      <c r="BW74" s="147"/>
      <c r="BX74" s="148">
        <v>1</v>
      </c>
      <c r="BY74" s="148"/>
      <c r="BZ74" s="148"/>
      <c r="CA74" s="149">
        <v>1</v>
      </c>
      <c r="CB74" s="149"/>
      <c r="CC74" s="278">
        <v>2</v>
      </c>
      <c r="CD74" s="278"/>
      <c r="CE74" s="150"/>
      <c r="CF74" s="147"/>
      <c r="CG74" s="148"/>
      <c r="CH74" s="148"/>
      <c r="CI74" s="148"/>
      <c r="CJ74" s="149">
        <v>1</v>
      </c>
      <c r="CK74" s="149">
        <v>1</v>
      </c>
      <c r="CL74" s="278"/>
      <c r="CM74" s="278"/>
      <c r="CN74" s="150"/>
      <c r="CO74" s="147">
        <v>5</v>
      </c>
      <c r="CP74" s="148">
        <v>4</v>
      </c>
      <c r="CQ74" s="148"/>
      <c r="CR74" s="148"/>
      <c r="CS74" s="149">
        <v>30</v>
      </c>
      <c r="CT74" s="149">
        <v>4</v>
      </c>
      <c r="CU74" s="278"/>
      <c r="CV74" s="278">
        <v>2</v>
      </c>
      <c r="CW74" s="150"/>
      <c r="CX74" s="147">
        <v>38</v>
      </c>
      <c r="CY74" s="148">
        <v>28</v>
      </c>
      <c r="CZ74" s="148">
        <v>14</v>
      </c>
      <c r="DA74" s="148">
        <v>4</v>
      </c>
      <c r="DB74" s="149">
        <v>5</v>
      </c>
      <c r="DC74" s="149">
        <v>45</v>
      </c>
      <c r="DD74" s="278">
        <v>2</v>
      </c>
      <c r="DE74" s="278">
        <v>12</v>
      </c>
      <c r="DF74" s="150"/>
      <c r="DG74" s="147">
        <v>9</v>
      </c>
      <c r="DH74" s="148"/>
      <c r="DI74" s="148">
        <v>7</v>
      </c>
      <c r="DJ74" s="148"/>
      <c r="DK74" s="149"/>
      <c r="DL74" s="149">
        <v>1</v>
      </c>
      <c r="DM74" s="278"/>
      <c r="DN74" s="278"/>
      <c r="DO74" s="150"/>
      <c r="DP74" s="147">
        <v>6</v>
      </c>
      <c r="DQ74" s="148"/>
      <c r="DR74" s="148"/>
      <c r="DS74" s="148"/>
      <c r="DT74" s="149"/>
      <c r="DU74" s="149"/>
      <c r="DV74" s="278"/>
      <c r="DW74" s="278">
        <v>2</v>
      </c>
      <c r="DX74" s="150"/>
      <c r="DY74" s="147"/>
      <c r="DZ74" s="148">
        <v>3</v>
      </c>
      <c r="EA74" s="148">
        <v>2</v>
      </c>
      <c r="EB74" s="148"/>
      <c r="EC74" s="149"/>
      <c r="ED74" s="149">
        <v>6</v>
      </c>
      <c r="EE74" s="278"/>
      <c r="EF74" s="278">
        <v>3</v>
      </c>
      <c r="EG74" s="150"/>
      <c r="EH74" s="147"/>
      <c r="EI74" s="148">
        <v>16</v>
      </c>
      <c r="EJ74" s="148"/>
      <c r="EK74" s="148">
        <v>1</v>
      </c>
      <c r="EL74" s="149">
        <v>5</v>
      </c>
      <c r="EM74" s="149">
        <v>4</v>
      </c>
      <c r="EN74" s="278"/>
      <c r="EO74" s="278">
        <v>1</v>
      </c>
      <c r="EP74" s="150"/>
      <c r="EQ74" s="147">
        <v>1</v>
      </c>
      <c r="ER74" s="148">
        <v>1</v>
      </c>
      <c r="ES74" s="148"/>
      <c r="ET74" s="148"/>
      <c r="EU74" s="149">
        <v>2</v>
      </c>
      <c r="EV74" s="149"/>
      <c r="EW74" s="278">
        <v>1</v>
      </c>
      <c r="EX74" s="278">
        <v>1</v>
      </c>
      <c r="EY74" s="150"/>
      <c r="EZ74" s="147"/>
      <c r="FA74" s="148">
        <v>2</v>
      </c>
      <c r="FB74" s="148">
        <v>2</v>
      </c>
      <c r="FC74" s="148">
        <v>1</v>
      </c>
      <c r="FD74" s="149"/>
      <c r="FE74" s="149">
        <v>2</v>
      </c>
      <c r="FF74" s="278"/>
      <c r="FG74" s="278"/>
      <c r="FH74" s="150"/>
      <c r="FI74" s="147">
        <v>1</v>
      </c>
      <c r="FJ74" s="148">
        <v>1</v>
      </c>
      <c r="FK74" s="148">
        <v>1</v>
      </c>
      <c r="FL74" s="148">
        <v>1</v>
      </c>
      <c r="FM74" s="149">
        <v>1</v>
      </c>
      <c r="FN74" s="149"/>
      <c r="FO74" s="278">
        <v>2</v>
      </c>
      <c r="FP74" s="278"/>
      <c r="FQ74" s="150"/>
      <c r="FR74" s="147">
        <v>13</v>
      </c>
      <c r="FS74" s="148">
        <v>7</v>
      </c>
      <c r="FT74" s="148">
        <v>5</v>
      </c>
      <c r="FU74" s="148"/>
      <c r="FV74" s="149"/>
      <c r="FW74" s="149">
        <v>1</v>
      </c>
      <c r="FX74" s="278"/>
      <c r="FY74" s="278"/>
      <c r="FZ74" s="150"/>
      <c r="GA74" s="147"/>
      <c r="GB74" s="148"/>
      <c r="GC74" s="148"/>
      <c r="GD74" s="148"/>
      <c r="GE74" s="149"/>
      <c r="GF74" s="149">
        <v>1</v>
      </c>
      <c r="GG74" s="278"/>
      <c r="GH74" s="278"/>
      <c r="GI74" s="150"/>
      <c r="GJ74" s="147">
        <v>75</v>
      </c>
      <c r="GK74" s="148">
        <v>82</v>
      </c>
      <c r="GL74" s="148">
        <v>35</v>
      </c>
      <c r="GM74" s="148">
        <v>24</v>
      </c>
      <c r="GN74" s="149">
        <v>74</v>
      </c>
      <c r="GO74" s="149">
        <v>90</v>
      </c>
      <c r="GP74" s="278">
        <v>24</v>
      </c>
      <c r="GQ74" s="278">
        <v>30</v>
      </c>
      <c r="GR74" s="150"/>
      <c r="GS74" s="147">
        <v>24</v>
      </c>
      <c r="GT74" s="148">
        <v>23</v>
      </c>
      <c r="GU74" s="148">
        <v>5</v>
      </c>
      <c r="GV74" s="148">
        <v>2</v>
      </c>
      <c r="GW74" s="149">
        <v>22</v>
      </c>
      <c r="GX74" s="149">
        <v>13</v>
      </c>
      <c r="GY74" s="278">
        <v>7</v>
      </c>
      <c r="GZ74" s="278">
        <v>5</v>
      </c>
      <c r="HA74" s="150"/>
      <c r="HB74" s="147"/>
      <c r="HC74" s="148">
        <v>2</v>
      </c>
      <c r="HD74" s="148"/>
      <c r="HE74" s="148"/>
      <c r="HF74" s="149">
        <v>5</v>
      </c>
      <c r="HG74" s="149">
        <v>1</v>
      </c>
      <c r="HH74" s="278"/>
      <c r="HI74" s="278"/>
      <c r="HJ74" s="150"/>
      <c r="HK74" s="147"/>
      <c r="HL74" s="148"/>
      <c r="HM74" s="148"/>
      <c r="HN74" s="148">
        <v>2</v>
      </c>
      <c r="HO74" s="149"/>
      <c r="HP74" s="149"/>
      <c r="HQ74" s="278"/>
      <c r="HR74" s="278">
        <v>1</v>
      </c>
      <c r="HS74" s="150"/>
      <c r="HT74" s="147">
        <v>49</v>
      </c>
      <c r="HU74" s="148">
        <v>45</v>
      </c>
      <c r="HV74" s="148">
        <v>21</v>
      </c>
      <c r="HW74" s="148">
        <v>18</v>
      </c>
      <c r="HX74" s="149">
        <v>57</v>
      </c>
      <c r="HY74" s="149">
        <v>32</v>
      </c>
      <c r="HZ74" s="278">
        <v>25</v>
      </c>
      <c r="IA74" s="278">
        <v>16</v>
      </c>
      <c r="IB74" s="150"/>
      <c r="IC74" s="147">
        <v>283</v>
      </c>
      <c r="ID74" s="148">
        <v>180</v>
      </c>
      <c r="IE74" s="148">
        <v>243</v>
      </c>
      <c r="IF74" s="148">
        <v>133</v>
      </c>
      <c r="IG74" s="149">
        <v>174</v>
      </c>
      <c r="IH74" s="149">
        <v>204</v>
      </c>
      <c r="II74" s="278">
        <v>78</v>
      </c>
      <c r="IJ74" s="278">
        <v>87</v>
      </c>
      <c r="IK74" s="150"/>
    </row>
    <row r="75" spans="1:245" x14ac:dyDescent="0.2">
      <c r="A75" s="961"/>
      <c r="B75" s="151" t="s">
        <v>684</v>
      </c>
      <c r="C75" s="152"/>
      <c r="D75" s="153"/>
      <c r="E75" s="153"/>
      <c r="F75" s="153"/>
      <c r="G75" s="154"/>
      <c r="H75" s="154">
        <v>1</v>
      </c>
      <c r="I75" s="279"/>
      <c r="J75" s="279"/>
      <c r="K75" s="155"/>
      <c r="L75" s="152"/>
      <c r="M75" s="153"/>
      <c r="N75" s="153"/>
      <c r="O75" s="153"/>
      <c r="P75" s="154"/>
      <c r="Q75" s="154"/>
      <c r="R75" s="279"/>
      <c r="S75" s="279"/>
      <c r="T75" s="155"/>
      <c r="U75" s="152"/>
      <c r="V75" s="153"/>
      <c r="W75" s="153"/>
      <c r="X75" s="153"/>
      <c r="Y75" s="154"/>
      <c r="Z75" s="154"/>
      <c r="AA75" s="279"/>
      <c r="AB75" s="279"/>
      <c r="AC75" s="155"/>
      <c r="AD75" s="152">
        <v>237</v>
      </c>
      <c r="AE75" s="153">
        <v>179</v>
      </c>
      <c r="AF75" s="153">
        <v>172</v>
      </c>
      <c r="AG75" s="153">
        <v>163</v>
      </c>
      <c r="AH75" s="154">
        <v>161</v>
      </c>
      <c r="AI75" s="154">
        <v>153</v>
      </c>
      <c r="AJ75" s="279">
        <v>176</v>
      </c>
      <c r="AK75" s="279">
        <v>110</v>
      </c>
      <c r="AL75" s="155"/>
      <c r="AM75" s="152">
        <v>108</v>
      </c>
      <c r="AN75" s="153">
        <v>117</v>
      </c>
      <c r="AO75" s="153">
        <v>116</v>
      </c>
      <c r="AP75" s="153">
        <v>110</v>
      </c>
      <c r="AQ75" s="154">
        <v>103</v>
      </c>
      <c r="AR75" s="154">
        <v>118</v>
      </c>
      <c r="AS75" s="279">
        <v>115</v>
      </c>
      <c r="AT75" s="279">
        <v>66</v>
      </c>
      <c r="AU75" s="155"/>
      <c r="AV75" s="152"/>
      <c r="AW75" s="153"/>
      <c r="AX75" s="153"/>
      <c r="AY75" s="153"/>
      <c r="AZ75" s="154"/>
      <c r="BA75" s="154"/>
      <c r="BB75" s="279"/>
      <c r="BC75" s="279"/>
      <c r="BD75" s="155"/>
      <c r="BE75" s="152">
        <v>28</v>
      </c>
      <c r="BF75" s="153">
        <v>37</v>
      </c>
      <c r="BG75" s="153">
        <v>18</v>
      </c>
      <c r="BH75" s="153">
        <v>10</v>
      </c>
      <c r="BI75" s="154">
        <v>10</v>
      </c>
      <c r="BJ75" s="154">
        <v>20</v>
      </c>
      <c r="BK75" s="279">
        <v>6</v>
      </c>
      <c r="BL75" s="279">
        <v>11</v>
      </c>
      <c r="BM75" s="155"/>
      <c r="BN75" s="152"/>
      <c r="BO75" s="153"/>
      <c r="BP75" s="153"/>
      <c r="BQ75" s="153"/>
      <c r="BR75" s="154"/>
      <c r="BS75" s="154"/>
      <c r="BT75" s="279"/>
      <c r="BU75" s="279"/>
      <c r="BV75" s="155"/>
      <c r="BW75" s="152">
        <v>171</v>
      </c>
      <c r="BX75" s="153">
        <v>147</v>
      </c>
      <c r="BY75" s="153">
        <v>170</v>
      </c>
      <c r="BZ75" s="153">
        <v>110</v>
      </c>
      <c r="CA75" s="154">
        <v>145</v>
      </c>
      <c r="CB75" s="154">
        <v>90</v>
      </c>
      <c r="CC75" s="279">
        <v>111</v>
      </c>
      <c r="CD75" s="279">
        <v>82</v>
      </c>
      <c r="CE75" s="155"/>
      <c r="CF75" s="152">
        <v>17</v>
      </c>
      <c r="CG75" s="153">
        <v>12</v>
      </c>
      <c r="CH75" s="153">
        <v>8</v>
      </c>
      <c r="CI75" s="153">
        <v>8</v>
      </c>
      <c r="CJ75" s="154">
        <v>8</v>
      </c>
      <c r="CK75" s="154">
        <v>2</v>
      </c>
      <c r="CL75" s="279">
        <v>4</v>
      </c>
      <c r="CM75" s="279"/>
      <c r="CN75" s="155"/>
      <c r="CO75" s="152">
        <v>6</v>
      </c>
      <c r="CP75" s="153">
        <v>11</v>
      </c>
      <c r="CQ75" s="153">
        <v>4</v>
      </c>
      <c r="CR75" s="153">
        <v>12</v>
      </c>
      <c r="CS75" s="154">
        <v>4</v>
      </c>
      <c r="CT75" s="154">
        <v>10</v>
      </c>
      <c r="CU75" s="279">
        <v>8</v>
      </c>
      <c r="CV75" s="279">
        <v>6</v>
      </c>
      <c r="CW75" s="155"/>
      <c r="CX75" s="152">
        <v>3177</v>
      </c>
      <c r="CY75" s="153">
        <v>2870</v>
      </c>
      <c r="CZ75" s="153">
        <v>2739</v>
      </c>
      <c r="DA75" s="153">
        <v>2251</v>
      </c>
      <c r="DB75" s="154">
        <v>1812</v>
      </c>
      <c r="DC75" s="154">
        <v>1526</v>
      </c>
      <c r="DD75" s="279">
        <v>1149</v>
      </c>
      <c r="DE75" s="279">
        <v>784</v>
      </c>
      <c r="DF75" s="155"/>
      <c r="DG75" s="152">
        <v>58</v>
      </c>
      <c r="DH75" s="153">
        <v>47</v>
      </c>
      <c r="DI75" s="153">
        <v>45</v>
      </c>
      <c r="DJ75" s="153">
        <v>41</v>
      </c>
      <c r="DK75" s="154">
        <v>21</v>
      </c>
      <c r="DL75" s="154">
        <v>18</v>
      </c>
      <c r="DM75" s="279">
        <v>6</v>
      </c>
      <c r="DN75" s="279">
        <v>7</v>
      </c>
      <c r="DO75" s="155"/>
      <c r="DP75" s="152">
        <v>94</v>
      </c>
      <c r="DQ75" s="153">
        <v>53</v>
      </c>
      <c r="DR75" s="153">
        <v>57</v>
      </c>
      <c r="DS75" s="153">
        <v>52</v>
      </c>
      <c r="DT75" s="154">
        <v>39</v>
      </c>
      <c r="DU75" s="154">
        <v>47</v>
      </c>
      <c r="DV75" s="279">
        <v>27</v>
      </c>
      <c r="DW75" s="279">
        <v>5</v>
      </c>
      <c r="DX75" s="155"/>
      <c r="DY75" s="152">
        <v>253</v>
      </c>
      <c r="DZ75" s="153">
        <v>323</v>
      </c>
      <c r="EA75" s="153">
        <v>345</v>
      </c>
      <c r="EB75" s="153">
        <v>332</v>
      </c>
      <c r="EC75" s="154">
        <v>270</v>
      </c>
      <c r="ED75" s="154">
        <v>275</v>
      </c>
      <c r="EE75" s="279">
        <v>281</v>
      </c>
      <c r="EF75" s="279">
        <v>107</v>
      </c>
      <c r="EG75" s="155"/>
      <c r="EH75" s="152">
        <v>65</v>
      </c>
      <c r="EI75" s="153">
        <v>63</v>
      </c>
      <c r="EJ75" s="153">
        <v>43</v>
      </c>
      <c r="EK75" s="153">
        <v>39</v>
      </c>
      <c r="EL75" s="154">
        <v>15</v>
      </c>
      <c r="EM75" s="154">
        <v>16</v>
      </c>
      <c r="EN75" s="279">
        <v>5</v>
      </c>
      <c r="EO75" s="279">
        <v>4</v>
      </c>
      <c r="EP75" s="155"/>
      <c r="EQ75" s="152">
        <v>10</v>
      </c>
      <c r="ER75" s="153">
        <v>12</v>
      </c>
      <c r="ES75" s="153">
        <v>12</v>
      </c>
      <c r="ET75" s="153">
        <v>5</v>
      </c>
      <c r="EU75" s="154">
        <v>5</v>
      </c>
      <c r="EV75" s="154">
        <v>16</v>
      </c>
      <c r="EW75" s="279">
        <v>15</v>
      </c>
      <c r="EX75" s="279">
        <v>21</v>
      </c>
      <c r="EY75" s="155"/>
      <c r="EZ75" s="152">
        <v>18</v>
      </c>
      <c r="FA75" s="153">
        <v>32</v>
      </c>
      <c r="FB75" s="153">
        <v>6</v>
      </c>
      <c r="FC75" s="153">
        <v>8</v>
      </c>
      <c r="FD75" s="154">
        <v>6</v>
      </c>
      <c r="FE75" s="154">
        <v>3</v>
      </c>
      <c r="FF75" s="279">
        <v>2</v>
      </c>
      <c r="FG75" s="279">
        <v>3</v>
      </c>
      <c r="FH75" s="155"/>
      <c r="FI75" s="152">
        <v>299</v>
      </c>
      <c r="FJ75" s="153">
        <v>262</v>
      </c>
      <c r="FK75" s="153">
        <v>191</v>
      </c>
      <c r="FL75" s="153">
        <v>130</v>
      </c>
      <c r="FM75" s="154">
        <v>148</v>
      </c>
      <c r="FN75" s="154">
        <v>131</v>
      </c>
      <c r="FO75" s="279">
        <v>109</v>
      </c>
      <c r="FP75" s="279">
        <v>77</v>
      </c>
      <c r="FQ75" s="155"/>
      <c r="FR75" s="152">
        <v>10</v>
      </c>
      <c r="FS75" s="153">
        <v>3</v>
      </c>
      <c r="FT75" s="153">
        <v>3</v>
      </c>
      <c r="FU75" s="153">
        <v>5</v>
      </c>
      <c r="FV75" s="154">
        <v>3</v>
      </c>
      <c r="FW75" s="154">
        <v>10</v>
      </c>
      <c r="FX75" s="279">
        <v>1</v>
      </c>
      <c r="FY75" s="279">
        <v>2</v>
      </c>
      <c r="FZ75" s="155"/>
      <c r="GA75" s="152">
        <v>26</v>
      </c>
      <c r="GB75" s="153">
        <v>16</v>
      </c>
      <c r="GC75" s="153">
        <v>29</v>
      </c>
      <c r="GD75" s="153">
        <v>8</v>
      </c>
      <c r="GE75" s="154">
        <v>12</v>
      </c>
      <c r="GF75" s="154">
        <v>17</v>
      </c>
      <c r="GG75" s="279">
        <v>8</v>
      </c>
      <c r="GH75" s="279">
        <v>14</v>
      </c>
      <c r="GI75" s="155"/>
      <c r="GJ75" s="152">
        <v>4064</v>
      </c>
      <c r="GK75" s="153">
        <v>3644</v>
      </c>
      <c r="GL75" s="153">
        <v>3395</v>
      </c>
      <c r="GM75" s="153">
        <v>2749</v>
      </c>
      <c r="GN75" s="154">
        <v>2329</v>
      </c>
      <c r="GO75" s="154">
        <v>1995</v>
      </c>
      <c r="GP75" s="279">
        <v>1594</v>
      </c>
      <c r="GQ75" s="279">
        <v>1114</v>
      </c>
      <c r="GR75" s="155"/>
      <c r="GS75" s="152">
        <v>1646</v>
      </c>
      <c r="GT75" s="153">
        <v>1370</v>
      </c>
      <c r="GU75" s="153">
        <v>1245</v>
      </c>
      <c r="GV75" s="153">
        <v>821</v>
      </c>
      <c r="GW75" s="154">
        <v>485</v>
      </c>
      <c r="GX75" s="154">
        <v>291</v>
      </c>
      <c r="GY75" s="279">
        <v>194</v>
      </c>
      <c r="GZ75" s="279">
        <v>126</v>
      </c>
      <c r="HA75" s="155"/>
      <c r="HB75" s="152">
        <v>13</v>
      </c>
      <c r="HC75" s="153">
        <v>6</v>
      </c>
      <c r="HD75" s="153">
        <v>12</v>
      </c>
      <c r="HE75" s="153">
        <v>4</v>
      </c>
      <c r="HF75" s="154">
        <v>6</v>
      </c>
      <c r="HG75" s="154">
        <v>6</v>
      </c>
      <c r="HH75" s="279">
        <v>1</v>
      </c>
      <c r="HI75" s="279">
        <v>4</v>
      </c>
      <c r="HJ75" s="155"/>
      <c r="HK75" s="152">
        <v>7</v>
      </c>
      <c r="HL75" s="153">
        <v>1</v>
      </c>
      <c r="HM75" s="153">
        <v>3</v>
      </c>
      <c r="HN75" s="153">
        <v>1</v>
      </c>
      <c r="HO75" s="154">
        <v>1</v>
      </c>
      <c r="HP75" s="154">
        <v>5</v>
      </c>
      <c r="HQ75" s="279">
        <v>2</v>
      </c>
      <c r="HR75" s="279">
        <v>2</v>
      </c>
      <c r="HS75" s="155"/>
      <c r="HT75" s="152">
        <v>2048</v>
      </c>
      <c r="HU75" s="153">
        <v>1682</v>
      </c>
      <c r="HV75" s="153">
        <v>1512</v>
      </c>
      <c r="HW75" s="153">
        <v>1120</v>
      </c>
      <c r="HX75" s="154">
        <v>825</v>
      </c>
      <c r="HY75" s="154">
        <v>569</v>
      </c>
      <c r="HZ75" s="279">
        <v>483</v>
      </c>
      <c r="IA75" s="279">
        <v>413</v>
      </c>
      <c r="IB75" s="155"/>
      <c r="IC75" s="152">
        <v>8062</v>
      </c>
      <c r="ID75" s="153">
        <v>11292</v>
      </c>
      <c r="IE75" s="153">
        <v>19728</v>
      </c>
      <c r="IF75" s="153">
        <v>9623</v>
      </c>
      <c r="IG75" s="154">
        <v>6431</v>
      </c>
      <c r="IH75" s="154">
        <v>4016</v>
      </c>
      <c r="II75" s="279">
        <v>2869</v>
      </c>
      <c r="IJ75" s="279">
        <v>2673</v>
      </c>
      <c r="IK75" s="155"/>
    </row>
    <row r="76" spans="1:245" x14ac:dyDescent="0.2">
      <c r="A76" s="961"/>
      <c r="B76" s="151" t="s">
        <v>685</v>
      </c>
      <c r="C76" s="152"/>
      <c r="D76" s="153"/>
      <c r="E76" s="153"/>
      <c r="F76" s="153"/>
      <c r="G76" s="154"/>
      <c r="H76" s="154"/>
      <c r="I76" s="279"/>
      <c r="J76" s="279"/>
      <c r="K76" s="155"/>
      <c r="L76" s="152"/>
      <c r="M76" s="153"/>
      <c r="N76" s="153"/>
      <c r="O76" s="153"/>
      <c r="P76" s="154"/>
      <c r="Q76" s="154"/>
      <c r="R76" s="279"/>
      <c r="S76" s="279"/>
      <c r="T76" s="155"/>
      <c r="U76" s="152"/>
      <c r="V76" s="153"/>
      <c r="W76" s="153"/>
      <c r="X76" s="153"/>
      <c r="Y76" s="154"/>
      <c r="Z76" s="154"/>
      <c r="AA76" s="279"/>
      <c r="AB76" s="279"/>
      <c r="AC76" s="155"/>
      <c r="AD76" s="152">
        <v>94</v>
      </c>
      <c r="AE76" s="153">
        <v>52</v>
      </c>
      <c r="AF76" s="153">
        <v>32</v>
      </c>
      <c r="AG76" s="153">
        <v>61</v>
      </c>
      <c r="AH76" s="154">
        <v>231</v>
      </c>
      <c r="AI76" s="154">
        <v>46</v>
      </c>
      <c r="AJ76" s="279">
        <v>21</v>
      </c>
      <c r="AK76" s="279">
        <v>33</v>
      </c>
      <c r="AL76" s="155"/>
      <c r="AM76" s="152">
        <v>31</v>
      </c>
      <c r="AN76" s="153">
        <v>43</v>
      </c>
      <c r="AO76" s="153">
        <v>21</v>
      </c>
      <c r="AP76" s="153">
        <v>25</v>
      </c>
      <c r="AQ76" s="154">
        <v>20</v>
      </c>
      <c r="AR76" s="154">
        <v>15</v>
      </c>
      <c r="AS76" s="279">
        <v>12</v>
      </c>
      <c r="AT76" s="279">
        <v>9</v>
      </c>
      <c r="AU76" s="155"/>
      <c r="AV76" s="152"/>
      <c r="AW76" s="153"/>
      <c r="AX76" s="153"/>
      <c r="AY76" s="153"/>
      <c r="AZ76" s="154"/>
      <c r="BA76" s="154"/>
      <c r="BB76" s="279"/>
      <c r="BC76" s="279"/>
      <c r="BD76" s="155"/>
      <c r="BE76" s="152">
        <v>2</v>
      </c>
      <c r="BF76" s="153">
        <v>4</v>
      </c>
      <c r="BG76" s="153">
        <v>2</v>
      </c>
      <c r="BH76" s="153">
        <v>1</v>
      </c>
      <c r="BI76" s="154"/>
      <c r="BJ76" s="154">
        <v>2</v>
      </c>
      <c r="BK76" s="279">
        <v>3</v>
      </c>
      <c r="BL76" s="279">
        <v>6</v>
      </c>
      <c r="BM76" s="155"/>
      <c r="BN76" s="152"/>
      <c r="BO76" s="153"/>
      <c r="BP76" s="153"/>
      <c r="BQ76" s="153"/>
      <c r="BR76" s="154"/>
      <c r="BS76" s="154">
        <v>3</v>
      </c>
      <c r="BT76" s="279"/>
      <c r="BU76" s="279"/>
      <c r="BV76" s="155"/>
      <c r="BW76" s="152">
        <v>17</v>
      </c>
      <c r="BX76" s="153">
        <v>14</v>
      </c>
      <c r="BY76" s="153">
        <v>23</v>
      </c>
      <c r="BZ76" s="153">
        <v>52</v>
      </c>
      <c r="CA76" s="154">
        <v>116</v>
      </c>
      <c r="CB76" s="154">
        <v>95</v>
      </c>
      <c r="CC76" s="279">
        <v>24</v>
      </c>
      <c r="CD76" s="279">
        <v>48</v>
      </c>
      <c r="CE76" s="155"/>
      <c r="CF76" s="152"/>
      <c r="CG76" s="153">
        <v>1</v>
      </c>
      <c r="CH76" s="153">
        <v>1</v>
      </c>
      <c r="CI76" s="153"/>
      <c r="CJ76" s="154"/>
      <c r="CK76" s="154">
        <v>1</v>
      </c>
      <c r="CL76" s="279">
        <v>2</v>
      </c>
      <c r="CM76" s="279"/>
      <c r="CN76" s="155"/>
      <c r="CO76" s="152">
        <v>1</v>
      </c>
      <c r="CP76" s="153">
        <v>1</v>
      </c>
      <c r="CQ76" s="153">
        <v>2</v>
      </c>
      <c r="CR76" s="153"/>
      <c r="CS76" s="154"/>
      <c r="CT76" s="154"/>
      <c r="CU76" s="279">
        <v>1</v>
      </c>
      <c r="CV76" s="279"/>
      <c r="CW76" s="155"/>
      <c r="CX76" s="152">
        <v>561</v>
      </c>
      <c r="CY76" s="153">
        <v>590</v>
      </c>
      <c r="CZ76" s="153">
        <v>597</v>
      </c>
      <c r="DA76" s="153">
        <v>655</v>
      </c>
      <c r="DB76" s="154">
        <v>457</v>
      </c>
      <c r="DC76" s="154">
        <v>384</v>
      </c>
      <c r="DD76" s="279">
        <v>228</v>
      </c>
      <c r="DE76" s="279">
        <v>278</v>
      </c>
      <c r="DF76" s="155"/>
      <c r="DG76" s="152">
        <v>4</v>
      </c>
      <c r="DH76" s="153">
        <v>8</v>
      </c>
      <c r="DI76" s="153">
        <v>5</v>
      </c>
      <c r="DJ76" s="153">
        <v>4</v>
      </c>
      <c r="DK76" s="154">
        <v>4</v>
      </c>
      <c r="DL76" s="154">
        <v>1</v>
      </c>
      <c r="DM76" s="279">
        <v>1</v>
      </c>
      <c r="DN76" s="279">
        <v>1</v>
      </c>
      <c r="DO76" s="155"/>
      <c r="DP76" s="152">
        <v>20</v>
      </c>
      <c r="DQ76" s="153">
        <v>18</v>
      </c>
      <c r="DR76" s="153">
        <v>16</v>
      </c>
      <c r="DS76" s="153">
        <v>28</v>
      </c>
      <c r="DT76" s="154">
        <v>12</v>
      </c>
      <c r="DU76" s="154">
        <v>6</v>
      </c>
      <c r="DV76" s="279">
        <v>5</v>
      </c>
      <c r="DW76" s="279">
        <v>4</v>
      </c>
      <c r="DX76" s="155"/>
      <c r="DY76" s="152">
        <v>135</v>
      </c>
      <c r="DZ76" s="153">
        <v>134</v>
      </c>
      <c r="EA76" s="153">
        <v>133</v>
      </c>
      <c r="EB76" s="153">
        <v>126</v>
      </c>
      <c r="EC76" s="154">
        <v>86</v>
      </c>
      <c r="ED76" s="154">
        <v>125</v>
      </c>
      <c r="EE76" s="279">
        <v>52</v>
      </c>
      <c r="EF76" s="279">
        <v>51</v>
      </c>
      <c r="EG76" s="155"/>
      <c r="EH76" s="152">
        <v>4</v>
      </c>
      <c r="EI76" s="153">
        <v>3</v>
      </c>
      <c r="EJ76" s="153">
        <v>1</v>
      </c>
      <c r="EK76" s="153">
        <v>1</v>
      </c>
      <c r="EL76" s="154">
        <v>5</v>
      </c>
      <c r="EM76" s="154"/>
      <c r="EN76" s="279">
        <v>3</v>
      </c>
      <c r="EO76" s="279">
        <v>8</v>
      </c>
      <c r="EP76" s="155"/>
      <c r="EQ76" s="152">
        <v>1</v>
      </c>
      <c r="ER76" s="153"/>
      <c r="ES76" s="153"/>
      <c r="ET76" s="153">
        <v>1</v>
      </c>
      <c r="EU76" s="154"/>
      <c r="EV76" s="154">
        <v>1</v>
      </c>
      <c r="EW76" s="279"/>
      <c r="EX76" s="279">
        <v>4</v>
      </c>
      <c r="EY76" s="155"/>
      <c r="EZ76" s="152"/>
      <c r="FA76" s="153">
        <v>1</v>
      </c>
      <c r="FB76" s="153">
        <v>1</v>
      </c>
      <c r="FC76" s="153"/>
      <c r="FD76" s="154"/>
      <c r="FE76" s="154"/>
      <c r="FF76" s="279"/>
      <c r="FG76" s="279"/>
      <c r="FH76" s="155"/>
      <c r="FI76" s="152">
        <v>53</v>
      </c>
      <c r="FJ76" s="153">
        <v>45</v>
      </c>
      <c r="FK76" s="153">
        <v>60</v>
      </c>
      <c r="FL76" s="153">
        <v>12</v>
      </c>
      <c r="FM76" s="154">
        <v>14</v>
      </c>
      <c r="FN76" s="154">
        <v>15</v>
      </c>
      <c r="FO76" s="279">
        <v>16</v>
      </c>
      <c r="FP76" s="279">
        <v>16</v>
      </c>
      <c r="FQ76" s="155"/>
      <c r="FR76" s="152">
        <v>1</v>
      </c>
      <c r="FS76" s="153">
        <v>1</v>
      </c>
      <c r="FT76" s="153">
        <v>3</v>
      </c>
      <c r="FU76" s="153"/>
      <c r="FV76" s="154">
        <v>1</v>
      </c>
      <c r="FW76" s="154"/>
      <c r="FX76" s="279"/>
      <c r="FY76" s="279"/>
      <c r="FZ76" s="155"/>
      <c r="GA76" s="152">
        <v>1</v>
      </c>
      <c r="GB76" s="153">
        <v>3</v>
      </c>
      <c r="GC76" s="153">
        <v>7</v>
      </c>
      <c r="GD76" s="153">
        <v>2</v>
      </c>
      <c r="GE76" s="154">
        <v>1</v>
      </c>
      <c r="GF76" s="154">
        <v>2</v>
      </c>
      <c r="GG76" s="279">
        <v>2</v>
      </c>
      <c r="GH76" s="279">
        <v>2</v>
      </c>
      <c r="GI76" s="155"/>
      <c r="GJ76" s="152">
        <v>735</v>
      </c>
      <c r="GK76" s="153">
        <v>715</v>
      </c>
      <c r="GL76" s="153">
        <v>729</v>
      </c>
      <c r="GM76" s="153">
        <v>785</v>
      </c>
      <c r="GN76" s="154">
        <v>825</v>
      </c>
      <c r="GO76" s="154">
        <v>549</v>
      </c>
      <c r="GP76" s="279">
        <v>300</v>
      </c>
      <c r="GQ76" s="279">
        <v>395</v>
      </c>
      <c r="GR76" s="155"/>
      <c r="GS76" s="152">
        <v>141</v>
      </c>
      <c r="GT76" s="153">
        <v>162</v>
      </c>
      <c r="GU76" s="153">
        <v>143</v>
      </c>
      <c r="GV76" s="153">
        <v>216</v>
      </c>
      <c r="GW76" s="154">
        <v>350</v>
      </c>
      <c r="GX76" s="154">
        <v>50</v>
      </c>
      <c r="GY76" s="279">
        <v>24</v>
      </c>
      <c r="GZ76" s="279">
        <v>54</v>
      </c>
      <c r="HA76" s="155"/>
      <c r="HB76" s="152">
        <v>1</v>
      </c>
      <c r="HC76" s="153">
        <v>1</v>
      </c>
      <c r="HD76" s="153">
        <v>1</v>
      </c>
      <c r="HE76" s="153">
        <v>2</v>
      </c>
      <c r="HF76" s="154">
        <v>2</v>
      </c>
      <c r="HG76" s="154"/>
      <c r="HH76" s="279">
        <v>3</v>
      </c>
      <c r="HI76" s="279"/>
      <c r="HJ76" s="155"/>
      <c r="HK76" s="152"/>
      <c r="HL76" s="153"/>
      <c r="HM76" s="153">
        <v>2</v>
      </c>
      <c r="HN76" s="153"/>
      <c r="HO76" s="154">
        <v>1</v>
      </c>
      <c r="HP76" s="154">
        <v>1</v>
      </c>
      <c r="HQ76" s="279"/>
      <c r="HR76" s="279"/>
      <c r="HS76" s="155"/>
      <c r="HT76" s="152">
        <v>208</v>
      </c>
      <c r="HU76" s="153">
        <v>225</v>
      </c>
      <c r="HV76" s="153">
        <v>213</v>
      </c>
      <c r="HW76" s="153">
        <v>281</v>
      </c>
      <c r="HX76" s="154">
        <v>442</v>
      </c>
      <c r="HY76" s="154">
        <v>140</v>
      </c>
      <c r="HZ76" s="279">
        <v>104</v>
      </c>
      <c r="IA76" s="279">
        <v>181</v>
      </c>
      <c r="IB76" s="155"/>
      <c r="IC76" s="152">
        <v>950</v>
      </c>
      <c r="ID76" s="153">
        <v>983</v>
      </c>
      <c r="IE76" s="153">
        <v>1224</v>
      </c>
      <c r="IF76" s="153">
        <v>1068</v>
      </c>
      <c r="IG76" s="154">
        <v>1096</v>
      </c>
      <c r="IH76" s="154">
        <v>819</v>
      </c>
      <c r="II76" s="279">
        <v>749</v>
      </c>
      <c r="IJ76" s="279">
        <v>655</v>
      </c>
      <c r="IK76" s="155"/>
    </row>
    <row r="77" spans="1:245" x14ac:dyDescent="0.2">
      <c r="A77" s="961"/>
      <c r="B77" s="151" t="s">
        <v>0</v>
      </c>
      <c r="C77" s="152"/>
      <c r="D77" s="153"/>
      <c r="E77" s="153"/>
      <c r="F77" s="153"/>
      <c r="G77" s="154"/>
      <c r="H77" s="154"/>
      <c r="I77" s="279"/>
      <c r="J77" s="279"/>
      <c r="K77" s="155"/>
      <c r="L77" s="152"/>
      <c r="M77" s="153"/>
      <c r="N77" s="153"/>
      <c r="O77" s="153"/>
      <c r="P77" s="154"/>
      <c r="Q77" s="154"/>
      <c r="R77" s="279"/>
      <c r="S77" s="279"/>
      <c r="T77" s="155"/>
      <c r="U77" s="152"/>
      <c r="V77" s="153"/>
      <c r="W77" s="153"/>
      <c r="X77" s="153"/>
      <c r="Y77" s="154"/>
      <c r="Z77" s="154"/>
      <c r="AA77" s="279"/>
      <c r="AB77" s="279"/>
      <c r="AC77" s="155"/>
      <c r="AD77" s="152">
        <v>285</v>
      </c>
      <c r="AE77" s="153">
        <v>1423</v>
      </c>
      <c r="AF77" s="153">
        <v>1112</v>
      </c>
      <c r="AG77" s="153">
        <v>234</v>
      </c>
      <c r="AH77" s="154">
        <v>280</v>
      </c>
      <c r="AI77" s="154">
        <v>104</v>
      </c>
      <c r="AJ77" s="279">
        <v>140</v>
      </c>
      <c r="AK77" s="279">
        <v>121</v>
      </c>
      <c r="AL77" s="155"/>
      <c r="AM77" s="152">
        <v>78</v>
      </c>
      <c r="AN77" s="153">
        <v>55</v>
      </c>
      <c r="AO77" s="153">
        <v>73</v>
      </c>
      <c r="AP77" s="153">
        <v>148</v>
      </c>
      <c r="AQ77" s="154">
        <v>51</v>
      </c>
      <c r="AR77" s="154">
        <v>47</v>
      </c>
      <c r="AS77" s="279">
        <v>45</v>
      </c>
      <c r="AT77" s="279">
        <v>32</v>
      </c>
      <c r="AU77" s="155"/>
      <c r="AV77" s="152">
        <v>1</v>
      </c>
      <c r="AW77" s="153"/>
      <c r="AX77" s="153"/>
      <c r="AY77" s="153"/>
      <c r="AZ77" s="154"/>
      <c r="BA77" s="154"/>
      <c r="BB77" s="279"/>
      <c r="BC77" s="279"/>
      <c r="BD77" s="155"/>
      <c r="BE77" s="152">
        <v>18</v>
      </c>
      <c r="BF77" s="153">
        <v>5</v>
      </c>
      <c r="BG77" s="153">
        <v>8</v>
      </c>
      <c r="BH77" s="153">
        <v>3</v>
      </c>
      <c r="BI77" s="154">
        <v>5</v>
      </c>
      <c r="BJ77" s="154">
        <v>4</v>
      </c>
      <c r="BK77" s="279">
        <v>2</v>
      </c>
      <c r="BL77" s="279">
        <v>3</v>
      </c>
      <c r="BM77" s="155"/>
      <c r="BN77" s="152"/>
      <c r="BO77" s="153"/>
      <c r="BP77" s="153"/>
      <c r="BQ77" s="153"/>
      <c r="BR77" s="154"/>
      <c r="BS77" s="154"/>
      <c r="BT77" s="279"/>
      <c r="BU77" s="279"/>
      <c r="BV77" s="155"/>
      <c r="BW77" s="152">
        <v>1394</v>
      </c>
      <c r="BX77" s="153">
        <v>905</v>
      </c>
      <c r="BY77" s="153">
        <v>289</v>
      </c>
      <c r="BZ77" s="153">
        <v>77</v>
      </c>
      <c r="CA77" s="154">
        <v>253</v>
      </c>
      <c r="CB77" s="154">
        <v>35</v>
      </c>
      <c r="CC77" s="279">
        <v>27</v>
      </c>
      <c r="CD77" s="279">
        <v>30</v>
      </c>
      <c r="CE77" s="155"/>
      <c r="CF77" s="152">
        <v>5</v>
      </c>
      <c r="CG77" s="153">
        <v>3</v>
      </c>
      <c r="CH77" s="153">
        <v>6</v>
      </c>
      <c r="CI77" s="153">
        <v>4</v>
      </c>
      <c r="CJ77" s="154">
        <v>3</v>
      </c>
      <c r="CK77" s="154">
        <v>2</v>
      </c>
      <c r="CL77" s="279">
        <v>2</v>
      </c>
      <c r="CM77" s="279">
        <v>2</v>
      </c>
      <c r="CN77" s="155"/>
      <c r="CO77" s="152">
        <v>2</v>
      </c>
      <c r="CP77" s="153">
        <v>3</v>
      </c>
      <c r="CQ77" s="153">
        <v>3</v>
      </c>
      <c r="CR77" s="153">
        <v>4</v>
      </c>
      <c r="CS77" s="154">
        <v>7</v>
      </c>
      <c r="CT77" s="154">
        <v>8</v>
      </c>
      <c r="CU77" s="279">
        <v>3</v>
      </c>
      <c r="CV77" s="279">
        <v>2</v>
      </c>
      <c r="CW77" s="155"/>
      <c r="CX77" s="152">
        <v>2052</v>
      </c>
      <c r="CY77" s="153">
        <v>2366</v>
      </c>
      <c r="CZ77" s="153">
        <v>2027</v>
      </c>
      <c r="DA77" s="153">
        <v>2153</v>
      </c>
      <c r="DB77" s="154">
        <v>1658</v>
      </c>
      <c r="DC77" s="154">
        <v>1138</v>
      </c>
      <c r="DD77" s="279">
        <v>641</v>
      </c>
      <c r="DE77" s="279">
        <v>667</v>
      </c>
      <c r="DF77" s="155"/>
      <c r="DG77" s="152">
        <v>35</v>
      </c>
      <c r="DH77" s="153">
        <v>32</v>
      </c>
      <c r="DI77" s="153">
        <v>31</v>
      </c>
      <c r="DJ77" s="153">
        <v>24</v>
      </c>
      <c r="DK77" s="154">
        <v>13</v>
      </c>
      <c r="DL77" s="154">
        <v>4</v>
      </c>
      <c r="DM77" s="279">
        <v>7</v>
      </c>
      <c r="DN77" s="279">
        <v>3</v>
      </c>
      <c r="DO77" s="155"/>
      <c r="DP77" s="152">
        <v>62</v>
      </c>
      <c r="DQ77" s="153">
        <v>71</v>
      </c>
      <c r="DR77" s="153">
        <v>79</v>
      </c>
      <c r="DS77" s="153">
        <v>84</v>
      </c>
      <c r="DT77" s="154">
        <v>37</v>
      </c>
      <c r="DU77" s="154">
        <v>34</v>
      </c>
      <c r="DV77" s="279">
        <v>9</v>
      </c>
      <c r="DW77" s="279">
        <v>8</v>
      </c>
      <c r="DX77" s="155"/>
      <c r="DY77" s="152">
        <v>312</v>
      </c>
      <c r="DZ77" s="153">
        <v>284</v>
      </c>
      <c r="EA77" s="153">
        <v>312</v>
      </c>
      <c r="EB77" s="153">
        <v>360</v>
      </c>
      <c r="EC77" s="154">
        <v>351</v>
      </c>
      <c r="ED77" s="154">
        <v>337</v>
      </c>
      <c r="EE77" s="279">
        <v>147</v>
      </c>
      <c r="EF77" s="279">
        <v>154</v>
      </c>
      <c r="EG77" s="155"/>
      <c r="EH77" s="152">
        <v>64</v>
      </c>
      <c r="EI77" s="153">
        <v>30</v>
      </c>
      <c r="EJ77" s="153">
        <v>37</v>
      </c>
      <c r="EK77" s="153">
        <v>35</v>
      </c>
      <c r="EL77" s="154">
        <v>18</v>
      </c>
      <c r="EM77" s="154">
        <v>21</v>
      </c>
      <c r="EN77" s="279">
        <v>12</v>
      </c>
      <c r="EO77" s="279">
        <v>10</v>
      </c>
      <c r="EP77" s="155"/>
      <c r="EQ77" s="152">
        <v>4</v>
      </c>
      <c r="ER77" s="153">
        <v>18</v>
      </c>
      <c r="ES77" s="153">
        <v>14</v>
      </c>
      <c r="ET77" s="153">
        <v>8</v>
      </c>
      <c r="EU77" s="154">
        <v>9</v>
      </c>
      <c r="EV77" s="154">
        <v>5</v>
      </c>
      <c r="EW77" s="279">
        <v>9</v>
      </c>
      <c r="EX77" s="279">
        <v>9</v>
      </c>
      <c r="EY77" s="155"/>
      <c r="EZ77" s="152">
        <v>7</v>
      </c>
      <c r="FA77" s="153">
        <v>10</v>
      </c>
      <c r="FB77" s="153">
        <v>5</v>
      </c>
      <c r="FC77" s="153">
        <v>8</v>
      </c>
      <c r="FD77" s="154">
        <v>6</v>
      </c>
      <c r="FE77" s="154">
        <v>10</v>
      </c>
      <c r="FF77" s="279"/>
      <c r="FG77" s="279">
        <v>2</v>
      </c>
      <c r="FH77" s="155"/>
      <c r="FI77" s="152">
        <v>197</v>
      </c>
      <c r="FJ77" s="153">
        <v>283</v>
      </c>
      <c r="FK77" s="153">
        <v>207</v>
      </c>
      <c r="FL77" s="153">
        <v>187</v>
      </c>
      <c r="FM77" s="154">
        <v>123</v>
      </c>
      <c r="FN77" s="154">
        <v>85</v>
      </c>
      <c r="FO77" s="279">
        <v>86</v>
      </c>
      <c r="FP77" s="279">
        <v>83</v>
      </c>
      <c r="FQ77" s="155"/>
      <c r="FR77" s="152">
        <v>9</v>
      </c>
      <c r="FS77" s="153">
        <v>2</v>
      </c>
      <c r="FT77" s="153">
        <v>4</v>
      </c>
      <c r="FU77" s="153">
        <v>2</v>
      </c>
      <c r="FV77" s="154">
        <v>4</v>
      </c>
      <c r="FW77" s="154"/>
      <c r="FX77" s="279">
        <v>1</v>
      </c>
      <c r="FY77" s="279"/>
      <c r="FZ77" s="155"/>
      <c r="GA77" s="152">
        <v>27</v>
      </c>
      <c r="GB77" s="153">
        <v>15</v>
      </c>
      <c r="GC77" s="153">
        <v>13</v>
      </c>
      <c r="GD77" s="153">
        <v>10</v>
      </c>
      <c r="GE77" s="154">
        <v>9</v>
      </c>
      <c r="GF77" s="154">
        <v>6</v>
      </c>
      <c r="GG77" s="279">
        <v>11</v>
      </c>
      <c r="GH77" s="279">
        <v>11</v>
      </c>
      <c r="GI77" s="155"/>
      <c r="GJ77" s="152">
        <v>4064</v>
      </c>
      <c r="GK77" s="153">
        <v>5063</v>
      </c>
      <c r="GL77" s="153">
        <v>3725</v>
      </c>
      <c r="GM77" s="153">
        <v>2725</v>
      </c>
      <c r="GN77" s="154">
        <v>2375</v>
      </c>
      <c r="GO77" s="154">
        <v>1418</v>
      </c>
      <c r="GP77" s="279">
        <v>934</v>
      </c>
      <c r="GQ77" s="279">
        <v>940</v>
      </c>
      <c r="GR77" s="155"/>
      <c r="GS77" s="152">
        <v>682</v>
      </c>
      <c r="GT77" s="153">
        <v>888</v>
      </c>
      <c r="GU77" s="153">
        <v>638</v>
      </c>
      <c r="GV77" s="153">
        <v>554</v>
      </c>
      <c r="GW77" s="154">
        <v>256</v>
      </c>
      <c r="GX77" s="154">
        <v>154</v>
      </c>
      <c r="GY77" s="279">
        <v>165</v>
      </c>
      <c r="GZ77" s="279">
        <v>190</v>
      </c>
      <c r="HA77" s="155"/>
      <c r="HB77" s="152">
        <v>3</v>
      </c>
      <c r="HC77" s="153">
        <v>4</v>
      </c>
      <c r="HD77" s="153">
        <v>6</v>
      </c>
      <c r="HE77" s="153">
        <v>6</v>
      </c>
      <c r="HF77" s="154">
        <v>8</v>
      </c>
      <c r="HG77" s="154">
        <v>3</v>
      </c>
      <c r="HH77" s="279">
        <v>1</v>
      </c>
      <c r="HI77" s="279">
        <v>1</v>
      </c>
      <c r="HJ77" s="155"/>
      <c r="HK77" s="152">
        <v>1</v>
      </c>
      <c r="HL77" s="153">
        <v>4</v>
      </c>
      <c r="HM77" s="153"/>
      <c r="HN77" s="153">
        <v>1</v>
      </c>
      <c r="HO77" s="154">
        <v>3</v>
      </c>
      <c r="HP77" s="154"/>
      <c r="HQ77" s="279"/>
      <c r="HR77" s="279"/>
      <c r="HS77" s="155"/>
      <c r="HT77" s="152">
        <v>969</v>
      </c>
      <c r="HU77" s="153">
        <v>1036</v>
      </c>
      <c r="HV77" s="153">
        <v>762</v>
      </c>
      <c r="HW77" s="153">
        <v>1726</v>
      </c>
      <c r="HX77" s="154">
        <v>470</v>
      </c>
      <c r="HY77" s="154">
        <v>348</v>
      </c>
      <c r="HZ77" s="279">
        <v>379</v>
      </c>
      <c r="IA77" s="279">
        <v>390</v>
      </c>
      <c r="IB77" s="155"/>
      <c r="IC77" s="152">
        <v>5289</v>
      </c>
      <c r="ID77" s="153">
        <v>7389</v>
      </c>
      <c r="IE77" s="153">
        <v>5707</v>
      </c>
      <c r="IF77" s="153">
        <v>4436</v>
      </c>
      <c r="IG77" s="154">
        <v>3596</v>
      </c>
      <c r="IH77" s="154">
        <v>2534</v>
      </c>
      <c r="II77" s="279">
        <v>1820</v>
      </c>
      <c r="IJ77" s="279">
        <v>1814</v>
      </c>
      <c r="IK77" s="155"/>
    </row>
    <row r="78" spans="1:245" x14ac:dyDescent="0.2">
      <c r="A78" s="961"/>
      <c r="B78" s="151" t="s">
        <v>686</v>
      </c>
      <c r="C78" s="152"/>
      <c r="D78" s="153"/>
      <c r="E78" s="153"/>
      <c r="F78" s="153"/>
      <c r="G78" s="154"/>
      <c r="H78" s="154"/>
      <c r="I78" s="279"/>
      <c r="J78" s="279"/>
      <c r="K78" s="155"/>
      <c r="L78" s="152"/>
      <c r="M78" s="153"/>
      <c r="N78" s="153"/>
      <c r="O78" s="153"/>
      <c r="P78" s="154"/>
      <c r="Q78" s="154"/>
      <c r="R78" s="279"/>
      <c r="S78" s="279"/>
      <c r="T78" s="155"/>
      <c r="U78" s="152"/>
      <c r="V78" s="153"/>
      <c r="W78" s="153"/>
      <c r="X78" s="153"/>
      <c r="Y78" s="154"/>
      <c r="Z78" s="154"/>
      <c r="AA78" s="279"/>
      <c r="AB78" s="279"/>
      <c r="AC78" s="155"/>
      <c r="AD78" s="152">
        <v>14</v>
      </c>
      <c r="AE78" s="153">
        <v>24</v>
      </c>
      <c r="AF78" s="153">
        <v>30</v>
      </c>
      <c r="AG78" s="153">
        <v>24</v>
      </c>
      <c r="AH78" s="154">
        <v>26</v>
      </c>
      <c r="AI78" s="154">
        <v>13</v>
      </c>
      <c r="AJ78" s="279">
        <v>31</v>
      </c>
      <c r="AK78" s="279">
        <v>28</v>
      </c>
      <c r="AL78" s="155"/>
      <c r="AM78" s="152">
        <v>10</v>
      </c>
      <c r="AN78" s="153">
        <v>7</v>
      </c>
      <c r="AO78" s="153">
        <v>15</v>
      </c>
      <c r="AP78" s="153">
        <v>15</v>
      </c>
      <c r="AQ78" s="154">
        <v>13</v>
      </c>
      <c r="AR78" s="154">
        <v>11</v>
      </c>
      <c r="AS78" s="279">
        <v>10</v>
      </c>
      <c r="AT78" s="279">
        <v>5</v>
      </c>
      <c r="AU78" s="155"/>
      <c r="AV78" s="152"/>
      <c r="AW78" s="153"/>
      <c r="AX78" s="153"/>
      <c r="AY78" s="153"/>
      <c r="AZ78" s="154"/>
      <c r="BA78" s="154"/>
      <c r="BB78" s="279"/>
      <c r="BC78" s="279"/>
      <c r="BD78" s="155"/>
      <c r="BE78" s="152">
        <v>4</v>
      </c>
      <c r="BF78" s="153">
        <v>14</v>
      </c>
      <c r="BG78" s="153">
        <v>1</v>
      </c>
      <c r="BH78" s="153"/>
      <c r="BI78" s="154"/>
      <c r="BJ78" s="154">
        <v>10</v>
      </c>
      <c r="BK78" s="279">
        <v>1</v>
      </c>
      <c r="BL78" s="279">
        <v>2</v>
      </c>
      <c r="BM78" s="155"/>
      <c r="BN78" s="152"/>
      <c r="BO78" s="153"/>
      <c r="BP78" s="153"/>
      <c r="BQ78" s="153"/>
      <c r="BR78" s="154"/>
      <c r="BS78" s="154"/>
      <c r="BT78" s="279"/>
      <c r="BU78" s="279"/>
      <c r="BV78" s="155"/>
      <c r="BW78" s="152">
        <v>14</v>
      </c>
      <c r="BX78" s="153">
        <v>33</v>
      </c>
      <c r="BY78" s="153">
        <v>36</v>
      </c>
      <c r="BZ78" s="153">
        <v>12</v>
      </c>
      <c r="CA78" s="154">
        <v>17</v>
      </c>
      <c r="CB78" s="154">
        <v>7</v>
      </c>
      <c r="CC78" s="279">
        <v>10</v>
      </c>
      <c r="CD78" s="279">
        <v>10</v>
      </c>
      <c r="CE78" s="155"/>
      <c r="CF78" s="152">
        <v>2</v>
      </c>
      <c r="CG78" s="153">
        <v>1</v>
      </c>
      <c r="CH78" s="153">
        <v>1</v>
      </c>
      <c r="CI78" s="153"/>
      <c r="CJ78" s="154"/>
      <c r="CK78" s="154">
        <v>1</v>
      </c>
      <c r="CL78" s="279">
        <v>1</v>
      </c>
      <c r="CM78" s="279"/>
      <c r="CN78" s="155"/>
      <c r="CO78" s="152"/>
      <c r="CP78" s="153">
        <v>3</v>
      </c>
      <c r="CQ78" s="153"/>
      <c r="CR78" s="153"/>
      <c r="CS78" s="154"/>
      <c r="CT78" s="154">
        <v>2</v>
      </c>
      <c r="CU78" s="279"/>
      <c r="CV78" s="279">
        <v>4</v>
      </c>
      <c r="CW78" s="155"/>
      <c r="CX78" s="152">
        <v>250</v>
      </c>
      <c r="CY78" s="153">
        <v>199</v>
      </c>
      <c r="CZ78" s="153">
        <v>241</v>
      </c>
      <c r="DA78" s="153">
        <v>234</v>
      </c>
      <c r="DB78" s="154">
        <v>206</v>
      </c>
      <c r="DC78" s="154">
        <v>131</v>
      </c>
      <c r="DD78" s="279">
        <v>143</v>
      </c>
      <c r="DE78" s="279">
        <v>101</v>
      </c>
      <c r="DF78" s="155"/>
      <c r="DG78" s="152">
        <v>1</v>
      </c>
      <c r="DH78" s="153">
        <v>1</v>
      </c>
      <c r="DI78" s="153">
        <v>1</v>
      </c>
      <c r="DJ78" s="153"/>
      <c r="DK78" s="154">
        <v>1</v>
      </c>
      <c r="DL78" s="154">
        <v>3</v>
      </c>
      <c r="DM78" s="279"/>
      <c r="DN78" s="279"/>
      <c r="DO78" s="155"/>
      <c r="DP78" s="152">
        <v>11</v>
      </c>
      <c r="DQ78" s="153">
        <v>9</v>
      </c>
      <c r="DR78" s="153">
        <v>11</v>
      </c>
      <c r="DS78" s="153">
        <v>2</v>
      </c>
      <c r="DT78" s="154">
        <v>2</v>
      </c>
      <c r="DU78" s="154">
        <v>3</v>
      </c>
      <c r="DV78" s="279">
        <v>1</v>
      </c>
      <c r="DW78" s="279"/>
      <c r="DX78" s="155"/>
      <c r="DY78" s="152">
        <v>26</v>
      </c>
      <c r="DZ78" s="153">
        <v>24</v>
      </c>
      <c r="EA78" s="153">
        <v>24</v>
      </c>
      <c r="EB78" s="153">
        <v>23</v>
      </c>
      <c r="EC78" s="154">
        <v>57</v>
      </c>
      <c r="ED78" s="154">
        <v>19</v>
      </c>
      <c r="EE78" s="279">
        <v>25</v>
      </c>
      <c r="EF78" s="279">
        <v>18</v>
      </c>
      <c r="EG78" s="155"/>
      <c r="EH78" s="152">
        <v>4</v>
      </c>
      <c r="EI78" s="153">
        <v>3</v>
      </c>
      <c r="EJ78" s="153"/>
      <c r="EK78" s="153">
        <v>3</v>
      </c>
      <c r="EL78" s="154">
        <v>1</v>
      </c>
      <c r="EM78" s="154"/>
      <c r="EN78" s="279">
        <v>2</v>
      </c>
      <c r="EO78" s="279">
        <v>2</v>
      </c>
      <c r="EP78" s="155"/>
      <c r="EQ78" s="152">
        <v>1</v>
      </c>
      <c r="ER78" s="153"/>
      <c r="ES78" s="153">
        <v>1</v>
      </c>
      <c r="ET78" s="153">
        <v>2</v>
      </c>
      <c r="EU78" s="154"/>
      <c r="EV78" s="154"/>
      <c r="EW78" s="279">
        <v>30</v>
      </c>
      <c r="EX78" s="279">
        <v>1</v>
      </c>
      <c r="EY78" s="155"/>
      <c r="EZ78" s="152"/>
      <c r="FA78" s="153">
        <v>2</v>
      </c>
      <c r="FB78" s="153"/>
      <c r="FC78" s="153"/>
      <c r="FD78" s="154"/>
      <c r="FE78" s="154"/>
      <c r="FF78" s="279">
        <v>1</v>
      </c>
      <c r="FG78" s="279">
        <v>8</v>
      </c>
      <c r="FH78" s="155"/>
      <c r="FI78" s="152">
        <v>31</v>
      </c>
      <c r="FJ78" s="153">
        <v>33</v>
      </c>
      <c r="FK78" s="153">
        <v>12</v>
      </c>
      <c r="FL78" s="153">
        <v>8</v>
      </c>
      <c r="FM78" s="154">
        <v>29</v>
      </c>
      <c r="FN78" s="154">
        <v>5</v>
      </c>
      <c r="FO78" s="279">
        <v>11</v>
      </c>
      <c r="FP78" s="279">
        <v>11</v>
      </c>
      <c r="FQ78" s="155"/>
      <c r="FR78" s="152">
        <v>3</v>
      </c>
      <c r="FS78" s="153"/>
      <c r="FT78" s="153">
        <v>4</v>
      </c>
      <c r="FU78" s="153">
        <v>2</v>
      </c>
      <c r="FV78" s="154"/>
      <c r="FW78" s="154"/>
      <c r="FX78" s="279">
        <v>4</v>
      </c>
      <c r="FY78" s="279"/>
      <c r="FZ78" s="155"/>
      <c r="GA78" s="152">
        <v>2</v>
      </c>
      <c r="GB78" s="153">
        <v>1</v>
      </c>
      <c r="GC78" s="153">
        <v>6</v>
      </c>
      <c r="GD78" s="153">
        <v>3</v>
      </c>
      <c r="GE78" s="154">
        <v>4</v>
      </c>
      <c r="GF78" s="154">
        <v>5</v>
      </c>
      <c r="GG78" s="279">
        <v>2</v>
      </c>
      <c r="GH78" s="279">
        <v>7</v>
      </c>
      <c r="GI78" s="155"/>
      <c r="GJ78" s="152">
        <v>325</v>
      </c>
      <c r="GK78" s="153">
        <v>313</v>
      </c>
      <c r="GL78" s="153">
        <v>332</v>
      </c>
      <c r="GM78" s="153">
        <v>288</v>
      </c>
      <c r="GN78" s="154">
        <v>283</v>
      </c>
      <c r="GO78" s="154">
        <v>174</v>
      </c>
      <c r="GP78" s="279">
        <v>236</v>
      </c>
      <c r="GQ78" s="279">
        <v>174</v>
      </c>
      <c r="GR78" s="155"/>
      <c r="GS78" s="152">
        <v>68</v>
      </c>
      <c r="GT78" s="153">
        <v>105</v>
      </c>
      <c r="GU78" s="153">
        <v>103</v>
      </c>
      <c r="GV78" s="153">
        <v>74</v>
      </c>
      <c r="GW78" s="154">
        <v>37</v>
      </c>
      <c r="GX78" s="154">
        <v>29</v>
      </c>
      <c r="GY78" s="279">
        <v>42</v>
      </c>
      <c r="GZ78" s="279">
        <v>51</v>
      </c>
      <c r="HA78" s="155"/>
      <c r="HB78" s="152">
        <v>2</v>
      </c>
      <c r="HC78" s="153">
        <v>4</v>
      </c>
      <c r="HD78" s="153"/>
      <c r="HE78" s="153">
        <v>1</v>
      </c>
      <c r="HF78" s="154">
        <v>1</v>
      </c>
      <c r="HG78" s="154">
        <v>1</v>
      </c>
      <c r="HH78" s="279">
        <v>2</v>
      </c>
      <c r="HI78" s="279">
        <v>1</v>
      </c>
      <c r="HJ78" s="155"/>
      <c r="HK78" s="152"/>
      <c r="HL78" s="153">
        <v>2</v>
      </c>
      <c r="HM78" s="153"/>
      <c r="HN78" s="153">
        <v>1</v>
      </c>
      <c r="HO78" s="154">
        <v>1</v>
      </c>
      <c r="HP78" s="154">
        <v>1</v>
      </c>
      <c r="HQ78" s="279">
        <v>1</v>
      </c>
      <c r="HR78" s="279"/>
      <c r="HS78" s="155"/>
      <c r="HT78" s="152">
        <v>123</v>
      </c>
      <c r="HU78" s="153">
        <v>166</v>
      </c>
      <c r="HV78" s="153">
        <v>153</v>
      </c>
      <c r="HW78" s="153">
        <v>150</v>
      </c>
      <c r="HX78" s="154">
        <v>110</v>
      </c>
      <c r="HY78" s="154">
        <v>95</v>
      </c>
      <c r="HZ78" s="279">
        <v>136</v>
      </c>
      <c r="IA78" s="279">
        <v>136</v>
      </c>
      <c r="IB78" s="155"/>
      <c r="IC78" s="152">
        <v>480</v>
      </c>
      <c r="ID78" s="153">
        <v>577</v>
      </c>
      <c r="IE78" s="153">
        <v>634</v>
      </c>
      <c r="IF78" s="153">
        <v>479</v>
      </c>
      <c r="IG78" s="154">
        <v>444</v>
      </c>
      <c r="IH78" s="154">
        <v>396</v>
      </c>
      <c r="II78" s="279">
        <v>495</v>
      </c>
      <c r="IJ78" s="279">
        <v>365</v>
      </c>
      <c r="IK78" s="155"/>
    </row>
    <row r="79" spans="1:245" x14ac:dyDescent="0.2">
      <c r="A79" s="961"/>
      <c r="B79" s="151" t="s">
        <v>687</v>
      </c>
      <c r="C79" s="152"/>
      <c r="D79" s="153"/>
      <c r="E79" s="153"/>
      <c r="F79" s="153"/>
      <c r="G79" s="154"/>
      <c r="H79" s="154"/>
      <c r="I79" s="279"/>
      <c r="J79" s="279"/>
      <c r="K79" s="155"/>
      <c r="L79" s="152"/>
      <c r="M79" s="153"/>
      <c r="N79" s="153"/>
      <c r="O79" s="153"/>
      <c r="P79" s="154"/>
      <c r="Q79" s="154"/>
      <c r="R79" s="279"/>
      <c r="S79" s="279"/>
      <c r="T79" s="155"/>
      <c r="U79" s="152"/>
      <c r="V79" s="153"/>
      <c r="W79" s="153"/>
      <c r="X79" s="153"/>
      <c r="Y79" s="154"/>
      <c r="Z79" s="154"/>
      <c r="AA79" s="279"/>
      <c r="AB79" s="279"/>
      <c r="AC79" s="155"/>
      <c r="AD79" s="152">
        <v>148</v>
      </c>
      <c r="AE79" s="153">
        <v>72</v>
      </c>
      <c r="AF79" s="153">
        <v>109</v>
      </c>
      <c r="AG79" s="153">
        <v>94</v>
      </c>
      <c r="AH79" s="154">
        <v>84</v>
      </c>
      <c r="AI79" s="154">
        <v>78</v>
      </c>
      <c r="AJ79" s="279">
        <v>78</v>
      </c>
      <c r="AK79" s="279">
        <v>47</v>
      </c>
      <c r="AL79" s="155"/>
      <c r="AM79" s="152">
        <v>21</v>
      </c>
      <c r="AN79" s="153">
        <v>15</v>
      </c>
      <c r="AO79" s="153">
        <v>17</v>
      </c>
      <c r="AP79" s="153">
        <v>20</v>
      </c>
      <c r="AQ79" s="154">
        <v>12</v>
      </c>
      <c r="AR79" s="154">
        <v>25</v>
      </c>
      <c r="AS79" s="279">
        <v>26</v>
      </c>
      <c r="AT79" s="279">
        <v>12</v>
      </c>
      <c r="AU79" s="155"/>
      <c r="AV79" s="152"/>
      <c r="AW79" s="153"/>
      <c r="AX79" s="153"/>
      <c r="AY79" s="153"/>
      <c r="AZ79" s="154"/>
      <c r="BA79" s="154"/>
      <c r="BB79" s="279"/>
      <c r="BC79" s="279"/>
      <c r="BD79" s="155"/>
      <c r="BE79" s="152">
        <v>5</v>
      </c>
      <c r="BF79" s="153"/>
      <c r="BG79" s="153">
        <v>15</v>
      </c>
      <c r="BH79" s="153">
        <v>20</v>
      </c>
      <c r="BI79" s="154">
        <v>7</v>
      </c>
      <c r="BJ79" s="154">
        <v>15</v>
      </c>
      <c r="BK79" s="279">
        <v>7</v>
      </c>
      <c r="BL79" s="279">
        <v>6</v>
      </c>
      <c r="BM79" s="155"/>
      <c r="BN79" s="152"/>
      <c r="BO79" s="153"/>
      <c r="BP79" s="153"/>
      <c r="BQ79" s="153"/>
      <c r="BR79" s="154"/>
      <c r="BS79" s="154"/>
      <c r="BT79" s="279"/>
      <c r="BU79" s="279"/>
      <c r="BV79" s="155"/>
      <c r="BW79" s="152">
        <v>275</v>
      </c>
      <c r="BX79" s="153">
        <v>55</v>
      </c>
      <c r="BY79" s="153">
        <v>55</v>
      </c>
      <c r="BZ79" s="153">
        <v>31</v>
      </c>
      <c r="CA79" s="154">
        <v>36</v>
      </c>
      <c r="CB79" s="154">
        <v>42</v>
      </c>
      <c r="CC79" s="279">
        <v>59</v>
      </c>
      <c r="CD79" s="279">
        <v>29</v>
      </c>
      <c r="CE79" s="155"/>
      <c r="CF79" s="152">
        <v>2</v>
      </c>
      <c r="CG79" s="153">
        <v>3</v>
      </c>
      <c r="CH79" s="153">
        <v>1</v>
      </c>
      <c r="CI79" s="153">
        <v>1</v>
      </c>
      <c r="CJ79" s="154">
        <v>2</v>
      </c>
      <c r="CK79" s="154">
        <v>1</v>
      </c>
      <c r="CL79" s="279"/>
      <c r="CM79" s="279"/>
      <c r="CN79" s="155"/>
      <c r="CO79" s="152"/>
      <c r="CP79" s="153"/>
      <c r="CQ79" s="153"/>
      <c r="CR79" s="153"/>
      <c r="CS79" s="154"/>
      <c r="CT79" s="154"/>
      <c r="CU79" s="279">
        <v>7</v>
      </c>
      <c r="CV79" s="279">
        <v>6</v>
      </c>
      <c r="CW79" s="155"/>
      <c r="CX79" s="152">
        <v>580</v>
      </c>
      <c r="CY79" s="153">
        <v>570</v>
      </c>
      <c r="CZ79" s="153">
        <v>583</v>
      </c>
      <c r="DA79" s="153">
        <v>704</v>
      </c>
      <c r="DB79" s="154">
        <v>514</v>
      </c>
      <c r="DC79" s="154">
        <v>320</v>
      </c>
      <c r="DD79" s="279">
        <v>246</v>
      </c>
      <c r="DE79" s="279">
        <v>178</v>
      </c>
      <c r="DF79" s="155"/>
      <c r="DG79" s="152"/>
      <c r="DH79" s="153"/>
      <c r="DI79" s="153">
        <v>4</v>
      </c>
      <c r="DJ79" s="153">
        <v>1</v>
      </c>
      <c r="DK79" s="154"/>
      <c r="DL79" s="154">
        <v>1</v>
      </c>
      <c r="DM79" s="279">
        <v>1</v>
      </c>
      <c r="DN79" s="279">
        <v>2</v>
      </c>
      <c r="DO79" s="155"/>
      <c r="DP79" s="152">
        <v>6</v>
      </c>
      <c r="DQ79" s="153">
        <v>11</v>
      </c>
      <c r="DR79" s="153">
        <v>10</v>
      </c>
      <c r="DS79" s="153">
        <v>5</v>
      </c>
      <c r="DT79" s="154">
        <v>6</v>
      </c>
      <c r="DU79" s="154">
        <v>6</v>
      </c>
      <c r="DV79" s="279">
        <v>2</v>
      </c>
      <c r="DW79" s="279"/>
      <c r="DX79" s="155"/>
      <c r="DY79" s="152">
        <v>119</v>
      </c>
      <c r="DZ79" s="153">
        <v>111</v>
      </c>
      <c r="EA79" s="153">
        <v>93</v>
      </c>
      <c r="EB79" s="153">
        <v>92</v>
      </c>
      <c r="EC79" s="154">
        <v>97</v>
      </c>
      <c r="ED79" s="154">
        <v>57</v>
      </c>
      <c r="EE79" s="279">
        <v>59</v>
      </c>
      <c r="EF79" s="279">
        <v>41</v>
      </c>
      <c r="EG79" s="155"/>
      <c r="EH79" s="152">
        <v>8</v>
      </c>
      <c r="EI79" s="153">
        <v>4</v>
      </c>
      <c r="EJ79" s="153">
        <v>6</v>
      </c>
      <c r="EK79" s="153">
        <v>2</v>
      </c>
      <c r="EL79" s="154">
        <v>2</v>
      </c>
      <c r="EM79" s="154">
        <v>2</v>
      </c>
      <c r="EN79" s="279">
        <v>1</v>
      </c>
      <c r="EO79" s="279">
        <v>1</v>
      </c>
      <c r="EP79" s="155"/>
      <c r="EQ79" s="152"/>
      <c r="ER79" s="153"/>
      <c r="ES79" s="153"/>
      <c r="ET79" s="153"/>
      <c r="EU79" s="154">
        <v>1</v>
      </c>
      <c r="EV79" s="154">
        <v>2</v>
      </c>
      <c r="EW79" s="279"/>
      <c r="EX79" s="279">
        <v>3</v>
      </c>
      <c r="EY79" s="155"/>
      <c r="EZ79" s="152">
        <v>6</v>
      </c>
      <c r="FA79" s="153"/>
      <c r="FB79" s="153"/>
      <c r="FC79" s="153">
        <v>1</v>
      </c>
      <c r="FD79" s="154">
        <v>2</v>
      </c>
      <c r="FE79" s="154">
        <v>1</v>
      </c>
      <c r="FF79" s="279"/>
      <c r="FG79" s="279">
        <v>2</v>
      </c>
      <c r="FH79" s="155"/>
      <c r="FI79" s="152">
        <v>36</v>
      </c>
      <c r="FJ79" s="153">
        <v>36</v>
      </c>
      <c r="FK79" s="153">
        <v>31</v>
      </c>
      <c r="FL79" s="153">
        <v>29</v>
      </c>
      <c r="FM79" s="154">
        <v>21</v>
      </c>
      <c r="FN79" s="154">
        <v>20</v>
      </c>
      <c r="FO79" s="279">
        <v>7</v>
      </c>
      <c r="FP79" s="279">
        <v>9</v>
      </c>
      <c r="FQ79" s="155"/>
      <c r="FR79" s="152">
        <v>2</v>
      </c>
      <c r="FS79" s="153">
        <v>1</v>
      </c>
      <c r="FT79" s="153">
        <v>1</v>
      </c>
      <c r="FU79" s="153">
        <v>5</v>
      </c>
      <c r="FV79" s="154">
        <v>5</v>
      </c>
      <c r="FW79" s="154"/>
      <c r="FX79" s="279"/>
      <c r="FY79" s="279">
        <v>1</v>
      </c>
      <c r="FZ79" s="155"/>
      <c r="GA79" s="152">
        <v>1</v>
      </c>
      <c r="GB79" s="153">
        <v>3</v>
      </c>
      <c r="GC79" s="153">
        <v>2</v>
      </c>
      <c r="GD79" s="153">
        <v>7</v>
      </c>
      <c r="GE79" s="154">
        <v>3</v>
      </c>
      <c r="GF79" s="154">
        <v>4</v>
      </c>
      <c r="GG79" s="279">
        <v>2</v>
      </c>
      <c r="GH79" s="279">
        <v>3</v>
      </c>
      <c r="GI79" s="155"/>
      <c r="GJ79" s="152">
        <v>1063</v>
      </c>
      <c r="GK79" s="153">
        <v>744</v>
      </c>
      <c r="GL79" s="153">
        <v>803</v>
      </c>
      <c r="GM79" s="153">
        <v>894</v>
      </c>
      <c r="GN79" s="154">
        <v>677</v>
      </c>
      <c r="GO79" s="154">
        <v>485</v>
      </c>
      <c r="GP79" s="279">
        <v>407</v>
      </c>
      <c r="GQ79" s="279">
        <v>285</v>
      </c>
      <c r="GR79" s="155"/>
      <c r="GS79" s="152">
        <v>156</v>
      </c>
      <c r="GT79" s="153">
        <v>189</v>
      </c>
      <c r="GU79" s="153">
        <v>133</v>
      </c>
      <c r="GV79" s="153">
        <v>143</v>
      </c>
      <c r="GW79" s="154">
        <v>53</v>
      </c>
      <c r="GX79" s="154">
        <v>47</v>
      </c>
      <c r="GY79" s="279">
        <v>71</v>
      </c>
      <c r="GZ79" s="279">
        <v>75</v>
      </c>
      <c r="HA79" s="155"/>
      <c r="HB79" s="152">
        <v>2</v>
      </c>
      <c r="HC79" s="153">
        <v>2</v>
      </c>
      <c r="HD79" s="153">
        <v>3</v>
      </c>
      <c r="HE79" s="153">
        <v>1</v>
      </c>
      <c r="HF79" s="154">
        <v>2</v>
      </c>
      <c r="HG79" s="154"/>
      <c r="HH79" s="279">
        <v>2</v>
      </c>
      <c r="HI79" s="279">
        <v>1</v>
      </c>
      <c r="HJ79" s="155"/>
      <c r="HK79" s="152"/>
      <c r="HL79" s="153">
        <v>1</v>
      </c>
      <c r="HM79" s="153">
        <v>1</v>
      </c>
      <c r="HN79" s="153">
        <v>1</v>
      </c>
      <c r="HO79" s="154">
        <v>1</v>
      </c>
      <c r="HP79" s="154"/>
      <c r="HQ79" s="279"/>
      <c r="HR79" s="279"/>
      <c r="HS79" s="155"/>
      <c r="HT79" s="152">
        <v>219</v>
      </c>
      <c r="HU79" s="153">
        <v>257</v>
      </c>
      <c r="HV79" s="153">
        <v>199</v>
      </c>
      <c r="HW79" s="153">
        <v>240</v>
      </c>
      <c r="HX79" s="154">
        <v>260</v>
      </c>
      <c r="HY79" s="154">
        <v>177</v>
      </c>
      <c r="HZ79" s="279">
        <v>208</v>
      </c>
      <c r="IA79" s="279">
        <v>203</v>
      </c>
      <c r="IB79" s="155"/>
      <c r="IC79" s="152">
        <v>1437</v>
      </c>
      <c r="ID79" s="153">
        <v>2410</v>
      </c>
      <c r="IE79" s="153">
        <v>1370</v>
      </c>
      <c r="IF79" s="153">
        <v>1183</v>
      </c>
      <c r="IG79" s="154">
        <v>1220</v>
      </c>
      <c r="IH79" s="154">
        <v>1163</v>
      </c>
      <c r="II79" s="279">
        <v>692</v>
      </c>
      <c r="IJ79" s="279">
        <v>721</v>
      </c>
      <c r="IK79" s="155"/>
    </row>
    <row r="80" spans="1:245" ht="13.5" thickBot="1" x14ac:dyDescent="0.25">
      <c r="A80" s="961"/>
      <c r="B80" s="156" t="s">
        <v>688</v>
      </c>
      <c r="C80" s="157"/>
      <c r="D80" s="166">
        <v>1</v>
      </c>
      <c r="E80" s="166"/>
      <c r="F80" s="166">
        <v>1</v>
      </c>
      <c r="G80" s="158"/>
      <c r="H80" s="158"/>
      <c r="I80" s="280"/>
      <c r="J80" s="280"/>
      <c r="K80" s="159"/>
      <c r="L80" s="157"/>
      <c r="M80" s="166"/>
      <c r="N80" s="166"/>
      <c r="O80" s="166"/>
      <c r="P80" s="158"/>
      <c r="Q80" s="158"/>
      <c r="R80" s="280"/>
      <c r="S80" s="280"/>
      <c r="T80" s="159"/>
      <c r="U80" s="157"/>
      <c r="V80" s="166">
        <v>1</v>
      </c>
      <c r="W80" s="166"/>
      <c r="X80" s="166">
        <v>1</v>
      </c>
      <c r="Y80" s="158"/>
      <c r="Z80" s="158"/>
      <c r="AA80" s="280"/>
      <c r="AB80" s="280"/>
      <c r="AC80" s="159"/>
      <c r="AD80" s="157">
        <v>315</v>
      </c>
      <c r="AE80" s="166">
        <v>192</v>
      </c>
      <c r="AF80" s="166">
        <v>322</v>
      </c>
      <c r="AG80" s="166">
        <v>20</v>
      </c>
      <c r="AH80" s="158">
        <v>19</v>
      </c>
      <c r="AI80" s="158">
        <v>29</v>
      </c>
      <c r="AJ80" s="280">
        <v>44</v>
      </c>
      <c r="AK80" s="280">
        <v>42</v>
      </c>
      <c r="AL80" s="159"/>
      <c r="AM80" s="157">
        <v>26</v>
      </c>
      <c r="AN80" s="166">
        <v>19</v>
      </c>
      <c r="AO80" s="166">
        <v>22</v>
      </c>
      <c r="AP80" s="166">
        <v>17</v>
      </c>
      <c r="AQ80" s="158">
        <v>16</v>
      </c>
      <c r="AR80" s="158">
        <v>18</v>
      </c>
      <c r="AS80" s="280">
        <v>22</v>
      </c>
      <c r="AT80" s="280">
        <v>29</v>
      </c>
      <c r="AU80" s="159"/>
      <c r="AV80" s="157"/>
      <c r="AW80" s="166"/>
      <c r="AX80" s="166"/>
      <c r="AY80" s="166"/>
      <c r="AZ80" s="158"/>
      <c r="BA80" s="158"/>
      <c r="BB80" s="280"/>
      <c r="BC80" s="280"/>
      <c r="BD80" s="159"/>
      <c r="BE80" s="157">
        <v>3</v>
      </c>
      <c r="BF80" s="166">
        <v>1</v>
      </c>
      <c r="BG80" s="166">
        <v>2</v>
      </c>
      <c r="BH80" s="166"/>
      <c r="BI80" s="158"/>
      <c r="BJ80" s="158">
        <v>1</v>
      </c>
      <c r="BK80" s="280">
        <v>1</v>
      </c>
      <c r="BL80" s="280">
        <v>3</v>
      </c>
      <c r="BM80" s="159"/>
      <c r="BN80" s="157"/>
      <c r="BO80" s="166"/>
      <c r="BP80" s="166"/>
      <c r="BQ80" s="166"/>
      <c r="BR80" s="158"/>
      <c r="BS80" s="158">
        <v>1</v>
      </c>
      <c r="BT80" s="280"/>
      <c r="BU80" s="280">
        <v>1</v>
      </c>
      <c r="BV80" s="159"/>
      <c r="BW80" s="157">
        <v>235</v>
      </c>
      <c r="BX80" s="166">
        <v>175</v>
      </c>
      <c r="BY80" s="166">
        <v>300</v>
      </c>
      <c r="BZ80" s="166">
        <v>12</v>
      </c>
      <c r="CA80" s="158">
        <v>190</v>
      </c>
      <c r="CB80" s="158">
        <v>20</v>
      </c>
      <c r="CC80" s="280">
        <v>33</v>
      </c>
      <c r="CD80" s="280">
        <v>32</v>
      </c>
      <c r="CE80" s="159"/>
      <c r="CF80" s="157">
        <v>1</v>
      </c>
      <c r="CG80" s="166">
        <v>3</v>
      </c>
      <c r="CH80" s="166"/>
      <c r="CI80" s="166"/>
      <c r="CJ80" s="158"/>
      <c r="CK80" s="158"/>
      <c r="CL80" s="280">
        <v>2</v>
      </c>
      <c r="CM80" s="280">
        <v>1</v>
      </c>
      <c r="CN80" s="159"/>
      <c r="CO80" s="157">
        <v>1</v>
      </c>
      <c r="CP80" s="166">
        <v>1</v>
      </c>
      <c r="CQ80" s="166">
        <v>1</v>
      </c>
      <c r="CR80" s="166">
        <v>1</v>
      </c>
      <c r="CS80" s="158">
        <v>1</v>
      </c>
      <c r="CT80" s="158">
        <v>2</v>
      </c>
      <c r="CU80" s="280"/>
      <c r="CV80" s="280">
        <v>3</v>
      </c>
      <c r="CW80" s="159"/>
      <c r="CX80" s="157">
        <v>852</v>
      </c>
      <c r="CY80" s="166">
        <v>772</v>
      </c>
      <c r="CZ80" s="166">
        <v>811</v>
      </c>
      <c r="DA80" s="166">
        <v>667</v>
      </c>
      <c r="DB80" s="158">
        <v>627</v>
      </c>
      <c r="DC80" s="158">
        <v>612</v>
      </c>
      <c r="DD80" s="280">
        <v>609</v>
      </c>
      <c r="DE80" s="280">
        <v>726</v>
      </c>
      <c r="DF80" s="159"/>
      <c r="DG80" s="157">
        <v>17</v>
      </c>
      <c r="DH80" s="166">
        <v>17</v>
      </c>
      <c r="DI80" s="166">
        <v>18</v>
      </c>
      <c r="DJ80" s="166">
        <v>11</v>
      </c>
      <c r="DK80" s="158">
        <v>13</v>
      </c>
      <c r="DL80" s="158">
        <v>14</v>
      </c>
      <c r="DM80" s="280">
        <v>13</v>
      </c>
      <c r="DN80" s="280">
        <v>157</v>
      </c>
      <c r="DO80" s="159"/>
      <c r="DP80" s="157">
        <v>56</v>
      </c>
      <c r="DQ80" s="166">
        <v>41</v>
      </c>
      <c r="DR80" s="166">
        <v>52</v>
      </c>
      <c r="DS80" s="166">
        <v>55</v>
      </c>
      <c r="DT80" s="158">
        <v>28</v>
      </c>
      <c r="DU80" s="158">
        <v>16</v>
      </c>
      <c r="DV80" s="280">
        <v>26</v>
      </c>
      <c r="DW80" s="280">
        <v>18</v>
      </c>
      <c r="DX80" s="159"/>
      <c r="DY80" s="157">
        <v>19</v>
      </c>
      <c r="DZ80" s="166">
        <v>48</v>
      </c>
      <c r="EA80" s="166">
        <v>53</v>
      </c>
      <c r="EB80" s="166">
        <v>60</v>
      </c>
      <c r="EC80" s="158">
        <v>89</v>
      </c>
      <c r="ED80" s="158">
        <v>103</v>
      </c>
      <c r="EE80" s="280">
        <v>141</v>
      </c>
      <c r="EF80" s="280">
        <v>107</v>
      </c>
      <c r="EG80" s="159"/>
      <c r="EH80" s="157">
        <v>3</v>
      </c>
      <c r="EI80" s="166">
        <v>6</v>
      </c>
      <c r="EJ80" s="166">
        <v>5</v>
      </c>
      <c r="EK80" s="166">
        <v>2</v>
      </c>
      <c r="EL80" s="158">
        <v>1</v>
      </c>
      <c r="EM80" s="158"/>
      <c r="EN80" s="280">
        <v>3</v>
      </c>
      <c r="EO80" s="280">
        <v>1</v>
      </c>
      <c r="EP80" s="159"/>
      <c r="EQ80" s="157"/>
      <c r="ER80" s="166"/>
      <c r="ES80" s="166">
        <v>2</v>
      </c>
      <c r="ET80" s="166">
        <v>3</v>
      </c>
      <c r="EU80" s="158"/>
      <c r="EV80" s="158"/>
      <c r="EW80" s="280">
        <v>1</v>
      </c>
      <c r="EX80" s="280">
        <v>1</v>
      </c>
      <c r="EY80" s="159"/>
      <c r="EZ80" s="157"/>
      <c r="FA80" s="166">
        <v>3</v>
      </c>
      <c r="FB80" s="166"/>
      <c r="FC80" s="166">
        <v>1</v>
      </c>
      <c r="FD80" s="158"/>
      <c r="FE80" s="158">
        <v>2</v>
      </c>
      <c r="FF80" s="280"/>
      <c r="FG80" s="280">
        <v>1</v>
      </c>
      <c r="FH80" s="159"/>
      <c r="FI80" s="157">
        <v>65</v>
      </c>
      <c r="FJ80" s="166">
        <v>80</v>
      </c>
      <c r="FK80" s="166">
        <v>85</v>
      </c>
      <c r="FL80" s="166">
        <v>35</v>
      </c>
      <c r="FM80" s="158">
        <v>75</v>
      </c>
      <c r="FN80" s="158">
        <v>59</v>
      </c>
      <c r="FO80" s="280">
        <v>51</v>
      </c>
      <c r="FP80" s="280">
        <v>63</v>
      </c>
      <c r="FQ80" s="159"/>
      <c r="FR80" s="157">
        <v>3</v>
      </c>
      <c r="FS80" s="166">
        <v>1</v>
      </c>
      <c r="FT80" s="166">
        <v>2</v>
      </c>
      <c r="FU80" s="166"/>
      <c r="FV80" s="158">
        <v>1</v>
      </c>
      <c r="FW80" s="158">
        <v>3</v>
      </c>
      <c r="FX80" s="280">
        <v>3</v>
      </c>
      <c r="FY80" s="280">
        <v>1</v>
      </c>
      <c r="FZ80" s="159"/>
      <c r="GA80" s="157">
        <v>6</v>
      </c>
      <c r="GB80" s="166">
        <v>2</v>
      </c>
      <c r="GC80" s="166">
        <v>5</v>
      </c>
      <c r="GD80" s="166">
        <v>2</v>
      </c>
      <c r="GE80" s="158">
        <v>3</v>
      </c>
      <c r="GF80" s="158">
        <v>9</v>
      </c>
      <c r="GG80" s="280">
        <v>5</v>
      </c>
      <c r="GH80" s="280">
        <v>3</v>
      </c>
      <c r="GI80" s="159"/>
      <c r="GJ80" s="157">
        <v>1484</v>
      </c>
      <c r="GK80" s="166">
        <v>1237</v>
      </c>
      <c r="GL80" s="166">
        <v>1535</v>
      </c>
      <c r="GM80" s="166">
        <v>744</v>
      </c>
      <c r="GN80" s="158">
        <v>917</v>
      </c>
      <c r="GO80" s="158">
        <v>738</v>
      </c>
      <c r="GP80" s="280">
        <v>752</v>
      </c>
      <c r="GQ80" s="280">
        <v>878</v>
      </c>
      <c r="GR80" s="159"/>
      <c r="GS80" s="157">
        <v>320</v>
      </c>
      <c r="GT80" s="166">
        <v>277</v>
      </c>
      <c r="GU80" s="166">
        <v>307</v>
      </c>
      <c r="GV80" s="166">
        <v>201</v>
      </c>
      <c r="GW80" s="158">
        <v>87</v>
      </c>
      <c r="GX80" s="158">
        <v>106</v>
      </c>
      <c r="GY80" s="280">
        <v>138</v>
      </c>
      <c r="GZ80" s="280">
        <v>279</v>
      </c>
      <c r="HA80" s="159"/>
      <c r="HB80" s="157"/>
      <c r="HC80" s="166"/>
      <c r="HD80" s="166"/>
      <c r="HE80" s="166"/>
      <c r="HF80" s="158"/>
      <c r="HG80" s="158"/>
      <c r="HH80" s="280"/>
      <c r="HI80" s="280">
        <v>1</v>
      </c>
      <c r="HJ80" s="159"/>
      <c r="HK80" s="157">
        <v>1</v>
      </c>
      <c r="HL80" s="166"/>
      <c r="HM80" s="166"/>
      <c r="HN80" s="166"/>
      <c r="HO80" s="158"/>
      <c r="HP80" s="158"/>
      <c r="HQ80" s="280"/>
      <c r="HR80" s="280"/>
      <c r="HS80" s="159"/>
      <c r="HT80" s="157">
        <v>373</v>
      </c>
      <c r="HU80" s="166">
        <v>320</v>
      </c>
      <c r="HV80" s="166">
        <v>351</v>
      </c>
      <c r="HW80" s="166">
        <v>255</v>
      </c>
      <c r="HX80" s="158">
        <v>178</v>
      </c>
      <c r="HY80" s="158">
        <v>200</v>
      </c>
      <c r="HZ80" s="280">
        <v>238</v>
      </c>
      <c r="IA80" s="280">
        <v>433</v>
      </c>
      <c r="IB80" s="159"/>
      <c r="IC80" s="157">
        <v>1812</v>
      </c>
      <c r="ID80" s="166">
        <v>2240</v>
      </c>
      <c r="IE80" s="166">
        <v>3099</v>
      </c>
      <c r="IF80" s="166">
        <v>1688</v>
      </c>
      <c r="IG80" s="158">
        <v>1350</v>
      </c>
      <c r="IH80" s="158">
        <v>1289</v>
      </c>
      <c r="II80" s="280">
        <v>1576</v>
      </c>
      <c r="IJ80" s="280">
        <v>1404</v>
      </c>
      <c r="IK80" s="159"/>
    </row>
    <row r="81" spans="1:245" s="134" customFormat="1" ht="13.5" thickBot="1" x14ac:dyDescent="0.25">
      <c r="A81" s="962"/>
      <c r="B81" s="189" t="s">
        <v>780</v>
      </c>
      <c r="C81" s="273">
        <v>8</v>
      </c>
      <c r="D81" s="190">
        <v>14</v>
      </c>
      <c r="E81" s="190">
        <v>8</v>
      </c>
      <c r="F81" s="190">
        <v>9</v>
      </c>
      <c r="G81" s="190">
        <v>14</v>
      </c>
      <c r="H81" s="190">
        <v>9</v>
      </c>
      <c r="I81" s="190">
        <v>5</v>
      </c>
      <c r="J81" s="190">
        <v>6</v>
      </c>
      <c r="K81" s="286"/>
      <c r="L81" s="273">
        <v>2</v>
      </c>
      <c r="M81" s="190">
        <v>6</v>
      </c>
      <c r="N81" s="190">
        <v>4</v>
      </c>
      <c r="O81" s="190">
        <v>5</v>
      </c>
      <c r="P81" s="190">
        <v>8</v>
      </c>
      <c r="Q81" s="190">
        <v>2</v>
      </c>
      <c r="R81" s="190">
        <v>4</v>
      </c>
      <c r="S81" s="190">
        <v>4</v>
      </c>
      <c r="T81" s="286"/>
      <c r="U81" s="273">
        <v>4</v>
      </c>
      <c r="V81" s="190">
        <v>7</v>
      </c>
      <c r="W81" s="190">
        <v>3</v>
      </c>
      <c r="X81" s="190">
        <v>4</v>
      </c>
      <c r="Y81" s="190">
        <v>4</v>
      </c>
      <c r="Z81" s="190">
        <v>4</v>
      </c>
      <c r="AA81" s="190">
        <v>1</v>
      </c>
      <c r="AB81" s="190">
        <v>1</v>
      </c>
      <c r="AC81" s="286"/>
      <c r="AD81" s="273">
        <v>1101</v>
      </c>
      <c r="AE81" s="190">
        <v>1951</v>
      </c>
      <c r="AF81" s="190">
        <v>1782</v>
      </c>
      <c r="AG81" s="190">
        <v>604</v>
      </c>
      <c r="AH81" s="190">
        <v>816</v>
      </c>
      <c r="AI81" s="190">
        <v>429</v>
      </c>
      <c r="AJ81" s="190">
        <v>500</v>
      </c>
      <c r="AK81" s="190">
        <v>383</v>
      </c>
      <c r="AL81" s="286"/>
      <c r="AM81" s="273">
        <v>282</v>
      </c>
      <c r="AN81" s="190">
        <v>264</v>
      </c>
      <c r="AO81" s="190">
        <v>268</v>
      </c>
      <c r="AP81" s="190">
        <v>342</v>
      </c>
      <c r="AQ81" s="190">
        <v>229</v>
      </c>
      <c r="AR81" s="190">
        <v>240</v>
      </c>
      <c r="AS81" s="190">
        <v>240</v>
      </c>
      <c r="AT81" s="190">
        <v>155</v>
      </c>
      <c r="AU81" s="286"/>
      <c r="AV81" s="273">
        <v>2</v>
      </c>
      <c r="AW81" s="190">
        <v>2</v>
      </c>
      <c r="AX81" s="190"/>
      <c r="AY81" s="190">
        <v>2</v>
      </c>
      <c r="AZ81" s="190">
        <v>3</v>
      </c>
      <c r="BA81" s="190"/>
      <c r="BB81" s="190">
        <v>2</v>
      </c>
      <c r="BC81" s="190">
        <v>1</v>
      </c>
      <c r="BD81" s="286"/>
      <c r="BE81" s="273">
        <v>61</v>
      </c>
      <c r="BF81" s="190">
        <v>61</v>
      </c>
      <c r="BG81" s="190">
        <v>46</v>
      </c>
      <c r="BH81" s="190">
        <v>35</v>
      </c>
      <c r="BI81" s="190">
        <v>22</v>
      </c>
      <c r="BJ81" s="190">
        <v>52</v>
      </c>
      <c r="BK81" s="190">
        <v>20</v>
      </c>
      <c r="BL81" s="190">
        <v>31</v>
      </c>
      <c r="BM81" s="286"/>
      <c r="BN81" s="273"/>
      <c r="BO81" s="190"/>
      <c r="BP81" s="190"/>
      <c r="BQ81" s="190"/>
      <c r="BR81" s="190"/>
      <c r="BS81" s="190">
        <v>22</v>
      </c>
      <c r="BT81" s="190">
        <v>2</v>
      </c>
      <c r="BU81" s="190">
        <v>7</v>
      </c>
      <c r="BV81" s="286"/>
      <c r="BW81" s="273">
        <v>2106</v>
      </c>
      <c r="BX81" s="190">
        <v>1330</v>
      </c>
      <c r="BY81" s="190">
        <v>873</v>
      </c>
      <c r="BZ81" s="190">
        <v>294</v>
      </c>
      <c r="CA81" s="190">
        <v>758</v>
      </c>
      <c r="CB81" s="190">
        <v>289</v>
      </c>
      <c r="CC81" s="190">
        <v>266</v>
      </c>
      <c r="CD81" s="190">
        <v>231</v>
      </c>
      <c r="CE81" s="286"/>
      <c r="CF81" s="273">
        <v>27</v>
      </c>
      <c r="CG81" s="190">
        <v>23</v>
      </c>
      <c r="CH81" s="190">
        <v>17</v>
      </c>
      <c r="CI81" s="190">
        <v>13</v>
      </c>
      <c r="CJ81" s="190">
        <v>14</v>
      </c>
      <c r="CK81" s="190">
        <v>8</v>
      </c>
      <c r="CL81" s="190">
        <v>11</v>
      </c>
      <c r="CM81" s="190">
        <v>3</v>
      </c>
      <c r="CN81" s="286"/>
      <c r="CO81" s="273">
        <v>15</v>
      </c>
      <c r="CP81" s="190">
        <v>23</v>
      </c>
      <c r="CQ81" s="190">
        <v>10</v>
      </c>
      <c r="CR81" s="190">
        <v>17</v>
      </c>
      <c r="CS81" s="190">
        <v>42</v>
      </c>
      <c r="CT81" s="190">
        <v>26</v>
      </c>
      <c r="CU81" s="190">
        <v>19</v>
      </c>
      <c r="CV81" s="190">
        <v>23</v>
      </c>
      <c r="CW81" s="286"/>
      <c r="CX81" s="273">
        <v>7510</v>
      </c>
      <c r="CY81" s="190">
        <v>7395</v>
      </c>
      <c r="CZ81" s="190">
        <v>7012</v>
      </c>
      <c r="DA81" s="190">
        <v>6668</v>
      </c>
      <c r="DB81" s="190">
        <v>5279</v>
      </c>
      <c r="DC81" s="190">
        <v>4156</v>
      </c>
      <c r="DD81" s="190">
        <v>3018</v>
      </c>
      <c r="DE81" s="190">
        <v>2746</v>
      </c>
      <c r="DF81" s="286"/>
      <c r="DG81" s="273">
        <v>124</v>
      </c>
      <c r="DH81" s="190">
        <v>105</v>
      </c>
      <c r="DI81" s="190">
        <v>111</v>
      </c>
      <c r="DJ81" s="190">
        <v>81</v>
      </c>
      <c r="DK81" s="190">
        <v>52</v>
      </c>
      <c r="DL81" s="190">
        <v>42</v>
      </c>
      <c r="DM81" s="190">
        <v>28</v>
      </c>
      <c r="DN81" s="190">
        <v>170</v>
      </c>
      <c r="DO81" s="286"/>
      <c r="DP81" s="273">
        <v>255</v>
      </c>
      <c r="DQ81" s="190">
        <v>203</v>
      </c>
      <c r="DR81" s="190">
        <v>225</v>
      </c>
      <c r="DS81" s="190">
        <v>226</v>
      </c>
      <c r="DT81" s="190">
        <v>124</v>
      </c>
      <c r="DU81" s="190">
        <v>112</v>
      </c>
      <c r="DV81" s="190">
        <v>70</v>
      </c>
      <c r="DW81" s="190">
        <v>37</v>
      </c>
      <c r="DX81" s="286"/>
      <c r="DY81" s="273">
        <v>864</v>
      </c>
      <c r="DZ81" s="190">
        <v>927</v>
      </c>
      <c r="EA81" s="190">
        <v>962</v>
      </c>
      <c r="EB81" s="190">
        <v>993</v>
      </c>
      <c r="EC81" s="190">
        <v>950</v>
      </c>
      <c r="ED81" s="190">
        <v>922</v>
      </c>
      <c r="EE81" s="190">
        <v>705</v>
      </c>
      <c r="EF81" s="190">
        <v>481</v>
      </c>
      <c r="EG81" s="286"/>
      <c r="EH81" s="273">
        <v>148</v>
      </c>
      <c r="EI81" s="190">
        <v>125</v>
      </c>
      <c r="EJ81" s="190">
        <v>92</v>
      </c>
      <c r="EK81" s="190">
        <v>83</v>
      </c>
      <c r="EL81" s="190">
        <v>47</v>
      </c>
      <c r="EM81" s="190">
        <v>43</v>
      </c>
      <c r="EN81" s="190">
        <v>26</v>
      </c>
      <c r="EO81" s="190">
        <v>27</v>
      </c>
      <c r="EP81" s="286"/>
      <c r="EQ81" s="273">
        <v>17</v>
      </c>
      <c r="ER81" s="190">
        <v>31</v>
      </c>
      <c r="ES81" s="190">
        <v>29</v>
      </c>
      <c r="ET81" s="190">
        <v>19</v>
      </c>
      <c r="EU81" s="190">
        <v>17</v>
      </c>
      <c r="EV81" s="190">
        <v>24</v>
      </c>
      <c r="EW81" s="190">
        <v>56</v>
      </c>
      <c r="EX81" s="190">
        <v>40</v>
      </c>
      <c r="EY81" s="286"/>
      <c r="EZ81" s="273">
        <v>31</v>
      </c>
      <c r="FA81" s="190">
        <v>50</v>
      </c>
      <c r="FB81" s="190">
        <v>14</v>
      </c>
      <c r="FC81" s="190">
        <v>19</v>
      </c>
      <c r="FD81" s="190">
        <v>14</v>
      </c>
      <c r="FE81" s="190">
        <v>18</v>
      </c>
      <c r="FF81" s="190">
        <v>3</v>
      </c>
      <c r="FG81" s="190">
        <v>16</v>
      </c>
      <c r="FH81" s="286"/>
      <c r="FI81" s="273">
        <v>682</v>
      </c>
      <c r="FJ81" s="190">
        <v>740</v>
      </c>
      <c r="FK81" s="190">
        <v>587</v>
      </c>
      <c r="FL81" s="190">
        <v>402</v>
      </c>
      <c r="FM81" s="190">
        <v>411</v>
      </c>
      <c r="FN81" s="190">
        <v>315</v>
      </c>
      <c r="FO81" s="190">
        <v>282</v>
      </c>
      <c r="FP81" s="190">
        <v>259</v>
      </c>
      <c r="FQ81" s="286"/>
      <c r="FR81" s="273">
        <v>41</v>
      </c>
      <c r="FS81" s="190">
        <v>15</v>
      </c>
      <c r="FT81" s="190">
        <v>22</v>
      </c>
      <c r="FU81" s="190">
        <v>14</v>
      </c>
      <c r="FV81" s="190">
        <v>14</v>
      </c>
      <c r="FW81" s="190">
        <v>14</v>
      </c>
      <c r="FX81" s="190">
        <v>9</v>
      </c>
      <c r="FY81" s="190">
        <v>4</v>
      </c>
      <c r="FZ81" s="286"/>
      <c r="GA81" s="273">
        <v>63</v>
      </c>
      <c r="GB81" s="190">
        <v>40</v>
      </c>
      <c r="GC81" s="190">
        <v>62</v>
      </c>
      <c r="GD81" s="190">
        <v>32</v>
      </c>
      <c r="GE81" s="190">
        <v>32</v>
      </c>
      <c r="GF81" s="190">
        <v>44</v>
      </c>
      <c r="GG81" s="190">
        <v>30</v>
      </c>
      <c r="GH81" s="190">
        <v>40</v>
      </c>
      <c r="GI81" s="286"/>
      <c r="GJ81" s="273">
        <v>11810</v>
      </c>
      <c r="GK81" s="190">
        <v>11798</v>
      </c>
      <c r="GL81" s="190">
        <v>10554</v>
      </c>
      <c r="GM81" s="190">
        <v>8209</v>
      </c>
      <c r="GN81" s="190">
        <v>7480</v>
      </c>
      <c r="GO81" s="190">
        <v>5449</v>
      </c>
      <c r="GP81" s="190">
        <v>4247</v>
      </c>
      <c r="GQ81" s="190">
        <v>3816</v>
      </c>
      <c r="GR81" s="286"/>
      <c r="GS81" s="273">
        <v>3037</v>
      </c>
      <c r="GT81" s="190">
        <v>3014</v>
      </c>
      <c r="GU81" s="190">
        <v>2574</v>
      </c>
      <c r="GV81" s="190">
        <v>2011</v>
      </c>
      <c r="GW81" s="190">
        <v>1290</v>
      </c>
      <c r="GX81" s="190">
        <v>690</v>
      </c>
      <c r="GY81" s="190">
        <v>641</v>
      </c>
      <c r="GZ81" s="190">
        <v>780</v>
      </c>
      <c r="HA81" s="286"/>
      <c r="HB81" s="273">
        <v>21</v>
      </c>
      <c r="HC81" s="190">
        <v>19</v>
      </c>
      <c r="HD81" s="190">
        <v>22</v>
      </c>
      <c r="HE81" s="190">
        <v>14</v>
      </c>
      <c r="HF81" s="190">
        <v>24</v>
      </c>
      <c r="HG81" s="190">
        <v>11</v>
      </c>
      <c r="HH81" s="190">
        <v>9</v>
      </c>
      <c r="HI81" s="190">
        <v>8</v>
      </c>
      <c r="HJ81" s="286"/>
      <c r="HK81" s="273">
        <v>9</v>
      </c>
      <c r="HL81" s="190">
        <v>8</v>
      </c>
      <c r="HM81" s="190">
        <v>6</v>
      </c>
      <c r="HN81" s="190">
        <v>6</v>
      </c>
      <c r="HO81" s="190">
        <v>7</v>
      </c>
      <c r="HP81" s="190">
        <v>7</v>
      </c>
      <c r="HQ81" s="190">
        <v>3</v>
      </c>
      <c r="HR81" s="190">
        <v>3</v>
      </c>
      <c r="HS81" s="286"/>
      <c r="HT81" s="273">
        <v>3989</v>
      </c>
      <c r="HU81" s="190">
        <v>3731</v>
      </c>
      <c r="HV81" s="190">
        <v>3211</v>
      </c>
      <c r="HW81" s="190">
        <v>3790</v>
      </c>
      <c r="HX81" s="190">
        <v>2342</v>
      </c>
      <c r="HY81" s="190">
        <v>1561</v>
      </c>
      <c r="HZ81" s="190">
        <v>1573</v>
      </c>
      <c r="IA81" s="190">
        <v>1772</v>
      </c>
      <c r="IB81" s="286"/>
      <c r="IC81" s="273">
        <v>18313</v>
      </c>
      <c r="ID81" s="190">
        <v>25071</v>
      </c>
      <c r="IE81" s="190">
        <v>32005</v>
      </c>
      <c r="IF81" s="190">
        <v>18610</v>
      </c>
      <c r="IG81" s="190">
        <v>14311</v>
      </c>
      <c r="IH81" s="190">
        <v>10421</v>
      </c>
      <c r="II81" s="190">
        <v>8279</v>
      </c>
      <c r="IJ81" s="190">
        <v>7719</v>
      </c>
      <c r="IK81" s="286"/>
    </row>
    <row r="82" spans="1:245" x14ac:dyDescent="0.2">
      <c r="A82" s="960" t="s">
        <v>587</v>
      </c>
      <c r="B82" s="146" t="s">
        <v>588</v>
      </c>
      <c r="C82" s="147">
        <v>10</v>
      </c>
      <c r="D82" s="148">
        <v>7</v>
      </c>
      <c r="E82" s="148">
        <v>11</v>
      </c>
      <c r="F82" s="148">
        <v>10</v>
      </c>
      <c r="G82" s="149">
        <v>4</v>
      </c>
      <c r="H82" s="149">
        <v>9</v>
      </c>
      <c r="I82" s="278">
        <v>6</v>
      </c>
      <c r="J82" s="278">
        <v>7</v>
      </c>
      <c r="K82" s="150"/>
      <c r="L82" s="147">
        <v>2</v>
      </c>
      <c r="M82" s="148">
        <v>1</v>
      </c>
      <c r="N82" s="148">
        <v>5</v>
      </c>
      <c r="O82" s="148">
        <v>6</v>
      </c>
      <c r="P82" s="149">
        <v>2</v>
      </c>
      <c r="Q82" s="149">
        <v>5</v>
      </c>
      <c r="R82" s="278">
        <v>1</v>
      </c>
      <c r="S82" s="278">
        <v>6</v>
      </c>
      <c r="T82" s="150"/>
      <c r="U82" s="147">
        <v>6</v>
      </c>
      <c r="V82" s="148">
        <v>6</v>
      </c>
      <c r="W82" s="148">
        <v>6</v>
      </c>
      <c r="X82" s="148">
        <v>1</v>
      </c>
      <c r="Y82" s="149">
        <v>1</v>
      </c>
      <c r="Z82" s="149">
        <v>3</v>
      </c>
      <c r="AA82" s="278">
        <v>3</v>
      </c>
      <c r="AB82" s="278">
        <v>1</v>
      </c>
      <c r="AC82" s="150"/>
      <c r="AD82" s="147">
        <v>35</v>
      </c>
      <c r="AE82" s="148">
        <v>17</v>
      </c>
      <c r="AF82" s="148">
        <v>14</v>
      </c>
      <c r="AG82" s="148">
        <v>16</v>
      </c>
      <c r="AH82" s="149">
        <v>13</v>
      </c>
      <c r="AI82" s="149">
        <v>14</v>
      </c>
      <c r="AJ82" s="278">
        <v>17</v>
      </c>
      <c r="AK82" s="278">
        <v>33</v>
      </c>
      <c r="AL82" s="150"/>
      <c r="AM82" s="147">
        <v>28</v>
      </c>
      <c r="AN82" s="148">
        <v>14</v>
      </c>
      <c r="AO82" s="148">
        <v>14</v>
      </c>
      <c r="AP82" s="148">
        <v>15</v>
      </c>
      <c r="AQ82" s="149">
        <v>11</v>
      </c>
      <c r="AR82" s="149">
        <v>12</v>
      </c>
      <c r="AS82" s="278">
        <v>17</v>
      </c>
      <c r="AT82" s="278">
        <v>29</v>
      </c>
      <c r="AU82" s="150"/>
      <c r="AV82" s="147"/>
      <c r="AW82" s="148">
        <v>1</v>
      </c>
      <c r="AX82" s="148"/>
      <c r="AY82" s="148">
        <v>1</v>
      </c>
      <c r="AZ82" s="149"/>
      <c r="BA82" s="149"/>
      <c r="BB82" s="278"/>
      <c r="BC82" s="278"/>
      <c r="BD82" s="150"/>
      <c r="BE82" s="147">
        <v>20</v>
      </c>
      <c r="BF82" s="148"/>
      <c r="BG82" s="148">
        <v>2</v>
      </c>
      <c r="BH82" s="148"/>
      <c r="BI82" s="149">
        <v>5</v>
      </c>
      <c r="BJ82" s="149"/>
      <c r="BK82" s="278"/>
      <c r="BL82" s="278">
        <v>2</v>
      </c>
      <c r="BM82" s="150"/>
      <c r="BN82" s="147">
        <v>25</v>
      </c>
      <c r="BO82" s="148">
        <v>21</v>
      </c>
      <c r="BP82" s="148">
        <v>14</v>
      </c>
      <c r="BQ82" s="148">
        <v>59</v>
      </c>
      <c r="BR82" s="149">
        <v>65</v>
      </c>
      <c r="BS82" s="149">
        <v>94</v>
      </c>
      <c r="BT82" s="278">
        <v>48</v>
      </c>
      <c r="BU82" s="278">
        <v>12</v>
      </c>
      <c r="BV82" s="150"/>
      <c r="BW82" s="147">
        <v>3</v>
      </c>
      <c r="BX82" s="148"/>
      <c r="BY82" s="148">
        <v>3</v>
      </c>
      <c r="BZ82" s="148"/>
      <c r="CA82" s="149">
        <v>3</v>
      </c>
      <c r="CB82" s="149">
        <v>3</v>
      </c>
      <c r="CC82" s="278"/>
      <c r="CD82" s="278">
        <v>1</v>
      </c>
      <c r="CE82" s="150"/>
      <c r="CF82" s="147">
        <v>2</v>
      </c>
      <c r="CG82" s="148"/>
      <c r="CH82" s="148"/>
      <c r="CI82" s="148">
        <v>2</v>
      </c>
      <c r="CJ82" s="149"/>
      <c r="CK82" s="149"/>
      <c r="CL82" s="278">
        <v>1</v>
      </c>
      <c r="CM82" s="278"/>
      <c r="CN82" s="150"/>
      <c r="CO82" s="147">
        <v>1</v>
      </c>
      <c r="CP82" s="148">
        <v>9</v>
      </c>
      <c r="CQ82" s="148">
        <v>4</v>
      </c>
      <c r="CR82" s="148">
        <v>3</v>
      </c>
      <c r="CS82" s="149">
        <v>1</v>
      </c>
      <c r="CT82" s="149">
        <v>9</v>
      </c>
      <c r="CU82" s="278">
        <v>10</v>
      </c>
      <c r="CV82" s="278">
        <v>5</v>
      </c>
      <c r="CW82" s="150"/>
      <c r="CX82" s="147">
        <v>19</v>
      </c>
      <c r="CY82" s="148">
        <v>26</v>
      </c>
      <c r="CZ82" s="148">
        <v>25</v>
      </c>
      <c r="DA82" s="148">
        <v>8</v>
      </c>
      <c r="DB82" s="149">
        <v>14</v>
      </c>
      <c r="DC82" s="149">
        <v>18</v>
      </c>
      <c r="DD82" s="278">
        <v>25</v>
      </c>
      <c r="DE82" s="278">
        <v>16</v>
      </c>
      <c r="DF82" s="150"/>
      <c r="DG82" s="147">
        <v>2</v>
      </c>
      <c r="DH82" s="148"/>
      <c r="DI82" s="148"/>
      <c r="DJ82" s="148"/>
      <c r="DK82" s="149"/>
      <c r="DL82" s="149">
        <v>1</v>
      </c>
      <c r="DM82" s="278">
        <v>7</v>
      </c>
      <c r="DN82" s="278"/>
      <c r="DO82" s="150"/>
      <c r="DP82" s="147"/>
      <c r="DQ82" s="148"/>
      <c r="DR82" s="148"/>
      <c r="DS82" s="148"/>
      <c r="DT82" s="149"/>
      <c r="DU82" s="149"/>
      <c r="DV82" s="278"/>
      <c r="DW82" s="278"/>
      <c r="DX82" s="150"/>
      <c r="DY82" s="147">
        <v>1</v>
      </c>
      <c r="DZ82" s="148"/>
      <c r="EA82" s="148">
        <v>1</v>
      </c>
      <c r="EB82" s="148">
        <v>2</v>
      </c>
      <c r="EC82" s="149">
        <v>1</v>
      </c>
      <c r="ED82" s="149">
        <v>4</v>
      </c>
      <c r="EE82" s="278">
        <v>8</v>
      </c>
      <c r="EF82" s="278">
        <v>5</v>
      </c>
      <c r="EG82" s="150"/>
      <c r="EH82" s="147">
        <v>21</v>
      </c>
      <c r="EI82" s="148">
        <v>13</v>
      </c>
      <c r="EJ82" s="148">
        <v>11</v>
      </c>
      <c r="EK82" s="148">
        <v>12</v>
      </c>
      <c r="EL82" s="149">
        <v>6</v>
      </c>
      <c r="EM82" s="149">
        <v>2</v>
      </c>
      <c r="EN82" s="278">
        <v>3</v>
      </c>
      <c r="EO82" s="278">
        <v>2</v>
      </c>
      <c r="EP82" s="150"/>
      <c r="EQ82" s="147"/>
      <c r="ER82" s="148"/>
      <c r="ES82" s="148">
        <v>1</v>
      </c>
      <c r="ET82" s="148">
        <v>3</v>
      </c>
      <c r="EU82" s="149"/>
      <c r="EV82" s="149">
        <v>1</v>
      </c>
      <c r="EW82" s="278"/>
      <c r="EX82" s="278"/>
      <c r="EY82" s="150"/>
      <c r="EZ82" s="147">
        <v>1</v>
      </c>
      <c r="FA82" s="148"/>
      <c r="FB82" s="148">
        <v>3</v>
      </c>
      <c r="FC82" s="148"/>
      <c r="FD82" s="149"/>
      <c r="FE82" s="149">
        <v>3</v>
      </c>
      <c r="FF82" s="278"/>
      <c r="FG82" s="278"/>
      <c r="FH82" s="150"/>
      <c r="FI82" s="147">
        <v>5</v>
      </c>
      <c r="FJ82" s="148">
        <v>1</v>
      </c>
      <c r="FK82" s="148">
        <v>2</v>
      </c>
      <c r="FL82" s="148">
        <v>1</v>
      </c>
      <c r="FM82" s="149"/>
      <c r="FN82" s="149"/>
      <c r="FO82" s="278">
        <v>2</v>
      </c>
      <c r="FP82" s="278">
        <v>1</v>
      </c>
      <c r="FQ82" s="150"/>
      <c r="FR82" s="147">
        <v>3</v>
      </c>
      <c r="FS82" s="148">
        <v>1</v>
      </c>
      <c r="FT82" s="148">
        <v>3</v>
      </c>
      <c r="FU82" s="148">
        <v>4</v>
      </c>
      <c r="FV82" s="149">
        <v>1</v>
      </c>
      <c r="FW82" s="149">
        <v>5</v>
      </c>
      <c r="FX82" s="278">
        <v>6</v>
      </c>
      <c r="FY82" s="278"/>
      <c r="FZ82" s="150"/>
      <c r="GA82" s="147">
        <v>1</v>
      </c>
      <c r="GB82" s="148"/>
      <c r="GC82" s="148"/>
      <c r="GD82" s="148"/>
      <c r="GE82" s="149"/>
      <c r="GF82" s="149">
        <v>1</v>
      </c>
      <c r="GG82" s="278">
        <v>1</v>
      </c>
      <c r="GH82" s="278"/>
      <c r="GI82" s="150"/>
      <c r="GJ82" s="147">
        <v>146</v>
      </c>
      <c r="GK82" s="148">
        <v>95</v>
      </c>
      <c r="GL82" s="148">
        <v>93</v>
      </c>
      <c r="GM82" s="148">
        <v>118</v>
      </c>
      <c r="GN82" s="149">
        <v>112</v>
      </c>
      <c r="GO82" s="149">
        <v>159</v>
      </c>
      <c r="GP82" s="278">
        <v>119</v>
      </c>
      <c r="GQ82" s="278">
        <v>79</v>
      </c>
      <c r="GR82" s="150"/>
      <c r="GS82" s="147">
        <v>20</v>
      </c>
      <c r="GT82" s="148">
        <v>15</v>
      </c>
      <c r="GU82" s="148">
        <v>12</v>
      </c>
      <c r="GV82" s="148">
        <v>13</v>
      </c>
      <c r="GW82" s="149">
        <v>41</v>
      </c>
      <c r="GX82" s="149">
        <v>50</v>
      </c>
      <c r="GY82" s="278">
        <v>28</v>
      </c>
      <c r="GZ82" s="278">
        <v>20</v>
      </c>
      <c r="HA82" s="150"/>
      <c r="HB82" s="147">
        <v>1</v>
      </c>
      <c r="HC82" s="148">
        <v>3</v>
      </c>
      <c r="HD82" s="148">
        <v>2</v>
      </c>
      <c r="HE82" s="148">
        <v>2</v>
      </c>
      <c r="HF82" s="149">
        <v>2</v>
      </c>
      <c r="HG82" s="149">
        <v>1</v>
      </c>
      <c r="HH82" s="278">
        <v>1</v>
      </c>
      <c r="HI82" s="278">
        <v>1</v>
      </c>
      <c r="HJ82" s="150"/>
      <c r="HK82" s="147"/>
      <c r="HL82" s="148"/>
      <c r="HM82" s="148"/>
      <c r="HN82" s="148"/>
      <c r="HO82" s="149"/>
      <c r="HP82" s="149"/>
      <c r="HQ82" s="278"/>
      <c r="HR82" s="278"/>
      <c r="HS82" s="150"/>
      <c r="HT82" s="147">
        <v>43</v>
      </c>
      <c r="HU82" s="148">
        <v>56</v>
      </c>
      <c r="HV82" s="148">
        <v>46</v>
      </c>
      <c r="HW82" s="148">
        <v>41</v>
      </c>
      <c r="HX82" s="149">
        <v>69</v>
      </c>
      <c r="HY82" s="149">
        <v>84</v>
      </c>
      <c r="HZ82" s="278">
        <v>50</v>
      </c>
      <c r="IA82" s="278">
        <v>34</v>
      </c>
      <c r="IB82" s="150"/>
      <c r="IC82" s="147">
        <v>508</v>
      </c>
      <c r="ID82" s="148">
        <v>489</v>
      </c>
      <c r="IE82" s="148">
        <v>477</v>
      </c>
      <c r="IF82" s="148">
        <v>338</v>
      </c>
      <c r="IG82" s="149">
        <v>220</v>
      </c>
      <c r="IH82" s="149">
        <v>534</v>
      </c>
      <c r="II82" s="278">
        <v>250</v>
      </c>
      <c r="IJ82" s="278">
        <v>522</v>
      </c>
      <c r="IK82" s="150"/>
    </row>
    <row r="83" spans="1:245" x14ac:dyDescent="0.2">
      <c r="A83" s="961"/>
      <c r="B83" s="151" t="s">
        <v>689</v>
      </c>
      <c r="C83" s="152"/>
      <c r="D83" s="153"/>
      <c r="E83" s="153"/>
      <c r="F83" s="153"/>
      <c r="G83" s="154"/>
      <c r="H83" s="154"/>
      <c r="I83" s="279"/>
      <c r="J83" s="279"/>
      <c r="K83" s="155"/>
      <c r="L83" s="152"/>
      <c r="M83" s="153"/>
      <c r="N83" s="153"/>
      <c r="O83" s="153"/>
      <c r="P83" s="154"/>
      <c r="Q83" s="154"/>
      <c r="R83" s="279"/>
      <c r="S83" s="279"/>
      <c r="T83" s="155"/>
      <c r="U83" s="152"/>
      <c r="V83" s="153"/>
      <c r="W83" s="153"/>
      <c r="X83" s="153"/>
      <c r="Y83" s="154"/>
      <c r="Z83" s="154"/>
      <c r="AA83" s="279"/>
      <c r="AB83" s="279"/>
      <c r="AC83" s="155"/>
      <c r="AD83" s="152">
        <v>249</v>
      </c>
      <c r="AE83" s="153">
        <v>240</v>
      </c>
      <c r="AF83" s="153">
        <v>244</v>
      </c>
      <c r="AG83" s="153">
        <v>213</v>
      </c>
      <c r="AH83" s="154">
        <v>209</v>
      </c>
      <c r="AI83" s="154">
        <v>155</v>
      </c>
      <c r="AJ83" s="279">
        <v>201</v>
      </c>
      <c r="AK83" s="279">
        <v>224</v>
      </c>
      <c r="AL83" s="155"/>
      <c r="AM83" s="152">
        <v>156</v>
      </c>
      <c r="AN83" s="153">
        <v>135</v>
      </c>
      <c r="AO83" s="153">
        <v>163</v>
      </c>
      <c r="AP83" s="153">
        <v>120</v>
      </c>
      <c r="AQ83" s="154">
        <v>137</v>
      </c>
      <c r="AR83" s="154">
        <v>103</v>
      </c>
      <c r="AS83" s="279">
        <v>120</v>
      </c>
      <c r="AT83" s="279">
        <v>128</v>
      </c>
      <c r="AU83" s="155"/>
      <c r="AV83" s="152"/>
      <c r="AW83" s="153"/>
      <c r="AX83" s="153"/>
      <c r="AY83" s="153"/>
      <c r="AZ83" s="154"/>
      <c r="BA83" s="154"/>
      <c r="BB83" s="279"/>
      <c r="BC83" s="279"/>
      <c r="BD83" s="155"/>
      <c r="BE83" s="152">
        <v>47</v>
      </c>
      <c r="BF83" s="153">
        <v>44</v>
      </c>
      <c r="BG83" s="153">
        <v>27</v>
      </c>
      <c r="BH83" s="153">
        <v>27</v>
      </c>
      <c r="BI83" s="154">
        <v>12</v>
      </c>
      <c r="BJ83" s="154">
        <v>10</v>
      </c>
      <c r="BK83" s="279">
        <v>23</v>
      </c>
      <c r="BL83" s="279">
        <v>23</v>
      </c>
      <c r="BM83" s="155"/>
      <c r="BN83" s="152"/>
      <c r="BO83" s="153"/>
      <c r="BP83" s="153"/>
      <c r="BQ83" s="153"/>
      <c r="BR83" s="154"/>
      <c r="BS83" s="154"/>
      <c r="BT83" s="279"/>
      <c r="BU83" s="279"/>
      <c r="BV83" s="155"/>
      <c r="BW83" s="152">
        <v>132</v>
      </c>
      <c r="BX83" s="153">
        <v>130</v>
      </c>
      <c r="BY83" s="153">
        <v>123</v>
      </c>
      <c r="BZ83" s="153">
        <v>119</v>
      </c>
      <c r="CA83" s="154">
        <v>82</v>
      </c>
      <c r="CB83" s="154">
        <v>109</v>
      </c>
      <c r="CC83" s="279">
        <v>135</v>
      </c>
      <c r="CD83" s="279">
        <v>133</v>
      </c>
      <c r="CE83" s="155"/>
      <c r="CF83" s="152">
        <v>18</v>
      </c>
      <c r="CG83" s="153">
        <v>18</v>
      </c>
      <c r="CH83" s="153">
        <v>15</v>
      </c>
      <c r="CI83" s="153">
        <v>14</v>
      </c>
      <c r="CJ83" s="154">
        <v>4</v>
      </c>
      <c r="CK83" s="154">
        <v>10</v>
      </c>
      <c r="CL83" s="279">
        <v>9</v>
      </c>
      <c r="CM83" s="279">
        <v>13</v>
      </c>
      <c r="CN83" s="155"/>
      <c r="CO83" s="152">
        <v>12</v>
      </c>
      <c r="CP83" s="153">
        <v>9</v>
      </c>
      <c r="CQ83" s="153">
        <v>6</v>
      </c>
      <c r="CR83" s="153">
        <v>14</v>
      </c>
      <c r="CS83" s="154">
        <v>10</v>
      </c>
      <c r="CT83" s="154">
        <v>14</v>
      </c>
      <c r="CU83" s="279">
        <v>6</v>
      </c>
      <c r="CV83" s="279">
        <v>6</v>
      </c>
      <c r="CW83" s="155"/>
      <c r="CX83" s="152">
        <v>3717</v>
      </c>
      <c r="CY83" s="153">
        <v>3439</v>
      </c>
      <c r="CZ83" s="153">
        <v>3510</v>
      </c>
      <c r="DA83" s="153">
        <v>3024</v>
      </c>
      <c r="DB83" s="154">
        <v>3289</v>
      </c>
      <c r="DC83" s="154">
        <v>2163</v>
      </c>
      <c r="DD83" s="279">
        <v>1849</v>
      </c>
      <c r="DE83" s="279">
        <v>1425</v>
      </c>
      <c r="DF83" s="155"/>
      <c r="DG83" s="152">
        <v>54</v>
      </c>
      <c r="DH83" s="153">
        <v>28</v>
      </c>
      <c r="DI83" s="153">
        <v>49</v>
      </c>
      <c r="DJ83" s="153">
        <v>44</v>
      </c>
      <c r="DK83" s="154">
        <v>38</v>
      </c>
      <c r="DL83" s="154">
        <v>16</v>
      </c>
      <c r="DM83" s="279">
        <v>9</v>
      </c>
      <c r="DN83" s="279">
        <v>14</v>
      </c>
      <c r="DO83" s="155"/>
      <c r="DP83" s="152">
        <v>229</v>
      </c>
      <c r="DQ83" s="153">
        <v>214</v>
      </c>
      <c r="DR83" s="153">
        <v>223</v>
      </c>
      <c r="DS83" s="153">
        <v>167</v>
      </c>
      <c r="DT83" s="154">
        <v>249</v>
      </c>
      <c r="DU83" s="154">
        <v>111</v>
      </c>
      <c r="DV83" s="279">
        <v>92</v>
      </c>
      <c r="DW83" s="279">
        <v>63</v>
      </c>
      <c r="DX83" s="155"/>
      <c r="DY83" s="152">
        <v>313</v>
      </c>
      <c r="DZ83" s="153">
        <v>251</v>
      </c>
      <c r="EA83" s="153">
        <v>282</v>
      </c>
      <c r="EB83" s="153">
        <v>286</v>
      </c>
      <c r="EC83" s="154">
        <v>346</v>
      </c>
      <c r="ED83" s="154">
        <v>257</v>
      </c>
      <c r="EE83" s="279">
        <v>224</v>
      </c>
      <c r="EF83" s="279">
        <v>187</v>
      </c>
      <c r="EG83" s="155"/>
      <c r="EH83" s="152">
        <v>31</v>
      </c>
      <c r="EI83" s="153">
        <v>31</v>
      </c>
      <c r="EJ83" s="153">
        <v>41</v>
      </c>
      <c r="EK83" s="153">
        <v>30</v>
      </c>
      <c r="EL83" s="154">
        <v>33</v>
      </c>
      <c r="EM83" s="154">
        <v>32</v>
      </c>
      <c r="EN83" s="279">
        <v>10</v>
      </c>
      <c r="EO83" s="279">
        <v>14</v>
      </c>
      <c r="EP83" s="155"/>
      <c r="EQ83" s="152">
        <v>9</v>
      </c>
      <c r="ER83" s="153">
        <v>10</v>
      </c>
      <c r="ES83" s="153">
        <v>8</v>
      </c>
      <c r="ET83" s="153">
        <v>15</v>
      </c>
      <c r="EU83" s="154">
        <v>15</v>
      </c>
      <c r="EV83" s="154">
        <v>14</v>
      </c>
      <c r="EW83" s="279">
        <v>20</v>
      </c>
      <c r="EX83" s="279">
        <v>11</v>
      </c>
      <c r="EY83" s="155"/>
      <c r="EZ83" s="152">
        <v>9</v>
      </c>
      <c r="FA83" s="153">
        <v>11</v>
      </c>
      <c r="FB83" s="153">
        <v>5</v>
      </c>
      <c r="FC83" s="153">
        <v>7</v>
      </c>
      <c r="FD83" s="154">
        <v>3</v>
      </c>
      <c r="FE83" s="154">
        <v>5</v>
      </c>
      <c r="FF83" s="279">
        <v>2</v>
      </c>
      <c r="FG83" s="279">
        <v>6</v>
      </c>
      <c r="FH83" s="155"/>
      <c r="FI83" s="152">
        <v>323</v>
      </c>
      <c r="FJ83" s="153">
        <v>381</v>
      </c>
      <c r="FK83" s="153">
        <v>251</v>
      </c>
      <c r="FL83" s="153">
        <v>187</v>
      </c>
      <c r="FM83" s="154">
        <v>225</v>
      </c>
      <c r="FN83" s="154">
        <v>185</v>
      </c>
      <c r="FO83" s="279">
        <v>134</v>
      </c>
      <c r="FP83" s="279">
        <v>159</v>
      </c>
      <c r="FQ83" s="155"/>
      <c r="FR83" s="152">
        <v>31</v>
      </c>
      <c r="FS83" s="153">
        <v>20</v>
      </c>
      <c r="FT83" s="153">
        <v>18</v>
      </c>
      <c r="FU83" s="153">
        <v>18</v>
      </c>
      <c r="FV83" s="154">
        <v>36</v>
      </c>
      <c r="FW83" s="154">
        <v>11</v>
      </c>
      <c r="FX83" s="279">
        <v>5</v>
      </c>
      <c r="FY83" s="279">
        <v>3</v>
      </c>
      <c r="FZ83" s="155"/>
      <c r="GA83" s="152">
        <v>42</v>
      </c>
      <c r="GB83" s="153">
        <v>28</v>
      </c>
      <c r="GC83" s="153">
        <v>29</v>
      </c>
      <c r="GD83" s="153">
        <v>20</v>
      </c>
      <c r="GE83" s="154">
        <v>47</v>
      </c>
      <c r="GF83" s="154">
        <v>24</v>
      </c>
      <c r="GG83" s="279">
        <v>30</v>
      </c>
      <c r="GH83" s="279">
        <v>29</v>
      </c>
      <c r="GI83" s="155"/>
      <c r="GJ83" s="152">
        <v>4620</v>
      </c>
      <c r="GK83" s="153">
        <v>4361</v>
      </c>
      <c r="GL83" s="153">
        <v>4277</v>
      </c>
      <c r="GM83" s="153">
        <v>3688</v>
      </c>
      <c r="GN83" s="154">
        <v>3965</v>
      </c>
      <c r="GO83" s="154">
        <v>2732</v>
      </c>
      <c r="GP83" s="279">
        <v>2424</v>
      </c>
      <c r="GQ83" s="279">
        <v>2046</v>
      </c>
      <c r="GR83" s="155"/>
      <c r="GS83" s="152">
        <v>1600</v>
      </c>
      <c r="GT83" s="153">
        <v>1590</v>
      </c>
      <c r="GU83" s="153">
        <v>1516</v>
      </c>
      <c r="GV83" s="153">
        <v>1188</v>
      </c>
      <c r="GW83" s="154">
        <v>937</v>
      </c>
      <c r="GX83" s="154">
        <v>568</v>
      </c>
      <c r="GY83" s="279">
        <v>375</v>
      </c>
      <c r="GZ83" s="279">
        <v>284</v>
      </c>
      <c r="HA83" s="155"/>
      <c r="HB83" s="152">
        <v>19</v>
      </c>
      <c r="HC83" s="153">
        <v>11</v>
      </c>
      <c r="HD83" s="153">
        <v>16</v>
      </c>
      <c r="HE83" s="153">
        <v>20</v>
      </c>
      <c r="HF83" s="154">
        <v>12</v>
      </c>
      <c r="HG83" s="154">
        <v>6</v>
      </c>
      <c r="HH83" s="279">
        <v>13</v>
      </c>
      <c r="HI83" s="279">
        <v>16</v>
      </c>
      <c r="HJ83" s="155"/>
      <c r="HK83" s="152">
        <v>25</v>
      </c>
      <c r="HL83" s="153">
        <v>29</v>
      </c>
      <c r="HM83" s="153">
        <v>14</v>
      </c>
      <c r="HN83" s="153">
        <v>12</v>
      </c>
      <c r="HO83" s="154">
        <v>14</v>
      </c>
      <c r="HP83" s="154">
        <v>9</v>
      </c>
      <c r="HQ83" s="279">
        <v>10</v>
      </c>
      <c r="HR83" s="279">
        <v>6</v>
      </c>
      <c r="HS83" s="155"/>
      <c r="HT83" s="152">
        <v>2151</v>
      </c>
      <c r="HU83" s="153">
        <v>2011</v>
      </c>
      <c r="HV83" s="153">
        <v>1941</v>
      </c>
      <c r="HW83" s="153">
        <v>1671</v>
      </c>
      <c r="HX83" s="154">
        <v>1438</v>
      </c>
      <c r="HY83" s="154">
        <v>958</v>
      </c>
      <c r="HZ83" s="279">
        <v>861</v>
      </c>
      <c r="IA83" s="279">
        <v>744</v>
      </c>
      <c r="IB83" s="155"/>
      <c r="IC83" s="152">
        <v>8942</v>
      </c>
      <c r="ID83" s="153">
        <v>10974</v>
      </c>
      <c r="IE83" s="153">
        <v>9489</v>
      </c>
      <c r="IF83" s="153">
        <v>6372</v>
      </c>
      <c r="IG83" s="154">
        <v>6110</v>
      </c>
      <c r="IH83" s="154">
        <v>5159</v>
      </c>
      <c r="II83" s="279">
        <v>4984</v>
      </c>
      <c r="IJ83" s="279">
        <v>3661</v>
      </c>
      <c r="IK83" s="155"/>
    </row>
    <row r="84" spans="1:245" x14ac:dyDescent="0.2">
      <c r="A84" s="961"/>
      <c r="B84" s="151" t="s">
        <v>690</v>
      </c>
      <c r="C84" s="152"/>
      <c r="D84" s="153"/>
      <c r="E84" s="153"/>
      <c r="F84" s="153"/>
      <c r="G84" s="154"/>
      <c r="H84" s="154"/>
      <c r="I84" s="279"/>
      <c r="J84" s="279"/>
      <c r="K84" s="155"/>
      <c r="L84" s="152"/>
      <c r="M84" s="153"/>
      <c r="N84" s="153"/>
      <c r="O84" s="153"/>
      <c r="P84" s="154"/>
      <c r="Q84" s="154"/>
      <c r="R84" s="279"/>
      <c r="S84" s="279"/>
      <c r="T84" s="155"/>
      <c r="U84" s="152"/>
      <c r="V84" s="153"/>
      <c r="W84" s="153"/>
      <c r="X84" s="153"/>
      <c r="Y84" s="154"/>
      <c r="Z84" s="154"/>
      <c r="AA84" s="279"/>
      <c r="AB84" s="279"/>
      <c r="AC84" s="155"/>
      <c r="AD84" s="152">
        <v>31</v>
      </c>
      <c r="AE84" s="153">
        <v>38</v>
      </c>
      <c r="AF84" s="153">
        <v>41</v>
      </c>
      <c r="AG84" s="153">
        <v>33</v>
      </c>
      <c r="AH84" s="154">
        <v>42</v>
      </c>
      <c r="AI84" s="154">
        <v>48</v>
      </c>
      <c r="AJ84" s="279">
        <v>32</v>
      </c>
      <c r="AK84" s="279">
        <v>28</v>
      </c>
      <c r="AL84" s="155"/>
      <c r="AM84" s="152">
        <v>15</v>
      </c>
      <c r="AN84" s="153">
        <v>22</v>
      </c>
      <c r="AO84" s="153">
        <v>20</v>
      </c>
      <c r="AP84" s="153">
        <v>20</v>
      </c>
      <c r="AQ84" s="154">
        <v>14</v>
      </c>
      <c r="AR84" s="154">
        <v>21</v>
      </c>
      <c r="AS84" s="279">
        <v>12</v>
      </c>
      <c r="AT84" s="279">
        <v>10</v>
      </c>
      <c r="AU84" s="155"/>
      <c r="AV84" s="152"/>
      <c r="AW84" s="153"/>
      <c r="AX84" s="153"/>
      <c r="AY84" s="153"/>
      <c r="AZ84" s="154"/>
      <c r="BA84" s="154"/>
      <c r="BB84" s="279"/>
      <c r="BC84" s="279"/>
      <c r="BD84" s="155"/>
      <c r="BE84" s="152">
        <v>4</v>
      </c>
      <c r="BF84" s="153">
        <v>5</v>
      </c>
      <c r="BG84" s="153">
        <v>2</v>
      </c>
      <c r="BH84" s="153"/>
      <c r="BI84" s="154">
        <v>1</v>
      </c>
      <c r="BJ84" s="154">
        <v>4</v>
      </c>
      <c r="BK84" s="279">
        <v>5</v>
      </c>
      <c r="BL84" s="279">
        <v>9</v>
      </c>
      <c r="BM84" s="155"/>
      <c r="BN84" s="152"/>
      <c r="BO84" s="153"/>
      <c r="BP84" s="153"/>
      <c r="BQ84" s="153"/>
      <c r="BR84" s="154"/>
      <c r="BS84" s="154"/>
      <c r="BT84" s="279"/>
      <c r="BU84" s="279"/>
      <c r="BV84" s="155"/>
      <c r="BW84" s="152">
        <v>29</v>
      </c>
      <c r="BX84" s="153">
        <v>41</v>
      </c>
      <c r="BY84" s="153">
        <v>53</v>
      </c>
      <c r="BZ84" s="153">
        <v>25</v>
      </c>
      <c r="CA84" s="154">
        <v>39</v>
      </c>
      <c r="CB84" s="154">
        <v>23</v>
      </c>
      <c r="CC84" s="279">
        <v>25</v>
      </c>
      <c r="CD84" s="279">
        <v>25</v>
      </c>
      <c r="CE84" s="155"/>
      <c r="CF84" s="152">
        <v>1</v>
      </c>
      <c r="CG84" s="153">
        <v>1</v>
      </c>
      <c r="CH84" s="153">
        <v>1</v>
      </c>
      <c r="CI84" s="153">
        <v>1</v>
      </c>
      <c r="CJ84" s="154">
        <v>3</v>
      </c>
      <c r="CK84" s="154">
        <v>1</v>
      </c>
      <c r="CL84" s="279"/>
      <c r="CM84" s="279"/>
      <c r="CN84" s="155"/>
      <c r="CO84" s="152">
        <v>1</v>
      </c>
      <c r="CP84" s="153"/>
      <c r="CQ84" s="153">
        <v>2</v>
      </c>
      <c r="CR84" s="153">
        <v>5</v>
      </c>
      <c r="CS84" s="154">
        <v>1</v>
      </c>
      <c r="CT84" s="154">
        <v>1</v>
      </c>
      <c r="CU84" s="279"/>
      <c r="CV84" s="279">
        <v>1</v>
      </c>
      <c r="CW84" s="155"/>
      <c r="CX84" s="152">
        <v>177</v>
      </c>
      <c r="CY84" s="153">
        <v>200</v>
      </c>
      <c r="CZ84" s="153">
        <v>195</v>
      </c>
      <c r="DA84" s="153">
        <v>144</v>
      </c>
      <c r="DB84" s="154">
        <v>182</v>
      </c>
      <c r="DC84" s="154">
        <v>203</v>
      </c>
      <c r="DD84" s="279">
        <v>134</v>
      </c>
      <c r="DE84" s="279">
        <v>87</v>
      </c>
      <c r="DF84" s="155"/>
      <c r="DG84" s="152"/>
      <c r="DH84" s="153">
        <v>1</v>
      </c>
      <c r="DI84" s="153">
        <v>1</v>
      </c>
      <c r="DJ84" s="153"/>
      <c r="DK84" s="154"/>
      <c r="DL84" s="154"/>
      <c r="DM84" s="279"/>
      <c r="DN84" s="279"/>
      <c r="DO84" s="155"/>
      <c r="DP84" s="152">
        <v>3</v>
      </c>
      <c r="DQ84" s="153">
        <v>11</v>
      </c>
      <c r="DR84" s="153">
        <v>5</v>
      </c>
      <c r="DS84" s="153">
        <v>6</v>
      </c>
      <c r="DT84" s="154">
        <v>4</v>
      </c>
      <c r="DU84" s="154">
        <v>15</v>
      </c>
      <c r="DV84" s="279">
        <v>2</v>
      </c>
      <c r="DW84" s="279">
        <v>4</v>
      </c>
      <c r="DX84" s="155"/>
      <c r="DY84" s="152">
        <v>29</v>
      </c>
      <c r="DZ84" s="153">
        <v>40</v>
      </c>
      <c r="EA84" s="153">
        <v>24</v>
      </c>
      <c r="EB84" s="153">
        <v>28</v>
      </c>
      <c r="EC84" s="154">
        <v>14</v>
      </c>
      <c r="ED84" s="154">
        <v>28</v>
      </c>
      <c r="EE84" s="279">
        <v>24</v>
      </c>
      <c r="EF84" s="279">
        <v>17</v>
      </c>
      <c r="EG84" s="155"/>
      <c r="EH84" s="152"/>
      <c r="EI84" s="153"/>
      <c r="EJ84" s="153">
        <v>3</v>
      </c>
      <c r="EK84" s="153"/>
      <c r="EL84" s="154">
        <v>5</v>
      </c>
      <c r="EM84" s="154">
        <v>2</v>
      </c>
      <c r="EN84" s="279"/>
      <c r="EO84" s="279">
        <v>1</v>
      </c>
      <c r="EP84" s="155"/>
      <c r="EQ84" s="152"/>
      <c r="ER84" s="153"/>
      <c r="ES84" s="153"/>
      <c r="ET84" s="153"/>
      <c r="EU84" s="154"/>
      <c r="EV84" s="154"/>
      <c r="EW84" s="279"/>
      <c r="EX84" s="279"/>
      <c r="EY84" s="155"/>
      <c r="EZ84" s="152"/>
      <c r="FA84" s="153">
        <v>3</v>
      </c>
      <c r="FB84" s="153">
        <v>1</v>
      </c>
      <c r="FC84" s="153"/>
      <c r="FD84" s="154"/>
      <c r="FE84" s="154">
        <v>1</v>
      </c>
      <c r="FF84" s="279"/>
      <c r="FG84" s="279">
        <v>1</v>
      </c>
      <c r="FH84" s="155"/>
      <c r="FI84" s="152">
        <v>13</v>
      </c>
      <c r="FJ84" s="153">
        <v>19</v>
      </c>
      <c r="FK84" s="153">
        <v>25</v>
      </c>
      <c r="FL84" s="153">
        <v>15</v>
      </c>
      <c r="FM84" s="154">
        <v>8</v>
      </c>
      <c r="FN84" s="154">
        <v>6</v>
      </c>
      <c r="FO84" s="279">
        <v>7</v>
      </c>
      <c r="FP84" s="279">
        <v>9</v>
      </c>
      <c r="FQ84" s="155"/>
      <c r="FR84" s="152">
        <v>1</v>
      </c>
      <c r="FS84" s="153">
        <v>4</v>
      </c>
      <c r="FT84" s="153"/>
      <c r="FU84" s="153">
        <v>1</v>
      </c>
      <c r="FV84" s="154">
        <v>4</v>
      </c>
      <c r="FW84" s="154">
        <v>3</v>
      </c>
      <c r="FX84" s="279">
        <v>3</v>
      </c>
      <c r="FY84" s="279"/>
      <c r="FZ84" s="155"/>
      <c r="GA84" s="152">
        <v>3</v>
      </c>
      <c r="GB84" s="153">
        <v>3</v>
      </c>
      <c r="GC84" s="153">
        <v>2</v>
      </c>
      <c r="GD84" s="153">
        <v>2</v>
      </c>
      <c r="GE84" s="154"/>
      <c r="GF84" s="154">
        <v>3</v>
      </c>
      <c r="GG84" s="279">
        <v>3</v>
      </c>
      <c r="GH84" s="279">
        <v>1</v>
      </c>
      <c r="GI84" s="155"/>
      <c r="GJ84" s="152">
        <v>260</v>
      </c>
      <c r="GK84" s="153">
        <v>314</v>
      </c>
      <c r="GL84" s="153">
        <v>325</v>
      </c>
      <c r="GM84" s="153">
        <v>226</v>
      </c>
      <c r="GN84" s="154">
        <v>285</v>
      </c>
      <c r="GO84" s="154">
        <v>295</v>
      </c>
      <c r="GP84" s="279">
        <v>209</v>
      </c>
      <c r="GQ84" s="279">
        <v>162</v>
      </c>
      <c r="GR84" s="155"/>
      <c r="GS84" s="152">
        <v>103</v>
      </c>
      <c r="GT84" s="153">
        <v>119</v>
      </c>
      <c r="GU84" s="153">
        <v>119</v>
      </c>
      <c r="GV84" s="153">
        <v>62</v>
      </c>
      <c r="GW84" s="154">
        <v>66</v>
      </c>
      <c r="GX84" s="154">
        <v>48</v>
      </c>
      <c r="GY84" s="279">
        <v>42</v>
      </c>
      <c r="GZ84" s="279">
        <v>38</v>
      </c>
      <c r="HA84" s="155"/>
      <c r="HB84" s="152">
        <v>1</v>
      </c>
      <c r="HC84" s="153">
        <v>2</v>
      </c>
      <c r="HD84" s="153"/>
      <c r="HE84" s="153">
        <v>1</v>
      </c>
      <c r="HF84" s="154"/>
      <c r="HG84" s="154">
        <v>3</v>
      </c>
      <c r="HH84" s="279">
        <v>1</v>
      </c>
      <c r="HI84" s="279">
        <v>1</v>
      </c>
      <c r="HJ84" s="155"/>
      <c r="HK84" s="152"/>
      <c r="HL84" s="153"/>
      <c r="HM84" s="153">
        <v>2</v>
      </c>
      <c r="HN84" s="153">
        <v>1</v>
      </c>
      <c r="HO84" s="154">
        <v>2</v>
      </c>
      <c r="HP84" s="154">
        <v>1</v>
      </c>
      <c r="HQ84" s="279">
        <v>1</v>
      </c>
      <c r="HR84" s="279"/>
      <c r="HS84" s="155"/>
      <c r="HT84" s="152">
        <v>183</v>
      </c>
      <c r="HU84" s="153">
        <v>197</v>
      </c>
      <c r="HV84" s="153">
        <v>189</v>
      </c>
      <c r="HW84" s="153">
        <v>124</v>
      </c>
      <c r="HX84" s="154">
        <v>135</v>
      </c>
      <c r="HY84" s="154">
        <v>115</v>
      </c>
      <c r="HZ84" s="279">
        <v>97</v>
      </c>
      <c r="IA84" s="279">
        <v>101</v>
      </c>
      <c r="IB84" s="155"/>
      <c r="IC84" s="152">
        <v>572</v>
      </c>
      <c r="ID84" s="153">
        <v>641</v>
      </c>
      <c r="IE84" s="153">
        <v>628</v>
      </c>
      <c r="IF84" s="153">
        <v>407</v>
      </c>
      <c r="IG84" s="154">
        <v>490</v>
      </c>
      <c r="IH84" s="154">
        <v>548</v>
      </c>
      <c r="II84" s="279">
        <v>378</v>
      </c>
      <c r="IJ84" s="279">
        <v>341</v>
      </c>
      <c r="IK84" s="155"/>
    </row>
    <row r="85" spans="1:245" x14ac:dyDescent="0.2">
      <c r="A85" s="961"/>
      <c r="B85" s="151" t="s">
        <v>691</v>
      </c>
      <c r="C85" s="152"/>
      <c r="D85" s="153"/>
      <c r="E85" s="153"/>
      <c r="F85" s="153"/>
      <c r="G85" s="154"/>
      <c r="H85" s="154"/>
      <c r="I85" s="279"/>
      <c r="J85" s="279"/>
      <c r="K85" s="155"/>
      <c r="L85" s="152"/>
      <c r="M85" s="153"/>
      <c r="N85" s="153"/>
      <c r="O85" s="153"/>
      <c r="P85" s="154"/>
      <c r="Q85" s="154"/>
      <c r="R85" s="279"/>
      <c r="S85" s="279"/>
      <c r="T85" s="155"/>
      <c r="U85" s="152"/>
      <c r="V85" s="153"/>
      <c r="W85" s="153"/>
      <c r="X85" s="153"/>
      <c r="Y85" s="154"/>
      <c r="Z85" s="154"/>
      <c r="AA85" s="279"/>
      <c r="AB85" s="279"/>
      <c r="AC85" s="155"/>
      <c r="AD85" s="152">
        <v>19</v>
      </c>
      <c r="AE85" s="153">
        <v>24</v>
      </c>
      <c r="AF85" s="153">
        <v>29</v>
      </c>
      <c r="AG85" s="153">
        <v>17</v>
      </c>
      <c r="AH85" s="154">
        <v>15</v>
      </c>
      <c r="AI85" s="154">
        <v>19</v>
      </c>
      <c r="AJ85" s="279">
        <v>21</v>
      </c>
      <c r="AK85" s="279">
        <v>30</v>
      </c>
      <c r="AL85" s="155"/>
      <c r="AM85" s="152">
        <v>11</v>
      </c>
      <c r="AN85" s="153">
        <v>15</v>
      </c>
      <c r="AO85" s="153">
        <v>15</v>
      </c>
      <c r="AP85" s="153">
        <v>9</v>
      </c>
      <c r="AQ85" s="154">
        <v>10</v>
      </c>
      <c r="AR85" s="154">
        <v>16</v>
      </c>
      <c r="AS85" s="279">
        <v>12</v>
      </c>
      <c r="AT85" s="279">
        <v>13</v>
      </c>
      <c r="AU85" s="155"/>
      <c r="AV85" s="152"/>
      <c r="AW85" s="153"/>
      <c r="AX85" s="153"/>
      <c r="AY85" s="153"/>
      <c r="AZ85" s="154"/>
      <c r="BA85" s="154"/>
      <c r="BB85" s="279"/>
      <c r="BC85" s="279"/>
      <c r="BD85" s="155"/>
      <c r="BE85" s="152"/>
      <c r="BF85" s="153">
        <v>1</v>
      </c>
      <c r="BG85" s="153">
        <v>2</v>
      </c>
      <c r="BH85" s="153">
        <v>5</v>
      </c>
      <c r="BI85" s="154">
        <v>1</v>
      </c>
      <c r="BJ85" s="154">
        <v>1</v>
      </c>
      <c r="BK85" s="279">
        <v>12</v>
      </c>
      <c r="BL85" s="279"/>
      <c r="BM85" s="155"/>
      <c r="BN85" s="152"/>
      <c r="BO85" s="153"/>
      <c r="BP85" s="153"/>
      <c r="BQ85" s="153"/>
      <c r="BR85" s="154"/>
      <c r="BS85" s="154"/>
      <c r="BT85" s="279"/>
      <c r="BU85" s="279"/>
      <c r="BV85" s="155"/>
      <c r="BW85" s="152">
        <v>41</v>
      </c>
      <c r="BX85" s="153">
        <v>41</v>
      </c>
      <c r="BY85" s="153">
        <v>50</v>
      </c>
      <c r="BZ85" s="153">
        <v>36</v>
      </c>
      <c r="CA85" s="154">
        <v>25</v>
      </c>
      <c r="CB85" s="154">
        <v>12</v>
      </c>
      <c r="CC85" s="279">
        <v>18</v>
      </c>
      <c r="CD85" s="279">
        <v>20</v>
      </c>
      <c r="CE85" s="155"/>
      <c r="CF85" s="152">
        <v>4</v>
      </c>
      <c r="CG85" s="153">
        <v>2</v>
      </c>
      <c r="CH85" s="153">
        <v>1</v>
      </c>
      <c r="CI85" s="153">
        <v>1</v>
      </c>
      <c r="CJ85" s="154">
        <v>1</v>
      </c>
      <c r="CK85" s="154"/>
      <c r="CL85" s="279">
        <v>1</v>
      </c>
      <c r="CM85" s="279">
        <v>1</v>
      </c>
      <c r="CN85" s="155"/>
      <c r="CO85" s="152"/>
      <c r="CP85" s="153">
        <v>2</v>
      </c>
      <c r="CQ85" s="153"/>
      <c r="CR85" s="153">
        <v>1</v>
      </c>
      <c r="CS85" s="154">
        <v>5</v>
      </c>
      <c r="CT85" s="154">
        <v>2</v>
      </c>
      <c r="CU85" s="279">
        <v>1</v>
      </c>
      <c r="CV85" s="279"/>
      <c r="CW85" s="155"/>
      <c r="CX85" s="152">
        <v>86</v>
      </c>
      <c r="CY85" s="153">
        <v>85</v>
      </c>
      <c r="CZ85" s="153">
        <v>101</v>
      </c>
      <c r="DA85" s="153">
        <v>92</v>
      </c>
      <c r="DB85" s="154">
        <v>76</v>
      </c>
      <c r="DC85" s="154">
        <v>63</v>
      </c>
      <c r="DD85" s="279">
        <v>55</v>
      </c>
      <c r="DE85" s="279">
        <v>36</v>
      </c>
      <c r="DF85" s="155"/>
      <c r="DG85" s="152"/>
      <c r="DH85" s="153">
        <v>9</v>
      </c>
      <c r="DI85" s="153"/>
      <c r="DJ85" s="153">
        <v>1</v>
      </c>
      <c r="DK85" s="154"/>
      <c r="DL85" s="154">
        <v>3</v>
      </c>
      <c r="DM85" s="279"/>
      <c r="DN85" s="279"/>
      <c r="DO85" s="155"/>
      <c r="DP85" s="152">
        <v>3</v>
      </c>
      <c r="DQ85" s="153">
        <v>6</v>
      </c>
      <c r="DR85" s="153">
        <v>6</v>
      </c>
      <c r="DS85" s="153">
        <v>5</v>
      </c>
      <c r="DT85" s="154">
        <v>3</v>
      </c>
      <c r="DU85" s="154">
        <v>4</v>
      </c>
      <c r="DV85" s="279">
        <v>1</v>
      </c>
      <c r="DW85" s="279">
        <v>2</v>
      </c>
      <c r="DX85" s="155"/>
      <c r="DY85" s="152">
        <v>10</v>
      </c>
      <c r="DZ85" s="153">
        <v>9</v>
      </c>
      <c r="EA85" s="153">
        <v>8</v>
      </c>
      <c r="EB85" s="153">
        <v>13</v>
      </c>
      <c r="EC85" s="154">
        <v>9</v>
      </c>
      <c r="ED85" s="154">
        <v>8</v>
      </c>
      <c r="EE85" s="279">
        <v>9</v>
      </c>
      <c r="EF85" s="279">
        <v>2</v>
      </c>
      <c r="EG85" s="155"/>
      <c r="EH85" s="152">
        <v>2</v>
      </c>
      <c r="EI85" s="153">
        <v>2</v>
      </c>
      <c r="EJ85" s="153">
        <v>1</v>
      </c>
      <c r="EK85" s="153"/>
      <c r="EL85" s="154">
        <v>1</v>
      </c>
      <c r="EM85" s="154">
        <v>1</v>
      </c>
      <c r="EN85" s="279"/>
      <c r="EO85" s="279">
        <v>1</v>
      </c>
      <c r="EP85" s="155"/>
      <c r="EQ85" s="152"/>
      <c r="ER85" s="153"/>
      <c r="ES85" s="153"/>
      <c r="ET85" s="153"/>
      <c r="EU85" s="154"/>
      <c r="EV85" s="154">
        <v>1</v>
      </c>
      <c r="EW85" s="279">
        <v>4</v>
      </c>
      <c r="EX85" s="279">
        <v>1</v>
      </c>
      <c r="EY85" s="155"/>
      <c r="EZ85" s="152"/>
      <c r="FA85" s="153"/>
      <c r="FB85" s="153">
        <v>1</v>
      </c>
      <c r="FC85" s="153">
        <v>1</v>
      </c>
      <c r="FD85" s="154"/>
      <c r="FE85" s="154"/>
      <c r="FF85" s="279"/>
      <c r="FG85" s="279"/>
      <c r="FH85" s="155"/>
      <c r="FI85" s="152">
        <v>8</v>
      </c>
      <c r="FJ85" s="153">
        <v>7</v>
      </c>
      <c r="FK85" s="153">
        <v>11</v>
      </c>
      <c r="FL85" s="153">
        <v>5</v>
      </c>
      <c r="FM85" s="154">
        <v>2</v>
      </c>
      <c r="FN85" s="154">
        <v>8</v>
      </c>
      <c r="FO85" s="279">
        <v>7</v>
      </c>
      <c r="FP85" s="279">
        <v>7</v>
      </c>
      <c r="FQ85" s="155"/>
      <c r="FR85" s="152">
        <v>2</v>
      </c>
      <c r="FS85" s="153">
        <v>5</v>
      </c>
      <c r="FT85" s="153">
        <v>1</v>
      </c>
      <c r="FU85" s="153">
        <v>3</v>
      </c>
      <c r="FV85" s="154">
        <v>1</v>
      </c>
      <c r="FW85" s="154"/>
      <c r="FX85" s="279">
        <v>1</v>
      </c>
      <c r="FY85" s="279"/>
      <c r="FZ85" s="155"/>
      <c r="GA85" s="152">
        <v>1</v>
      </c>
      <c r="GB85" s="153">
        <v>2</v>
      </c>
      <c r="GC85" s="153">
        <v>2</v>
      </c>
      <c r="GD85" s="153">
        <v>2</v>
      </c>
      <c r="GE85" s="154"/>
      <c r="GF85" s="154">
        <v>3</v>
      </c>
      <c r="GG85" s="279">
        <v>2</v>
      </c>
      <c r="GH85" s="279">
        <v>3</v>
      </c>
      <c r="GI85" s="155"/>
      <c r="GJ85" s="152">
        <v>163</v>
      </c>
      <c r="GK85" s="153">
        <v>171</v>
      </c>
      <c r="GL85" s="153">
        <v>199</v>
      </c>
      <c r="GM85" s="153">
        <v>163</v>
      </c>
      <c r="GN85" s="154">
        <v>127</v>
      </c>
      <c r="GO85" s="154">
        <v>110</v>
      </c>
      <c r="GP85" s="279">
        <v>122</v>
      </c>
      <c r="GQ85" s="279">
        <v>99</v>
      </c>
      <c r="GR85" s="155"/>
      <c r="GS85" s="152">
        <v>71</v>
      </c>
      <c r="GT85" s="153">
        <v>75</v>
      </c>
      <c r="GU85" s="153">
        <v>88</v>
      </c>
      <c r="GV85" s="153">
        <v>44</v>
      </c>
      <c r="GW85" s="154">
        <v>20</v>
      </c>
      <c r="GX85" s="154">
        <v>23</v>
      </c>
      <c r="GY85" s="279">
        <v>31</v>
      </c>
      <c r="GZ85" s="279">
        <v>21</v>
      </c>
      <c r="HA85" s="155"/>
      <c r="HB85" s="152"/>
      <c r="HC85" s="153"/>
      <c r="HD85" s="153"/>
      <c r="HE85" s="153"/>
      <c r="HF85" s="154"/>
      <c r="HG85" s="154"/>
      <c r="HH85" s="279"/>
      <c r="HI85" s="279"/>
      <c r="HJ85" s="155"/>
      <c r="HK85" s="152"/>
      <c r="HL85" s="153"/>
      <c r="HM85" s="153"/>
      <c r="HN85" s="153"/>
      <c r="HO85" s="154"/>
      <c r="HP85" s="154"/>
      <c r="HQ85" s="279"/>
      <c r="HR85" s="279"/>
      <c r="HS85" s="155"/>
      <c r="HT85" s="152">
        <v>92</v>
      </c>
      <c r="HU85" s="153">
        <v>93</v>
      </c>
      <c r="HV85" s="153">
        <v>107</v>
      </c>
      <c r="HW85" s="153">
        <v>63</v>
      </c>
      <c r="HX85" s="154">
        <v>45</v>
      </c>
      <c r="HY85" s="154">
        <v>69</v>
      </c>
      <c r="HZ85" s="279">
        <v>71</v>
      </c>
      <c r="IA85" s="279">
        <v>45</v>
      </c>
      <c r="IB85" s="155"/>
      <c r="IC85" s="152">
        <v>307</v>
      </c>
      <c r="ID85" s="153">
        <v>272</v>
      </c>
      <c r="IE85" s="153">
        <v>290</v>
      </c>
      <c r="IF85" s="153">
        <v>258</v>
      </c>
      <c r="IG85" s="154">
        <v>301</v>
      </c>
      <c r="IH85" s="154">
        <v>227</v>
      </c>
      <c r="II85" s="279">
        <v>228</v>
      </c>
      <c r="IJ85" s="279">
        <v>175</v>
      </c>
      <c r="IK85" s="155"/>
    </row>
    <row r="86" spans="1:245" x14ac:dyDescent="0.2">
      <c r="A86" s="961"/>
      <c r="B86" s="151" t="s">
        <v>692</v>
      </c>
      <c r="C86" s="152"/>
      <c r="D86" s="153"/>
      <c r="E86" s="153"/>
      <c r="F86" s="153"/>
      <c r="G86" s="154"/>
      <c r="H86" s="154"/>
      <c r="I86" s="279"/>
      <c r="J86" s="279"/>
      <c r="K86" s="155"/>
      <c r="L86" s="152"/>
      <c r="M86" s="153"/>
      <c r="N86" s="153"/>
      <c r="O86" s="153"/>
      <c r="P86" s="154"/>
      <c r="Q86" s="154"/>
      <c r="R86" s="279"/>
      <c r="S86" s="279"/>
      <c r="T86" s="155"/>
      <c r="U86" s="152"/>
      <c r="V86" s="153"/>
      <c r="W86" s="153"/>
      <c r="X86" s="153"/>
      <c r="Y86" s="154"/>
      <c r="Z86" s="154"/>
      <c r="AA86" s="279"/>
      <c r="AB86" s="279"/>
      <c r="AC86" s="155"/>
      <c r="AD86" s="152">
        <v>138</v>
      </c>
      <c r="AE86" s="153">
        <v>107</v>
      </c>
      <c r="AF86" s="153">
        <v>100</v>
      </c>
      <c r="AG86" s="153">
        <v>164</v>
      </c>
      <c r="AH86" s="154">
        <v>176</v>
      </c>
      <c r="AI86" s="154">
        <v>132</v>
      </c>
      <c r="AJ86" s="279">
        <v>166</v>
      </c>
      <c r="AK86" s="279">
        <v>125</v>
      </c>
      <c r="AL86" s="155"/>
      <c r="AM86" s="152">
        <v>70</v>
      </c>
      <c r="AN86" s="153">
        <v>47</v>
      </c>
      <c r="AO86" s="153">
        <v>53</v>
      </c>
      <c r="AP86" s="153">
        <v>38</v>
      </c>
      <c r="AQ86" s="154">
        <v>43</v>
      </c>
      <c r="AR86" s="154">
        <v>30</v>
      </c>
      <c r="AS86" s="279">
        <v>53</v>
      </c>
      <c r="AT86" s="279">
        <v>43</v>
      </c>
      <c r="AU86" s="155"/>
      <c r="AV86" s="152"/>
      <c r="AW86" s="153"/>
      <c r="AX86" s="153"/>
      <c r="AY86" s="153"/>
      <c r="AZ86" s="154"/>
      <c r="BA86" s="154"/>
      <c r="BB86" s="279"/>
      <c r="BC86" s="279"/>
      <c r="BD86" s="155"/>
      <c r="BE86" s="152">
        <v>23</v>
      </c>
      <c r="BF86" s="153">
        <v>12</v>
      </c>
      <c r="BG86" s="153">
        <v>20</v>
      </c>
      <c r="BH86" s="153">
        <v>9</v>
      </c>
      <c r="BI86" s="154">
        <v>7</v>
      </c>
      <c r="BJ86" s="154">
        <v>7</v>
      </c>
      <c r="BK86" s="279">
        <v>4</v>
      </c>
      <c r="BL86" s="279">
        <v>11</v>
      </c>
      <c r="BM86" s="155"/>
      <c r="BN86" s="152">
        <v>7</v>
      </c>
      <c r="BO86" s="153">
        <v>2</v>
      </c>
      <c r="BP86" s="153"/>
      <c r="BQ86" s="153"/>
      <c r="BR86" s="154"/>
      <c r="BS86" s="154">
        <v>1</v>
      </c>
      <c r="BT86" s="279"/>
      <c r="BU86" s="279"/>
      <c r="BV86" s="155"/>
      <c r="BW86" s="152">
        <v>107</v>
      </c>
      <c r="BX86" s="153">
        <v>94</v>
      </c>
      <c r="BY86" s="153">
        <v>87</v>
      </c>
      <c r="BZ86" s="153">
        <v>117</v>
      </c>
      <c r="CA86" s="154">
        <v>85</v>
      </c>
      <c r="CB86" s="154">
        <v>75</v>
      </c>
      <c r="CC86" s="279">
        <v>66</v>
      </c>
      <c r="CD86" s="279">
        <v>58</v>
      </c>
      <c r="CE86" s="155"/>
      <c r="CF86" s="152">
        <v>14</v>
      </c>
      <c r="CG86" s="153">
        <v>6</v>
      </c>
      <c r="CH86" s="153">
        <v>8</v>
      </c>
      <c r="CI86" s="153">
        <v>6</v>
      </c>
      <c r="CJ86" s="154">
        <v>2</v>
      </c>
      <c r="CK86" s="154">
        <v>5</v>
      </c>
      <c r="CL86" s="279">
        <v>1</v>
      </c>
      <c r="CM86" s="279"/>
      <c r="CN86" s="155"/>
      <c r="CO86" s="152">
        <v>20</v>
      </c>
      <c r="CP86" s="153">
        <v>18</v>
      </c>
      <c r="CQ86" s="153">
        <v>13</v>
      </c>
      <c r="CR86" s="153">
        <v>3</v>
      </c>
      <c r="CS86" s="154">
        <v>2</v>
      </c>
      <c r="CT86" s="154">
        <v>1</v>
      </c>
      <c r="CU86" s="279">
        <v>3</v>
      </c>
      <c r="CV86" s="279">
        <v>1</v>
      </c>
      <c r="CW86" s="155"/>
      <c r="CX86" s="152">
        <v>1067</v>
      </c>
      <c r="CY86" s="153">
        <v>1039</v>
      </c>
      <c r="CZ86" s="153">
        <v>870</v>
      </c>
      <c r="DA86" s="153">
        <v>775</v>
      </c>
      <c r="DB86" s="154">
        <v>880</v>
      </c>
      <c r="DC86" s="154">
        <v>676</v>
      </c>
      <c r="DD86" s="279">
        <v>499</v>
      </c>
      <c r="DE86" s="279">
        <v>406</v>
      </c>
      <c r="DF86" s="155"/>
      <c r="DG86" s="152">
        <v>13</v>
      </c>
      <c r="DH86" s="153">
        <v>6</v>
      </c>
      <c r="DI86" s="153">
        <v>2</v>
      </c>
      <c r="DJ86" s="153">
        <v>4</v>
      </c>
      <c r="DK86" s="154">
        <v>8</v>
      </c>
      <c r="DL86" s="154">
        <v>3</v>
      </c>
      <c r="DM86" s="279">
        <v>5</v>
      </c>
      <c r="DN86" s="279">
        <v>3</v>
      </c>
      <c r="DO86" s="155"/>
      <c r="DP86" s="152">
        <v>55</v>
      </c>
      <c r="DQ86" s="153">
        <v>66</v>
      </c>
      <c r="DR86" s="153">
        <v>47</v>
      </c>
      <c r="DS86" s="153">
        <v>29</v>
      </c>
      <c r="DT86" s="154">
        <v>27</v>
      </c>
      <c r="DU86" s="154">
        <v>33</v>
      </c>
      <c r="DV86" s="279">
        <v>21</v>
      </c>
      <c r="DW86" s="279">
        <v>4</v>
      </c>
      <c r="DX86" s="155"/>
      <c r="DY86" s="152">
        <v>89</v>
      </c>
      <c r="DZ86" s="153">
        <v>99</v>
      </c>
      <c r="EA86" s="153">
        <v>95</v>
      </c>
      <c r="EB86" s="153">
        <v>66</v>
      </c>
      <c r="EC86" s="154">
        <v>71</v>
      </c>
      <c r="ED86" s="154">
        <v>57</v>
      </c>
      <c r="EE86" s="279">
        <v>47</v>
      </c>
      <c r="EF86" s="279">
        <v>37</v>
      </c>
      <c r="EG86" s="155"/>
      <c r="EH86" s="152">
        <v>7</v>
      </c>
      <c r="EI86" s="153">
        <v>4</v>
      </c>
      <c r="EJ86" s="153">
        <v>14</v>
      </c>
      <c r="EK86" s="153">
        <v>8</v>
      </c>
      <c r="EL86" s="154">
        <v>4</v>
      </c>
      <c r="EM86" s="154">
        <v>5</v>
      </c>
      <c r="EN86" s="279">
        <v>5</v>
      </c>
      <c r="EO86" s="279">
        <v>7</v>
      </c>
      <c r="EP86" s="155"/>
      <c r="EQ86" s="152">
        <v>4</v>
      </c>
      <c r="ER86" s="153">
        <v>1</v>
      </c>
      <c r="ES86" s="153">
        <v>4</v>
      </c>
      <c r="ET86" s="153">
        <v>1</v>
      </c>
      <c r="EU86" s="154">
        <v>4</v>
      </c>
      <c r="EV86" s="154">
        <v>7</v>
      </c>
      <c r="EW86" s="279">
        <v>8</v>
      </c>
      <c r="EX86" s="279">
        <v>2</v>
      </c>
      <c r="EY86" s="155"/>
      <c r="EZ86" s="152">
        <v>5</v>
      </c>
      <c r="FA86" s="153">
        <v>4</v>
      </c>
      <c r="FB86" s="153">
        <v>9</v>
      </c>
      <c r="FC86" s="153"/>
      <c r="FD86" s="154"/>
      <c r="FE86" s="154">
        <v>2</v>
      </c>
      <c r="FF86" s="279">
        <v>1</v>
      </c>
      <c r="FG86" s="279"/>
      <c r="FH86" s="155"/>
      <c r="FI86" s="152">
        <v>114</v>
      </c>
      <c r="FJ86" s="153">
        <v>86</v>
      </c>
      <c r="FK86" s="153">
        <v>60</v>
      </c>
      <c r="FL86" s="153">
        <v>60</v>
      </c>
      <c r="FM86" s="154">
        <v>74</v>
      </c>
      <c r="FN86" s="154">
        <v>68</v>
      </c>
      <c r="FO86" s="279">
        <v>43</v>
      </c>
      <c r="FP86" s="279">
        <v>39</v>
      </c>
      <c r="FQ86" s="155"/>
      <c r="FR86" s="152">
        <v>12</v>
      </c>
      <c r="FS86" s="153">
        <v>18</v>
      </c>
      <c r="FT86" s="153">
        <v>8</v>
      </c>
      <c r="FU86" s="153">
        <v>6</v>
      </c>
      <c r="FV86" s="154">
        <v>3</v>
      </c>
      <c r="FW86" s="154">
        <v>2</v>
      </c>
      <c r="FX86" s="279">
        <v>3</v>
      </c>
      <c r="FY86" s="279">
        <v>3</v>
      </c>
      <c r="FZ86" s="155"/>
      <c r="GA86" s="152">
        <v>24</v>
      </c>
      <c r="GB86" s="153">
        <v>10</v>
      </c>
      <c r="GC86" s="153">
        <v>10</v>
      </c>
      <c r="GD86" s="153">
        <v>8</v>
      </c>
      <c r="GE86" s="154">
        <v>14</v>
      </c>
      <c r="GF86" s="154">
        <v>12</v>
      </c>
      <c r="GG86" s="279">
        <v>11</v>
      </c>
      <c r="GH86" s="279">
        <v>22</v>
      </c>
      <c r="GI86" s="155"/>
      <c r="GJ86" s="152">
        <v>1542</v>
      </c>
      <c r="GK86" s="153">
        <v>1401</v>
      </c>
      <c r="GL86" s="153">
        <v>1203</v>
      </c>
      <c r="GM86" s="153">
        <v>1157</v>
      </c>
      <c r="GN86" s="154">
        <v>1251</v>
      </c>
      <c r="GO86" s="154">
        <v>993</v>
      </c>
      <c r="GP86" s="279">
        <v>810</v>
      </c>
      <c r="GQ86" s="279">
        <v>674</v>
      </c>
      <c r="GR86" s="155"/>
      <c r="GS86" s="152">
        <v>502</v>
      </c>
      <c r="GT86" s="153">
        <v>487</v>
      </c>
      <c r="GU86" s="153">
        <v>364</v>
      </c>
      <c r="GV86" s="153">
        <v>342</v>
      </c>
      <c r="GW86" s="154">
        <v>213</v>
      </c>
      <c r="GX86" s="154">
        <v>174</v>
      </c>
      <c r="GY86" s="279">
        <v>165</v>
      </c>
      <c r="GZ86" s="279">
        <v>115</v>
      </c>
      <c r="HA86" s="155"/>
      <c r="HB86" s="152">
        <v>1</v>
      </c>
      <c r="HC86" s="153"/>
      <c r="HD86" s="153">
        <v>3</v>
      </c>
      <c r="HE86" s="153">
        <v>5</v>
      </c>
      <c r="HF86" s="154">
        <v>5</v>
      </c>
      <c r="HG86" s="154">
        <v>2</v>
      </c>
      <c r="HH86" s="279">
        <v>7</v>
      </c>
      <c r="HI86" s="279"/>
      <c r="HJ86" s="155"/>
      <c r="HK86" s="152">
        <v>1</v>
      </c>
      <c r="HL86" s="153"/>
      <c r="HM86" s="153">
        <v>1</v>
      </c>
      <c r="HN86" s="153">
        <v>4</v>
      </c>
      <c r="HO86" s="154">
        <v>3</v>
      </c>
      <c r="HP86" s="154">
        <v>3</v>
      </c>
      <c r="HQ86" s="279"/>
      <c r="HR86" s="279">
        <v>1</v>
      </c>
      <c r="HS86" s="155"/>
      <c r="HT86" s="152">
        <v>712</v>
      </c>
      <c r="HU86" s="153">
        <v>614</v>
      </c>
      <c r="HV86" s="153">
        <v>516</v>
      </c>
      <c r="HW86" s="153">
        <v>578</v>
      </c>
      <c r="HX86" s="154">
        <v>473</v>
      </c>
      <c r="HY86" s="154">
        <v>329</v>
      </c>
      <c r="HZ86" s="279">
        <v>419</v>
      </c>
      <c r="IA86" s="279">
        <v>341</v>
      </c>
      <c r="IB86" s="155"/>
      <c r="IC86" s="152">
        <v>2596</v>
      </c>
      <c r="ID86" s="153">
        <v>2850</v>
      </c>
      <c r="IE86" s="153">
        <v>2448</v>
      </c>
      <c r="IF86" s="153">
        <v>1947</v>
      </c>
      <c r="IG86" s="154">
        <v>1950</v>
      </c>
      <c r="IH86" s="154">
        <v>1549</v>
      </c>
      <c r="II86" s="279">
        <v>1474</v>
      </c>
      <c r="IJ86" s="279">
        <v>1313</v>
      </c>
      <c r="IK86" s="155"/>
    </row>
    <row r="87" spans="1:245" ht="13.5" thickBot="1" x14ac:dyDescent="0.25">
      <c r="A87" s="961"/>
      <c r="B87" s="156" t="s">
        <v>693</v>
      </c>
      <c r="C87" s="157"/>
      <c r="D87" s="166"/>
      <c r="E87" s="166"/>
      <c r="F87" s="166"/>
      <c r="G87" s="158"/>
      <c r="H87" s="158"/>
      <c r="I87" s="280"/>
      <c r="J87" s="280"/>
      <c r="K87" s="159"/>
      <c r="L87" s="157"/>
      <c r="M87" s="166"/>
      <c r="N87" s="166"/>
      <c r="O87" s="166"/>
      <c r="P87" s="158"/>
      <c r="Q87" s="158"/>
      <c r="R87" s="280"/>
      <c r="S87" s="280"/>
      <c r="T87" s="159"/>
      <c r="U87" s="157"/>
      <c r="V87" s="166"/>
      <c r="W87" s="166"/>
      <c r="X87" s="166"/>
      <c r="Y87" s="158"/>
      <c r="Z87" s="158"/>
      <c r="AA87" s="280"/>
      <c r="AB87" s="280"/>
      <c r="AC87" s="159"/>
      <c r="AD87" s="157">
        <v>123</v>
      </c>
      <c r="AE87" s="166">
        <v>95</v>
      </c>
      <c r="AF87" s="166">
        <v>135</v>
      </c>
      <c r="AG87" s="166">
        <v>131</v>
      </c>
      <c r="AH87" s="158">
        <v>167</v>
      </c>
      <c r="AI87" s="158">
        <v>114</v>
      </c>
      <c r="AJ87" s="280">
        <v>97</v>
      </c>
      <c r="AK87" s="280">
        <v>87</v>
      </c>
      <c r="AL87" s="159"/>
      <c r="AM87" s="157">
        <v>90</v>
      </c>
      <c r="AN87" s="166">
        <v>67</v>
      </c>
      <c r="AO87" s="166">
        <v>96</v>
      </c>
      <c r="AP87" s="166">
        <v>106</v>
      </c>
      <c r="AQ87" s="158">
        <v>136</v>
      </c>
      <c r="AR87" s="158">
        <v>83</v>
      </c>
      <c r="AS87" s="280">
        <v>66</v>
      </c>
      <c r="AT87" s="280">
        <v>65</v>
      </c>
      <c r="AU87" s="159"/>
      <c r="AV87" s="157"/>
      <c r="AW87" s="166"/>
      <c r="AX87" s="166"/>
      <c r="AY87" s="166"/>
      <c r="AZ87" s="158"/>
      <c r="BA87" s="158"/>
      <c r="BB87" s="280"/>
      <c r="BC87" s="280"/>
      <c r="BD87" s="159"/>
      <c r="BE87" s="157">
        <v>4</v>
      </c>
      <c r="BF87" s="166">
        <v>1</v>
      </c>
      <c r="BG87" s="166">
        <v>2</v>
      </c>
      <c r="BH87" s="166">
        <v>3</v>
      </c>
      <c r="BI87" s="158">
        <v>13</v>
      </c>
      <c r="BJ87" s="158">
        <v>13</v>
      </c>
      <c r="BK87" s="280">
        <v>3</v>
      </c>
      <c r="BL87" s="280">
        <v>3</v>
      </c>
      <c r="BM87" s="159"/>
      <c r="BN87" s="157">
        <v>6</v>
      </c>
      <c r="BO87" s="166">
        <v>1</v>
      </c>
      <c r="BP87" s="166">
        <v>1</v>
      </c>
      <c r="BQ87" s="166"/>
      <c r="BR87" s="158"/>
      <c r="BS87" s="158"/>
      <c r="BT87" s="280"/>
      <c r="BU87" s="280"/>
      <c r="BV87" s="159"/>
      <c r="BW87" s="157">
        <v>120</v>
      </c>
      <c r="BX87" s="166">
        <v>113</v>
      </c>
      <c r="BY87" s="166">
        <v>154</v>
      </c>
      <c r="BZ87" s="166">
        <v>159</v>
      </c>
      <c r="CA87" s="158">
        <v>133</v>
      </c>
      <c r="CB87" s="158">
        <v>111</v>
      </c>
      <c r="CC87" s="280">
        <v>99</v>
      </c>
      <c r="CD87" s="280">
        <v>94</v>
      </c>
      <c r="CE87" s="159"/>
      <c r="CF87" s="157">
        <v>1</v>
      </c>
      <c r="CG87" s="166">
        <v>5</v>
      </c>
      <c r="CH87" s="166">
        <v>7</v>
      </c>
      <c r="CI87" s="166">
        <v>2</v>
      </c>
      <c r="CJ87" s="158">
        <v>4</v>
      </c>
      <c r="CK87" s="158">
        <v>3</v>
      </c>
      <c r="CL87" s="280">
        <v>5</v>
      </c>
      <c r="CM87" s="280"/>
      <c r="CN87" s="159"/>
      <c r="CO87" s="157">
        <v>8</v>
      </c>
      <c r="CP87" s="166">
        <v>8</v>
      </c>
      <c r="CQ87" s="166">
        <v>8</v>
      </c>
      <c r="CR87" s="166">
        <v>9</v>
      </c>
      <c r="CS87" s="158">
        <v>5</v>
      </c>
      <c r="CT87" s="158">
        <v>8</v>
      </c>
      <c r="CU87" s="280">
        <v>4</v>
      </c>
      <c r="CV87" s="280">
        <v>8</v>
      </c>
      <c r="CW87" s="159"/>
      <c r="CX87" s="157">
        <v>1053</v>
      </c>
      <c r="CY87" s="166">
        <v>888</v>
      </c>
      <c r="CZ87" s="166">
        <v>988</v>
      </c>
      <c r="DA87" s="166">
        <v>728</v>
      </c>
      <c r="DB87" s="158">
        <v>729</v>
      </c>
      <c r="DC87" s="158">
        <v>529</v>
      </c>
      <c r="DD87" s="280">
        <v>464</v>
      </c>
      <c r="DE87" s="280">
        <v>438</v>
      </c>
      <c r="DF87" s="159"/>
      <c r="DG87" s="157">
        <v>6</v>
      </c>
      <c r="DH87" s="166">
        <v>6</v>
      </c>
      <c r="DI87" s="166">
        <v>9</v>
      </c>
      <c r="DJ87" s="166">
        <v>2</v>
      </c>
      <c r="DK87" s="158">
        <v>6</v>
      </c>
      <c r="DL87" s="158">
        <v>1</v>
      </c>
      <c r="DM87" s="280">
        <v>3</v>
      </c>
      <c r="DN87" s="280">
        <v>7</v>
      </c>
      <c r="DO87" s="159"/>
      <c r="DP87" s="157">
        <v>31</v>
      </c>
      <c r="DQ87" s="166">
        <v>30</v>
      </c>
      <c r="DR87" s="166">
        <v>49</v>
      </c>
      <c r="DS87" s="166">
        <v>27</v>
      </c>
      <c r="DT87" s="158">
        <v>13</v>
      </c>
      <c r="DU87" s="158">
        <v>10</v>
      </c>
      <c r="DV87" s="280">
        <v>36</v>
      </c>
      <c r="DW87" s="280">
        <v>22</v>
      </c>
      <c r="DX87" s="159"/>
      <c r="DY87" s="157">
        <v>102</v>
      </c>
      <c r="DZ87" s="166">
        <v>88</v>
      </c>
      <c r="EA87" s="166">
        <v>76</v>
      </c>
      <c r="EB87" s="166">
        <v>72</v>
      </c>
      <c r="EC87" s="158">
        <v>84</v>
      </c>
      <c r="ED87" s="158">
        <v>70</v>
      </c>
      <c r="EE87" s="280">
        <v>22</v>
      </c>
      <c r="EF87" s="280">
        <v>27</v>
      </c>
      <c r="EG87" s="159"/>
      <c r="EH87" s="157">
        <v>13</v>
      </c>
      <c r="EI87" s="166">
        <v>12</v>
      </c>
      <c r="EJ87" s="166">
        <v>8</v>
      </c>
      <c r="EK87" s="166">
        <v>15</v>
      </c>
      <c r="EL87" s="158">
        <v>8</v>
      </c>
      <c r="EM87" s="158">
        <v>5</v>
      </c>
      <c r="EN87" s="280">
        <v>6</v>
      </c>
      <c r="EO87" s="280">
        <v>10</v>
      </c>
      <c r="EP87" s="159"/>
      <c r="EQ87" s="157">
        <v>5</v>
      </c>
      <c r="ER87" s="166">
        <v>2</v>
      </c>
      <c r="ES87" s="166">
        <v>2</v>
      </c>
      <c r="ET87" s="166">
        <v>1</v>
      </c>
      <c r="EU87" s="158">
        <v>1</v>
      </c>
      <c r="EV87" s="158">
        <v>1</v>
      </c>
      <c r="EW87" s="280">
        <v>8</v>
      </c>
      <c r="EX87" s="280">
        <v>4</v>
      </c>
      <c r="EY87" s="159"/>
      <c r="EZ87" s="157">
        <v>1</v>
      </c>
      <c r="FA87" s="166">
        <v>2</v>
      </c>
      <c r="FB87" s="166">
        <v>3</v>
      </c>
      <c r="FC87" s="166">
        <v>4</v>
      </c>
      <c r="FD87" s="158">
        <v>2</v>
      </c>
      <c r="FE87" s="158">
        <v>2</v>
      </c>
      <c r="FF87" s="280">
        <v>1</v>
      </c>
      <c r="FG87" s="280"/>
      <c r="FH87" s="159"/>
      <c r="FI87" s="157">
        <v>130</v>
      </c>
      <c r="FJ87" s="166">
        <v>103</v>
      </c>
      <c r="FK87" s="166">
        <v>142</v>
      </c>
      <c r="FL87" s="166">
        <v>74</v>
      </c>
      <c r="FM87" s="158">
        <v>85</v>
      </c>
      <c r="FN87" s="158">
        <v>87</v>
      </c>
      <c r="FO87" s="280">
        <v>83</v>
      </c>
      <c r="FP87" s="280">
        <v>75</v>
      </c>
      <c r="FQ87" s="159"/>
      <c r="FR87" s="157">
        <v>10</v>
      </c>
      <c r="FS87" s="166">
        <v>15</v>
      </c>
      <c r="FT87" s="166">
        <v>4</v>
      </c>
      <c r="FU87" s="166">
        <v>3</v>
      </c>
      <c r="FV87" s="158">
        <v>4</v>
      </c>
      <c r="FW87" s="158">
        <v>5</v>
      </c>
      <c r="FX87" s="280">
        <v>2</v>
      </c>
      <c r="FY87" s="280">
        <v>4</v>
      </c>
      <c r="FZ87" s="159"/>
      <c r="GA87" s="157">
        <v>7</v>
      </c>
      <c r="GB87" s="166">
        <v>8</v>
      </c>
      <c r="GC87" s="166">
        <v>6</v>
      </c>
      <c r="GD87" s="166">
        <v>11</v>
      </c>
      <c r="GE87" s="158">
        <v>9</v>
      </c>
      <c r="GF87" s="158">
        <v>7</v>
      </c>
      <c r="GG87" s="280">
        <v>6</v>
      </c>
      <c r="GH87" s="280">
        <v>4</v>
      </c>
      <c r="GI87" s="159"/>
      <c r="GJ87" s="157">
        <v>1481</v>
      </c>
      <c r="GK87" s="166">
        <v>1253</v>
      </c>
      <c r="GL87" s="166">
        <v>1460</v>
      </c>
      <c r="GM87" s="166">
        <v>1140</v>
      </c>
      <c r="GN87" s="158">
        <v>1160</v>
      </c>
      <c r="GO87" s="158">
        <v>885</v>
      </c>
      <c r="GP87" s="280">
        <v>778</v>
      </c>
      <c r="GQ87" s="280">
        <v>727</v>
      </c>
      <c r="GR87" s="159"/>
      <c r="GS87" s="157">
        <v>457</v>
      </c>
      <c r="GT87" s="166">
        <v>394</v>
      </c>
      <c r="GU87" s="166">
        <v>494</v>
      </c>
      <c r="GV87" s="166">
        <v>395</v>
      </c>
      <c r="GW87" s="158">
        <v>270</v>
      </c>
      <c r="GX87" s="158">
        <v>212</v>
      </c>
      <c r="GY87" s="280">
        <v>215</v>
      </c>
      <c r="GZ87" s="280">
        <v>175</v>
      </c>
      <c r="HA87" s="159"/>
      <c r="HB87" s="157">
        <v>7</v>
      </c>
      <c r="HC87" s="166">
        <v>4</v>
      </c>
      <c r="HD87" s="166">
        <v>9</v>
      </c>
      <c r="HE87" s="166">
        <v>2</v>
      </c>
      <c r="HF87" s="158">
        <v>4</v>
      </c>
      <c r="HG87" s="158">
        <v>2</v>
      </c>
      <c r="HH87" s="280">
        <v>5</v>
      </c>
      <c r="HI87" s="280">
        <v>10</v>
      </c>
      <c r="HJ87" s="159"/>
      <c r="HK87" s="157">
        <v>4</v>
      </c>
      <c r="HL87" s="166">
        <v>1</v>
      </c>
      <c r="HM87" s="166"/>
      <c r="HN87" s="166">
        <v>4</v>
      </c>
      <c r="HO87" s="158">
        <v>3</v>
      </c>
      <c r="HP87" s="158">
        <v>5</v>
      </c>
      <c r="HQ87" s="280">
        <v>2</v>
      </c>
      <c r="HR87" s="280">
        <v>5</v>
      </c>
      <c r="HS87" s="159"/>
      <c r="HT87" s="157">
        <v>713</v>
      </c>
      <c r="HU87" s="166">
        <v>605</v>
      </c>
      <c r="HV87" s="166">
        <v>705</v>
      </c>
      <c r="HW87" s="166">
        <v>679</v>
      </c>
      <c r="HX87" s="158">
        <v>537</v>
      </c>
      <c r="HY87" s="158">
        <v>527</v>
      </c>
      <c r="HZ87" s="280">
        <v>481</v>
      </c>
      <c r="IA87" s="280">
        <v>495</v>
      </c>
      <c r="IB87" s="159"/>
      <c r="IC87" s="157">
        <v>2431</v>
      </c>
      <c r="ID87" s="166">
        <v>2391</v>
      </c>
      <c r="IE87" s="166">
        <v>3078</v>
      </c>
      <c r="IF87" s="166">
        <v>1911</v>
      </c>
      <c r="IG87" s="158">
        <v>2127</v>
      </c>
      <c r="IH87" s="158">
        <v>1704</v>
      </c>
      <c r="II87" s="280">
        <v>1517</v>
      </c>
      <c r="IJ87" s="280">
        <v>1488</v>
      </c>
      <c r="IK87" s="159"/>
    </row>
    <row r="88" spans="1:245" s="134" customFormat="1" ht="13.5" thickBot="1" x14ac:dyDescent="0.25">
      <c r="A88" s="962"/>
      <c r="B88" s="189" t="s">
        <v>779</v>
      </c>
      <c r="C88" s="273">
        <v>10</v>
      </c>
      <c r="D88" s="190">
        <v>7</v>
      </c>
      <c r="E88" s="190">
        <v>11</v>
      </c>
      <c r="F88" s="190">
        <v>10</v>
      </c>
      <c r="G88" s="190">
        <v>4</v>
      </c>
      <c r="H88" s="190">
        <v>9</v>
      </c>
      <c r="I88" s="190">
        <v>6</v>
      </c>
      <c r="J88" s="190">
        <v>7</v>
      </c>
      <c r="K88" s="286"/>
      <c r="L88" s="273">
        <v>2</v>
      </c>
      <c r="M88" s="190">
        <v>1</v>
      </c>
      <c r="N88" s="190">
        <v>5</v>
      </c>
      <c r="O88" s="190">
        <v>6</v>
      </c>
      <c r="P88" s="190">
        <v>2</v>
      </c>
      <c r="Q88" s="190">
        <v>5</v>
      </c>
      <c r="R88" s="190">
        <v>1</v>
      </c>
      <c r="S88" s="190">
        <v>6</v>
      </c>
      <c r="T88" s="286"/>
      <c r="U88" s="273">
        <v>6</v>
      </c>
      <c r="V88" s="190">
        <v>6</v>
      </c>
      <c r="W88" s="190">
        <v>6</v>
      </c>
      <c r="X88" s="190">
        <v>1</v>
      </c>
      <c r="Y88" s="190">
        <v>1</v>
      </c>
      <c r="Z88" s="190">
        <v>3</v>
      </c>
      <c r="AA88" s="190">
        <v>3</v>
      </c>
      <c r="AB88" s="190">
        <v>1</v>
      </c>
      <c r="AC88" s="286"/>
      <c r="AD88" s="273">
        <v>595</v>
      </c>
      <c r="AE88" s="190">
        <v>521</v>
      </c>
      <c r="AF88" s="190">
        <v>563</v>
      </c>
      <c r="AG88" s="190">
        <v>574</v>
      </c>
      <c r="AH88" s="190">
        <v>622</v>
      </c>
      <c r="AI88" s="190">
        <v>482</v>
      </c>
      <c r="AJ88" s="190">
        <v>534</v>
      </c>
      <c r="AK88" s="190">
        <v>527</v>
      </c>
      <c r="AL88" s="286"/>
      <c r="AM88" s="273">
        <v>370</v>
      </c>
      <c r="AN88" s="190">
        <v>300</v>
      </c>
      <c r="AO88" s="190">
        <v>361</v>
      </c>
      <c r="AP88" s="190">
        <v>308</v>
      </c>
      <c r="AQ88" s="190">
        <v>351</v>
      </c>
      <c r="AR88" s="190">
        <v>265</v>
      </c>
      <c r="AS88" s="190">
        <v>280</v>
      </c>
      <c r="AT88" s="190">
        <v>288</v>
      </c>
      <c r="AU88" s="286"/>
      <c r="AV88" s="273"/>
      <c r="AW88" s="190">
        <v>1</v>
      </c>
      <c r="AX88" s="190"/>
      <c r="AY88" s="190">
        <v>1</v>
      </c>
      <c r="AZ88" s="190"/>
      <c r="BA88" s="190"/>
      <c r="BB88" s="190"/>
      <c r="BC88" s="190"/>
      <c r="BD88" s="286"/>
      <c r="BE88" s="273">
        <v>98</v>
      </c>
      <c r="BF88" s="190">
        <v>63</v>
      </c>
      <c r="BG88" s="190">
        <v>55</v>
      </c>
      <c r="BH88" s="190">
        <v>44</v>
      </c>
      <c r="BI88" s="190">
        <v>39</v>
      </c>
      <c r="BJ88" s="190">
        <v>35</v>
      </c>
      <c r="BK88" s="190">
        <v>47</v>
      </c>
      <c r="BL88" s="190">
        <v>48</v>
      </c>
      <c r="BM88" s="286"/>
      <c r="BN88" s="273">
        <v>38</v>
      </c>
      <c r="BO88" s="190">
        <v>24</v>
      </c>
      <c r="BP88" s="190">
        <v>15</v>
      </c>
      <c r="BQ88" s="190">
        <v>59</v>
      </c>
      <c r="BR88" s="190">
        <v>65</v>
      </c>
      <c r="BS88" s="190">
        <v>95</v>
      </c>
      <c r="BT88" s="190">
        <v>48</v>
      </c>
      <c r="BU88" s="190">
        <v>12</v>
      </c>
      <c r="BV88" s="286"/>
      <c r="BW88" s="273">
        <v>432</v>
      </c>
      <c r="BX88" s="190">
        <v>419</v>
      </c>
      <c r="BY88" s="190">
        <v>470</v>
      </c>
      <c r="BZ88" s="190">
        <v>456</v>
      </c>
      <c r="CA88" s="190">
        <v>367</v>
      </c>
      <c r="CB88" s="190">
        <v>333</v>
      </c>
      <c r="CC88" s="190">
        <v>343</v>
      </c>
      <c r="CD88" s="190">
        <v>331</v>
      </c>
      <c r="CE88" s="286"/>
      <c r="CF88" s="273">
        <v>40</v>
      </c>
      <c r="CG88" s="190">
        <v>32</v>
      </c>
      <c r="CH88" s="190">
        <v>32</v>
      </c>
      <c r="CI88" s="190">
        <v>26</v>
      </c>
      <c r="CJ88" s="190">
        <v>14</v>
      </c>
      <c r="CK88" s="190">
        <v>19</v>
      </c>
      <c r="CL88" s="190">
        <v>17</v>
      </c>
      <c r="CM88" s="190">
        <v>14</v>
      </c>
      <c r="CN88" s="286"/>
      <c r="CO88" s="273">
        <v>42</v>
      </c>
      <c r="CP88" s="190">
        <v>46</v>
      </c>
      <c r="CQ88" s="190">
        <v>33</v>
      </c>
      <c r="CR88" s="190">
        <v>35</v>
      </c>
      <c r="CS88" s="190">
        <v>24</v>
      </c>
      <c r="CT88" s="190">
        <v>35</v>
      </c>
      <c r="CU88" s="190">
        <v>24</v>
      </c>
      <c r="CV88" s="190">
        <v>21</v>
      </c>
      <c r="CW88" s="286"/>
      <c r="CX88" s="273">
        <v>6119</v>
      </c>
      <c r="CY88" s="190">
        <v>5677</v>
      </c>
      <c r="CZ88" s="190">
        <v>5689</v>
      </c>
      <c r="DA88" s="190">
        <v>4771</v>
      </c>
      <c r="DB88" s="190">
        <v>5170</v>
      </c>
      <c r="DC88" s="190">
        <v>3652</v>
      </c>
      <c r="DD88" s="190">
        <v>3026</v>
      </c>
      <c r="DE88" s="190">
        <v>2408</v>
      </c>
      <c r="DF88" s="286"/>
      <c r="DG88" s="273">
        <v>75</v>
      </c>
      <c r="DH88" s="190">
        <v>50</v>
      </c>
      <c r="DI88" s="190">
        <v>61</v>
      </c>
      <c r="DJ88" s="190">
        <v>51</v>
      </c>
      <c r="DK88" s="190">
        <v>52</v>
      </c>
      <c r="DL88" s="190">
        <v>24</v>
      </c>
      <c r="DM88" s="190">
        <v>24</v>
      </c>
      <c r="DN88" s="190">
        <v>24</v>
      </c>
      <c r="DO88" s="286"/>
      <c r="DP88" s="273">
        <v>321</v>
      </c>
      <c r="DQ88" s="190">
        <v>327</v>
      </c>
      <c r="DR88" s="190">
        <v>330</v>
      </c>
      <c r="DS88" s="190">
        <v>234</v>
      </c>
      <c r="DT88" s="190">
        <v>296</v>
      </c>
      <c r="DU88" s="190">
        <v>173</v>
      </c>
      <c r="DV88" s="190">
        <v>152</v>
      </c>
      <c r="DW88" s="190">
        <v>95</v>
      </c>
      <c r="DX88" s="286"/>
      <c r="DY88" s="273">
        <v>544</v>
      </c>
      <c r="DZ88" s="190">
        <v>487</v>
      </c>
      <c r="EA88" s="190">
        <v>486</v>
      </c>
      <c r="EB88" s="190">
        <v>467</v>
      </c>
      <c r="EC88" s="190">
        <v>525</v>
      </c>
      <c r="ED88" s="190">
        <v>424</v>
      </c>
      <c r="EE88" s="190">
        <v>334</v>
      </c>
      <c r="EF88" s="190">
        <v>275</v>
      </c>
      <c r="EG88" s="286"/>
      <c r="EH88" s="273">
        <v>74</v>
      </c>
      <c r="EI88" s="190">
        <v>62</v>
      </c>
      <c r="EJ88" s="190">
        <v>78</v>
      </c>
      <c r="EK88" s="190">
        <v>65</v>
      </c>
      <c r="EL88" s="190">
        <v>57</v>
      </c>
      <c r="EM88" s="190">
        <v>47</v>
      </c>
      <c r="EN88" s="190">
        <v>24</v>
      </c>
      <c r="EO88" s="190">
        <v>35</v>
      </c>
      <c r="EP88" s="286"/>
      <c r="EQ88" s="273">
        <v>18</v>
      </c>
      <c r="ER88" s="190">
        <v>13</v>
      </c>
      <c r="ES88" s="190">
        <v>15</v>
      </c>
      <c r="ET88" s="190">
        <v>20</v>
      </c>
      <c r="EU88" s="190">
        <v>20</v>
      </c>
      <c r="EV88" s="190">
        <v>24</v>
      </c>
      <c r="EW88" s="190">
        <v>40</v>
      </c>
      <c r="EX88" s="190">
        <v>18</v>
      </c>
      <c r="EY88" s="286"/>
      <c r="EZ88" s="273">
        <v>16</v>
      </c>
      <c r="FA88" s="190">
        <v>20</v>
      </c>
      <c r="FB88" s="190">
        <v>22</v>
      </c>
      <c r="FC88" s="190">
        <v>12</v>
      </c>
      <c r="FD88" s="190">
        <v>5</v>
      </c>
      <c r="FE88" s="190">
        <v>13</v>
      </c>
      <c r="FF88" s="190">
        <v>4</v>
      </c>
      <c r="FG88" s="190">
        <v>7</v>
      </c>
      <c r="FH88" s="286"/>
      <c r="FI88" s="273">
        <v>593</v>
      </c>
      <c r="FJ88" s="190">
        <v>597</v>
      </c>
      <c r="FK88" s="190">
        <v>491</v>
      </c>
      <c r="FL88" s="190">
        <v>342</v>
      </c>
      <c r="FM88" s="190">
        <v>394</v>
      </c>
      <c r="FN88" s="190">
        <v>354</v>
      </c>
      <c r="FO88" s="190">
        <v>276</v>
      </c>
      <c r="FP88" s="190">
        <v>290</v>
      </c>
      <c r="FQ88" s="286"/>
      <c r="FR88" s="273">
        <v>59</v>
      </c>
      <c r="FS88" s="190">
        <v>63</v>
      </c>
      <c r="FT88" s="190">
        <v>34</v>
      </c>
      <c r="FU88" s="190">
        <v>35</v>
      </c>
      <c r="FV88" s="190">
        <v>49</v>
      </c>
      <c r="FW88" s="190">
        <v>26</v>
      </c>
      <c r="FX88" s="190">
        <v>20</v>
      </c>
      <c r="FY88" s="190">
        <v>10</v>
      </c>
      <c r="FZ88" s="286"/>
      <c r="GA88" s="273">
        <v>78</v>
      </c>
      <c r="GB88" s="190">
        <v>51</v>
      </c>
      <c r="GC88" s="190">
        <v>49</v>
      </c>
      <c r="GD88" s="190">
        <v>43</v>
      </c>
      <c r="GE88" s="190">
        <v>70</v>
      </c>
      <c r="GF88" s="190">
        <v>50</v>
      </c>
      <c r="GG88" s="190">
        <v>53</v>
      </c>
      <c r="GH88" s="190">
        <v>59</v>
      </c>
      <c r="GI88" s="286"/>
      <c r="GJ88" s="273">
        <v>8212</v>
      </c>
      <c r="GK88" s="190">
        <v>7595</v>
      </c>
      <c r="GL88" s="190">
        <v>7557</v>
      </c>
      <c r="GM88" s="190">
        <v>6492</v>
      </c>
      <c r="GN88" s="190">
        <v>6900</v>
      </c>
      <c r="GO88" s="190">
        <v>5174</v>
      </c>
      <c r="GP88" s="190">
        <v>4462</v>
      </c>
      <c r="GQ88" s="190">
        <v>3787</v>
      </c>
      <c r="GR88" s="286"/>
      <c r="GS88" s="273">
        <v>2753</v>
      </c>
      <c r="GT88" s="190">
        <v>2680</v>
      </c>
      <c r="GU88" s="190">
        <v>2593</v>
      </c>
      <c r="GV88" s="190">
        <v>2044</v>
      </c>
      <c r="GW88" s="190">
        <v>1547</v>
      </c>
      <c r="GX88" s="190">
        <v>1075</v>
      </c>
      <c r="GY88" s="190">
        <v>856</v>
      </c>
      <c r="GZ88" s="190">
        <v>653</v>
      </c>
      <c r="HA88" s="286"/>
      <c r="HB88" s="273">
        <v>29</v>
      </c>
      <c r="HC88" s="190">
        <v>20</v>
      </c>
      <c r="HD88" s="190">
        <v>30</v>
      </c>
      <c r="HE88" s="190">
        <v>30</v>
      </c>
      <c r="HF88" s="190">
        <v>23</v>
      </c>
      <c r="HG88" s="190">
        <v>14</v>
      </c>
      <c r="HH88" s="190">
        <v>27</v>
      </c>
      <c r="HI88" s="190">
        <v>28</v>
      </c>
      <c r="HJ88" s="286"/>
      <c r="HK88" s="273">
        <v>30</v>
      </c>
      <c r="HL88" s="190">
        <v>30</v>
      </c>
      <c r="HM88" s="190">
        <v>17</v>
      </c>
      <c r="HN88" s="190">
        <v>21</v>
      </c>
      <c r="HO88" s="190">
        <v>22</v>
      </c>
      <c r="HP88" s="190">
        <v>18</v>
      </c>
      <c r="HQ88" s="190">
        <v>13</v>
      </c>
      <c r="HR88" s="190">
        <v>12</v>
      </c>
      <c r="HS88" s="286"/>
      <c r="HT88" s="273">
        <v>3894</v>
      </c>
      <c r="HU88" s="190">
        <v>3576</v>
      </c>
      <c r="HV88" s="190">
        <v>3504</v>
      </c>
      <c r="HW88" s="190">
        <v>3156</v>
      </c>
      <c r="HX88" s="190">
        <v>2697</v>
      </c>
      <c r="HY88" s="190">
        <v>2082</v>
      </c>
      <c r="HZ88" s="190">
        <v>1979</v>
      </c>
      <c r="IA88" s="190">
        <v>1760</v>
      </c>
      <c r="IB88" s="286"/>
      <c r="IC88" s="273">
        <v>15356</v>
      </c>
      <c r="ID88" s="190">
        <v>17617</v>
      </c>
      <c r="IE88" s="190">
        <v>16410</v>
      </c>
      <c r="IF88" s="190">
        <v>11233</v>
      </c>
      <c r="IG88" s="190">
        <v>11198</v>
      </c>
      <c r="IH88" s="190">
        <v>9721</v>
      </c>
      <c r="II88" s="190">
        <v>8831</v>
      </c>
      <c r="IJ88" s="190">
        <v>7500</v>
      </c>
      <c r="IK88" s="286"/>
    </row>
    <row r="89" spans="1:245" x14ac:dyDescent="0.2">
      <c r="A89" s="960" t="s">
        <v>589</v>
      </c>
      <c r="B89" s="146" t="s">
        <v>590</v>
      </c>
      <c r="C89" s="147">
        <v>16</v>
      </c>
      <c r="D89" s="148">
        <v>14</v>
      </c>
      <c r="E89" s="148">
        <v>12</v>
      </c>
      <c r="F89" s="148">
        <v>9</v>
      </c>
      <c r="G89" s="149">
        <v>17</v>
      </c>
      <c r="H89" s="149">
        <v>10</v>
      </c>
      <c r="I89" s="278">
        <v>15</v>
      </c>
      <c r="J89" s="278">
        <v>10</v>
      </c>
      <c r="K89" s="150"/>
      <c r="L89" s="147">
        <v>4</v>
      </c>
      <c r="M89" s="148">
        <v>9</v>
      </c>
      <c r="N89" s="148">
        <v>6</v>
      </c>
      <c r="O89" s="148">
        <v>3</v>
      </c>
      <c r="P89" s="149">
        <v>9</v>
      </c>
      <c r="Q89" s="149">
        <v>4</v>
      </c>
      <c r="R89" s="278">
        <v>6</v>
      </c>
      <c r="S89" s="278">
        <v>4</v>
      </c>
      <c r="T89" s="150"/>
      <c r="U89" s="147">
        <v>10</v>
      </c>
      <c r="V89" s="148">
        <v>4</v>
      </c>
      <c r="W89" s="148">
        <v>5</v>
      </c>
      <c r="X89" s="148">
        <v>5</v>
      </c>
      <c r="Y89" s="149">
        <v>8</v>
      </c>
      <c r="Z89" s="149">
        <v>5</v>
      </c>
      <c r="AA89" s="278">
        <v>8</v>
      </c>
      <c r="AB89" s="278">
        <v>6</v>
      </c>
      <c r="AC89" s="150"/>
      <c r="AD89" s="147">
        <v>20</v>
      </c>
      <c r="AE89" s="148">
        <v>21</v>
      </c>
      <c r="AF89" s="148">
        <v>32</v>
      </c>
      <c r="AG89" s="148">
        <v>27</v>
      </c>
      <c r="AH89" s="149">
        <v>23</v>
      </c>
      <c r="AI89" s="149">
        <v>25</v>
      </c>
      <c r="AJ89" s="278">
        <v>28</v>
      </c>
      <c r="AK89" s="278">
        <v>15</v>
      </c>
      <c r="AL89" s="150"/>
      <c r="AM89" s="147">
        <v>19</v>
      </c>
      <c r="AN89" s="148">
        <v>19</v>
      </c>
      <c r="AO89" s="148">
        <v>30</v>
      </c>
      <c r="AP89" s="148">
        <v>25</v>
      </c>
      <c r="AQ89" s="149">
        <v>20</v>
      </c>
      <c r="AR89" s="149">
        <v>25</v>
      </c>
      <c r="AS89" s="278">
        <v>26</v>
      </c>
      <c r="AT89" s="278">
        <v>13</v>
      </c>
      <c r="AU89" s="150"/>
      <c r="AV89" s="147">
        <v>2</v>
      </c>
      <c r="AW89" s="148">
        <v>1</v>
      </c>
      <c r="AX89" s="148">
        <v>2</v>
      </c>
      <c r="AY89" s="148">
        <v>1</v>
      </c>
      <c r="AZ89" s="149">
        <v>2</v>
      </c>
      <c r="BA89" s="149">
        <v>1</v>
      </c>
      <c r="BB89" s="278">
        <v>1</v>
      </c>
      <c r="BC89" s="278"/>
      <c r="BD89" s="150"/>
      <c r="BE89" s="147">
        <v>7</v>
      </c>
      <c r="BF89" s="148">
        <v>7</v>
      </c>
      <c r="BG89" s="148">
        <v>4</v>
      </c>
      <c r="BH89" s="148"/>
      <c r="BI89" s="149">
        <v>6</v>
      </c>
      <c r="BJ89" s="149">
        <v>24</v>
      </c>
      <c r="BK89" s="278">
        <v>12</v>
      </c>
      <c r="BL89" s="278">
        <v>11</v>
      </c>
      <c r="BM89" s="150"/>
      <c r="BN89" s="147">
        <v>7</v>
      </c>
      <c r="BO89" s="148">
        <v>4</v>
      </c>
      <c r="BP89" s="148">
        <v>7</v>
      </c>
      <c r="BQ89" s="148">
        <v>6</v>
      </c>
      <c r="BR89" s="149">
        <v>2</v>
      </c>
      <c r="BS89" s="149">
        <v>10</v>
      </c>
      <c r="BT89" s="278"/>
      <c r="BU89" s="278">
        <v>1</v>
      </c>
      <c r="BV89" s="150"/>
      <c r="BW89" s="147">
        <v>3</v>
      </c>
      <c r="BX89" s="148">
        <v>3</v>
      </c>
      <c r="BY89" s="148">
        <v>7</v>
      </c>
      <c r="BZ89" s="148">
        <v>3</v>
      </c>
      <c r="CA89" s="149">
        <v>3</v>
      </c>
      <c r="CB89" s="149">
        <v>2</v>
      </c>
      <c r="CC89" s="278">
        <v>3</v>
      </c>
      <c r="CD89" s="278">
        <v>2</v>
      </c>
      <c r="CE89" s="150"/>
      <c r="CF89" s="147">
        <v>1</v>
      </c>
      <c r="CG89" s="148"/>
      <c r="CH89" s="148"/>
      <c r="CI89" s="148"/>
      <c r="CJ89" s="149"/>
      <c r="CK89" s="149"/>
      <c r="CL89" s="278"/>
      <c r="CM89" s="278"/>
      <c r="CN89" s="150"/>
      <c r="CO89" s="147">
        <v>25</v>
      </c>
      <c r="CP89" s="148">
        <v>22</v>
      </c>
      <c r="CQ89" s="148">
        <v>34</v>
      </c>
      <c r="CR89" s="148">
        <v>16</v>
      </c>
      <c r="CS89" s="149">
        <v>16</v>
      </c>
      <c r="CT89" s="149">
        <v>20</v>
      </c>
      <c r="CU89" s="278">
        <v>10</v>
      </c>
      <c r="CV89" s="278">
        <v>20</v>
      </c>
      <c r="CW89" s="150"/>
      <c r="CX89" s="147">
        <v>7</v>
      </c>
      <c r="CY89" s="148">
        <v>3</v>
      </c>
      <c r="CZ89" s="148">
        <v>3</v>
      </c>
      <c r="DA89" s="148">
        <v>4</v>
      </c>
      <c r="DB89" s="149">
        <v>24</v>
      </c>
      <c r="DC89" s="149">
        <v>42</v>
      </c>
      <c r="DD89" s="278">
        <v>5</v>
      </c>
      <c r="DE89" s="278">
        <v>55</v>
      </c>
      <c r="DF89" s="150"/>
      <c r="DG89" s="147">
        <v>3</v>
      </c>
      <c r="DH89" s="148">
        <v>1</v>
      </c>
      <c r="DI89" s="148">
        <v>1</v>
      </c>
      <c r="DJ89" s="148"/>
      <c r="DK89" s="149">
        <v>4</v>
      </c>
      <c r="DL89" s="149">
        <v>1</v>
      </c>
      <c r="DM89" s="278"/>
      <c r="DN89" s="278"/>
      <c r="DO89" s="150"/>
      <c r="DP89" s="147"/>
      <c r="DQ89" s="148"/>
      <c r="DR89" s="148"/>
      <c r="DS89" s="148"/>
      <c r="DT89" s="149"/>
      <c r="DU89" s="149"/>
      <c r="DV89" s="278"/>
      <c r="DW89" s="278"/>
      <c r="DX89" s="150"/>
      <c r="DY89" s="147">
        <v>2</v>
      </c>
      <c r="DZ89" s="148"/>
      <c r="EA89" s="148"/>
      <c r="EB89" s="148"/>
      <c r="EC89" s="149">
        <v>5</v>
      </c>
      <c r="ED89" s="149">
        <v>1</v>
      </c>
      <c r="EE89" s="278"/>
      <c r="EF89" s="278"/>
      <c r="EG89" s="150"/>
      <c r="EH89" s="147">
        <v>19</v>
      </c>
      <c r="EI89" s="148">
        <v>8</v>
      </c>
      <c r="EJ89" s="148">
        <v>5</v>
      </c>
      <c r="EK89" s="148">
        <v>4</v>
      </c>
      <c r="EL89" s="149">
        <v>16</v>
      </c>
      <c r="EM89" s="149">
        <v>4</v>
      </c>
      <c r="EN89" s="278">
        <v>4</v>
      </c>
      <c r="EO89" s="278">
        <v>2</v>
      </c>
      <c r="EP89" s="150"/>
      <c r="EQ89" s="147">
        <v>1</v>
      </c>
      <c r="ER89" s="148">
        <v>1</v>
      </c>
      <c r="ES89" s="148">
        <v>3</v>
      </c>
      <c r="ET89" s="148">
        <v>1</v>
      </c>
      <c r="EU89" s="149">
        <v>1</v>
      </c>
      <c r="EV89" s="149"/>
      <c r="EW89" s="278">
        <v>1</v>
      </c>
      <c r="EX89" s="278"/>
      <c r="EY89" s="150"/>
      <c r="EZ89" s="147">
        <v>10</v>
      </c>
      <c r="FA89" s="148">
        <v>6</v>
      </c>
      <c r="FB89" s="148">
        <v>14</v>
      </c>
      <c r="FC89" s="148">
        <v>10</v>
      </c>
      <c r="FD89" s="149">
        <v>5</v>
      </c>
      <c r="FE89" s="149"/>
      <c r="FF89" s="278">
        <v>1</v>
      </c>
      <c r="FG89" s="278"/>
      <c r="FH89" s="150"/>
      <c r="FI89" s="147">
        <v>3</v>
      </c>
      <c r="FJ89" s="148">
        <v>1</v>
      </c>
      <c r="FK89" s="148">
        <v>3</v>
      </c>
      <c r="FL89" s="148"/>
      <c r="FM89" s="149"/>
      <c r="FN89" s="149">
        <v>1</v>
      </c>
      <c r="FO89" s="278">
        <v>1</v>
      </c>
      <c r="FP89" s="278"/>
      <c r="FQ89" s="150"/>
      <c r="FR89" s="147">
        <v>5</v>
      </c>
      <c r="FS89" s="148"/>
      <c r="FT89" s="148"/>
      <c r="FU89" s="148"/>
      <c r="FV89" s="149"/>
      <c r="FW89" s="149">
        <v>1</v>
      </c>
      <c r="FX89" s="278">
        <v>1</v>
      </c>
      <c r="FY89" s="278"/>
      <c r="FZ89" s="150"/>
      <c r="GA89" s="147"/>
      <c r="GB89" s="148"/>
      <c r="GC89" s="148"/>
      <c r="GD89" s="148">
        <v>1</v>
      </c>
      <c r="GE89" s="149"/>
      <c r="GF89" s="149"/>
      <c r="GG89" s="278"/>
      <c r="GH89" s="278"/>
      <c r="GI89" s="150"/>
      <c r="GJ89" s="147">
        <v>124</v>
      </c>
      <c r="GK89" s="148">
        <v>90</v>
      </c>
      <c r="GL89" s="148">
        <v>124</v>
      </c>
      <c r="GM89" s="148">
        <v>81</v>
      </c>
      <c r="GN89" s="149">
        <v>113</v>
      </c>
      <c r="GO89" s="149">
        <v>139</v>
      </c>
      <c r="GP89" s="278">
        <v>81</v>
      </c>
      <c r="GQ89" s="278">
        <v>116</v>
      </c>
      <c r="GR89" s="150"/>
      <c r="GS89" s="147">
        <v>24</v>
      </c>
      <c r="GT89" s="148">
        <v>16</v>
      </c>
      <c r="GU89" s="148">
        <v>23</v>
      </c>
      <c r="GV89" s="148">
        <v>23</v>
      </c>
      <c r="GW89" s="149">
        <v>13</v>
      </c>
      <c r="GX89" s="149">
        <v>15</v>
      </c>
      <c r="GY89" s="278">
        <v>15</v>
      </c>
      <c r="GZ89" s="278">
        <v>11</v>
      </c>
      <c r="HA89" s="150"/>
      <c r="HB89" s="147"/>
      <c r="HC89" s="148"/>
      <c r="HD89" s="148">
        <v>5</v>
      </c>
      <c r="HE89" s="148">
        <v>1</v>
      </c>
      <c r="HF89" s="149">
        <v>1</v>
      </c>
      <c r="HG89" s="149">
        <v>1</v>
      </c>
      <c r="HH89" s="278">
        <v>1</v>
      </c>
      <c r="HI89" s="278">
        <v>1</v>
      </c>
      <c r="HJ89" s="150"/>
      <c r="HK89" s="147"/>
      <c r="HL89" s="148"/>
      <c r="HM89" s="148"/>
      <c r="HN89" s="148"/>
      <c r="HO89" s="149"/>
      <c r="HP89" s="149"/>
      <c r="HQ89" s="278"/>
      <c r="HR89" s="278"/>
      <c r="HS89" s="150"/>
      <c r="HT89" s="147">
        <v>36</v>
      </c>
      <c r="HU89" s="148">
        <v>38</v>
      </c>
      <c r="HV89" s="148">
        <v>44</v>
      </c>
      <c r="HW89" s="148">
        <v>49</v>
      </c>
      <c r="HX89" s="149">
        <v>25</v>
      </c>
      <c r="HY89" s="149">
        <v>30</v>
      </c>
      <c r="HZ89" s="278">
        <v>31</v>
      </c>
      <c r="IA89" s="278">
        <v>17</v>
      </c>
      <c r="IB89" s="150"/>
      <c r="IC89" s="147">
        <v>11099</v>
      </c>
      <c r="ID89" s="148">
        <v>1275</v>
      </c>
      <c r="IE89" s="148">
        <v>309</v>
      </c>
      <c r="IF89" s="148">
        <v>754</v>
      </c>
      <c r="IG89" s="149">
        <v>334</v>
      </c>
      <c r="IH89" s="149">
        <v>534</v>
      </c>
      <c r="II89" s="278">
        <v>347</v>
      </c>
      <c r="IJ89" s="278">
        <v>321</v>
      </c>
      <c r="IK89" s="150"/>
    </row>
    <row r="90" spans="1:245" x14ac:dyDescent="0.2">
      <c r="A90" s="961"/>
      <c r="B90" s="151" t="s">
        <v>694</v>
      </c>
      <c r="C90" s="152"/>
      <c r="D90" s="153"/>
      <c r="E90" s="153"/>
      <c r="F90" s="153"/>
      <c r="G90" s="154"/>
      <c r="H90" s="154"/>
      <c r="I90" s="279"/>
      <c r="J90" s="279"/>
      <c r="K90" s="155"/>
      <c r="L90" s="152"/>
      <c r="M90" s="153"/>
      <c r="N90" s="153"/>
      <c r="O90" s="153"/>
      <c r="P90" s="154"/>
      <c r="Q90" s="154"/>
      <c r="R90" s="279"/>
      <c r="S90" s="279"/>
      <c r="T90" s="155"/>
      <c r="U90" s="152"/>
      <c r="V90" s="153"/>
      <c r="W90" s="153"/>
      <c r="X90" s="153"/>
      <c r="Y90" s="154"/>
      <c r="Z90" s="154"/>
      <c r="AA90" s="279"/>
      <c r="AB90" s="279"/>
      <c r="AC90" s="155"/>
      <c r="AD90" s="152">
        <v>427</v>
      </c>
      <c r="AE90" s="153">
        <v>434</v>
      </c>
      <c r="AF90" s="153">
        <v>369</v>
      </c>
      <c r="AG90" s="153">
        <v>376</v>
      </c>
      <c r="AH90" s="154">
        <v>316</v>
      </c>
      <c r="AI90" s="154">
        <v>232</v>
      </c>
      <c r="AJ90" s="279">
        <v>240</v>
      </c>
      <c r="AK90" s="279">
        <v>233</v>
      </c>
      <c r="AL90" s="155"/>
      <c r="AM90" s="152">
        <v>332</v>
      </c>
      <c r="AN90" s="153">
        <v>355</v>
      </c>
      <c r="AO90" s="153">
        <v>262</v>
      </c>
      <c r="AP90" s="153">
        <v>305</v>
      </c>
      <c r="AQ90" s="154">
        <v>259</v>
      </c>
      <c r="AR90" s="154">
        <v>171</v>
      </c>
      <c r="AS90" s="279">
        <v>184</v>
      </c>
      <c r="AT90" s="279">
        <v>178</v>
      </c>
      <c r="AU90" s="155"/>
      <c r="AV90" s="152"/>
      <c r="AW90" s="153"/>
      <c r="AX90" s="153"/>
      <c r="AY90" s="153"/>
      <c r="AZ90" s="154"/>
      <c r="BA90" s="154"/>
      <c r="BB90" s="279"/>
      <c r="BC90" s="279"/>
      <c r="BD90" s="155"/>
      <c r="BE90" s="152">
        <v>21</v>
      </c>
      <c r="BF90" s="153">
        <v>27</v>
      </c>
      <c r="BG90" s="153">
        <v>17</v>
      </c>
      <c r="BH90" s="153">
        <v>25</v>
      </c>
      <c r="BI90" s="154">
        <v>14</v>
      </c>
      <c r="BJ90" s="154">
        <v>15</v>
      </c>
      <c r="BK90" s="279">
        <v>23</v>
      </c>
      <c r="BL90" s="279">
        <v>10</v>
      </c>
      <c r="BM90" s="155"/>
      <c r="BN90" s="152"/>
      <c r="BO90" s="153"/>
      <c r="BP90" s="153"/>
      <c r="BQ90" s="153"/>
      <c r="BR90" s="154"/>
      <c r="BS90" s="154"/>
      <c r="BT90" s="279"/>
      <c r="BU90" s="279"/>
      <c r="BV90" s="155"/>
      <c r="BW90" s="152">
        <v>365</v>
      </c>
      <c r="BX90" s="153">
        <v>431</v>
      </c>
      <c r="BY90" s="153">
        <v>365</v>
      </c>
      <c r="BZ90" s="153">
        <v>380</v>
      </c>
      <c r="CA90" s="154">
        <v>335</v>
      </c>
      <c r="CB90" s="154">
        <v>241</v>
      </c>
      <c r="CC90" s="279">
        <v>211</v>
      </c>
      <c r="CD90" s="279">
        <v>180</v>
      </c>
      <c r="CE90" s="155"/>
      <c r="CF90" s="152">
        <v>19</v>
      </c>
      <c r="CG90" s="153">
        <v>15</v>
      </c>
      <c r="CH90" s="153">
        <v>16</v>
      </c>
      <c r="CI90" s="153">
        <v>7</v>
      </c>
      <c r="CJ90" s="154">
        <v>4</v>
      </c>
      <c r="CK90" s="154">
        <v>13</v>
      </c>
      <c r="CL90" s="279">
        <v>8</v>
      </c>
      <c r="CM90" s="279">
        <v>6</v>
      </c>
      <c r="CN90" s="155"/>
      <c r="CO90" s="152">
        <v>4</v>
      </c>
      <c r="CP90" s="153">
        <v>1</v>
      </c>
      <c r="CQ90" s="153">
        <v>2</v>
      </c>
      <c r="CR90" s="153">
        <v>1</v>
      </c>
      <c r="CS90" s="154">
        <v>1</v>
      </c>
      <c r="CT90" s="154">
        <v>6</v>
      </c>
      <c r="CU90" s="279">
        <v>2</v>
      </c>
      <c r="CV90" s="279">
        <v>12</v>
      </c>
      <c r="CW90" s="155"/>
      <c r="CX90" s="152">
        <v>4555</v>
      </c>
      <c r="CY90" s="153">
        <v>4926</v>
      </c>
      <c r="CZ90" s="153">
        <v>4249</v>
      </c>
      <c r="DA90" s="153">
        <v>3448</v>
      </c>
      <c r="DB90" s="154">
        <v>2585</v>
      </c>
      <c r="DC90" s="154">
        <v>2105</v>
      </c>
      <c r="DD90" s="279">
        <v>2109</v>
      </c>
      <c r="DE90" s="279">
        <v>1373</v>
      </c>
      <c r="DF90" s="155"/>
      <c r="DG90" s="152">
        <v>52</v>
      </c>
      <c r="DH90" s="153">
        <v>46</v>
      </c>
      <c r="DI90" s="153">
        <v>38</v>
      </c>
      <c r="DJ90" s="153">
        <v>24</v>
      </c>
      <c r="DK90" s="154">
        <v>12</v>
      </c>
      <c r="DL90" s="154">
        <v>5</v>
      </c>
      <c r="DM90" s="279">
        <v>10</v>
      </c>
      <c r="DN90" s="279">
        <v>4</v>
      </c>
      <c r="DO90" s="155"/>
      <c r="DP90" s="152">
        <v>384</v>
      </c>
      <c r="DQ90" s="153">
        <v>242</v>
      </c>
      <c r="DR90" s="153">
        <v>205</v>
      </c>
      <c r="DS90" s="153">
        <v>158</v>
      </c>
      <c r="DT90" s="154">
        <v>102</v>
      </c>
      <c r="DU90" s="154">
        <v>78</v>
      </c>
      <c r="DV90" s="279">
        <v>158</v>
      </c>
      <c r="DW90" s="279">
        <v>39</v>
      </c>
      <c r="DX90" s="155"/>
      <c r="DY90" s="152">
        <v>519</v>
      </c>
      <c r="DZ90" s="153">
        <v>654</v>
      </c>
      <c r="EA90" s="153">
        <v>557</v>
      </c>
      <c r="EB90" s="153">
        <v>404</v>
      </c>
      <c r="EC90" s="154">
        <v>366</v>
      </c>
      <c r="ED90" s="154">
        <v>448</v>
      </c>
      <c r="EE90" s="279">
        <v>398</v>
      </c>
      <c r="EF90" s="279">
        <v>218</v>
      </c>
      <c r="EG90" s="155"/>
      <c r="EH90" s="152">
        <v>74</v>
      </c>
      <c r="EI90" s="153">
        <v>81</v>
      </c>
      <c r="EJ90" s="153">
        <v>59</v>
      </c>
      <c r="EK90" s="153">
        <v>37</v>
      </c>
      <c r="EL90" s="154">
        <v>24</v>
      </c>
      <c r="EM90" s="154">
        <v>22</v>
      </c>
      <c r="EN90" s="279">
        <v>24</v>
      </c>
      <c r="EO90" s="279">
        <v>12</v>
      </c>
      <c r="EP90" s="155"/>
      <c r="EQ90" s="152">
        <v>29</v>
      </c>
      <c r="ER90" s="153">
        <v>42</v>
      </c>
      <c r="ES90" s="153">
        <v>74</v>
      </c>
      <c r="ET90" s="153">
        <v>45</v>
      </c>
      <c r="EU90" s="154">
        <v>37</v>
      </c>
      <c r="EV90" s="154">
        <v>43</v>
      </c>
      <c r="EW90" s="279">
        <v>46</v>
      </c>
      <c r="EX90" s="279">
        <v>117</v>
      </c>
      <c r="EY90" s="155"/>
      <c r="EZ90" s="152">
        <v>19</v>
      </c>
      <c r="FA90" s="153">
        <v>7</v>
      </c>
      <c r="FB90" s="153">
        <v>3</v>
      </c>
      <c r="FC90" s="153">
        <v>8</v>
      </c>
      <c r="FD90" s="154">
        <v>8</v>
      </c>
      <c r="FE90" s="154">
        <v>2</v>
      </c>
      <c r="FF90" s="279">
        <v>4</v>
      </c>
      <c r="FG90" s="279">
        <v>4</v>
      </c>
      <c r="FH90" s="155"/>
      <c r="FI90" s="152">
        <v>283</v>
      </c>
      <c r="FJ90" s="153">
        <v>280</v>
      </c>
      <c r="FK90" s="153">
        <v>287</v>
      </c>
      <c r="FL90" s="153">
        <v>173</v>
      </c>
      <c r="FM90" s="154">
        <v>160</v>
      </c>
      <c r="FN90" s="154">
        <v>117</v>
      </c>
      <c r="FO90" s="279">
        <v>103</v>
      </c>
      <c r="FP90" s="279">
        <v>96</v>
      </c>
      <c r="FQ90" s="155"/>
      <c r="FR90" s="152">
        <v>31</v>
      </c>
      <c r="FS90" s="153">
        <v>25</v>
      </c>
      <c r="FT90" s="153">
        <v>20</v>
      </c>
      <c r="FU90" s="153">
        <v>21</v>
      </c>
      <c r="FV90" s="154">
        <v>13</v>
      </c>
      <c r="FW90" s="154">
        <v>24</v>
      </c>
      <c r="FX90" s="279">
        <v>15</v>
      </c>
      <c r="FY90" s="279">
        <v>13</v>
      </c>
      <c r="FZ90" s="155"/>
      <c r="GA90" s="152">
        <v>13</v>
      </c>
      <c r="GB90" s="153">
        <v>16</v>
      </c>
      <c r="GC90" s="153">
        <v>15</v>
      </c>
      <c r="GD90" s="153">
        <v>18</v>
      </c>
      <c r="GE90" s="154">
        <v>27</v>
      </c>
      <c r="GF90" s="154">
        <v>11</v>
      </c>
      <c r="GG90" s="279">
        <v>17</v>
      </c>
      <c r="GH90" s="279">
        <v>12</v>
      </c>
      <c r="GI90" s="155"/>
      <c r="GJ90" s="152">
        <v>5840</v>
      </c>
      <c r="GK90" s="153">
        <v>6285</v>
      </c>
      <c r="GL90" s="153">
        <v>5476</v>
      </c>
      <c r="GM90" s="153">
        <v>4539</v>
      </c>
      <c r="GN90" s="154">
        <v>3524</v>
      </c>
      <c r="GO90" s="154">
        <v>2831</v>
      </c>
      <c r="GP90" s="279">
        <v>2802</v>
      </c>
      <c r="GQ90" s="279">
        <v>2068</v>
      </c>
      <c r="GR90" s="155"/>
      <c r="GS90" s="152">
        <v>2002</v>
      </c>
      <c r="GT90" s="153">
        <v>2002</v>
      </c>
      <c r="GU90" s="153">
        <v>1931</v>
      </c>
      <c r="GV90" s="153">
        <v>1366</v>
      </c>
      <c r="GW90" s="154">
        <v>746</v>
      </c>
      <c r="GX90" s="154">
        <v>504</v>
      </c>
      <c r="GY90" s="279">
        <v>645</v>
      </c>
      <c r="GZ90" s="279">
        <v>400</v>
      </c>
      <c r="HA90" s="155"/>
      <c r="HB90" s="152">
        <v>30</v>
      </c>
      <c r="HC90" s="153">
        <v>34</v>
      </c>
      <c r="HD90" s="153">
        <v>23</v>
      </c>
      <c r="HE90" s="153">
        <v>17</v>
      </c>
      <c r="HF90" s="154">
        <v>26</v>
      </c>
      <c r="HG90" s="154">
        <v>15</v>
      </c>
      <c r="HH90" s="279">
        <v>9</v>
      </c>
      <c r="HI90" s="279">
        <v>8</v>
      </c>
      <c r="HJ90" s="155"/>
      <c r="HK90" s="152">
        <v>15</v>
      </c>
      <c r="HL90" s="153">
        <v>2</v>
      </c>
      <c r="HM90" s="153">
        <v>2</v>
      </c>
      <c r="HN90" s="153">
        <v>5</v>
      </c>
      <c r="HO90" s="154">
        <v>5</v>
      </c>
      <c r="HP90" s="154">
        <v>4</v>
      </c>
      <c r="HQ90" s="279">
        <v>4</v>
      </c>
      <c r="HR90" s="279"/>
      <c r="HS90" s="155"/>
      <c r="HT90" s="152">
        <v>2468</v>
      </c>
      <c r="HU90" s="153">
        <v>2389</v>
      </c>
      <c r="HV90" s="153">
        <v>2286</v>
      </c>
      <c r="HW90" s="153">
        <v>1695</v>
      </c>
      <c r="HX90" s="154">
        <v>1164</v>
      </c>
      <c r="HY90" s="154">
        <v>949</v>
      </c>
      <c r="HZ90" s="279">
        <v>1061</v>
      </c>
      <c r="IA90" s="279">
        <v>761</v>
      </c>
      <c r="IB90" s="155"/>
      <c r="IC90" s="152">
        <v>10592</v>
      </c>
      <c r="ID90" s="153">
        <v>20577</v>
      </c>
      <c r="IE90" s="153">
        <v>10312</v>
      </c>
      <c r="IF90" s="153">
        <v>6737</v>
      </c>
      <c r="IG90" s="154">
        <v>6551</v>
      </c>
      <c r="IH90" s="154">
        <v>5648</v>
      </c>
      <c r="II90" s="279">
        <v>6620</v>
      </c>
      <c r="IJ90" s="279">
        <v>3488</v>
      </c>
      <c r="IK90" s="155"/>
    </row>
    <row r="91" spans="1:245" x14ac:dyDescent="0.2">
      <c r="A91" s="961"/>
      <c r="B91" s="151" t="s">
        <v>695</v>
      </c>
      <c r="C91" s="152"/>
      <c r="D91" s="153">
        <v>1</v>
      </c>
      <c r="E91" s="153"/>
      <c r="F91" s="153"/>
      <c r="G91" s="154"/>
      <c r="H91" s="154"/>
      <c r="I91" s="279"/>
      <c r="J91" s="279"/>
      <c r="K91" s="155"/>
      <c r="L91" s="152"/>
      <c r="M91" s="153"/>
      <c r="N91" s="153"/>
      <c r="O91" s="153"/>
      <c r="P91" s="154"/>
      <c r="Q91" s="154"/>
      <c r="R91" s="279"/>
      <c r="S91" s="279"/>
      <c r="T91" s="155"/>
      <c r="U91" s="152"/>
      <c r="V91" s="153">
        <v>1</v>
      </c>
      <c r="W91" s="153"/>
      <c r="X91" s="153"/>
      <c r="Y91" s="154"/>
      <c r="Z91" s="154"/>
      <c r="AA91" s="279"/>
      <c r="AB91" s="279"/>
      <c r="AC91" s="155"/>
      <c r="AD91" s="152">
        <v>240</v>
      </c>
      <c r="AE91" s="153">
        <v>177</v>
      </c>
      <c r="AF91" s="153">
        <v>180</v>
      </c>
      <c r="AG91" s="153">
        <v>173</v>
      </c>
      <c r="AH91" s="154">
        <v>151</v>
      </c>
      <c r="AI91" s="154">
        <v>173</v>
      </c>
      <c r="AJ91" s="279">
        <v>143</v>
      </c>
      <c r="AK91" s="279">
        <v>130</v>
      </c>
      <c r="AL91" s="155"/>
      <c r="AM91" s="152">
        <v>196</v>
      </c>
      <c r="AN91" s="153">
        <v>135</v>
      </c>
      <c r="AO91" s="153">
        <v>142</v>
      </c>
      <c r="AP91" s="153">
        <v>133</v>
      </c>
      <c r="AQ91" s="154">
        <v>110</v>
      </c>
      <c r="AR91" s="154">
        <v>115</v>
      </c>
      <c r="AS91" s="279">
        <v>90</v>
      </c>
      <c r="AT91" s="279">
        <v>87</v>
      </c>
      <c r="AU91" s="155"/>
      <c r="AV91" s="152"/>
      <c r="AW91" s="153"/>
      <c r="AX91" s="153"/>
      <c r="AY91" s="153"/>
      <c r="AZ91" s="154"/>
      <c r="BA91" s="154"/>
      <c r="BB91" s="279"/>
      <c r="BC91" s="279"/>
      <c r="BD91" s="155"/>
      <c r="BE91" s="152">
        <v>11</v>
      </c>
      <c r="BF91" s="153">
        <v>12</v>
      </c>
      <c r="BG91" s="153">
        <v>19</v>
      </c>
      <c r="BH91" s="153">
        <v>24</v>
      </c>
      <c r="BI91" s="154">
        <v>13</v>
      </c>
      <c r="BJ91" s="154">
        <v>5</v>
      </c>
      <c r="BK91" s="279">
        <v>18</v>
      </c>
      <c r="BL91" s="279">
        <v>13</v>
      </c>
      <c r="BM91" s="155"/>
      <c r="BN91" s="152"/>
      <c r="BO91" s="153"/>
      <c r="BP91" s="153"/>
      <c r="BQ91" s="153"/>
      <c r="BR91" s="154"/>
      <c r="BS91" s="154"/>
      <c r="BT91" s="279"/>
      <c r="BU91" s="279"/>
      <c r="BV91" s="155"/>
      <c r="BW91" s="152">
        <v>124</v>
      </c>
      <c r="BX91" s="153">
        <v>124</v>
      </c>
      <c r="BY91" s="153">
        <v>118</v>
      </c>
      <c r="BZ91" s="153">
        <v>136</v>
      </c>
      <c r="CA91" s="154">
        <v>125</v>
      </c>
      <c r="CB91" s="154">
        <v>170</v>
      </c>
      <c r="CC91" s="279">
        <v>126</v>
      </c>
      <c r="CD91" s="279">
        <v>93</v>
      </c>
      <c r="CE91" s="155"/>
      <c r="CF91" s="152">
        <v>7</v>
      </c>
      <c r="CG91" s="153">
        <v>1</v>
      </c>
      <c r="CH91" s="153">
        <v>2</v>
      </c>
      <c r="CI91" s="153">
        <v>4</v>
      </c>
      <c r="CJ91" s="154">
        <v>6</v>
      </c>
      <c r="CK91" s="154">
        <v>4</v>
      </c>
      <c r="CL91" s="279">
        <v>6</v>
      </c>
      <c r="CM91" s="279"/>
      <c r="CN91" s="155"/>
      <c r="CO91" s="152">
        <v>2</v>
      </c>
      <c r="CP91" s="153">
        <v>3</v>
      </c>
      <c r="CQ91" s="153">
        <v>2</v>
      </c>
      <c r="CR91" s="153">
        <v>1</v>
      </c>
      <c r="CS91" s="154"/>
      <c r="CT91" s="154">
        <v>1</v>
      </c>
      <c r="CU91" s="279"/>
      <c r="CV91" s="279">
        <v>2</v>
      </c>
      <c r="CW91" s="155"/>
      <c r="CX91" s="152">
        <v>1133</v>
      </c>
      <c r="CY91" s="153">
        <v>1000</v>
      </c>
      <c r="CZ91" s="153">
        <v>913</v>
      </c>
      <c r="DA91" s="153">
        <v>690</v>
      </c>
      <c r="DB91" s="154">
        <v>617</v>
      </c>
      <c r="DC91" s="154">
        <v>427</v>
      </c>
      <c r="DD91" s="279">
        <v>412</v>
      </c>
      <c r="DE91" s="279">
        <v>335</v>
      </c>
      <c r="DF91" s="155"/>
      <c r="DG91" s="152">
        <v>1</v>
      </c>
      <c r="DH91" s="153">
        <v>1</v>
      </c>
      <c r="DI91" s="153"/>
      <c r="DJ91" s="153"/>
      <c r="DK91" s="154">
        <v>1</v>
      </c>
      <c r="DL91" s="154">
        <v>2</v>
      </c>
      <c r="DM91" s="279">
        <v>1</v>
      </c>
      <c r="DN91" s="279"/>
      <c r="DO91" s="155"/>
      <c r="DP91" s="152">
        <v>13</v>
      </c>
      <c r="DQ91" s="153">
        <v>11</v>
      </c>
      <c r="DR91" s="153">
        <v>13</v>
      </c>
      <c r="DS91" s="153">
        <v>2</v>
      </c>
      <c r="DT91" s="154">
        <v>3</v>
      </c>
      <c r="DU91" s="154">
        <v>4</v>
      </c>
      <c r="DV91" s="279">
        <v>3</v>
      </c>
      <c r="DW91" s="279">
        <v>1</v>
      </c>
      <c r="DX91" s="155"/>
      <c r="DY91" s="152">
        <v>303</v>
      </c>
      <c r="DZ91" s="153">
        <v>237</v>
      </c>
      <c r="EA91" s="153">
        <v>128</v>
      </c>
      <c r="EB91" s="153">
        <v>131</v>
      </c>
      <c r="EC91" s="154">
        <v>113</v>
      </c>
      <c r="ED91" s="154">
        <v>108</v>
      </c>
      <c r="EE91" s="279">
        <v>106</v>
      </c>
      <c r="EF91" s="279">
        <v>89</v>
      </c>
      <c r="EG91" s="155"/>
      <c r="EH91" s="152">
        <v>15</v>
      </c>
      <c r="EI91" s="153">
        <v>10</v>
      </c>
      <c r="EJ91" s="153">
        <v>12</v>
      </c>
      <c r="EK91" s="153">
        <v>19</v>
      </c>
      <c r="EL91" s="154">
        <v>3</v>
      </c>
      <c r="EM91" s="154">
        <v>8</v>
      </c>
      <c r="EN91" s="279">
        <v>6</v>
      </c>
      <c r="EO91" s="279">
        <v>8</v>
      </c>
      <c r="EP91" s="155"/>
      <c r="EQ91" s="152">
        <v>1</v>
      </c>
      <c r="ER91" s="153">
        <v>2</v>
      </c>
      <c r="ES91" s="153">
        <v>4</v>
      </c>
      <c r="ET91" s="153">
        <v>2</v>
      </c>
      <c r="EU91" s="154">
        <v>3</v>
      </c>
      <c r="EV91" s="154">
        <v>7</v>
      </c>
      <c r="EW91" s="279">
        <v>4</v>
      </c>
      <c r="EX91" s="279">
        <v>9</v>
      </c>
      <c r="EY91" s="155"/>
      <c r="EZ91" s="152">
        <v>16</v>
      </c>
      <c r="FA91" s="153">
        <v>15</v>
      </c>
      <c r="FB91" s="153">
        <v>6</v>
      </c>
      <c r="FC91" s="153">
        <v>8</v>
      </c>
      <c r="FD91" s="154">
        <v>1</v>
      </c>
      <c r="FE91" s="154">
        <v>6</v>
      </c>
      <c r="FF91" s="279">
        <v>3</v>
      </c>
      <c r="FG91" s="279"/>
      <c r="FH91" s="155"/>
      <c r="FI91" s="152">
        <v>73</v>
      </c>
      <c r="FJ91" s="153">
        <v>37</v>
      </c>
      <c r="FK91" s="153">
        <v>24</v>
      </c>
      <c r="FL91" s="153">
        <v>16</v>
      </c>
      <c r="FM91" s="154">
        <v>13</v>
      </c>
      <c r="FN91" s="154">
        <v>19</v>
      </c>
      <c r="FO91" s="279">
        <v>24</v>
      </c>
      <c r="FP91" s="279">
        <v>18</v>
      </c>
      <c r="FQ91" s="155"/>
      <c r="FR91" s="152">
        <v>12</v>
      </c>
      <c r="FS91" s="153">
        <v>13</v>
      </c>
      <c r="FT91" s="153">
        <v>3</v>
      </c>
      <c r="FU91" s="153">
        <v>5</v>
      </c>
      <c r="FV91" s="154">
        <v>14</v>
      </c>
      <c r="FW91" s="154">
        <v>5</v>
      </c>
      <c r="FX91" s="279">
        <v>1</v>
      </c>
      <c r="FY91" s="279">
        <v>4</v>
      </c>
      <c r="FZ91" s="155"/>
      <c r="GA91" s="152">
        <v>9</v>
      </c>
      <c r="GB91" s="153">
        <v>8</v>
      </c>
      <c r="GC91" s="153">
        <v>2</v>
      </c>
      <c r="GD91" s="153">
        <v>4</v>
      </c>
      <c r="GE91" s="154">
        <v>3</v>
      </c>
      <c r="GF91" s="154">
        <v>6</v>
      </c>
      <c r="GG91" s="279">
        <v>6</v>
      </c>
      <c r="GH91" s="279">
        <v>3</v>
      </c>
      <c r="GI91" s="155"/>
      <c r="GJ91" s="152">
        <v>1643</v>
      </c>
      <c r="GK91" s="153">
        <v>1403</v>
      </c>
      <c r="GL91" s="153">
        <v>1285</v>
      </c>
      <c r="GM91" s="153">
        <v>1082</v>
      </c>
      <c r="GN91" s="154">
        <v>949</v>
      </c>
      <c r="GO91" s="154">
        <v>831</v>
      </c>
      <c r="GP91" s="279">
        <v>749</v>
      </c>
      <c r="GQ91" s="279">
        <v>615</v>
      </c>
      <c r="GR91" s="155"/>
      <c r="GS91" s="152">
        <v>436</v>
      </c>
      <c r="GT91" s="153">
        <v>395</v>
      </c>
      <c r="GU91" s="153">
        <v>402</v>
      </c>
      <c r="GV91" s="153">
        <v>280</v>
      </c>
      <c r="GW91" s="154">
        <v>184</v>
      </c>
      <c r="GX91" s="154">
        <v>210</v>
      </c>
      <c r="GY91" s="279">
        <v>166</v>
      </c>
      <c r="GZ91" s="279">
        <v>131</v>
      </c>
      <c r="HA91" s="155"/>
      <c r="HB91" s="152">
        <v>4</v>
      </c>
      <c r="HC91" s="153">
        <v>3</v>
      </c>
      <c r="HD91" s="153">
        <v>3</v>
      </c>
      <c r="HE91" s="153">
        <v>6</v>
      </c>
      <c r="HF91" s="154">
        <v>4</v>
      </c>
      <c r="HG91" s="154">
        <v>5</v>
      </c>
      <c r="HH91" s="279">
        <v>5</v>
      </c>
      <c r="HI91" s="279">
        <v>3</v>
      </c>
      <c r="HJ91" s="155"/>
      <c r="HK91" s="152"/>
      <c r="HL91" s="153">
        <v>2</v>
      </c>
      <c r="HM91" s="153">
        <v>1</v>
      </c>
      <c r="HN91" s="153">
        <v>1</v>
      </c>
      <c r="HO91" s="154"/>
      <c r="HP91" s="154">
        <v>2</v>
      </c>
      <c r="HQ91" s="279">
        <v>3</v>
      </c>
      <c r="HR91" s="279">
        <v>1</v>
      </c>
      <c r="HS91" s="155"/>
      <c r="HT91" s="152">
        <v>554</v>
      </c>
      <c r="HU91" s="153">
        <v>502</v>
      </c>
      <c r="HV91" s="153">
        <v>467</v>
      </c>
      <c r="HW91" s="153">
        <v>364</v>
      </c>
      <c r="HX91" s="154">
        <v>275</v>
      </c>
      <c r="HY91" s="154">
        <v>315</v>
      </c>
      <c r="HZ91" s="279">
        <v>310</v>
      </c>
      <c r="IA91" s="279">
        <v>277</v>
      </c>
      <c r="IB91" s="155"/>
      <c r="IC91" s="152">
        <v>2470</v>
      </c>
      <c r="ID91" s="153">
        <v>2240</v>
      </c>
      <c r="IE91" s="153">
        <v>1986</v>
      </c>
      <c r="IF91" s="153">
        <v>1614</v>
      </c>
      <c r="IG91" s="154">
        <v>1391</v>
      </c>
      <c r="IH91" s="154">
        <v>1302</v>
      </c>
      <c r="II91" s="279">
        <v>1165</v>
      </c>
      <c r="IJ91" s="279">
        <v>1009</v>
      </c>
      <c r="IK91" s="155"/>
    </row>
    <row r="92" spans="1:245" x14ac:dyDescent="0.2">
      <c r="A92" s="961"/>
      <c r="B92" s="151" t="s">
        <v>773</v>
      </c>
      <c r="C92" s="152"/>
      <c r="D92" s="153"/>
      <c r="E92" s="153"/>
      <c r="F92" s="153"/>
      <c r="G92" s="154"/>
      <c r="H92" s="154"/>
      <c r="I92" s="279"/>
      <c r="J92" s="279"/>
      <c r="K92" s="155"/>
      <c r="L92" s="152"/>
      <c r="M92" s="153"/>
      <c r="N92" s="153"/>
      <c r="O92" s="153"/>
      <c r="P92" s="154"/>
      <c r="Q92" s="154"/>
      <c r="R92" s="279"/>
      <c r="S92" s="279"/>
      <c r="T92" s="155"/>
      <c r="U92" s="152"/>
      <c r="V92" s="153"/>
      <c r="W92" s="153"/>
      <c r="X92" s="153"/>
      <c r="Y92" s="154"/>
      <c r="Z92" s="154"/>
      <c r="AA92" s="279"/>
      <c r="AB92" s="279"/>
      <c r="AC92" s="155"/>
      <c r="AD92" s="152">
        <v>172</v>
      </c>
      <c r="AE92" s="153">
        <v>173</v>
      </c>
      <c r="AF92" s="153">
        <v>152</v>
      </c>
      <c r="AG92" s="153">
        <v>142</v>
      </c>
      <c r="AH92" s="154">
        <v>177</v>
      </c>
      <c r="AI92" s="154">
        <v>120</v>
      </c>
      <c r="AJ92" s="279">
        <v>72</v>
      </c>
      <c r="AK92" s="279">
        <v>67</v>
      </c>
      <c r="AL92" s="155"/>
      <c r="AM92" s="152">
        <v>130</v>
      </c>
      <c r="AN92" s="153">
        <v>127</v>
      </c>
      <c r="AO92" s="153">
        <v>115</v>
      </c>
      <c r="AP92" s="153">
        <v>117</v>
      </c>
      <c r="AQ92" s="154">
        <v>132</v>
      </c>
      <c r="AR92" s="154">
        <v>96</v>
      </c>
      <c r="AS92" s="279">
        <v>59</v>
      </c>
      <c r="AT92" s="279">
        <v>52</v>
      </c>
      <c r="AU92" s="155"/>
      <c r="AV92" s="152"/>
      <c r="AW92" s="153"/>
      <c r="AX92" s="153"/>
      <c r="AY92" s="153"/>
      <c r="AZ92" s="154"/>
      <c r="BA92" s="154"/>
      <c r="BB92" s="279"/>
      <c r="BC92" s="279"/>
      <c r="BD92" s="155"/>
      <c r="BE92" s="152">
        <v>13</v>
      </c>
      <c r="BF92" s="153">
        <v>23</v>
      </c>
      <c r="BG92" s="153">
        <v>18</v>
      </c>
      <c r="BH92" s="153">
        <v>17</v>
      </c>
      <c r="BI92" s="154">
        <v>46</v>
      </c>
      <c r="BJ92" s="154">
        <v>17</v>
      </c>
      <c r="BK92" s="279">
        <v>13</v>
      </c>
      <c r="BL92" s="279">
        <v>17</v>
      </c>
      <c r="BM92" s="155"/>
      <c r="BN92" s="152"/>
      <c r="BO92" s="153"/>
      <c r="BP92" s="153"/>
      <c r="BQ92" s="153"/>
      <c r="BR92" s="154"/>
      <c r="BS92" s="154"/>
      <c r="BT92" s="279"/>
      <c r="BU92" s="279"/>
      <c r="BV92" s="155"/>
      <c r="BW92" s="152">
        <v>131</v>
      </c>
      <c r="BX92" s="153">
        <v>100</v>
      </c>
      <c r="BY92" s="153">
        <v>112</v>
      </c>
      <c r="BZ92" s="153">
        <v>104</v>
      </c>
      <c r="CA92" s="154">
        <v>156</v>
      </c>
      <c r="CB92" s="154">
        <v>88</v>
      </c>
      <c r="CC92" s="279">
        <v>40</v>
      </c>
      <c r="CD92" s="279">
        <v>38</v>
      </c>
      <c r="CE92" s="155"/>
      <c r="CF92" s="152">
        <v>2</v>
      </c>
      <c r="CG92" s="153">
        <v>3</v>
      </c>
      <c r="CH92" s="153"/>
      <c r="CI92" s="153">
        <v>2</v>
      </c>
      <c r="CJ92" s="154">
        <v>1</v>
      </c>
      <c r="CK92" s="154">
        <v>2</v>
      </c>
      <c r="CL92" s="279">
        <v>1</v>
      </c>
      <c r="CM92" s="279">
        <v>2</v>
      </c>
      <c r="CN92" s="155"/>
      <c r="CO92" s="152">
        <v>2</v>
      </c>
      <c r="CP92" s="153"/>
      <c r="CQ92" s="153"/>
      <c r="CR92" s="153">
        <v>1</v>
      </c>
      <c r="CS92" s="154"/>
      <c r="CT92" s="154"/>
      <c r="CU92" s="279"/>
      <c r="CV92" s="279">
        <v>2</v>
      </c>
      <c r="CW92" s="155"/>
      <c r="CX92" s="152">
        <v>1275</v>
      </c>
      <c r="CY92" s="153">
        <v>1148</v>
      </c>
      <c r="CZ92" s="153">
        <v>1382</v>
      </c>
      <c r="DA92" s="153">
        <v>848</v>
      </c>
      <c r="DB92" s="154">
        <v>624</v>
      </c>
      <c r="DC92" s="154">
        <v>419</v>
      </c>
      <c r="DD92" s="279">
        <v>236</v>
      </c>
      <c r="DE92" s="279">
        <v>205</v>
      </c>
      <c r="DF92" s="155"/>
      <c r="DG92" s="152">
        <v>4</v>
      </c>
      <c r="DH92" s="153">
        <v>4</v>
      </c>
      <c r="DI92" s="153">
        <v>3</v>
      </c>
      <c r="DJ92" s="153">
        <v>1</v>
      </c>
      <c r="DK92" s="154">
        <v>1</v>
      </c>
      <c r="DL92" s="154"/>
      <c r="DM92" s="279">
        <v>1</v>
      </c>
      <c r="DN92" s="279"/>
      <c r="DO92" s="155"/>
      <c r="DP92" s="152">
        <v>22</v>
      </c>
      <c r="DQ92" s="153">
        <v>37</v>
      </c>
      <c r="DR92" s="153">
        <v>24</v>
      </c>
      <c r="DS92" s="153">
        <v>10</v>
      </c>
      <c r="DT92" s="154">
        <v>4</v>
      </c>
      <c r="DU92" s="154">
        <v>6</v>
      </c>
      <c r="DV92" s="279">
        <v>1</v>
      </c>
      <c r="DW92" s="279">
        <v>1</v>
      </c>
      <c r="DX92" s="155"/>
      <c r="DY92" s="152">
        <v>146</v>
      </c>
      <c r="DZ92" s="153">
        <v>201</v>
      </c>
      <c r="EA92" s="153">
        <v>219</v>
      </c>
      <c r="EB92" s="153">
        <v>102</v>
      </c>
      <c r="EC92" s="154">
        <v>103</v>
      </c>
      <c r="ED92" s="154">
        <v>62</v>
      </c>
      <c r="EE92" s="279">
        <v>44</v>
      </c>
      <c r="EF92" s="279">
        <v>35</v>
      </c>
      <c r="EG92" s="155"/>
      <c r="EH92" s="152">
        <v>8</v>
      </c>
      <c r="EI92" s="153">
        <v>12</v>
      </c>
      <c r="EJ92" s="153">
        <v>12</v>
      </c>
      <c r="EK92" s="153">
        <v>14</v>
      </c>
      <c r="EL92" s="154">
        <v>10</v>
      </c>
      <c r="EM92" s="154">
        <v>5</v>
      </c>
      <c r="EN92" s="279">
        <v>3</v>
      </c>
      <c r="EO92" s="279">
        <v>4</v>
      </c>
      <c r="EP92" s="155"/>
      <c r="EQ92" s="152">
        <v>4</v>
      </c>
      <c r="ER92" s="153">
        <v>3</v>
      </c>
      <c r="ES92" s="153">
        <v>5</v>
      </c>
      <c r="ET92" s="153">
        <v>11</v>
      </c>
      <c r="EU92" s="154">
        <v>5</v>
      </c>
      <c r="EV92" s="154">
        <v>2</v>
      </c>
      <c r="EW92" s="279">
        <v>10</v>
      </c>
      <c r="EX92" s="279">
        <v>3</v>
      </c>
      <c r="EY92" s="155"/>
      <c r="EZ92" s="152">
        <v>7</v>
      </c>
      <c r="FA92" s="153">
        <v>4</v>
      </c>
      <c r="FB92" s="153">
        <v>1</v>
      </c>
      <c r="FC92" s="153">
        <v>2</v>
      </c>
      <c r="FD92" s="154"/>
      <c r="FE92" s="154">
        <v>5</v>
      </c>
      <c r="FF92" s="279"/>
      <c r="FG92" s="279"/>
      <c r="FH92" s="155"/>
      <c r="FI92" s="152">
        <v>61</v>
      </c>
      <c r="FJ92" s="153">
        <v>70</v>
      </c>
      <c r="FK92" s="153">
        <v>37</v>
      </c>
      <c r="FL92" s="153">
        <v>30</v>
      </c>
      <c r="FM92" s="154">
        <v>20</v>
      </c>
      <c r="FN92" s="154">
        <v>16</v>
      </c>
      <c r="FO92" s="279">
        <v>13</v>
      </c>
      <c r="FP92" s="279">
        <v>1</v>
      </c>
      <c r="FQ92" s="155"/>
      <c r="FR92" s="152">
        <v>15</v>
      </c>
      <c r="FS92" s="153">
        <v>16</v>
      </c>
      <c r="FT92" s="153">
        <v>5</v>
      </c>
      <c r="FU92" s="153">
        <v>12</v>
      </c>
      <c r="FV92" s="154">
        <v>5</v>
      </c>
      <c r="FW92" s="154">
        <v>1</v>
      </c>
      <c r="FX92" s="279">
        <v>3</v>
      </c>
      <c r="FY92" s="279">
        <v>2</v>
      </c>
      <c r="FZ92" s="155"/>
      <c r="GA92" s="152">
        <v>9</v>
      </c>
      <c r="GB92" s="153">
        <v>7</v>
      </c>
      <c r="GC92" s="153">
        <v>4</v>
      </c>
      <c r="GD92" s="153">
        <v>5</v>
      </c>
      <c r="GE92" s="154">
        <v>6</v>
      </c>
      <c r="GF92" s="154">
        <v>4</v>
      </c>
      <c r="GG92" s="279">
        <v>8</v>
      </c>
      <c r="GH92" s="279">
        <v>4</v>
      </c>
      <c r="GI92" s="155"/>
      <c r="GJ92" s="152">
        <v>1699</v>
      </c>
      <c r="GK92" s="153">
        <v>1559</v>
      </c>
      <c r="GL92" s="153">
        <v>1728</v>
      </c>
      <c r="GM92" s="153">
        <v>1188</v>
      </c>
      <c r="GN92" s="154">
        <v>1050</v>
      </c>
      <c r="GO92" s="154">
        <v>679</v>
      </c>
      <c r="GP92" s="279">
        <v>399</v>
      </c>
      <c r="GQ92" s="279">
        <v>345</v>
      </c>
      <c r="GR92" s="155"/>
      <c r="GS92" s="152">
        <v>456</v>
      </c>
      <c r="GT92" s="153">
        <v>441</v>
      </c>
      <c r="GU92" s="153">
        <v>469</v>
      </c>
      <c r="GV92" s="153">
        <v>351</v>
      </c>
      <c r="GW92" s="154">
        <v>250</v>
      </c>
      <c r="GX92" s="154">
        <v>164</v>
      </c>
      <c r="GY92" s="279">
        <v>93</v>
      </c>
      <c r="GZ92" s="279">
        <v>77</v>
      </c>
      <c r="HA92" s="155"/>
      <c r="HB92" s="152"/>
      <c r="HC92" s="153"/>
      <c r="HD92" s="153"/>
      <c r="HE92" s="153"/>
      <c r="HF92" s="154"/>
      <c r="HG92" s="154"/>
      <c r="HH92" s="279"/>
      <c r="HI92" s="279"/>
      <c r="HJ92" s="155"/>
      <c r="HK92" s="152"/>
      <c r="HL92" s="153"/>
      <c r="HM92" s="153"/>
      <c r="HN92" s="153">
        <v>1</v>
      </c>
      <c r="HO92" s="154"/>
      <c r="HP92" s="154"/>
      <c r="HQ92" s="279"/>
      <c r="HR92" s="279"/>
      <c r="HS92" s="155"/>
      <c r="HT92" s="152">
        <v>566</v>
      </c>
      <c r="HU92" s="153">
        <v>537</v>
      </c>
      <c r="HV92" s="153">
        <v>539</v>
      </c>
      <c r="HW92" s="153">
        <v>426</v>
      </c>
      <c r="HX92" s="154">
        <v>350</v>
      </c>
      <c r="HY92" s="154">
        <v>257</v>
      </c>
      <c r="HZ92" s="279">
        <v>193</v>
      </c>
      <c r="IA92" s="279">
        <v>169</v>
      </c>
      <c r="IB92" s="155"/>
      <c r="IC92" s="152">
        <v>2072</v>
      </c>
      <c r="ID92" s="153">
        <v>2218</v>
      </c>
      <c r="IE92" s="153">
        <v>2292</v>
      </c>
      <c r="IF92" s="153">
        <v>1526</v>
      </c>
      <c r="IG92" s="154">
        <v>1348</v>
      </c>
      <c r="IH92" s="154">
        <v>967</v>
      </c>
      <c r="II92" s="279">
        <v>645</v>
      </c>
      <c r="IJ92" s="279">
        <v>570</v>
      </c>
      <c r="IK92" s="155"/>
    </row>
    <row r="93" spans="1:245" x14ac:dyDescent="0.2">
      <c r="A93" s="961"/>
      <c r="B93" s="151" t="s">
        <v>696</v>
      </c>
      <c r="C93" s="152"/>
      <c r="D93" s="153"/>
      <c r="E93" s="153"/>
      <c r="F93" s="153"/>
      <c r="G93" s="154"/>
      <c r="H93" s="154"/>
      <c r="I93" s="279"/>
      <c r="J93" s="279"/>
      <c r="K93" s="155"/>
      <c r="L93" s="152"/>
      <c r="M93" s="153"/>
      <c r="N93" s="153"/>
      <c r="O93" s="153"/>
      <c r="P93" s="154"/>
      <c r="Q93" s="154"/>
      <c r="R93" s="279"/>
      <c r="S93" s="279"/>
      <c r="T93" s="155"/>
      <c r="U93" s="152"/>
      <c r="V93" s="153"/>
      <c r="W93" s="153"/>
      <c r="X93" s="153"/>
      <c r="Y93" s="154"/>
      <c r="Z93" s="154"/>
      <c r="AA93" s="279"/>
      <c r="AB93" s="279"/>
      <c r="AC93" s="155"/>
      <c r="AD93" s="152">
        <v>77</v>
      </c>
      <c r="AE93" s="153">
        <v>83</v>
      </c>
      <c r="AF93" s="153">
        <v>66</v>
      </c>
      <c r="AG93" s="153">
        <v>81</v>
      </c>
      <c r="AH93" s="154">
        <v>77</v>
      </c>
      <c r="AI93" s="154">
        <v>76</v>
      </c>
      <c r="AJ93" s="279">
        <v>81</v>
      </c>
      <c r="AK93" s="279">
        <v>61</v>
      </c>
      <c r="AL93" s="155"/>
      <c r="AM93" s="152">
        <v>56</v>
      </c>
      <c r="AN93" s="153">
        <v>56</v>
      </c>
      <c r="AO93" s="153">
        <v>41</v>
      </c>
      <c r="AP93" s="153">
        <v>63</v>
      </c>
      <c r="AQ93" s="154">
        <v>51</v>
      </c>
      <c r="AR93" s="154">
        <v>54</v>
      </c>
      <c r="AS93" s="279">
        <v>59</v>
      </c>
      <c r="AT93" s="279">
        <v>50</v>
      </c>
      <c r="AU93" s="155"/>
      <c r="AV93" s="152"/>
      <c r="AW93" s="153"/>
      <c r="AX93" s="153"/>
      <c r="AY93" s="153"/>
      <c r="AZ93" s="154"/>
      <c r="BA93" s="154"/>
      <c r="BB93" s="279"/>
      <c r="BC93" s="279"/>
      <c r="BD93" s="155"/>
      <c r="BE93" s="152">
        <v>16</v>
      </c>
      <c r="BF93" s="153">
        <v>1</v>
      </c>
      <c r="BG93" s="153">
        <v>11</v>
      </c>
      <c r="BH93" s="153">
        <v>4</v>
      </c>
      <c r="BI93" s="154">
        <v>3</v>
      </c>
      <c r="BJ93" s="154">
        <v>1</v>
      </c>
      <c r="BK93" s="279">
        <v>2</v>
      </c>
      <c r="BL93" s="279"/>
      <c r="BM93" s="155"/>
      <c r="BN93" s="152"/>
      <c r="BO93" s="153"/>
      <c r="BP93" s="153"/>
      <c r="BQ93" s="153"/>
      <c r="BR93" s="154"/>
      <c r="BS93" s="154"/>
      <c r="BT93" s="279"/>
      <c r="BU93" s="279"/>
      <c r="BV93" s="155"/>
      <c r="BW93" s="152">
        <v>34</v>
      </c>
      <c r="BX93" s="153">
        <v>47</v>
      </c>
      <c r="BY93" s="153">
        <v>49</v>
      </c>
      <c r="BZ93" s="153">
        <v>50</v>
      </c>
      <c r="CA93" s="154">
        <v>67</v>
      </c>
      <c r="CB93" s="154">
        <v>65</v>
      </c>
      <c r="CC93" s="279">
        <v>61</v>
      </c>
      <c r="CD93" s="279">
        <v>51</v>
      </c>
      <c r="CE93" s="155"/>
      <c r="CF93" s="152">
        <v>1</v>
      </c>
      <c r="CG93" s="153"/>
      <c r="CH93" s="153">
        <v>1</v>
      </c>
      <c r="CI93" s="153">
        <v>1</v>
      </c>
      <c r="CJ93" s="154"/>
      <c r="CK93" s="154">
        <v>1</v>
      </c>
      <c r="CL93" s="279">
        <v>1</v>
      </c>
      <c r="CM93" s="279">
        <v>1</v>
      </c>
      <c r="CN93" s="155"/>
      <c r="CO93" s="152">
        <v>1</v>
      </c>
      <c r="CP93" s="153"/>
      <c r="CQ93" s="153"/>
      <c r="CR93" s="153"/>
      <c r="CS93" s="154">
        <v>2</v>
      </c>
      <c r="CT93" s="154"/>
      <c r="CU93" s="279"/>
      <c r="CV93" s="279"/>
      <c r="CW93" s="155"/>
      <c r="CX93" s="152">
        <v>291</v>
      </c>
      <c r="CY93" s="153">
        <v>361</v>
      </c>
      <c r="CZ93" s="153">
        <v>432</v>
      </c>
      <c r="DA93" s="153">
        <v>398</v>
      </c>
      <c r="DB93" s="154">
        <v>163</v>
      </c>
      <c r="DC93" s="154">
        <v>132</v>
      </c>
      <c r="DD93" s="279">
        <v>181</v>
      </c>
      <c r="DE93" s="279">
        <v>140</v>
      </c>
      <c r="DF93" s="155"/>
      <c r="DG93" s="152">
        <v>1</v>
      </c>
      <c r="DH93" s="153"/>
      <c r="DI93" s="153">
        <v>1</v>
      </c>
      <c r="DJ93" s="153"/>
      <c r="DK93" s="154"/>
      <c r="DL93" s="154"/>
      <c r="DM93" s="279"/>
      <c r="DN93" s="279"/>
      <c r="DO93" s="155"/>
      <c r="DP93" s="152">
        <v>1</v>
      </c>
      <c r="DQ93" s="153">
        <v>7</v>
      </c>
      <c r="DR93" s="153">
        <v>4</v>
      </c>
      <c r="DS93" s="153">
        <v>2</v>
      </c>
      <c r="DT93" s="154">
        <v>1</v>
      </c>
      <c r="DU93" s="154">
        <v>1</v>
      </c>
      <c r="DV93" s="279">
        <v>4</v>
      </c>
      <c r="DW93" s="279">
        <v>3</v>
      </c>
      <c r="DX93" s="155"/>
      <c r="DY93" s="152">
        <v>43</v>
      </c>
      <c r="DZ93" s="153">
        <v>53</v>
      </c>
      <c r="EA93" s="153">
        <v>61</v>
      </c>
      <c r="EB93" s="153">
        <v>35</v>
      </c>
      <c r="EC93" s="154">
        <v>23</v>
      </c>
      <c r="ED93" s="154">
        <v>14</v>
      </c>
      <c r="EE93" s="279">
        <v>36</v>
      </c>
      <c r="EF93" s="279">
        <v>37</v>
      </c>
      <c r="EG93" s="155"/>
      <c r="EH93" s="152">
        <v>4</v>
      </c>
      <c r="EI93" s="153">
        <v>7</v>
      </c>
      <c r="EJ93" s="153">
        <v>6</v>
      </c>
      <c r="EK93" s="153">
        <v>4</v>
      </c>
      <c r="EL93" s="154"/>
      <c r="EM93" s="154"/>
      <c r="EN93" s="279"/>
      <c r="EO93" s="279">
        <v>2</v>
      </c>
      <c r="EP93" s="155"/>
      <c r="EQ93" s="152"/>
      <c r="ER93" s="153"/>
      <c r="ES93" s="153"/>
      <c r="ET93" s="153">
        <v>1</v>
      </c>
      <c r="EU93" s="154">
        <v>1</v>
      </c>
      <c r="EV93" s="154"/>
      <c r="EW93" s="279"/>
      <c r="EX93" s="279">
        <v>1</v>
      </c>
      <c r="EY93" s="155"/>
      <c r="EZ93" s="152"/>
      <c r="FA93" s="153"/>
      <c r="FB93" s="153"/>
      <c r="FC93" s="153"/>
      <c r="FD93" s="154">
        <v>3</v>
      </c>
      <c r="FE93" s="154"/>
      <c r="FF93" s="279"/>
      <c r="FG93" s="279"/>
      <c r="FH93" s="155"/>
      <c r="FI93" s="152">
        <v>7</v>
      </c>
      <c r="FJ93" s="153">
        <v>8</v>
      </c>
      <c r="FK93" s="153">
        <v>9</v>
      </c>
      <c r="FL93" s="153">
        <v>16</v>
      </c>
      <c r="FM93" s="154">
        <v>8</v>
      </c>
      <c r="FN93" s="154">
        <v>15</v>
      </c>
      <c r="FO93" s="279">
        <v>11</v>
      </c>
      <c r="FP93" s="279">
        <v>4</v>
      </c>
      <c r="FQ93" s="155"/>
      <c r="FR93" s="152"/>
      <c r="FS93" s="153"/>
      <c r="FT93" s="153">
        <v>2</v>
      </c>
      <c r="FU93" s="153">
        <v>3</v>
      </c>
      <c r="FV93" s="154"/>
      <c r="FW93" s="154">
        <v>1</v>
      </c>
      <c r="FX93" s="279"/>
      <c r="FY93" s="279">
        <v>2</v>
      </c>
      <c r="FZ93" s="155"/>
      <c r="GA93" s="152">
        <v>3</v>
      </c>
      <c r="GB93" s="153">
        <v>1</v>
      </c>
      <c r="GC93" s="153">
        <v>2</v>
      </c>
      <c r="GD93" s="153">
        <v>5</v>
      </c>
      <c r="GE93" s="154">
        <v>5</v>
      </c>
      <c r="GF93" s="154">
        <v>1</v>
      </c>
      <c r="GG93" s="279"/>
      <c r="GH93" s="279">
        <v>1</v>
      </c>
      <c r="GI93" s="155"/>
      <c r="GJ93" s="152">
        <v>434</v>
      </c>
      <c r="GK93" s="153">
        <v>508</v>
      </c>
      <c r="GL93" s="153">
        <v>578</v>
      </c>
      <c r="GM93" s="153">
        <v>563</v>
      </c>
      <c r="GN93" s="154">
        <v>329</v>
      </c>
      <c r="GO93" s="154">
        <v>292</v>
      </c>
      <c r="GP93" s="279">
        <v>337</v>
      </c>
      <c r="GQ93" s="279">
        <v>263</v>
      </c>
      <c r="GR93" s="155"/>
      <c r="GS93" s="152">
        <v>106</v>
      </c>
      <c r="GT93" s="153">
        <v>156</v>
      </c>
      <c r="GU93" s="153">
        <v>155</v>
      </c>
      <c r="GV93" s="153">
        <v>158</v>
      </c>
      <c r="GW93" s="154">
        <v>90</v>
      </c>
      <c r="GX93" s="154">
        <v>112</v>
      </c>
      <c r="GY93" s="279">
        <v>112</v>
      </c>
      <c r="GZ93" s="279">
        <v>70</v>
      </c>
      <c r="HA93" s="155"/>
      <c r="HB93" s="152">
        <v>2</v>
      </c>
      <c r="HC93" s="153">
        <v>1</v>
      </c>
      <c r="HD93" s="153">
        <v>1</v>
      </c>
      <c r="HE93" s="153"/>
      <c r="HF93" s="154">
        <v>1</v>
      </c>
      <c r="HG93" s="154">
        <v>3</v>
      </c>
      <c r="HH93" s="279">
        <v>1</v>
      </c>
      <c r="HI93" s="279">
        <v>1</v>
      </c>
      <c r="HJ93" s="155"/>
      <c r="HK93" s="152"/>
      <c r="HL93" s="153"/>
      <c r="HM93" s="153"/>
      <c r="HN93" s="153"/>
      <c r="HO93" s="154"/>
      <c r="HP93" s="154"/>
      <c r="HQ93" s="279">
        <v>2</v>
      </c>
      <c r="HR93" s="279">
        <v>1</v>
      </c>
      <c r="HS93" s="155"/>
      <c r="HT93" s="152">
        <v>148</v>
      </c>
      <c r="HU93" s="153">
        <v>181</v>
      </c>
      <c r="HV93" s="153">
        <v>173</v>
      </c>
      <c r="HW93" s="153">
        <v>208</v>
      </c>
      <c r="HX93" s="154">
        <v>146</v>
      </c>
      <c r="HY93" s="154">
        <v>171</v>
      </c>
      <c r="HZ93" s="279">
        <v>158</v>
      </c>
      <c r="IA93" s="279">
        <v>147</v>
      </c>
      <c r="IB93" s="155"/>
      <c r="IC93" s="152">
        <v>737</v>
      </c>
      <c r="ID93" s="153">
        <v>742</v>
      </c>
      <c r="IE93" s="153">
        <v>827</v>
      </c>
      <c r="IF93" s="153">
        <v>739</v>
      </c>
      <c r="IG93" s="154">
        <v>508</v>
      </c>
      <c r="IH93" s="154">
        <v>444</v>
      </c>
      <c r="II93" s="279">
        <v>495</v>
      </c>
      <c r="IJ93" s="279">
        <v>434</v>
      </c>
      <c r="IK93" s="155"/>
    </row>
    <row r="94" spans="1:245" x14ac:dyDescent="0.2">
      <c r="A94" s="961"/>
      <c r="B94" s="151" t="s">
        <v>697</v>
      </c>
      <c r="C94" s="152"/>
      <c r="D94" s="153"/>
      <c r="E94" s="153"/>
      <c r="F94" s="153"/>
      <c r="G94" s="154"/>
      <c r="H94" s="154"/>
      <c r="I94" s="279"/>
      <c r="J94" s="279"/>
      <c r="K94" s="155"/>
      <c r="L94" s="152"/>
      <c r="M94" s="153"/>
      <c r="N94" s="153"/>
      <c r="O94" s="153"/>
      <c r="P94" s="154"/>
      <c r="Q94" s="154"/>
      <c r="R94" s="279"/>
      <c r="S94" s="279"/>
      <c r="T94" s="155"/>
      <c r="U94" s="152"/>
      <c r="V94" s="153"/>
      <c r="W94" s="153"/>
      <c r="X94" s="153"/>
      <c r="Y94" s="154"/>
      <c r="Z94" s="154"/>
      <c r="AA94" s="279"/>
      <c r="AB94" s="279"/>
      <c r="AC94" s="155"/>
      <c r="AD94" s="152">
        <v>88</v>
      </c>
      <c r="AE94" s="153">
        <v>95</v>
      </c>
      <c r="AF94" s="153">
        <v>111</v>
      </c>
      <c r="AG94" s="153">
        <v>101</v>
      </c>
      <c r="AH94" s="154">
        <v>107</v>
      </c>
      <c r="AI94" s="154">
        <v>97</v>
      </c>
      <c r="AJ94" s="279">
        <v>56</v>
      </c>
      <c r="AK94" s="279">
        <v>53</v>
      </c>
      <c r="AL94" s="155"/>
      <c r="AM94" s="152">
        <v>78</v>
      </c>
      <c r="AN94" s="153">
        <v>69</v>
      </c>
      <c r="AO94" s="153">
        <v>49</v>
      </c>
      <c r="AP94" s="153">
        <v>50</v>
      </c>
      <c r="AQ94" s="154">
        <v>43</v>
      </c>
      <c r="AR94" s="154">
        <v>64</v>
      </c>
      <c r="AS94" s="279">
        <v>36</v>
      </c>
      <c r="AT94" s="279">
        <v>34</v>
      </c>
      <c r="AU94" s="155"/>
      <c r="AV94" s="152"/>
      <c r="AW94" s="153"/>
      <c r="AX94" s="153"/>
      <c r="AY94" s="153"/>
      <c r="AZ94" s="154"/>
      <c r="BA94" s="154"/>
      <c r="BB94" s="279"/>
      <c r="BC94" s="279"/>
      <c r="BD94" s="155"/>
      <c r="BE94" s="152">
        <v>2</v>
      </c>
      <c r="BF94" s="153"/>
      <c r="BG94" s="153">
        <v>5</v>
      </c>
      <c r="BH94" s="153">
        <v>4</v>
      </c>
      <c r="BI94" s="154">
        <v>8</v>
      </c>
      <c r="BJ94" s="154"/>
      <c r="BK94" s="279">
        <v>1</v>
      </c>
      <c r="BL94" s="279">
        <v>1</v>
      </c>
      <c r="BM94" s="155"/>
      <c r="BN94" s="152"/>
      <c r="BO94" s="153"/>
      <c r="BP94" s="153"/>
      <c r="BQ94" s="153"/>
      <c r="BR94" s="154"/>
      <c r="BS94" s="154"/>
      <c r="BT94" s="279"/>
      <c r="BU94" s="279"/>
      <c r="BV94" s="155"/>
      <c r="BW94" s="152">
        <v>33</v>
      </c>
      <c r="BX94" s="153">
        <v>40</v>
      </c>
      <c r="BY94" s="153">
        <v>43</v>
      </c>
      <c r="BZ94" s="153">
        <v>71</v>
      </c>
      <c r="CA94" s="154">
        <v>48</v>
      </c>
      <c r="CB94" s="154">
        <v>34</v>
      </c>
      <c r="CC94" s="279">
        <v>27</v>
      </c>
      <c r="CD94" s="279">
        <v>22</v>
      </c>
      <c r="CE94" s="155"/>
      <c r="CF94" s="152">
        <v>2</v>
      </c>
      <c r="CG94" s="153">
        <v>3</v>
      </c>
      <c r="CH94" s="153">
        <v>4</v>
      </c>
      <c r="CI94" s="153"/>
      <c r="CJ94" s="154">
        <v>1</v>
      </c>
      <c r="CK94" s="154">
        <v>3</v>
      </c>
      <c r="CL94" s="279">
        <v>1</v>
      </c>
      <c r="CM94" s="279">
        <v>1</v>
      </c>
      <c r="CN94" s="155"/>
      <c r="CO94" s="152"/>
      <c r="CP94" s="153">
        <v>1</v>
      </c>
      <c r="CQ94" s="153"/>
      <c r="CR94" s="153"/>
      <c r="CS94" s="154"/>
      <c r="CT94" s="154"/>
      <c r="CU94" s="279">
        <v>1</v>
      </c>
      <c r="CV94" s="279"/>
      <c r="CW94" s="155"/>
      <c r="CX94" s="152">
        <v>691</v>
      </c>
      <c r="CY94" s="153">
        <v>635</v>
      </c>
      <c r="CZ94" s="153">
        <v>617</v>
      </c>
      <c r="DA94" s="153">
        <v>514</v>
      </c>
      <c r="DB94" s="154">
        <v>340</v>
      </c>
      <c r="DC94" s="154">
        <v>237</v>
      </c>
      <c r="DD94" s="279">
        <v>201</v>
      </c>
      <c r="DE94" s="279">
        <v>170</v>
      </c>
      <c r="DF94" s="155"/>
      <c r="DG94" s="152">
        <v>3</v>
      </c>
      <c r="DH94" s="153"/>
      <c r="DI94" s="153">
        <v>1</v>
      </c>
      <c r="DJ94" s="153">
        <v>3</v>
      </c>
      <c r="DK94" s="154"/>
      <c r="DL94" s="154"/>
      <c r="DM94" s="279"/>
      <c r="DN94" s="279"/>
      <c r="DO94" s="155"/>
      <c r="DP94" s="152">
        <v>13</v>
      </c>
      <c r="DQ94" s="153">
        <v>12</v>
      </c>
      <c r="DR94" s="153">
        <v>8</v>
      </c>
      <c r="DS94" s="153">
        <v>4</v>
      </c>
      <c r="DT94" s="154">
        <v>3</v>
      </c>
      <c r="DU94" s="154">
        <v>2</v>
      </c>
      <c r="DV94" s="279">
        <v>1</v>
      </c>
      <c r="DW94" s="279">
        <v>4</v>
      </c>
      <c r="DX94" s="155"/>
      <c r="DY94" s="152">
        <v>44</v>
      </c>
      <c r="DZ94" s="153">
        <v>60</v>
      </c>
      <c r="EA94" s="153">
        <v>48</v>
      </c>
      <c r="EB94" s="153">
        <v>46</v>
      </c>
      <c r="EC94" s="154">
        <v>41</v>
      </c>
      <c r="ED94" s="154">
        <v>72</v>
      </c>
      <c r="EE94" s="279">
        <v>49</v>
      </c>
      <c r="EF94" s="279">
        <v>33</v>
      </c>
      <c r="EG94" s="155"/>
      <c r="EH94" s="152">
        <v>11</v>
      </c>
      <c r="EI94" s="153">
        <v>6</v>
      </c>
      <c r="EJ94" s="153">
        <v>7</v>
      </c>
      <c r="EK94" s="153">
        <v>6</v>
      </c>
      <c r="EL94" s="154">
        <v>4</v>
      </c>
      <c r="EM94" s="154">
        <v>3</v>
      </c>
      <c r="EN94" s="279">
        <v>5</v>
      </c>
      <c r="EO94" s="279">
        <v>1</v>
      </c>
      <c r="EP94" s="155"/>
      <c r="EQ94" s="152">
        <v>1</v>
      </c>
      <c r="ER94" s="153">
        <v>1</v>
      </c>
      <c r="ES94" s="153">
        <v>2</v>
      </c>
      <c r="ET94" s="153"/>
      <c r="EU94" s="154">
        <v>2</v>
      </c>
      <c r="EV94" s="154">
        <v>1</v>
      </c>
      <c r="EW94" s="279">
        <v>7</v>
      </c>
      <c r="EX94" s="279">
        <v>2</v>
      </c>
      <c r="EY94" s="155"/>
      <c r="EZ94" s="152">
        <v>3</v>
      </c>
      <c r="FA94" s="153">
        <v>1</v>
      </c>
      <c r="FB94" s="153">
        <v>5</v>
      </c>
      <c r="FC94" s="153">
        <v>6</v>
      </c>
      <c r="FD94" s="154">
        <v>4</v>
      </c>
      <c r="FE94" s="154"/>
      <c r="FF94" s="279">
        <v>1</v>
      </c>
      <c r="FG94" s="279"/>
      <c r="FH94" s="155"/>
      <c r="FI94" s="152">
        <v>30</v>
      </c>
      <c r="FJ94" s="153">
        <v>51</v>
      </c>
      <c r="FK94" s="153">
        <v>33</v>
      </c>
      <c r="FL94" s="153">
        <v>39</v>
      </c>
      <c r="FM94" s="154">
        <v>22</v>
      </c>
      <c r="FN94" s="154">
        <v>37</v>
      </c>
      <c r="FO94" s="279">
        <v>9</v>
      </c>
      <c r="FP94" s="279">
        <v>5</v>
      </c>
      <c r="FQ94" s="155"/>
      <c r="FR94" s="152">
        <v>2</v>
      </c>
      <c r="FS94" s="153">
        <v>7</v>
      </c>
      <c r="FT94" s="153">
        <v>4</v>
      </c>
      <c r="FU94" s="153"/>
      <c r="FV94" s="154">
        <v>1</v>
      </c>
      <c r="FW94" s="154">
        <v>3</v>
      </c>
      <c r="FX94" s="279"/>
      <c r="FY94" s="279"/>
      <c r="FZ94" s="155"/>
      <c r="GA94" s="152">
        <v>2</v>
      </c>
      <c r="GB94" s="153">
        <v>1</v>
      </c>
      <c r="GC94" s="153">
        <v>5</v>
      </c>
      <c r="GD94" s="153">
        <v>4</v>
      </c>
      <c r="GE94" s="154">
        <v>1</v>
      </c>
      <c r="GF94" s="154">
        <v>3</v>
      </c>
      <c r="GG94" s="279">
        <v>2</v>
      </c>
      <c r="GH94" s="279">
        <v>4</v>
      </c>
      <c r="GI94" s="155"/>
      <c r="GJ94" s="152">
        <v>865</v>
      </c>
      <c r="GK94" s="153">
        <v>841</v>
      </c>
      <c r="GL94" s="153">
        <v>836</v>
      </c>
      <c r="GM94" s="153">
        <v>745</v>
      </c>
      <c r="GN94" s="154">
        <v>538</v>
      </c>
      <c r="GO94" s="154">
        <v>418</v>
      </c>
      <c r="GP94" s="279">
        <v>311</v>
      </c>
      <c r="GQ94" s="279">
        <v>259</v>
      </c>
      <c r="GR94" s="155"/>
      <c r="GS94" s="152">
        <v>226</v>
      </c>
      <c r="GT94" s="153">
        <v>257</v>
      </c>
      <c r="GU94" s="153">
        <v>235</v>
      </c>
      <c r="GV94" s="153">
        <v>202</v>
      </c>
      <c r="GW94" s="154">
        <v>143</v>
      </c>
      <c r="GX94" s="154">
        <v>102</v>
      </c>
      <c r="GY94" s="279">
        <v>58</v>
      </c>
      <c r="GZ94" s="279">
        <v>46</v>
      </c>
      <c r="HA94" s="155"/>
      <c r="HB94" s="152">
        <v>6</v>
      </c>
      <c r="HC94" s="153">
        <v>5</v>
      </c>
      <c r="HD94" s="153">
        <v>6</v>
      </c>
      <c r="HE94" s="153">
        <v>5</v>
      </c>
      <c r="HF94" s="154">
        <v>5</v>
      </c>
      <c r="HG94" s="154">
        <v>2</v>
      </c>
      <c r="HH94" s="279">
        <v>7</v>
      </c>
      <c r="HI94" s="279">
        <v>2</v>
      </c>
      <c r="HJ94" s="155"/>
      <c r="HK94" s="152"/>
      <c r="HL94" s="153">
        <v>1</v>
      </c>
      <c r="HM94" s="153">
        <v>2</v>
      </c>
      <c r="HN94" s="153">
        <v>1</v>
      </c>
      <c r="HO94" s="154">
        <v>2</v>
      </c>
      <c r="HP94" s="154">
        <v>1</v>
      </c>
      <c r="HQ94" s="279">
        <v>1</v>
      </c>
      <c r="HR94" s="279"/>
      <c r="HS94" s="155"/>
      <c r="HT94" s="152">
        <v>326</v>
      </c>
      <c r="HU94" s="153">
        <v>331</v>
      </c>
      <c r="HV94" s="153">
        <v>313</v>
      </c>
      <c r="HW94" s="153">
        <v>287</v>
      </c>
      <c r="HX94" s="154">
        <v>243</v>
      </c>
      <c r="HY94" s="154">
        <v>205</v>
      </c>
      <c r="HZ94" s="279">
        <v>156</v>
      </c>
      <c r="IA94" s="279">
        <v>145</v>
      </c>
      <c r="IB94" s="155"/>
      <c r="IC94" s="152">
        <v>1385</v>
      </c>
      <c r="ID94" s="153">
        <v>1399</v>
      </c>
      <c r="IE94" s="153">
        <v>1162</v>
      </c>
      <c r="IF94" s="153">
        <v>1101</v>
      </c>
      <c r="IG94" s="154">
        <v>913</v>
      </c>
      <c r="IH94" s="154">
        <v>818</v>
      </c>
      <c r="II94" s="279">
        <v>647</v>
      </c>
      <c r="IJ94" s="279">
        <v>952</v>
      </c>
      <c r="IK94" s="155"/>
    </row>
    <row r="95" spans="1:245" x14ac:dyDescent="0.2">
      <c r="A95" s="961"/>
      <c r="B95" s="151" t="s">
        <v>698</v>
      </c>
      <c r="C95" s="152"/>
      <c r="D95" s="153"/>
      <c r="E95" s="153"/>
      <c r="F95" s="153">
        <v>1</v>
      </c>
      <c r="G95" s="154"/>
      <c r="H95" s="154"/>
      <c r="I95" s="279"/>
      <c r="J95" s="279"/>
      <c r="K95" s="169"/>
      <c r="L95" s="152"/>
      <c r="M95" s="153"/>
      <c r="N95" s="153"/>
      <c r="O95" s="153"/>
      <c r="P95" s="154"/>
      <c r="Q95" s="154"/>
      <c r="R95" s="279"/>
      <c r="S95" s="279"/>
      <c r="T95" s="169"/>
      <c r="U95" s="152"/>
      <c r="V95" s="153"/>
      <c r="W95" s="153"/>
      <c r="X95" s="153">
        <v>1</v>
      </c>
      <c r="Y95" s="154"/>
      <c r="Z95" s="154"/>
      <c r="AA95" s="279"/>
      <c r="AB95" s="279"/>
      <c r="AC95" s="169"/>
      <c r="AD95" s="152">
        <v>98</v>
      </c>
      <c r="AE95" s="153">
        <v>80</v>
      </c>
      <c r="AF95" s="153">
        <v>73</v>
      </c>
      <c r="AG95" s="153">
        <v>117</v>
      </c>
      <c r="AH95" s="154">
        <v>116</v>
      </c>
      <c r="AI95" s="154">
        <v>74</v>
      </c>
      <c r="AJ95" s="279">
        <v>59</v>
      </c>
      <c r="AK95" s="279">
        <v>46</v>
      </c>
      <c r="AL95" s="169"/>
      <c r="AM95" s="152">
        <v>72</v>
      </c>
      <c r="AN95" s="153">
        <v>54</v>
      </c>
      <c r="AO95" s="153">
        <v>32</v>
      </c>
      <c r="AP95" s="153">
        <v>67</v>
      </c>
      <c r="AQ95" s="154">
        <v>64</v>
      </c>
      <c r="AR95" s="154">
        <v>38</v>
      </c>
      <c r="AS95" s="279">
        <v>36</v>
      </c>
      <c r="AT95" s="279">
        <v>30</v>
      </c>
      <c r="AU95" s="169"/>
      <c r="AV95" s="152"/>
      <c r="AW95" s="153"/>
      <c r="AX95" s="153"/>
      <c r="AY95" s="153"/>
      <c r="AZ95" s="154"/>
      <c r="BA95" s="154"/>
      <c r="BB95" s="279"/>
      <c r="BC95" s="279"/>
      <c r="BD95" s="169"/>
      <c r="BE95" s="152">
        <v>2</v>
      </c>
      <c r="BF95" s="153">
        <v>5</v>
      </c>
      <c r="BG95" s="153">
        <v>7</v>
      </c>
      <c r="BH95" s="153">
        <v>1</v>
      </c>
      <c r="BI95" s="154">
        <v>2</v>
      </c>
      <c r="BJ95" s="154">
        <v>8</v>
      </c>
      <c r="BK95" s="279">
        <v>2</v>
      </c>
      <c r="BL95" s="279">
        <v>3</v>
      </c>
      <c r="BM95" s="169"/>
      <c r="BN95" s="152"/>
      <c r="BO95" s="153"/>
      <c r="BP95" s="153"/>
      <c r="BQ95" s="153"/>
      <c r="BR95" s="154"/>
      <c r="BS95" s="154"/>
      <c r="BT95" s="279"/>
      <c r="BU95" s="279"/>
      <c r="BV95" s="169"/>
      <c r="BW95" s="152">
        <v>63</v>
      </c>
      <c r="BX95" s="153">
        <v>53</v>
      </c>
      <c r="BY95" s="153">
        <v>59</v>
      </c>
      <c r="BZ95" s="153">
        <v>78</v>
      </c>
      <c r="CA95" s="154">
        <v>80</v>
      </c>
      <c r="CB95" s="154">
        <v>66</v>
      </c>
      <c r="CC95" s="279">
        <v>38</v>
      </c>
      <c r="CD95" s="279">
        <v>48</v>
      </c>
      <c r="CE95" s="169"/>
      <c r="CF95" s="152">
        <v>2</v>
      </c>
      <c r="CG95" s="153">
        <v>1</v>
      </c>
      <c r="CH95" s="153">
        <v>2</v>
      </c>
      <c r="CI95" s="153">
        <v>1</v>
      </c>
      <c r="CJ95" s="154">
        <v>3</v>
      </c>
      <c r="CK95" s="154">
        <v>1</v>
      </c>
      <c r="CL95" s="279"/>
      <c r="CM95" s="279"/>
      <c r="CN95" s="169"/>
      <c r="CO95" s="152">
        <v>1</v>
      </c>
      <c r="CP95" s="153"/>
      <c r="CQ95" s="153"/>
      <c r="CR95" s="153"/>
      <c r="CS95" s="154">
        <v>1</v>
      </c>
      <c r="CT95" s="154"/>
      <c r="CU95" s="279"/>
      <c r="CV95" s="279"/>
      <c r="CW95" s="169"/>
      <c r="CX95" s="152">
        <v>581</v>
      </c>
      <c r="CY95" s="153">
        <v>541</v>
      </c>
      <c r="CZ95" s="153">
        <v>590</v>
      </c>
      <c r="DA95" s="153">
        <v>510</v>
      </c>
      <c r="DB95" s="154">
        <v>376</v>
      </c>
      <c r="DC95" s="154">
        <v>240</v>
      </c>
      <c r="DD95" s="279">
        <v>204</v>
      </c>
      <c r="DE95" s="279">
        <v>99</v>
      </c>
      <c r="DF95" s="169"/>
      <c r="DG95" s="152">
        <v>1</v>
      </c>
      <c r="DH95" s="153"/>
      <c r="DI95" s="153">
        <v>4</v>
      </c>
      <c r="DJ95" s="153">
        <v>3</v>
      </c>
      <c r="DK95" s="154">
        <v>1</v>
      </c>
      <c r="DL95" s="154"/>
      <c r="DM95" s="279"/>
      <c r="DN95" s="279"/>
      <c r="DO95" s="169"/>
      <c r="DP95" s="152">
        <v>10</v>
      </c>
      <c r="DQ95" s="153">
        <v>6</v>
      </c>
      <c r="DR95" s="153">
        <v>8</v>
      </c>
      <c r="DS95" s="153">
        <v>4</v>
      </c>
      <c r="DT95" s="154">
        <v>11</v>
      </c>
      <c r="DU95" s="154">
        <v>3</v>
      </c>
      <c r="DV95" s="279">
        <v>6</v>
      </c>
      <c r="DW95" s="279">
        <v>1</v>
      </c>
      <c r="DX95" s="169"/>
      <c r="DY95" s="152">
        <v>88</v>
      </c>
      <c r="DZ95" s="153">
        <v>67</v>
      </c>
      <c r="EA95" s="153">
        <v>80</v>
      </c>
      <c r="EB95" s="153">
        <v>88</v>
      </c>
      <c r="EC95" s="154">
        <v>71</v>
      </c>
      <c r="ED95" s="154">
        <v>36</v>
      </c>
      <c r="EE95" s="279">
        <v>55</v>
      </c>
      <c r="EF95" s="279">
        <v>25</v>
      </c>
      <c r="EG95" s="169"/>
      <c r="EH95" s="152">
        <v>11</v>
      </c>
      <c r="EI95" s="153">
        <v>4</v>
      </c>
      <c r="EJ95" s="153">
        <v>13</v>
      </c>
      <c r="EK95" s="153">
        <v>13</v>
      </c>
      <c r="EL95" s="154">
        <v>5</v>
      </c>
      <c r="EM95" s="154">
        <v>4</v>
      </c>
      <c r="EN95" s="279">
        <v>1</v>
      </c>
      <c r="EO95" s="279"/>
      <c r="EP95" s="169"/>
      <c r="EQ95" s="152"/>
      <c r="ER95" s="153"/>
      <c r="ES95" s="153"/>
      <c r="ET95" s="153">
        <v>1</v>
      </c>
      <c r="EU95" s="154">
        <v>2</v>
      </c>
      <c r="EV95" s="154">
        <v>4</v>
      </c>
      <c r="EW95" s="279">
        <v>2</v>
      </c>
      <c r="EX95" s="279"/>
      <c r="EY95" s="169"/>
      <c r="EZ95" s="152">
        <v>3</v>
      </c>
      <c r="FA95" s="153"/>
      <c r="FB95" s="153"/>
      <c r="FC95" s="153">
        <v>4</v>
      </c>
      <c r="FD95" s="154"/>
      <c r="FE95" s="154"/>
      <c r="FF95" s="279"/>
      <c r="FG95" s="279"/>
      <c r="FH95" s="169"/>
      <c r="FI95" s="152">
        <v>30</v>
      </c>
      <c r="FJ95" s="153">
        <v>22</v>
      </c>
      <c r="FK95" s="153">
        <v>48</v>
      </c>
      <c r="FL95" s="153">
        <v>17</v>
      </c>
      <c r="FM95" s="154">
        <v>29</v>
      </c>
      <c r="FN95" s="154">
        <v>10</v>
      </c>
      <c r="FO95" s="279">
        <v>11</v>
      </c>
      <c r="FP95" s="279">
        <v>17</v>
      </c>
      <c r="FQ95" s="169"/>
      <c r="FR95" s="152">
        <v>3</v>
      </c>
      <c r="FS95" s="153">
        <v>13</v>
      </c>
      <c r="FT95" s="153">
        <v>2</v>
      </c>
      <c r="FU95" s="153">
        <v>1</v>
      </c>
      <c r="FV95" s="154">
        <v>3</v>
      </c>
      <c r="FW95" s="154"/>
      <c r="FX95" s="279">
        <v>1</v>
      </c>
      <c r="FY95" s="279">
        <v>2</v>
      </c>
      <c r="FZ95" s="169"/>
      <c r="GA95" s="152">
        <v>2</v>
      </c>
      <c r="GB95" s="153">
        <v>4</v>
      </c>
      <c r="GC95" s="153">
        <v>3</v>
      </c>
      <c r="GD95" s="153">
        <v>1</v>
      </c>
      <c r="GE95" s="154">
        <v>2</v>
      </c>
      <c r="GF95" s="154"/>
      <c r="GG95" s="279">
        <v>3</v>
      </c>
      <c r="GH95" s="279"/>
      <c r="GI95" s="169"/>
      <c r="GJ95" s="152">
        <v>796</v>
      </c>
      <c r="GK95" s="153">
        <v>723</v>
      </c>
      <c r="GL95" s="153">
        <v>797</v>
      </c>
      <c r="GM95" s="153">
        <v>745</v>
      </c>
      <c r="GN95" s="154">
        <v>619</v>
      </c>
      <c r="GO95" s="154">
        <v>407</v>
      </c>
      <c r="GP95" s="279">
        <v>321</v>
      </c>
      <c r="GQ95" s="279">
        <v>215</v>
      </c>
      <c r="GR95" s="169"/>
      <c r="GS95" s="152">
        <v>197</v>
      </c>
      <c r="GT95" s="153">
        <v>168</v>
      </c>
      <c r="GU95" s="153">
        <v>164</v>
      </c>
      <c r="GV95" s="153">
        <v>164</v>
      </c>
      <c r="GW95" s="154">
        <v>115</v>
      </c>
      <c r="GX95" s="154">
        <v>78</v>
      </c>
      <c r="GY95" s="279">
        <v>83</v>
      </c>
      <c r="GZ95" s="279">
        <v>49</v>
      </c>
      <c r="HA95" s="169"/>
      <c r="HB95" s="152">
        <v>4</v>
      </c>
      <c r="HC95" s="153">
        <v>1</v>
      </c>
      <c r="HD95" s="153">
        <v>1</v>
      </c>
      <c r="HE95" s="153">
        <v>5</v>
      </c>
      <c r="HF95" s="154">
        <v>3</v>
      </c>
      <c r="HG95" s="154"/>
      <c r="HH95" s="279">
        <v>3</v>
      </c>
      <c r="HI95" s="279">
        <v>3</v>
      </c>
      <c r="HJ95" s="169"/>
      <c r="HK95" s="152"/>
      <c r="HL95" s="153">
        <v>2</v>
      </c>
      <c r="HM95" s="153"/>
      <c r="HN95" s="153">
        <v>1</v>
      </c>
      <c r="HO95" s="154"/>
      <c r="HP95" s="154">
        <v>2</v>
      </c>
      <c r="HQ95" s="279"/>
      <c r="HR95" s="279">
        <v>1</v>
      </c>
      <c r="HS95" s="169"/>
      <c r="HT95" s="152">
        <v>250</v>
      </c>
      <c r="HU95" s="153">
        <v>221</v>
      </c>
      <c r="HV95" s="153">
        <v>214</v>
      </c>
      <c r="HW95" s="153">
        <v>236</v>
      </c>
      <c r="HX95" s="154">
        <v>187</v>
      </c>
      <c r="HY95" s="154">
        <v>139</v>
      </c>
      <c r="HZ95" s="279">
        <v>143</v>
      </c>
      <c r="IA95" s="279">
        <v>96</v>
      </c>
      <c r="IB95" s="169"/>
      <c r="IC95" s="152">
        <v>1165</v>
      </c>
      <c r="ID95" s="153">
        <v>1010</v>
      </c>
      <c r="IE95" s="153">
        <v>1072</v>
      </c>
      <c r="IF95" s="153">
        <v>962</v>
      </c>
      <c r="IG95" s="154">
        <v>849</v>
      </c>
      <c r="IH95" s="154">
        <v>615</v>
      </c>
      <c r="II95" s="279">
        <v>445</v>
      </c>
      <c r="IJ95" s="279">
        <v>445</v>
      </c>
      <c r="IK95" s="169"/>
    </row>
    <row r="96" spans="1:245" x14ac:dyDescent="0.2">
      <c r="A96" s="961"/>
      <c r="B96" s="151" t="s">
        <v>699</v>
      </c>
      <c r="C96" s="152"/>
      <c r="D96" s="153"/>
      <c r="E96" s="153"/>
      <c r="F96" s="153"/>
      <c r="G96" s="154"/>
      <c r="H96" s="154"/>
      <c r="I96" s="279"/>
      <c r="J96" s="279"/>
      <c r="K96" s="155"/>
      <c r="L96" s="152"/>
      <c r="M96" s="153"/>
      <c r="N96" s="153"/>
      <c r="O96" s="153"/>
      <c r="P96" s="154"/>
      <c r="Q96" s="154"/>
      <c r="R96" s="279"/>
      <c r="S96" s="279"/>
      <c r="T96" s="155"/>
      <c r="U96" s="152"/>
      <c r="V96" s="153"/>
      <c r="W96" s="153"/>
      <c r="X96" s="153"/>
      <c r="Y96" s="154"/>
      <c r="Z96" s="154"/>
      <c r="AA96" s="279"/>
      <c r="AB96" s="279"/>
      <c r="AC96" s="155"/>
      <c r="AD96" s="152">
        <v>82</v>
      </c>
      <c r="AE96" s="153">
        <v>105</v>
      </c>
      <c r="AF96" s="153">
        <v>95</v>
      </c>
      <c r="AG96" s="153">
        <v>90</v>
      </c>
      <c r="AH96" s="154">
        <v>61</v>
      </c>
      <c r="AI96" s="154">
        <v>64</v>
      </c>
      <c r="AJ96" s="279">
        <v>55</v>
      </c>
      <c r="AK96" s="279">
        <v>42</v>
      </c>
      <c r="AL96" s="155"/>
      <c r="AM96" s="152">
        <v>65</v>
      </c>
      <c r="AN96" s="153">
        <v>78</v>
      </c>
      <c r="AO96" s="153">
        <v>73</v>
      </c>
      <c r="AP96" s="153">
        <v>64</v>
      </c>
      <c r="AQ96" s="154">
        <v>46</v>
      </c>
      <c r="AR96" s="154">
        <v>59</v>
      </c>
      <c r="AS96" s="279">
        <v>44</v>
      </c>
      <c r="AT96" s="279">
        <v>32</v>
      </c>
      <c r="AU96" s="155"/>
      <c r="AV96" s="152"/>
      <c r="AW96" s="153"/>
      <c r="AX96" s="153"/>
      <c r="AY96" s="153"/>
      <c r="AZ96" s="154"/>
      <c r="BA96" s="154"/>
      <c r="BB96" s="279"/>
      <c r="BC96" s="279"/>
      <c r="BD96" s="155"/>
      <c r="BE96" s="152">
        <v>1</v>
      </c>
      <c r="BF96" s="153">
        <v>8</v>
      </c>
      <c r="BG96" s="153"/>
      <c r="BH96" s="153">
        <v>9</v>
      </c>
      <c r="BI96" s="154">
        <v>2</v>
      </c>
      <c r="BJ96" s="154">
        <v>2</v>
      </c>
      <c r="BK96" s="279"/>
      <c r="BL96" s="279">
        <v>2</v>
      </c>
      <c r="BM96" s="155"/>
      <c r="BN96" s="152"/>
      <c r="BO96" s="153"/>
      <c r="BP96" s="153"/>
      <c r="BQ96" s="153"/>
      <c r="BR96" s="154"/>
      <c r="BS96" s="154"/>
      <c r="BT96" s="279"/>
      <c r="BU96" s="279"/>
      <c r="BV96" s="155"/>
      <c r="BW96" s="152">
        <v>55</v>
      </c>
      <c r="BX96" s="153">
        <v>47</v>
      </c>
      <c r="BY96" s="153">
        <v>43</v>
      </c>
      <c r="BZ96" s="153">
        <v>57</v>
      </c>
      <c r="CA96" s="154">
        <v>46</v>
      </c>
      <c r="CB96" s="154">
        <v>39</v>
      </c>
      <c r="CC96" s="279">
        <v>42</v>
      </c>
      <c r="CD96" s="279">
        <v>25</v>
      </c>
      <c r="CE96" s="155"/>
      <c r="CF96" s="152">
        <v>6</v>
      </c>
      <c r="CG96" s="153">
        <v>1</v>
      </c>
      <c r="CH96" s="153"/>
      <c r="CI96" s="153">
        <v>3</v>
      </c>
      <c r="CJ96" s="154"/>
      <c r="CK96" s="154">
        <v>2</v>
      </c>
      <c r="CL96" s="279">
        <v>1</v>
      </c>
      <c r="CM96" s="279"/>
      <c r="CN96" s="155"/>
      <c r="CO96" s="152"/>
      <c r="CP96" s="153"/>
      <c r="CQ96" s="153"/>
      <c r="CR96" s="153">
        <v>1</v>
      </c>
      <c r="CS96" s="154">
        <v>1</v>
      </c>
      <c r="CT96" s="154">
        <v>1</v>
      </c>
      <c r="CU96" s="279">
        <v>1</v>
      </c>
      <c r="CV96" s="279">
        <v>1</v>
      </c>
      <c r="CW96" s="155"/>
      <c r="CX96" s="152">
        <v>715</v>
      </c>
      <c r="CY96" s="153">
        <v>710</v>
      </c>
      <c r="CZ96" s="153">
        <v>621</v>
      </c>
      <c r="DA96" s="153">
        <v>519</v>
      </c>
      <c r="DB96" s="154">
        <v>387</v>
      </c>
      <c r="DC96" s="154">
        <v>269</v>
      </c>
      <c r="DD96" s="279">
        <v>187</v>
      </c>
      <c r="DE96" s="279">
        <v>126</v>
      </c>
      <c r="DF96" s="155"/>
      <c r="DG96" s="152"/>
      <c r="DH96" s="153">
        <v>1</v>
      </c>
      <c r="DI96" s="153"/>
      <c r="DJ96" s="153">
        <v>1</v>
      </c>
      <c r="DK96" s="154">
        <v>3</v>
      </c>
      <c r="DL96" s="154">
        <v>1</v>
      </c>
      <c r="DM96" s="279"/>
      <c r="DN96" s="279"/>
      <c r="DO96" s="155"/>
      <c r="DP96" s="152">
        <v>1</v>
      </c>
      <c r="DQ96" s="153">
        <v>3</v>
      </c>
      <c r="DR96" s="153">
        <v>2</v>
      </c>
      <c r="DS96" s="153">
        <v>3</v>
      </c>
      <c r="DT96" s="154">
        <v>2</v>
      </c>
      <c r="DU96" s="154">
        <v>4</v>
      </c>
      <c r="DV96" s="279">
        <v>2</v>
      </c>
      <c r="DW96" s="279"/>
      <c r="DX96" s="155"/>
      <c r="DY96" s="152">
        <v>50</v>
      </c>
      <c r="DZ96" s="153">
        <v>92</v>
      </c>
      <c r="EA96" s="153">
        <v>71</v>
      </c>
      <c r="EB96" s="153">
        <v>42</v>
      </c>
      <c r="EC96" s="154">
        <v>71</v>
      </c>
      <c r="ED96" s="154">
        <v>48</v>
      </c>
      <c r="EE96" s="279">
        <v>49</v>
      </c>
      <c r="EF96" s="279">
        <v>32</v>
      </c>
      <c r="EG96" s="155"/>
      <c r="EH96" s="152">
        <v>6</v>
      </c>
      <c r="EI96" s="153">
        <v>5</v>
      </c>
      <c r="EJ96" s="153">
        <v>3</v>
      </c>
      <c r="EK96" s="153">
        <v>5</v>
      </c>
      <c r="EL96" s="154"/>
      <c r="EM96" s="154">
        <v>2</v>
      </c>
      <c r="EN96" s="279">
        <v>2</v>
      </c>
      <c r="EO96" s="279">
        <v>2</v>
      </c>
      <c r="EP96" s="155"/>
      <c r="EQ96" s="152"/>
      <c r="ER96" s="153">
        <v>1</v>
      </c>
      <c r="ES96" s="153">
        <v>2</v>
      </c>
      <c r="ET96" s="153">
        <v>2</v>
      </c>
      <c r="EU96" s="154"/>
      <c r="EV96" s="154">
        <v>8</v>
      </c>
      <c r="EW96" s="279">
        <v>1</v>
      </c>
      <c r="EX96" s="279">
        <v>2</v>
      </c>
      <c r="EY96" s="155"/>
      <c r="EZ96" s="152">
        <v>2</v>
      </c>
      <c r="FA96" s="153">
        <v>7</v>
      </c>
      <c r="FB96" s="153">
        <v>1</v>
      </c>
      <c r="FC96" s="153">
        <v>5</v>
      </c>
      <c r="FD96" s="154">
        <v>1</v>
      </c>
      <c r="FE96" s="154"/>
      <c r="FF96" s="279">
        <v>1</v>
      </c>
      <c r="FG96" s="279"/>
      <c r="FH96" s="155"/>
      <c r="FI96" s="152">
        <v>39</v>
      </c>
      <c r="FJ96" s="153">
        <v>21</v>
      </c>
      <c r="FK96" s="153">
        <v>18</v>
      </c>
      <c r="FL96" s="153">
        <v>17</v>
      </c>
      <c r="FM96" s="154">
        <v>34</v>
      </c>
      <c r="FN96" s="154">
        <v>11</v>
      </c>
      <c r="FO96" s="279">
        <v>15</v>
      </c>
      <c r="FP96" s="279">
        <v>5</v>
      </c>
      <c r="FQ96" s="155"/>
      <c r="FR96" s="152">
        <v>2</v>
      </c>
      <c r="FS96" s="153">
        <v>2</v>
      </c>
      <c r="FT96" s="153">
        <v>1</v>
      </c>
      <c r="FU96" s="153">
        <v>6</v>
      </c>
      <c r="FV96" s="154">
        <v>4</v>
      </c>
      <c r="FW96" s="154">
        <v>2</v>
      </c>
      <c r="FX96" s="279"/>
      <c r="FY96" s="279"/>
      <c r="FZ96" s="155"/>
      <c r="GA96" s="152">
        <v>5</v>
      </c>
      <c r="GB96" s="153">
        <v>1</v>
      </c>
      <c r="GC96" s="153">
        <v>1</v>
      </c>
      <c r="GD96" s="153"/>
      <c r="GE96" s="154">
        <v>1</v>
      </c>
      <c r="GF96" s="154">
        <v>3</v>
      </c>
      <c r="GG96" s="279">
        <v>2</v>
      </c>
      <c r="GH96" s="279">
        <v>1</v>
      </c>
      <c r="GI96" s="155"/>
      <c r="GJ96" s="152">
        <v>913</v>
      </c>
      <c r="GK96" s="153">
        <v>908</v>
      </c>
      <c r="GL96" s="153">
        <v>785</v>
      </c>
      <c r="GM96" s="153">
        <v>714</v>
      </c>
      <c r="GN96" s="154">
        <v>537</v>
      </c>
      <c r="GO96" s="154">
        <v>403</v>
      </c>
      <c r="GP96" s="279">
        <v>307</v>
      </c>
      <c r="GQ96" s="279">
        <v>206</v>
      </c>
      <c r="GR96" s="155"/>
      <c r="GS96" s="152">
        <v>225</v>
      </c>
      <c r="GT96" s="153">
        <v>210</v>
      </c>
      <c r="GU96" s="153">
        <v>182</v>
      </c>
      <c r="GV96" s="153">
        <v>167</v>
      </c>
      <c r="GW96" s="154">
        <v>132</v>
      </c>
      <c r="GX96" s="154">
        <v>102</v>
      </c>
      <c r="GY96" s="279">
        <v>63</v>
      </c>
      <c r="GZ96" s="279">
        <v>39</v>
      </c>
      <c r="HA96" s="155"/>
      <c r="HB96" s="152">
        <v>1</v>
      </c>
      <c r="HC96" s="153">
        <v>3</v>
      </c>
      <c r="HD96" s="153"/>
      <c r="HE96" s="153">
        <v>1</v>
      </c>
      <c r="HF96" s="154"/>
      <c r="HG96" s="154">
        <v>6</v>
      </c>
      <c r="HH96" s="279">
        <v>3</v>
      </c>
      <c r="HI96" s="279">
        <v>1</v>
      </c>
      <c r="HJ96" s="155"/>
      <c r="HK96" s="152"/>
      <c r="HL96" s="153"/>
      <c r="HM96" s="153"/>
      <c r="HN96" s="153"/>
      <c r="HO96" s="154"/>
      <c r="HP96" s="154"/>
      <c r="HQ96" s="279">
        <v>1</v>
      </c>
      <c r="HR96" s="279"/>
      <c r="HS96" s="155"/>
      <c r="HT96" s="152">
        <v>336</v>
      </c>
      <c r="HU96" s="153">
        <v>293</v>
      </c>
      <c r="HV96" s="153">
        <v>271</v>
      </c>
      <c r="HW96" s="153">
        <v>231</v>
      </c>
      <c r="HX96" s="154">
        <v>170</v>
      </c>
      <c r="HY96" s="154">
        <v>184</v>
      </c>
      <c r="HZ96" s="279">
        <v>140</v>
      </c>
      <c r="IA96" s="279">
        <v>93</v>
      </c>
      <c r="IB96" s="155"/>
      <c r="IC96" s="152">
        <v>1641</v>
      </c>
      <c r="ID96" s="153">
        <v>1462</v>
      </c>
      <c r="IE96" s="153">
        <v>1124</v>
      </c>
      <c r="IF96" s="153">
        <v>990</v>
      </c>
      <c r="IG96" s="154">
        <v>766</v>
      </c>
      <c r="IH96" s="154">
        <v>656</v>
      </c>
      <c r="II96" s="279">
        <v>490</v>
      </c>
      <c r="IJ96" s="279">
        <v>365</v>
      </c>
      <c r="IK96" s="155"/>
    </row>
    <row r="97" spans="1:251" ht="13.5" thickBot="1" x14ac:dyDescent="0.25">
      <c r="A97" s="961"/>
      <c r="B97" s="156" t="s">
        <v>700</v>
      </c>
      <c r="C97" s="157"/>
      <c r="D97" s="166"/>
      <c r="E97" s="166"/>
      <c r="F97" s="166"/>
      <c r="G97" s="158"/>
      <c r="H97" s="158"/>
      <c r="I97" s="280"/>
      <c r="J97" s="280"/>
      <c r="K97" s="159"/>
      <c r="L97" s="157"/>
      <c r="M97" s="166"/>
      <c r="N97" s="166"/>
      <c r="O97" s="166"/>
      <c r="P97" s="158"/>
      <c r="Q97" s="158"/>
      <c r="R97" s="280"/>
      <c r="S97" s="280"/>
      <c r="T97" s="159"/>
      <c r="U97" s="157"/>
      <c r="V97" s="166"/>
      <c r="W97" s="166"/>
      <c r="X97" s="166"/>
      <c r="Y97" s="158"/>
      <c r="Z97" s="158"/>
      <c r="AA97" s="280"/>
      <c r="AB97" s="280"/>
      <c r="AC97" s="159"/>
      <c r="AD97" s="157">
        <v>51</v>
      </c>
      <c r="AE97" s="166">
        <v>69</v>
      </c>
      <c r="AF97" s="166">
        <v>60</v>
      </c>
      <c r="AG97" s="166">
        <v>85</v>
      </c>
      <c r="AH97" s="158">
        <v>66</v>
      </c>
      <c r="AI97" s="158">
        <v>54</v>
      </c>
      <c r="AJ97" s="280">
        <v>35</v>
      </c>
      <c r="AK97" s="280">
        <v>31</v>
      </c>
      <c r="AL97" s="159"/>
      <c r="AM97" s="157">
        <v>44</v>
      </c>
      <c r="AN97" s="166">
        <v>53</v>
      </c>
      <c r="AO97" s="166">
        <v>46</v>
      </c>
      <c r="AP97" s="166">
        <v>74</v>
      </c>
      <c r="AQ97" s="158">
        <v>58</v>
      </c>
      <c r="AR97" s="158">
        <v>42</v>
      </c>
      <c r="AS97" s="280">
        <v>29</v>
      </c>
      <c r="AT97" s="280">
        <v>26</v>
      </c>
      <c r="AU97" s="159"/>
      <c r="AV97" s="157"/>
      <c r="AW97" s="166"/>
      <c r="AX97" s="166"/>
      <c r="AY97" s="166"/>
      <c r="AZ97" s="158"/>
      <c r="BA97" s="158"/>
      <c r="BB97" s="280"/>
      <c r="BC97" s="280"/>
      <c r="BD97" s="159"/>
      <c r="BE97" s="157">
        <v>11</v>
      </c>
      <c r="BF97" s="166">
        <v>14</v>
      </c>
      <c r="BG97" s="166">
        <v>3</v>
      </c>
      <c r="BH97" s="166">
        <v>6</v>
      </c>
      <c r="BI97" s="158">
        <v>7</v>
      </c>
      <c r="BJ97" s="158">
        <v>14</v>
      </c>
      <c r="BK97" s="280"/>
      <c r="BL97" s="280">
        <v>3</v>
      </c>
      <c r="BM97" s="159"/>
      <c r="BN97" s="157"/>
      <c r="BO97" s="166"/>
      <c r="BP97" s="166"/>
      <c r="BQ97" s="166"/>
      <c r="BR97" s="158"/>
      <c r="BS97" s="158"/>
      <c r="BT97" s="280"/>
      <c r="BU97" s="280"/>
      <c r="BV97" s="159"/>
      <c r="BW97" s="157">
        <v>61</v>
      </c>
      <c r="BX97" s="166">
        <v>43</v>
      </c>
      <c r="BY97" s="166">
        <v>27</v>
      </c>
      <c r="BZ97" s="166">
        <v>64</v>
      </c>
      <c r="CA97" s="158">
        <v>46</v>
      </c>
      <c r="CB97" s="158">
        <v>46</v>
      </c>
      <c r="CC97" s="280">
        <v>37</v>
      </c>
      <c r="CD97" s="280">
        <v>22</v>
      </c>
      <c r="CE97" s="159"/>
      <c r="CF97" s="157">
        <v>4</v>
      </c>
      <c r="CG97" s="166">
        <v>2</v>
      </c>
      <c r="CH97" s="166">
        <v>2</v>
      </c>
      <c r="CI97" s="166">
        <v>2</v>
      </c>
      <c r="CJ97" s="158">
        <v>5</v>
      </c>
      <c r="CK97" s="158"/>
      <c r="CL97" s="280">
        <v>3</v>
      </c>
      <c r="CM97" s="280">
        <v>2</v>
      </c>
      <c r="CN97" s="159"/>
      <c r="CO97" s="157">
        <v>1</v>
      </c>
      <c r="CP97" s="166"/>
      <c r="CQ97" s="166"/>
      <c r="CR97" s="166"/>
      <c r="CS97" s="158">
        <v>1</v>
      </c>
      <c r="CT97" s="158"/>
      <c r="CU97" s="280">
        <v>1</v>
      </c>
      <c r="CV97" s="280">
        <v>1</v>
      </c>
      <c r="CW97" s="159"/>
      <c r="CX97" s="157">
        <v>457</v>
      </c>
      <c r="CY97" s="166">
        <v>519</v>
      </c>
      <c r="CZ97" s="166">
        <v>459</v>
      </c>
      <c r="DA97" s="166">
        <v>356</v>
      </c>
      <c r="DB97" s="158">
        <v>257</v>
      </c>
      <c r="DC97" s="158">
        <v>221</v>
      </c>
      <c r="DD97" s="280">
        <v>214</v>
      </c>
      <c r="DE97" s="280">
        <v>150</v>
      </c>
      <c r="DF97" s="159"/>
      <c r="DG97" s="157">
        <v>1</v>
      </c>
      <c r="DH97" s="166">
        <v>1</v>
      </c>
      <c r="DI97" s="166">
        <v>1</v>
      </c>
      <c r="DJ97" s="166"/>
      <c r="DK97" s="158">
        <v>1</v>
      </c>
      <c r="DL97" s="158">
        <v>1</v>
      </c>
      <c r="DM97" s="280"/>
      <c r="DN97" s="280"/>
      <c r="DO97" s="159"/>
      <c r="DP97" s="157">
        <v>5</v>
      </c>
      <c r="DQ97" s="166">
        <v>3</v>
      </c>
      <c r="DR97" s="166">
        <v>3</v>
      </c>
      <c r="DS97" s="166">
        <v>1</v>
      </c>
      <c r="DT97" s="158">
        <v>2</v>
      </c>
      <c r="DU97" s="158"/>
      <c r="DV97" s="280">
        <v>2</v>
      </c>
      <c r="DW97" s="280"/>
      <c r="DX97" s="159"/>
      <c r="DY97" s="157">
        <v>45</v>
      </c>
      <c r="DZ97" s="166">
        <v>55</v>
      </c>
      <c r="EA97" s="166">
        <v>30</v>
      </c>
      <c r="EB97" s="166">
        <v>33</v>
      </c>
      <c r="EC97" s="158">
        <v>28</v>
      </c>
      <c r="ED97" s="158">
        <v>35</v>
      </c>
      <c r="EE97" s="280">
        <v>19</v>
      </c>
      <c r="EF97" s="280">
        <v>22</v>
      </c>
      <c r="EG97" s="159"/>
      <c r="EH97" s="157">
        <v>4</v>
      </c>
      <c r="EI97" s="166">
        <v>1</v>
      </c>
      <c r="EJ97" s="166">
        <v>1</v>
      </c>
      <c r="EK97" s="166">
        <v>1</v>
      </c>
      <c r="EL97" s="158">
        <v>1</v>
      </c>
      <c r="EM97" s="158">
        <v>3</v>
      </c>
      <c r="EN97" s="280">
        <v>4</v>
      </c>
      <c r="EO97" s="280"/>
      <c r="EP97" s="159"/>
      <c r="EQ97" s="157"/>
      <c r="ER97" s="166"/>
      <c r="ES97" s="166"/>
      <c r="ET97" s="166"/>
      <c r="EU97" s="158">
        <v>1</v>
      </c>
      <c r="EV97" s="158">
        <v>4</v>
      </c>
      <c r="EW97" s="280">
        <v>3</v>
      </c>
      <c r="EX97" s="280">
        <v>2</v>
      </c>
      <c r="EY97" s="159"/>
      <c r="EZ97" s="157">
        <v>2</v>
      </c>
      <c r="FA97" s="166">
        <v>1</v>
      </c>
      <c r="FB97" s="166">
        <v>2</v>
      </c>
      <c r="FC97" s="166">
        <v>1</v>
      </c>
      <c r="FD97" s="158">
        <v>4</v>
      </c>
      <c r="FE97" s="158"/>
      <c r="FF97" s="280"/>
      <c r="FG97" s="280"/>
      <c r="FH97" s="159"/>
      <c r="FI97" s="157">
        <v>17</v>
      </c>
      <c r="FJ97" s="166">
        <v>17</v>
      </c>
      <c r="FK97" s="166">
        <v>13</v>
      </c>
      <c r="FL97" s="166">
        <v>8</v>
      </c>
      <c r="FM97" s="158">
        <v>5</v>
      </c>
      <c r="FN97" s="158">
        <v>6</v>
      </c>
      <c r="FO97" s="280">
        <v>5</v>
      </c>
      <c r="FP97" s="280">
        <v>5</v>
      </c>
      <c r="FQ97" s="159"/>
      <c r="FR97" s="157">
        <v>11</v>
      </c>
      <c r="FS97" s="166">
        <v>3</v>
      </c>
      <c r="FT97" s="166">
        <v>6</v>
      </c>
      <c r="FU97" s="166">
        <v>12</v>
      </c>
      <c r="FV97" s="158">
        <v>7</v>
      </c>
      <c r="FW97" s="158">
        <v>2</v>
      </c>
      <c r="FX97" s="280">
        <v>3</v>
      </c>
      <c r="FY97" s="280">
        <v>3</v>
      </c>
      <c r="FZ97" s="159"/>
      <c r="GA97" s="157">
        <v>3</v>
      </c>
      <c r="GB97" s="166"/>
      <c r="GC97" s="166">
        <v>2</v>
      </c>
      <c r="GD97" s="166">
        <v>4</v>
      </c>
      <c r="GE97" s="158">
        <v>1</v>
      </c>
      <c r="GF97" s="158">
        <v>1</v>
      </c>
      <c r="GG97" s="280">
        <v>1</v>
      </c>
      <c r="GH97" s="280">
        <v>2</v>
      </c>
      <c r="GI97" s="159"/>
      <c r="GJ97" s="157">
        <v>622</v>
      </c>
      <c r="GK97" s="166">
        <v>669</v>
      </c>
      <c r="GL97" s="166">
        <v>575</v>
      </c>
      <c r="GM97" s="166">
        <v>539</v>
      </c>
      <c r="GN97" s="158">
        <v>401</v>
      </c>
      <c r="GO97" s="158">
        <v>351</v>
      </c>
      <c r="GP97" s="280">
        <v>306</v>
      </c>
      <c r="GQ97" s="280">
        <v>221</v>
      </c>
      <c r="GR97" s="159"/>
      <c r="GS97" s="157">
        <v>155</v>
      </c>
      <c r="GT97" s="166">
        <v>144</v>
      </c>
      <c r="GU97" s="166">
        <v>122</v>
      </c>
      <c r="GV97" s="166">
        <v>151</v>
      </c>
      <c r="GW97" s="158">
        <v>89</v>
      </c>
      <c r="GX97" s="158">
        <v>85</v>
      </c>
      <c r="GY97" s="280">
        <v>63</v>
      </c>
      <c r="GZ97" s="280">
        <v>43</v>
      </c>
      <c r="HA97" s="159"/>
      <c r="HB97" s="157"/>
      <c r="HC97" s="166"/>
      <c r="HD97" s="166"/>
      <c r="HE97" s="166"/>
      <c r="HF97" s="158"/>
      <c r="HG97" s="158"/>
      <c r="HH97" s="280"/>
      <c r="HI97" s="280"/>
      <c r="HJ97" s="159"/>
      <c r="HK97" s="157"/>
      <c r="HL97" s="166"/>
      <c r="HM97" s="166"/>
      <c r="HN97" s="166"/>
      <c r="HO97" s="158"/>
      <c r="HP97" s="158"/>
      <c r="HQ97" s="280"/>
      <c r="HR97" s="280"/>
      <c r="HS97" s="159"/>
      <c r="HT97" s="157">
        <v>188</v>
      </c>
      <c r="HU97" s="166">
        <v>166</v>
      </c>
      <c r="HV97" s="166">
        <v>142</v>
      </c>
      <c r="HW97" s="166">
        <v>190</v>
      </c>
      <c r="HX97" s="158">
        <v>135</v>
      </c>
      <c r="HY97" s="158">
        <v>115</v>
      </c>
      <c r="HZ97" s="280">
        <v>91</v>
      </c>
      <c r="IA97" s="280">
        <v>69</v>
      </c>
      <c r="IB97" s="159"/>
      <c r="IC97" s="157">
        <v>1331</v>
      </c>
      <c r="ID97" s="166">
        <v>1231</v>
      </c>
      <c r="IE97" s="166">
        <v>857</v>
      </c>
      <c r="IF97" s="166">
        <v>794</v>
      </c>
      <c r="IG97" s="158">
        <v>620</v>
      </c>
      <c r="IH97" s="158">
        <v>493</v>
      </c>
      <c r="II97" s="280">
        <v>421</v>
      </c>
      <c r="IJ97" s="280">
        <v>344</v>
      </c>
      <c r="IK97" s="159"/>
      <c r="IL97" s="170"/>
      <c r="IM97" s="170"/>
      <c r="IN97" s="170"/>
      <c r="IO97" s="170"/>
      <c r="IP97" s="170"/>
      <c r="IQ97" s="170"/>
    </row>
    <row r="98" spans="1:251" s="134" customFormat="1" ht="13.5" thickBot="1" x14ac:dyDescent="0.25">
      <c r="A98" s="962"/>
      <c r="B98" s="189" t="s">
        <v>778</v>
      </c>
      <c r="C98" s="188">
        <v>16</v>
      </c>
      <c r="D98" s="191">
        <v>15</v>
      </c>
      <c r="E98" s="191">
        <v>12</v>
      </c>
      <c r="F98" s="191">
        <v>10</v>
      </c>
      <c r="G98" s="191">
        <v>17</v>
      </c>
      <c r="H98" s="191">
        <v>10</v>
      </c>
      <c r="I98" s="191">
        <v>15</v>
      </c>
      <c r="J98" s="191">
        <v>10</v>
      </c>
      <c r="K98" s="287"/>
      <c r="L98" s="188">
        <v>4</v>
      </c>
      <c r="M98" s="191">
        <v>9</v>
      </c>
      <c r="N98" s="191">
        <v>6</v>
      </c>
      <c r="O98" s="191">
        <v>3</v>
      </c>
      <c r="P98" s="191">
        <v>9</v>
      </c>
      <c r="Q98" s="191">
        <v>4</v>
      </c>
      <c r="R98" s="191">
        <v>6</v>
      </c>
      <c r="S98" s="191">
        <v>4</v>
      </c>
      <c r="T98" s="287"/>
      <c r="U98" s="188">
        <v>10</v>
      </c>
      <c r="V98" s="191">
        <v>5</v>
      </c>
      <c r="W98" s="191">
        <v>5</v>
      </c>
      <c r="X98" s="191">
        <v>6</v>
      </c>
      <c r="Y98" s="191">
        <v>8</v>
      </c>
      <c r="Z98" s="191">
        <v>5</v>
      </c>
      <c r="AA98" s="191">
        <v>8</v>
      </c>
      <c r="AB98" s="191">
        <v>6</v>
      </c>
      <c r="AC98" s="287"/>
      <c r="AD98" s="188">
        <v>1255</v>
      </c>
      <c r="AE98" s="191">
        <v>1237</v>
      </c>
      <c r="AF98" s="191">
        <v>1138</v>
      </c>
      <c r="AG98" s="191">
        <v>1192</v>
      </c>
      <c r="AH98" s="191">
        <v>1094</v>
      </c>
      <c r="AI98" s="191">
        <v>915</v>
      </c>
      <c r="AJ98" s="191">
        <v>769</v>
      </c>
      <c r="AK98" s="191">
        <v>678</v>
      </c>
      <c r="AL98" s="287"/>
      <c r="AM98" s="188">
        <v>992</v>
      </c>
      <c r="AN98" s="191">
        <v>946</v>
      </c>
      <c r="AO98" s="191">
        <v>790</v>
      </c>
      <c r="AP98" s="191">
        <v>898</v>
      </c>
      <c r="AQ98" s="191">
        <v>783</v>
      </c>
      <c r="AR98" s="191">
        <v>664</v>
      </c>
      <c r="AS98" s="191">
        <v>563</v>
      </c>
      <c r="AT98" s="191">
        <v>502</v>
      </c>
      <c r="AU98" s="287"/>
      <c r="AV98" s="188">
        <v>2</v>
      </c>
      <c r="AW98" s="191">
        <v>1</v>
      </c>
      <c r="AX98" s="191">
        <v>2</v>
      </c>
      <c r="AY98" s="191">
        <v>1</v>
      </c>
      <c r="AZ98" s="191">
        <v>2</v>
      </c>
      <c r="BA98" s="191">
        <v>1</v>
      </c>
      <c r="BB98" s="191">
        <v>1</v>
      </c>
      <c r="BC98" s="191"/>
      <c r="BD98" s="287"/>
      <c r="BE98" s="188">
        <v>84</v>
      </c>
      <c r="BF98" s="191">
        <v>97</v>
      </c>
      <c r="BG98" s="191">
        <v>84</v>
      </c>
      <c r="BH98" s="191">
        <v>90</v>
      </c>
      <c r="BI98" s="191">
        <v>101</v>
      </c>
      <c r="BJ98" s="191">
        <v>86</v>
      </c>
      <c r="BK98" s="191">
        <v>71</v>
      </c>
      <c r="BL98" s="191">
        <v>60</v>
      </c>
      <c r="BM98" s="287"/>
      <c r="BN98" s="188">
        <v>7</v>
      </c>
      <c r="BO98" s="191">
        <v>4</v>
      </c>
      <c r="BP98" s="191">
        <v>7</v>
      </c>
      <c r="BQ98" s="191">
        <v>6</v>
      </c>
      <c r="BR98" s="191">
        <v>2</v>
      </c>
      <c r="BS98" s="191">
        <v>10</v>
      </c>
      <c r="BT98" s="191"/>
      <c r="BU98" s="191">
        <v>1</v>
      </c>
      <c r="BV98" s="287"/>
      <c r="BW98" s="188">
        <v>869</v>
      </c>
      <c r="BX98" s="191">
        <v>888</v>
      </c>
      <c r="BY98" s="191">
        <v>823</v>
      </c>
      <c r="BZ98" s="191">
        <v>943</v>
      </c>
      <c r="CA98" s="191">
        <v>906</v>
      </c>
      <c r="CB98" s="191">
        <v>751</v>
      </c>
      <c r="CC98" s="191">
        <v>585</v>
      </c>
      <c r="CD98" s="191">
        <v>481</v>
      </c>
      <c r="CE98" s="287"/>
      <c r="CF98" s="188">
        <v>44</v>
      </c>
      <c r="CG98" s="191">
        <v>26</v>
      </c>
      <c r="CH98" s="191">
        <v>27</v>
      </c>
      <c r="CI98" s="191">
        <v>20</v>
      </c>
      <c r="CJ98" s="191">
        <v>20</v>
      </c>
      <c r="CK98" s="191">
        <v>26</v>
      </c>
      <c r="CL98" s="191">
        <v>21</v>
      </c>
      <c r="CM98" s="191">
        <v>12</v>
      </c>
      <c r="CN98" s="287"/>
      <c r="CO98" s="188">
        <v>36</v>
      </c>
      <c r="CP98" s="191">
        <v>27</v>
      </c>
      <c r="CQ98" s="191">
        <v>38</v>
      </c>
      <c r="CR98" s="191">
        <v>20</v>
      </c>
      <c r="CS98" s="191">
        <v>22</v>
      </c>
      <c r="CT98" s="191">
        <v>28</v>
      </c>
      <c r="CU98" s="191">
        <v>15</v>
      </c>
      <c r="CV98" s="191">
        <v>38</v>
      </c>
      <c r="CW98" s="287"/>
      <c r="CX98" s="188">
        <v>9705</v>
      </c>
      <c r="CY98" s="191">
        <v>9843</v>
      </c>
      <c r="CZ98" s="191">
        <v>9266</v>
      </c>
      <c r="DA98" s="191">
        <v>7287</v>
      </c>
      <c r="DB98" s="191">
        <v>5373</v>
      </c>
      <c r="DC98" s="191">
        <v>4092</v>
      </c>
      <c r="DD98" s="191">
        <v>3749</v>
      </c>
      <c r="DE98" s="191">
        <v>2653</v>
      </c>
      <c r="DF98" s="287"/>
      <c r="DG98" s="188">
        <v>66</v>
      </c>
      <c r="DH98" s="191">
        <v>54</v>
      </c>
      <c r="DI98" s="191">
        <v>49</v>
      </c>
      <c r="DJ98" s="191">
        <v>32</v>
      </c>
      <c r="DK98" s="191">
        <v>23</v>
      </c>
      <c r="DL98" s="191">
        <v>10</v>
      </c>
      <c r="DM98" s="191">
        <v>12</v>
      </c>
      <c r="DN98" s="191">
        <v>4</v>
      </c>
      <c r="DO98" s="287"/>
      <c r="DP98" s="188">
        <v>449</v>
      </c>
      <c r="DQ98" s="191">
        <v>321</v>
      </c>
      <c r="DR98" s="191">
        <v>267</v>
      </c>
      <c r="DS98" s="191">
        <v>184</v>
      </c>
      <c r="DT98" s="191">
        <v>128</v>
      </c>
      <c r="DU98" s="191">
        <v>98</v>
      </c>
      <c r="DV98" s="191">
        <v>177</v>
      </c>
      <c r="DW98" s="191">
        <v>49</v>
      </c>
      <c r="DX98" s="287"/>
      <c r="DY98" s="188">
        <v>1240</v>
      </c>
      <c r="DZ98" s="191">
        <v>1419</v>
      </c>
      <c r="EA98" s="191">
        <v>1194</v>
      </c>
      <c r="EB98" s="191">
        <v>881</v>
      </c>
      <c r="EC98" s="191">
        <v>821</v>
      </c>
      <c r="ED98" s="191">
        <v>824</v>
      </c>
      <c r="EE98" s="191">
        <v>756</v>
      </c>
      <c r="EF98" s="191">
        <v>491</v>
      </c>
      <c r="EG98" s="287"/>
      <c r="EH98" s="188">
        <v>152</v>
      </c>
      <c r="EI98" s="191">
        <v>134</v>
      </c>
      <c r="EJ98" s="191">
        <v>118</v>
      </c>
      <c r="EK98" s="191">
        <v>103</v>
      </c>
      <c r="EL98" s="191">
        <v>63</v>
      </c>
      <c r="EM98" s="191">
        <v>51</v>
      </c>
      <c r="EN98" s="191">
        <v>49</v>
      </c>
      <c r="EO98" s="191">
        <v>31</v>
      </c>
      <c r="EP98" s="287"/>
      <c r="EQ98" s="188">
        <v>36</v>
      </c>
      <c r="ER98" s="191">
        <v>50</v>
      </c>
      <c r="ES98" s="191">
        <v>90</v>
      </c>
      <c r="ET98" s="191">
        <v>63</v>
      </c>
      <c r="EU98" s="191">
        <v>52</v>
      </c>
      <c r="EV98" s="191">
        <v>69</v>
      </c>
      <c r="EW98" s="191">
        <v>74</v>
      </c>
      <c r="EX98" s="191">
        <v>136</v>
      </c>
      <c r="EY98" s="287"/>
      <c r="EZ98" s="188">
        <v>62</v>
      </c>
      <c r="FA98" s="191">
        <v>41</v>
      </c>
      <c r="FB98" s="191">
        <v>32</v>
      </c>
      <c r="FC98" s="191">
        <v>44</v>
      </c>
      <c r="FD98" s="191">
        <v>26</v>
      </c>
      <c r="FE98" s="191">
        <v>13</v>
      </c>
      <c r="FF98" s="191">
        <v>10</v>
      </c>
      <c r="FG98" s="191">
        <v>4</v>
      </c>
      <c r="FH98" s="287"/>
      <c r="FI98" s="188">
        <v>543</v>
      </c>
      <c r="FJ98" s="191">
        <v>507</v>
      </c>
      <c r="FK98" s="191">
        <v>472</v>
      </c>
      <c r="FL98" s="191">
        <v>316</v>
      </c>
      <c r="FM98" s="191">
        <v>291</v>
      </c>
      <c r="FN98" s="191">
        <v>232</v>
      </c>
      <c r="FO98" s="191">
        <v>192</v>
      </c>
      <c r="FP98" s="191">
        <v>151</v>
      </c>
      <c r="FQ98" s="287"/>
      <c r="FR98" s="188">
        <v>81</v>
      </c>
      <c r="FS98" s="191">
        <v>79</v>
      </c>
      <c r="FT98" s="191">
        <v>43</v>
      </c>
      <c r="FU98" s="191">
        <v>60</v>
      </c>
      <c r="FV98" s="191">
        <v>47</v>
      </c>
      <c r="FW98" s="191">
        <v>39</v>
      </c>
      <c r="FX98" s="191">
        <v>24</v>
      </c>
      <c r="FY98" s="191">
        <v>26</v>
      </c>
      <c r="FZ98" s="287"/>
      <c r="GA98" s="188">
        <v>46</v>
      </c>
      <c r="GB98" s="191">
        <v>38</v>
      </c>
      <c r="GC98" s="191">
        <v>34</v>
      </c>
      <c r="GD98" s="191">
        <v>42</v>
      </c>
      <c r="GE98" s="191">
        <v>46</v>
      </c>
      <c r="GF98" s="191">
        <v>29</v>
      </c>
      <c r="GG98" s="191">
        <v>39</v>
      </c>
      <c r="GH98" s="191">
        <v>27</v>
      </c>
      <c r="GI98" s="287"/>
      <c r="GJ98" s="188">
        <v>12936</v>
      </c>
      <c r="GK98" s="191">
        <v>12986</v>
      </c>
      <c r="GL98" s="191">
        <v>12184</v>
      </c>
      <c r="GM98" s="191">
        <v>10196</v>
      </c>
      <c r="GN98" s="191">
        <v>8060</v>
      </c>
      <c r="GO98" s="191">
        <v>6351</v>
      </c>
      <c r="GP98" s="191">
        <v>5613</v>
      </c>
      <c r="GQ98" s="191">
        <v>4308</v>
      </c>
      <c r="GR98" s="287"/>
      <c r="GS98" s="188">
        <v>3827</v>
      </c>
      <c r="GT98" s="191">
        <v>3789</v>
      </c>
      <c r="GU98" s="191">
        <v>3683</v>
      </c>
      <c r="GV98" s="191">
        <v>2862</v>
      </c>
      <c r="GW98" s="191">
        <v>1762</v>
      </c>
      <c r="GX98" s="191">
        <v>1372</v>
      </c>
      <c r="GY98" s="191">
        <v>1298</v>
      </c>
      <c r="GZ98" s="191">
        <v>866</v>
      </c>
      <c r="HA98" s="287"/>
      <c r="HB98" s="188">
        <v>47</v>
      </c>
      <c r="HC98" s="191">
        <v>47</v>
      </c>
      <c r="HD98" s="191">
        <v>39</v>
      </c>
      <c r="HE98" s="191">
        <v>35</v>
      </c>
      <c r="HF98" s="191">
        <v>40</v>
      </c>
      <c r="HG98" s="191">
        <v>32</v>
      </c>
      <c r="HH98" s="191">
        <v>29</v>
      </c>
      <c r="HI98" s="191">
        <v>19</v>
      </c>
      <c r="HJ98" s="287"/>
      <c r="HK98" s="188">
        <v>15</v>
      </c>
      <c r="HL98" s="191">
        <v>7</v>
      </c>
      <c r="HM98" s="191">
        <v>5</v>
      </c>
      <c r="HN98" s="191">
        <v>9</v>
      </c>
      <c r="HO98" s="191">
        <v>7</v>
      </c>
      <c r="HP98" s="191">
        <v>9</v>
      </c>
      <c r="HQ98" s="191">
        <v>11</v>
      </c>
      <c r="HR98" s="191">
        <v>3</v>
      </c>
      <c r="HS98" s="287"/>
      <c r="HT98" s="188">
        <v>4872</v>
      </c>
      <c r="HU98" s="191">
        <v>4658</v>
      </c>
      <c r="HV98" s="191">
        <v>4449</v>
      </c>
      <c r="HW98" s="191">
        <v>3686</v>
      </c>
      <c r="HX98" s="191">
        <v>2695</v>
      </c>
      <c r="HY98" s="191">
        <v>2365</v>
      </c>
      <c r="HZ98" s="191">
        <v>2283</v>
      </c>
      <c r="IA98" s="191">
        <v>1774</v>
      </c>
      <c r="IB98" s="287"/>
      <c r="IC98" s="188">
        <v>32492</v>
      </c>
      <c r="ID98" s="191">
        <v>32154</v>
      </c>
      <c r="IE98" s="191">
        <v>19941</v>
      </c>
      <c r="IF98" s="191">
        <v>15217</v>
      </c>
      <c r="IG98" s="191">
        <v>13280</v>
      </c>
      <c r="IH98" s="191">
        <v>11477</v>
      </c>
      <c r="II98" s="191">
        <v>11275</v>
      </c>
      <c r="IJ98" s="191">
        <v>7928</v>
      </c>
      <c r="IK98" s="287"/>
      <c r="IL98" s="192"/>
      <c r="IM98" s="192"/>
      <c r="IN98" s="192"/>
      <c r="IO98" s="192"/>
      <c r="IP98" s="192"/>
      <c r="IQ98" s="192"/>
    </row>
    <row r="99" spans="1:251" x14ac:dyDescent="0.2">
      <c r="A99" s="960" t="s">
        <v>591</v>
      </c>
      <c r="B99" s="146" t="s">
        <v>592</v>
      </c>
      <c r="C99" s="147">
        <v>6</v>
      </c>
      <c r="D99" s="148">
        <v>5</v>
      </c>
      <c r="E99" s="148">
        <v>7</v>
      </c>
      <c r="F99" s="148">
        <v>7</v>
      </c>
      <c r="G99" s="149">
        <v>6</v>
      </c>
      <c r="H99" s="149">
        <v>8</v>
      </c>
      <c r="I99" s="278">
        <v>12</v>
      </c>
      <c r="J99" s="278">
        <v>10</v>
      </c>
      <c r="K99" s="150"/>
      <c r="L99" s="147">
        <v>1</v>
      </c>
      <c r="M99" s="148">
        <v>1</v>
      </c>
      <c r="N99" s="148">
        <v>2</v>
      </c>
      <c r="O99" s="148">
        <v>3</v>
      </c>
      <c r="P99" s="149">
        <v>5</v>
      </c>
      <c r="Q99" s="149">
        <v>5</v>
      </c>
      <c r="R99" s="278">
        <v>9</v>
      </c>
      <c r="S99" s="278">
        <v>1</v>
      </c>
      <c r="T99" s="150"/>
      <c r="U99" s="147">
        <v>2</v>
      </c>
      <c r="V99" s="148">
        <v>2</v>
      </c>
      <c r="W99" s="148">
        <v>5</v>
      </c>
      <c r="X99" s="148">
        <v>3</v>
      </c>
      <c r="Y99" s="149">
        <v>1</v>
      </c>
      <c r="Z99" s="149">
        <v>2</v>
      </c>
      <c r="AA99" s="278">
        <v>2</v>
      </c>
      <c r="AB99" s="278">
        <v>5</v>
      </c>
      <c r="AC99" s="150"/>
      <c r="AD99" s="147">
        <v>23</v>
      </c>
      <c r="AE99" s="148">
        <v>13</v>
      </c>
      <c r="AF99" s="148">
        <v>18</v>
      </c>
      <c r="AG99" s="148">
        <v>25</v>
      </c>
      <c r="AH99" s="149">
        <v>12</v>
      </c>
      <c r="AI99" s="149">
        <v>10</v>
      </c>
      <c r="AJ99" s="278">
        <v>14</v>
      </c>
      <c r="AK99" s="278">
        <v>15</v>
      </c>
      <c r="AL99" s="150"/>
      <c r="AM99" s="147">
        <v>15</v>
      </c>
      <c r="AN99" s="148">
        <v>11</v>
      </c>
      <c r="AO99" s="148">
        <v>17</v>
      </c>
      <c r="AP99" s="148">
        <v>20</v>
      </c>
      <c r="AQ99" s="149">
        <v>10</v>
      </c>
      <c r="AR99" s="149">
        <v>6</v>
      </c>
      <c r="AS99" s="278">
        <v>11</v>
      </c>
      <c r="AT99" s="278">
        <v>10</v>
      </c>
      <c r="AU99" s="150"/>
      <c r="AV99" s="147"/>
      <c r="AW99" s="148">
        <v>1</v>
      </c>
      <c r="AX99" s="148"/>
      <c r="AY99" s="148"/>
      <c r="AZ99" s="149"/>
      <c r="BA99" s="149"/>
      <c r="BB99" s="278">
        <v>1</v>
      </c>
      <c r="BC99" s="278">
        <v>1</v>
      </c>
      <c r="BD99" s="150"/>
      <c r="BE99" s="147">
        <v>5</v>
      </c>
      <c r="BF99" s="148"/>
      <c r="BG99" s="148">
        <v>2</v>
      </c>
      <c r="BH99" s="148">
        <v>6</v>
      </c>
      <c r="BI99" s="149">
        <v>2</v>
      </c>
      <c r="BJ99" s="149">
        <v>1</v>
      </c>
      <c r="BK99" s="278">
        <v>3</v>
      </c>
      <c r="BL99" s="278">
        <v>2</v>
      </c>
      <c r="BM99" s="150"/>
      <c r="BN99" s="147"/>
      <c r="BO99" s="148"/>
      <c r="BP99" s="148"/>
      <c r="BQ99" s="148">
        <v>1</v>
      </c>
      <c r="BR99" s="149"/>
      <c r="BS99" s="149"/>
      <c r="BT99" s="278"/>
      <c r="BU99" s="278"/>
      <c r="BV99" s="150"/>
      <c r="BW99" s="147">
        <v>19</v>
      </c>
      <c r="BX99" s="148">
        <v>4</v>
      </c>
      <c r="BY99" s="148">
        <v>3</v>
      </c>
      <c r="BZ99" s="148">
        <v>6</v>
      </c>
      <c r="CA99" s="149">
        <v>4</v>
      </c>
      <c r="CB99" s="149">
        <v>1</v>
      </c>
      <c r="CC99" s="278">
        <v>3</v>
      </c>
      <c r="CD99" s="278">
        <v>1</v>
      </c>
      <c r="CE99" s="150"/>
      <c r="CF99" s="147"/>
      <c r="CG99" s="148">
        <v>2</v>
      </c>
      <c r="CH99" s="148">
        <v>1</v>
      </c>
      <c r="CI99" s="148">
        <v>2</v>
      </c>
      <c r="CJ99" s="149">
        <v>2</v>
      </c>
      <c r="CK99" s="149"/>
      <c r="CL99" s="278"/>
      <c r="CM99" s="278"/>
      <c r="CN99" s="150"/>
      <c r="CO99" s="147">
        <v>1</v>
      </c>
      <c r="CP99" s="148">
        <v>4</v>
      </c>
      <c r="CQ99" s="148">
        <v>1</v>
      </c>
      <c r="CR99" s="148">
        <v>1</v>
      </c>
      <c r="CS99" s="149"/>
      <c r="CT99" s="149">
        <v>1</v>
      </c>
      <c r="CU99" s="278">
        <v>5</v>
      </c>
      <c r="CV99" s="278">
        <v>1</v>
      </c>
      <c r="CW99" s="150"/>
      <c r="CX99" s="147">
        <v>25</v>
      </c>
      <c r="CY99" s="148">
        <v>9</v>
      </c>
      <c r="CZ99" s="148">
        <v>1</v>
      </c>
      <c r="DA99" s="148">
        <v>26</v>
      </c>
      <c r="DB99" s="149">
        <v>66</v>
      </c>
      <c r="DC99" s="149">
        <v>1</v>
      </c>
      <c r="DD99" s="278">
        <v>13</v>
      </c>
      <c r="DE99" s="278">
        <v>8</v>
      </c>
      <c r="DF99" s="150"/>
      <c r="DG99" s="147">
        <v>2</v>
      </c>
      <c r="DH99" s="148"/>
      <c r="DI99" s="148"/>
      <c r="DJ99" s="148"/>
      <c r="DK99" s="149">
        <v>4</v>
      </c>
      <c r="DL99" s="149"/>
      <c r="DM99" s="278">
        <v>1</v>
      </c>
      <c r="DN99" s="278">
        <v>5</v>
      </c>
      <c r="DO99" s="150"/>
      <c r="DP99" s="147"/>
      <c r="DQ99" s="148"/>
      <c r="DR99" s="148"/>
      <c r="DS99" s="148"/>
      <c r="DT99" s="149"/>
      <c r="DU99" s="149"/>
      <c r="DV99" s="278"/>
      <c r="DW99" s="278"/>
      <c r="DX99" s="150"/>
      <c r="DY99" s="147">
        <v>2</v>
      </c>
      <c r="DZ99" s="148"/>
      <c r="EA99" s="148"/>
      <c r="EB99" s="148">
        <v>7</v>
      </c>
      <c r="EC99" s="149">
        <v>4</v>
      </c>
      <c r="ED99" s="149">
        <v>1</v>
      </c>
      <c r="EE99" s="278">
        <v>1</v>
      </c>
      <c r="EF99" s="278">
        <v>2</v>
      </c>
      <c r="EG99" s="150"/>
      <c r="EH99" s="147">
        <v>13</v>
      </c>
      <c r="EI99" s="148">
        <v>7</v>
      </c>
      <c r="EJ99" s="148">
        <v>3</v>
      </c>
      <c r="EK99" s="148">
        <v>5</v>
      </c>
      <c r="EL99" s="149">
        <v>9</v>
      </c>
      <c r="EM99" s="149">
        <v>3</v>
      </c>
      <c r="EN99" s="278">
        <v>2</v>
      </c>
      <c r="EO99" s="278">
        <v>1</v>
      </c>
      <c r="EP99" s="150"/>
      <c r="EQ99" s="147"/>
      <c r="ER99" s="148"/>
      <c r="ES99" s="148">
        <v>1</v>
      </c>
      <c r="ET99" s="148"/>
      <c r="EU99" s="149">
        <v>1</v>
      </c>
      <c r="EV99" s="149"/>
      <c r="EW99" s="278">
        <v>6</v>
      </c>
      <c r="EX99" s="278">
        <v>1</v>
      </c>
      <c r="EY99" s="150"/>
      <c r="EZ99" s="147">
        <v>9</v>
      </c>
      <c r="FA99" s="148">
        <v>8</v>
      </c>
      <c r="FB99" s="148">
        <v>9</v>
      </c>
      <c r="FC99" s="148">
        <v>10</v>
      </c>
      <c r="FD99" s="149">
        <v>1</v>
      </c>
      <c r="FE99" s="149"/>
      <c r="FF99" s="278"/>
      <c r="FG99" s="278"/>
      <c r="FH99" s="150"/>
      <c r="FI99" s="147">
        <v>1</v>
      </c>
      <c r="FJ99" s="148">
        <v>1</v>
      </c>
      <c r="FK99" s="148"/>
      <c r="FL99" s="148"/>
      <c r="FM99" s="149">
        <v>2</v>
      </c>
      <c r="FN99" s="149"/>
      <c r="FO99" s="278">
        <v>1</v>
      </c>
      <c r="FP99" s="278">
        <v>1</v>
      </c>
      <c r="FQ99" s="150"/>
      <c r="FR99" s="147">
        <v>4</v>
      </c>
      <c r="FS99" s="148"/>
      <c r="FT99" s="148">
        <v>1</v>
      </c>
      <c r="FU99" s="148">
        <v>1</v>
      </c>
      <c r="FV99" s="149">
        <v>1</v>
      </c>
      <c r="FW99" s="149"/>
      <c r="FX99" s="278"/>
      <c r="FY99" s="278">
        <v>3</v>
      </c>
      <c r="FZ99" s="150"/>
      <c r="GA99" s="147"/>
      <c r="GB99" s="148"/>
      <c r="GC99" s="148"/>
      <c r="GD99" s="148"/>
      <c r="GE99" s="149"/>
      <c r="GF99" s="149"/>
      <c r="GG99" s="278"/>
      <c r="GH99" s="278"/>
      <c r="GI99" s="150"/>
      <c r="GJ99" s="147">
        <v>106</v>
      </c>
      <c r="GK99" s="148">
        <v>53</v>
      </c>
      <c r="GL99" s="148">
        <v>47</v>
      </c>
      <c r="GM99" s="148">
        <v>90</v>
      </c>
      <c r="GN99" s="149">
        <v>106</v>
      </c>
      <c r="GO99" s="149">
        <v>25</v>
      </c>
      <c r="GP99" s="278">
        <v>59</v>
      </c>
      <c r="GQ99" s="278">
        <v>43</v>
      </c>
      <c r="GR99" s="150"/>
      <c r="GS99" s="147">
        <v>23</v>
      </c>
      <c r="GT99" s="148">
        <v>9</v>
      </c>
      <c r="GU99" s="148">
        <v>18</v>
      </c>
      <c r="GV99" s="148">
        <v>17</v>
      </c>
      <c r="GW99" s="149">
        <v>31</v>
      </c>
      <c r="GX99" s="149">
        <v>2</v>
      </c>
      <c r="GY99" s="278">
        <v>12</v>
      </c>
      <c r="GZ99" s="278">
        <v>14</v>
      </c>
      <c r="HA99" s="150"/>
      <c r="HB99" s="147"/>
      <c r="HC99" s="148"/>
      <c r="HD99" s="148">
        <v>3</v>
      </c>
      <c r="HE99" s="148"/>
      <c r="HF99" s="149"/>
      <c r="HG99" s="149">
        <v>2</v>
      </c>
      <c r="HH99" s="278">
        <v>1</v>
      </c>
      <c r="HI99" s="278"/>
      <c r="HJ99" s="150"/>
      <c r="HK99" s="147"/>
      <c r="HL99" s="148"/>
      <c r="HM99" s="148"/>
      <c r="HN99" s="148"/>
      <c r="HO99" s="149"/>
      <c r="HP99" s="149"/>
      <c r="HQ99" s="278"/>
      <c r="HR99" s="278"/>
      <c r="HS99" s="150"/>
      <c r="HT99" s="147">
        <v>30</v>
      </c>
      <c r="HU99" s="148">
        <v>13</v>
      </c>
      <c r="HV99" s="148">
        <v>24</v>
      </c>
      <c r="HW99" s="148">
        <v>33</v>
      </c>
      <c r="HX99" s="149">
        <v>34</v>
      </c>
      <c r="HY99" s="149">
        <v>13</v>
      </c>
      <c r="HZ99" s="278">
        <v>20</v>
      </c>
      <c r="IA99" s="278">
        <v>23</v>
      </c>
      <c r="IB99" s="150"/>
      <c r="IC99" s="147">
        <v>210</v>
      </c>
      <c r="ID99" s="148">
        <v>175</v>
      </c>
      <c r="IE99" s="148">
        <v>486</v>
      </c>
      <c r="IF99" s="148">
        <v>171</v>
      </c>
      <c r="IG99" s="149">
        <v>225</v>
      </c>
      <c r="IH99" s="149">
        <v>210</v>
      </c>
      <c r="II99" s="278">
        <v>219</v>
      </c>
      <c r="IJ99" s="278">
        <v>1707</v>
      </c>
      <c r="IK99" s="150"/>
    </row>
    <row r="100" spans="1:251" x14ac:dyDescent="0.2">
      <c r="A100" s="961"/>
      <c r="B100" s="151" t="s">
        <v>774</v>
      </c>
      <c r="C100" s="152"/>
      <c r="D100" s="153"/>
      <c r="E100" s="153"/>
      <c r="F100" s="153"/>
      <c r="G100" s="154"/>
      <c r="H100" s="154"/>
      <c r="I100" s="279"/>
      <c r="J100" s="279"/>
      <c r="K100" s="155"/>
      <c r="L100" s="152"/>
      <c r="M100" s="153"/>
      <c r="N100" s="153"/>
      <c r="O100" s="153"/>
      <c r="P100" s="154"/>
      <c r="Q100" s="154"/>
      <c r="R100" s="279"/>
      <c r="S100" s="279"/>
      <c r="T100" s="155"/>
      <c r="U100" s="152"/>
      <c r="V100" s="153"/>
      <c r="W100" s="153"/>
      <c r="X100" s="153"/>
      <c r="Y100" s="154"/>
      <c r="Z100" s="154"/>
      <c r="AA100" s="279"/>
      <c r="AB100" s="279"/>
      <c r="AC100" s="155"/>
      <c r="AD100" s="152">
        <v>136</v>
      </c>
      <c r="AE100" s="153">
        <v>159</v>
      </c>
      <c r="AF100" s="153">
        <v>103</v>
      </c>
      <c r="AG100" s="153">
        <v>134</v>
      </c>
      <c r="AH100" s="154">
        <v>135</v>
      </c>
      <c r="AI100" s="154">
        <v>159</v>
      </c>
      <c r="AJ100" s="279">
        <v>101</v>
      </c>
      <c r="AK100" s="279">
        <v>105</v>
      </c>
      <c r="AL100" s="155"/>
      <c r="AM100" s="152">
        <v>54</v>
      </c>
      <c r="AN100" s="153">
        <v>65</v>
      </c>
      <c r="AO100" s="153">
        <v>44</v>
      </c>
      <c r="AP100" s="153">
        <v>60</v>
      </c>
      <c r="AQ100" s="154">
        <v>57</v>
      </c>
      <c r="AR100" s="154">
        <v>73</v>
      </c>
      <c r="AS100" s="279">
        <v>45</v>
      </c>
      <c r="AT100" s="279">
        <v>46</v>
      </c>
      <c r="AU100" s="155"/>
      <c r="AV100" s="152"/>
      <c r="AW100" s="153"/>
      <c r="AX100" s="153"/>
      <c r="AY100" s="153"/>
      <c r="AZ100" s="154"/>
      <c r="BA100" s="154"/>
      <c r="BB100" s="279"/>
      <c r="BC100" s="279"/>
      <c r="BD100" s="155"/>
      <c r="BE100" s="152">
        <v>10</v>
      </c>
      <c r="BF100" s="153">
        <v>8</v>
      </c>
      <c r="BG100" s="153">
        <v>14</v>
      </c>
      <c r="BH100" s="153">
        <v>12</v>
      </c>
      <c r="BI100" s="154">
        <v>22</v>
      </c>
      <c r="BJ100" s="154">
        <v>18</v>
      </c>
      <c r="BK100" s="279">
        <v>5</v>
      </c>
      <c r="BL100" s="279">
        <v>4</v>
      </c>
      <c r="BM100" s="155"/>
      <c r="BN100" s="152"/>
      <c r="BO100" s="153"/>
      <c r="BP100" s="153"/>
      <c r="BQ100" s="153"/>
      <c r="BR100" s="154"/>
      <c r="BS100" s="154"/>
      <c r="BT100" s="279"/>
      <c r="BU100" s="279"/>
      <c r="BV100" s="155"/>
      <c r="BW100" s="152">
        <v>153</v>
      </c>
      <c r="BX100" s="153">
        <v>171</v>
      </c>
      <c r="BY100" s="153">
        <v>150</v>
      </c>
      <c r="BZ100" s="153">
        <v>161</v>
      </c>
      <c r="CA100" s="154">
        <v>194</v>
      </c>
      <c r="CB100" s="154">
        <v>196</v>
      </c>
      <c r="CC100" s="279">
        <v>149</v>
      </c>
      <c r="CD100" s="279">
        <v>106</v>
      </c>
      <c r="CE100" s="155"/>
      <c r="CF100" s="152">
        <v>14</v>
      </c>
      <c r="CG100" s="153">
        <v>2</v>
      </c>
      <c r="CH100" s="153">
        <v>5</v>
      </c>
      <c r="CI100" s="153">
        <v>9</v>
      </c>
      <c r="CJ100" s="154">
        <v>3</v>
      </c>
      <c r="CK100" s="154">
        <v>4</v>
      </c>
      <c r="CL100" s="279">
        <v>9</v>
      </c>
      <c r="CM100" s="279">
        <v>2</v>
      </c>
      <c r="CN100" s="155"/>
      <c r="CO100" s="152">
        <v>3</v>
      </c>
      <c r="CP100" s="153">
        <v>6</v>
      </c>
      <c r="CQ100" s="153">
        <v>1</v>
      </c>
      <c r="CR100" s="153">
        <v>3</v>
      </c>
      <c r="CS100" s="154">
        <v>1</v>
      </c>
      <c r="CT100" s="154">
        <v>2</v>
      </c>
      <c r="CU100" s="279">
        <v>1</v>
      </c>
      <c r="CV100" s="279">
        <v>3</v>
      </c>
      <c r="CW100" s="155"/>
      <c r="CX100" s="152">
        <v>2231</v>
      </c>
      <c r="CY100" s="153">
        <v>1945</v>
      </c>
      <c r="CZ100" s="153">
        <v>1711</v>
      </c>
      <c r="DA100" s="153">
        <v>1695</v>
      </c>
      <c r="DB100" s="154">
        <v>1417</v>
      </c>
      <c r="DC100" s="154">
        <v>1312</v>
      </c>
      <c r="DD100" s="279">
        <v>1061</v>
      </c>
      <c r="DE100" s="279">
        <v>799</v>
      </c>
      <c r="DF100" s="155"/>
      <c r="DG100" s="152">
        <v>31</v>
      </c>
      <c r="DH100" s="153">
        <v>33</v>
      </c>
      <c r="DI100" s="153">
        <v>6</v>
      </c>
      <c r="DJ100" s="153">
        <v>22</v>
      </c>
      <c r="DK100" s="154">
        <v>16</v>
      </c>
      <c r="DL100" s="154">
        <v>9</v>
      </c>
      <c r="DM100" s="279">
        <v>8</v>
      </c>
      <c r="DN100" s="279">
        <v>13</v>
      </c>
      <c r="DO100" s="155"/>
      <c r="DP100" s="152">
        <v>60</v>
      </c>
      <c r="DQ100" s="153">
        <v>59</v>
      </c>
      <c r="DR100" s="153">
        <v>31</v>
      </c>
      <c r="DS100" s="153">
        <v>38</v>
      </c>
      <c r="DT100" s="154">
        <v>24</v>
      </c>
      <c r="DU100" s="154">
        <v>26</v>
      </c>
      <c r="DV100" s="279">
        <v>32</v>
      </c>
      <c r="DW100" s="279">
        <v>11</v>
      </c>
      <c r="DX100" s="155"/>
      <c r="DY100" s="152">
        <v>247</v>
      </c>
      <c r="DZ100" s="153">
        <v>190</v>
      </c>
      <c r="EA100" s="153">
        <v>254</v>
      </c>
      <c r="EB100" s="153">
        <v>221</v>
      </c>
      <c r="EC100" s="154">
        <v>138</v>
      </c>
      <c r="ED100" s="154">
        <v>168</v>
      </c>
      <c r="EE100" s="279">
        <v>146</v>
      </c>
      <c r="EF100" s="279">
        <v>87</v>
      </c>
      <c r="EG100" s="155"/>
      <c r="EH100" s="152">
        <v>22</v>
      </c>
      <c r="EI100" s="153">
        <v>21</v>
      </c>
      <c r="EJ100" s="153">
        <v>14</v>
      </c>
      <c r="EK100" s="153">
        <v>15</v>
      </c>
      <c r="EL100" s="154">
        <v>32</v>
      </c>
      <c r="EM100" s="154">
        <v>13</v>
      </c>
      <c r="EN100" s="279">
        <v>12</v>
      </c>
      <c r="EO100" s="279">
        <v>12</v>
      </c>
      <c r="EP100" s="155"/>
      <c r="EQ100" s="152">
        <v>2</v>
      </c>
      <c r="ER100" s="153">
        <v>8</v>
      </c>
      <c r="ES100" s="153">
        <v>6</v>
      </c>
      <c r="ET100" s="153">
        <v>7</v>
      </c>
      <c r="EU100" s="154">
        <v>18</v>
      </c>
      <c r="EV100" s="154">
        <v>14</v>
      </c>
      <c r="EW100" s="279">
        <v>12</v>
      </c>
      <c r="EX100" s="279">
        <v>12</v>
      </c>
      <c r="EY100" s="155"/>
      <c r="EZ100" s="152">
        <v>3</v>
      </c>
      <c r="FA100" s="153"/>
      <c r="FB100" s="153">
        <v>2</v>
      </c>
      <c r="FC100" s="153">
        <v>5</v>
      </c>
      <c r="FD100" s="154">
        <v>6</v>
      </c>
      <c r="FE100" s="154">
        <v>4</v>
      </c>
      <c r="FF100" s="279">
        <v>2</v>
      </c>
      <c r="FG100" s="279">
        <v>5</v>
      </c>
      <c r="FH100" s="155"/>
      <c r="FI100" s="152">
        <v>123</v>
      </c>
      <c r="FJ100" s="153">
        <v>119</v>
      </c>
      <c r="FK100" s="153">
        <v>68</v>
      </c>
      <c r="FL100" s="153">
        <v>54</v>
      </c>
      <c r="FM100" s="154">
        <v>55</v>
      </c>
      <c r="FN100" s="154">
        <v>62</v>
      </c>
      <c r="FO100" s="279">
        <v>62</v>
      </c>
      <c r="FP100" s="279">
        <v>57</v>
      </c>
      <c r="FQ100" s="155"/>
      <c r="FR100" s="152">
        <v>6</v>
      </c>
      <c r="FS100" s="153">
        <v>7</v>
      </c>
      <c r="FT100" s="153">
        <v>3</v>
      </c>
      <c r="FU100" s="153">
        <v>6</v>
      </c>
      <c r="FV100" s="154">
        <v>3</v>
      </c>
      <c r="FW100" s="154">
        <v>3</v>
      </c>
      <c r="FX100" s="279">
        <v>8</v>
      </c>
      <c r="FY100" s="279">
        <v>2</v>
      </c>
      <c r="FZ100" s="155"/>
      <c r="GA100" s="152">
        <v>5</v>
      </c>
      <c r="GB100" s="153">
        <v>13</v>
      </c>
      <c r="GC100" s="153">
        <v>7</v>
      </c>
      <c r="GD100" s="153">
        <v>11</v>
      </c>
      <c r="GE100" s="154">
        <v>8</v>
      </c>
      <c r="GF100" s="154">
        <v>9</v>
      </c>
      <c r="GG100" s="279">
        <v>13</v>
      </c>
      <c r="GH100" s="279">
        <v>7</v>
      </c>
      <c r="GI100" s="155"/>
      <c r="GJ100" s="152">
        <v>2708</v>
      </c>
      <c r="GK100" s="153">
        <v>2459</v>
      </c>
      <c r="GL100" s="153">
        <v>2084</v>
      </c>
      <c r="GM100" s="153">
        <v>2112</v>
      </c>
      <c r="GN100" s="154">
        <v>1894</v>
      </c>
      <c r="GO100" s="154">
        <v>1796</v>
      </c>
      <c r="GP100" s="279">
        <v>1435</v>
      </c>
      <c r="GQ100" s="279">
        <v>1114</v>
      </c>
      <c r="GR100" s="155"/>
      <c r="GS100" s="152">
        <v>918</v>
      </c>
      <c r="GT100" s="153">
        <v>894</v>
      </c>
      <c r="GU100" s="153">
        <v>713</v>
      </c>
      <c r="GV100" s="153">
        <v>565</v>
      </c>
      <c r="GW100" s="154">
        <v>278</v>
      </c>
      <c r="GX100" s="154">
        <v>263</v>
      </c>
      <c r="GY100" s="279">
        <v>236</v>
      </c>
      <c r="GZ100" s="279">
        <v>195</v>
      </c>
      <c r="HA100" s="155"/>
      <c r="HB100" s="152">
        <v>10</v>
      </c>
      <c r="HC100" s="153">
        <v>11</v>
      </c>
      <c r="HD100" s="153">
        <v>9</v>
      </c>
      <c r="HE100" s="153">
        <v>8</v>
      </c>
      <c r="HF100" s="154"/>
      <c r="HG100" s="154">
        <v>3</v>
      </c>
      <c r="HH100" s="279">
        <v>2</v>
      </c>
      <c r="HI100" s="279">
        <v>1</v>
      </c>
      <c r="HJ100" s="155"/>
      <c r="HK100" s="152">
        <v>5</v>
      </c>
      <c r="HL100" s="153">
        <v>7</v>
      </c>
      <c r="HM100" s="153">
        <v>4</v>
      </c>
      <c r="HN100" s="153">
        <v>4</v>
      </c>
      <c r="HO100" s="154">
        <v>1</v>
      </c>
      <c r="HP100" s="154">
        <v>3</v>
      </c>
      <c r="HQ100" s="279">
        <v>3</v>
      </c>
      <c r="HR100" s="279">
        <v>1</v>
      </c>
      <c r="HS100" s="155"/>
      <c r="HT100" s="152">
        <v>1144</v>
      </c>
      <c r="HU100" s="153">
        <v>1079</v>
      </c>
      <c r="HV100" s="153">
        <v>899</v>
      </c>
      <c r="HW100" s="153">
        <v>738</v>
      </c>
      <c r="HX100" s="154">
        <v>476</v>
      </c>
      <c r="HY100" s="154">
        <v>452</v>
      </c>
      <c r="HZ100" s="279">
        <v>432</v>
      </c>
      <c r="IA100" s="279">
        <v>381</v>
      </c>
      <c r="IB100" s="155"/>
      <c r="IC100" s="152">
        <v>4157</v>
      </c>
      <c r="ID100" s="153">
        <v>4871</v>
      </c>
      <c r="IE100" s="153">
        <v>4175</v>
      </c>
      <c r="IF100" s="153">
        <v>5412</v>
      </c>
      <c r="IG100" s="154">
        <v>2635</v>
      </c>
      <c r="IH100" s="154">
        <v>2626</v>
      </c>
      <c r="II100" s="279">
        <v>2420</v>
      </c>
      <c r="IJ100" s="279">
        <v>1901</v>
      </c>
      <c r="IK100" s="155"/>
    </row>
    <row r="101" spans="1:251" x14ac:dyDescent="0.2">
      <c r="A101" s="961"/>
      <c r="B101" s="151" t="s">
        <v>701</v>
      </c>
      <c r="C101" s="152"/>
      <c r="D101" s="153"/>
      <c r="E101" s="153"/>
      <c r="F101" s="153"/>
      <c r="G101" s="154"/>
      <c r="H101" s="154"/>
      <c r="I101" s="279"/>
      <c r="J101" s="279"/>
      <c r="K101" s="155"/>
      <c r="L101" s="152"/>
      <c r="M101" s="153"/>
      <c r="N101" s="153"/>
      <c r="O101" s="153"/>
      <c r="P101" s="154"/>
      <c r="Q101" s="154"/>
      <c r="R101" s="279"/>
      <c r="S101" s="279"/>
      <c r="T101" s="155"/>
      <c r="U101" s="152"/>
      <c r="V101" s="153"/>
      <c r="W101" s="153"/>
      <c r="X101" s="153"/>
      <c r="Y101" s="154"/>
      <c r="Z101" s="154"/>
      <c r="AA101" s="279"/>
      <c r="AB101" s="279"/>
      <c r="AC101" s="155"/>
      <c r="AD101" s="152">
        <v>49</v>
      </c>
      <c r="AE101" s="153">
        <v>58</v>
      </c>
      <c r="AF101" s="153">
        <v>33</v>
      </c>
      <c r="AG101" s="153">
        <v>53</v>
      </c>
      <c r="AH101" s="154">
        <v>126</v>
      </c>
      <c r="AI101" s="154">
        <v>99</v>
      </c>
      <c r="AJ101" s="279">
        <v>88</v>
      </c>
      <c r="AK101" s="279">
        <v>96</v>
      </c>
      <c r="AL101" s="155"/>
      <c r="AM101" s="152">
        <v>11</v>
      </c>
      <c r="AN101" s="153">
        <v>10</v>
      </c>
      <c r="AO101" s="153">
        <v>10</v>
      </c>
      <c r="AP101" s="153">
        <v>19</v>
      </c>
      <c r="AQ101" s="154">
        <v>26</v>
      </c>
      <c r="AR101" s="154">
        <v>16</v>
      </c>
      <c r="AS101" s="279">
        <v>19</v>
      </c>
      <c r="AT101" s="279">
        <v>19</v>
      </c>
      <c r="AU101" s="155"/>
      <c r="AV101" s="152"/>
      <c r="AW101" s="153"/>
      <c r="AX101" s="153"/>
      <c r="AY101" s="153"/>
      <c r="AZ101" s="154"/>
      <c r="BA101" s="154"/>
      <c r="BB101" s="279"/>
      <c r="BC101" s="279"/>
      <c r="BD101" s="155"/>
      <c r="BE101" s="152">
        <v>8</v>
      </c>
      <c r="BF101" s="153">
        <v>12</v>
      </c>
      <c r="BG101" s="153">
        <v>3</v>
      </c>
      <c r="BH101" s="153">
        <v>3</v>
      </c>
      <c r="BI101" s="154">
        <v>10</v>
      </c>
      <c r="BJ101" s="154">
        <v>1</v>
      </c>
      <c r="BK101" s="279">
        <v>4</v>
      </c>
      <c r="BL101" s="279">
        <v>10</v>
      </c>
      <c r="BM101" s="155"/>
      <c r="BN101" s="152"/>
      <c r="BO101" s="153"/>
      <c r="BP101" s="153"/>
      <c r="BQ101" s="153"/>
      <c r="BR101" s="154"/>
      <c r="BS101" s="154"/>
      <c r="BT101" s="279"/>
      <c r="BU101" s="279"/>
      <c r="BV101" s="155"/>
      <c r="BW101" s="152">
        <v>37</v>
      </c>
      <c r="BX101" s="153">
        <v>50</v>
      </c>
      <c r="BY101" s="153">
        <v>44</v>
      </c>
      <c r="BZ101" s="153">
        <v>54</v>
      </c>
      <c r="CA101" s="154">
        <v>120</v>
      </c>
      <c r="CB101" s="154">
        <v>125</v>
      </c>
      <c r="CC101" s="279">
        <v>72</v>
      </c>
      <c r="CD101" s="279">
        <v>71</v>
      </c>
      <c r="CE101" s="155"/>
      <c r="CF101" s="152">
        <v>1</v>
      </c>
      <c r="CG101" s="153">
        <v>1</v>
      </c>
      <c r="CH101" s="153"/>
      <c r="CI101" s="153">
        <v>4</v>
      </c>
      <c r="CJ101" s="154">
        <v>4</v>
      </c>
      <c r="CK101" s="154">
        <v>5</v>
      </c>
      <c r="CL101" s="279">
        <v>4</v>
      </c>
      <c r="CM101" s="279">
        <v>4</v>
      </c>
      <c r="CN101" s="155"/>
      <c r="CO101" s="152">
        <v>3</v>
      </c>
      <c r="CP101" s="153"/>
      <c r="CQ101" s="153"/>
      <c r="CR101" s="153"/>
      <c r="CS101" s="154"/>
      <c r="CT101" s="154"/>
      <c r="CU101" s="279"/>
      <c r="CV101" s="279">
        <v>1</v>
      </c>
      <c r="CW101" s="155"/>
      <c r="CX101" s="152">
        <v>538</v>
      </c>
      <c r="CY101" s="153">
        <v>669</v>
      </c>
      <c r="CZ101" s="153">
        <v>653</v>
      </c>
      <c r="DA101" s="153">
        <v>747</v>
      </c>
      <c r="DB101" s="154">
        <v>467</v>
      </c>
      <c r="DC101" s="154">
        <v>497</v>
      </c>
      <c r="DD101" s="279">
        <v>401</v>
      </c>
      <c r="DE101" s="279">
        <v>378</v>
      </c>
      <c r="DF101" s="155"/>
      <c r="DG101" s="152">
        <v>3</v>
      </c>
      <c r="DH101" s="153">
        <v>4</v>
      </c>
      <c r="DI101" s="153"/>
      <c r="DJ101" s="153">
        <v>1</v>
      </c>
      <c r="DK101" s="154"/>
      <c r="DL101" s="154">
        <v>1</v>
      </c>
      <c r="DM101" s="279">
        <v>1</v>
      </c>
      <c r="DN101" s="279">
        <v>1</v>
      </c>
      <c r="DO101" s="155"/>
      <c r="DP101" s="152">
        <v>25</v>
      </c>
      <c r="DQ101" s="153">
        <v>6</v>
      </c>
      <c r="DR101" s="153">
        <v>7</v>
      </c>
      <c r="DS101" s="153">
        <v>6</v>
      </c>
      <c r="DT101" s="154">
        <v>5</v>
      </c>
      <c r="DU101" s="154">
        <v>2</v>
      </c>
      <c r="DV101" s="279">
        <v>7</v>
      </c>
      <c r="DW101" s="279">
        <v>3</v>
      </c>
      <c r="DX101" s="155"/>
      <c r="DY101" s="152">
        <v>89</v>
      </c>
      <c r="DZ101" s="153">
        <v>128</v>
      </c>
      <c r="EA101" s="153">
        <v>135</v>
      </c>
      <c r="EB101" s="153">
        <v>139</v>
      </c>
      <c r="EC101" s="154">
        <v>83</v>
      </c>
      <c r="ED101" s="154">
        <v>115</v>
      </c>
      <c r="EE101" s="279">
        <v>73</v>
      </c>
      <c r="EF101" s="279">
        <v>83</v>
      </c>
      <c r="EG101" s="155"/>
      <c r="EH101" s="152">
        <v>11</v>
      </c>
      <c r="EI101" s="153">
        <v>10</v>
      </c>
      <c r="EJ101" s="153">
        <v>3</v>
      </c>
      <c r="EK101" s="153">
        <v>11</v>
      </c>
      <c r="EL101" s="154">
        <v>3</v>
      </c>
      <c r="EM101" s="154">
        <v>7</v>
      </c>
      <c r="EN101" s="279">
        <v>2</v>
      </c>
      <c r="EO101" s="279">
        <v>3</v>
      </c>
      <c r="EP101" s="155"/>
      <c r="EQ101" s="152"/>
      <c r="ER101" s="153"/>
      <c r="ES101" s="153">
        <v>1</v>
      </c>
      <c r="ET101" s="153">
        <v>2</v>
      </c>
      <c r="EU101" s="154"/>
      <c r="EV101" s="154">
        <v>3</v>
      </c>
      <c r="EW101" s="279">
        <v>13</v>
      </c>
      <c r="EX101" s="279">
        <v>12</v>
      </c>
      <c r="EY101" s="155"/>
      <c r="EZ101" s="152">
        <v>3</v>
      </c>
      <c r="FA101" s="153">
        <v>2</v>
      </c>
      <c r="FB101" s="153">
        <v>1</v>
      </c>
      <c r="FC101" s="153">
        <v>1</v>
      </c>
      <c r="FD101" s="154">
        <v>1</v>
      </c>
      <c r="FE101" s="154">
        <v>2</v>
      </c>
      <c r="FF101" s="279">
        <v>1</v>
      </c>
      <c r="FG101" s="279"/>
      <c r="FH101" s="155"/>
      <c r="FI101" s="152">
        <v>29</v>
      </c>
      <c r="FJ101" s="153">
        <v>34</v>
      </c>
      <c r="FK101" s="153">
        <v>30</v>
      </c>
      <c r="FL101" s="153">
        <v>34</v>
      </c>
      <c r="FM101" s="154">
        <v>12</v>
      </c>
      <c r="FN101" s="154">
        <v>14</v>
      </c>
      <c r="FO101" s="279">
        <v>18</v>
      </c>
      <c r="FP101" s="279">
        <v>23</v>
      </c>
      <c r="FQ101" s="155"/>
      <c r="FR101" s="152">
        <v>1</v>
      </c>
      <c r="FS101" s="153">
        <v>2</v>
      </c>
      <c r="FT101" s="153">
        <v>2</v>
      </c>
      <c r="FU101" s="153">
        <v>1</v>
      </c>
      <c r="FV101" s="154">
        <v>1</v>
      </c>
      <c r="FW101" s="154">
        <v>2</v>
      </c>
      <c r="FX101" s="279">
        <v>4</v>
      </c>
      <c r="FY101" s="279"/>
      <c r="FZ101" s="155"/>
      <c r="GA101" s="152">
        <v>1</v>
      </c>
      <c r="GB101" s="153">
        <v>2</v>
      </c>
      <c r="GC101" s="153">
        <v>3</v>
      </c>
      <c r="GD101" s="153"/>
      <c r="GE101" s="154"/>
      <c r="GF101" s="154">
        <v>3</v>
      </c>
      <c r="GG101" s="279">
        <v>4</v>
      </c>
      <c r="GH101" s="279">
        <v>2</v>
      </c>
      <c r="GI101" s="155"/>
      <c r="GJ101" s="152">
        <v>681</v>
      </c>
      <c r="GK101" s="153">
        <v>840</v>
      </c>
      <c r="GL101" s="153">
        <v>773</v>
      </c>
      <c r="GM101" s="153">
        <v>910</v>
      </c>
      <c r="GN101" s="154">
        <v>744</v>
      </c>
      <c r="GO101" s="154">
        <v>758</v>
      </c>
      <c r="GP101" s="279">
        <v>611</v>
      </c>
      <c r="GQ101" s="279">
        <v>600</v>
      </c>
      <c r="GR101" s="155"/>
      <c r="GS101" s="152">
        <v>179</v>
      </c>
      <c r="GT101" s="153">
        <v>219</v>
      </c>
      <c r="GU101" s="153">
        <v>208</v>
      </c>
      <c r="GV101" s="153">
        <v>216</v>
      </c>
      <c r="GW101" s="154">
        <v>158</v>
      </c>
      <c r="GX101" s="154">
        <v>116</v>
      </c>
      <c r="GY101" s="279">
        <v>97</v>
      </c>
      <c r="GZ101" s="279">
        <v>99</v>
      </c>
      <c r="HA101" s="155"/>
      <c r="HB101" s="152">
        <v>3</v>
      </c>
      <c r="HC101" s="153">
        <v>1</v>
      </c>
      <c r="HD101" s="153"/>
      <c r="HE101" s="153">
        <v>1</v>
      </c>
      <c r="HF101" s="154">
        <v>2</v>
      </c>
      <c r="HG101" s="154"/>
      <c r="HH101" s="279">
        <v>2</v>
      </c>
      <c r="HI101" s="279"/>
      <c r="HJ101" s="155"/>
      <c r="HK101" s="152">
        <v>2</v>
      </c>
      <c r="HL101" s="153">
        <v>3</v>
      </c>
      <c r="HM101" s="153">
        <v>1</v>
      </c>
      <c r="HN101" s="153">
        <v>2</v>
      </c>
      <c r="HO101" s="154"/>
      <c r="HP101" s="154">
        <v>1</v>
      </c>
      <c r="HQ101" s="279">
        <v>1</v>
      </c>
      <c r="HR101" s="279"/>
      <c r="HS101" s="155"/>
      <c r="HT101" s="152">
        <v>272</v>
      </c>
      <c r="HU101" s="153">
        <v>312</v>
      </c>
      <c r="HV101" s="153">
        <v>302</v>
      </c>
      <c r="HW101" s="153">
        <v>328</v>
      </c>
      <c r="HX101" s="154">
        <v>256</v>
      </c>
      <c r="HY101" s="154">
        <v>203</v>
      </c>
      <c r="HZ101" s="279">
        <v>170</v>
      </c>
      <c r="IA101" s="279">
        <v>190</v>
      </c>
      <c r="IB101" s="155"/>
      <c r="IC101" s="152">
        <v>1013</v>
      </c>
      <c r="ID101" s="153">
        <v>1370</v>
      </c>
      <c r="IE101" s="153">
        <v>1164</v>
      </c>
      <c r="IF101" s="153">
        <v>1245</v>
      </c>
      <c r="IG101" s="154">
        <v>1099</v>
      </c>
      <c r="IH101" s="154">
        <v>1086</v>
      </c>
      <c r="II101" s="279">
        <v>893</v>
      </c>
      <c r="IJ101" s="279">
        <v>885</v>
      </c>
      <c r="IK101" s="155"/>
    </row>
    <row r="102" spans="1:251" x14ac:dyDescent="0.2">
      <c r="A102" s="961"/>
      <c r="B102" s="151" t="s">
        <v>702</v>
      </c>
      <c r="C102" s="152"/>
      <c r="D102" s="153"/>
      <c r="E102" s="153"/>
      <c r="F102" s="153"/>
      <c r="G102" s="154"/>
      <c r="H102" s="154"/>
      <c r="I102" s="279"/>
      <c r="J102" s="279"/>
      <c r="K102" s="155"/>
      <c r="L102" s="152"/>
      <c r="M102" s="153"/>
      <c r="N102" s="153"/>
      <c r="O102" s="153"/>
      <c r="P102" s="154"/>
      <c r="Q102" s="154"/>
      <c r="R102" s="279"/>
      <c r="S102" s="279"/>
      <c r="T102" s="155"/>
      <c r="U102" s="152"/>
      <c r="V102" s="153"/>
      <c r="W102" s="153"/>
      <c r="X102" s="153"/>
      <c r="Y102" s="154"/>
      <c r="Z102" s="154"/>
      <c r="AA102" s="279"/>
      <c r="AB102" s="279"/>
      <c r="AC102" s="155"/>
      <c r="AD102" s="152">
        <v>118</v>
      </c>
      <c r="AE102" s="153">
        <v>108</v>
      </c>
      <c r="AF102" s="153">
        <v>83</v>
      </c>
      <c r="AG102" s="153">
        <v>78</v>
      </c>
      <c r="AH102" s="154">
        <v>68</v>
      </c>
      <c r="AI102" s="154">
        <v>97</v>
      </c>
      <c r="AJ102" s="279">
        <v>67</v>
      </c>
      <c r="AK102" s="279">
        <v>69</v>
      </c>
      <c r="AL102" s="155"/>
      <c r="AM102" s="152">
        <v>41</v>
      </c>
      <c r="AN102" s="153">
        <v>41</v>
      </c>
      <c r="AO102" s="153">
        <v>24</v>
      </c>
      <c r="AP102" s="153">
        <v>24</v>
      </c>
      <c r="AQ102" s="154">
        <v>27</v>
      </c>
      <c r="AR102" s="154">
        <v>26</v>
      </c>
      <c r="AS102" s="279">
        <v>14</v>
      </c>
      <c r="AT102" s="279">
        <v>20</v>
      </c>
      <c r="AU102" s="155"/>
      <c r="AV102" s="152"/>
      <c r="AW102" s="153"/>
      <c r="AX102" s="153"/>
      <c r="AY102" s="153"/>
      <c r="AZ102" s="154"/>
      <c r="BA102" s="154"/>
      <c r="BB102" s="279"/>
      <c r="BC102" s="279"/>
      <c r="BD102" s="155"/>
      <c r="BE102" s="152">
        <v>4</v>
      </c>
      <c r="BF102" s="153">
        <v>18</v>
      </c>
      <c r="BG102" s="153">
        <v>6</v>
      </c>
      <c r="BH102" s="153">
        <v>6</v>
      </c>
      <c r="BI102" s="154">
        <v>7</v>
      </c>
      <c r="BJ102" s="154">
        <v>3</v>
      </c>
      <c r="BK102" s="279">
        <v>12</v>
      </c>
      <c r="BL102" s="279">
        <v>5</v>
      </c>
      <c r="BM102" s="155"/>
      <c r="BN102" s="152"/>
      <c r="BO102" s="153"/>
      <c r="BP102" s="153"/>
      <c r="BQ102" s="153"/>
      <c r="BR102" s="154"/>
      <c r="BS102" s="154"/>
      <c r="BT102" s="279"/>
      <c r="BU102" s="279"/>
      <c r="BV102" s="155"/>
      <c r="BW102" s="152">
        <v>116</v>
      </c>
      <c r="BX102" s="153">
        <v>151</v>
      </c>
      <c r="BY102" s="153">
        <v>134</v>
      </c>
      <c r="BZ102" s="153">
        <v>111</v>
      </c>
      <c r="CA102" s="154">
        <v>109</v>
      </c>
      <c r="CB102" s="154">
        <v>139</v>
      </c>
      <c r="CC102" s="279">
        <v>103</v>
      </c>
      <c r="CD102" s="279">
        <v>107</v>
      </c>
      <c r="CE102" s="155"/>
      <c r="CF102" s="152">
        <v>6</v>
      </c>
      <c r="CG102" s="153">
        <v>6</v>
      </c>
      <c r="CH102" s="153">
        <v>1</v>
      </c>
      <c r="CI102" s="153">
        <v>3</v>
      </c>
      <c r="CJ102" s="154">
        <v>3</v>
      </c>
      <c r="CK102" s="154">
        <v>7</v>
      </c>
      <c r="CL102" s="279">
        <v>4</v>
      </c>
      <c r="CM102" s="279">
        <v>5</v>
      </c>
      <c r="CN102" s="155"/>
      <c r="CO102" s="152">
        <v>3</v>
      </c>
      <c r="CP102" s="153">
        <v>1</v>
      </c>
      <c r="CQ102" s="153"/>
      <c r="CR102" s="153">
        <v>2</v>
      </c>
      <c r="CS102" s="154"/>
      <c r="CT102" s="154">
        <v>4</v>
      </c>
      <c r="CU102" s="279">
        <v>2</v>
      </c>
      <c r="CV102" s="279">
        <v>2</v>
      </c>
      <c r="CW102" s="155"/>
      <c r="CX102" s="152">
        <v>997</v>
      </c>
      <c r="CY102" s="153">
        <v>994</v>
      </c>
      <c r="CZ102" s="153">
        <v>1071</v>
      </c>
      <c r="DA102" s="153">
        <v>968</v>
      </c>
      <c r="DB102" s="154">
        <v>681</v>
      </c>
      <c r="DC102" s="154">
        <v>541</v>
      </c>
      <c r="DD102" s="279">
        <v>600</v>
      </c>
      <c r="DE102" s="279">
        <v>766</v>
      </c>
      <c r="DF102" s="155"/>
      <c r="DG102" s="152">
        <v>12</v>
      </c>
      <c r="DH102" s="153">
        <v>13</v>
      </c>
      <c r="DI102" s="153">
        <v>18</v>
      </c>
      <c r="DJ102" s="153">
        <v>5</v>
      </c>
      <c r="DK102" s="154">
        <v>9</v>
      </c>
      <c r="DL102" s="154">
        <v>3</v>
      </c>
      <c r="DM102" s="279">
        <v>1</v>
      </c>
      <c r="DN102" s="279">
        <v>10</v>
      </c>
      <c r="DO102" s="155"/>
      <c r="DP102" s="152">
        <v>44</v>
      </c>
      <c r="DQ102" s="153">
        <v>44</v>
      </c>
      <c r="DR102" s="153">
        <v>32</v>
      </c>
      <c r="DS102" s="153">
        <v>18</v>
      </c>
      <c r="DT102" s="154">
        <v>31</v>
      </c>
      <c r="DU102" s="154">
        <v>10</v>
      </c>
      <c r="DV102" s="279">
        <v>25</v>
      </c>
      <c r="DW102" s="279">
        <v>45</v>
      </c>
      <c r="DX102" s="155"/>
      <c r="DY102" s="152">
        <v>134</v>
      </c>
      <c r="DZ102" s="153">
        <v>129</v>
      </c>
      <c r="EA102" s="153">
        <v>130</v>
      </c>
      <c r="EB102" s="153">
        <v>125</v>
      </c>
      <c r="EC102" s="154">
        <v>165</v>
      </c>
      <c r="ED102" s="154">
        <v>111</v>
      </c>
      <c r="EE102" s="279">
        <v>100</v>
      </c>
      <c r="EF102" s="279">
        <v>106</v>
      </c>
      <c r="EG102" s="155"/>
      <c r="EH102" s="152">
        <v>13</v>
      </c>
      <c r="EI102" s="153">
        <v>13</v>
      </c>
      <c r="EJ102" s="153">
        <v>22</v>
      </c>
      <c r="EK102" s="153">
        <v>13</v>
      </c>
      <c r="EL102" s="154">
        <v>11</v>
      </c>
      <c r="EM102" s="154">
        <v>4</v>
      </c>
      <c r="EN102" s="279">
        <v>9</v>
      </c>
      <c r="EO102" s="279">
        <v>12</v>
      </c>
      <c r="EP102" s="155"/>
      <c r="EQ102" s="152">
        <v>3</v>
      </c>
      <c r="ER102" s="153">
        <v>3</v>
      </c>
      <c r="ES102" s="153"/>
      <c r="ET102" s="153">
        <v>2</v>
      </c>
      <c r="EU102" s="154">
        <v>2</v>
      </c>
      <c r="EV102" s="154">
        <v>3</v>
      </c>
      <c r="EW102" s="279">
        <v>1</v>
      </c>
      <c r="EX102" s="279">
        <v>8</v>
      </c>
      <c r="EY102" s="155"/>
      <c r="EZ102" s="152">
        <v>11</v>
      </c>
      <c r="FA102" s="153">
        <v>2</v>
      </c>
      <c r="FB102" s="153">
        <v>5</v>
      </c>
      <c r="FC102" s="153">
        <v>4</v>
      </c>
      <c r="FD102" s="154">
        <v>3</v>
      </c>
      <c r="FE102" s="154">
        <v>4</v>
      </c>
      <c r="FF102" s="279">
        <v>6</v>
      </c>
      <c r="FG102" s="279">
        <v>4</v>
      </c>
      <c r="FH102" s="155"/>
      <c r="FI102" s="152">
        <v>99</v>
      </c>
      <c r="FJ102" s="153">
        <v>94</v>
      </c>
      <c r="FK102" s="153">
        <v>78</v>
      </c>
      <c r="FL102" s="153">
        <v>61</v>
      </c>
      <c r="FM102" s="154">
        <v>50</v>
      </c>
      <c r="FN102" s="154">
        <v>39</v>
      </c>
      <c r="FO102" s="279">
        <v>37</v>
      </c>
      <c r="FP102" s="279">
        <v>52</v>
      </c>
      <c r="FQ102" s="155"/>
      <c r="FR102" s="152">
        <v>8</v>
      </c>
      <c r="FS102" s="153">
        <v>1</v>
      </c>
      <c r="FT102" s="153">
        <v>2</v>
      </c>
      <c r="FU102" s="153">
        <v>1</v>
      </c>
      <c r="FV102" s="154">
        <v>3</v>
      </c>
      <c r="FW102" s="154">
        <v>1</v>
      </c>
      <c r="FX102" s="279">
        <v>2</v>
      </c>
      <c r="FY102" s="279">
        <v>3</v>
      </c>
      <c r="FZ102" s="155"/>
      <c r="GA102" s="152">
        <v>12</v>
      </c>
      <c r="GB102" s="153">
        <v>6</v>
      </c>
      <c r="GC102" s="153">
        <v>7</v>
      </c>
      <c r="GD102" s="153">
        <v>7</v>
      </c>
      <c r="GE102" s="154">
        <v>1</v>
      </c>
      <c r="GF102" s="154">
        <v>7</v>
      </c>
      <c r="GG102" s="279">
        <v>2</v>
      </c>
      <c r="GH102" s="279">
        <v>6</v>
      </c>
      <c r="GI102" s="155"/>
      <c r="GJ102" s="152">
        <v>1390</v>
      </c>
      <c r="GK102" s="153">
        <v>1397</v>
      </c>
      <c r="GL102" s="153">
        <v>1409</v>
      </c>
      <c r="GM102" s="153">
        <v>1256</v>
      </c>
      <c r="GN102" s="154">
        <v>938</v>
      </c>
      <c r="GO102" s="154">
        <v>849</v>
      </c>
      <c r="GP102" s="279">
        <v>845</v>
      </c>
      <c r="GQ102" s="279">
        <v>1039</v>
      </c>
      <c r="GR102" s="155"/>
      <c r="GS102" s="152">
        <v>552</v>
      </c>
      <c r="GT102" s="153">
        <v>502</v>
      </c>
      <c r="GU102" s="153">
        <v>436</v>
      </c>
      <c r="GV102" s="153">
        <v>373</v>
      </c>
      <c r="GW102" s="154">
        <v>230</v>
      </c>
      <c r="GX102" s="154">
        <v>212</v>
      </c>
      <c r="GY102" s="279">
        <v>227</v>
      </c>
      <c r="GZ102" s="279">
        <v>222</v>
      </c>
      <c r="HA102" s="155"/>
      <c r="HB102" s="152">
        <v>1</v>
      </c>
      <c r="HC102" s="153">
        <v>6</v>
      </c>
      <c r="HD102" s="153">
        <v>7</v>
      </c>
      <c r="HE102" s="153">
        <v>1</v>
      </c>
      <c r="HF102" s="154">
        <v>3</v>
      </c>
      <c r="HG102" s="154">
        <v>5</v>
      </c>
      <c r="HH102" s="279">
        <v>1</v>
      </c>
      <c r="HI102" s="279">
        <v>2</v>
      </c>
      <c r="HJ102" s="155"/>
      <c r="HK102" s="152">
        <v>6</v>
      </c>
      <c r="HL102" s="153">
        <v>4</v>
      </c>
      <c r="HM102" s="153">
        <v>1</v>
      </c>
      <c r="HN102" s="153">
        <v>4</v>
      </c>
      <c r="HO102" s="154">
        <v>1</v>
      </c>
      <c r="HP102" s="154">
        <v>1</v>
      </c>
      <c r="HQ102" s="279">
        <v>1</v>
      </c>
      <c r="HR102" s="279"/>
      <c r="HS102" s="155"/>
      <c r="HT102" s="152">
        <v>715</v>
      </c>
      <c r="HU102" s="153">
        <v>612</v>
      </c>
      <c r="HV102" s="153">
        <v>556</v>
      </c>
      <c r="HW102" s="153">
        <v>513</v>
      </c>
      <c r="HX102" s="154">
        <v>449</v>
      </c>
      <c r="HY102" s="154">
        <v>340</v>
      </c>
      <c r="HZ102" s="279">
        <v>379</v>
      </c>
      <c r="IA102" s="279">
        <v>382</v>
      </c>
      <c r="IB102" s="155"/>
      <c r="IC102" s="152">
        <v>2185</v>
      </c>
      <c r="ID102" s="153">
        <v>2212</v>
      </c>
      <c r="IE102" s="153">
        <v>2326</v>
      </c>
      <c r="IF102" s="153">
        <v>1780</v>
      </c>
      <c r="IG102" s="154">
        <v>1521</v>
      </c>
      <c r="IH102" s="154">
        <v>1355</v>
      </c>
      <c r="II102" s="279">
        <v>1351</v>
      </c>
      <c r="IJ102" s="279">
        <v>1547</v>
      </c>
      <c r="IK102" s="155"/>
    </row>
    <row r="103" spans="1:251" x14ac:dyDescent="0.2">
      <c r="A103" s="961"/>
      <c r="B103" s="151" t="s">
        <v>703</v>
      </c>
      <c r="C103" s="152"/>
      <c r="D103" s="153"/>
      <c r="E103" s="153"/>
      <c r="F103" s="153"/>
      <c r="G103" s="154"/>
      <c r="H103" s="154"/>
      <c r="I103" s="279"/>
      <c r="J103" s="279"/>
      <c r="K103" s="155"/>
      <c r="L103" s="152"/>
      <c r="M103" s="153"/>
      <c r="N103" s="153"/>
      <c r="O103" s="153"/>
      <c r="P103" s="154"/>
      <c r="Q103" s="154"/>
      <c r="R103" s="279"/>
      <c r="S103" s="279"/>
      <c r="T103" s="155"/>
      <c r="U103" s="152"/>
      <c r="V103" s="153"/>
      <c r="W103" s="153"/>
      <c r="X103" s="153"/>
      <c r="Y103" s="154"/>
      <c r="Z103" s="154"/>
      <c r="AA103" s="279"/>
      <c r="AB103" s="279"/>
      <c r="AC103" s="155"/>
      <c r="AD103" s="152">
        <v>46</v>
      </c>
      <c r="AE103" s="153">
        <v>48</v>
      </c>
      <c r="AF103" s="153">
        <v>35</v>
      </c>
      <c r="AG103" s="153">
        <v>41</v>
      </c>
      <c r="AH103" s="154">
        <v>44</v>
      </c>
      <c r="AI103" s="154">
        <v>28</v>
      </c>
      <c r="AJ103" s="279">
        <v>51</v>
      </c>
      <c r="AK103" s="279">
        <v>61</v>
      </c>
      <c r="AL103" s="155"/>
      <c r="AM103" s="152">
        <v>22</v>
      </c>
      <c r="AN103" s="153">
        <v>26</v>
      </c>
      <c r="AO103" s="153">
        <v>19</v>
      </c>
      <c r="AP103" s="153">
        <v>20</v>
      </c>
      <c r="AQ103" s="154">
        <v>18</v>
      </c>
      <c r="AR103" s="154">
        <v>12</v>
      </c>
      <c r="AS103" s="279">
        <v>11</v>
      </c>
      <c r="AT103" s="279">
        <v>17</v>
      </c>
      <c r="AU103" s="155"/>
      <c r="AV103" s="152"/>
      <c r="AW103" s="153"/>
      <c r="AX103" s="153"/>
      <c r="AY103" s="153"/>
      <c r="AZ103" s="154"/>
      <c r="BA103" s="154"/>
      <c r="BB103" s="279"/>
      <c r="BC103" s="279"/>
      <c r="BD103" s="155"/>
      <c r="BE103" s="152">
        <v>7</v>
      </c>
      <c r="BF103" s="153">
        <v>3</v>
      </c>
      <c r="BG103" s="153">
        <v>3</v>
      </c>
      <c r="BH103" s="153">
        <v>2</v>
      </c>
      <c r="BI103" s="154">
        <v>6</v>
      </c>
      <c r="BJ103" s="154">
        <v>3</v>
      </c>
      <c r="BK103" s="279">
        <v>1</v>
      </c>
      <c r="BL103" s="279"/>
      <c r="BM103" s="155"/>
      <c r="BN103" s="152"/>
      <c r="BO103" s="153"/>
      <c r="BP103" s="153"/>
      <c r="BQ103" s="153"/>
      <c r="BR103" s="154"/>
      <c r="BS103" s="154"/>
      <c r="BT103" s="279"/>
      <c r="BU103" s="279"/>
      <c r="BV103" s="155"/>
      <c r="BW103" s="152">
        <v>35</v>
      </c>
      <c r="BX103" s="153">
        <v>39</v>
      </c>
      <c r="BY103" s="153">
        <v>18</v>
      </c>
      <c r="BZ103" s="153">
        <v>37</v>
      </c>
      <c r="CA103" s="154">
        <v>52</v>
      </c>
      <c r="CB103" s="154">
        <v>31</v>
      </c>
      <c r="CC103" s="279">
        <v>30</v>
      </c>
      <c r="CD103" s="279">
        <v>47</v>
      </c>
      <c r="CE103" s="155"/>
      <c r="CF103" s="152">
        <v>4</v>
      </c>
      <c r="CG103" s="153">
        <v>3</v>
      </c>
      <c r="CH103" s="153">
        <v>2</v>
      </c>
      <c r="CI103" s="153">
        <v>1</v>
      </c>
      <c r="CJ103" s="154">
        <v>2</v>
      </c>
      <c r="CK103" s="154">
        <v>2</v>
      </c>
      <c r="CL103" s="279">
        <v>1</v>
      </c>
      <c r="CM103" s="279">
        <v>2</v>
      </c>
      <c r="CN103" s="155"/>
      <c r="CO103" s="152">
        <v>1</v>
      </c>
      <c r="CP103" s="153">
        <v>19</v>
      </c>
      <c r="CQ103" s="153">
        <v>4</v>
      </c>
      <c r="CR103" s="153">
        <v>1</v>
      </c>
      <c r="CS103" s="154">
        <v>1</v>
      </c>
      <c r="CT103" s="154">
        <v>1</v>
      </c>
      <c r="CU103" s="279">
        <v>1</v>
      </c>
      <c r="CV103" s="279">
        <v>3</v>
      </c>
      <c r="CW103" s="155"/>
      <c r="CX103" s="152">
        <v>806</v>
      </c>
      <c r="CY103" s="153">
        <v>722</v>
      </c>
      <c r="CZ103" s="153">
        <v>705</v>
      </c>
      <c r="DA103" s="153">
        <v>613</v>
      </c>
      <c r="DB103" s="154">
        <v>392</v>
      </c>
      <c r="DC103" s="154">
        <v>354</v>
      </c>
      <c r="DD103" s="279">
        <v>221</v>
      </c>
      <c r="DE103" s="279">
        <v>327</v>
      </c>
      <c r="DF103" s="155"/>
      <c r="DG103" s="152">
        <v>4</v>
      </c>
      <c r="DH103" s="153">
        <v>5</v>
      </c>
      <c r="DI103" s="153">
        <v>5</v>
      </c>
      <c r="DJ103" s="153">
        <v>5</v>
      </c>
      <c r="DK103" s="154"/>
      <c r="DL103" s="154">
        <v>4</v>
      </c>
      <c r="DM103" s="279"/>
      <c r="DN103" s="279">
        <v>2</v>
      </c>
      <c r="DO103" s="155"/>
      <c r="DP103" s="152">
        <v>56</v>
      </c>
      <c r="DQ103" s="153">
        <v>27</v>
      </c>
      <c r="DR103" s="153">
        <v>29</v>
      </c>
      <c r="DS103" s="153">
        <v>12</v>
      </c>
      <c r="DT103" s="154">
        <v>13</v>
      </c>
      <c r="DU103" s="154">
        <v>18</v>
      </c>
      <c r="DV103" s="279">
        <v>13</v>
      </c>
      <c r="DW103" s="279">
        <v>33</v>
      </c>
      <c r="DX103" s="155"/>
      <c r="DY103" s="152">
        <v>104</v>
      </c>
      <c r="DZ103" s="153">
        <v>99</v>
      </c>
      <c r="EA103" s="153">
        <v>73</v>
      </c>
      <c r="EB103" s="153">
        <v>90</v>
      </c>
      <c r="EC103" s="154">
        <v>41</v>
      </c>
      <c r="ED103" s="154">
        <v>79</v>
      </c>
      <c r="EE103" s="279">
        <v>35</v>
      </c>
      <c r="EF103" s="279">
        <v>31</v>
      </c>
      <c r="EG103" s="155"/>
      <c r="EH103" s="152">
        <v>12</v>
      </c>
      <c r="EI103" s="153">
        <v>10</v>
      </c>
      <c r="EJ103" s="153">
        <v>6</v>
      </c>
      <c r="EK103" s="153">
        <v>13</v>
      </c>
      <c r="EL103" s="154">
        <v>8</v>
      </c>
      <c r="EM103" s="154">
        <v>7</v>
      </c>
      <c r="EN103" s="279">
        <v>2</v>
      </c>
      <c r="EO103" s="279">
        <v>1</v>
      </c>
      <c r="EP103" s="155"/>
      <c r="EQ103" s="152">
        <v>3</v>
      </c>
      <c r="ER103" s="153">
        <v>3</v>
      </c>
      <c r="ES103" s="153"/>
      <c r="ET103" s="153">
        <v>3</v>
      </c>
      <c r="EU103" s="154"/>
      <c r="EV103" s="154">
        <v>1</v>
      </c>
      <c r="EW103" s="279">
        <v>2</v>
      </c>
      <c r="EX103" s="279">
        <v>8</v>
      </c>
      <c r="EY103" s="155"/>
      <c r="EZ103" s="152">
        <v>10</v>
      </c>
      <c r="FA103" s="153">
        <v>1</v>
      </c>
      <c r="FB103" s="153"/>
      <c r="FC103" s="153"/>
      <c r="FD103" s="154"/>
      <c r="FE103" s="154"/>
      <c r="FF103" s="279">
        <v>2</v>
      </c>
      <c r="FG103" s="279"/>
      <c r="FH103" s="155"/>
      <c r="FI103" s="152">
        <v>61</v>
      </c>
      <c r="FJ103" s="153">
        <v>40</v>
      </c>
      <c r="FK103" s="153">
        <v>43</v>
      </c>
      <c r="FL103" s="153">
        <v>24</v>
      </c>
      <c r="FM103" s="154">
        <v>18</v>
      </c>
      <c r="FN103" s="154">
        <v>25</v>
      </c>
      <c r="FO103" s="279">
        <v>31</v>
      </c>
      <c r="FP103" s="279">
        <v>21</v>
      </c>
      <c r="FQ103" s="155"/>
      <c r="FR103" s="152">
        <v>5</v>
      </c>
      <c r="FS103" s="153">
        <v>3</v>
      </c>
      <c r="FT103" s="153">
        <v>4</v>
      </c>
      <c r="FU103" s="153">
        <v>5</v>
      </c>
      <c r="FV103" s="154">
        <v>3</v>
      </c>
      <c r="FW103" s="154"/>
      <c r="FX103" s="279">
        <v>2</v>
      </c>
      <c r="FY103" s="279"/>
      <c r="FZ103" s="155"/>
      <c r="GA103" s="152">
        <v>3</v>
      </c>
      <c r="GB103" s="153">
        <v>6</v>
      </c>
      <c r="GC103" s="153">
        <v>4</v>
      </c>
      <c r="GD103" s="153">
        <v>2</v>
      </c>
      <c r="GE103" s="154">
        <v>5</v>
      </c>
      <c r="GF103" s="154">
        <v>1</v>
      </c>
      <c r="GG103" s="279">
        <v>4</v>
      </c>
      <c r="GH103" s="279">
        <v>3</v>
      </c>
      <c r="GI103" s="155"/>
      <c r="GJ103" s="152">
        <v>993</v>
      </c>
      <c r="GK103" s="153">
        <v>897</v>
      </c>
      <c r="GL103" s="153">
        <v>824</v>
      </c>
      <c r="GM103" s="153">
        <v>742</v>
      </c>
      <c r="GN103" s="154">
        <v>531</v>
      </c>
      <c r="GO103" s="154">
        <v>453</v>
      </c>
      <c r="GP103" s="279">
        <v>348</v>
      </c>
      <c r="GQ103" s="279">
        <v>473</v>
      </c>
      <c r="GR103" s="155"/>
      <c r="GS103" s="152">
        <v>359</v>
      </c>
      <c r="GT103" s="153">
        <v>264</v>
      </c>
      <c r="GU103" s="153">
        <v>266</v>
      </c>
      <c r="GV103" s="153">
        <v>198</v>
      </c>
      <c r="GW103" s="154">
        <v>102</v>
      </c>
      <c r="GX103" s="154">
        <v>81</v>
      </c>
      <c r="GY103" s="279">
        <v>57</v>
      </c>
      <c r="GZ103" s="279">
        <v>127</v>
      </c>
      <c r="HA103" s="155"/>
      <c r="HB103" s="152">
        <v>1</v>
      </c>
      <c r="HC103" s="153"/>
      <c r="HD103" s="153">
        <v>1</v>
      </c>
      <c r="HE103" s="153">
        <v>2</v>
      </c>
      <c r="HF103" s="154">
        <v>2</v>
      </c>
      <c r="HG103" s="154"/>
      <c r="HH103" s="279">
        <v>1</v>
      </c>
      <c r="HI103" s="279">
        <v>1</v>
      </c>
      <c r="HJ103" s="155"/>
      <c r="HK103" s="152"/>
      <c r="HL103" s="153">
        <v>1</v>
      </c>
      <c r="HM103" s="153">
        <v>1</v>
      </c>
      <c r="HN103" s="153">
        <v>2</v>
      </c>
      <c r="HO103" s="154">
        <v>3</v>
      </c>
      <c r="HP103" s="154"/>
      <c r="HQ103" s="279">
        <v>1</v>
      </c>
      <c r="HR103" s="279"/>
      <c r="HS103" s="155"/>
      <c r="HT103" s="152">
        <v>462</v>
      </c>
      <c r="HU103" s="153">
        <v>338</v>
      </c>
      <c r="HV103" s="153">
        <v>351</v>
      </c>
      <c r="HW103" s="153">
        <v>295</v>
      </c>
      <c r="HX103" s="154">
        <v>213</v>
      </c>
      <c r="HY103" s="154">
        <v>197</v>
      </c>
      <c r="HZ103" s="279">
        <v>160</v>
      </c>
      <c r="IA103" s="279">
        <v>216</v>
      </c>
      <c r="IB103" s="155"/>
      <c r="IC103" s="152">
        <v>1462</v>
      </c>
      <c r="ID103" s="153">
        <v>1757</v>
      </c>
      <c r="IE103" s="153">
        <v>1700</v>
      </c>
      <c r="IF103" s="153">
        <v>1130</v>
      </c>
      <c r="IG103" s="154">
        <v>834</v>
      </c>
      <c r="IH103" s="154">
        <v>717</v>
      </c>
      <c r="II103" s="279">
        <v>855</v>
      </c>
      <c r="IJ103" s="279">
        <v>732</v>
      </c>
      <c r="IK103" s="155"/>
    </row>
    <row r="104" spans="1:251" ht="13.5" thickBot="1" x14ac:dyDescent="0.25">
      <c r="A104" s="961"/>
      <c r="B104" s="156" t="s">
        <v>704</v>
      </c>
      <c r="C104" s="157"/>
      <c r="D104" s="166"/>
      <c r="E104" s="166"/>
      <c r="F104" s="166"/>
      <c r="G104" s="158"/>
      <c r="H104" s="158"/>
      <c r="I104" s="280"/>
      <c r="J104" s="280"/>
      <c r="K104" s="159"/>
      <c r="L104" s="157"/>
      <c r="M104" s="166"/>
      <c r="N104" s="166"/>
      <c r="O104" s="166"/>
      <c r="P104" s="158"/>
      <c r="Q104" s="158"/>
      <c r="R104" s="280"/>
      <c r="S104" s="280"/>
      <c r="T104" s="159"/>
      <c r="U104" s="157"/>
      <c r="V104" s="166"/>
      <c r="W104" s="166"/>
      <c r="X104" s="166"/>
      <c r="Y104" s="158"/>
      <c r="Z104" s="158"/>
      <c r="AA104" s="280"/>
      <c r="AB104" s="280"/>
      <c r="AC104" s="159"/>
      <c r="AD104" s="157">
        <v>38</v>
      </c>
      <c r="AE104" s="166">
        <v>39</v>
      </c>
      <c r="AF104" s="166">
        <v>30</v>
      </c>
      <c r="AG104" s="166">
        <v>49</v>
      </c>
      <c r="AH104" s="158">
        <v>43</v>
      </c>
      <c r="AI104" s="158">
        <v>41</v>
      </c>
      <c r="AJ104" s="280">
        <v>38</v>
      </c>
      <c r="AK104" s="280">
        <v>20</v>
      </c>
      <c r="AL104" s="159"/>
      <c r="AM104" s="157">
        <v>22</v>
      </c>
      <c r="AN104" s="166">
        <v>26</v>
      </c>
      <c r="AO104" s="166">
        <v>14</v>
      </c>
      <c r="AP104" s="166">
        <v>22</v>
      </c>
      <c r="AQ104" s="158">
        <v>28</v>
      </c>
      <c r="AR104" s="158">
        <v>15</v>
      </c>
      <c r="AS104" s="280">
        <v>17</v>
      </c>
      <c r="AT104" s="280">
        <v>12</v>
      </c>
      <c r="AU104" s="159"/>
      <c r="AV104" s="157"/>
      <c r="AW104" s="166"/>
      <c r="AX104" s="166"/>
      <c r="AY104" s="166"/>
      <c r="AZ104" s="158"/>
      <c r="BA104" s="158"/>
      <c r="BB104" s="280"/>
      <c r="BC104" s="280"/>
      <c r="BD104" s="159"/>
      <c r="BE104" s="157">
        <v>3</v>
      </c>
      <c r="BF104" s="166">
        <v>9</v>
      </c>
      <c r="BG104" s="166">
        <v>7</v>
      </c>
      <c r="BH104" s="166">
        <v>5</v>
      </c>
      <c r="BI104" s="158">
        <v>3</v>
      </c>
      <c r="BJ104" s="158">
        <v>6</v>
      </c>
      <c r="BK104" s="280">
        <v>4</v>
      </c>
      <c r="BL104" s="280">
        <v>19</v>
      </c>
      <c r="BM104" s="159"/>
      <c r="BN104" s="157"/>
      <c r="BO104" s="166"/>
      <c r="BP104" s="166"/>
      <c r="BQ104" s="166"/>
      <c r="BR104" s="158"/>
      <c r="BS104" s="158"/>
      <c r="BT104" s="280"/>
      <c r="BU104" s="280"/>
      <c r="BV104" s="159"/>
      <c r="BW104" s="157">
        <v>53</v>
      </c>
      <c r="BX104" s="166">
        <v>77</v>
      </c>
      <c r="BY104" s="166">
        <v>63</v>
      </c>
      <c r="BZ104" s="166">
        <v>91</v>
      </c>
      <c r="CA104" s="158">
        <v>102</v>
      </c>
      <c r="CB104" s="158">
        <v>138</v>
      </c>
      <c r="CC104" s="280">
        <v>91</v>
      </c>
      <c r="CD104" s="280">
        <v>80</v>
      </c>
      <c r="CE104" s="159"/>
      <c r="CF104" s="157">
        <v>1</v>
      </c>
      <c r="CG104" s="166">
        <v>5</v>
      </c>
      <c r="CH104" s="166">
        <v>3</v>
      </c>
      <c r="CI104" s="166"/>
      <c r="CJ104" s="158">
        <v>3</v>
      </c>
      <c r="CK104" s="158">
        <v>3</v>
      </c>
      <c r="CL104" s="280">
        <v>4</v>
      </c>
      <c r="CM104" s="280"/>
      <c r="CN104" s="159"/>
      <c r="CO104" s="157"/>
      <c r="CP104" s="166"/>
      <c r="CQ104" s="166">
        <v>1</v>
      </c>
      <c r="CR104" s="166">
        <v>1</v>
      </c>
      <c r="CS104" s="158">
        <v>2</v>
      </c>
      <c r="CT104" s="158">
        <v>1</v>
      </c>
      <c r="CU104" s="280">
        <v>1</v>
      </c>
      <c r="CV104" s="280"/>
      <c r="CW104" s="159"/>
      <c r="CX104" s="157">
        <v>925</v>
      </c>
      <c r="CY104" s="166">
        <v>753</v>
      </c>
      <c r="CZ104" s="166">
        <v>958</v>
      </c>
      <c r="DA104" s="166">
        <v>1284</v>
      </c>
      <c r="DB104" s="158">
        <v>949</v>
      </c>
      <c r="DC104" s="158">
        <v>902</v>
      </c>
      <c r="DD104" s="280">
        <v>646</v>
      </c>
      <c r="DE104" s="280">
        <v>710</v>
      </c>
      <c r="DF104" s="159"/>
      <c r="DG104" s="157">
        <v>2</v>
      </c>
      <c r="DH104" s="166"/>
      <c r="DI104" s="166">
        <v>3</v>
      </c>
      <c r="DJ104" s="166">
        <v>2</v>
      </c>
      <c r="DK104" s="158"/>
      <c r="DL104" s="158">
        <v>2</v>
      </c>
      <c r="DM104" s="280">
        <v>1</v>
      </c>
      <c r="DN104" s="280"/>
      <c r="DO104" s="159"/>
      <c r="DP104" s="157">
        <v>7</v>
      </c>
      <c r="DQ104" s="166">
        <v>3</v>
      </c>
      <c r="DR104" s="166">
        <v>7</v>
      </c>
      <c r="DS104" s="166">
        <v>4</v>
      </c>
      <c r="DT104" s="158">
        <v>7</v>
      </c>
      <c r="DU104" s="158">
        <v>5</v>
      </c>
      <c r="DV104" s="280">
        <v>8</v>
      </c>
      <c r="DW104" s="280">
        <v>15</v>
      </c>
      <c r="DX104" s="159"/>
      <c r="DY104" s="157">
        <v>190</v>
      </c>
      <c r="DZ104" s="166">
        <v>113</v>
      </c>
      <c r="EA104" s="166">
        <v>182</v>
      </c>
      <c r="EB104" s="166">
        <v>277</v>
      </c>
      <c r="EC104" s="158">
        <v>269</v>
      </c>
      <c r="ED104" s="158">
        <v>338</v>
      </c>
      <c r="EE104" s="280">
        <v>252</v>
      </c>
      <c r="EF104" s="280">
        <v>158</v>
      </c>
      <c r="EG104" s="159"/>
      <c r="EH104" s="157">
        <v>3</v>
      </c>
      <c r="EI104" s="166">
        <v>6</v>
      </c>
      <c r="EJ104" s="166">
        <v>4</v>
      </c>
      <c r="EK104" s="166">
        <v>6</v>
      </c>
      <c r="EL104" s="158">
        <v>1</v>
      </c>
      <c r="EM104" s="158">
        <v>8</v>
      </c>
      <c r="EN104" s="280">
        <v>3</v>
      </c>
      <c r="EO104" s="280">
        <v>5</v>
      </c>
      <c r="EP104" s="159"/>
      <c r="EQ104" s="157">
        <v>1</v>
      </c>
      <c r="ER104" s="166"/>
      <c r="ES104" s="166"/>
      <c r="ET104" s="166">
        <v>1</v>
      </c>
      <c r="EU104" s="158">
        <v>3</v>
      </c>
      <c r="EV104" s="158">
        <v>5</v>
      </c>
      <c r="EW104" s="280">
        <v>3</v>
      </c>
      <c r="EX104" s="280">
        <v>1</v>
      </c>
      <c r="EY104" s="159"/>
      <c r="EZ104" s="157">
        <v>2</v>
      </c>
      <c r="FA104" s="166">
        <v>1</v>
      </c>
      <c r="FB104" s="166">
        <v>3</v>
      </c>
      <c r="FC104" s="166"/>
      <c r="FD104" s="158"/>
      <c r="FE104" s="158">
        <v>4</v>
      </c>
      <c r="FF104" s="280">
        <v>1</v>
      </c>
      <c r="FG104" s="280"/>
      <c r="FH104" s="159"/>
      <c r="FI104" s="157">
        <v>31</v>
      </c>
      <c r="FJ104" s="166">
        <v>61</v>
      </c>
      <c r="FK104" s="166">
        <v>30</v>
      </c>
      <c r="FL104" s="166">
        <v>30</v>
      </c>
      <c r="FM104" s="158">
        <v>19</v>
      </c>
      <c r="FN104" s="158">
        <v>25</v>
      </c>
      <c r="FO104" s="280">
        <v>17</v>
      </c>
      <c r="FP104" s="280">
        <v>7</v>
      </c>
      <c r="FQ104" s="159"/>
      <c r="FR104" s="157">
        <v>11</v>
      </c>
      <c r="FS104" s="166">
        <v>6</v>
      </c>
      <c r="FT104" s="166">
        <v>4</v>
      </c>
      <c r="FU104" s="166"/>
      <c r="FV104" s="158">
        <v>4</v>
      </c>
      <c r="FW104" s="158">
        <v>3</v>
      </c>
      <c r="FX104" s="280">
        <v>1</v>
      </c>
      <c r="FY104" s="280">
        <v>3</v>
      </c>
      <c r="FZ104" s="159"/>
      <c r="GA104" s="157">
        <v>1</v>
      </c>
      <c r="GB104" s="166">
        <v>1</v>
      </c>
      <c r="GC104" s="166">
        <v>2</v>
      </c>
      <c r="GD104" s="166">
        <v>1</v>
      </c>
      <c r="GE104" s="158">
        <v>4</v>
      </c>
      <c r="GF104" s="158">
        <v>1</v>
      </c>
      <c r="GG104" s="280">
        <v>4</v>
      </c>
      <c r="GH104" s="280">
        <v>3</v>
      </c>
      <c r="GI104" s="159"/>
      <c r="GJ104" s="157">
        <v>1069</v>
      </c>
      <c r="GK104" s="166">
        <v>958</v>
      </c>
      <c r="GL104" s="166">
        <v>1105</v>
      </c>
      <c r="GM104" s="166">
        <v>1468</v>
      </c>
      <c r="GN104" s="158">
        <v>1133</v>
      </c>
      <c r="GO104" s="158">
        <v>1137</v>
      </c>
      <c r="GP104" s="280">
        <v>813</v>
      </c>
      <c r="GQ104" s="280">
        <v>848</v>
      </c>
      <c r="GR104" s="159"/>
      <c r="GS104" s="157">
        <v>194</v>
      </c>
      <c r="GT104" s="166">
        <v>190</v>
      </c>
      <c r="GU104" s="166">
        <v>178</v>
      </c>
      <c r="GV104" s="166">
        <v>215</v>
      </c>
      <c r="GW104" s="158">
        <v>110</v>
      </c>
      <c r="GX104" s="158">
        <v>126</v>
      </c>
      <c r="GY104" s="280">
        <v>66</v>
      </c>
      <c r="GZ104" s="280">
        <v>161</v>
      </c>
      <c r="HA104" s="159"/>
      <c r="HB104" s="157">
        <v>1</v>
      </c>
      <c r="HC104" s="166"/>
      <c r="HD104" s="166">
        <v>4</v>
      </c>
      <c r="HE104" s="166">
        <v>1</v>
      </c>
      <c r="HF104" s="158">
        <v>2</v>
      </c>
      <c r="HG104" s="158"/>
      <c r="HH104" s="280"/>
      <c r="HI104" s="280"/>
      <c r="HJ104" s="159"/>
      <c r="HK104" s="157"/>
      <c r="HL104" s="166">
        <v>1</v>
      </c>
      <c r="HM104" s="166">
        <v>1</v>
      </c>
      <c r="HN104" s="166"/>
      <c r="HO104" s="158"/>
      <c r="HP104" s="158"/>
      <c r="HQ104" s="280"/>
      <c r="HR104" s="280"/>
      <c r="HS104" s="159"/>
      <c r="HT104" s="157">
        <v>251</v>
      </c>
      <c r="HU104" s="166">
        <v>251</v>
      </c>
      <c r="HV104" s="166">
        <v>212</v>
      </c>
      <c r="HW104" s="166">
        <v>270</v>
      </c>
      <c r="HX104" s="158">
        <v>169</v>
      </c>
      <c r="HY104" s="158">
        <v>182</v>
      </c>
      <c r="HZ104" s="280">
        <v>142</v>
      </c>
      <c r="IA104" s="280">
        <v>229</v>
      </c>
      <c r="IB104" s="159"/>
      <c r="IC104" s="157">
        <v>1300</v>
      </c>
      <c r="ID104" s="166">
        <v>1263</v>
      </c>
      <c r="IE104" s="166">
        <v>1407</v>
      </c>
      <c r="IF104" s="166">
        <v>1694</v>
      </c>
      <c r="IG104" s="158">
        <v>1302</v>
      </c>
      <c r="IH104" s="158">
        <v>1331</v>
      </c>
      <c r="II104" s="280">
        <v>989</v>
      </c>
      <c r="IJ104" s="280">
        <v>1016</v>
      </c>
      <c r="IK104" s="159"/>
    </row>
    <row r="105" spans="1:251" s="134" customFormat="1" ht="13.5" thickBot="1" x14ac:dyDescent="0.25">
      <c r="A105" s="962"/>
      <c r="B105" s="189" t="s">
        <v>777</v>
      </c>
      <c r="C105" s="273">
        <v>6</v>
      </c>
      <c r="D105" s="190">
        <v>5</v>
      </c>
      <c r="E105" s="190">
        <v>7</v>
      </c>
      <c r="F105" s="190">
        <v>7</v>
      </c>
      <c r="G105" s="190">
        <v>6</v>
      </c>
      <c r="H105" s="190">
        <v>8</v>
      </c>
      <c r="I105" s="190">
        <v>12</v>
      </c>
      <c r="J105" s="190">
        <v>10</v>
      </c>
      <c r="K105" s="286"/>
      <c r="L105" s="273">
        <v>1</v>
      </c>
      <c r="M105" s="190">
        <v>1</v>
      </c>
      <c r="N105" s="190">
        <v>2</v>
      </c>
      <c r="O105" s="190">
        <v>3</v>
      </c>
      <c r="P105" s="190">
        <v>5</v>
      </c>
      <c r="Q105" s="190">
        <v>5</v>
      </c>
      <c r="R105" s="190">
        <v>9</v>
      </c>
      <c r="S105" s="190">
        <v>1</v>
      </c>
      <c r="T105" s="286"/>
      <c r="U105" s="273">
        <v>2</v>
      </c>
      <c r="V105" s="190">
        <v>2</v>
      </c>
      <c r="W105" s="190">
        <v>5</v>
      </c>
      <c r="X105" s="190">
        <v>3</v>
      </c>
      <c r="Y105" s="190">
        <v>1</v>
      </c>
      <c r="Z105" s="190">
        <v>2</v>
      </c>
      <c r="AA105" s="190">
        <v>2</v>
      </c>
      <c r="AB105" s="190">
        <v>5</v>
      </c>
      <c r="AC105" s="286"/>
      <c r="AD105" s="273">
        <v>410</v>
      </c>
      <c r="AE105" s="190">
        <v>425</v>
      </c>
      <c r="AF105" s="190">
        <v>302</v>
      </c>
      <c r="AG105" s="190">
        <v>380</v>
      </c>
      <c r="AH105" s="190">
        <v>428</v>
      </c>
      <c r="AI105" s="190">
        <v>434</v>
      </c>
      <c r="AJ105" s="190">
        <v>359</v>
      </c>
      <c r="AK105" s="190">
        <v>366</v>
      </c>
      <c r="AL105" s="286"/>
      <c r="AM105" s="273">
        <v>165</v>
      </c>
      <c r="AN105" s="190">
        <v>179</v>
      </c>
      <c r="AO105" s="190">
        <v>128</v>
      </c>
      <c r="AP105" s="190">
        <v>165</v>
      </c>
      <c r="AQ105" s="190">
        <v>166</v>
      </c>
      <c r="AR105" s="190">
        <v>148</v>
      </c>
      <c r="AS105" s="190">
        <v>117</v>
      </c>
      <c r="AT105" s="190">
        <v>124</v>
      </c>
      <c r="AU105" s="286"/>
      <c r="AV105" s="273"/>
      <c r="AW105" s="190">
        <v>1</v>
      </c>
      <c r="AX105" s="190"/>
      <c r="AY105" s="190"/>
      <c r="AZ105" s="190"/>
      <c r="BA105" s="190"/>
      <c r="BB105" s="190">
        <v>1</v>
      </c>
      <c r="BC105" s="190">
        <v>1</v>
      </c>
      <c r="BD105" s="286"/>
      <c r="BE105" s="273">
        <v>37</v>
      </c>
      <c r="BF105" s="190">
        <v>50</v>
      </c>
      <c r="BG105" s="190">
        <v>35</v>
      </c>
      <c r="BH105" s="190">
        <v>34</v>
      </c>
      <c r="BI105" s="190">
        <v>50</v>
      </c>
      <c r="BJ105" s="190">
        <v>32</v>
      </c>
      <c r="BK105" s="190">
        <v>29</v>
      </c>
      <c r="BL105" s="190">
        <v>40</v>
      </c>
      <c r="BM105" s="286"/>
      <c r="BN105" s="273"/>
      <c r="BO105" s="190"/>
      <c r="BP105" s="190"/>
      <c r="BQ105" s="190">
        <v>1</v>
      </c>
      <c r="BR105" s="190"/>
      <c r="BS105" s="190"/>
      <c r="BT105" s="190"/>
      <c r="BU105" s="190"/>
      <c r="BV105" s="286"/>
      <c r="BW105" s="273">
        <v>413</v>
      </c>
      <c r="BX105" s="190">
        <v>492</v>
      </c>
      <c r="BY105" s="190">
        <v>412</v>
      </c>
      <c r="BZ105" s="190">
        <v>460</v>
      </c>
      <c r="CA105" s="190">
        <v>581</v>
      </c>
      <c r="CB105" s="190">
        <v>630</v>
      </c>
      <c r="CC105" s="190">
        <v>448</v>
      </c>
      <c r="CD105" s="190">
        <v>412</v>
      </c>
      <c r="CE105" s="286"/>
      <c r="CF105" s="273">
        <v>26</v>
      </c>
      <c r="CG105" s="190">
        <v>19</v>
      </c>
      <c r="CH105" s="190">
        <v>12</v>
      </c>
      <c r="CI105" s="190">
        <v>19</v>
      </c>
      <c r="CJ105" s="190">
        <v>17</v>
      </c>
      <c r="CK105" s="190">
        <v>21</v>
      </c>
      <c r="CL105" s="190">
        <v>22</v>
      </c>
      <c r="CM105" s="190">
        <v>13</v>
      </c>
      <c r="CN105" s="286"/>
      <c r="CO105" s="273">
        <v>11</v>
      </c>
      <c r="CP105" s="190">
        <v>30</v>
      </c>
      <c r="CQ105" s="190">
        <v>7</v>
      </c>
      <c r="CR105" s="190">
        <v>8</v>
      </c>
      <c r="CS105" s="190">
        <v>4</v>
      </c>
      <c r="CT105" s="190">
        <v>9</v>
      </c>
      <c r="CU105" s="190">
        <v>10</v>
      </c>
      <c r="CV105" s="190">
        <v>10</v>
      </c>
      <c r="CW105" s="286"/>
      <c r="CX105" s="273">
        <v>5522</v>
      </c>
      <c r="CY105" s="190">
        <v>5092</v>
      </c>
      <c r="CZ105" s="190">
        <v>5099</v>
      </c>
      <c r="DA105" s="190">
        <v>5333</v>
      </c>
      <c r="DB105" s="190">
        <v>3972</v>
      </c>
      <c r="DC105" s="190">
        <v>3607</v>
      </c>
      <c r="DD105" s="190">
        <v>2942</v>
      </c>
      <c r="DE105" s="190">
        <v>2988</v>
      </c>
      <c r="DF105" s="286"/>
      <c r="DG105" s="273">
        <v>54</v>
      </c>
      <c r="DH105" s="190">
        <v>55</v>
      </c>
      <c r="DI105" s="190">
        <v>32</v>
      </c>
      <c r="DJ105" s="190">
        <v>35</v>
      </c>
      <c r="DK105" s="190">
        <v>29</v>
      </c>
      <c r="DL105" s="190">
        <v>19</v>
      </c>
      <c r="DM105" s="190">
        <v>12</v>
      </c>
      <c r="DN105" s="190">
        <v>31</v>
      </c>
      <c r="DO105" s="286"/>
      <c r="DP105" s="273">
        <v>192</v>
      </c>
      <c r="DQ105" s="190">
        <v>139</v>
      </c>
      <c r="DR105" s="190">
        <v>106</v>
      </c>
      <c r="DS105" s="190">
        <v>78</v>
      </c>
      <c r="DT105" s="190">
        <v>80</v>
      </c>
      <c r="DU105" s="190">
        <v>61</v>
      </c>
      <c r="DV105" s="190">
        <v>85</v>
      </c>
      <c r="DW105" s="190">
        <v>107</v>
      </c>
      <c r="DX105" s="286"/>
      <c r="DY105" s="273">
        <v>766</v>
      </c>
      <c r="DZ105" s="190">
        <v>659</v>
      </c>
      <c r="EA105" s="190">
        <v>774</v>
      </c>
      <c r="EB105" s="190">
        <v>859</v>
      </c>
      <c r="EC105" s="190">
        <v>700</v>
      </c>
      <c r="ED105" s="190">
        <v>812</v>
      </c>
      <c r="EE105" s="190">
        <v>607</v>
      </c>
      <c r="EF105" s="190">
        <v>467</v>
      </c>
      <c r="EG105" s="286"/>
      <c r="EH105" s="273">
        <v>74</v>
      </c>
      <c r="EI105" s="190">
        <v>67</v>
      </c>
      <c r="EJ105" s="190">
        <v>52</v>
      </c>
      <c r="EK105" s="190">
        <v>63</v>
      </c>
      <c r="EL105" s="190">
        <v>64</v>
      </c>
      <c r="EM105" s="190">
        <v>42</v>
      </c>
      <c r="EN105" s="190">
        <v>30</v>
      </c>
      <c r="EO105" s="190">
        <v>34</v>
      </c>
      <c r="EP105" s="286"/>
      <c r="EQ105" s="273">
        <v>9</v>
      </c>
      <c r="ER105" s="190">
        <v>14</v>
      </c>
      <c r="ES105" s="190">
        <v>8</v>
      </c>
      <c r="ET105" s="190">
        <v>15</v>
      </c>
      <c r="EU105" s="190">
        <v>24</v>
      </c>
      <c r="EV105" s="190">
        <v>26</v>
      </c>
      <c r="EW105" s="190">
        <v>37</v>
      </c>
      <c r="EX105" s="190">
        <v>42</v>
      </c>
      <c r="EY105" s="286"/>
      <c r="EZ105" s="273">
        <v>38</v>
      </c>
      <c r="FA105" s="190">
        <v>14</v>
      </c>
      <c r="FB105" s="190">
        <v>20</v>
      </c>
      <c r="FC105" s="190">
        <v>20</v>
      </c>
      <c r="FD105" s="190">
        <v>11</v>
      </c>
      <c r="FE105" s="190">
        <v>14</v>
      </c>
      <c r="FF105" s="190">
        <v>12</v>
      </c>
      <c r="FG105" s="190">
        <v>9</v>
      </c>
      <c r="FH105" s="286"/>
      <c r="FI105" s="273">
        <v>344</v>
      </c>
      <c r="FJ105" s="190">
        <v>349</v>
      </c>
      <c r="FK105" s="190">
        <v>249</v>
      </c>
      <c r="FL105" s="190">
        <v>203</v>
      </c>
      <c r="FM105" s="190">
        <v>156</v>
      </c>
      <c r="FN105" s="190">
        <v>165</v>
      </c>
      <c r="FO105" s="190">
        <v>166</v>
      </c>
      <c r="FP105" s="190">
        <v>161</v>
      </c>
      <c r="FQ105" s="286"/>
      <c r="FR105" s="273">
        <v>35</v>
      </c>
      <c r="FS105" s="190">
        <v>19</v>
      </c>
      <c r="FT105" s="190">
        <v>16</v>
      </c>
      <c r="FU105" s="190">
        <v>14</v>
      </c>
      <c r="FV105" s="190">
        <v>15</v>
      </c>
      <c r="FW105" s="190">
        <v>9</v>
      </c>
      <c r="FX105" s="190">
        <v>17</v>
      </c>
      <c r="FY105" s="190">
        <v>11</v>
      </c>
      <c r="FZ105" s="286"/>
      <c r="GA105" s="273">
        <v>22</v>
      </c>
      <c r="GB105" s="190">
        <v>28</v>
      </c>
      <c r="GC105" s="190">
        <v>23</v>
      </c>
      <c r="GD105" s="190">
        <v>21</v>
      </c>
      <c r="GE105" s="190">
        <v>18</v>
      </c>
      <c r="GF105" s="190">
        <v>21</v>
      </c>
      <c r="GG105" s="190">
        <v>27</v>
      </c>
      <c r="GH105" s="190">
        <v>21</v>
      </c>
      <c r="GI105" s="286"/>
      <c r="GJ105" s="273">
        <v>6947</v>
      </c>
      <c r="GK105" s="190">
        <v>6604</v>
      </c>
      <c r="GL105" s="190">
        <v>6242</v>
      </c>
      <c r="GM105" s="190">
        <v>6578</v>
      </c>
      <c r="GN105" s="190">
        <v>5346</v>
      </c>
      <c r="GO105" s="190">
        <v>5018</v>
      </c>
      <c r="GP105" s="190">
        <v>4111</v>
      </c>
      <c r="GQ105" s="190">
        <v>4117</v>
      </c>
      <c r="GR105" s="286"/>
      <c r="GS105" s="273">
        <v>2225</v>
      </c>
      <c r="GT105" s="190">
        <v>2078</v>
      </c>
      <c r="GU105" s="190">
        <v>1819</v>
      </c>
      <c r="GV105" s="190">
        <v>1584</v>
      </c>
      <c r="GW105" s="190">
        <v>909</v>
      </c>
      <c r="GX105" s="190">
        <v>800</v>
      </c>
      <c r="GY105" s="190">
        <v>695</v>
      </c>
      <c r="GZ105" s="190">
        <v>818</v>
      </c>
      <c r="HA105" s="286"/>
      <c r="HB105" s="273">
        <v>16</v>
      </c>
      <c r="HC105" s="190">
        <v>18</v>
      </c>
      <c r="HD105" s="190">
        <v>24</v>
      </c>
      <c r="HE105" s="190">
        <v>13</v>
      </c>
      <c r="HF105" s="190">
        <v>9</v>
      </c>
      <c r="HG105" s="190">
        <v>10</v>
      </c>
      <c r="HH105" s="190">
        <v>7</v>
      </c>
      <c r="HI105" s="190">
        <v>4</v>
      </c>
      <c r="HJ105" s="286"/>
      <c r="HK105" s="273">
        <v>13</v>
      </c>
      <c r="HL105" s="190">
        <v>16</v>
      </c>
      <c r="HM105" s="190">
        <v>8</v>
      </c>
      <c r="HN105" s="190">
        <v>12</v>
      </c>
      <c r="HO105" s="190">
        <v>5</v>
      </c>
      <c r="HP105" s="190">
        <v>5</v>
      </c>
      <c r="HQ105" s="190">
        <v>6</v>
      </c>
      <c r="HR105" s="190">
        <v>1</v>
      </c>
      <c r="HS105" s="286"/>
      <c r="HT105" s="273">
        <v>2874</v>
      </c>
      <c r="HU105" s="190">
        <v>2605</v>
      </c>
      <c r="HV105" s="190">
        <v>2344</v>
      </c>
      <c r="HW105" s="190">
        <v>2177</v>
      </c>
      <c r="HX105" s="190">
        <v>1597</v>
      </c>
      <c r="HY105" s="190">
        <v>1387</v>
      </c>
      <c r="HZ105" s="190">
        <v>1303</v>
      </c>
      <c r="IA105" s="190">
        <v>1421</v>
      </c>
      <c r="IB105" s="286"/>
      <c r="IC105" s="273">
        <v>10327</v>
      </c>
      <c r="ID105" s="190">
        <v>11648</v>
      </c>
      <c r="IE105" s="190">
        <v>11258</v>
      </c>
      <c r="IF105" s="190">
        <v>11432</v>
      </c>
      <c r="IG105" s="190">
        <v>7616</v>
      </c>
      <c r="IH105" s="190">
        <v>7325</v>
      </c>
      <c r="II105" s="190">
        <v>6727</v>
      </c>
      <c r="IJ105" s="190">
        <v>7788</v>
      </c>
      <c r="IK105" s="286"/>
    </row>
    <row r="106" spans="1:251" x14ac:dyDescent="0.2">
      <c r="A106" s="960" t="s">
        <v>593</v>
      </c>
      <c r="B106" s="146" t="s">
        <v>594</v>
      </c>
      <c r="C106" s="147">
        <v>12</v>
      </c>
      <c r="D106" s="148">
        <v>7</v>
      </c>
      <c r="E106" s="148">
        <v>11</v>
      </c>
      <c r="F106" s="148">
        <v>7</v>
      </c>
      <c r="G106" s="149">
        <v>6</v>
      </c>
      <c r="H106" s="149">
        <v>13</v>
      </c>
      <c r="I106" s="278">
        <v>12</v>
      </c>
      <c r="J106" s="278">
        <v>6</v>
      </c>
      <c r="K106" s="150"/>
      <c r="L106" s="147">
        <v>6</v>
      </c>
      <c r="M106" s="148">
        <v>1</v>
      </c>
      <c r="N106" s="148">
        <v>6</v>
      </c>
      <c r="O106" s="148">
        <v>3</v>
      </c>
      <c r="P106" s="149">
        <v>2</v>
      </c>
      <c r="Q106" s="149">
        <v>8</v>
      </c>
      <c r="R106" s="278">
        <v>5</v>
      </c>
      <c r="S106" s="278">
        <v>2</v>
      </c>
      <c r="T106" s="150"/>
      <c r="U106" s="147">
        <v>3</v>
      </c>
      <c r="V106" s="148">
        <v>6</v>
      </c>
      <c r="W106" s="148">
        <v>4</v>
      </c>
      <c r="X106" s="148">
        <v>3</v>
      </c>
      <c r="Y106" s="149">
        <v>4</v>
      </c>
      <c r="Z106" s="149">
        <v>2</v>
      </c>
      <c r="AA106" s="278">
        <v>6</v>
      </c>
      <c r="AB106" s="278">
        <v>3</v>
      </c>
      <c r="AC106" s="150"/>
      <c r="AD106" s="147">
        <v>7</v>
      </c>
      <c r="AE106" s="148">
        <v>11</v>
      </c>
      <c r="AF106" s="148">
        <v>6</v>
      </c>
      <c r="AG106" s="148">
        <v>20</v>
      </c>
      <c r="AH106" s="149">
        <v>5</v>
      </c>
      <c r="AI106" s="149">
        <v>7</v>
      </c>
      <c r="AJ106" s="278">
        <v>8</v>
      </c>
      <c r="AK106" s="278">
        <v>5</v>
      </c>
      <c r="AL106" s="150"/>
      <c r="AM106" s="147">
        <v>7</v>
      </c>
      <c r="AN106" s="148">
        <v>10</v>
      </c>
      <c r="AO106" s="148">
        <v>5</v>
      </c>
      <c r="AP106" s="148">
        <v>17</v>
      </c>
      <c r="AQ106" s="149">
        <v>3</v>
      </c>
      <c r="AR106" s="149">
        <v>7</v>
      </c>
      <c r="AS106" s="278">
        <v>8</v>
      </c>
      <c r="AT106" s="278">
        <v>5</v>
      </c>
      <c r="AU106" s="150"/>
      <c r="AV106" s="147">
        <v>2</v>
      </c>
      <c r="AW106" s="148">
        <v>2</v>
      </c>
      <c r="AX106" s="148"/>
      <c r="AY106" s="148">
        <v>2</v>
      </c>
      <c r="AZ106" s="149"/>
      <c r="BA106" s="149"/>
      <c r="BB106" s="278"/>
      <c r="BC106" s="278"/>
      <c r="BD106" s="150"/>
      <c r="BE106" s="147"/>
      <c r="BF106" s="148"/>
      <c r="BG106" s="148"/>
      <c r="BH106" s="148"/>
      <c r="BI106" s="149"/>
      <c r="BJ106" s="149">
        <v>1</v>
      </c>
      <c r="BK106" s="278">
        <v>4</v>
      </c>
      <c r="BL106" s="278">
        <v>9</v>
      </c>
      <c r="BM106" s="150"/>
      <c r="BN106" s="147"/>
      <c r="BO106" s="148">
        <v>4</v>
      </c>
      <c r="BP106" s="148">
        <v>16</v>
      </c>
      <c r="BQ106" s="148">
        <v>6</v>
      </c>
      <c r="BR106" s="149">
        <v>32</v>
      </c>
      <c r="BS106" s="149">
        <v>62</v>
      </c>
      <c r="BT106" s="278">
        <v>10</v>
      </c>
      <c r="BU106" s="278">
        <v>7</v>
      </c>
      <c r="BV106" s="150"/>
      <c r="BW106" s="147"/>
      <c r="BX106" s="148">
        <v>3</v>
      </c>
      <c r="BY106" s="148">
        <v>3</v>
      </c>
      <c r="BZ106" s="148">
        <v>2</v>
      </c>
      <c r="CA106" s="149">
        <v>2</v>
      </c>
      <c r="CB106" s="149"/>
      <c r="CC106" s="278"/>
      <c r="CD106" s="278"/>
      <c r="CE106" s="150"/>
      <c r="CF106" s="147"/>
      <c r="CG106" s="148"/>
      <c r="CH106" s="148">
        <v>2</v>
      </c>
      <c r="CI106" s="148"/>
      <c r="CJ106" s="149"/>
      <c r="CK106" s="149"/>
      <c r="CL106" s="278"/>
      <c r="CM106" s="278"/>
      <c r="CN106" s="150"/>
      <c r="CO106" s="147">
        <v>1</v>
      </c>
      <c r="CP106" s="148">
        <v>1</v>
      </c>
      <c r="CQ106" s="148">
        <v>20</v>
      </c>
      <c r="CR106" s="148"/>
      <c r="CS106" s="149">
        <v>5</v>
      </c>
      <c r="CT106" s="149"/>
      <c r="CU106" s="278">
        <v>3</v>
      </c>
      <c r="CV106" s="278">
        <v>2</v>
      </c>
      <c r="CW106" s="150"/>
      <c r="CX106" s="147">
        <v>3</v>
      </c>
      <c r="CY106" s="148">
        <v>47</v>
      </c>
      <c r="CZ106" s="148">
        <v>4</v>
      </c>
      <c r="DA106" s="148">
        <v>1</v>
      </c>
      <c r="DB106" s="149">
        <v>2</v>
      </c>
      <c r="DC106" s="149">
        <v>1</v>
      </c>
      <c r="DD106" s="278">
        <v>2</v>
      </c>
      <c r="DE106" s="278"/>
      <c r="DF106" s="150"/>
      <c r="DG106" s="147"/>
      <c r="DH106" s="148">
        <v>1</v>
      </c>
      <c r="DI106" s="148">
        <v>2</v>
      </c>
      <c r="DJ106" s="148"/>
      <c r="DK106" s="149"/>
      <c r="DL106" s="149"/>
      <c r="DM106" s="278"/>
      <c r="DN106" s="278"/>
      <c r="DO106" s="150"/>
      <c r="DP106" s="147"/>
      <c r="DQ106" s="148">
        <v>1</v>
      </c>
      <c r="DR106" s="148"/>
      <c r="DS106" s="148"/>
      <c r="DT106" s="149"/>
      <c r="DU106" s="149"/>
      <c r="DV106" s="278"/>
      <c r="DW106" s="278"/>
      <c r="DX106" s="150"/>
      <c r="DY106" s="147"/>
      <c r="DZ106" s="148"/>
      <c r="EA106" s="148"/>
      <c r="EB106" s="148"/>
      <c r="EC106" s="149"/>
      <c r="ED106" s="149"/>
      <c r="EE106" s="278"/>
      <c r="EF106" s="278"/>
      <c r="EG106" s="150"/>
      <c r="EH106" s="147">
        <v>5</v>
      </c>
      <c r="EI106" s="148">
        <v>11</v>
      </c>
      <c r="EJ106" s="148">
        <v>12</v>
      </c>
      <c r="EK106" s="148">
        <v>6</v>
      </c>
      <c r="EL106" s="149">
        <v>4</v>
      </c>
      <c r="EM106" s="149">
        <v>2</v>
      </c>
      <c r="EN106" s="278">
        <v>5</v>
      </c>
      <c r="EO106" s="278">
        <v>4</v>
      </c>
      <c r="EP106" s="150"/>
      <c r="EQ106" s="147">
        <v>2</v>
      </c>
      <c r="ER106" s="148"/>
      <c r="ES106" s="148">
        <v>2</v>
      </c>
      <c r="ET106" s="148"/>
      <c r="EU106" s="149"/>
      <c r="EV106" s="149">
        <v>1</v>
      </c>
      <c r="EW106" s="278"/>
      <c r="EX106" s="278">
        <v>2</v>
      </c>
      <c r="EY106" s="150"/>
      <c r="EZ106" s="147">
        <v>2</v>
      </c>
      <c r="FA106" s="148">
        <v>9</v>
      </c>
      <c r="FB106" s="148">
        <v>3</v>
      </c>
      <c r="FC106" s="148"/>
      <c r="FD106" s="149">
        <v>1</v>
      </c>
      <c r="FE106" s="149"/>
      <c r="FF106" s="278"/>
      <c r="FG106" s="278"/>
      <c r="FH106" s="150"/>
      <c r="FI106" s="147">
        <v>4</v>
      </c>
      <c r="FJ106" s="148"/>
      <c r="FK106" s="148">
        <v>3</v>
      </c>
      <c r="FL106" s="148">
        <v>1</v>
      </c>
      <c r="FM106" s="149"/>
      <c r="FN106" s="149"/>
      <c r="FO106" s="278">
        <v>1</v>
      </c>
      <c r="FP106" s="278">
        <v>1</v>
      </c>
      <c r="FQ106" s="150"/>
      <c r="FR106" s="147">
        <v>2</v>
      </c>
      <c r="FS106" s="148">
        <v>2</v>
      </c>
      <c r="FT106" s="148"/>
      <c r="FU106" s="148"/>
      <c r="FV106" s="149">
        <v>1</v>
      </c>
      <c r="FW106" s="149">
        <v>1</v>
      </c>
      <c r="FX106" s="278"/>
      <c r="FY106" s="278">
        <v>21</v>
      </c>
      <c r="FZ106" s="150"/>
      <c r="GA106" s="147"/>
      <c r="GB106" s="148"/>
      <c r="GC106" s="148"/>
      <c r="GD106" s="148"/>
      <c r="GE106" s="149"/>
      <c r="GF106" s="149"/>
      <c r="GG106" s="278"/>
      <c r="GH106" s="278"/>
      <c r="GI106" s="150"/>
      <c r="GJ106" s="147">
        <v>38</v>
      </c>
      <c r="GK106" s="148">
        <v>95</v>
      </c>
      <c r="GL106" s="148">
        <v>82</v>
      </c>
      <c r="GM106" s="148">
        <v>43</v>
      </c>
      <c r="GN106" s="149">
        <v>58</v>
      </c>
      <c r="GO106" s="149">
        <v>88</v>
      </c>
      <c r="GP106" s="278">
        <v>45</v>
      </c>
      <c r="GQ106" s="278">
        <v>57</v>
      </c>
      <c r="GR106" s="150"/>
      <c r="GS106" s="147">
        <v>5</v>
      </c>
      <c r="GT106" s="148">
        <v>12</v>
      </c>
      <c r="GU106" s="148">
        <v>19</v>
      </c>
      <c r="GV106" s="148">
        <v>14</v>
      </c>
      <c r="GW106" s="149">
        <v>19</v>
      </c>
      <c r="GX106" s="149">
        <v>22</v>
      </c>
      <c r="GY106" s="278">
        <v>8</v>
      </c>
      <c r="GZ106" s="278">
        <v>5</v>
      </c>
      <c r="HA106" s="150"/>
      <c r="HB106" s="147">
        <v>2</v>
      </c>
      <c r="HC106" s="148">
        <v>3</v>
      </c>
      <c r="HD106" s="148">
        <v>3</v>
      </c>
      <c r="HE106" s="148">
        <v>4</v>
      </c>
      <c r="HF106" s="149"/>
      <c r="HG106" s="149">
        <v>1</v>
      </c>
      <c r="HH106" s="278"/>
      <c r="HI106" s="278">
        <v>1</v>
      </c>
      <c r="HJ106" s="150"/>
      <c r="HK106" s="147"/>
      <c r="HL106" s="148"/>
      <c r="HM106" s="148"/>
      <c r="HN106" s="148"/>
      <c r="HO106" s="149"/>
      <c r="HP106" s="149"/>
      <c r="HQ106" s="278"/>
      <c r="HR106" s="278">
        <v>1</v>
      </c>
      <c r="HS106" s="150"/>
      <c r="HT106" s="147">
        <v>16</v>
      </c>
      <c r="HU106" s="148">
        <v>25</v>
      </c>
      <c r="HV106" s="148">
        <v>36</v>
      </c>
      <c r="HW106" s="148">
        <v>28</v>
      </c>
      <c r="HX106" s="149">
        <v>28</v>
      </c>
      <c r="HY106" s="149">
        <v>33</v>
      </c>
      <c r="HZ106" s="278">
        <v>16</v>
      </c>
      <c r="IA106" s="278">
        <v>23</v>
      </c>
      <c r="IB106" s="150"/>
      <c r="IC106" s="147">
        <v>121</v>
      </c>
      <c r="ID106" s="148">
        <v>509</v>
      </c>
      <c r="IE106" s="148">
        <v>193</v>
      </c>
      <c r="IF106" s="148">
        <v>111</v>
      </c>
      <c r="IG106" s="149">
        <v>94</v>
      </c>
      <c r="IH106" s="149">
        <v>134</v>
      </c>
      <c r="II106" s="278">
        <v>144</v>
      </c>
      <c r="IJ106" s="278">
        <v>118</v>
      </c>
      <c r="IK106" s="150"/>
    </row>
    <row r="107" spans="1:251" x14ac:dyDescent="0.2">
      <c r="A107" s="961"/>
      <c r="B107" s="151" t="s">
        <v>705</v>
      </c>
      <c r="C107" s="152">
        <v>1</v>
      </c>
      <c r="D107" s="153"/>
      <c r="E107" s="153"/>
      <c r="F107" s="153"/>
      <c r="G107" s="154"/>
      <c r="H107" s="154"/>
      <c r="I107" s="279"/>
      <c r="J107" s="279"/>
      <c r="K107" s="155"/>
      <c r="L107" s="152"/>
      <c r="M107" s="153"/>
      <c r="N107" s="153"/>
      <c r="O107" s="153"/>
      <c r="P107" s="154"/>
      <c r="Q107" s="154"/>
      <c r="R107" s="279"/>
      <c r="S107" s="279"/>
      <c r="T107" s="155"/>
      <c r="U107" s="152">
        <v>1</v>
      </c>
      <c r="V107" s="153"/>
      <c r="W107" s="153"/>
      <c r="X107" s="153"/>
      <c r="Y107" s="154"/>
      <c r="Z107" s="154"/>
      <c r="AA107" s="279"/>
      <c r="AB107" s="279"/>
      <c r="AC107" s="155"/>
      <c r="AD107" s="152">
        <v>94</v>
      </c>
      <c r="AE107" s="153">
        <v>97</v>
      </c>
      <c r="AF107" s="153">
        <v>106</v>
      </c>
      <c r="AG107" s="153">
        <v>77</v>
      </c>
      <c r="AH107" s="154">
        <v>70</v>
      </c>
      <c r="AI107" s="154">
        <v>51</v>
      </c>
      <c r="AJ107" s="279">
        <v>65</v>
      </c>
      <c r="AK107" s="279">
        <v>56</v>
      </c>
      <c r="AL107" s="155"/>
      <c r="AM107" s="152">
        <v>60</v>
      </c>
      <c r="AN107" s="153">
        <v>56</v>
      </c>
      <c r="AO107" s="153">
        <v>70</v>
      </c>
      <c r="AP107" s="153">
        <v>48</v>
      </c>
      <c r="AQ107" s="154">
        <v>42</v>
      </c>
      <c r="AR107" s="154">
        <v>35</v>
      </c>
      <c r="AS107" s="279">
        <v>49</v>
      </c>
      <c r="AT107" s="279">
        <v>40</v>
      </c>
      <c r="AU107" s="155"/>
      <c r="AV107" s="152"/>
      <c r="AW107" s="153"/>
      <c r="AX107" s="153"/>
      <c r="AY107" s="153"/>
      <c r="AZ107" s="154"/>
      <c r="BA107" s="154"/>
      <c r="BB107" s="279"/>
      <c r="BC107" s="279"/>
      <c r="BD107" s="155"/>
      <c r="BE107" s="152">
        <v>36</v>
      </c>
      <c r="BF107" s="153">
        <v>35</v>
      </c>
      <c r="BG107" s="153">
        <v>33</v>
      </c>
      <c r="BH107" s="153">
        <v>22</v>
      </c>
      <c r="BI107" s="154">
        <v>8</v>
      </c>
      <c r="BJ107" s="154">
        <v>3</v>
      </c>
      <c r="BK107" s="279">
        <v>12</v>
      </c>
      <c r="BL107" s="279">
        <v>7</v>
      </c>
      <c r="BM107" s="155"/>
      <c r="BN107" s="152"/>
      <c r="BO107" s="153"/>
      <c r="BP107" s="153"/>
      <c r="BQ107" s="153"/>
      <c r="BR107" s="154"/>
      <c r="BS107" s="154"/>
      <c r="BT107" s="279"/>
      <c r="BU107" s="279"/>
      <c r="BV107" s="155"/>
      <c r="BW107" s="152">
        <v>36</v>
      </c>
      <c r="BX107" s="153">
        <v>63</v>
      </c>
      <c r="BY107" s="153">
        <v>75</v>
      </c>
      <c r="BZ107" s="153">
        <v>44</v>
      </c>
      <c r="CA107" s="154">
        <v>47</v>
      </c>
      <c r="CB107" s="154">
        <v>30</v>
      </c>
      <c r="CC107" s="279">
        <v>18</v>
      </c>
      <c r="CD107" s="279">
        <v>22</v>
      </c>
      <c r="CE107" s="155"/>
      <c r="CF107" s="152">
        <v>5</v>
      </c>
      <c r="CG107" s="153">
        <v>1</v>
      </c>
      <c r="CH107" s="153">
        <v>9</v>
      </c>
      <c r="CI107" s="153"/>
      <c r="CJ107" s="154">
        <v>1</v>
      </c>
      <c r="CK107" s="154">
        <v>3</v>
      </c>
      <c r="CL107" s="279">
        <v>1</v>
      </c>
      <c r="CM107" s="279">
        <v>2</v>
      </c>
      <c r="CN107" s="155"/>
      <c r="CO107" s="152">
        <v>3</v>
      </c>
      <c r="CP107" s="153">
        <v>10</v>
      </c>
      <c r="CQ107" s="153">
        <v>3</v>
      </c>
      <c r="CR107" s="153"/>
      <c r="CS107" s="154"/>
      <c r="CT107" s="154">
        <v>1</v>
      </c>
      <c r="CU107" s="279">
        <v>9</v>
      </c>
      <c r="CV107" s="279">
        <v>5</v>
      </c>
      <c r="CW107" s="155"/>
      <c r="CX107" s="152">
        <v>1578</v>
      </c>
      <c r="CY107" s="153">
        <v>1490</v>
      </c>
      <c r="CZ107" s="153">
        <v>1337</v>
      </c>
      <c r="DA107" s="153">
        <v>1126</v>
      </c>
      <c r="DB107" s="154">
        <v>907</v>
      </c>
      <c r="DC107" s="154">
        <v>754</v>
      </c>
      <c r="DD107" s="279">
        <v>655</v>
      </c>
      <c r="DE107" s="279">
        <v>441</v>
      </c>
      <c r="DF107" s="155"/>
      <c r="DG107" s="152">
        <v>25</v>
      </c>
      <c r="DH107" s="153">
        <v>26</v>
      </c>
      <c r="DI107" s="153">
        <v>24</v>
      </c>
      <c r="DJ107" s="153">
        <v>52</v>
      </c>
      <c r="DK107" s="154">
        <v>18</v>
      </c>
      <c r="DL107" s="154">
        <v>6</v>
      </c>
      <c r="DM107" s="279">
        <v>6</v>
      </c>
      <c r="DN107" s="279">
        <v>4</v>
      </c>
      <c r="DO107" s="155"/>
      <c r="DP107" s="152">
        <v>81</v>
      </c>
      <c r="DQ107" s="153">
        <v>85</v>
      </c>
      <c r="DR107" s="153">
        <v>63</v>
      </c>
      <c r="DS107" s="153">
        <v>50</v>
      </c>
      <c r="DT107" s="154">
        <v>29</v>
      </c>
      <c r="DU107" s="154">
        <v>14</v>
      </c>
      <c r="DV107" s="279">
        <v>18</v>
      </c>
      <c r="DW107" s="279">
        <v>10</v>
      </c>
      <c r="DX107" s="155"/>
      <c r="DY107" s="152">
        <v>152</v>
      </c>
      <c r="DZ107" s="153">
        <v>93</v>
      </c>
      <c r="EA107" s="153">
        <v>131</v>
      </c>
      <c r="EB107" s="153">
        <v>132</v>
      </c>
      <c r="EC107" s="154">
        <v>156</v>
      </c>
      <c r="ED107" s="154">
        <v>136</v>
      </c>
      <c r="EE107" s="279">
        <v>118</v>
      </c>
      <c r="EF107" s="279">
        <v>64</v>
      </c>
      <c r="EG107" s="155"/>
      <c r="EH107" s="152">
        <v>42</v>
      </c>
      <c r="EI107" s="153">
        <v>33</v>
      </c>
      <c r="EJ107" s="153">
        <v>32</v>
      </c>
      <c r="EK107" s="153">
        <v>7</v>
      </c>
      <c r="EL107" s="154">
        <v>12</v>
      </c>
      <c r="EM107" s="154">
        <v>5</v>
      </c>
      <c r="EN107" s="279">
        <v>5</v>
      </c>
      <c r="EO107" s="279">
        <v>6</v>
      </c>
      <c r="EP107" s="155"/>
      <c r="EQ107" s="152">
        <v>3</v>
      </c>
      <c r="ER107" s="153">
        <v>10</v>
      </c>
      <c r="ES107" s="153">
        <v>6</v>
      </c>
      <c r="ET107" s="153">
        <v>16</v>
      </c>
      <c r="EU107" s="154">
        <v>24</v>
      </c>
      <c r="EV107" s="154">
        <v>12</v>
      </c>
      <c r="EW107" s="279">
        <v>13</v>
      </c>
      <c r="EX107" s="279">
        <v>16</v>
      </c>
      <c r="EY107" s="155"/>
      <c r="EZ107" s="152">
        <v>3</v>
      </c>
      <c r="FA107" s="153">
        <v>5</v>
      </c>
      <c r="FB107" s="153">
        <v>2</v>
      </c>
      <c r="FC107" s="153"/>
      <c r="FD107" s="154">
        <v>4</v>
      </c>
      <c r="FE107" s="154">
        <v>4</v>
      </c>
      <c r="FF107" s="279">
        <v>1</v>
      </c>
      <c r="FG107" s="279">
        <v>3</v>
      </c>
      <c r="FH107" s="155"/>
      <c r="FI107" s="152">
        <v>121</v>
      </c>
      <c r="FJ107" s="153">
        <v>163</v>
      </c>
      <c r="FK107" s="153">
        <v>82</v>
      </c>
      <c r="FL107" s="153">
        <v>48</v>
      </c>
      <c r="FM107" s="154">
        <v>45</v>
      </c>
      <c r="FN107" s="154">
        <v>35</v>
      </c>
      <c r="FO107" s="279">
        <v>58</v>
      </c>
      <c r="FP107" s="279">
        <v>53</v>
      </c>
      <c r="FQ107" s="155"/>
      <c r="FR107" s="152">
        <v>18</v>
      </c>
      <c r="FS107" s="153">
        <v>12</v>
      </c>
      <c r="FT107" s="153">
        <v>21</v>
      </c>
      <c r="FU107" s="153">
        <v>8</v>
      </c>
      <c r="FV107" s="154">
        <v>6</v>
      </c>
      <c r="FW107" s="154">
        <v>1</v>
      </c>
      <c r="FX107" s="279">
        <v>4</v>
      </c>
      <c r="FY107" s="279">
        <v>4</v>
      </c>
      <c r="FZ107" s="155"/>
      <c r="GA107" s="152">
        <v>16</v>
      </c>
      <c r="GB107" s="153">
        <v>19</v>
      </c>
      <c r="GC107" s="153">
        <v>8</v>
      </c>
      <c r="GD107" s="153">
        <v>10</v>
      </c>
      <c r="GE107" s="154">
        <v>5</v>
      </c>
      <c r="GF107" s="154">
        <v>13</v>
      </c>
      <c r="GG107" s="279">
        <v>9</v>
      </c>
      <c r="GH107" s="279">
        <v>6</v>
      </c>
      <c r="GI107" s="155"/>
      <c r="GJ107" s="152">
        <v>1956</v>
      </c>
      <c r="GK107" s="153">
        <v>1938</v>
      </c>
      <c r="GL107" s="153">
        <v>1714</v>
      </c>
      <c r="GM107" s="153">
        <v>1358</v>
      </c>
      <c r="GN107" s="154">
        <v>1129</v>
      </c>
      <c r="GO107" s="154">
        <v>912</v>
      </c>
      <c r="GP107" s="279">
        <v>850</v>
      </c>
      <c r="GQ107" s="279">
        <v>621</v>
      </c>
      <c r="GR107" s="155"/>
      <c r="GS107" s="152">
        <v>656</v>
      </c>
      <c r="GT107" s="153">
        <v>725</v>
      </c>
      <c r="GU107" s="153">
        <v>482</v>
      </c>
      <c r="GV107" s="153">
        <v>364</v>
      </c>
      <c r="GW107" s="154">
        <v>210</v>
      </c>
      <c r="GX107" s="154">
        <v>159</v>
      </c>
      <c r="GY107" s="279">
        <v>133</v>
      </c>
      <c r="GZ107" s="279">
        <v>114</v>
      </c>
      <c r="HA107" s="155"/>
      <c r="HB107" s="152">
        <v>17</v>
      </c>
      <c r="HC107" s="153">
        <v>14</v>
      </c>
      <c r="HD107" s="153">
        <v>11</v>
      </c>
      <c r="HE107" s="153">
        <v>4</v>
      </c>
      <c r="HF107" s="154">
        <v>6</v>
      </c>
      <c r="HG107" s="154">
        <v>5</v>
      </c>
      <c r="HH107" s="279">
        <v>7</v>
      </c>
      <c r="HI107" s="279">
        <v>3</v>
      </c>
      <c r="HJ107" s="155"/>
      <c r="HK107" s="152">
        <v>4</v>
      </c>
      <c r="HL107" s="153">
        <v>3</v>
      </c>
      <c r="HM107" s="153">
        <v>2</v>
      </c>
      <c r="HN107" s="153">
        <v>2</v>
      </c>
      <c r="HO107" s="154">
        <v>7</v>
      </c>
      <c r="HP107" s="154">
        <v>2</v>
      </c>
      <c r="HQ107" s="279">
        <v>1</v>
      </c>
      <c r="HR107" s="279"/>
      <c r="HS107" s="155"/>
      <c r="HT107" s="152">
        <v>845</v>
      </c>
      <c r="HU107" s="153">
        <v>938</v>
      </c>
      <c r="HV107" s="153">
        <v>719</v>
      </c>
      <c r="HW107" s="153">
        <v>531</v>
      </c>
      <c r="HX107" s="154">
        <v>377</v>
      </c>
      <c r="HY107" s="154">
        <v>352</v>
      </c>
      <c r="HZ107" s="279">
        <v>338</v>
      </c>
      <c r="IA107" s="279">
        <v>399</v>
      </c>
      <c r="IB107" s="155"/>
      <c r="IC107" s="152">
        <v>4691</v>
      </c>
      <c r="ID107" s="153">
        <v>4951</v>
      </c>
      <c r="IE107" s="153">
        <v>3339</v>
      </c>
      <c r="IF107" s="153">
        <v>2063</v>
      </c>
      <c r="IG107" s="154">
        <v>2588</v>
      </c>
      <c r="IH107" s="154">
        <v>1786</v>
      </c>
      <c r="II107" s="279">
        <v>1669</v>
      </c>
      <c r="IJ107" s="279">
        <v>1329</v>
      </c>
      <c r="IK107" s="155"/>
    </row>
    <row r="108" spans="1:251" x14ac:dyDescent="0.2">
      <c r="A108" s="961"/>
      <c r="B108" s="151" t="s">
        <v>706</v>
      </c>
      <c r="C108" s="152"/>
      <c r="D108" s="153"/>
      <c r="E108" s="153"/>
      <c r="F108" s="153"/>
      <c r="G108" s="154"/>
      <c r="H108" s="154"/>
      <c r="I108" s="279"/>
      <c r="J108" s="279"/>
      <c r="K108" s="155"/>
      <c r="L108" s="152"/>
      <c r="M108" s="153"/>
      <c r="N108" s="153"/>
      <c r="O108" s="153"/>
      <c r="P108" s="154"/>
      <c r="Q108" s="154"/>
      <c r="R108" s="279"/>
      <c r="S108" s="279"/>
      <c r="T108" s="155"/>
      <c r="U108" s="152"/>
      <c r="V108" s="153"/>
      <c r="W108" s="153"/>
      <c r="X108" s="153"/>
      <c r="Y108" s="154"/>
      <c r="Z108" s="154"/>
      <c r="AA108" s="279"/>
      <c r="AB108" s="279"/>
      <c r="AC108" s="155"/>
      <c r="AD108" s="152">
        <v>54</v>
      </c>
      <c r="AE108" s="153">
        <v>42</v>
      </c>
      <c r="AF108" s="153">
        <v>29</v>
      </c>
      <c r="AG108" s="153">
        <v>44</v>
      </c>
      <c r="AH108" s="154">
        <v>39</v>
      </c>
      <c r="AI108" s="154">
        <v>29</v>
      </c>
      <c r="AJ108" s="279">
        <v>27</v>
      </c>
      <c r="AK108" s="279">
        <v>31</v>
      </c>
      <c r="AL108" s="155"/>
      <c r="AM108" s="152">
        <v>31</v>
      </c>
      <c r="AN108" s="153">
        <v>16</v>
      </c>
      <c r="AO108" s="153">
        <v>12</v>
      </c>
      <c r="AP108" s="153">
        <v>21</v>
      </c>
      <c r="AQ108" s="154">
        <v>26</v>
      </c>
      <c r="AR108" s="154">
        <v>15</v>
      </c>
      <c r="AS108" s="279">
        <v>21</v>
      </c>
      <c r="AT108" s="279">
        <v>14</v>
      </c>
      <c r="AU108" s="155"/>
      <c r="AV108" s="152"/>
      <c r="AW108" s="153"/>
      <c r="AX108" s="153"/>
      <c r="AY108" s="153"/>
      <c r="AZ108" s="154"/>
      <c r="BA108" s="154"/>
      <c r="BB108" s="279"/>
      <c r="BC108" s="279"/>
      <c r="BD108" s="155"/>
      <c r="BE108" s="152">
        <v>14</v>
      </c>
      <c r="BF108" s="153">
        <v>8</v>
      </c>
      <c r="BG108" s="153">
        <v>9</v>
      </c>
      <c r="BH108" s="153"/>
      <c r="BI108" s="154">
        <v>1</v>
      </c>
      <c r="BJ108" s="154">
        <v>1</v>
      </c>
      <c r="BK108" s="279">
        <v>4</v>
      </c>
      <c r="BL108" s="279">
        <v>2</v>
      </c>
      <c r="BM108" s="155"/>
      <c r="BN108" s="152"/>
      <c r="BO108" s="153"/>
      <c r="BP108" s="153"/>
      <c r="BQ108" s="153"/>
      <c r="BR108" s="154"/>
      <c r="BS108" s="154"/>
      <c r="BT108" s="279"/>
      <c r="BU108" s="279"/>
      <c r="BV108" s="155"/>
      <c r="BW108" s="152">
        <v>32</v>
      </c>
      <c r="BX108" s="153">
        <v>48</v>
      </c>
      <c r="BY108" s="153">
        <v>41</v>
      </c>
      <c r="BZ108" s="153">
        <v>40</v>
      </c>
      <c r="CA108" s="154">
        <v>43</v>
      </c>
      <c r="CB108" s="154">
        <v>26</v>
      </c>
      <c r="CC108" s="279">
        <v>26</v>
      </c>
      <c r="CD108" s="279">
        <v>21</v>
      </c>
      <c r="CE108" s="155"/>
      <c r="CF108" s="152">
        <v>3</v>
      </c>
      <c r="CG108" s="153">
        <v>7</v>
      </c>
      <c r="CH108" s="153">
        <v>5</v>
      </c>
      <c r="CI108" s="153">
        <v>3</v>
      </c>
      <c r="CJ108" s="154">
        <v>3</v>
      </c>
      <c r="CK108" s="154">
        <v>4</v>
      </c>
      <c r="CL108" s="279">
        <v>1</v>
      </c>
      <c r="CM108" s="279">
        <v>1</v>
      </c>
      <c r="CN108" s="155"/>
      <c r="CO108" s="152">
        <v>7</v>
      </c>
      <c r="CP108" s="153">
        <v>3</v>
      </c>
      <c r="CQ108" s="153">
        <v>5</v>
      </c>
      <c r="CR108" s="153"/>
      <c r="CS108" s="154">
        <v>5</v>
      </c>
      <c r="CT108" s="154">
        <v>1</v>
      </c>
      <c r="CU108" s="279"/>
      <c r="CV108" s="279">
        <v>3</v>
      </c>
      <c r="CW108" s="155"/>
      <c r="CX108" s="152">
        <v>419</v>
      </c>
      <c r="CY108" s="153">
        <v>438</v>
      </c>
      <c r="CZ108" s="153">
        <v>371</v>
      </c>
      <c r="DA108" s="153">
        <v>357</v>
      </c>
      <c r="DB108" s="154">
        <v>282</v>
      </c>
      <c r="DC108" s="154">
        <v>177</v>
      </c>
      <c r="DD108" s="279">
        <v>162</v>
      </c>
      <c r="DE108" s="279">
        <v>111</v>
      </c>
      <c r="DF108" s="155"/>
      <c r="DG108" s="152">
        <v>5</v>
      </c>
      <c r="DH108" s="153">
        <v>8</v>
      </c>
      <c r="DI108" s="153">
        <v>5</v>
      </c>
      <c r="DJ108" s="153">
        <v>3</v>
      </c>
      <c r="DK108" s="154">
        <v>2</v>
      </c>
      <c r="DL108" s="154"/>
      <c r="DM108" s="279"/>
      <c r="DN108" s="279"/>
      <c r="DO108" s="155"/>
      <c r="DP108" s="152">
        <v>9</v>
      </c>
      <c r="DQ108" s="153">
        <v>40</v>
      </c>
      <c r="DR108" s="153">
        <v>7</v>
      </c>
      <c r="DS108" s="153">
        <v>9</v>
      </c>
      <c r="DT108" s="154">
        <v>5</v>
      </c>
      <c r="DU108" s="154">
        <v>2</v>
      </c>
      <c r="DV108" s="279">
        <v>1</v>
      </c>
      <c r="DW108" s="279">
        <v>3</v>
      </c>
      <c r="DX108" s="155"/>
      <c r="DY108" s="152">
        <v>55</v>
      </c>
      <c r="DZ108" s="153">
        <v>69</v>
      </c>
      <c r="EA108" s="153">
        <v>37</v>
      </c>
      <c r="EB108" s="153">
        <v>41</v>
      </c>
      <c r="EC108" s="154">
        <v>67</v>
      </c>
      <c r="ED108" s="154">
        <v>41</v>
      </c>
      <c r="EE108" s="279">
        <v>33</v>
      </c>
      <c r="EF108" s="279">
        <v>19</v>
      </c>
      <c r="EG108" s="155"/>
      <c r="EH108" s="152">
        <v>5</v>
      </c>
      <c r="EI108" s="153">
        <v>7</v>
      </c>
      <c r="EJ108" s="153">
        <v>6</v>
      </c>
      <c r="EK108" s="153">
        <v>3</v>
      </c>
      <c r="EL108" s="154">
        <v>2</v>
      </c>
      <c r="EM108" s="154">
        <v>1</v>
      </c>
      <c r="EN108" s="279">
        <v>2</v>
      </c>
      <c r="EO108" s="279">
        <v>3</v>
      </c>
      <c r="EP108" s="155"/>
      <c r="EQ108" s="152"/>
      <c r="ER108" s="153"/>
      <c r="ES108" s="153"/>
      <c r="ET108" s="153">
        <v>1</v>
      </c>
      <c r="EU108" s="154">
        <v>1</v>
      </c>
      <c r="EV108" s="154"/>
      <c r="EW108" s="279">
        <v>7</v>
      </c>
      <c r="EX108" s="279">
        <v>2</v>
      </c>
      <c r="EY108" s="155"/>
      <c r="EZ108" s="152">
        <v>7</v>
      </c>
      <c r="FA108" s="153">
        <v>5</v>
      </c>
      <c r="FB108" s="153">
        <v>3</v>
      </c>
      <c r="FC108" s="153"/>
      <c r="FD108" s="154">
        <v>4</v>
      </c>
      <c r="FE108" s="154">
        <v>1</v>
      </c>
      <c r="FF108" s="279"/>
      <c r="FG108" s="279">
        <v>3</v>
      </c>
      <c r="FH108" s="155"/>
      <c r="FI108" s="152">
        <v>51</v>
      </c>
      <c r="FJ108" s="153">
        <v>40</v>
      </c>
      <c r="FK108" s="153">
        <v>26</v>
      </c>
      <c r="FL108" s="153">
        <v>15</v>
      </c>
      <c r="FM108" s="154">
        <v>22</v>
      </c>
      <c r="FN108" s="154">
        <v>26</v>
      </c>
      <c r="FO108" s="279">
        <v>16</v>
      </c>
      <c r="FP108" s="279">
        <v>30</v>
      </c>
      <c r="FQ108" s="155"/>
      <c r="FR108" s="152">
        <v>4</v>
      </c>
      <c r="FS108" s="153"/>
      <c r="FT108" s="153">
        <v>3</v>
      </c>
      <c r="FU108" s="153">
        <v>2</v>
      </c>
      <c r="FV108" s="154">
        <v>2</v>
      </c>
      <c r="FW108" s="154"/>
      <c r="FX108" s="279">
        <v>2</v>
      </c>
      <c r="FY108" s="279"/>
      <c r="FZ108" s="155"/>
      <c r="GA108" s="152">
        <v>9</v>
      </c>
      <c r="GB108" s="153">
        <v>4</v>
      </c>
      <c r="GC108" s="153">
        <v>4</v>
      </c>
      <c r="GD108" s="153">
        <v>5</v>
      </c>
      <c r="GE108" s="154">
        <v>3</v>
      </c>
      <c r="GF108" s="154">
        <v>2</v>
      </c>
      <c r="GG108" s="279">
        <v>5</v>
      </c>
      <c r="GH108" s="279">
        <v>9</v>
      </c>
      <c r="GI108" s="155"/>
      <c r="GJ108" s="152">
        <v>605</v>
      </c>
      <c r="GK108" s="153">
        <v>602</v>
      </c>
      <c r="GL108" s="153">
        <v>502</v>
      </c>
      <c r="GM108" s="153">
        <v>470</v>
      </c>
      <c r="GN108" s="154">
        <v>407</v>
      </c>
      <c r="GO108" s="154">
        <v>268</v>
      </c>
      <c r="GP108" s="279">
        <v>252</v>
      </c>
      <c r="GQ108" s="279">
        <v>216</v>
      </c>
      <c r="GR108" s="155"/>
      <c r="GS108" s="152">
        <v>158</v>
      </c>
      <c r="GT108" s="153">
        <v>171</v>
      </c>
      <c r="GU108" s="153">
        <v>131</v>
      </c>
      <c r="GV108" s="153">
        <v>118</v>
      </c>
      <c r="GW108" s="154">
        <v>73</v>
      </c>
      <c r="GX108" s="154">
        <v>49</v>
      </c>
      <c r="GY108" s="279">
        <v>49</v>
      </c>
      <c r="GZ108" s="279">
        <v>63</v>
      </c>
      <c r="HA108" s="155"/>
      <c r="HB108" s="152"/>
      <c r="HC108" s="153">
        <v>1</v>
      </c>
      <c r="HD108" s="153"/>
      <c r="HE108" s="153"/>
      <c r="HF108" s="154"/>
      <c r="HG108" s="154"/>
      <c r="HH108" s="279"/>
      <c r="HI108" s="279"/>
      <c r="HJ108" s="155"/>
      <c r="HK108" s="152"/>
      <c r="HL108" s="153">
        <v>1</v>
      </c>
      <c r="HM108" s="153"/>
      <c r="HN108" s="153"/>
      <c r="HO108" s="154"/>
      <c r="HP108" s="154"/>
      <c r="HQ108" s="279"/>
      <c r="HR108" s="279"/>
      <c r="HS108" s="155"/>
      <c r="HT108" s="152">
        <v>258</v>
      </c>
      <c r="HU108" s="153">
        <v>227</v>
      </c>
      <c r="HV108" s="153">
        <v>184</v>
      </c>
      <c r="HW108" s="153">
        <v>195</v>
      </c>
      <c r="HX108" s="154">
        <v>141</v>
      </c>
      <c r="HY108" s="154">
        <v>146</v>
      </c>
      <c r="HZ108" s="279">
        <v>130</v>
      </c>
      <c r="IA108" s="279">
        <v>191</v>
      </c>
      <c r="IB108" s="155"/>
      <c r="IC108" s="152">
        <v>1257</v>
      </c>
      <c r="ID108" s="153">
        <v>1031</v>
      </c>
      <c r="IE108" s="153">
        <v>1091</v>
      </c>
      <c r="IF108" s="153">
        <v>739</v>
      </c>
      <c r="IG108" s="154">
        <v>688</v>
      </c>
      <c r="IH108" s="154">
        <v>544</v>
      </c>
      <c r="II108" s="279">
        <v>465</v>
      </c>
      <c r="IJ108" s="279">
        <v>569</v>
      </c>
      <c r="IK108" s="155"/>
    </row>
    <row r="109" spans="1:251" x14ac:dyDescent="0.2">
      <c r="A109" s="961"/>
      <c r="B109" s="151" t="s">
        <v>707</v>
      </c>
      <c r="C109" s="152"/>
      <c r="D109" s="153"/>
      <c r="E109" s="153"/>
      <c r="F109" s="153"/>
      <c r="G109" s="154"/>
      <c r="H109" s="154"/>
      <c r="I109" s="279"/>
      <c r="J109" s="279"/>
      <c r="K109" s="155"/>
      <c r="L109" s="152"/>
      <c r="M109" s="153"/>
      <c r="N109" s="153"/>
      <c r="O109" s="153"/>
      <c r="P109" s="154"/>
      <c r="Q109" s="154"/>
      <c r="R109" s="279"/>
      <c r="S109" s="279"/>
      <c r="T109" s="155"/>
      <c r="U109" s="152"/>
      <c r="V109" s="153"/>
      <c r="W109" s="153"/>
      <c r="X109" s="153"/>
      <c r="Y109" s="154"/>
      <c r="Z109" s="154"/>
      <c r="AA109" s="279"/>
      <c r="AB109" s="279"/>
      <c r="AC109" s="155"/>
      <c r="AD109" s="152">
        <v>46</v>
      </c>
      <c r="AE109" s="153">
        <v>38</v>
      </c>
      <c r="AF109" s="153">
        <v>61</v>
      </c>
      <c r="AG109" s="153">
        <v>51</v>
      </c>
      <c r="AH109" s="154">
        <v>84</v>
      </c>
      <c r="AI109" s="154">
        <v>69</v>
      </c>
      <c r="AJ109" s="279">
        <v>59</v>
      </c>
      <c r="AK109" s="279">
        <v>61</v>
      </c>
      <c r="AL109" s="155"/>
      <c r="AM109" s="152">
        <v>29</v>
      </c>
      <c r="AN109" s="153">
        <v>25</v>
      </c>
      <c r="AO109" s="153">
        <v>33</v>
      </c>
      <c r="AP109" s="153">
        <v>29</v>
      </c>
      <c r="AQ109" s="154">
        <v>38</v>
      </c>
      <c r="AR109" s="154">
        <v>31</v>
      </c>
      <c r="AS109" s="279">
        <v>27</v>
      </c>
      <c r="AT109" s="279">
        <v>20</v>
      </c>
      <c r="AU109" s="155"/>
      <c r="AV109" s="152"/>
      <c r="AW109" s="153"/>
      <c r="AX109" s="153"/>
      <c r="AY109" s="153"/>
      <c r="AZ109" s="154"/>
      <c r="BA109" s="154"/>
      <c r="BB109" s="279"/>
      <c r="BC109" s="279"/>
      <c r="BD109" s="155"/>
      <c r="BE109" s="152">
        <v>29</v>
      </c>
      <c r="BF109" s="153">
        <v>15</v>
      </c>
      <c r="BG109" s="153">
        <v>7</v>
      </c>
      <c r="BH109" s="153">
        <v>4</v>
      </c>
      <c r="BI109" s="154">
        <v>4</v>
      </c>
      <c r="BJ109" s="154"/>
      <c r="BK109" s="279"/>
      <c r="BL109" s="279">
        <v>3</v>
      </c>
      <c r="BM109" s="155"/>
      <c r="BN109" s="152"/>
      <c r="BO109" s="153"/>
      <c r="BP109" s="153"/>
      <c r="BQ109" s="153"/>
      <c r="BR109" s="154"/>
      <c r="BS109" s="154"/>
      <c r="BT109" s="279"/>
      <c r="BU109" s="279"/>
      <c r="BV109" s="155"/>
      <c r="BW109" s="152">
        <v>18</v>
      </c>
      <c r="BX109" s="153">
        <v>20</v>
      </c>
      <c r="BY109" s="153">
        <v>23</v>
      </c>
      <c r="BZ109" s="153">
        <v>38</v>
      </c>
      <c r="CA109" s="154">
        <v>36</v>
      </c>
      <c r="CB109" s="154">
        <v>31</v>
      </c>
      <c r="CC109" s="279">
        <v>31</v>
      </c>
      <c r="CD109" s="279">
        <v>19</v>
      </c>
      <c r="CE109" s="155"/>
      <c r="CF109" s="152">
        <v>8</v>
      </c>
      <c r="CG109" s="153">
        <v>2</v>
      </c>
      <c r="CH109" s="153">
        <v>3</v>
      </c>
      <c r="CI109" s="153">
        <v>1</v>
      </c>
      <c r="CJ109" s="154">
        <v>2</v>
      </c>
      <c r="CK109" s="154">
        <v>1</v>
      </c>
      <c r="CL109" s="279">
        <v>2</v>
      </c>
      <c r="CM109" s="279"/>
      <c r="CN109" s="155"/>
      <c r="CO109" s="152">
        <v>1</v>
      </c>
      <c r="CP109" s="153">
        <v>3</v>
      </c>
      <c r="CQ109" s="153">
        <v>1</v>
      </c>
      <c r="CR109" s="153">
        <v>2</v>
      </c>
      <c r="CS109" s="154">
        <v>5</v>
      </c>
      <c r="CT109" s="154">
        <v>1</v>
      </c>
      <c r="CU109" s="279">
        <v>6</v>
      </c>
      <c r="CV109" s="279">
        <v>2</v>
      </c>
      <c r="CW109" s="155"/>
      <c r="CX109" s="152">
        <v>772</v>
      </c>
      <c r="CY109" s="153">
        <v>642</v>
      </c>
      <c r="CZ109" s="153">
        <v>686</v>
      </c>
      <c r="DA109" s="153">
        <v>384</v>
      </c>
      <c r="DB109" s="154">
        <v>367</v>
      </c>
      <c r="DC109" s="154">
        <v>290</v>
      </c>
      <c r="DD109" s="279">
        <v>239</v>
      </c>
      <c r="DE109" s="279">
        <v>169</v>
      </c>
      <c r="DF109" s="155"/>
      <c r="DG109" s="152">
        <v>9</v>
      </c>
      <c r="DH109" s="153">
        <v>3</v>
      </c>
      <c r="DI109" s="153">
        <v>3</v>
      </c>
      <c r="DJ109" s="153">
        <v>3</v>
      </c>
      <c r="DK109" s="154">
        <v>6</v>
      </c>
      <c r="DL109" s="154"/>
      <c r="DM109" s="279"/>
      <c r="DN109" s="279"/>
      <c r="DO109" s="155"/>
      <c r="DP109" s="152">
        <v>40</v>
      </c>
      <c r="DQ109" s="153">
        <v>43</v>
      </c>
      <c r="DR109" s="153">
        <v>36</v>
      </c>
      <c r="DS109" s="153">
        <v>7</v>
      </c>
      <c r="DT109" s="154">
        <v>6</v>
      </c>
      <c r="DU109" s="154">
        <v>13</v>
      </c>
      <c r="DV109" s="279">
        <v>6</v>
      </c>
      <c r="DW109" s="279">
        <v>3</v>
      </c>
      <c r="DX109" s="155"/>
      <c r="DY109" s="152">
        <v>62</v>
      </c>
      <c r="DZ109" s="153">
        <v>38</v>
      </c>
      <c r="EA109" s="153">
        <v>38</v>
      </c>
      <c r="EB109" s="153">
        <v>20</v>
      </c>
      <c r="EC109" s="154">
        <v>62</v>
      </c>
      <c r="ED109" s="154">
        <v>24</v>
      </c>
      <c r="EE109" s="279">
        <v>26</v>
      </c>
      <c r="EF109" s="279">
        <v>14</v>
      </c>
      <c r="EG109" s="155"/>
      <c r="EH109" s="152">
        <v>8</v>
      </c>
      <c r="EI109" s="153">
        <v>1</v>
      </c>
      <c r="EJ109" s="153">
        <v>7</v>
      </c>
      <c r="EK109" s="153">
        <v>4</v>
      </c>
      <c r="EL109" s="154">
        <v>4</v>
      </c>
      <c r="EM109" s="154">
        <v>2</v>
      </c>
      <c r="EN109" s="279"/>
      <c r="EO109" s="279">
        <v>1</v>
      </c>
      <c r="EP109" s="155"/>
      <c r="EQ109" s="152"/>
      <c r="ER109" s="153">
        <v>4</v>
      </c>
      <c r="ES109" s="153">
        <v>4</v>
      </c>
      <c r="ET109" s="153">
        <v>5</v>
      </c>
      <c r="EU109" s="154">
        <v>1</v>
      </c>
      <c r="EV109" s="154">
        <v>3</v>
      </c>
      <c r="EW109" s="279"/>
      <c r="EX109" s="279"/>
      <c r="EY109" s="155"/>
      <c r="EZ109" s="152">
        <v>4</v>
      </c>
      <c r="FA109" s="153">
        <v>2</v>
      </c>
      <c r="FB109" s="153"/>
      <c r="FC109" s="153"/>
      <c r="FD109" s="154">
        <v>1</v>
      </c>
      <c r="FE109" s="154">
        <v>1</v>
      </c>
      <c r="FF109" s="279"/>
      <c r="FG109" s="279">
        <v>1</v>
      </c>
      <c r="FH109" s="155"/>
      <c r="FI109" s="152">
        <v>49</v>
      </c>
      <c r="FJ109" s="153">
        <v>43</v>
      </c>
      <c r="FK109" s="153">
        <v>55</v>
      </c>
      <c r="FL109" s="153">
        <v>22</v>
      </c>
      <c r="FM109" s="154">
        <v>19</v>
      </c>
      <c r="FN109" s="154">
        <v>11</v>
      </c>
      <c r="FO109" s="279">
        <v>18</v>
      </c>
      <c r="FP109" s="279">
        <v>13</v>
      </c>
      <c r="FQ109" s="155"/>
      <c r="FR109" s="152">
        <v>7</v>
      </c>
      <c r="FS109" s="153">
        <v>6</v>
      </c>
      <c r="FT109" s="153">
        <v>4</v>
      </c>
      <c r="FU109" s="153">
        <v>3</v>
      </c>
      <c r="FV109" s="154">
        <v>5</v>
      </c>
      <c r="FW109" s="154"/>
      <c r="FX109" s="279">
        <v>1</v>
      </c>
      <c r="FY109" s="279"/>
      <c r="FZ109" s="155"/>
      <c r="GA109" s="152">
        <v>9</v>
      </c>
      <c r="GB109" s="153">
        <v>8</v>
      </c>
      <c r="GC109" s="153">
        <v>7</v>
      </c>
      <c r="GD109" s="153">
        <v>2</v>
      </c>
      <c r="GE109" s="154">
        <v>8</v>
      </c>
      <c r="GF109" s="154">
        <v>8</v>
      </c>
      <c r="GG109" s="279">
        <v>11</v>
      </c>
      <c r="GH109" s="279">
        <v>3</v>
      </c>
      <c r="GI109" s="155"/>
      <c r="GJ109" s="152">
        <v>951</v>
      </c>
      <c r="GK109" s="153">
        <v>784</v>
      </c>
      <c r="GL109" s="153">
        <v>858</v>
      </c>
      <c r="GM109" s="153">
        <v>516</v>
      </c>
      <c r="GN109" s="154">
        <v>536</v>
      </c>
      <c r="GO109" s="154">
        <v>417</v>
      </c>
      <c r="GP109" s="279">
        <v>367</v>
      </c>
      <c r="GQ109" s="279">
        <v>272</v>
      </c>
      <c r="GR109" s="155"/>
      <c r="GS109" s="152">
        <v>282</v>
      </c>
      <c r="GT109" s="153">
        <v>230</v>
      </c>
      <c r="GU109" s="153">
        <v>234</v>
      </c>
      <c r="GV109" s="153">
        <v>146</v>
      </c>
      <c r="GW109" s="154">
        <v>57</v>
      </c>
      <c r="GX109" s="154">
        <v>40</v>
      </c>
      <c r="GY109" s="279">
        <v>73</v>
      </c>
      <c r="GZ109" s="279">
        <v>60</v>
      </c>
      <c r="HA109" s="155"/>
      <c r="HB109" s="152">
        <v>3</v>
      </c>
      <c r="HC109" s="153">
        <v>7</v>
      </c>
      <c r="HD109" s="153">
        <v>5</v>
      </c>
      <c r="HE109" s="153">
        <v>1</v>
      </c>
      <c r="HF109" s="154">
        <v>5</v>
      </c>
      <c r="HG109" s="154">
        <v>2</v>
      </c>
      <c r="HH109" s="279">
        <v>2</v>
      </c>
      <c r="HI109" s="279">
        <v>1</v>
      </c>
      <c r="HJ109" s="155"/>
      <c r="HK109" s="152">
        <v>2</v>
      </c>
      <c r="HL109" s="153">
        <v>4</v>
      </c>
      <c r="HM109" s="153">
        <v>1</v>
      </c>
      <c r="HN109" s="153">
        <v>1</v>
      </c>
      <c r="HO109" s="154">
        <v>3</v>
      </c>
      <c r="HP109" s="154">
        <v>5</v>
      </c>
      <c r="HQ109" s="279">
        <v>2</v>
      </c>
      <c r="HR109" s="279">
        <v>1</v>
      </c>
      <c r="HS109" s="155"/>
      <c r="HT109" s="152">
        <v>381</v>
      </c>
      <c r="HU109" s="153">
        <v>342</v>
      </c>
      <c r="HV109" s="153">
        <v>349</v>
      </c>
      <c r="HW109" s="153">
        <v>265</v>
      </c>
      <c r="HX109" s="154">
        <v>192</v>
      </c>
      <c r="HY109" s="154">
        <v>154</v>
      </c>
      <c r="HZ109" s="279">
        <v>208</v>
      </c>
      <c r="IA109" s="279">
        <v>226</v>
      </c>
      <c r="IB109" s="155"/>
      <c r="IC109" s="152">
        <v>1854</v>
      </c>
      <c r="ID109" s="153">
        <v>1731</v>
      </c>
      <c r="IE109" s="153">
        <v>1652</v>
      </c>
      <c r="IF109" s="153">
        <v>944</v>
      </c>
      <c r="IG109" s="154">
        <v>959</v>
      </c>
      <c r="IH109" s="154">
        <v>955</v>
      </c>
      <c r="II109" s="279">
        <v>869</v>
      </c>
      <c r="IJ109" s="279">
        <v>590</v>
      </c>
      <c r="IK109" s="155"/>
    </row>
    <row r="110" spans="1:251" x14ac:dyDescent="0.2">
      <c r="A110" s="961"/>
      <c r="B110" s="151" t="s">
        <v>708</v>
      </c>
      <c r="C110" s="152"/>
      <c r="D110" s="153"/>
      <c r="E110" s="153"/>
      <c r="F110" s="153"/>
      <c r="G110" s="154"/>
      <c r="H110" s="154"/>
      <c r="I110" s="279"/>
      <c r="J110" s="279"/>
      <c r="K110" s="155"/>
      <c r="L110" s="152"/>
      <c r="M110" s="153"/>
      <c r="N110" s="153"/>
      <c r="O110" s="153"/>
      <c r="P110" s="154"/>
      <c r="Q110" s="154"/>
      <c r="R110" s="279"/>
      <c r="S110" s="279"/>
      <c r="T110" s="155"/>
      <c r="U110" s="152"/>
      <c r="V110" s="153"/>
      <c r="W110" s="153"/>
      <c r="X110" s="153"/>
      <c r="Y110" s="154"/>
      <c r="Z110" s="154"/>
      <c r="AA110" s="279"/>
      <c r="AB110" s="279"/>
      <c r="AC110" s="155"/>
      <c r="AD110" s="152">
        <v>27</v>
      </c>
      <c r="AE110" s="153">
        <v>32</v>
      </c>
      <c r="AF110" s="153">
        <v>19</v>
      </c>
      <c r="AG110" s="153">
        <v>33</v>
      </c>
      <c r="AH110" s="154">
        <v>36</v>
      </c>
      <c r="AI110" s="154">
        <v>26</v>
      </c>
      <c r="AJ110" s="279">
        <v>20</v>
      </c>
      <c r="AK110" s="279">
        <v>20</v>
      </c>
      <c r="AL110" s="155"/>
      <c r="AM110" s="152">
        <v>15</v>
      </c>
      <c r="AN110" s="153">
        <v>19</v>
      </c>
      <c r="AO110" s="153">
        <v>8</v>
      </c>
      <c r="AP110" s="153">
        <v>17</v>
      </c>
      <c r="AQ110" s="154">
        <v>14</v>
      </c>
      <c r="AR110" s="154">
        <v>13</v>
      </c>
      <c r="AS110" s="279">
        <v>11</v>
      </c>
      <c r="AT110" s="279">
        <v>17</v>
      </c>
      <c r="AU110" s="155"/>
      <c r="AV110" s="152"/>
      <c r="AW110" s="153"/>
      <c r="AX110" s="153"/>
      <c r="AY110" s="153"/>
      <c r="AZ110" s="154"/>
      <c r="BA110" s="154"/>
      <c r="BB110" s="279"/>
      <c r="BC110" s="279"/>
      <c r="BD110" s="155"/>
      <c r="BE110" s="152"/>
      <c r="BF110" s="153">
        <v>8</v>
      </c>
      <c r="BG110" s="153">
        <v>2</v>
      </c>
      <c r="BH110" s="153">
        <v>2</v>
      </c>
      <c r="BI110" s="154">
        <v>5</v>
      </c>
      <c r="BJ110" s="154"/>
      <c r="BK110" s="279"/>
      <c r="BL110" s="279">
        <v>1</v>
      </c>
      <c r="BM110" s="155"/>
      <c r="BN110" s="152"/>
      <c r="BO110" s="153"/>
      <c r="BP110" s="153"/>
      <c r="BQ110" s="153"/>
      <c r="BR110" s="154"/>
      <c r="BS110" s="154"/>
      <c r="BT110" s="279"/>
      <c r="BU110" s="279"/>
      <c r="BV110" s="155"/>
      <c r="BW110" s="152">
        <v>17</v>
      </c>
      <c r="BX110" s="153">
        <v>31</v>
      </c>
      <c r="BY110" s="153">
        <v>29</v>
      </c>
      <c r="BZ110" s="153">
        <v>31</v>
      </c>
      <c r="CA110" s="154">
        <v>30</v>
      </c>
      <c r="CB110" s="154">
        <v>13</v>
      </c>
      <c r="CC110" s="279">
        <v>13</v>
      </c>
      <c r="CD110" s="279">
        <v>7</v>
      </c>
      <c r="CE110" s="155"/>
      <c r="CF110" s="152">
        <v>3</v>
      </c>
      <c r="CG110" s="153">
        <v>3</v>
      </c>
      <c r="CH110" s="153">
        <v>4</v>
      </c>
      <c r="CI110" s="153">
        <v>2</v>
      </c>
      <c r="CJ110" s="154"/>
      <c r="CK110" s="154"/>
      <c r="CL110" s="279">
        <v>1</v>
      </c>
      <c r="CM110" s="279">
        <v>1</v>
      </c>
      <c r="CN110" s="155"/>
      <c r="CO110" s="152">
        <v>2</v>
      </c>
      <c r="CP110" s="153"/>
      <c r="CQ110" s="153"/>
      <c r="CR110" s="153"/>
      <c r="CS110" s="154"/>
      <c r="CT110" s="154">
        <v>1</v>
      </c>
      <c r="CU110" s="279">
        <v>5</v>
      </c>
      <c r="CV110" s="279">
        <v>3</v>
      </c>
      <c r="CW110" s="155"/>
      <c r="CX110" s="152">
        <v>430</v>
      </c>
      <c r="CY110" s="153">
        <v>375</v>
      </c>
      <c r="CZ110" s="153">
        <v>461</v>
      </c>
      <c r="DA110" s="153">
        <v>401</v>
      </c>
      <c r="DB110" s="154">
        <v>262</v>
      </c>
      <c r="DC110" s="154">
        <v>158</v>
      </c>
      <c r="DD110" s="279">
        <v>132</v>
      </c>
      <c r="DE110" s="279">
        <v>130</v>
      </c>
      <c r="DF110" s="155"/>
      <c r="DG110" s="152">
        <v>4</v>
      </c>
      <c r="DH110" s="153">
        <v>1</v>
      </c>
      <c r="DI110" s="153"/>
      <c r="DJ110" s="153">
        <v>1</v>
      </c>
      <c r="DK110" s="154"/>
      <c r="DL110" s="154">
        <v>1</v>
      </c>
      <c r="DM110" s="279">
        <v>1</v>
      </c>
      <c r="DN110" s="279"/>
      <c r="DO110" s="155"/>
      <c r="DP110" s="152">
        <v>13</v>
      </c>
      <c r="DQ110" s="153">
        <v>13</v>
      </c>
      <c r="DR110" s="153">
        <v>9</v>
      </c>
      <c r="DS110" s="153">
        <v>3</v>
      </c>
      <c r="DT110" s="154">
        <v>8</v>
      </c>
      <c r="DU110" s="154">
        <v>3</v>
      </c>
      <c r="DV110" s="279">
        <v>4</v>
      </c>
      <c r="DW110" s="279">
        <v>4</v>
      </c>
      <c r="DX110" s="155"/>
      <c r="DY110" s="152">
        <v>36</v>
      </c>
      <c r="DZ110" s="153">
        <v>17</v>
      </c>
      <c r="EA110" s="153">
        <v>24</v>
      </c>
      <c r="EB110" s="153">
        <v>47</v>
      </c>
      <c r="EC110" s="154">
        <v>60</v>
      </c>
      <c r="ED110" s="154">
        <v>16</v>
      </c>
      <c r="EE110" s="279">
        <v>19</v>
      </c>
      <c r="EF110" s="279">
        <v>31</v>
      </c>
      <c r="EG110" s="155"/>
      <c r="EH110" s="152">
        <v>11</v>
      </c>
      <c r="EI110" s="153">
        <v>6</v>
      </c>
      <c r="EJ110" s="153">
        <v>7</v>
      </c>
      <c r="EK110" s="153">
        <v>5</v>
      </c>
      <c r="EL110" s="154">
        <v>4</v>
      </c>
      <c r="EM110" s="154"/>
      <c r="EN110" s="279"/>
      <c r="EO110" s="279"/>
      <c r="EP110" s="155"/>
      <c r="EQ110" s="152">
        <v>1</v>
      </c>
      <c r="ER110" s="153"/>
      <c r="ES110" s="153"/>
      <c r="ET110" s="153">
        <v>2</v>
      </c>
      <c r="EU110" s="154">
        <v>3</v>
      </c>
      <c r="EV110" s="154">
        <v>7</v>
      </c>
      <c r="EW110" s="279"/>
      <c r="EX110" s="279"/>
      <c r="EY110" s="155"/>
      <c r="EZ110" s="152"/>
      <c r="FA110" s="153">
        <v>2</v>
      </c>
      <c r="FB110" s="153">
        <v>1</v>
      </c>
      <c r="FC110" s="153">
        <v>5</v>
      </c>
      <c r="FD110" s="154"/>
      <c r="FE110" s="154">
        <v>1</v>
      </c>
      <c r="FF110" s="279"/>
      <c r="FG110" s="279"/>
      <c r="FH110" s="155"/>
      <c r="FI110" s="152">
        <v>49</v>
      </c>
      <c r="FJ110" s="153">
        <v>36</v>
      </c>
      <c r="FK110" s="153">
        <v>35</v>
      </c>
      <c r="FL110" s="153">
        <v>24</v>
      </c>
      <c r="FM110" s="154">
        <v>20</v>
      </c>
      <c r="FN110" s="154">
        <v>7</v>
      </c>
      <c r="FO110" s="279">
        <v>15</v>
      </c>
      <c r="FP110" s="279">
        <v>13</v>
      </c>
      <c r="FQ110" s="155"/>
      <c r="FR110" s="152">
        <v>1</v>
      </c>
      <c r="FS110" s="153">
        <v>9</v>
      </c>
      <c r="FT110" s="153">
        <v>1</v>
      </c>
      <c r="FU110" s="153">
        <v>2</v>
      </c>
      <c r="FV110" s="154">
        <v>1</v>
      </c>
      <c r="FW110" s="154"/>
      <c r="FX110" s="279">
        <v>1</v>
      </c>
      <c r="FY110" s="279"/>
      <c r="FZ110" s="155"/>
      <c r="GA110" s="152">
        <v>4</v>
      </c>
      <c r="GB110" s="153">
        <v>4</v>
      </c>
      <c r="GC110" s="153">
        <v>3</v>
      </c>
      <c r="GD110" s="153">
        <v>6</v>
      </c>
      <c r="GE110" s="154"/>
      <c r="GF110" s="154">
        <v>5</v>
      </c>
      <c r="GG110" s="279">
        <v>6</v>
      </c>
      <c r="GH110" s="279">
        <v>8</v>
      </c>
      <c r="GI110" s="155"/>
      <c r="GJ110" s="152">
        <v>545</v>
      </c>
      <c r="GK110" s="153">
        <v>506</v>
      </c>
      <c r="GL110" s="153">
        <v>562</v>
      </c>
      <c r="GM110" s="153">
        <v>513</v>
      </c>
      <c r="GN110" s="154">
        <v>361</v>
      </c>
      <c r="GO110" s="154">
        <v>218</v>
      </c>
      <c r="GP110" s="279">
        <v>193</v>
      </c>
      <c r="GQ110" s="279">
        <v>183</v>
      </c>
      <c r="GR110" s="155"/>
      <c r="GS110" s="152">
        <v>132</v>
      </c>
      <c r="GT110" s="153">
        <v>130</v>
      </c>
      <c r="GU110" s="153">
        <v>114</v>
      </c>
      <c r="GV110" s="153">
        <v>119</v>
      </c>
      <c r="GW110" s="154">
        <v>58</v>
      </c>
      <c r="GX110" s="154">
        <v>52</v>
      </c>
      <c r="GY110" s="279">
        <v>53</v>
      </c>
      <c r="GZ110" s="279">
        <v>43</v>
      </c>
      <c r="HA110" s="155"/>
      <c r="HB110" s="152"/>
      <c r="HC110" s="153"/>
      <c r="HD110" s="153"/>
      <c r="HE110" s="153"/>
      <c r="HF110" s="154"/>
      <c r="HG110" s="154"/>
      <c r="HH110" s="279"/>
      <c r="HI110" s="279"/>
      <c r="HJ110" s="155"/>
      <c r="HK110" s="152"/>
      <c r="HL110" s="153"/>
      <c r="HM110" s="153"/>
      <c r="HN110" s="153"/>
      <c r="HO110" s="154"/>
      <c r="HP110" s="154"/>
      <c r="HQ110" s="279"/>
      <c r="HR110" s="279"/>
      <c r="HS110" s="155"/>
      <c r="HT110" s="152">
        <v>177</v>
      </c>
      <c r="HU110" s="153">
        <v>154</v>
      </c>
      <c r="HV110" s="153">
        <v>163</v>
      </c>
      <c r="HW110" s="153">
        <v>159</v>
      </c>
      <c r="HX110" s="154">
        <v>102</v>
      </c>
      <c r="HY110" s="154">
        <v>148</v>
      </c>
      <c r="HZ110" s="279">
        <v>131</v>
      </c>
      <c r="IA110" s="279">
        <v>142</v>
      </c>
      <c r="IB110" s="155"/>
      <c r="IC110" s="152">
        <v>998</v>
      </c>
      <c r="ID110" s="153">
        <v>846</v>
      </c>
      <c r="IE110" s="153">
        <v>847</v>
      </c>
      <c r="IF110" s="153">
        <v>656</v>
      </c>
      <c r="IG110" s="154">
        <v>557</v>
      </c>
      <c r="IH110" s="154">
        <v>422</v>
      </c>
      <c r="II110" s="279">
        <v>377</v>
      </c>
      <c r="IJ110" s="279">
        <v>346</v>
      </c>
      <c r="IK110" s="155"/>
    </row>
    <row r="111" spans="1:251" x14ac:dyDescent="0.2">
      <c r="A111" s="961"/>
      <c r="B111" s="151" t="s">
        <v>709</v>
      </c>
      <c r="C111" s="152"/>
      <c r="D111" s="153"/>
      <c r="E111" s="153"/>
      <c r="F111" s="153"/>
      <c r="G111" s="154"/>
      <c r="H111" s="154"/>
      <c r="I111" s="279">
        <v>1</v>
      </c>
      <c r="J111" s="279"/>
      <c r="K111" s="155"/>
      <c r="L111" s="152"/>
      <c r="M111" s="153"/>
      <c r="N111" s="153"/>
      <c r="O111" s="153"/>
      <c r="P111" s="154"/>
      <c r="Q111" s="154"/>
      <c r="R111" s="279"/>
      <c r="S111" s="279"/>
      <c r="T111" s="155"/>
      <c r="U111" s="152"/>
      <c r="V111" s="153"/>
      <c r="W111" s="153"/>
      <c r="X111" s="153"/>
      <c r="Y111" s="154"/>
      <c r="Z111" s="154"/>
      <c r="AA111" s="279">
        <v>1</v>
      </c>
      <c r="AB111" s="279"/>
      <c r="AC111" s="155"/>
      <c r="AD111" s="152">
        <v>26</v>
      </c>
      <c r="AE111" s="153">
        <v>21</v>
      </c>
      <c r="AF111" s="153">
        <v>32</v>
      </c>
      <c r="AG111" s="153">
        <v>42</v>
      </c>
      <c r="AH111" s="154">
        <v>34</v>
      </c>
      <c r="AI111" s="154">
        <v>24</v>
      </c>
      <c r="AJ111" s="279">
        <v>21</v>
      </c>
      <c r="AK111" s="279">
        <v>14</v>
      </c>
      <c r="AL111" s="155"/>
      <c r="AM111" s="152">
        <v>15</v>
      </c>
      <c r="AN111" s="153">
        <v>13</v>
      </c>
      <c r="AO111" s="153">
        <v>27</v>
      </c>
      <c r="AP111" s="153">
        <v>36</v>
      </c>
      <c r="AQ111" s="154">
        <v>29</v>
      </c>
      <c r="AR111" s="154">
        <v>17</v>
      </c>
      <c r="AS111" s="279">
        <v>13</v>
      </c>
      <c r="AT111" s="279">
        <v>12</v>
      </c>
      <c r="AU111" s="155"/>
      <c r="AV111" s="152"/>
      <c r="AW111" s="153"/>
      <c r="AX111" s="153"/>
      <c r="AY111" s="153"/>
      <c r="AZ111" s="154"/>
      <c r="BA111" s="154"/>
      <c r="BB111" s="279"/>
      <c r="BC111" s="279"/>
      <c r="BD111" s="155"/>
      <c r="BE111" s="152">
        <v>7</v>
      </c>
      <c r="BF111" s="153">
        <v>6</v>
      </c>
      <c r="BG111" s="153">
        <v>1</v>
      </c>
      <c r="BH111" s="153">
        <v>7</v>
      </c>
      <c r="BI111" s="154">
        <v>9</v>
      </c>
      <c r="BJ111" s="154">
        <v>2</v>
      </c>
      <c r="BK111" s="279">
        <v>3</v>
      </c>
      <c r="BL111" s="279">
        <v>4</v>
      </c>
      <c r="BM111" s="155"/>
      <c r="BN111" s="152"/>
      <c r="BO111" s="153"/>
      <c r="BP111" s="153"/>
      <c r="BQ111" s="153"/>
      <c r="BR111" s="154">
        <v>2</v>
      </c>
      <c r="BS111" s="154"/>
      <c r="BT111" s="279"/>
      <c r="BU111" s="279"/>
      <c r="BV111" s="155"/>
      <c r="BW111" s="152">
        <v>21</v>
      </c>
      <c r="BX111" s="153">
        <v>22</v>
      </c>
      <c r="BY111" s="153">
        <v>19</v>
      </c>
      <c r="BZ111" s="153">
        <v>22</v>
      </c>
      <c r="CA111" s="154">
        <v>24</v>
      </c>
      <c r="CB111" s="154">
        <v>17</v>
      </c>
      <c r="CC111" s="279">
        <v>7</v>
      </c>
      <c r="CD111" s="279">
        <v>5</v>
      </c>
      <c r="CE111" s="155"/>
      <c r="CF111" s="152"/>
      <c r="CG111" s="153">
        <v>4</v>
      </c>
      <c r="CH111" s="153">
        <v>1</v>
      </c>
      <c r="CI111" s="153">
        <v>3</v>
      </c>
      <c r="CJ111" s="154"/>
      <c r="CK111" s="154"/>
      <c r="CL111" s="279"/>
      <c r="CM111" s="279">
        <v>1</v>
      </c>
      <c r="CN111" s="155"/>
      <c r="CO111" s="152">
        <v>2</v>
      </c>
      <c r="CP111" s="153">
        <v>1</v>
      </c>
      <c r="CQ111" s="153">
        <v>4</v>
      </c>
      <c r="CR111" s="153"/>
      <c r="CS111" s="154"/>
      <c r="CT111" s="154"/>
      <c r="CU111" s="279">
        <v>2</v>
      </c>
      <c r="CV111" s="279">
        <v>3</v>
      </c>
      <c r="CW111" s="155"/>
      <c r="CX111" s="152">
        <v>491</v>
      </c>
      <c r="CY111" s="153">
        <v>423</v>
      </c>
      <c r="CZ111" s="153">
        <v>440</v>
      </c>
      <c r="DA111" s="153">
        <v>407</v>
      </c>
      <c r="DB111" s="154">
        <v>276</v>
      </c>
      <c r="DC111" s="154">
        <v>238</v>
      </c>
      <c r="DD111" s="279">
        <v>162</v>
      </c>
      <c r="DE111" s="279">
        <v>101</v>
      </c>
      <c r="DF111" s="155"/>
      <c r="DG111" s="152">
        <v>6</v>
      </c>
      <c r="DH111" s="153">
        <v>11</v>
      </c>
      <c r="DI111" s="153">
        <v>5</v>
      </c>
      <c r="DJ111" s="153">
        <v>8</v>
      </c>
      <c r="DK111" s="154">
        <v>1</v>
      </c>
      <c r="DL111" s="154">
        <v>1</v>
      </c>
      <c r="DM111" s="279">
        <v>1</v>
      </c>
      <c r="DN111" s="279">
        <v>1</v>
      </c>
      <c r="DO111" s="155"/>
      <c r="DP111" s="152">
        <v>36</v>
      </c>
      <c r="DQ111" s="153">
        <v>38</v>
      </c>
      <c r="DR111" s="153">
        <v>30</v>
      </c>
      <c r="DS111" s="153">
        <v>27</v>
      </c>
      <c r="DT111" s="154">
        <v>11</v>
      </c>
      <c r="DU111" s="154">
        <v>13</v>
      </c>
      <c r="DV111" s="279">
        <v>14</v>
      </c>
      <c r="DW111" s="279">
        <v>3</v>
      </c>
      <c r="DX111" s="155"/>
      <c r="DY111" s="152">
        <v>33</v>
      </c>
      <c r="DZ111" s="153">
        <v>34</v>
      </c>
      <c r="EA111" s="153">
        <v>47</v>
      </c>
      <c r="EB111" s="153">
        <v>70</v>
      </c>
      <c r="EC111" s="154">
        <v>38</v>
      </c>
      <c r="ED111" s="154">
        <v>37</v>
      </c>
      <c r="EE111" s="279">
        <v>22</v>
      </c>
      <c r="EF111" s="279">
        <v>14</v>
      </c>
      <c r="EG111" s="155"/>
      <c r="EH111" s="152">
        <v>13</v>
      </c>
      <c r="EI111" s="153">
        <v>2</v>
      </c>
      <c r="EJ111" s="153">
        <v>5</v>
      </c>
      <c r="EK111" s="153">
        <v>3</v>
      </c>
      <c r="EL111" s="154">
        <v>3</v>
      </c>
      <c r="EM111" s="154">
        <v>2</v>
      </c>
      <c r="EN111" s="279">
        <v>1</v>
      </c>
      <c r="EO111" s="279">
        <v>1</v>
      </c>
      <c r="EP111" s="155"/>
      <c r="EQ111" s="152"/>
      <c r="ER111" s="153"/>
      <c r="ES111" s="153">
        <v>3</v>
      </c>
      <c r="ET111" s="153">
        <v>21</v>
      </c>
      <c r="EU111" s="154"/>
      <c r="EV111" s="154">
        <v>1</v>
      </c>
      <c r="EW111" s="279">
        <v>5</v>
      </c>
      <c r="EX111" s="279">
        <v>1</v>
      </c>
      <c r="EY111" s="155"/>
      <c r="EZ111" s="152">
        <v>1</v>
      </c>
      <c r="FA111" s="153">
        <v>1</v>
      </c>
      <c r="FB111" s="153"/>
      <c r="FC111" s="153">
        <v>1</v>
      </c>
      <c r="FD111" s="154">
        <v>7</v>
      </c>
      <c r="FE111" s="154"/>
      <c r="FF111" s="279"/>
      <c r="FG111" s="279"/>
      <c r="FH111" s="155"/>
      <c r="FI111" s="152">
        <v>32</v>
      </c>
      <c r="FJ111" s="153">
        <v>30</v>
      </c>
      <c r="FK111" s="153">
        <v>30</v>
      </c>
      <c r="FL111" s="153">
        <v>16</v>
      </c>
      <c r="FM111" s="154">
        <v>26</v>
      </c>
      <c r="FN111" s="154">
        <v>15</v>
      </c>
      <c r="FO111" s="279">
        <v>12</v>
      </c>
      <c r="FP111" s="279">
        <v>10</v>
      </c>
      <c r="FQ111" s="155"/>
      <c r="FR111" s="152">
        <v>8</v>
      </c>
      <c r="FS111" s="153">
        <v>4</v>
      </c>
      <c r="FT111" s="153"/>
      <c r="FU111" s="153">
        <v>1</v>
      </c>
      <c r="FV111" s="154"/>
      <c r="FW111" s="154">
        <v>4</v>
      </c>
      <c r="FX111" s="279">
        <v>1</v>
      </c>
      <c r="FY111" s="279">
        <v>3</v>
      </c>
      <c r="FZ111" s="155"/>
      <c r="GA111" s="152">
        <v>4</v>
      </c>
      <c r="GB111" s="153">
        <v>2</v>
      </c>
      <c r="GC111" s="153">
        <v>3</v>
      </c>
      <c r="GD111" s="153">
        <v>1</v>
      </c>
      <c r="GE111" s="154">
        <v>7</v>
      </c>
      <c r="GF111" s="154">
        <v>3</v>
      </c>
      <c r="GG111" s="279">
        <v>1</v>
      </c>
      <c r="GH111" s="279">
        <v>2</v>
      </c>
      <c r="GI111" s="155"/>
      <c r="GJ111" s="152">
        <v>605</v>
      </c>
      <c r="GK111" s="153">
        <v>516</v>
      </c>
      <c r="GL111" s="153">
        <v>538</v>
      </c>
      <c r="GM111" s="153">
        <v>524</v>
      </c>
      <c r="GN111" s="154">
        <v>388</v>
      </c>
      <c r="GO111" s="154">
        <v>306</v>
      </c>
      <c r="GP111" s="279">
        <v>216</v>
      </c>
      <c r="GQ111" s="279">
        <v>145</v>
      </c>
      <c r="GR111" s="155"/>
      <c r="GS111" s="152">
        <v>206</v>
      </c>
      <c r="GT111" s="153">
        <v>181</v>
      </c>
      <c r="GU111" s="153">
        <v>164</v>
      </c>
      <c r="GV111" s="153">
        <v>112</v>
      </c>
      <c r="GW111" s="154">
        <v>71</v>
      </c>
      <c r="GX111" s="154">
        <v>45</v>
      </c>
      <c r="GY111" s="279">
        <v>30</v>
      </c>
      <c r="GZ111" s="279">
        <v>22</v>
      </c>
      <c r="HA111" s="155"/>
      <c r="HB111" s="152">
        <v>1</v>
      </c>
      <c r="HC111" s="153"/>
      <c r="HD111" s="153"/>
      <c r="HE111" s="153"/>
      <c r="HF111" s="154"/>
      <c r="HG111" s="154"/>
      <c r="HH111" s="279"/>
      <c r="HI111" s="279"/>
      <c r="HJ111" s="155"/>
      <c r="HK111" s="152"/>
      <c r="HL111" s="153"/>
      <c r="HM111" s="153"/>
      <c r="HN111" s="153"/>
      <c r="HO111" s="154"/>
      <c r="HP111" s="154"/>
      <c r="HQ111" s="279"/>
      <c r="HR111" s="279"/>
      <c r="HS111" s="155"/>
      <c r="HT111" s="152">
        <v>269</v>
      </c>
      <c r="HU111" s="153">
        <v>216</v>
      </c>
      <c r="HV111" s="153">
        <v>208</v>
      </c>
      <c r="HW111" s="153">
        <v>155</v>
      </c>
      <c r="HX111" s="154">
        <v>137</v>
      </c>
      <c r="HY111" s="154">
        <v>106</v>
      </c>
      <c r="HZ111" s="279">
        <v>112</v>
      </c>
      <c r="IA111" s="279">
        <v>130</v>
      </c>
      <c r="IB111" s="155"/>
      <c r="IC111" s="152">
        <v>1278</v>
      </c>
      <c r="ID111" s="153">
        <v>1028</v>
      </c>
      <c r="IE111" s="153">
        <v>969</v>
      </c>
      <c r="IF111" s="153">
        <v>2122</v>
      </c>
      <c r="IG111" s="154">
        <v>714</v>
      </c>
      <c r="IH111" s="154">
        <v>504</v>
      </c>
      <c r="II111" s="279">
        <v>522</v>
      </c>
      <c r="IJ111" s="279">
        <v>370</v>
      </c>
      <c r="IK111" s="155"/>
    </row>
    <row r="112" spans="1:251" x14ac:dyDescent="0.2">
      <c r="A112" s="961"/>
      <c r="B112" s="151" t="s">
        <v>710</v>
      </c>
      <c r="C112" s="152"/>
      <c r="D112" s="153"/>
      <c r="E112" s="153"/>
      <c r="F112" s="153"/>
      <c r="G112" s="154"/>
      <c r="H112" s="154"/>
      <c r="I112" s="279"/>
      <c r="J112" s="279"/>
      <c r="K112" s="155"/>
      <c r="L112" s="152"/>
      <c r="M112" s="153"/>
      <c r="N112" s="153"/>
      <c r="O112" s="153"/>
      <c r="P112" s="154"/>
      <c r="Q112" s="154"/>
      <c r="R112" s="279"/>
      <c r="S112" s="279"/>
      <c r="T112" s="155"/>
      <c r="U112" s="152"/>
      <c r="V112" s="153"/>
      <c r="W112" s="153"/>
      <c r="X112" s="153"/>
      <c r="Y112" s="154"/>
      <c r="Z112" s="154"/>
      <c r="AA112" s="279"/>
      <c r="AB112" s="279"/>
      <c r="AC112" s="155"/>
      <c r="AD112" s="152">
        <v>96</v>
      </c>
      <c r="AE112" s="153">
        <v>66</v>
      </c>
      <c r="AF112" s="153">
        <v>64</v>
      </c>
      <c r="AG112" s="153">
        <v>65</v>
      </c>
      <c r="AH112" s="154">
        <v>61</v>
      </c>
      <c r="AI112" s="154">
        <v>62</v>
      </c>
      <c r="AJ112" s="279">
        <v>65</v>
      </c>
      <c r="AK112" s="279">
        <v>53</v>
      </c>
      <c r="AL112" s="155"/>
      <c r="AM112" s="152">
        <v>53</v>
      </c>
      <c r="AN112" s="153">
        <v>43</v>
      </c>
      <c r="AO112" s="153">
        <v>40</v>
      </c>
      <c r="AP112" s="153">
        <v>31</v>
      </c>
      <c r="AQ112" s="154">
        <v>30</v>
      </c>
      <c r="AR112" s="154">
        <v>38</v>
      </c>
      <c r="AS112" s="279">
        <v>37</v>
      </c>
      <c r="AT112" s="279">
        <v>35</v>
      </c>
      <c r="AU112" s="155"/>
      <c r="AV112" s="152"/>
      <c r="AW112" s="153"/>
      <c r="AX112" s="153"/>
      <c r="AY112" s="153"/>
      <c r="AZ112" s="154"/>
      <c r="BA112" s="154"/>
      <c r="BB112" s="279"/>
      <c r="BC112" s="279"/>
      <c r="BD112" s="155"/>
      <c r="BE112" s="152">
        <v>15</v>
      </c>
      <c r="BF112" s="153">
        <v>23</v>
      </c>
      <c r="BG112" s="153">
        <v>5</v>
      </c>
      <c r="BH112" s="153">
        <v>12</v>
      </c>
      <c r="BI112" s="154">
        <v>8</v>
      </c>
      <c r="BJ112" s="154">
        <v>13</v>
      </c>
      <c r="BK112" s="279">
        <v>8</v>
      </c>
      <c r="BL112" s="279">
        <v>3</v>
      </c>
      <c r="BM112" s="155"/>
      <c r="BN112" s="152"/>
      <c r="BO112" s="153"/>
      <c r="BP112" s="153"/>
      <c r="BQ112" s="153"/>
      <c r="BR112" s="154"/>
      <c r="BS112" s="154"/>
      <c r="BT112" s="279"/>
      <c r="BU112" s="279"/>
      <c r="BV112" s="155"/>
      <c r="BW112" s="152">
        <v>71</v>
      </c>
      <c r="BX112" s="153">
        <v>71</v>
      </c>
      <c r="BY112" s="153">
        <v>67</v>
      </c>
      <c r="BZ112" s="153">
        <v>74</v>
      </c>
      <c r="CA112" s="154">
        <v>68</v>
      </c>
      <c r="CB112" s="154">
        <v>60</v>
      </c>
      <c r="CC112" s="279">
        <v>47</v>
      </c>
      <c r="CD112" s="279">
        <v>32</v>
      </c>
      <c r="CE112" s="155"/>
      <c r="CF112" s="152">
        <v>9</v>
      </c>
      <c r="CG112" s="153">
        <v>4</v>
      </c>
      <c r="CH112" s="153">
        <v>5</v>
      </c>
      <c r="CI112" s="153">
        <v>6</v>
      </c>
      <c r="CJ112" s="154">
        <v>1</v>
      </c>
      <c r="CK112" s="154">
        <v>2</v>
      </c>
      <c r="CL112" s="279">
        <v>1</v>
      </c>
      <c r="CM112" s="279">
        <v>2</v>
      </c>
      <c r="CN112" s="155"/>
      <c r="CO112" s="152">
        <v>3</v>
      </c>
      <c r="CP112" s="153">
        <v>1</v>
      </c>
      <c r="CQ112" s="153">
        <v>1</v>
      </c>
      <c r="CR112" s="153">
        <v>7</v>
      </c>
      <c r="CS112" s="154">
        <v>1</v>
      </c>
      <c r="CT112" s="154"/>
      <c r="CU112" s="279">
        <v>5</v>
      </c>
      <c r="CV112" s="279">
        <v>2</v>
      </c>
      <c r="CW112" s="155"/>
      <c r="CX112" s="152">
        <v>816</v>
      </c>
      <c r="CY112" s="153">
        <v>874</v>
      </c>
      <c r="CZ112" s="153">
        <v>858</v>
      </c>
      <c r="DA112" s="153">
        <v>636</v>
      </c>
      <c r="DB112" s="154">
        <v>543</v>
      </c>
      <c r="DC112" s="154">
        <v>434</v>
      </c>
      <c r="DD112" s="279">
        <v>469</v>
      </c>
      <c r="DE112" s="279">
        <v>210</v>
      </c>
      <c r="DF112" s="155"/>
      <c r="DG112" s="152">
        <v>11</v>
      </c>
      <c r="DH112" s="153">
        <v>5</v>
      </c>
      <c r="DI112" s="153">
        <v>21</v>
      </c>
      <c r="DJ112" s="153">
        <v>8</v>
      </c>
      <c r="DK112" s="154">
        <v>7</v>
      </c>
      <c r="DL112" s="154">
        <v>5</v>
      </c>
      <c r="DM112" s="279">
        <v>5</v>
      </c>
      <c r="DN112" s="279">
        <v>1</v>
      </c>
      <c r="DO112" s="155"/>
      <c r="DP112" s="152">
        <v>37</v>
      </c>
      <c r="DQ112" s="153">
        <v>32</v>
      </c>
      <c r="DR112" s="153">
        <v>25</v>
      </c>
      <c r="DS112" s="153">
        <v>19</v>
      </c>
      <c r="DT112" s="154">
        <v>32</v>
      </c>
      <c r="DU112" s="154">
        <v>8</v>
      </c>
      <c r="DV112" s="279">
        <v>20</v>
      </c>
      <c r="DW112" s="279">
        <v>6</v>
      </c>
      <c r="DX112" s="155"/>
      <c r="DY112" s="152">
        <v>52</v>
      </c>
      <c r="DZ112" s="153">
        <v>77</v>
      </c>
      <c r="EA112" s="153">
        <v>81</v>
      </c>
      <c r="EB112" s="153">
        <v>79</v>
      </c>
      <c r="EC112" s="154">
        <v>102</v>
      </c>
      <c r="ED112" s="154">
        <v>72</v>
      </c>
      <c r="EE112" s="279">
        <v>80</v>
      </c>
      <c r="EF112" s="279">
        <v>21</v>
      </c>
      <c r="EG112" s="155"/>
      <c r="EH112" s="152">
        <v>19</v>
      </c>
      <c r="EI112" s="153">
        <v>10</v>
      </c>
      <c r="EJ112" s="153">
        <v>12</v>
      </c>
      <c r="EK112" s="153">
        <v>13</v>
      </c>
      <c r="EL112" s="154">
        <v>8</v>
      </c>
      <c r="EM112" s="154">
        <v>4</v>
      </c>
      <c r="EN112" s="279">
        <v>4</v>
      </c>
      <c r="EO112" s="279">
        <v>1</v>
      </c>
      <c r="EP112" s="155"/>
      <c r="EQ112" s="152">
        <v>2</v>
      </c>
      <c r="ER112" s="153">
        <v>3</v>
      </c>
      <c r="ES112" s="153">
        <v>1</v>
      </c>
      <c r="ET112" s="153">
        <v>1</v>
      </c>
      <c r="EU112" s="154">
        <v>2</v>
      </c>
      <c r="EV112" s="154">
        <v>5</v>
      </c>
      <c r="EW112" s="279">
        <v>2</v>
      </c>
      <c r="EX112" s="279">
        <v>4</v>
      </c>
      <c r="EY112" s="155"/>
      <c r="EZ112" s="152">
        <v>6</v>
      </c>
      <c r="FA112" s="153">
        <v>4</v>
      </c>
      <c r="FB112" s="153">
        <v>7</v>
      </c>
      <c r="FC112" s="153"/>
      <c r="FD112" s="154">
        <v>1</v>
      </c>
      <c r="FE112" s="154">
        <v>4</v>
      </c>
      <c r="FF112" s="279"/>
      <c r="FG112" s="279">
        <v>1</v>
      </c>
      <c r="FH112" s="155"/>
      <c r="FI112" s="152">
        <v>83</v>
      </c>
      <c r="FJ112" s="153">
        <v>88</v>
      </c>
      <c r="FK112" s="153">
        <v>62</v>
      </c>
      <c r="FL112" s="153">
        <v>40</v>
      </c>
      <c r="FM112" s="154">
        <v>20</v>
      </c>
      <c r="FN112" s="154">
        <v>40</v>
      </c>
      <c r="FO112" s="279">
        <v>26</v>
      </c>
      <c r="FP112" s="279">
        <v>27</v>
      </c>
      <c r="FQ112" s="155"/>
      <c r="FR112" s="152">
        <v>5</v>
      </c>
      <c r="FS112" s="153">
        <v>8</v>
      </c>
      <c r="FT112" s="153">
        <v>2</v>
      </c>
      <c r="FU112" s="153">
        <v>4</v>
      </c>
      <c r="FV112" s="154">
        <v>2</v>
      </c>
      <c r="FW112" s="154">
        <v>5</v>
      </c>
      <c r="FX112" s="279">
        <v>1</v>
      </c>
      <c r="FY112" s="279"/>
      <c r="FZ112" s="155"/>
      <c r="GA112" s="152">
        <v>14</v>
      </c>
      <c r="GB112" s="153">
        <v>11</v>
      </c>
      <c r="GC112" s="153">
        <v>8</v>
      </c>
      <c r="GD112" s="153">
        <v>3</v>
      </c>
      <c r="GE112" s="154">
        <v>5</v>
      </c>
      <c r="GF112" s="154">
        <v>4</v>
      </c>
      <c r="GG112" s="279">
        <v>6</v>
      </c>
      <c r="GH112" s="279">
        <v>7</v>
      </c>
      <c r="GI112" s="155"/>
      <c r="GJ112" s="152">
        <v>1139</v>
      </c>
      <c r="GK112" s="153">
        <v>1163</v>
      </c>
      <c r="GL112" s="153">
        <v>1092</v>
      </c>
      <c r="GM112" s="153">
        <v>861</v>
      </c>
      <c r="GN112" s="154">
        <v>720</v>
      </c>
      <c r="GO112" s="154">
        <v>633</v>
      </c>
      <c r="GP112" s="279">
        <v>634</v>
      </c>
      <c r="GQ112" s="279">
        <v>342</v>
      </c>
      <c r="GR112" s="155"/>
      <c r="GS112" s="152">
        <v>379</v>
      </c>
      <c r="GT112" s="153">
        <v>322</v>
      </c>
      <c r="GU112" s="153">
        <v>314</v>
      </c>
      <c r="GV112" s="153">
        <v>217</v>
      </c>
      <c r="GW112" s="154">
        <v>125</v>
      </c>
      <c r="GX112" s="154">
        <v>123</v>
      </c>
      <c r="GY112" s="279">
        <v>113</v>
      </c>
      <c r="GZ112" s="279">
        <v>95</v>
      </c>
      <c r="HA112" s="155"/>
      <c r="HB112" s="152">
        <v>15</v>
      </c>
      <c r="HC112" s="153">
        <v>7</v>
      </c>
      <c r="HD112" s="153">
        <v>6</v>
      </c>
      <c r="HE112" s="153">
        <v>6</v>
      </c>
      <c r="HF112" s="154">
        <v>9</v>
      </c>
      <c r="HG112" s="154">
        <v>7</v>
      </c>
      <c r="HH112" s="279">
        <v>4</v>
      </c>
      <c r="HI112" s="279">
        <v>1</v>
      </c>
      <c r="HJ112" s="155"/>
      <c r="HK112" s="152">
        <v>3</v>
      </c>
      <c r="HL112" s="153"/>
      <c r="HM112" s="153"/>
      <c r="HN112" s="153"/>
      <c r="HO112" s="154">
        <v>1</v>
      </c>
      <c r="HP112" s="154">
        <v>1</v>
      </c>
      <c r="HQ112" s="279"/>
      <c r="HR112" s="279">
        <v>1</v>
      </c>
      <c r="HS112" s="155"/>
      <c r="HT112" s="152">
        <v>616</v>
      </c>
      <c r="HU112" s="153">
        <v>492</v>
      </c>
      <c r="HV112" s="153">
        <v>446</v>
      </c>
      <c r="HW112" s="153">
        <v>358</v>
      </c>
      <c r="HX112" s="154">
        <v>300</v>
      </c>
      <c r="HY112" s="154">
        <v>314</v>
      </c>
      <c r="HZ112" s="279">
        <v>299</v>
      </c>
      <c r="IA112" s="279">
        <v>293</v>
      </c>
      <c r="IB112" s="155"/>
      <c r="IC112" s="152">
        <v>2647</v>
      </c>
      <c r="ID112" s="153">
        <v>2311</v>
      </c>
      <c r="IE112" s="153">
        <v>2386</v>
      </c>
      <c r="IF112" s="153">
        <v>1438</v>
      </c>
      <c r="IG112" s="154">
        <v>1453</v>
      </c>
      <c r="IH112" s="154">
        <v>1432</v>
      </c>
      <c r="II112" s="279">
        <v>1263</v>
      </c>
      <c r="IJ112" s="279">
        <v>885</v>
      </c>
      <c r="IK112" s="155"/>
    </row>
    <row r="113" spans="1:245" ht="13.5" thickBot="1" x14ac:dyDescent="0.25">
      <c r="A113" s="961"/>
      <c r="B113" s="156" t="s">
        <v>711</v>
      </c>
      <c r="C113" s="157"/>
      <c r="D113" s="166"/>
      <c r="E113" s="166"/>
      <c r="F113" s="166"/>
      <c r="G113" s="158"/>
      <c r="H113" s="158"/>
      <c r="I113" s="280"/>
      <c r="J113" s="280"/>
      <c r="K113" s="159"/>
      <c r="L113" s="157"/>
      <c r="M113" s="166"/>
      <c r="N113" s="166"/>
      <c r="O113" s="166"/>
      <c r="P113" s="158"/>
      <c r="Q113" s="158"/>
      <c r="R113" s="280"/>
      <c r="S113" s="280"/>
      <c r="T113" s="159"/>
      <c r="U113" s="157"/>
      <c r="V113" s="166"/>
      <c r="W113" s="166"/>
      <c r="X113" s="166"/>
      <c r="Y113" s="158"/>
      <c r="Z113" s="158"/>
      <c r="AA113" s="280"/>
      <c r="AB113" s="280"/>
      <c r="AC113" s="159"/>
      <c r="AD113" s="157">
        <v>25</v>
      </c>
      <c r="AE113" s="166">
        <v>21</v>
      </c>
      <c r="AF113" s="166">
        <v>25</v>
      </c>
      <c r="AG113" s="166">
        <v>22</v>
      </c>
      <c r="AH113" s="158">
        <v>14</v>
      </c>
      <c r="AI113" s="158">
        <v>21</v>
      </c>
      <c r="AJ113" s="280">
        <v>16</v>
      </c>
      <c r="AK113" s="280">
        <v>25</v>
      </c>
      <c r="AL113" s="159"/>
      <c r="AM113" s="157">
        <v>19</v>
      </c>
      <c r="AN113" s="166">
        <v>16</v>
      </c>
      <c r="AO113" s="166">
        <v>15</v>
      </c>
      <c r="AP113" s="166">
        <v>8</v>
      </c>
      <c r="AQ113" s="158">
        <v>8</v>
      </c>
      <c r="AR113" s="158">
        <v>9</v>
      </c>
      <c r="AS113" s="280">
        <v>7</v>
      </c>
      <c r="AT113" s="280">
        <v>14</v>
      </c>
      <c r="AU113" s="159"/>
      <c r="AV113" s="157"/>
      <c r="AW113" s="166"/>
      <c r="AX113" s="166"/>
      <c r="AY113" s="166"/>
      <c r="AZ113" s="158"/>
      <c r="BA113" s="158"/>
      <c r="BB113" s="280"/>
      <c r="BC113" s="280"/>
      <c r="BD113" s="159"/>
      <c r="BE113" s="157">
        <v>6</v>
      </c>
      <c r="BF113" s="166">
        <v>6</v>
      </c>
      <c r="BG113" s="166">
        <v>4</v>
      </c>
      <c r="BH113" s="166">
        <v>4</v>
      </c>
      <c r="BI113" s="158"/>
      <c r="BJ113" s="158"/>
      <c r="BK113" s="280">
        <v>4</v>
      </c>
      <c r="BL113" s="280">
        <v>5</v>
      </c>
      <c r="BM113" s="159"/>
      <c r="BN113" s="157"/>
      <c r="BO113" s="166"/>
      <c r="BP113" s="166"/>
      <c r="BQ113" s="166"/>
      <c r="BR113" s="158"/>
      <c r="BS113" s="158"/>
      <c r="BT113" s="280"/>
      <c r="BU113" s="280"/>
      <c r="BV113" s="159"/>
      <c r="BW113" s="157">
        <v>5</v>
      </c>
      <c r="BX113" s="166">
        <v>7</v>
      </c>
      <c r="BY113" s="166">
        <v>14</v>
      </c>
      <c r="BZ113" s="166">
        <v>15</v>
      </c>
      <c r="CA113" s="158">
        <v>14</v>
      </c>
      <c r="CB113" s="158">
        <v>11</v>
      </c>
      <c r="CC113" s="280">
        <v>6</v>
      </c>
      <c r="CD113" s="280">
        <v>5</v>
      </c>
      <c r="CE113" s="159"/>
      <c r="CF113" s="157">
        <v>1</v>
      </c>
      <c r="CG113" s="166"/>
      <c r="CH113" s="166"/>
      <c r="CI113" s="166"/>
      <c r="CJ113" s="158"/>
      <c r="CK113" s="158"/>
      <c r="CL113" s="280">
        <v>1</v>
      </c>
      <c r="CM113" s="280">
        <v>1</v>
      </c>
      <c r="CN113" s="159"/>
      <c r="CO113" s="157"/>
      <c r="CP113" s="166"/>
      <c r="CQ113" s="166"/>
      <c r="CR113" s="166">
        <v>1</v>
      </c>
      <c r="CS113" s="158">
        <v>1</v>
      </c>
      <c r="CT113" s="158">
        <v>2</v>
      </c>
      <c r="CU113" s="280">
        <v>1</v>
      </c>
      <c r="CV113" s="280">
        <v>1</v>
      </c>
      <c r="CW113" s="159"/>
      <c r="CX113" s="157">
        <v>292</v>
      </c>
      <c r="CY113" s="166">
        <v>228</v>
      </c>
      <c r="CZ113" s="166">
        <v>232</v>
      </c>
      <c r="DA113" s="166">
        <v>168</v>
      </c>
      <c r="DB113" s="158">
        <v>97</v>
      </c>
      <c r="DC113" s="158">
        <v>82</v>
      </c>
      <c r="DD113" s="280">
        <v>76</v>
      </c>
      <c r="DE113" s="280">
        <v>46</v>
      </c>
      <c r="DF113" s="159"/>
      <c r="DG113" s="157"/>
      <c r="DH113" s="166">
        <v>1</v>
      </c>
      <c r="DI113" s="166">
        <v>1</v>
      </c>
      <c r="DJ113" s="166"/>
      <c r="DK113" s="158"/>
      <c r="DL113" s="158"/>
      <c r="DM113" s="280"/>
      <c r="DN113" s="280"/>
      <c r="DO113" s="159"/>
      <c r="DP113" s="157">
        <v>8</v>
      </c>
      <c r="DQ113" s="166">
        <v>5</v>
      </c>
      <c r="DR113" s="166">
        <v>5</v>
      </c>
      <c r="DS113" s="166">
        <v>5</v>
      </c>
      <c r="DT113" s="158"/>
      <c r="DU113" s="158">
        <v>2</v>
      </c>
      <c r="DV113" s="280">
        <v>1</v>
      </c>
      <c r="DW113" s="280">
        <v>1</v>
      </c>
      <c r="DX113" s="159"/>
      <c r="DY113" s="157">
        <v>19</v>
      </c>
      <c r="DZ113" s="166">
        <v>10</v>
      </c>
      <c r="EA113" s="166">
        <v>28</v>
      </c>
      <c r="EB113" s="166">
        <v>18</v>
      </c>
      <c r="EC113" s="158">
        <v>11</v>
      </c>
      <c r="ED113" s="158">
        <v>9</v>
      </c>
      <c r="EE113" s="280">
        <v>14</v>
      </c>
      <c r="EF113" s="280">
        <v>9</v>
      </c>
      <c r="EG113" s="159"/>
      <c r="EH113" s="157">
        <v>3</v>
      </c>
      <c r="EI113" s="166">
        <v>2</v>
      </c>
      <c r="EJ113" s="166">
        <v>3</v>
      </c>
      <c r="EK113" s="166">
        <v>1</v>
      </c>
      <c r="EL113" s="158">
        <v>1</v>
      </c>
      <c r="EM113" s="158"/>
      <c r="EN113" s="280"/>
      <c r="EO113" s="280"/>
      <c r="EP113" s="159"/>
      <c r="EQ113" s="157"/>
      <c r="ER113" s="166"/>
      <c r="ES113" s="166"/>
      <c r="ET113" s="166">
        <v>1</v>
      </c>
      <c r="EU113" s="158">
        <v>1</v>
      </c>
      <c r="EV113" s="158"/>
      <c r="EW113" s="280"/>
      <c r="EX113" s="280"/>
      <c r="EY113" s="159"/>
      <c r="EZ113" s="157"/>
      <c r="FA113" s="166"/>
      <c r="FB113" s="166"/>
      <c r="FC113" s="166"/>
      <c r="FD113" s="158">
        <v>1</v>
      </c>
      <c r="FE113" s="158">
        <v>1</v>
      </c>
      <c r="FF113" s="280"/>
      <c r="FG113" s="280">
        <v>1</v>
      </c>
      <c r="FH113" s="159"/>
      <c r="FI113" s="157">
        <v>14</v>
      </c>
      <c r="FJ113" s="166">
        <v>11</v>
      </c>
      <c r="FK113" s="166">
        <v>11</v>
      </c>
      <c r="FL113" s="166">
        <v>5</v>
      </c>
      <c r="FM113" s="158">
        <v>6</v>
      </c>
      <c r="FN113" s="158">
        <v>2</v>
      </c>
      <c r="FO113" s="280">
        <v>5</v>
      </c>
      <c r="FP113" s="280">
        <v>4</v>
      </c>
      <c r="FQ113" s="159"/>
      <c r="FR113" s="157"/>
      <c r="FS113" s="166">
        <v>2</v>
      </c>
      <c r="FT113" s="166">
        <v>1</v>
      </c>
      <c r="FU113" s="166">
        <v>1</v>
      </c>
      <c r="FV113" s="158">
        <v>1</v>
      </c>
      <c r="FW113" s="158"/>
      <c r="FX113" s="280"/>
      <c r="FY113" s="280"/>
      <c r="FZ113" s="159"/>
      <c r="GA113" s="157">
        <v>2</v>
      </c>
      <c r="GB113" s="166">
        <v>3</v>
      </c>
      <c r="GC113" s="166">
        <v>1</v>
      </c>
      <c r="GD113" s="166">
        <v>3</v>
      </c>
      <c r="GE113" s="158"/>
      <c r="GF113" s="158">
        <v>1</v>
      </c>
      <c r="GG113" s="280">
        <v>3</v>
      </c>
      <c r="GH113" s="280">
        <v>6</v>
      </c>
      <c r="GI113" s="159"/>
      <c r="GJ113" s="157">
        <v>348</v>
      </c>
      <c r="GK113" s="166">
        <v>280</v>
      </c>
      <c r="GL113" s="166">
        <v>291</v>
      </c>
      <c r="GM113" s="166">
        <v>221</v>
      </c>
      <c r="GN113" s="158">
        <v>136</v>
      </c>
      <c r="GO113" s="158">
        <v>120</v>
      </c>
      <c r="GP113" s="280">
        <v>112</v>
      </c>
      <c r="GQ113" s="280">
        <v>94</v>
      </c>
      <c r="GR113" s="159"/>
      <c r="GS113" s="157">
        <v>82</v>
      </c>
      <c r="GT113" s="166">
        <v>76</v>
      </c>
      <c r="GU113" s="166">
        <v>77</v>
      </c>
      <c r="GV113" s="166">
        <v>43</v>
      </c>
      <c r="GW113" s="158">
        <v>20</v>
      </c>
      <c r="GX113" s="158">
        <v>20</v>
      </c>
      <c r="GY113" s="280">
        <v>18</v>
      </c>
      <c r="GZ113" s="280">
        <v>16</v>
      </c>
      <c r="HA113" s="159"/>
      <c r="HB113" s="157"/>
      <c r="HC113" s="166"/>
      <c r="HD113" s="166"/>
      <c r="HE113" s="166"/>
      <c r="HF113" s="158"/>
      <c r="HG113" s="158"/>
      <c r="HH113" s="280"/>
      <c r="HI113" s="280"/>
      <c r="HJ113" s="159"/>
      <c r="HK113" s="157"/>
      <c r="HL113" s="166"/>
      <c r="HM113" s="166"/>
      <c r="HN113" s="166"/>
      <c r="HO113" s="158"/>
      <c r="HP113" s="158"/>
      <c r="HQ113" s="280"/>
      <c r="HR113" s="280"/>
      <c r="HS113" s="159"/>
      <c r="HT113" s="157">
        <v>134</v>
      </c>
      <c r="HU113" s="166">
        <v>103</v>
      </c>
      <c r="HV113" s="166">
        <v>110</v>
      </c>
      <c r="HW113" s="166">
        <v>79</v>
      </c>
      <c r="HX113" s="158">
        <v>36</v>
      </c>
      <c r="HY113" s="158">
        <v>44</v>
      </c>
      <c r="HZ113" s="280">
        <v>64</v>
      </c>
      <c r="IA113" s="280">
        <v>55</v>
      </c>
      <c r="IB113" s="159"/>
      <c r="IC113" s="157">
        <v>614</v>
      </c>
      <c r="ID113" s="166">
        <v>404</v>
      </c>
      <c r="IE113" s="166">
        <v>488</v>
      </c>
      <c r="IF113" s="166">
        <v>372</v>
      </c>
      <c r="IG113" s="158">
        <v>287</v>
      </c>
      <c r="IH113" s="158">
        <v>227</v>
      </c>
      <c r="II113" s="280">
        <v>229</v>
      </c>
      <c r="IJ113" s="280">
        <v>205</v>
      </c>
      <c r="IK113" s="159"/>
    </row>
    <row r="114" spans="1:245" s="134" customFormat="1" ht="13.5" thickBot="1" x14ac:dyDescent="0.25">
      <c r="A114" s="962"/>
      <c r="B114" s="189" t="s">
        <v>776</v>
      </c>
      <c r="C114" s="273">
        <v>13</v>
      </c>
      <c r="D114" s="190">
        <v>7</v>
      </c>
      <c r="E114" s="190">
        <v>11</v>
      </c>
      <c r="F114" s="190">
        <v>7</v>
      </c>
      <c r="G114" s="190">
        <v>6</v>
      </c>
      <c r="H114" s="190">
        <v>13</v>
      </c>
      <c r="I114" s="190">
        <v>13</v>
      </c>
      <c r="J114" s="190">
        <v>6</v>
      </c>
      <c r="K114" s="286"/>
      <c r="L114" s="273">
        <v>6</v>
      </c>
      <c r="M114" s="190">
        <v>1</v>
      </c>
      <c r="N114" s="190">
        <v>6</v>
      </c>
      <c r="O114" s="190">
        <v>3</v>
      </c>
      <c r="P114" s="190">
        <v>2</v>
      </c>
      <c r="Q114" s="190">
        <v>8</v>
      </c>
      <c r="R114" s="190">
        <v>5</v>
      </c>
      <c r="S114" s="190">
        <v>2</v>
      </c>
      <c r="T114" s="286"/>
      <c r="U114" s="273">
        <v>4</v>
      </c>
      <c r="V114" s="190">
        <v>6</v>
      </c>
      <c r="W114" s="190">
        <v>4</v>
      </c>
      <c r="X114" s="190">
        <v>3</v>
      </c>
      <c r="Y114" s="190">
        <v>4</v>
      </c>
      <c r="Z114" s="190">
        <v>2</v>
      </c>
      <c r="AA114" s="190">
        <v>7</v>
      </c>
      <c r="AB114" s="190">
        <v>3</v>
      </c>
      <c r="AC114" s="286"/>
      <c r="AD114" s="273">
        <v>375</v>
      </c>
      <c r="AE114" s="190">
        <v>328</v>
      </c>
      <c r="AF114" s="190">
        <v>342</v>
      </c>
      <c r="AG114" s="190">
        <v>354</v>
      </c>
      <c r="AH114" s="190">
        <v>343</v>
      </c>
      <c r="AI114" s="190">
        <v>289</v>
      </c>
      <c r="AJ114" s="190">
        <v>281</v>
      </c>
      <c r="AK114" s="190">
        <v>265</v>
      </c>
      <c r="AL114" s="286"/>
      <c r="AM114" s="273">
        <v>229</v>
      </c>
      <c r="AN114" s="190">
        <v>198</v>
      </c>
      <c r="AO114" s="190">
        <v>210</v>
      </c>
      <c r="AP114" s="190">
        <v>207</v>
      </c>
      <c r="AQ114" s="190">
        <v>190</v>
      </c>
      <c r="AR114" s="190">
        <v>165</v>
      </c>
      <c r="AS114" s="190">
        <v>173</v>
      </c>
      <c r="AT114" s="190">
        <v>157</v>
      </c>
      <c r="AU114" s="286"/>
      <c r="AV114" s="273">
        <v>2</v>
      </c>
      <c r="AW114" s="190">
        <v>2</v>
      </c>
      <c r="AX114" s="190"/>
      <c r="AY114" s="190">
        <v>2</v>
      </c>
      <c r="AZ114" s="190"/>
      <c r="BA114" s="190"/>
      <c r="BB114" s="190"/>
      <c r="BC114" s="190"/>
      <c r="BD114" s="286"/>
      <c r="BE114" s="273">
        <v>107</v>
      </c>
      <c r="BF114" s="190">
        <v>101</v>
      </c>
      <c r="BG114" s="190">
        <v>61</v>
      </c>
      <c r="BH114" s="190">
        <v>51</v>
      </c>
      <c r="BI114" s="190">
        <v>35</v>
      </c>
      <c r="BJ114" s="190">
        <v>20</v>
      </c>
      <c r="BK114" s="190">
        <v>35</v>
      </c>
      <c r="BL114" s="190">
        <v>34</v>
      </c>
      <c r="BM114" s="286"/>
      <c r="BN114" s="273"/>
      <c r="BO114" s="190">
        <v>4</v>
      </c>
      <c r="BP114" s="190">
        <v>16</v>
      </c>
      <c r="BQ114" s="190">
        <v>6</v>
      </c>
      <c r="BR114" s="190">
        <v>34</v>
      </c>
      <c r="BS114" s="190">
        <v>62</v>
      </c>
      <c r="BT114" s="190">
        <v>10</v>
      </c>
      <c r="BU114" s="190">
        <v>7</v>
      </c>
      <c r="BV114" s="286"/>
      <c r="BW114" s="273">
        <v>200</v>
      </c>
      <c r="BX114" s="190">
        <v>265</v>
      </c>
      <c r="BY114" s="190">
        <v>271</v>
      </c>
      <c r="BZ114" s="190">
        <v>266</v>
      </c>
      <c r="CA114" s="190">
        <v>264</v>
      </c>
      <c r="CB114" s="190">
        <v>188</v>
      </c>
      <c r="CC114" s="190">
        <v>148</v>
      </c>
      <c r="CD114" s="190">
        <v>111</v>
      </c>
      <c r="CE114" s="286"/>
      <c r="CF114" s="273">
        <v>29</v>
      </c>
      <c r="CG114" s="190">
        <v>21</v>
      </c>
      <c r="CH114" s="190">
        <v>29</v>
      </c>
      <c r="CI114" s="190">
        <v>15</v>
      </c>
      <c r="CJ114" s="190">
        <v>7</v>
      </c>
      <c r="CK114" s="190">
        <v>10</v>
      </c>
      <c r="CL114" s="190">
        <v>7</v>
      </c>
      <c r="CM114" s="190">
        <v>8</v>
      </c>
      <c r="CN114" s="286"/>
      <c r="CO114" s="273">
        <v>19</v>
      </c>
      <c r="CP114" s="190">
        <v>19</v>
      </c>
      <c r="CQ114" s="190">
        <v>34</v>
      </c>
      <c r="CR114" s="190">
        <v>10</v>
      </c>
      <c r="CS114" s="190">
        <v>17</v>
      </c>
      <c r="CT114" s="190">
        <v>6</v>
      </c>
      <c r="CU114" s="190">
        <v>31</v>
      </c>
      <c r="CV114" s="190">
        <v>21</v>
      </c>
      <c r="CW114" s="286"/>
      <c r="CX114" s="273">
        <v>4801</v>
      </c>
      <c r="CY114" s="190">
        <v>4517</v>
      </c>
      <c r="CZ114" s="190">
        <v>4389</v>
      </c>
      <c r="DA114" s="190">
        <v>3480</v>
      </c>
      <c r="DB114" s="190">
        <v>2736</v>
      </c>
      <c r="DC114" s="190">
        <v>2134</v>
      </c>
      <c r="DD114" s="190">
        <v>1897</v>
      </c>
      <c r="DE114" s="190">
        <v>1208</v>
      </c>
      <c r="DF114" s="286"/>
      <c r="DG114" s="273">
        <v>60</v>
      </c>
      <c r="DH114" s="190">
        <v>56</v>
      </c>
      <c r="DI114" s="190">
        <v>61</v>
      </c>
      <c r="DJ114" s="190">
        <v>75</v>
      </c>
      <c r="DK114" s="190">
        <v>34</v>
      </c>
      <c r="DL114" s="190">
        <v>13</v>
      </c>
      <c r="DM114" s="190">
        <v>13</v>
      </c>
      <c r="DN114" s="190">
        <v>6</v>
      </c>
      <c r="DO114" s="286"/>
      <c r="DP114" s="273">
        <v>224</v>
      </c>
      <c r="DQ114" s="190">
        <v>257</v>
      </c>
      <c r="DR114" s="190">
        <v>175</v>
      </c>
      <c r="DS114" s="190">
        <v>120</v>
      </c>
      <c r="DT114" s="190">
        <v>91</v>
      </c>
      <c r="DU114" s="190">
        <v>55</v>
      </c>
      <c r="DV114" s="190">
        <v>64</v>
      </c>
      <c r="DW114" s="190">
        <v>30</v>
      </c>
      <c r="DX114" s="286"/>
      <c r="DY114" s="273">
        <v>409</v>
      </c>
      <c r="DZ114" s="190">
        <v>338</v>
      </c>
      <c r="EA114" s="190">
        <v>386</v>
      </c>
      <c r="EB114" s="190">
        <v>407</v>
      </c>
      <c r="EC114" s="190">
        <v>496</v>
      </c>
      <c r="ED114" s="190">
        <v>335</v>
      </c>
      <c r="EE114" s="190">
        <v>312</v>
      </c>
      <c r="EF114" s="190">
        <v>172</v>
      </c>
      <c r="EG114" s="286"/>
      <c r="EH114" s="273">
        <v>106</v>
      </c>
      <c r="EI114" s="190">
        <v>72</v>
      </c>
      <c r="EJ114" s="190">
        <v>84</v>
      </c>
      <c r="EK114" s="190">
        <v>42</v>
      </c>
      <c r="EL114" s="190">
        <v>38</v>
      </c>
      <c r="EM114" s="190">
        <v>16</v>
      </c>
      <c r="EN114" s="190">
        <v>17</v>
      </c>
      <c r="EO114" s="190">
        <v>16</v>
      </c>
      <c r="EP114" s="286"/>
      <c r="EQ114" s="273">
        <v>8</v>
      </c>
      <c r="ER114" s="190">
        <v>17</v>
      </c>
      <c r="ES114" s="190">
        <v>16</v>
      </c>
      <c r="ET114" s="190">
        <v>47</v>
      </c>
      <c r="EU114" s="190">
        <v>32</v>
      </c>
      <c r="EV114" s="190">
        <v>29</v>
      </c>
      <c r="EW114" s="190">
        <v>27</v>
      </c>
      <c r="EX114" s="190">
        <v>25</v>
      </c>
      <c r="EY114" s="286"/>
      <c r="EZ114" s="273">
        <v>23</v>
      </c>
      <c r="FA114" s="190">
        <v>28</v>
      </c>
      <c r="FB114" s="190">
        <v>16</v>
      </c>
      <c r="FC114" s="190">
        <v>6</v>
      </c>
      <c r="FD114" s="190">
        <v>19</v>
      </c>
      <c r="FE114" s="190">
        <v>12</v>
      </c>
      <c r="FF114" s="190">
        <v>1</v>
      </c>
      <c r="FG114" s="190">
        <v>9</v>
      </c>
      <c r="FH114" s="286"/>
      <c r="FI114" s="273">
        <v>403</v>
      </c>
      <c r="FJ114" s="190">
        <v>411</v>
      </c>
      <c r="FK114" s="190">
        <v>304</v>
      </c>
      <c r="FL114" s="190">
        <v>171</v>
      </c>
      <c r="FM114" s="190">
        <v>158</v>
      </c>
      <c r="FN114" s="190">
        <v>136</v>
      </c>
      <c r="FO114" s="190">
        <v>151</v>
      </c>
      <c r="FP114" s="190">
        <v>151</v>
      </c>
      <c r="FQ114" s="286"/>
      <c r="FR114" s="273">
        <v>45</v>
      </c>
      <c r="FS114" s="190">
        <v>43</v>
      </c>
      <c r="FT114" s="190">
        <v>32</v>
      </c>
      <c r="FU114" s="190">
        <v>21</v>
      </c>
      <c r="FV114" s="190">
        <v>18</v>
      </c>
      <c r="FW114" s="190">
        <v>11</v>
      </c>
      <c r="FX114" s="190">
        <v>10</v>
      </c>
      <c r="FY114" s="190">
        <v>28</v>
      </c>
      <c r="FZ114" s="286"/>
      <c r="GA114" s="273">
        <v>58</v>
      </c>
      <c r="GB114" s="190">
        <v>51</v>
      </c>
      <c r="GC114" s="190">
        <v>34</v>
      </c>
      <c r="GD114" s="190">
        <v>30</v>
      </c>
      <c r="GE114" s="190">
        <v>28</v>
      </c>
      <c r="GF114" s="190">
        <v>36</v>
      </c>
      <c r="GG114" s="190">
        <v>41</v>
      </c>
      <c r="GH114" s="190">
        <v>41</v>
      </c>
      <c r="GI114" s="286"/>
      <c r="GJ114" s="273">
        <v>6187</v>
      </c>
      <c r="GK114" s="190">
        <v>5884</v>
      </c>
      <c r="GL114" s="190">
        <v>5639</v>
      </c>
      <c r="GM114" s="190">
        <v>4506</v>
      </c>
      <c r="GN114" s="190">
        <v>3735</v>
      </c>
      <c r="GO114" s="190">
        <v>2962</v>
      </c>
      <c r="GP114" s="190">
        <v>2669</v>
      </c>
      <c r="GQ114" s="190">
        <v>1930</v>
      </c>
      <c r="GR114" s="286"/>
      <c r="GS114" s="273">
        <v>1900</v>
      </c>
      <c r="GT114" s="190">
        <v>1847</v>
      </c>
      <c r="GU114" s="190">
        <v>1535</v>
      </c>
      <c r="GV114" s="190">
        <v>1133</v>
      </c>
      <c r="GW114" s="190">
        <v>633</v>
      </c>
      <c r="GX114" s="190">
        <v>510</v>
      </c>
      <c r="GY114" s="190">
        <v>477</v>
      </c>
      <c r="GZ114" s="190">
        <v>418</v>
      </c>
      <c r="HA114" s="286"/>
      <c r="HB114" s="273">
        <v>38</v>
      </c>
      <c r="HC114" s="190">
        <v>32</v>
      </c>
      <c r="HD114" s="190">
        <v>25</v>
      </c>
      <c r="HE114" s="190">
        <v>15</v>
      </c>
      <c r="HF114" s="190">
        <v>20</v>
      </c>
      <c r="HG114" s="190">
        <v>15</v>
      </c>
      <c r="HH114" s="190">
        <v>13</v>
      </c>
      <c r="HI114" s="190">
        <v>6</v>
      </c>
      <c r="HJ114" s="286"/>
      <c r="HK114" s="273">
        <v>9</v>
      </c>
      <c r="HL114" s="190">
        <v>8</v>
      </c>
      <c r="HM114" s="190">
        <v>3</v>
      </c>
      <c r="HN114" s="190">
        <v>3</v>
      </c>
      <c r="HO114" s="190">
        <v>11</v>
      </c>
      <c r="HP114" s="190">
        <v>8</v>
      </c>
      <c r="HQ114" s="190">
        <v>3</v>
      </c>
      <c r="HR114" s="190">
        <v>3</v>
      </c>
      <c r="HS114" s="286"/>
      <c r="HT114" s="273">
        <v>2696</v>
      </c>
      <c r="HU114" s="190">
        <v>2497</v>
      </c>
      <c r="HV114" s="190">
        <v>2215</v>
      </c>
      <c r="HW114" s="190">
        <v>1770</v>
      </c>
      <c r="HX114" s="190">
        <v>1313</v>
      </c>
      <c r="HY114" s="190">
        <v>1297</v>
      </c>
      <c r="HZ114" s="190">
        <v>1298</v>
      </c>
      <c r="IA114" s="190">
        <v>1459</v>
      </c>
      <c r="IB114" s="286"/>
      <c r="IC114" s="273">
        <v>13460</v>
      </c>
      <c r="ID114" s="190">
        <v>12811</v>
      </c>
      <c r="IE114" s="190">
        <v>10965</v>
      </c>
      <c r="IF114" s="190">
        <v>8445</v>
      </c>
      <c r="IG114" s="190">
        <v>7340</v>
      </c>
      <c r="IH114" s="190">
        <v>6004</v>
      </c>
      <c r="II114" s="190">
        <v>5538</v>
      </c>
      <c r="IJ114" s="190">
        <v>4412</v>
      </c>
      <c r="IK114" s="286"/>
    </row>
    <row r="115" spans="1:245" x14ac:dyDescent="0.2">
      <c r="A115" s="960" t="s">
        <v>595</v>
      </c>
      <c r="B115" s="146" t="s">
        <v>596</v>
      </c>
      <c r="C115" s="147">
        <v>7</v>
      </c>
      <c r="D115" s="148">
        <v>7</v>
      </c>
      <c r="E115" s="148">
        <v>7</v>
      </c>
      <c r="F115" s="148">
        <v>5</v>
      </c>
      <c r="G115" s="149">
        <v>9</v>
      </c>
      <c r="H115" s="149">
        <v>4</v>
      </c>
      <c r="I115" s="278">
        <v>2</v>
      </c>
      <c r="J115" s="278">
        <v>4</v>
      </c>
      <c r="K115" s="150"/>
      <c r="L115" s="147">
        <v>3</v>
      </c>
      <c r="M115" s="148">
        <v>3</v>
      </c>
      <c r="N115" s="148">
        <v>1</v>
      </c>
      <c r="O115" s="148">
        <v>2</v>
      </c>
      <c r="P115" s="149">
        <v>4</v>
      </c>
      <c r="Q115" s="149">
        <v>2</v>
      </c>
      <c r="R115" s="278">
        <v>1</v>
      </c>
      <c r="S115" s="278">
        <v>2</v>
      </c>
      <c r="T115" s="150"/>
      <c r="U115" s="147">
        <v>3</v>
      </c>
      <c r="V115" s="148">
        <v>2</v>
      </c>
      <c r="W115" s="148">
        <v>4</v>
      </c>
      <c r="X115" s="148">
        <v>2</v>
      </c>
      <c r="Y115" s="149">
        <v>3</v>
      </c>
      <c r="Z115" s="149">
        <v>2</v>
      </c>
      <c r="AA115" s="278">
        <v>1</v>
      </c>
      <c r="AB115" s="278"/>
      <c r="AC115" s="150"/>
      <c r="AD115" s="147">
        <v>27</v>
      </c>
      <c r="AE115" s="148">
        <v>12</v>
      </c>
      <c r="AF115" s="148">
        <v>12</v>
      </c>
      <c r="AG115" s="148">
        <v>12</v>
      </c>
      <c r="AH115" s="149">
        <v>10</v>
      </c>
      <c r="AI115" s="149">
        <v>9</v>
      </c>
      <c r="AJ115" s="278">
        <v>9</v>
      </c>
      <c r="AK115" s="278">
        <v>5</v>
      </c>
      <c r="AL115" s="150"/>
      <c r="AM115" s="147">
        <v>21</v>
      </c>
      <c r="AN115" s="148">
        <v>11</v>
      </c>
      <c r="AO115" s="148">
        <v>12</v>
      </c>
      <c r="AP115" s="148">
        <v>7</v>
      </c>
      <c r="AQ115" s="149">
        <v>10</v>
      </c>
      <c r="AR115" s="149">
        <v>8</v>
      </c>
      <c r="AS115" s="278">
        <v>7</v>
      </c>
      <c r="AT115" s="278">
        <v>5</v>
      </c>
      <c r="AU115" s="150"/>
      <c r="AV115" s="147"/>
      <c r="AW115" s="148">
        <v>1</v>
      </c>
      <c r="AX115" s="148"/>
      <c r="AY115" s="148"/>
      <c r="AZ115" s="149"/>
      <c r="BA115" s="149"/>
      <c r="BB115" s="278"/>
      <c r="BC115" s="278"/>
      <c r="BD115" s="150"/>
      <c r="BE115" s="147"/>
      <c r="BF115" s="148">
        <v>1</v>
      </c>
      <c r="BG115" s="148"/>
      <c r="BH115" s="148"/>
      <c r="BI115" s="149">
        <v>12</v>
      </c>
      <c r="BJ115" s="149">
        <v>2</v>
      </c>
      <c r="BK115" s="278"/>
      <c r="BL115" s="278"/>
      <c r="BM115" s="150"/>
      <c r="BN115" s="147"/>
      <c r="BO115" s="148"/>
      <c r="BP115" s="148"/>
      <c r="BQ115" s="148"/>
      <c r="BR115" s="149"/>
      <c r="BS115" s="149"/>
      <c r="BT115" s="278"/>
      <c r="BU115" s="278"/>
      <c r="BV115" s="150"/>
      <c r="BW115" s="147">
        <v>5</v>
      </c>
      <c r="BX115" s="148">
        <v>8</v>
      </c>
      <c r="BY115" s="148">
        <v>2</v>
      </c>
      <c r="BZ115" s="148">
        <v>7</v>
      </c>
      <c r="CA115" s="149">
        <v>4</v>
      </c>
      <c r="CB115" s="149">
        <v>2</v>
      </c>
      <c r="CC115" s="278">
        <v>5</v>
      </c>
      <c r="CD115" s="278">
        <v>1</v>
      </c>
      <c r="CE115" s="150"/>
      <c r="CF115" s="147"/>
      <c r="CG115" s="148"/>
      <c r="CH115" s="148"/>
      <c r="CI115" s="148">
        <v>1</v>
      </c>
      <c r="CJ115" s="149"/>
      <c r="CK115" s="149"/>
      <c r="CL115" s="278">
        <v>1</v>
      </c>
      <c r="CM115" s="278"/>
      <c r="CN115" s="150"/>
      <c r="CO115" s="147">
        <v>4</v>
      </c>
      <c r="CP115" s="148">
        <v>4</v>
      </c>
      <c r="CQ115" s="148"/>
      <c r="CR115" s="148">
        <v>7</v>
      </c>
      <c r="CS115" s="149">
        <v>1</v>
      </c>
      <c r="CT115" s="149">
        <v>5</v>
      </c>
      <c r="CU115" s="278">
        <v>4</v>
      </c>
      <c r="CV115" s="278">
        <v>2</v>
      </c>
      <c r="CW115" s="150"/>
      <c r="CX115" s="147">
        <v>4</v>
      </c>
      <c r="CY115" s="148">
        <v>6</v>
      </c>
      <c r="CZ115" s="148">
        <v>2</v>
      </c>
      <c r="DA115" s="148">
        <v>3</v>
      </c>
      <c r="DB115" s="149"/>
      <c r="DC115" s="149">
        <v>3</v>
      </c>
      <c r="DD115" s="278">
        <v>17</v>
      </c>
      <c r="DE115" s="278">
        <v>23</v>
      </c>
      <c r="DF115" s="150"/>
      <c r="DG115" s="147"/>
      <c r="DH115" s="148"/>
      <c r="DI115" s="148"/>
      <c r="DJ115" s="148"/>
      <c r="DK115" s="149"/>
      <c r="DL115" s="149"/>
      <c r="DM115" s="278"/>
      <c r="DN115" s="278"/>
      <c r="DO115" s="150"/>
      <c r="DP115" s="147"/>
      <c r="DQ115" s="148"/>
      <c r="DR115" s="148"/>
      <c r="DS115" s="148"/>
      <c r="DT115" s="149"/>
      <c r="DU115" s="149"/>
      <c r="DV115" s="278"/>
      <c r="DW115" s="278"/>
      <c r="DX115" s="150"/>
      <c r="DY115" s="147">
        <v>2</v>
      </c>
      <c r="DZ115" s="148"/>
      <c r="EA115" s="148"/>
      <c r="EB115" s="148"/>
      <c r="EC115" s="149"/>
      <c r="ED115" s="149"/>
      <c r="EE115" s="278"/>
      <c r="EF115" s="278">
        <v>8</v>
      </c>
      <c r="EG115" s="150"/>
      <c r="EH115" s="147">
        <v>9</v>
      </c>
      <c r="EI115" s="148"/>
      <c r="EJ115" s="148">
        <v>2</v>
      </c>
      <c r="EK115" s="148"/>
      <c r="EL115" s="149">
        <v>2</v>
      </c>
      <c r="EM115" s="149">
        <v>2</v>
      </c>
      <c r="EN115" s="278">
        <v>1</v>
      </c>
      <c r="EO115" s="278">
        <v>1</v>
      </c>
      <c r="EP115" s="150"/>
      <c r="EQ115" s="147"/>
      <c r="ER115" s="148"/>
      <c r="ES115" s="148">
        <v>1</v>
      </c>
      <c r="ET115" s="148"/>
      <c r="EU115" s="149"/>
      <c r="EV115" s="149"/>
      <c r="EW115" s="278"/>
      <c r="EX115" s="278"/>
      <c r="EY115" s="150"/>
      <c r="EZ115" s="147"/>
      <c r="FA115" s="148"/>
      <c r="FB115" s="148">
        <v>4</v>
      </c>
      <c r="FC115" s="148">
        <v>2</v>
      </c>
      <c r="FD115" s="149">
        <v>7</v>
      </c>
      <c r="FE115" s="149">
        <v>1</v>
      </c>
      <c r="FF115" s="278"/>
      <c r="FG115" s="278"/>
      <c r="FH115" s="150"/>
      <c r="FI115" s="147"/>
      <c r="FJ115" s="148">
        <v>3</v>
      </c>
      <c r="FK115" s="148">
        <v>6</v>
      </c>
      <c r="FL115" s="148">
        <v>1</v>
      </c>
      <c r="FM115" s="149">
        <v>1</v>
      </c>
      <c r="FN115" s="149">
        <v>1</v>
      </c>
      <c r="FO115" s="278"/>
      <c r="FP115" s="278"/>
      <c r="FQ115" s="150"/>
      <c r="FR115" s="147"/>
      <c r="FS115" s="148"/>
      <c r="FT115" s="148"/>
      <c r="FU115" s="148">
        <v>3</v>
      </c>
      <c r="FV115" s="149"/>
      <c r="FW115" s="149"/>
      <c r="FX115" s="278"/>
      <c r="FY115" s="278"/>
      <c r="FZ115" s="150"/>
      <c r="GA115" s="147">
        <v>2</v>
      </c>
      <c r="GB115" s="148">
        <v>5</v>
      </c>
      <c r="GC115" s="148">
        <v>3</v>
      </c>
      <c r="GD115" s="148">
        <v>1</v>
      </c>
      <c r="GE115" s="149">
        <v>4</v>
      </c>
      <c r="GF115" s="149"/>
      <c r="GG115" s="278">
        <v>5</v>
      </c>
      <c r="GH115" s="278">
        <v>1</v>
      </c>
      <c r="GI115" s="150"/>
      <c r="GJ115" s="147">
        <v>58</v>
      </c>
      <c r="GK115" s="148">
        <v>46</v>
      </c>
      <c r="GL115" s="148">
        <v>39</v>
      </c>
      <c r="GM115" s="148">
        <v>42</v>
      </c>
      <c r="GN115" s="149">
        <v>50</v>
      </c>
      <c r="GO115" s="149">
        <v>29</v>
      </c>
      <c r="GP115" s="278">
        <v>44</v>
      </c>
      <c r="GQ115" s="278">
        <v>37</v>
      </c>
      <c r="GR115" s="150"/>
      <c r="GS115" s="147">
        <v>28</v>
      </c>
      <c r="GT115" s="148">
        <v>26</v>
      </c>
      <c r="GU115" s="148">
        <v>13</v>
      </c>
      <c r="GV115" s="148">
        <v>15</v>
      </c>
      <c r="GW115" s="149">
        <v>13</v>
      </c>
      <c r="GX115" s="149">
        <v>5</v>
      </c>
      <c r="GY115" s="278">
        <v>15</v>
      </c>
      <c r="GZ115" s="278">
        <v>5</v>
      </c>
      <c r="HA115" s="150"/>
      <c r="HB115" s="147">
        <v>10</v>
      </c>
      <c r="HC115" s="148">
        <v>10</v>
      </c>
      <c r="HD115" s="148">
        <v>12</v>
      </c>
      <c r="HE115" s="148">
        <v>9</v>
      </c>
      <c r="HF115" s="149">
        <v>5</v>
      </c>
      <c r="HG115" s="149">
        <v>11</v>
      </c>
      <c r="HH115" s="278">
        <v>7</v>
      </c>
      <c r="HI115" s="278">
        <v>17</v>
      </c>
      <c r="HJ115" s="150"/>
      <c r="HK115" s="147">
        <v>5</v>
      </c>
      <c r="HL115" s="148">
        <v>3</v>
      </c>
      <c r="HM115" s="148">
        <v>4</v>
      </c>
      <c r="HN115" s="148">
        <v>1</v>
      </c>
      <c r="HO115" s="149">
        <v>1</v>
      </c>
      <c r="HP115" s="149">
        <v>2</v>
      </c>
      <c r="HQ115" s="278">
        <v>4</v>
      </c>
      <c r="HR115" s="278">
        <v>6</v>
      </c>
      <c r="HS115" s="150"/>
      <c r="HT115" s="147">
        <v>207</v>
      </c>
      <c r="HU115" s="148">
        <v>190</v>
      </c>
      <c r="HV115" s="148">
        <v>176</v>
      </c>
      <c r="HW115" s="148">
        <v>146</v>
      </c>
      <c r="HX115" s="149">
        <v>177</v>
      </c>
      <c r="HY115" s="149">
        <v>210</v>
      </c>
      <c r="HZ115" s="278">
        <v>282</v>
      </c>
      <c r="IA115" s="278">
        <v>246</v>
      </c>
      <c r="IB115" s="150"/>
      <c r="IC115" s="147">
        <v>355</v>
      </c>
      <c r="ID115" s="148">
        <v>288</v>
      </c>
      <c r="IE115" s="148">
        <v>352</v>
      </c>
      <c r="IF115" s="148">
        <v>224</v>
      </c>
      <c r="IG115" s="149">
        <v>631</v>
      </c>
      <c r="IH115" s="149">
        <v>312</v>
      </c>
      <c r="II115" s="278">
        <v>335</v>
      </c>
      <c r="IJ115" s="278">
        <v>333</v>
      </c>
      <c r="IK115" s="150"/>
    </row>
    <row r="116" spans="1:245" x14ac:dyDescent="0.2">
      <c r="A116" s="961"/>
      <c r="B116" s="151" t="s">
        <v>712</v>
      </c>
      <c r="C116" s="152"/>
      <c r="D116" s="153"/>
      <c r="E116" s="153"/>
      <c r="F116" s="153"/>
      <c r="G116" s="154"/>
      <c r="H116" s="154"/>
      <c r="I116" s="279"/>
      <c r="J116" s="279"/>
      <c r="K116" s="155"/>
      <c r="L116" s="152"/>
      <c r="M116" s="153"/>
      <c r="N116" s="153"/>
      <c r="O116" s="153"/>
      <c r="P116" s="154"/>
      <c r="Q116" s="154"/>
      <c r="R116" s="279"/>
      <c r="S116" s="279"/>
      <c r="T116" s="155"/>
      <c r="U116" s="152"/>
      <c r="V116" s="153"/>
      <c r="W116" s="153"/>
      <c r="X116" s="153"/>
      <c r="Y116" s="154"/>
      <c r="Z116" s="154"/>
      <c r="AA116" s="279"/>
      <c r="AB116" s="279"/>
      <c r="AC116" s="155"/>
      <c r="AD116" s="152">
        <v>140</v>
      </c>
      <c r="AE116" s="153">
        <v>130</v>
      </c>
      <c r="AF116" s="153">
        <v>119</v>
      </c>
      <c r="AG116" s="153">
        <v>125</v>
      </c>
      <c r="AH116" s="154">
        <v>132</v>
      </c>
      <c r="AI116" s="154">
        <v>129</v>
      </c>
      <c r="AJ116" s="279">
        <v>80</v>
      </c>
      <c r="AK116" s="279">
        <v>107</v>
      </c>
      <c r="AL116" s="155"/>
      <c r="AM116" s="152">
        <v>83</v>
      </c>
      <c r="AN116" s="153">
        <v>71</v>
      </c>
      <c r="AO116" s="153">
        <v>68</v>
      </c>
      <c r="AP116" s="153">
        <v>76</v>
      </c>
      <c r="AQ116" s="154">
        <v>62</v>
      </c>
      <c r="AR116" s="154">
        <v>68</v>
      </c>
      <c r="AS116" s="279">
        <v>49</v>
      </c>
      <c r="AT116" s="279">
        <v>59</v>
      </c>
      <c r="AU116" s="155"/>
      <c r="AV116" s="152"/>
      <c r="AW116" s="153"/>
      <c r="AX116" s="153"/>
      <c r="AY116" s="153"/>
      <c r="AZ116" s="154"/>
      <c r="BA116" s="154"/>
      <c r="BB116" s="279"/>
      <c r="BC116" s="279"/>
      <c r="BD116" s="155"/>
      <c r="BE116" s="152">
        <v>6</v>
      </c>
      <c r="BF116" s="153">
        <v>23</v>
      </c>
      <c r="BG116" s="153">
        <v>35</v>
      </c>
      <c r="BH116" s="153">
        <v>25</v>
      </c>
      <c r="BI116" s="154">
        <v>37</v>
      </c>
      <c r="BJ116" s="154">
        <v>26</v>
      </c>
      <c r="BK116" s="279">
        <v>19</v>
      </c>
      <c r="BL116" s="279">
        <v>20</v>
      </c>
      <c r="BM116" s="155"/>
      <c r="BN116" s="152"/>
      <c r="BO116" s="153"/>
      <c r="BP116" s="153"/>
      <c r="BQ116" s="153"/>
      <c r="BR116" s="154"/>
      <c r="BS116" s="154"/>
      <c r="BT116" s="279"/>
      <c r="BU116" s="279"/>
      <c r="BV116" s="155"/>
      <c r="BW116" s="152">
        <v>156</v>
      </c>
      <c r="BX116" s="153">
        <v>155</v>
      </c>
      <c r="BY116" s="153">
        <v>164</v>
      </c>
      <c r="BZ116" s="153">
        <v>123</v>
      </c>
      <c r="CA116" s="154">
        <v>137</v>
      </c>
      <c r="CB116" s="154">
        <v>135</v>
      </c>
      <c r="CC116" s="279">
        <v>102</v>
      </c>
      <c r="CD116" s="279">
        <v>131</v>
      </c>
      <c r="CE116" s="155"/>
      <c r="CF116" s="152">
        <v>4</v>
      </c>
      <c r="CG116" s="153">
        <v>1</v>
      </c>
      <c r="CH116" s="153">
        <v>3</v>
      </c>
      <c r="CI116" s="153">
        <v>5</v>
      </c>
      <c r="CJ116" s="154">
        <v>2</v>
      </c>
      <c r="CK116" s="154">
        <v>5</v>
      </c>
      <c r="CL116" s="279">
        <v>1</v>
      </c>
      <c r="CM116" s="279">
        <v>3</v>
      </c>
      <c r="CN116" s="155"/>
      <c r="CO116" s="152">
        <v>4</v>
      </c>
      <c r="CP116" s="153">
        <v>4</v>
      </c>
      <c r="CQ116" s="153">
        <v>6</v>
      </c>
      <c r="CR116" s="153">
        <v>5</v>
      </c>
      <c r="CS116" s="154">
        <v>3</v>
      </c>
      <c r="CT116" s="154">
        <v>3</v>
      </c>
      <c r="CU116" s="279">
        <v>4</v>
      </c>
      <c r="CV116" s="279">
        <v>4</v>
      </c>
      <c r="CW116" s="155"/>
      <c r="CX116" s="152">
        <v>960</v>
      </c>
      <c r="CY116" s="153">
        <v>1067</v>
      </c>
      <c r="CZ116" s="153">
        <v>1017</v>
      </c>
      <c r="DA116" s="153">
        <v>897</v>
      </c>
      <c r="DB116" s="154">
        <v>850</v>
      </c>
      <c r="DC116" s="154">
        <v>699</v>
      </c>
      <c r="DD116" s="279">
        <v>539</v>
      </c>
      <c r="DE116" s="279">
        <v>466</v>
      </c>
      <c r="DF116" s="155"/>
      <c r="DG116" s="152">
        <v>7</v>
      </c>
      <c r="DH116" s="153">
        <v>1</v>
      </c>
      <c r="DI116" s="153">
        <v>4</v>
      </c>
      <c r="DJ116" s="153">
        <v>2</v>
      </c>
      <c r="DK116" s="154">
        <v>6</v>
      </c>
      <c r="DL116" s="154">
        <v>11</v>
      </c>
      <c r="DM116" s="279"/>
      <c r="DN116" s="279">
        <v>1</v>
      </c>
      <c r="DO116" s="155"/>
      <c r="DP116" s="152">
        <v>18</v>
      </c>
      <c r="DQ116" s="153">
        <v>46</v>
      </c>
      <c r="DR116" s="153">
        <v>18</v>
      </c>
      <c r="DS116" s="153">
        <v>11</v>
      </c>
      <c r="DT116" s="154">
        <v>39</v>
      </c>
      <c r="DU116" s="154">
        <v>18</v>
      </c>
      <c r="DV116" s="279">
        <v>6</v>
      </c>
      <c r="DW116" s="279">
        <v>14</v>
      </c>
      <c r="DX116" s="155"/>
      <c r="DY116" s="152">
        <v>76</v>
      </c>
      <c r="DZ116" s="153">
        <v>88</v>
      </c>
      <c r="EA116" s="153">
        <v>57</v>
      </c>
      <c r="EB116" s="153">
        <v>78</v>
      </c>
      <c r="EC116" s="154">
        <v>90</v>
      </c>
      <c r="ED116" s="154">
        <v>119</v>
      </c>
      <c r="EE116" s="279">
        <v>79</v>
      </c>
      <c r="EF116" s="279">
        <v>63</v>
      </c>
      <c r="EG116" s="155"/>
      <c r="EH116" s="152">
        <v>12</v>
      </c>
      <c r="EI116" s="153">
        <v>8</v>
      </c>
      <c r="EJ116" s="153">
        <v>9</v>
      </c>
      <c r="EK116" s="153">
        <v>10</v>
      </c>
      <c r="EL116" s="154">
        <v>5</v>
      </c>
      <c r="EM116" s="154">
        <v>16</v>
      </c>
      <c r="EN116" s="279">
        <v>6</v>
      </c>
      <c r="EO116" s="279">
        <v>4</v>
      </c>
      <c r="EP116" s="155"/>
      <c r="EQ116" s="152">
        <v>8</v>
      </c>
      <c r="ER116" s="153">
        <v>1</v>
      </c>
      <c r="ES116" s="153">
        <v>5</v>
      </c>
      <c r="ET116" s="153">
        <v>1</v>
      </c>
      <c r="EU116" s="154">
        <v>2</v>
      </c>
      <c r="EV116" s="154">
        <v>3</v>
      </c>
      <c r="EW116" s="279">
        <v>3</v>
      </c>
      <c r="EX116" s="279">
        <v>11</v>
      </c>
      <c r="EY116" s="155"/>
      <c r="EZ116" s="152">
        <v>3</v>
      </c>
      <c r="FA116" s="153">
        <v>4</v>
      </c>
      <c r="FB116" s="153">
        <v>5</v>
      </c>
      <c r="FC116" s="153"/>
      <c r="FD116" s="154">
        <v>1</v>
      </c>
      <c r="FE116" s="154">
        <v>10</v>
      </c>
      <c r="FF116" s="279"/>
      <c r="FG116" s="279">
        <v>3</v>
      </c>
      <c r="FH116" s="155"/>
      <c r="FI116" s="152">
        <v>63</v>
      </c>
      <c r="FJ116" s="153">
        <v>64</v>
      </c>
      <c r="FK116" s="153">
        <v>60</v>
      </c>
      <c r="FL116" s="153">
        <v>34</v>
      </c>
      <c r="FM116" s="154">
        <v>37</v>
      </c>
      <c r="FN116" s="154">
        <v>36</v>
      </c>
      <c r="FO116" s="279">
        <v>16</v>
      </c>
      <c r="FP116" s="279">
        <v>34</v>
      </c>
      <c r="FQ116" s="155"/>
      <c r="FR116" s="152">
        <v>5</v>
      </c>
      <c r="FS116" s="153">
        <v>14</v>
      </c>
      <c r="FT116" s="153">
        <v>5</v>
      </c>
      <c r="FU116" s="153">
        <v>10</v>
      </c>
      <c r="FV116" s="154">
        <v>2</v>
      </c>
      <c r="FW116" s="154">
        <v>5</v>
      </c>
      <c r="FX116" s="279">
        <v>4</v>
      </c>
      <c r="FY116" s="279"/>
      <c r="FZ116" s="155"/>
      <c r="GA116" s="152">
        <v>3</v>
      </c>
      <c r="GB116" s="153">
        <v>4</v>
      </c>
      <c r="GC116" s="153">
        <v>5</v>
      </c>
      <c r="GD116" s="153">
        <v>1</v>
      </c>
      <c r="GE116" s="154">
        <v>11</v>
      </c>
      <c r="GF116" s="154">
        <v>7</v>
      </c>
      <c r="GG116" s="279">
        <v>3</v>
      </c>
      <c r="GH116" s="279">
        <v>6</v>
      </c>
      <c r="GI116" s="155"/>
      <c r="GJ116" s="152">
        <v>1364</v>
      </c>
      <c r="GK116" s="153">
        <v>1475</v>
      </c>
      <c r="GL116" s="153">
        <v>1433</v>
      </c>
      <c r="GM116" s="153">
        <v>1236</v>
      </c>
      <c r="GN116" s="154">
        <v>1219</v>
      </c>
      <c r="GO116" s="154">
        <v>1074</v>
      </c>
      <c r="GP116" s="279">
        <v>777</v>
      </c>
      <c r="GQ116" s="279">
        <v>789</v>
      </c>
      <c r="GR116" s="155"/>
      <c r="GS116" s="152">
        <v>475</v>
      </c>
      <c r="GT116" s="153">
        <v>534</v>
      </c>
      <c r="GU116" s="153">
        <v>493</v>
      </c>
      <c r="GV116" s="153">
        <v>363</v>
      </c>
      <c r="GW116" s="154">
        <v>240</v>
      </c>
      <c r="GX116" s="154">
        <v>214</v>
      </c>
      <c r="GY116" s="279">
        <v>177</v>
      </c>
      <c r="GZ116" s="279">
        <v>213</v>
      </c>
      <c r="HA116" s="155"/>
      <c r="HB116" s="152"/>
      <c r="HC116" s="153"/>
      <c r="HD116" s="153">
        <v>1</v>
      </c>
      <c r="HE116" s="153"/>
      <c r="HF116" s="154"/>
      <c r="HG116" s="154"/>
      <c r="HH116" s="279"/>
      <c r="HI116" s="279"/>
      <c r="HJ116" s="155"/>
      <c r="HK116" s="152"/>
      <c r="HL116" s="153"/>
      <c r="HM116" s="153"/>
      <c r="HN116" s="153"/>
      <c r="HO116" s="154"/>
      <c r="HP116" s="154"/>
      <c r="HQ116" s="279"/>
      <c r="HR116" s="279"/>
      <c r="HS116" s="155"/>
      <c r="HT116" s="152">
        <v>506</v>
      </c>
      <c r="HU116" s="153">
        <v>585</v>
      </c>
      <c r="HV116" s="153">
        <v>518</v>
      </c>
      <c r="HW116" s="153">
        <v>397</v>
      </c>
      <c r="HX116" s="154">
        <v>252</v>
      </c>
      <c r="HY116" s="154">
        <v>240</v>
      </c>
      <c r="HZ116" s="279">
        <v>207</v>
      </c>
      <c r="IA116" s="279">
        <v>233</v>
      </c>
      <c r="IB116" s="155"/>
      <c r="IC116" s="152">
        <v>2548</v>
      </c>
      <c r="ID116" s="153">
        <v>2891</v>
      </c>
      <c r="IE116" s="153">
        <v>2584</v>
      </c>
      <c r="IF116" s="153">
        <v>1915</v>
      </c>
      <c r="IG116" s="154">
        <v>1575</v>
      </c>
      <c r="IH116" s="154">
        <v>1844</v>
      </c>
      <c r="II116" s="279">
        <v>1194</v>
      </c>
      <c r="IJ116" s="279">
        <v>1145</v>
      </c>
      <c r="IK116" s="155"/>
    </row>
    <row r="117" spans="1:245" x14ac:dyDescent="0.2">
      <c r="A117" s="961"/>
      <c r="B117" s="151" t="s">
        <v>713</v>
      </c>
      <c r="C117" s="152"/>
      <c r="D117" s="153"/>
      <c r="E117" s="153"/>
      <c r="F117" s="153"/>
      <c r="G117" s="154"/>
      <c r="H117" s="154"/>
      <c r="I117" s="279"/>
      <c r="J117" s="279"/>
      <c r="K117" s="155"/>
      <c r="L117" s="152"/>
      <c r="M117" s="153"/>
      <c r="N117" s="153"/>
      <c r="O117" s="153"/>
      <c r="P117" s="154"/>
      <c r="Q117" s="154"/>
      <c r="R117" s="279"/>
      <c r="S117" s="279"/>
      <c r="T117" s="155"/>
      <c r="U117" s="152"/>
      <c r="V117" s="153"/>
      <c r="W117" s="153"/>
      <c r="X117" s="153"/>
      <c r="Y117" s="154"/>
      <c r="Z117" s="154"/>
      <c r="AA117" s="279"/>
      <c r="AB117" s="279"/>
      <c r="AC117" s="155"/>
      <c r="AD117" s="152">
        <v>76</v>
      </c>
      <c r="AE117" s="153">
        <v>76</v>
      </c>
      <c r="AF117" s="153">
        <v>54</v>
      </c>
      <c r="AG117" s="153">
        <v>51</v>
      </c>
      <c r="AH117" s="154">
        <v>52</v>
      </c>
      <c r="AI117" s="154">
        <v>49</v>
      </c>
      <c r="AJ117" s="279">
        <v>31</v>
      </c>
      <c r="AK117" s="279">
        <v>40</v>
      </c>
      <c r="AL117" s="155"/>
      <c r="AM117" s="152">
        <v>38</v>
      </c>
      <c r="AN117" s="153">
        <v>42</v>
      </c>
      <c r="AO117" s="153">
        <v>30</v>
      </c>
      <c r="AP117" s="153">
        <v>28</v>
      </c>
      <c r="AQ117" s="154">
        <v>25</v>
      </c>
      <c r="AR117" s="154">
        <v>33</v>
      </c>
      <c r="AS117" s="279">
        <v>16</v>
      </c>
      <c r="AT117" s="279">
        <v>15</v>
      </c>
      <c r="AU117" s="155"/>
      <c r="AV117" s="152"/>
      <c r="AW117" s="153"/>
      <c r="AX117" s="153"/>
      <c r="AY117" s="153"/>
      <c r="AZ117" s="154"/>
      <c r="BA117" s="154"/>
      <c r="BB117" s="279"/>
      <c r="BC117" s="279"/>
      <c r="BD117" s="155"/>
      <c r="BE117" s="152">
        <v>2</v>
      </c>
      <c r="BF117" s="153">
        <v>16</v>
      </c>
      <c r="BG117" s="153">
        <v>4</v>
      </c>
      <c r="BH117" s="153">
        <v>3</v>
      </c>
      <c r="BI117" s="154">
        <v>3</v>
      </c>
      <c r="BJ117" s="154">
        <v>4</v>
      </c>
      <c r="BK117" s="279">
        <v>3</v>
      </c>
      <c r="BL117" s="279">
        <v>9</v>
      </c>
      <c r="BM117" s="155"/>
      <c r="BN117" s="152"/>
      <c r="BO117" s="153"/>
      <c r="BP117" s="153"/>
      <c r="BQ117" s="153"/>
      <c r="BR117" s="154"/>
      <c r="BS117" s="154"/>
      <c r="BT117" s="279"/>
      <c r="BU117" s="279"/>
      <c r="BV117" s="155"/>
      <c r="BW117" s="152">
        <v>75</v>
      </c>
      <c r="BX117" s="153">
        <v>69</v>
      </c>
      <c r="BY117" s="153">
        <v>56</v>
      </c>
      <c r="BZ117" s="153">
        <v>43</v>
      </c>
      <c r="CA117" s="154">
        <v>61</v>
      </c>
      <c r="CB117" s="154">
        <v>68</v>
      </c>
      <c r="CC117" s="279">
        <v>47</v>
      </c>
      <c r="CD117" s="279">
        <v>33</v>
      </c>
      <c r="CE117" s="155"/>
      <c r="CF117" s="152">
        <v>1</v>
      </c>
      <c r="CG117" s="153">
        <v>2</v>
      </c>
      <c r="CH117" s="153"/>
      <c r="CI117" s="153"/>
      <c r="CJ117" s="154"/>
      <c r="CK117" s="154">
        <v>2</v>
      </c>
      <c r="CL117" s="279">
        <v>1</v>
      </c>
      <c r="CM117" s="279">
        <v>1</v>
      </c>
      <c r="CN117" s="155"/>
      <c r="CO117" s="152">
        <v>2</v>
      </c>
      <c r="CP117" s="153">
        <v>6</v>
      </c>
      <c r="CQ117" s="153">
        <v>5</v>
      </c>
      <c r="CR117" s="153">
        <v>1</v>
      </c>
      <c r="CS117" s="154">
        <v>1</v>
      </c>
      <c r="CT117" s="154"/>
      <c r="CU117" s="279">
        <v>1</v>
      </c>
      <c r="CV117" s="279"/>
      <c r="CW117" s="155"/>
      <c r="CX117" s="152">
        <v>569</v>
      </c>
      <c r="CY117" s="153">
        <v>665</v>
      </c>
      <c r="CZ117" s="153">
        <v>669</v>
      </c>
      <c r="DA117" s="153">
        <v>558</v>
      </c>
      <c r="DB117" s="154">
        <v>349</v>
      </c>
      <c r="DC117" s="154">
        <v>354</v>
      </c>
      <c r="DD117" s="279">
        <v>206</v>
      </c>
      <c r="DE117" s="279">
        <v>229</v>
      </c>
      <c r="DF117" s="155"/>
      <c r="DG117" s="152">
        <v>1</v>
      </c>
      <c r="DH117" s="153">
        <v>1</v>
      </c>
      <c r="DI117" s="153">
        <v>2</v>
      </c>
      <c r="DJ117" s="153">
        <v>1</v>
      </c>
      <c r="DK117" s="154">
        <v>2</v>
      </c>
      <c r="DL117" s="154"/>
      <c r="DM117" s="279"/>
      <c r="DN117" s="279">
        <v>2</v>
      </c>
      <c r="DO117" s="155"/>
      <c r="DP117" s="152">
        <v>14</v>
      </c>
      <c r="DQ117" s="153">
        <v>11</v>
      </c>
      <c r="DR117" s="153">
        <v>11</v>
      </c>
      <c r="DS117" s="153">
        <v>6</v>
      </c>
      <c r="DT117" s="154">
        <v>4</v>
      </c>
      <c r="DU117" s="154"/>
      <c r="DV117" s="279">
        <v>3</v>
      </c>
      <c r="DW117" s="279">
        <v>2</v>
      </c>
      <c r="DX117" s="155"/>
      <c r="DY117" s="152">
        <v>30</v>
      </c>
      <c r="DZ117" s="153">
        <v>46</v>
      </c>
      <c r="EA117" s="153">
        <v>56</v>
      </c>
      <c r="EB117" s="153">
        <v>80</v>
      </c>
      <c r="EC117" s="154">
        <v>42</v>
      </c>
      <c r="ED117" s="154">
        <v>75</v>
      </c>
      <c r="EE117" s="279">
        <v>21</v>
      </c>
      <c r="EF117" s="279">
        <v>39</v>
      </c>
      <c r="EG117" s="155"/>
      <c r="EH117" s="152">
        <v>4</v>
      </c>
      <c r="EI117" s="153">
        <v>6</v>
      </c>
      <c r="EJ117" s="153">
        <v>3</v>
      </c>
      <c r="EK117" s="153">
        <v>5</v>
      </c>
      <c r="EL117" s="154">
        <v>5</v>
      </c>
      <c r="EM117" s="154">
        <v>7</v>
      </c>
      <c r="EN117" s="279">
        <v>6</v>
      </c>
      <c r="EO117" s="279">
        <v>1</v>
      </c>
      <c r="EP117" s="155"/>
      <c r="EQ117" s="152">
        <v>1</v>
      </c>
      <c r="ER117" s="153"/>
      <c r="ES117" s="153"/>
      <c r="ET117" s="153">
        <v>5</v>
      </c>
      <c r="EU117" s="154"/>
      <c r="EV117" s="154">
        <v>3</v>
      </c>
      <c r="EW117" s="279"/>
      <c r="EX117" s="279"/>
      <c r="EY117" s="155"/>
      <c r="EZ117" s="152"/>
      <c r="FA117" s="153">
        <v>4</v>
      </c>
      <c r="FB117" s="153">
        <v>6</v>
      </c>
      <c r="FC117" s="153">
        <v>1</v>
      </c>
      <c r="FD117" s="154"/>
      <c r="FE117" s="154"/>
      <c r="FF117" s="279"/>
      <c r="FG117" s="279"/>
      <c r="FH117" s="155"/>
      <c r="FI117" s="152">
        <v>35</v>
      </c>
      <c r="FJ117" s="153">
        <v>28</v>
      </c>
      <c r="FK117" s="153">
        <v>24</v>
      </c>
      <c r="FL117" s="153">
        <v>18</v>
      </c>
      <c r="FM117" s="154">
        <v>19</v>
      </c>
      <c r="FN117" s="154">
        <v>16</v>
      </c>
      <c r="FO117" s="279">
        <v>12</v>
      </c>
      <c r="FP117" s="279">
        <v>13</v>
      </c>
      <c r="FQ117" s="155"/>
      <c r="FR117" s="152">
        <v>5</v>
      </c>
      <c r="FS117" s="153">
        <v>2</v>
      </c>
      <c r="FT117" s="153">
        <v>3</v>
      </c>
      <c r="FU117" s="153">
        <v>2</v>
      </c>
      <c r="FV117" s="154">
        <v>6</v>
      </c>
      <c r="FW117" s="154">
        <v>1</v>
      </c>
      <c r="FX117" s="279">
        <v>1</v>
      </c>
      <c r="FY117" s="279"/>
      <c r="FZ117" s="155"/>
      <c r="GA117" s="152">
        <v>1</v>
      </c>
      <c r="GB117" s="153">
        <v>7</v>
      </c>
      <c r="GC117" s="153">
        <v>2</v>
      </c>
      <c r="GD117" s="153"/>
      <c r="GE117" s="154">
        <v>4</v>
      </c>
      <c r="GF117" s="154">
        <v>5</v>
      </c>
      <c r="GG117" s="279">
        <v>2</v>
      </c>
      <c r="GH117" s="279">
        <v>4</v>
      </c>
      <c r="GI117" s="155"/>
      <c r="GJ117" s="152">
        <v>771</v>
      </c>
      <c r="GK117" s="153">
        <v>881</v>
      </c>
      <c r="GL117" s="153">
        <v>826</v>
      </c>
      <c r="GM117" s="153">
        <v>687</v>
      </c>
      <c r="GN117" s="154">
        <v>500</v>
      </c>
      <c r="GO117" s="154">
        <v>509</v>
      </c>
      <c r="GP117" s="279">
        <v>310</v>
      </c>
      <c r="GQ117" s="279">
        <v>330</v>
      </c>
      <c r="GR117" s="155"/>
      <c r="GS117" s="152">
        <v>210</v>
      </c>
      <c r="GT117" s="153">
        <v>226</v>
      </c>
      <c r="GU117" s="153">
        <v>192</v>
      </c>
      <c r="GV117" s="153">
        <v>168</v>
      </c>
      <c r="GW117" s="154">
        <v>81</v>
      </c>
      <c r="GX117" s="154">
        <v>92</v>
      </c>
      <c r="GY117" s="279">
        <v>72</v>
      </c>
      <c r="GZ117" s="279">
        <v>37</v>
      </c>
      <c r="HA117" s="155"/>
      <c r="HB117" s="152"/>
      <c r="HC117" s="153"/>
      <c r="HD117" s="153"/>
      <c r="HE117" s="153"/>
      <c r="HF117" s="154"/>
      <c r="HG117" s="154"/>
      <c r="HH117" s="279"/>
      <c r="HI117" s="279"/>
      <c r="HJ117" s="155"/>
      <c r="HK117" s="152"/>
      <c r="HL117" s="153"/>
      <c r="HM117" s="153"/>
      <c r="HN117" s="153"/>
      <c r="HO117" s="154"/>
      <c r="HP117" s="154"/>
      <c r="HQ117" s="279"/>
      <c r="HR117" s="279"/>
      <c r="HS117" s="155"/>
      <c r="HT117" s="152">
        <v>227</v>
      </c>
      <c r="HU117" s="153">
        <v>233</v>
      </c>
      <c r="HV117" s="153">
        <v>201</v>
      </c>
      <c r="HW117" s="153">
        <v>178</v>
      </c>
      <c r="HX117" s="154">
        <v>109</v>
      </c>
      <c r="HY117" s="154">
        <v>119</v>
      </c>
      <c r="HZ117" s="279">
        <v>85</v>
      </c>
      <c r="IA117" s="279">
        <v>46</v>
      </c>
      <c r="IB117" s="155"/>
      <c r="IC117" s="152">
        <v>1074</v>
      </c>
      <c r="ID117" s="153">
        <v>1427</v>
      </c>
      <c r="IE117" s="153">
        <v>1410</v>
      </c>
      <c r="IF117" s="153">
        <v>931</v>
      </c>
      <c r="IG117" s="154">
        <v>753</v>
      </c>
      <c r="IH117" s="154">
        <v>772</v>
      </c>
      <c r="II117" s="279">
        <v>491</v>
      </c>
      <c r="IJ117" s="279">
        <v>560</v>
      </c>
      <c r="IK117" s="155"/>
    </row>
    <row r="118" spans="1:245" x14ac:dyDescent="0.2">
      <c r="A118" s="961"/>
      <c r="B118" s="151" t="s">
        <v>714</v>
      </c>
      <c r="C118" s="152"/>
      <c r="D118" s="153"/>
      <c r="E118" s="153"/>
      <c r="F118" s="153"/>
      <c r="G118" s="154"/>
      <c r="H118" s="154"/>
      <c r="I118" s="279"/>
      <c r="J118" s="279"/>
      <c r="K118" s="155"/>
      <c r="L118" s="152"/>
      <c r="M118" s="153"/>
      <c r="N118" s="153"/>
      <c r="O118" s="153"/>
      <c r="P118" s="154"/>
      <c r="Q118" s="154"/>
      <c r="R118" s="279"/>
      <c r="S118" s="279"/>
      <c r="T118" s="155"/>
      <c r="U118" s="152"/>
      <c r="V118" s="153"/>
      <c r="W118" s="153"/>
      <c r="X118" s="153"/>
      <c r="Y118" s="154"/>
      <c r="Z118" s="154"/>
      <c r="AA118" s="279"/>
      <c r="AB118" s="279"/>
      <c r="AC118" s="155"/>
      <c r="AD118" s="152">
        <v>42</v>
      </c>
      <c r="AE118" s="153">
        <v>41</v>
      </c>
      <c r="AF118" s="153">
        <v>34</v>
      </c>
      <c r="AG118" s="153">
        <v>36</v>
      </c>
      <c r="AH118" s="154">
        <v>47</v>
      </c>
      <c r="AI118" s="154">
        <v>44</v>
      </c>
      <c r="AJ118" s="279">
        <v>24</v>
      </c>
      <c r="AK118" s="279">
        <v>29</v>
      </c>
      <c r="AL118" s="155"/>
      <c r="AM118" s="152">
        <v>35</v>
      </c>
      <c r="AN118" s="153">
        <v>34</v>
      </c>
      <c r="AO118" s="153">
        <v>27</v>
      </c>
      <c r="AP118" s="153">
        <v>21</v>
      </c>
      <c r="AQ118" s="154">
        <v>28</v>
      </c>
      <c r="AR118" s="154">
        <v>28</v>
      </c>
      <c r="AS118" s="279">
        <v>13</v>
      </c>
      <c r="AT118" s="279">
        <v>11</v>
      </c>
      <c r="AU118" s="155"/>
      <c r="AV118" s="152"/>
      <c r="AW118" s="153"/>
      <c r="AX118" s="153"/>
      <c r="AY118" s="153"/>
      <c r="AZ118" s="154"/>
      <c r="BA118" s="154"/>
      <c r="BB118" s="279"/>
      <c r="BC118" s="279"/>
      <c r="BD118" s="155"/>
      <c r="BE118" s="152">
        <v>1</v>
      </c>
      <c r="BF118" s="153">
        <v>13</v>
      </c>
      <c r="BG118" s="153">
        <v>1</v>
      </c>
      <c r="BH118" s="153">
        <v>2</v>
      </c>
      <c r="BI118" s="154">
        <v>3</v>
      </c>
      <c r="BJ118" s="154">
        <v>8</v>
      </c>
      <c r="BK118" s="279">
        <v>6</v>
      </c>
      <c r="BL118" s="279">
        <v>16</v>
      </c>
      <c r="BM118" s="155"/>
      <c r="BN118" s="152"/>
      <c r="BO118" s="153"/>
      <c r="BP118" s="153"/>
      <c r="BQ118" s="153"/>
      <c r="BR118" s="154"/>
      <c r="BS118" s="154"/>
      <c r="BT118" s="279"/>
      <c r="BU118" s="279"/>
      <c r="BV118" s="155"/>
      <c r="BW118" s="152">
        <v>37</v>
      </c>
      <c r="BX118" s="153">
        <v>49</v>
      </c>
      <c r="BY118" s="153">
        <v>48</v>
      </c>
      <c r="BZ118" s="153">
        <v>47</v>
      </c>
      <c r="CA118" s="154">
        <v>83</v>
      </c>
      <c r="CB118" s="154">
        <v>49</v>
      </c>
      <c r="CC118" s="279">
        <v>39</v>
      </c>
      <c r="CD118" s="279">
        <v>56</v>
      </c>
      <c r="CE118" s="155"/>
      <c r="CF118" s="152">
        <v>3</v>
      </c>
      <c r="CG118" s="153">
        <v>2</v>
      </c>
      <c r="CH118" s="153">
        <v>8</v>
      </c>
      <c r="CI118" s="153">
        <v>6</v>
      </c>
      <c r="CJ118" s="154">
        <v>9</v>
      </c>
      <c r="CK118" s="154">
        <v>1</v>
      </c>
      <c r="CL118" s="279">
        <v>2</v>
      </c>
      <c r="CM118" s="279">
        <v>4</v>
      </c>
      <c r="CN118" s="155"/>
      <c r="CO118" s="152">
        <v>1</v>
      </c>
      <c r="CP118" s="153">
        <v>3</v>
      </c>
      <c r="CQ118" s="153">
        <v>1</v>
      </c>
      <c r="CR118" s="153">
        <v>3</v>
      </c>
      <c r="CS118" s="154">
        <v>4</v>
      </c>
      <c r="CT118" s="154">
        <v>1</v>
      </c>
      <c r="CU118" s="279">
        <v>2</v>
      </c>
      <c r="CV118" s="279">
        <v>4</v>
      </c>
      <c r="CW118" s="155"/>
      <c r="CX118" s="152">
        <v>469</v>
      </c>
      <c r="CY118" s="153">
        <v>569</v>
      </c>
      <c r="CZ118" s="153">
        <v>464</v>
      </c>
      <c r="DA118" s="153">
        <v>441</v>
      </c>
      <c r="DB118" s="154">
        <v>368</v>
      </c>
      <c r="DC118" s="154">
        <v>267</v>
      </c>
      <c r="DD118" s="279">
        <v>311</v>
      </c>
      <c r="DE118" s="279">
        <v>136</v>
      </c>
      <c r="DF118" s="155"/>
      <c r="DG118" s="152">
        <v>2</v>
      </c>
      <c r="DH118" s="153">
        <v>5</v>
      </c>
      <c r="DI118" s="153">
        <v>2</v>
      </c>
      <c r="DJ118" s="153">
        <v>1</v>
      </c>
      <c r="DK118" s="154">
        <v>1</v>
      </c>
      <c r="DL118" s="154">
        <v>1</v>
      </c>
      <c r="DM118" s="279"/>
      <c r="DN118" s="279"/>
      <c r="DO118" s="155"/>
      <c r="DP118" s="152">
        <v>4</v>
      </c>
      <c r="DQ118" s="153">
        <v>6</v>
      </c>
      <c r="DR118" s="153">
        <v>4</v>
      </c>
      <c r="DS118" s="153">
        <v>7</v>
      </c>
      <c r="DT118" s="154">
        <v>6</v>
      </c>
      <c r="DU118" s="154">
        <v>2</v>
      </c>
      <c r="DV118" s="279">
        <v>7</v>
      </c>
      <c r="DW118" s="279"/>
      <c r="DX118" s="155"/>
      <c r="DY118" s="152">
        <v>84</v>
      </c>
      <c r="DZ118" s="153">
        <v>92</v>
      </c>
      <c r="EA118" s="153">
        <v>41</v>
      </c>
      <c r="EB118" s="153">
        <v>71</v>
      </c>
      <c r="EC118" s="154">
        <v>73</v>
      </c>
      <c r="ED118" s="154">
        <v>56</v>
      </c>
      <c r="EE118" s="279">
        <v>93</v>
      </c>
      <c r="EF118" s="279">
        <v>30</v>
      </c>
      <c r="EG118" s="155"/>
      <c r="EH118" s="152">
        <v>11</v>
      </c>
      <c r="EI118" s="153">
        <v>2</v>
      </c>
      <c r="EJ118" s="153">
        <v>1</v>
      </c>
      <c r="EK118" s="153">
        <v>5</v>
      </c>
      <c r="EL118" s="154">
        <v>3</v>
      </c>
      <c r="EM118" s="154">
        <v>2</v>
      </c>
      <c r="EN118" s="279">
        <v>3</v>
      </c>
      <c r="EO118" s="279">
        <v>3</v>
      </c>
      <c r="EP118" s="155"/>
      <c r="EQ118" s="152">
        <v>3</v>
      </c>
      <c r="ER118" s="153">
        <v>2</v>
      </c>
      <c r="ES118" s="153"/>
      <c r="ET118" s="153"/>
      <c r="EU118" s="154"/>
      <c r="EV118" s="154"/>
      <c r="EW118" s="279">
        <v>2</v>
      </c>
      <c r="EX118" s="279">
        <v>4</v>
      </c>
      <c r="EY118" s="155"/>
      <c r="EZ118" s="152">
        <v>3</v>
      </c>
      <c r="FA118" s="153">
        <v>1</v>
      </c>
      <c r="FB118" s="153">
        <v>2</v>
      </c>
      <c r="FC118" s="153">
        <v>1</v>
      </c>
      <c r="FD118" s="154">
        <v>1</v>
      </c>
      <c r="FE118" s="154">
        <v>2</v>
      </c>
      <c r="FF118" s="279">
        <v>5</v>
      </c>
      <c r="FG118" s="279">
        <v>2</v>
      </c>
      <c r="FH118" s="155"/>
      <c r="FI118" s="152">
        <v>39</v>
      </c>
      <c r="FJ118" s="153">
        <v>23</v>
      </c>
      <c r="FK118" s="153">
        <v>21</v>
      </c>
      <c r="FL118" s="153">
        <v>11</v>
      </c>
      <c r="FM118" s="154">
        <v>12</v>
      </c>
      <c r="FN118" s="154">
        <v>9</v>
      </c>
      <c r="FO118" s="279">
        <v>7</v>
      </c>
      <c r="FP118" s="279">
        <v>8</v>
      </c>
      <c r="FQ118" s="155"/>
      <c r="FR118" s="152">
        <v>5</v>
      </c>
      <c r="FS118" s="153">
        <v>3</v>
      </c>
      <c r="FT118" s="153">
        <v>1</v>
      </c>
      <c r="FU118" s="153">
        <v>4</v>
      </c>
      <c r="FV118" s="154"/>
      <c r="FW118" s="154">
        <v>5</v>
      </c>
      <c r="FX118" s="279">
        <v>3</v>
      </c>
      <c r="FY118" s="279">
        <v>1</v>
      </c>
      <c r="FZ118" s="155"/>
      <c r="GA118" s="152">
        <v>2</v>
      </c>
      <c r="GB118" s="153">
        <v>2</v>
      </c>
      <c r="GC118" s="153">
        <v>3</v>
      </c>
      <c r="GD118" s="153">
        <v>1</v>
      </c>
      <c r="GE118" s="154">
        <v>3</v>
      </c>
      <c r="GF118" s="154"/>
      <c r="GG118" s="279"/>
      <c r="GH118" s="279">
        <v>3</v>
      </c>
      <c r="GI118" s="155"/>
      <c r="GJ118" s="152">
        <v>616</v>
      </c>
      <c r="GK118" s="153">
        <v>710</v>
      </c>
      <c r="GL118" s="153">
        <v>584</v>
      </c>
      <c r="GM118" s="153">
        <v>557</v>
      </c>
      <c r="GN118" s="154">
        <v>533</v>
      </c>
      <c r="GO118" s="154">
        <v>388</v>
      </c>
      <c r="GP118" s="279">
        <v>404</v>
      </c>
      <c r="GQ118" s="279">
        <v>266</v>
      </c>
      <c r="GR118" s="155"/>
      <c r="GS118" s="152">
        <v>161</v>
      </c>
      <c r="GT118" s="153">
        <v>145</v>
      </c>
      <c r="GU118" s="153">
        <v>154</v>
      </c>
      <c r="GV118" s="153">
        <v>143</v>
      </c>
      <c r="GW118" s="154">
        <v>95</v>
      </c>
      <c r="GX118" s="154">
        <v>78</v>
      </c>
      <c r="GY118" s="279">
        <v>58</v>
      </c>
      <c r="GZ118" s="279">
        <v>64</v>
      </c>
      <c r="HA118" s="155"/>
      <c r="HB118" s="152"/>
      <c r="HC118" s="153"/>
      <c r="HD118" s="153"/>
      <c r="HE118" s="153"/>
      <c r="HF118" s="154"/>
      <c r="HG118" s="154"/>
      <c r="HH118" s="279"/>
      <c r="HI118" s="279"/>
      <c r="HJ118" s="155"/>
      <c r="HK118" s="152"/>
      <c r="HL118" s="153"/>
      <c r="HM118" s="153"/>
      <c r="HN118" s="153"/>
      <c r="HO118" s="154"/>
      <c r="HP118" s="154"/>
      <c r="HQ118" s="279"/>
      <c r="HR118" s="279"/>
      <c r="HS118" s="155"/>
      <c r="HT118" s="152">
        <v>201</v>
      </c>
      <c r="HU118" s="153">
        <v>193</v>
      </c>
      <c r="HV118" s="153">
        <v>186</v>
      </c>
      <c r="HW118" s="153">
        <v>174</v>
      </c>
      <c r="HX118" s="154">
        <v>130</v>
      </c>
      <c r="HY118" s="154">
        <v>110</v>
      </c>
      <c r="HZ118" s="279">
        <v>103</v>
      </c>
      <c r="IA118" s="279">
        <v>124</v>
      </c>
      <c r="IB118" s="155"/>
      <c r="IC118" s="152">
        <v>846</v>
      </c>
      <c r="ID118" s="153">
        <v>1070</v>
      </c>
      <c r="IE118" s="153">
        <v>961</v>
      </c>
      <c r="IF118" s="153">
        <v>5769</v>
      </c>
      <c r="IG118" s="154">
        <v>803</v>
      </c>
      <c r="IH118" s="154">
        <v>546</v>
      </c>
      <c r="II118" s="279">
        <v>545</v>
      </c>
      <c r="IJ118" s="279">
        <v>442</v>
      </c>
      <c r="IK118" s="155"/>
    </row>
    <row r="119" spans="1:245" x14ac:dyDescent="0.2">
      <c r="A119" s="961"/>
      <c r="B119" s="151" t="s">
        <v>715</v>
      </c>
      <c r="C119" s="152"/>
      <c r="D119" s="153"/>
      <c r="E119" s="153"/>
      <c r="F119" s="153"/>
      <c r="G119" s="154"/>
      <c r="H119" s="154"/>
      <c r="I119" s="279"/>
      <c r="J119" s="279"/>
      <c r="K119" s="155"/>
      <c r="L119" s="152"/>
      <c r="M119" s="153"/>
      <c r="N119" s="153"/>
      <c r="O119" s="153"/>
      <c r="P119" s="154"/>
      <c r="Q119" s="154"/>
      <c r="R119" s="279"/>
      <c r="S119" s="279"/>
      <c r="T119" s="155"/>
      <c r="U119" s="152"/>
      <c r="V119" s="153"/>
      <c r="W119" s="153"/>
      <c r="X119" s="153"/>
      <c r="Y119" s="154"/>
      <c r="Z119" s="154"/>
      <c r="AA119" s="279"/>
      <c r="AB119" s="279"/>
      <c r="AC119" s="155"/>
      <c r="AD119" s="152">
        <v>28</v>
      </c>
      <c r="AE119" s="153">
        <v>29</v>
      </c>
      <c r="AF119" s="153">
        <v>28</v>
      </c>
      <c r="AG119" s="153">
        <v>34</v>
      </c>
      <c r="AH119" s="154">
        <v>25</v>
      </c>
      <c r="AI119" s="154">
        <v>20</v>
      </c>
      <c r="AJ119" s="279">
        <v>27</v>
      </c>
      <c r="AK119" s="279">
        <v>21</v>
      </c>
      <c r="AL119" s="155"/>
      <c r="AM119" s="152">
        <v>14</v>
      </c>
      <c r="AN119" s="153">
        <v>13</v>
      </c>
      <c r="AO119" s="153">
        <v>17</v>
      </c>
      <c r="AP119" s="153">
        <v>14</v>
      </c>
      <c r="AQ119" s="154">
        <v>13</v>
      </c>
      <c r="AR119" s="154">
        <v>15</v>
      </c>
      <c r="AS119" s="279">
        <v>17</v>
      </c>
      <c r="AT119" s="279">
        <v>6</v>
      </c>
      <c r="AU119" s="155"/>
      <c r="AV119" s="152"/>
      <c r="AW119" s="153"/>
      <c r="AX119" s="153"/>
      <c r="AY119" s="153"/>
      <c r="AZ119" s="154"/>
      <c r="BA119" s="154"/>
      <c r="BB119" s="279"/>
      <c r="BC119" s="279"/>
      <c r="BD119" s="155"/>
      <c r="BE119" s="152">
        <v>8</v>
      </c>
      <c r="BF119" s="153"/>
      <c r="BG119" s="153">
        <v>1</v>
      </c>
      <c r="BH119" s="153">
        <v>1</v>
      </c>
      <c r="BI119" s="154">
        <v>2</v>
      </c>
      <c r="BJ119" s="154">
        <v>4</v>
      </c>
      <c r="BK119" s="279">
        <v>6</v>
      </c>
      <c r="BL119" s="279">
        <v>3</v>
      </c>
      <c r="BM119" s="155"/>
      <c r="BN119" s="152"/>
      <c r="BO119" s="153"/>
      <c r="BP119" s="153"/>
      <c r="BQ119" s="153"/>
      <c r="BR119" s="154"/>
      <c r="BS119" s="154"/>
      <c r="BT119" s="279"/>
      <c r="BU119" s="279"/>
      <c r="BV119" s="155"/>
      <c r="BW119" s="152">
        <v>38</v>
      </c>
      <c r="BX119" s="153">
        <v>39</v>
      </c>
      <c r="BY119" s="153">
        <v>31</v>
      </c>
      <c r="BZ119" s="153">
        <v>31</v>
      </c>
      <c r="CA119" s="154">
        <v>35</v>
      </c>
      <c r="CB119" s="154">
        <v>42</v>
      </c>
      <c r="CC119" s="279">
        <v>25</v>
      </c>
      <c r="CD119" s="279">
        <v>25</v>
      </c>
      <c r="CE119" s="155"/>
      <c r="CF119" s="152">
        <v>7</v>
      </c>
      <c r="CG119" s="153">
        <v>1</v>
      </c>
      <c r="CH119" s="153">
        <v>2</v>
      </c>
      <c r="CI119" s="153">
        <v>4</v>
      </c>
      <c r="CJ119" s="154">
        <v>1</v>
      </c>
      <c r="CK119" s="154">
        <v>2</v>
      </c>
      <c r="CL119" s="279">
        <v>1</v>
      </c>
      <c r="CM119" s="279"/>
      <c r="CN119" s="155"/>
      <c r="CO119" s="152">
        <v>2</v>
      </c>
      <c r="CP119" s="153"/>
      <c r="CQ119" s="153">
        <v>1</v>
      </c>
      <c r="CR119" s="153"/>
      <c r="CS119" s="154">
        <v>2</v>
      </c>
      <c r="CT119" s="154">
        <v>1</v>
      </c>
      <c r="CU119" s="279"/>
      <c r="CV119" s="279"/>
      <c r="CW119" s="155"/>
      <c r="CX119" s="152">
        <v>241</v>
      </c>
      <c r="CY119" s="153">
        <v>244</v>
      </c>
      <c r="CZ119" s="153">
        <v>465</v>
      </c>
      <c r="DA119" s="153">
        <v>263</v>
      </c>
      <c r="DB119" s="154">
        <v>206</v>
      </c>
      <c r="DC119" s="154">
        <v>100</v>
      </c>
      <c r="DD119" s="279">
        <v>108</v>
      </c>
      <c r="DE119" s="279">
        <v>74</v>
      </c>
      <c r="DF119" s="155"/>
      <c r="DG119" s="152">
        <v>1</v>
      </c>
      <c r="DH119" s="153">
        <v>2</v>
      </c>
      <c r="DI119" s="153">
        <v>2</v>
      </c>
      <c r="DJ119" s="153">
        <v>4</v>
      </c>
      <c r="DK119" s="154"/>
      <c r="DL119" s="154">
        <v>1</v>
      </c>
      <c r="DM119" s="279"/>
      <c r="DN119" s="279"/>
      <c r="DO119" s="155"/>
      <c r="DP119" s="152">
        <v>5</v>
      </c>
      <c r="DQ119" s="153">
        <v>5</v>
      </c>
      <c r="DR119" s="153">
        <v>5</v>
      </c>
      <c r="DS119" s="153">
        <v>1</v>
      </c>
      <c r="DT119" s="154">
        <v>5</v>
      </c>
      <c r="DU119" s="154"/>
      <c r="DV119" s="279">
        <v>1</v>
      </c>
      <c r="DW119" s="279"/>
      <c r="DX119" s="155"/>
      <c r="DY119" s="152">
        <v>27</v>
      </c>
      <c r="DZ119" s="153">
        <v>25</v>
      </c>
      <c r="EA119" s="153">
        <v>35</v>
      </c>
      <c r="EB119" s="153">
        <v>46</v>
      </c>
      <c r="EC119" s="154">
        <v>21</v>
      </c>
      <c r="ED119" s="154">
        <v>14</v>
      </c>
      <c r="EE119" s="279">
        <v>26</v>
      </c>
      <c r="EF119" s="279">
        <v>16</v>
      </c>
      <c r="EG119" s="155"/>
      <c r="EH119" s="152">
        <v>1</v>
      </c>
      <c r="EI119" s="153">
        <v>3</v>
      </c>
      <c r="EJ119" s="153">
        <v>4</v>
      </c>
      <c r="EK119" s="153"/>
      <c r="EL119" s="154">
        <v>1</v>
      </c>
      <c r="EM119" s="154"/>
      <c r="EN119" s="279">
        <v>1</v>
      </c>
      <c r="EO119" s="279"/>
      <c r="EP119" s="155"/>
      <c r="EQ119" s="152"/>
      <c r="ER119" s="153">
        <v>1</v>
      </c>
      <c r="ES119" s="153"/>
      <c r="ET119" s="153"/>
      <c r="EU119" s="154">
        <v>1</v>
      </c>
      <c r="EV119" s="154"/>
      <c r="EW119" s="279"/>
      <c r="EX119" s="279"/>
      <c r="EY119" s="155"/>
      <c r="EZ119" s="152">
        <v>5</v>
      </c>
      <c r="FA119" s="153">
        <v>3</v>
      </c>
      <c r="FB119" s="153"/>
      <c r="FC119" s="153"/>
      <c r="FD119" s="154"/>
      <c r="FE119" s="154"/>
      <c r="FF119" s="279"/>
      <c r="FG119" s="279"/>
      <c r="FH119" s="155"/>
      <c r="FI119" s="152">
        <v>26</v>
      </c>
      <c r="FJ119" s="153">
        <v>14</v>
      </c>
      <c r="FK119" s="153">
        <v>16</v>
      </c>
      <c r="FL119" s="153">
        <v>6</v>
      </c>
      <c r="FM119" s="154">
        <v>10</v>
      </c>
      <c r="FN119" s="154">
        <v>10</v>
      </c>
      <c r="FO119" s="279">
        <v>6</v>
      </c>
      <c r="FP119" s="279">
        <v>3</v>
      </c>
      <c r="FQ119" s="155"/>
      <c r="FR119" s="152">
        <v>5</v>
      </c>
      <c r="FS119" s="153">
        <v>9</v>
      </c>
      <c r="FT119" s="153">
        <v>5</v>
      </c>
      <c r="FU119" s="153"/>
      <c r="FV119" s="154">
        <v>2</v>
      </c>
      <c r="FW119" s="154">
        <v>1</v>
      </c>
      <c r="FX119" s="279"/>
      <c r="FY119" s="279">
        <v>1</v>
      </c>
      <c r="FZ119" s="155"/>
      <c r="GA119" s="152">
        <v>3</v>
      </c>
      <c r="GB119" s="153"/>
      <c r="GC119" s="153">
        <v>2</v>
      </c>
      <c r="GD119" s="153">
        <v>1</v>
      </c>
      <c r="GE119" s="154"/>
      <c r="GF119" s="154">
        <v>3</v>
      </c>
      <c r="GG119" s="279">
        <v>4</v>
      </c>
      <c r="GH119" s="279">
        <v>2</v>
      </c>
      <c r="GI119" s="155"/>
      <c r="GJ119" s="152">
        <v>364</v>
      </c>
      <c r="GK119" s="153">
        <v>343</v>
      </c>
      <c r="GL119" s="153">
        <v>555</v>
      </c>
      <c r="GM119" s="153">
        <v>340</v>
      </c>
      <c r="GN119" s="154">
        <v>285</v>
      </c>
      <c r="GO119" s="154">
        <v>183</v>
      </c>
      <c r="GP119" s="279">
        <v>178</v>
      </c>
      <c r="GQ119" s="279">
        <v>129</v>
      </c>
      <c r="GR119" s="155"/>
      <c r="GS119" s="152">
        <v>114</v>
      </c>
      <c r="GT119" s="153">
        <v>96</v>
      </c>
      <c r="GU119" s="153">
        <v>96</v>
      </c>
      <c r="GV119" s="153">
        <v>73</v>
      </c>
      <c r="GW119" s="154">
        <v>31</v>
      </c>
      <c r="GX119" s="154">
        <v>26</v>
      </c>
      <c r="GY119" s="279">
        <v>13</v>
      </c>
      <c r="GZ119" s="279">
        <v>14</v>
      </c>
      <c r="HA119" s="155"/>
      <c r="HB119" s="152"/>
      <c r="HC119" s="153"/>
      <c r="HD119" s="153"/>
      <c r="HE119" s="153"/>
      <c r="HF119" s="154"/>
      <c r="HG119" s="154"/>
      <c r="HH119" s="279"/>
      <c r="HI119" s="279"/>
      <c r="HJ119" s="155"/>
      <c r="HK119" s="152"/>
      <c r="HL119" s="153"/>
      <c r="HM119" s="153"/>
      <c r="HN119" s="153"/>
      <c r="HO119" s="154"/>
      <c r="HP119" s="154"/>
      <c r="HQ119" s="279"/>
      <c r="HR119" s="279"/>
      <c r="HS119" s="155"/>
      <c r="HT119" s="152">
        <v>141</v>
      </c>
      <c r="HU119" s="153">
        <v>108</v>
      </c>
      <c r="HV119" s="153">
        <v>126</v>
      </c>
      <c r="HW119" s="153">
        <v>91</v>
      </c>
      <c r="HX119" s="154">
        <v>69</v>
      </c>
      <c r="HY119" s="154">
        <v>62</v>
      </c>
      <c r="HZ119" s="279">
        <v>54</v>
      </c>
      <c r="IA119" s="279">
        <v>43</v>
      </c>
      <c r="IB119" s="155"/>
      <c r="IC119" s="152">
        <v>635</v>
      </c>
      <c r="ID119" s="153">
        <v>951</v>
      </c>
      <c r="IE119" s="153">
        <v>843</v>
      </c>
      <c r="IF119" s="153">
        <v>541</v>
      </c>
      <c r="IG119" s="154">
        <v>1188</v>
      </c>
      <c r="IH119" s="154">
        <v>353</v>
      </c>
      <c r="II119" s="279">
        <v>339</v>
      </c>
      <c r="IJ119" s="279">
        <v>267</v>
      </c>
      <c r="IK119" s="155"/>
    </row>
    <row r="120" spans="1:245" x14ac:dyDescent="0.2">
      <c r="A120" s="961"/>
      <c r="B120" s="151" t="s">
        <v>716</v>
      </c>
      <c r="C120" s="152"/>
      <c r="D120" s="153"/>
      <c r="E120" s="153"/>
      <c r="F120" s="153"/>
      <c r="G120" s="154"/>
      <c r="H120" s="154"/>
      <c r="I120" s="279"/>
      <c r="J120" s="279"/>
      <c r="K120" s="155"/>
      <c r="L120" s="152"/>
      <c r="M120" s="153"/>
      <c r="N120" s="153"/>
      <c r="O120" s="153"/>
      <c r="P120" s="154"/>
      <c r="Q120" s="154"/>
      <c r="R120" s="279"/>
      <c r="S120" s="279"/>
      <c r="T120" s="155"/>
      <c r="U120" s="152"/>
      <c r="V120" s="153"/>
      <c r="W120" s="153"/>
      <c r="X120" s="153"/>
      <c r="Y120" s="154"/>
      <c r="Z120" s="154"/>
      <c r="AA120" s="279"/>
      <c r="AB120" s="279"/>
      <c r="AC120" s="155"/>
      <c r="AD120" s="152">
        <v>34</v>
      </c>
      <c r="AE120" s="153">
        <v>38</v>
      </c>
      <c r="AF120" s="153">
        <v>42</v>
      </c>
      <c r="AG120" s="153">
        <v>26</v>
      </c>
      <c r="AH120" s="154">
        <v>45</v>
      </c>
      <c r="AI120" s="154">
        <v>37</v>
      </c>
      <c r="AJ120" s="279">
        <v>24</v>
      </c>
      <c r="AK120" s="279">
        <v>25</v>
      </c>
      <c r="AL120" s="155"/>
      <c r="AM120" s="152">
        <v>24</v>
      </c>
      <c r="AN120" s="153">
        <v>29</v>
      </c>
      <c r="AO120" s="153">
        <v>22</v>
      </c>
      <c r="AP120" s="153">
        <v>16</v>
      </c>
      <c r="AQ120" s="154">
        <v>26</v>
      </c>
      <c r="AR120" s="154">
        <v>21</v>
      </c>
      <c r="AS120" s="279">
        <v>16</v>
      </c>
      <c r="AT120" s="279">
        <v>11</v>
      </c>
      <c r="AU120" s="155"/>
      <c r="AV120" s="152"/>
      <c r="AW120" s="153"/>
      <c r="AX120" s="153"/>
      <c r="AY120" s="153"/>
      <c r="AZ120" s="154"/>
      <c r="BA120" s="154"/>
      <c r="BB120" s="279"/>
      <c r="BC120" s="279"/>
      <c r="BD120" s="155"/>
      <c r="BE120" s="152">
        <v>8</v>
      </c>
      <c r="BF120" s="153"/>
      <c r="BG120" s="153">
        <v>11</v>
      </c>
      <c r="BH120" s="153">
        <v>18</v>
      </c>
      <c r="BI120" s="154">
        <v>7</v>
      </c>
      <c r="BJ120" s="154">
        <v>25</v>
      </c>
      <c r="BK120" s="279">
        <v>13</v>
      </c>
      <c r="BL120" s="279">
        <v>4</v>
      </c>
      <c r="BM120" s="155"/>
      <c r="BN120" s="152"/>
      <c r="BO120" s="153"/>
      <c r="BP120" s="153"/>
      <c r="BQ120" s="153"/>
      <c r="BR120" s="154"/>
      <c r="BS120" s="154"/>
      <c r="BT120" s="279"/>
      <c r="BU120" s="279"/>
      <c r="BV120" s="155"/>
      <c r="BW120" s="152">
        <v>33</v>
      </c>
      <c r="BX120" s="153">
        <v>45</v>
      </c>
      <c r="BY120" s="153">
        <v>43</v>
      </c>
      <c r="BZ120" s="153">
        <v>29</v>
      </c>
      <c r="CA120" s="154">
        <v>31</v>
      </c>
      <c r="CB120" s="154">
        <v>37</v>
      </c>
      <c r="CC120" s="279">
        <v>20</v>
      </c>
      <c r="CD120" s="279">
        <v>20</v>
      </c>
      <c r="CE120" s="155"/>
      <c r="CF120" s="152">
        <v>1</v>
      </c>
      <c r="CG120" s="153">
        <v>1</v>
      </c>
      <c r="CH120" s="153">
        <v>3</v>
      </c>
      <c r="CI120" s="153">
        <v>3</v>
      </c>
      <c r="CJ120" s="154"/>
      <c r="CK120" s="154">
        <v>1</v>
      </c>
      <c r="CL120" s="279">
        <v>1</v>
      </c>
      <c r="CM120" s="279"/>
      <c r="CN120" s="155"/>
      <c r="CO120" s="152">
        <v>1</v>
      </c>
      <c r="CP120" s="153"/>
      <c r="CQ120" s="153"/>
      <c r="CR120" s="153"/>
      <c r="CS120" s="154"/>
      <c r="CT120" s="154"/>
      <c r="CU120" s="279"/>
      <c r="CV120" s="279"/>
      <c r="CW120" s="155"/>
      <c r="CX120" s="152">
        <v>259</v>
      </c>
      <c r="CY120" s="153">
        <v>375</v>
      </c>
      <c r="CZ120" s="153">
        <v>301</v>
      </c>
      <c r="DA120" s="153">
        <v>243</v>
      </c>
      <c r="DB120" s="154">
        <v>218</v>
      </c>
      <c r="DC120" s="154">
        <v>156</v>
      </c>
      <c r="DD120" s="279">
        <v>99</v>
      </c>
      <c r="DE120" s="279">
        <v>87</v>
      </c>
      <c r="DF120" s="155"/>
      <c r="DG120" s="152">
        <v>1</v>
      </c>
      <c r="DH120" s="153"/>
      <c r="DI120" s="153">
        <v>1</v>
      </c>
      <c r="DJ120" s="153">
        <v>1</v>
      </c>
      <c r="DK120" s="154">
        <v>2</v>
      </c>
      <c r="DL120" s="154"/>
      <c r="DM120" s="279"/>
      <c r="DN120" s="279"/>
      <c r="DO120" s="155"/>
      <c r="DP120" s="152">
        <v>7</v>
      </c>
      <c r="DQ120" s="153">
        <v>13</v>
      </c>
      <c r="DR120" s="153">
        <v>2</v>
      </c>
      <c r="DS120" s="153">
        <v>8</v>
      </c>
      <c r="DT120" s="154">
        <v>5</v>
      </c>
      <c r="DU120" s="154">
        <v>1</v>
      </c>
      <c r="DV120" s="279">
        <v>1</v>
      </c>
      <c r="DW120" s="279"/>
      <c r="DX120" s="155"/>
      <c r="DY120" s="152">
        <v>51</v>
      </c>
      <c r="DZ120" s="153">
        <v>57</v>
      </c>
      <c r="EA120" s="153">
        <v>36</v>
      </c>
      <c r="EB120" s="153">
        <v>49</v>
      </c>
      <c r="EC120" s="154">
        <v>44</v>
      </c>
      <c r="ED120" s="154">
        <v>34</v>
      </c>
      <c r="EE120" s="279">
        <v>20</v>
      </c>
      <c r="EF120" s="279">
        <v>26</v>
      </c>
      <c r="EG120" s="155"/>
      <c r="EH120" s="152">
        <v>4</v>
      </c>
      <c r="EI120" s="153">
        <v>2</v>
      </c>
      <c r="EJ120" s="153">
        <v>1</v>
      </c>
      <c r="EK120" s="153">
        <v>4</v>
      </c>
      <c r="EL120" s="154"/>
      <c r="EM120" s="154">
        <v>1</v>
      </c>
      <c r="EN120" s="279">
        <v>2</v>
      </c>
      <c r="EO120" s="279"/>
      <c r="EP120" s="155"/>
      <c r="EQ120" s="152">
        <v>1</v>
      </c>
      <c r="ER120" s="153"/>
      <c r="ES120" s="153"/>
      <c r="ET120" s="153"/>
      <c r="EU120" s="154"/>
      <c r="EV120" s="154">
        <v>1</v>
      </c>
      <c r="EW120" s="279">
        <v>1</v>
      </c>
      <c r="EX120" s="279"/>
      <c r="EY120" s="155"/>
      <c r="EZ120" s="152"/>
      <c r="FA120" s="153">
        <v>1</v>
      </c>
      <c r="FB120" s="153"/>
      <c r="FC120" s="153"/>
      <c r="FD120" s="154"/>
      <c r="FE120" s="154"/>
      <c r="FF120" s="279">
        <v>5</v>
      </c>
      <c r="FG120" s="279"/>
      <c r="FH120" s="155"/>
      <c r="FI120" s="152">
        <v>7</v>
      </c>
      <c r="FJ120" s="153">
        <v>14</v>
      </c>
      <c r="FK120" s="153">
        <v>5</v>
      </c>
      <c r="FL120" s="153">
        <v>6</v>
      </c>
      <c r="FM120" s="154">
        <v>11</v>
      </c>
      <c r="FN120" s="154">
        <v>7</v>
      </c>
      <c r="FO120" s="279">
        <v>11</v>
      </c>
      <c r="FP120" s="279">
        <v>5</v>
      </c>
      <c r="FQ120" s="155"/>
      <c r="FR120" s="152">
        <v>2</v>
      </c>
      <c r="FS120" s="153">
        <v>3</v>
      </c>
      <c r="FT120" s="153"/>
      <c r="FU120" s="153"/>
      <c r="FV120" s="154">
        <v>11</v>
      </c>
      <c r="FW120" s="154">
        <v>7</v>
      </c>
      <c r="FX120" s="279">
        <v>1</v>
      </c>
      <c r="FY120" s="279">
        <v>2</v>
      </c>
      <c r="FZ120" s="155"/>
      <c r="GA120" s="152"/>
      <c r="GB120" s="153">
        <v>4</v>
      </c>
      <c r="GC120" s="153"/>
      <c r="GD120" s="153"/>
      <c r="GE120" s="154">
        <v>1</v>
      </c>
      <c r="GF120" s="154">
        <v>2</v>
      </c>
      <c r="GG120" s="279">
        <v>3</v>
      </c>
      <c r="GH120" s="279">
        <v>5</v>
      </c>
      <c r="GI120" s="155"/>
      <c r="GJ120" s="152">
        <v>350</v>
      </c>
      <c r="GK120" s="153">
        <v>483</v>
      </c>
      <c r="GL120" s="153">
        <v>406</v>
      </c>
      <c r="GM120" s="153">
        <v>329</v>
      </c>
      <c r="GN120" s="154">
        <v>324</v>
      </c>
      <c r="GO120" s="154">
        <v>274</v>
      </c>
      <c r="GP120" s="279">
        <v>180</v>
      </c>
      <c r="GQ120" s="279">
        <v>148</v>
      </c>
      <c r="GR120" s="155"/>
      <c r="GS120" s="152">
        <v>115</v>
      </c>
      <c r="GT120" s="153">
        <v>138</v>
      </c>
      <c r="GU120" s="153">
        <v>115</v>
      </c>
      <c r="GV120" s="153">
        <v>75</v>
      </c>
      <c r="GW120" s="154">
        <v>47</v>
      </c>
      <c r="GX120" s="154">
        <v>36</v>
      </c>
      <c r="GY120" s="279">
        <v>33</v>
      </c>
      <c r="GZ120" s="279">
        <v>34</v>
      </c>
      <c r="HA120" s="155"/>
      <c r="HB120" s="152"/>
      <c r="HC120" s="153"/>
      <c r="HD120" s="153"/>
      <c r="HE120" s="153"/>
      <c r="HF120" s="154"/>
      <c r="HG120" s="154"/>
      <c r="HH120" s="279"/>
      <c r="HI120" s="279"/>
      <c r="HJ120" s="155"/>
      <c r="HK120" s="152"/>
      <c r="HL120" s="153"/>
      <c r="HM120" s="153"/>
      <c r="HN120" s="153"/>
      <c r="HO120" s="154"/>
      <c r="HP120" s="154"/>
      <c r="HQ120" s="279"/>
      <c r="HR120" s="279"/>
      <c r="HS120" s="155"/>
      <c r="HT120" s="152">
        <v>147</v>
      </c>
      <c r="HU120" s="153">
        <v>170</v>
      </c>
      <c r="HV120" s="153">
        <v>130</v>
      </c>
      <c r="HW120" s="153">
        <v>90</v>
      </c>
      <c r="HX120" s="154">
        <v>70</v>
      </c>
      <c r="HY120" s="154">
        <v>75</v>
      </c>
      <c r="HZ120" s="279">
        <v>68</v>
      </c>
      <c r="IA120" s="279">
        <v>82</v>
      </c>
      <c r="IB120" s="155"/>
      <c r="IC120" s="152">
        <v>502</v>
      </c>
      <c r="ID120" s="153">
        <v>650</v>
      </c>
      <c r="IE120" s="153">
        <v>581</v>
      </c>
      <c r="IF120" s="153">
        <v>545</v>
      </c>
      <c r="IG120" s="154">
        <v>523</v>
      </c>
      <c r="IH120" s="154">
        <v>481</v>
      </c>
      <c r="II120" s="279">
        <v>346</v>
      </c>
      <c r="IJ120" s="279">
        <v>361</v>
      </c>
      <c r="IK120" s="155"/>
    </row>
    <row r="121" spans="1:245" ht="13.5" thickBot="1" x14ac:dyDescent="0.25">
      <c r="A121" s="961"/>
      <c r="B121" s="156" t="s">
        <v>717</v>
      </c>
      <c r="C121" s="157"/>
      <c r="D121" s="166"/>
      <c r="E121" s="166"/>
      <c r="F121" s="166"/>
      <c r="G121" s="158"/>
      <c r="H121" s="158"/>
      <c r="I121" s="280"/>
      <c r="J121" s="280"/>
      <c r="K121" s="159"/>
      <c r="L121" s="157"/>
      <c r="M121" s="166"/>
      <c r="N121" s="166"/>
      <c r="O121" s="166"/>
      <c r="P121" s="158"/>
      <c r="Q121" s="158"/>
      <c r="R121" s="280"/>
      <c r="S121" s="280"/>
      <c r="T121" s="159"/>
      <c r="U121" s="157"/>
      <c r="V121" s="166"/>
      <c r="W121" s="166"/>
      <c r="X121" s="166"/>
      <c r="Y121" s="158"/>
      <c r="Z121" s="158"/>
      <c r="AA121" s="280"/>
      <c r="AB121" s="280"/>
      <c r="AC121" s="159"/>
      <c r="AD121" s="157">
        <v>35</v>
      </c>
      <c r="AE121" s="166">
        <v>25</v>
      </c>
      <c r="AF121" s="166">
        <v>43</v>
      </c>
      <c r="AG121" s="166">
        <v>20</v>
      </c>
      <c r="AH121" s="158">
        <v>49</v>
      </c>
      <c r="AI121" s="158">
        <v>39</v>
      </c>
      <c r="AJ121" s="280">
        <v>27</v>
      </c>
      <c r="AK121" s="280">
        <v>52</v>
      </c>
      <c r="AL121" s="159"/>
      <c r="AM121" s="157">
        <v>28</v>
      </c>
      <c r="AN121" s="166">
        <v>17</v>
      </c>
      <c r="AO121" s="166">
        <v>28</v>
      </c>
      <c r="AP121" s="166">
        <v>10</v>
      </c>
      <c r="AQ121" s="158">
        <v>31</v>
      </c>
      <c r="AR121" s="158">
        <v>26</v>
      </c>
      <c r="AS121" s="280">
        <v>16</v>
      </c>
      <c r="AT121" s="280">
        <v>30</v>
      </c>
      <c r="AU121" s="159"/>
      <c r="AV121" s="157"/>
      <c r="AW121" s="166"/>
      <c r="AX121" s="166"/>
      <c r="AY121" s="166"/>
      <c r="AZ121" s="158"/>
      <c r="BA121" s="158"/>
      <c r="BB121" s="280"/>
      <c r="BC121" s="280"/>
      <c r="BD121" s="159"/>
      <c r="BE121" s="157">
        <v>4</v>
      </c>
      <c r="BF121" s="166">
        <v>1</v>
      </c>
      <c r="BG121" s="166">
        <v>4</v>
      </c>
      <c r="BH121" s="166">
        <v>5</v>
      </c>
      <c r="BI121" s="158">
        <v>3</v>
      </c>
      <c r="BJ121" s="158">
        <v>7</v>
      </c>
      <c r="BK121" s="280">
        <v>5</v>
      </c>
      <c r="BL121" s="280">
        <v>8</v>
      </c>
      <c r="BM121" s="159"/>
      <c r="BN121" s="157"/>
      <c r="BO121" s="166"/>
      <c r="BP121" s="166"/>
      <c r="BQ121" s="166"/>
      <c r="BR121" s="158"/>
      <c r="BS121" s="158"/>
      <c r="BT121" s="280"/>
      <c r="BU121" s="280"/>
      <c r="BV121" s="159"/>
      <c r="BW121" s="157">
        <v>21</v>
      </c>
      <c r="BX121" s="166">
        <v>21</v>
      </c>
      <c r="BY121" s="166">
        <v>26</v>
      </c>
      <c r="BZ121" s="166">
        <v>30</v>
      </c>
      <c r="CA121" s="158">
        <v>48</v>
      </c>
      <c r="CB121" s="158">
        <v>49</v>
      </c>
      <c r="CC121" s="280">
        <v>49</v>
      </c>
      <c r="CD121" s="280">
        <v>48</v>
      </c>
      <c r="CE121" s="159"/>
      <c r="CF121" s="157">
        <v>2</v>
      </c>
      <c r="CG121" s="166">
        <v>1</v>
      </c>
      <c r="CH121" s="166"/>
      <c r="CI121" s="166">
        <v>1</v>
      </c>
      <c r="CJ121" s="158">
        <v>4</v>
      </c>
      <c r="CK121" s="158">
        <v>2</v>
      </c>
      <c r="CL121" s="280"/>
      <c r="CM121" s="280">
        <v>2</v>
      </c>
      <c r="CN121" s="159"/>
      <c r="CO121" s="157"/>
      <c r="CP121" s="166"/>
      <c r="CQ121" s="166"/>
      <c r="CR121" s="166"/>
      <c r="CS121" s="158">
        <v>1</v>
      </c>
      <c r="CT121" s="158">
        <v>3</v>
      </c>
      <c r="CU121" s="280">
        <v>1</v>
      </c>
      <c r="CV121" s="280"/>
      <c r="CW121" s="159"/>
      <c r="CX121" s="157">
        <v>472</v>
      </c>
      <c r="CY121" s="166">
        <v>355</v>
      </c>
      <c r="CZ121" s="166">
        <v>346</v>
      </c>
      <c r="DA121" s="166">
        <v>312</v>
      </c>
      <c r="DB121" s="158">
        <v>253</v>
      </c>
      <c r="DC121" s="158">
        <v>170</v>
      </c>
      <c r="DD121" s="280">
        <v>128</v>
      </c>
      <c r="DE121" s="280">
        <v>140</v>
      </c>
      <c r="DF121" s="159"/>
      <c r="DG121" s="157">
        <v>1</v>
      </c>
      <c r="DH121" s="166"/>
      <c r="DI121" s="166"/>
      <c r="DJ121" s="166"/>
      <c r="DK121" s="158"/>
      <c r="DL121" s="158"/>
      <c r="DM121" s="280"/>
      <c r="DN121" s="280"/>
      <c r="DO121" s="159"/>
      <c r="DP121" s="157">
        <v>7</v>
      </c>
      <c r="DQ121" s="166">
        <v>13</v>
      </c>
      <c r="DR121" s="166">
        <v>6</v>
      </c>
      <c r="DS121" s="166">
        <v>7</v>
      </c>
      <c r="DT121" s="158">
        <v>13</v>
      </c>
      <c r="DU121" s="158">
        <v>2</v>
      </c>
      <c r="DV121" s="280">
        <v>6</v>
      </c>
      <c r="DW121" s="280">
        <v>7</v>
      </c>
      <c r="DX121" s="159"/>
      <c r="DY121" s="157">
        <v>55</v>
      </c>
      <c r="DZ121" s="166">
        <v>24</v>
      </c>
      <c r="EA121" s="166">
        <v>33</v>
      </c>
      <c r="EB121" s="166">
        <v>39</v>
      </c>
      <c r="EC121" s="158">
        <v>36</v>
      </c>
      <c r="ED121" s="158">
        <v>26</v>
      </c>
      <c r="EE121" s="280">
        <v>27</v>
      </c>
      <c r="EF121" s="280">
        <v>38</v>
      </c>
      <c r="EG121" s="159"/>
      <c r="EH121" s="157">
        <v>3</v>
      </c>
      <c r="EI121" s="166">
        <v>3</v>
      </c>
      <c r="EJ121" s="166">
        <v>4</v>
      </c>
      <c r="EK121" s="166">
        <v>3</v>
      </c>
      <c r="EL121" s="158">
        <v>5</v>
      </c>
      <c r="EM121" s="158">
        <v>2</v>
      </c>
      <c r="EN121" s="280"/>
      <c r="EO121" s="280"/>
      <c r="EP121" s="159"/>
      <c r="EQ121" s="157"/>
      <c r="ER121" s="166">
        <v>1</v>
      </c>
      <c r="ES121" s="166"/>
      <c r="ET121" s="166"/>
      <c r="EU121" s="158"/>
      <c r="EV121" s="158"/>
      <c r="EW121" s="280"/>
      <c r="EX121" s="280">
        <v>1</v>
      </c>
      <c r="EY121" s="159"/>
      <c r="EZ121" s="157"/>
      <c r="FA121" s="166">
        <v>3</v>
      </c>
      <c r="FB121" s="166"/>
      <c r="FC121" s="166"/>
      <c r="FD121" s="158"/>
      <c r="FE121" s="158"/>
      <c r="FF121" s="280"/>
      <c r="FG121" s="280">
        <v>1</v>
      </c>
      <c r="FH121" s="159"/>
      <c r="FI121" s="157">
        <v>28</v>
      </c>
      <c r="FJ121" s="166">
        <v>23</v>
      </c>
      <c r="FK121" s="166">
        <v>20</v>
      </c>
      <c r="FL121" s="166">
        <v>6</v>
      </c>
      <c r="FM121" s="158">
        <v>9</v>
      </c>
      <c r="FN121" s="158">
        <v>12</v>
      </c>
      <c r="FO121" s="280">
        <v>5</v>
      </c>
      <c r="FP121" s="280">
        <v>11</v>
      </c>
      <c r="FQ121" s="159"/>
      <c r="FR121" s="157">
        <v>1</v>
      </c>
      <c r="FS121" s="166">
        <v>6</v>
      </c>
      <c r="FT121" s="166">
        <v>2</v>
      </c>
      <c r="FU121" s="166">
        <v>1</v>
      </c>
      <c r="FV121" s="158">
        <v>3</v>
      </c>
      <c r="FW121" s="158"/>
      <c r="FX121" s="280">
        <v>1</v>
      </c>
      <c r="FY121" s="280"/>
      <c r="FZ121" s="159"/>
      <c r="GA121" s="157">
        <v>8</v>
      </c>
      <c r="GB121" s="166">
        <v>1</v>
      </c>
      <c r="GC121" s="166">
        <v>2</v>
      </c>
      <c r="GD121" s="166">
        <v>2</v>
      </c>
      <c r="GE121" s="158">
        <v>1</v>
      </c>
      <c r="GF121" s="158">
        <v>1</v>
      </c>
      <c r="GG121" s="280">
        <v>1</v>
      </c>
      <c r="GH121" s="280">
        <v>1</v>
      </c>
      <c r="GI121" s="159"/>
      <c r="GJ121" s="157">
        <v>574</v>
      </c>
      <c r="GK121" s="166">
        <v>440</v>
      </c>
      <c r="GL121" s="166">
        <v>447</v>
      </c>
      <c r="GM121" s="166">
        <v>380</v>
      </c>
      <c r="GN121" s="158">
        <v>376</v>
      </c>
      <c r="GO121" s="158">
        <v>285</v>
      </c>
      <c r="GP121" s="280">
        <v>217</v>
      </c>
      <c r="GQ121" s="280">
        <v>264</v>
      </c>
      <c r="GR121" s="159"/>
      <c r="GS121" s="157">
        <v>147</v>
      </c>
      <c r="GT121" s="166">
        <v>143</v>
      </c>
      <c r="GU121" s="166">
        <v>119</v>
      </c>
      <c r="GV121" s="166">
        <v>88</v>
      </c>
      <c r="GW121" s="158">
        <v>75</v>
      </c>
      <c r="GX121" s="158">
        <v>67</v>
      </c>
      <c r="GY121" s="280">
        <v>44</v>
      </c>
      <c r="GZ121" s="280">
        <v>57</v>
      </c>
      <c r="HA121" s="159"/>
      <c r="HB121" s="157"/>
      <c r="HC121" s="166"/>
      <c r="HD121" s="166"/>
      <c r="HE121" s="166"/>
      <c r="HF121" s="158"/>
      <c r="HG121" s="158"/>
      <c r="HH121" s="280"/>
      <c r="HI121" s="280"/>
      <c r="HJ121" s="159"/>
      <c r="HK121" s="157"/>
      <c r="HL121" s="166"/>
      <c r="HM121" s="166"/>
      <c r="HN121" s="166"/>
      <c r="HO121" s="158"/>
      <c r="HP121" s="158"/>
      <c r="HQ121" s="280"/>
      <c r="HR121" s="280"/>
      <c r="HS121" s="159"/>
      <c r="HT121" s="157">
        <v>194</v>
      </c>
      <c r="HU121" s="166">
        <v>164</v>
      </c>
      <c r="HV121" s="166">
        <v>140</v>
      </c>
      <c r="HW121" s="166">
        <v>115</v>
      </c>
      <c r="HX121" s="158">
        <v>121</v>
      </c>
      <c r="HY121" s="158">
        <v>129</v>
      </c>
      <c r="HZ121" s="280">
        <v>102</v>
      </c>
      <c r="IA121" s="280">
        <v>101</v>
      </c>
      <c r="IB121" s="159"/>
      <c r="IC121" s="157">
        <v>770</v>
      </c>
      <c r="ID121" s="166">
        <v>727</v>
      </c>
      <c r="IE121" s="166">
        <v>644</v>
      </c>
      <c r="IF121" s="166">
        <v>519</v>
      </c>
      <c r="IG121" s="158">
        <v>525</v>
      </c>
      <c r="IH121" s="158">
        <v>477</v>
      </c>
      <c r="II121" s="280">
        <v>380</v>
      </c>
      <c r="IJ121" s="280">
        <v>612</v>
      </c>
      <c r="IK121" s="159"/>
    </row>
    <row r="122" spans="1:245" ht="13.5" thickBot="1" x14ac:dyDescent="0.25">
      <c r="A122" s="962"/>
      <c r="B122" s="189" t="s">
        <v>787</v>
      </c>
      <c r="C122" s="273">
        <v>7</v>
      </c>
      <c r="D122" s="190">
        <v>7</v>
      </c>
      <c r="E122" s="190">
        <v>7</v>
      </c>
      <c r="F122" s="190">
        <v>5</v>
      </c>
      <c r="G122" s="190">
        <v>9</v>
      </c>
      <c r="H122" s="190">
        <v>4</v>
      </c>
      <c r="I122" s="190">
        <v>2</v>
      </c>
      <c r="J122" s="190">
        <v>4</v>
      </c>
      <c r="K122" s="286"/>
      <c r="L122" s="273">
        <v>3</v>
      </c>
      <c r="M122" s="190">
        <v>3</v>
      </c>
      <c r="N122" s="190">
        <v>1</v>
      </c>
      <c r="O122" s="190">
        <v>2</v>
      </c>
      <c r="P122" s="190">
        <v>4</v>
      </c>
      <c r="Q122" s="190">
        <v>2</v>
      </c>
      <c r="R122" s="190">
        <v>1</v>
      </c>
      <c r="S122" s="190">
        <v>2</v>
      </c>
      <c r="T122" s="286"/>
      <c r="U122" s="273">
        <v>3</v>
      </c>
      <c r="V122" s="190">
        <v>2</v>
      </c>
      <c r="W122" s="190">
        <v>4</v>
      </c>
      <c r="X122" s="190">
        <v>2</v>
      </c>
      <c r="Y122" s="190">
        <v>3</v>
      </c>
      <c r="Z122" s="190">
        <v>2</v>
      </c>
      <c r="AA122" s="190">
        <v>1</v>
      </c>
      <c r="AB122" s="190"/>
      <c r="AC122" s="286"/>
      <c r="AD122" s="273">
        <v>382</v>
      </c>
      <c r="AE122" s="190">
        <v>351</v>
      </c>
      <c r="AF122" s="190">
        <v>332</v>
      </c>
      <c r="AG122" s="190">
        <v>304</v>
      </c>
      <c r="AH122" s="190">
        <v>360</v>
      </c>
      <c r="AI122" s="190">
        <v>327</v>
      </c>
      <c r="AJ122" s="190">
        <v>222</v>
      </c>
      <c r="AK122" s="190">
        <v>279</v>
      </c>
      <c r="AL122" s="286"/>
      <c r="AM122" s="273">
        <v>243</v>
      </c>
      <c r="AN122" s="190">
        <v>217</v>
      </c>
      <c r="AO122" s="190">
        <v>204</v>
      </c>
      <c r="AP122" s="190">
        <v>172</v>
      </c>
      <c r="AQ122" s="190">
        <v>195</v>
      </c>
      <c r="AR122" s="190">
        <v>199</v>
      </c>
      <c r="AS122" s="190">
        <v>134</v>
      </c>
      <c r="AT122" s="190">
        <v>137</v>
      </c>
      <c r="AU122" s="286"/>
      <c r="AV122" s="273"/>
      <c r="AW122" s="190">
        <v>1</v>
      </c>
      <c r="AX122" s="190"/>
      <c r="AY122" s="190"/>
      <c r="AZ122" s="190"/>
      <c r="BA122" s="190"/>
      <c r="BB122" s="190"/>
      <c r="BC122" s="190"/>
      <c r="BD122" s="286"/>
      <c r="BE122" s="273">
        <v>29</v>
      </c>
      <c r="BF122" s="190">
        <v>54</v>
      </c>
      <c r="BG122" s="190">
        <v>56</v>
      </c>
      <c r="BH122" s="190">
        <v>54</v>
      </c>
      <c r="BI122" s="190">
        <v>67</v>
      </c>
      <c r="BJ122" s="190">
        <v>76</v>
      </c>
      <c r="BK122" s="190">
        <v>52</v>
      </c>
      <c r="BL122" s="190">
        <v>60</v>
      </c>
      <c r="BM122" s="286"/>
      <c r="BN122" s="273"/>
      <c r="BO122" s="190"/>
      <c r="BP122" s="190"/>
      <c r="BQ122" s="190"/>
      <c r="BR122" s="190"/>
      <c r="BS122" s="190"/>
      <c r="BT122" s="190"/>
      <c r="BU122" s="190"/>
      <c r="BV122" s="286"/>
      <c r="BW122" s="273">
        <v>365</v>
      </c>
      <c r="BX122" s="190">
        <v>386</v>
      </c>
      <c r="BY122" s="190">
        <v>370</v>
      </c>
      <c r="BZ122" s="190">
        <v>310</v>
      </c>
      <c r="CA122" s="190">
        <v>399</v>
      </c>
      <c r="CB122" s="190">
        <v>382</v>
      </c>
      <c r="CC122" s="190">
        <v>287</v>
      </c>
      <c r="CD122" s="190">
        <v>314</v>
      </c>
      <c r="CE122" s="286"/>
      <c r="CF122" s="273">
        <v>18</v>
      </c>
      <c r="CG122" s="190">
        <v>8</v>
      </c>
      <c r="CH122" s="190">
        <v>16</v>
      </c>
      <c r="CI122" s="190">
        <v>20</v>
      </c>
      <c r="CJ122" s="190">
        <v>16</v>
      </c>
      <c r="CK122" s="190">
        <v>13</v>
      </c>
      <c r="CL122" s="190">
        <v>7</v>
      </c>
      <c r="CM122" s="190">
        <v>10</v>
      </c>
      <c r="CN122" s="286"/>
      <c r="CO122" s="273">
        <v>14</v>
      </c>
      <c r="CP122" s="190">
        <v>17</v>
      </c>
      <c r="CQ122" s="190">
        <v>13</v>
      </c>
      <c r="CR122" s="190">
        <v>16</v>
      </c>
      <c r="CS122" s="190">
        <v>12</v>
      </c>
      <c r="CT122" s="190">
        <v>13</v>
      </c>
      <c r="CU122" s="190">
        <v>12</v>
      </c>
      <c r="CV122" s="190">
        <v>10</v>
      </c>
      <c r="CW122" s="286"/>
      <c r="CX122" s="273">
        <v>2974</v>
      </c>
      <c r="CY122" s="190">
        <v>3281</v>
      </c>
      <c r="CZ122" s="190">
        <v>3264</v>
      </c>
      <c r="DA122" s="190">
        <v>2717</v>
      </c>
      <c r="DB122" s="190">
        <v>2244</v>
      </c>
      <c r="DC122" s="190">
        <v>1749</v>
      </c>
      <c r="DD122" s="190">
        <v>1408</v>
      </c>
      <c r="DE122" s="190">
        <v>1155</v>
      </c>
      <c r="DF122" s="286"/>
      <c r="DG122" s="273">
        <v>13</v>
      </c>
      <c r="DH122" s="190">
        <v>9</v>
      </c>
      <c r="DI122" s="190">
        <v>11</v>
      </c>
      <c r="DJ122" s="190">
        <v>9</v>
      </c>
      <c r="DK122" s="190">
        <v>11</v>
      </c>
      <c r="DL122" s="190">
        <v>13</v>
      </c>
      <c r="DM122" s="190"/>
      <c r="DN122" s="190">
        <v>3</v>
      </c>
      <c r="DO122" s="286"/>
      <c r="DP122" s="273">
        <v>55</v>
      </c>
      <c r="DQ122" s="190">
        <v>94</v>
      </c>
      <c r="DR122" s="190">
        <v>46</v>
      </c>
      <c r="DS122" s="190">
        <v>40</v>
      </c>
      <c r="DT122" s="190">
        <v>72</v>
      </c>
      <c r="DU122" s="190">
        <v>23</v>
      </c>
      <c r="DV122" s="190">
        <v>24</v>
      </c>
      <c r="DW122" s="190">
        <v>23</v>
      </c>
      <c r="DX122" s="286"/>
      <c r="DY122" s="273">
        <v>325</v>
      </c>
      <c r="DZ122" s="190">
        <v>332</v>
      </c>
      <c r="EA122" s="190">
        <v>258</v>
      </c>
      <c r="EB122" s="190">
        <v>363</v>
      </c>
      <c r="EC122" s="190">
        <v>306</v>
      </c>
      <c r="ED122" s="190">
        <v>324</v>
      </c>
      <c r="EE122" s="190">
        <v>266</v>
      </c>
      <c r="EF122" s="190">
        <v>220</v>
      </c>
      <c r="EG122" s="286"/>
      <c r="EH122" s="273">
        <v>44</v>
      </c>
      <c r="EI122" s="190">
        <v>24</v>
      </c>
      <c r="EJ122" s="190">
        <v>24</v>
      </c>
      <c r="EK122" s="190">
        <v>27</v>
      </c>
      <c r="EL122" s="190">
        <v>21</v>
      </c>
      <c r="EM122" s="190">
        <v>30</v>
      </c>
      <c r="EN122" s="190">
        <v>19</v>
      </c>
      <c r="EO122" s="190">
        <v>9</v>
      </c>
      <c r="EP122" s="286"/>
      <c r="EQ122" s="273">
        <v>13</v>
      </c>
      <c r="ER122" s="190">
        <v>5</v>
      </c>
      <c r="ES122" s="190">
        <v>6</v>
      </c>
      <c r="ET122" s="190">
        <v>6</v>
      </c>
      <c r="EU122" s="190">
        <v>3</v>
      </c>
      <c r="EV122" s="190">
        <v>7</v>
      </c>
      <c r="EW122" s="190">
        <v>6</v>
      </c>
      <c r="EX122" s="190">
        <v>16</v>
      </c>
      <c r="EY122" s="286"/>
      <c r="EZ122" s="273">
        <v>11</v>
      </c>
      <c r="FA122" s="190">
        <v>16</v>
      </c>
      <c r="FB122" s="190">
        <v>17</v>
      </c>
      <c r="FC122" s="190">
        <v>4</v>
      </c>
      <c r="FD122" s="190">
        <v>9</v>
      </c>
      <c r="FE122" s="190">
        <v>13</v>
      </c>
      <c r="FF122" s="190">
        <v>10</v>
      </c>
      <c r="FG122" s="190">
        <v>6</v>
      </c>
      <c r="FH122" s="286"/>
      <c r="FI122" s="273">
        <v>198</v>
      </c>
      <c r="FJ122" s="190">
        <v>169</v>
      </c>
      <c r="FK122" s="190">
        <v>152</v>
      </c>
      <c r="FL122" s="190">
        <v>82</v>
      </c>
      <c r="FM122" s="190">
        <v>99</v>
      </c>
      <c r="FN122" s="190">
        <v>91</v>
      </c>
      <c r="FO122" s="190">
        <v>57</v>
      </c>
      <c r="FP122" s="190">
        <v>74</v>
      </c>
      <c r="FQ122" s="286"/>
      <c r="FR122" s="273">
        <v>23</v>
      </c>
      <c r="FS122" s="190">
        <v>37</v>
      </c>
      <c r="FT122" s="190">
        <v>16</v>
      </c>
      <c r="FU122" s="190">
        <v>20</v>
      </c>
      <c r="FV122" s="190">
        <v>24</v>
      </c>
      <c r="FW122" s="190">
        <v>19</v>
      </c>
      <c r="FX122" s="190">
        <v>10</v>
      </c>
      <c r="FY122" s="190">
        <v>4</v>
      </c>
      <c r="FZ122" s="286"/>
      <c r="GA122" s="273">
        <v>19</v>
      </c>
      <c r="GB122" s="190">
        <v>23</v>
      </c>
      <c r="GC122" s="190">
        <v>17</v>
      </c>
      <c r="GD122" s="190">
        <v>6</v>
      </c>
      <c r="GE122" s="190">
        <v>24</v>
      </c>
      <c r="GF122" s="190">
        <v>18</v>
      </c>
      <c r="GG122" s="190">
        <v>18</v>
      </c>
      <c r="GH122" s="190">
        <v>22</v>
      </c>
      <c r="GI122" s="286"/>
      <c r="GJ122" s="273">
        <v>4097</v>
      </c>
      <c r="GK122" s="190">
        <v>4378</v>
      </c>
      <c r="GL122" s="190">
        <v>4290</v>
      </c>
      <c r="GM122" s="190">
        <v>3571</v>
      </c>
      <c r="GN122" s="190">
        <v>3287</v>
      </c>
      <c r="GO122" s="190">
        <v>2742</v>
      </c>
      <c r="GP122" s="190">
        <v>2110</v>
      </c>
      <c r="GQ122" s="190">
        <v>1963</v>
      </c>
      <c r="GR122" s="286"/>
      <c r="GS122" s="273">
        <v>1250</v>
      </c>
      <c r="GT122" s="190">
        <v>1308</v>
      </c>
      <c r="GU122" s="190">
        <v>1182</v>
      </c>
      <c r="GV122" s="190">
        <v>925</v>
      </c>
      <c r="GW122" s="190">
        <v>582</v>
      </c>
      <c r="GX122" s="190">
        <v>518</v>
      </c>
      <c r="GY122" s="190">
        <v>412</v>
      </c>
      <c r="GZ122" s="190">
        <v>424</v>
      </c>
      <c r="HA122" s="286"/>
      <c r="HB122" s="273">
        <v>10</v>
      </c>
      <c r="HC122" s="190">
        <v>10</v>
      </c>
      <c r="HD122" s="190">
        <v>13</v>
      </c>
      <c r="HE122" s="190">
        <v>9</v>
      </c>
      <c r="HF122" s="190">
        <v>5</v>
      </c>
      <c r="HG122" s="190">
        <v>11</v>
      </c>
      <c r="HH122" s="190">
        <v>7</v>
      </c>
      <c r="HI122" s="190">
        <v>17</v>
      </c>
      <c r="HJ122" s="286"/>
      <c r="HK122" s="273">
        <v>5</v>
      </c>
      <c r="HL122" s="190">
        <v>3</v>
      </c>
      <c r="HM122" s="190">
        <v>4</v>
      </c>
      <c r="HN122" s="190">
        <v>1</v>
      </c>
      <c r="HO122" s="190">
        <v>1</v>
      </c>
      <c r="HP122" s="190">
        <v>2</v>
      </c>
      <c r="HQ122" s="190">
        <v>4</v>
      </c>
      <c r="HR122" s="190">
        <v>6</v>
      </c>
      <c r="HS122" s="286"/>
      <c r="HT122" s="273">
        <v>1623</v>
      </c>
      <c r="HU122" s="190">
        <v>1643</v>
      </c>
      <c r="HV122" s="190">
        <v>1477</v>
      </c>
      <c r="HW122" s="190">
        <v>1191</v>
      </c>
      <c r="HX122" s="190">
        <v>928</v>
      </c>
      <c r="HY122" s="190">
        <v>945</v>
      </c>
      <c r="HZ122" s="190">
        <v>901</v>
      </c>
      <c r="IA122" s="190">
        <v>875</v>
      </c>
      <c r="IB122" s="286"/>
      <c r="IC122" s="273">
        <v>6730</v>
      </c>
      <c r="ID122" s="190">
        <v>8004</v>
      </c>
      <c r="IE122" s="190">
        <v>7375</v>
      </c>
      <c r="IF122" s="190">
        <v>10444</v>
      </c>
      <c r="IG122" s="190">
        <v>5998</v>
      </c>
      <c r="IH122" s="190">
        <v>4785</v>
      </c>
      <c r="II122" s="190">
        <v>3630</v>
      </c>
      <c r="IJ122" s="190">
        <v>3720</v>
      </c>
      <c r="IK122" s="286"/>
    </row>
    <row r="123" spans="1:245" x14ac:dyDescent="0.2">
      <c r="A123" s="960" t="s">
        <v>597</v>
      </c>
      <c r="B123" s="146" t="s">
        <v>598</v>
      </c>
      <c r="C123" s="147">
        <v>38</v>
      </c>
      <c r="D123" s="148">
        <v>31</v>
      </c>
      <c r="E123" s="148">
        <v>34</v>
      </c>
      <c r="F123" s="148">
        <v>38</v>
      </c>
      <c r="G123" s="149">
        <v>39</v>
      </c>
      <c r="H123" s="149">
        <v>30</v>
      </c>
      <c r="I123" s="278">
        <v>27</v>
      </c>
      <c r="J123" s="278">
        <v>24</v>
      </c>
      <c r="K123" s="150"/>
      <c r="L123" s="147">
        <v>22</v>
      </c>
      <c r="M123" s="148">
        <v>13</v>
      </c>
      <c r="N123" s="148">
        <v>17</v>
      </c>
      <c r="O123" s="148">
        <v>17</v>
      </c>
      <c r="P123" s="149">
        <v>17</v>
      </c>
      <c r="Q123" s="149">
        <v>8</v>
      </c>
      <c r="R123" s="278">
        <v>11</v>
      </c>
      <c r="S123" s="278">
        <v>10</v>
      </c>
      <c r="T123" s="150"/>
      <c r="U123" s="147">
        <v>14</v>
      </c>
      <c r="V123" s="148">
        <v>18</v>
      </c>
      <c r="W123" s="148">
        <v>14</v>
      </c>
      <c r="X123" s="148">
        <v>20</v>
      </c>
      <c r="Y123" s="149">
        <v>20</v>
      </c>
      <c r="Z123" s="149">
        <v>21</v>
      </c>
      <c r="AA123" s="278">
        <v>14</v>
      </c>
      <c r="AB123" s="278">
        <v>14</v>
      </c>
      <c r="AC123" s="150"/>
      <c r="AD123" s="147">
        <v>37</v>
      </c>
      <c r="AE123" s="148">
        <v>22</v>
      </c>
      <c r="AF123" s="148">
        <v>21</v>
      </c>
      <c r="AG123" s="148">
        <v>31</v>
      </c>
      <c r="AH123" s="149">
        <v>27</v>
      </c>
      <c r="AI123" s="149">
        <v>24</v>
      </c>
      <c r="AJ123" s="278">
        <v>19</v>
      </c>
      <c r="AK123" s="278">
        <v>35</v>
      </c>
      <c r="AL123" s="150"/>
      <c r="AM123" s="147">
        <v>36</v>
      </c>
      <c r="AN123" s="148">
        <v>20</v>
      </c>
      <c r="AO123" s="148">
        <v>21</v>
      </c>
      <c r="AP123" s="148">
        <v>30</v>
      </c>
      <c r="AQ123" s="149">
        <v>23</v>
      </c>
      <c r="AR123" s="149">
        <v>17</v>
      </c>
      <c r="AS123" s="278">
        <v>17</v>
      </c>
      <c r="AT123" s="278">
        <v>30</v>
      </c>
      <c r="AU123" s="150"/>
      <c r="AV123" s="147">
        <v>4</v>
      </c>
      <c r="AW123" s="148"/>
      <c r="AX123" s="148">
        <v>2</v>
      </c>
      <c r="AY123" s="148">
        <v>1</v>
      </c>
      <c r="AZ123" s="149"/>
      <c r="BA123" s="149">
        <v>1</v>
      </c>
      <c r="BB123" s="278"/>
      <c r="BC123" s="278">
        <v>3</v>
      </c>
      <c r="BD123" s="150"/>
      <c r="BE123" s="147"/>
      <c r="BF123" s="148">
        <v>1</v>
      </c>
      <c r="BG123" s="148">
        <v>8</v>
      </c>
      <c r="BH123" s="148">
        <v>7</v>
      </c>
      <c r="BI123" s="149">
        <v>5</v>
      </c>
      <c r="BJ123" s="149">
        <v>10</v>
      </c>
      <c r="BK123" s="278">
        <v>8</v>
      </c>
      <c r="BL123" s="278">
        <v>3</v>
      </c>
      <c r="BM123" s="150"/>
      <c r="BN123" s="147"/>
      <c r="BO123" s="148"/>
      <c r="BP123" s="148">
        <v>1</v>
      </c>
      <c r="BQ123" s="148">
        <v>3</v>
      </c>
      <c r="BR123" s="149">
        <v>4</v>
      </c>
      <c r="BS123" s="149">
        <v>36</v>
      </c>
      <c r="BT123" s="278">
        <v>19</v>
      </c>
      <c r="BU123" s="278">
        <v>4</v>
      </c>
      <c r="BV123" s="150"/>
      <c r="BW123" s="147">
        <v>3</v>
      </c>
      <c r="BX123" s="148">
        <v>1</v>
      </c>
      <c r="BY123" s="148">
        <v>2</v>
      </c>
      <c r="BZ123" s="148">
        <v>2</v>
      </c>
      <c r="CA123" s="149">
        <v>4</v>
      </c>
      <c r="CB123" s="149">
        <v>5</v>
      </c>
      <c r="CC123" s="278">
        <v>4</v>
      </c>
      <c r="CD123" s="278">
        <v>5</v>
      </c>
      <c r="CE123" s="150"/>
      <c r="CF123" s="147">
        <v>1</v>
      </c>
      <c r="CG123" s="148">
        <v>2</v>
      </c>
      <c r="CH123" s="148"/>
      <c r="CI123" s="148">
        <v>1</v>
      </c>
      <c r="CJ123" s="149"/>
      <c r="CK123" s="149">
        <v>1</v>
      </c>
      <c r="CL123" s="278"/>
      <c r="CM123" s="278">
        <v>1</v>
      </c>
      <c r="CN123" s="150"/>
      <c r="CO123" s="147">
        <v>12</v>
      </c>
      <c r="CP123" s="148">
        <v>7</v>
      </c>
      <c r="CQ123" s="148">
        <v>5</v>
      </c>
      <c r="CR123" s="148">
        <v>15</v>
      </c>
      <c r="CS123" s="149">
        <v>9</v>
      </c>
      <c r="CT123" s="149">
        <v>2</v>
      </c>
      <c r="CU123" s="278">
        <v>3</v>
      </c>
      <c r="CV123" s="278">
        <v>9</v>
      </c>
      <c r="CW123" s="150"/>
      <c r="CX123" s="147">
        <v>36</v>
      </c>
      <c r="CY123" s="148">
        <v>72</v>
      </c>
      <c r="CZ123" s="148">
        <v>7</v>
      </c>
      <c r="DA123" s="148">
        <v>19</v>
      </c>
      <c r="DB123" s="149">
        <v>18</v>
      </c>
      <c r="DC123" s="149">
        <v>62</v>
      </c>
      <c r="DD123" s="278">
        <v>22</v>
      </c>
      <c r="DE123" s="278">
        <v>17</v>
      </c>
      <c r="DF123" s="150"/>
      <c r="DG123" s="147">
        <v>5</v>
      </c>
      <c r="DH123" s="148"/>
      <c r="DI123" s="148">
        <v>1</v>
      </c>
      <c r="DJ123" s="148">
        <v>1</v>
      </c>
      <c r="DK123" s="149">
        <v>2</v>
      </c>
      <c r="DL123" s="149">
        <v>49</v>
      </c>
      <c r="DM123" s="278">
        <v>3</v>
      </c>
      <c r="DN123" s="278">
        <v>11</v>
      </c>
      <c r="DO123" s="150"/>
      <c r="DP123" s="147"/>
      <c r="DQ123" s="148">
        <v>2</v>
      </c>
      <c r="DR123" s="148"/>
      <c r="DS123" s="148"/>
      <c r="DT123" s="149">
        <v>1</v>
      </c>
      <c r="DU123" s="149"/>
      <c r="DV123" s="278"/>
      <c r="DW123" s="278"/>
      <c r="DX123" s="150"/>
      <c r="DY123" s="147">
        <v>3</v>
      </c>
      <c r="DZ123" s="148">
        <v>9</v>
      </c>
      <c r="EA123" s="148">
        <v>1</v>
      </c>
      <c r="EB123" s="148"/>
      <c r="EC123" s="149">
        <v>1</v>
      </c>
      <c r="ED123" s="149">
        <v>3</v>
      </c>
      <c r="EE123" s="278">
        <v>1</v>
      </c>
      <c r="EF123" s="278">
        <v>1</v>
      </c>
      <c r="EG123" s="150"/>
      <c r="EH123" s="147">
        <v>37</v>
      </c>
      <c r="EI123" s="148">
        <v>58</v>
      </c>
      <c r="EJ123" s="148">
        <v>37</v>
      </c>
      <c r="EK123" s="148">
        <v>15</v>
      </c>
      <c r="EL123" s="149">
        <v>12</v>
      </c>
      <c r="EM123" s="149">
        <v>15</v>
      </c>
      <c r="EN123" s="278">
        <v>10</v>
      </c>
      <c r="EO123" s="278">
        <v>11</v>
      </c>
      <c r="EP123" s="150"/>
      <c r="EQ123" s="147">
        <v>4</v>
      </c>
      <c r="ER123" s="148">
        <v>2</v>
      </c>
      <c r="ES123" s="148">
        <v>3</v>
      </c>
      <c r="ET123" s="148">
        <v>2</v>
      </c>
      <c r="EU123" s="149">
        <v>1</v>
      </c>
      <c r="EV123" s="149">
        <v>1</v>
      </c>
      <c r="EW123" s="278">
        <v>2</v>
      </c>
      <c r="EX123" s="278">
        <v>12</v>
      </c>
      <c r="EY123" s="150"/>
      <c r="EZ123" s="147">
        <v>1</v>
      </c>
      <c r="FA123" s="148">
        <v>14</v>
      </c>
      <c r="FB123" s="148">
        <v>3</v>
      </c>
      <c r="FC123" s="148">
        <v>10</v>
      </c>
      <c r="FD123" s="149">
        <v>2</v>
      </c>
      <c r="FE123" s="149">
        <v>4</v>
      </c>
      <c r="FF123" s="278">
        <v>2</v>
      </c>
      <c r="FG123" s="278">
        <v>1</v>
      </c>
      <c r="FH123" s="150"/>
      <c r="FI123" s="147">
        <v>4</v>
      </c>
      <c r="FJ123" s="148">
        <v>15</v>
      </c>
      <c r="FK123" s="148"/>
      <c r="FL123" s="148">
        <v>5</v>
      </c>
      <c r="FM123" s="149">
        <v>3</v>
      </c>
      <c r="FN123" s="149">
        <v>3</v>
      </c>
      <c r="FO123" s="278">
        <v>2</v>
      </c>
      <c r="FP123" s="278">
        <v>7</v>
      </c>
      <c r="FQ123" s="150"/>
      <c r="FR123" s="147">
        <v>10</v>
      </c>
      <c r="FS123" s="148">
        <v>4</v>
      </c>
      <c r="FT123" s="148">
        <v>4</v>
      </c>
      <c r="FU123" s="148">
        <v>2</v>
      </c>
      <c r="FV123" s="149">
        <v>5</v>
      </c>
      <c r="FW123" s="149">
        <v>12</v>
      </c>
      <c r="FX123" s="278">
        <v>5</v>
      </c>
      <c r="FY123" s="278">
        <v>5</v>
      </c>
      <c r="FZ123" s="150"/>
      <c r="GA123" s="147">
        <v>1</v>
      </c>
      <c r="GB123" s="148">
        <v>3</v>
      </c>
      <c r="GC123" s="148"/>
      <c r="GD123" s="148"/>
      <c r="GE123" s="149">
        <v>1</v>
      </c>
      <c r="GF123" s="149">
        <v>1</v>
      </c>
      <c r="GG123" s="278"/>
      <c r="GH123" s="278">
        <v>1</v>
      </c>
      <c r="GI123" s="150"/>
      <c r="GJ123" s="147">
        <v>184</v>
      </c>
      <c r="GK123" s="148">
        <v>232</v>
      </c>
      <c r="GL123" s="148">
        <v>125</v>
      </c>
      <c r="GM123" s="148">
        <v>150</v>
      </c>
      <c r="GN123" s="149">
        <v>130</v>
      </c>
      <c r="GO123" s="149">
        <v>206</v>
      </c>
      <c r="GP123" s="278">
        <v>123</v>
      </c>
      <c r="GQ123" s="278">
        <v>135</v>
      </c>
      <c r="GR123" s="150"/>
      <c r="GS123" s="147">
        <v>50</v>
      </c>
      <c r="GT123" s="148">
        <v>63</v>
      </c>
      <c r="GU123" s="148">
        <v>34</v>
      </c>
      <c r="GV123" s="148">
        <v>32</v>
      </c>
      <c r="GW123" s="149">
        <v>31</v>
      </c>
      <c r="GX123" s="149">
        <v>79</v>
      </c>
      <c r="GY123" s="278">
        <v>31</v>
      </c>
      <c r="GZ123" s="278">
        <v>26</v>
      </c>
      <c r="HA123" s="150"/>
      <c r="HB123" s="147">
        <v>1</v>
      </c>
      <c r="HC123" s="148">
        <v>3</v>
      </c>
      <c r="HD123" s="148"/>
      <c r="HE123" s="148"/>
      <c r="HF123" s="149">
        <v>1</v>
      </c>
      <c r="HG123" s="149"/>
      <c r="HH123" s="278">
        <v>4</v>
      </c>
      <c r="HI123" s="278">
        <v>2</v>
      </c>
      <c r="HJ123" s="150"/>
      <c r="HK123" s="147"/>
      <c r="HL123" s="148"/>
      <c r="HM123" s="148"/>
      <c r="HN123" s="148"/>
      <c r="HO123" s="149"/>
      <c r="HP123" s="149"/>
      <c r="HQ123" s="278"/>
      <c r="HR123" s="278"/>
      <c r="HS123" s="150"/>
      <c r="HT123" s="147">
        <v>66</v>
      </c>
      <c r="HU123" s="148">
        <v>78</v>
      </c>
      <c r="HV123" s="148">
        <v>53</v>
      </c>
      <c r="HW123" s="148">
        <v>47</v>
      </c>
      <c r="HX123" s="149">
        <v>50</v>
      </c>
      <c r="HY123" s="149">
        <v>94</v>
      </c>
      <c r="HZ123" s="278">
        <v>38</v>
      </c>
      <c r="IA123" s="278">
        <v>37</v>
      </c>
      <c r="IB123" s="150"/>
      <c r="IC123" s="147">
        <v>480</v>
      </c>
      <c r="ID123" s="148">
        <v>436</v>
      </c>
      <c r="IE123" s="148">
        <v>520</v>
      </c>
      <c r="IF123" s="148">
        <v>549</v>
      </c>
      <c r="IG123" s="149">
        <v>814</v>
      </c>
      <c r="IH123" s="149">
        <v>482</v>
      </c>
      <c r="II123" s="278">
        <v>580</v>
      </c>
      <c r="IJ123" s="278">
        <v>634</v>
      </c>
      <c r="IK123" s="150"/>
    </row>
    <row r="124" spans="1:245" x14ac:dyDescent="0.2">
      <c r="A124" s="961"/>
      <c r="B124" s="151" t="s">
        <v>718</v>
      </c>
      <c r="C124" s="152"/>
      <c r="D124" s="153"/>
      <c r="E124" s="153"/>
      <c r="F124" s="153"/>
      <c r="G124" s="154"/>
      <c r="H124" s="154">
        <v>1</v>
      </c>
      <c r="I124" s="279"/>
      <c r="J124" s="279"/>
      <c r="K124" s="155"/>
      <c r="L124" s="152"/>
      <c r="M124" s="153"/>
      <c r="N124" s="153"/>
      <c r="O124" s="153"/>
      <c r="P124" s="154"/>
      <c r="Q124" s="154"/>
      <c r="R124" s="279"/>
      <c r="S124" s="279"/>
      <c r="T124" s="155"/>
      <c r="U124" s="152"/>
      <c r="V124" s="153"/>
      <c r="W124" s="153"/>
      <c r="X124" s="153"/>
      <c r="Y124" s="154"/>
      <c r="Z124" s="154">
        <v>1</v>
      </c>
      <c r="AA124" s="279"/>
      <c r="AB124" s="279"/>
      <c r="AC124" s="155"/>
      <c r="AD124" s="152">
        <v>93</v>
      </c>
      <c r="AE124" s="153">
        <v>82</v>
      </c>
      <c r="AF124" s="153">
        <v>86</v>
      </c>
      <c r="AG124" s="153">
        <v>97</v>
      </c>
      <c r="AH124" s="154">
        <v>85</v>
      </c>
      <c r="AI124" s="154">
        <v>96</v>
      </c>
      <c r="AJ124" s="279">
        <v>66</v>
      </c>
      <c r="AK124" s="279">
        <v>38</v>
      </c>
      <c r="AL124" s="155"/>
      <c r="AM124" s="152">
        <v>67</v>
      </c>
      <c r="AN124" s="153">
        <v>60</v>
      </c>
      <c r="AO124" s="153">
        <v>62</v>
      </c>
      <c r="AP124" s="153">
        <v>61</v>
      </c>
      <c r="AQ124" s="154">
        <v>71</v>
      </c>
      <c r="AR124" s="154">
        <v>60</v>
      </c>
      <c r="AS124" s="279">
        <v>43</v>
      </c>
      <c r="AT124" s="279">
        <v>21</v>
      </c>
      <c r="AU124" s="155"/>
      <c r="AV124" s="152"/>
      <c r="AW124" s="153"/>
      <c r="AX124" s="153"/>
      <c r="AY124" s="153"/>
      <c r="AZ124" s="154"/>
      <c r="BA124" s="154"/>
      <c r="BB124" s="279"/>
      <c r="BC124" s="279"/>
      <c r="BD124" s="155"/>
      <c r="BE124" s="152">
        <v>8</v>
      </c>
      <c r="BF124" s="153">
        <v>7</v>
      </c>
      <c r="BG124" s="153">
        <v>5</v>
      </c>
      <c r="BH124" s="153">
        <v>4</v>
      </c>
      <c r="BI124" s="154">
        <v>4</v>
      </c>
      <c r="BJ124" s="154">
        <v>12</v>
      </c>
      <c r="BK124" s="279">
        <v>8</v>
      </c>
      <c r="BL124" s="279">
        <v>1</v>
      </c>
      <c r="BM124" s="155"/>
      <c r="BN124" s="152"/>
      <c r="BO124" s="153"/>
      <c r="BP124" s="153"/>
      <c r="BQ124" s="153"/>
      <c r="BR124" s="154"/>
      <c r="BS124" s="154"/>
      <c r="BT124" s="279"/>
      <c r="BU124" s="279"/>
      <c r="BV124" s="155"/>
      <c r="BW124" s="152">
        <v>49</v>
      </c>
      <c r="BX124" s="153">
        <v>41</v>
      </c>
      <c r="BY124" s="153">
        <v>44</v>
      </c>
      <c r="BZ124" s="153">
        <v>49</v>
      </c>
      <c r="CA124" s="154">
        <v>57</v>
      </c>
      <c r="CB124" s="154">
        <v>49</v>
      </c>
      <c r="CC124" s="279">
        <v>55</v>
      </c>
      <c r="CD124" s="279">
        <v>32</v>
      </c>
      <c r="CE124" s="155"/>
      <c r="CF124" s="152">
        <v>12</v>
      </c>
      <c r="CG124" s="153">
        <v>4</v>
      </c>
      <c r="CH124" s="153">
        <v>2</v>
      </c>
      <c r="CI124" s="153">
        <v>9</v>
      </c>
      <c r="CJ124" s="154">
        <v>5</v>
      </c>
      <c r="CK124" s="154">
        <v>5</v>
      </c>
      <c r="CL124" s="279">
        <v>4</v>
      </c>
      <c r="CM124" s="279">
        <v>3</v>
      </c>
      <c r="CN124" s="155"/>
      <c r="CO124" s="152">
        <v>3</v>
      </c>
      <c r="CP124" s="153">
        <v>1</v>
      </c>
      <c r="CQ124" s="153">
        <v>2</v>
      </c>
      <c r="CR124" s="153">
        <v>1</v>
      </c>
      <c r="CS124" s="154">
        <v>4</v>
      </c>
      <c r="CT124" s="154">
        <v>4</v>
      </c>
      <c r="CU124" s="279"/>
      <c r="CV124" s="279"/>
      <c r="CW124" s="155"/>
      <c r="CX124" s="152">
        <v>2092</v>
      </c>
      <c r="CY124" s="153">
        <v>2204</v>
      </c>
      <c r="CZ124" s="153">
        <v>2183</v>
      </c>
      <c r="DA124" s="153">
        <v>1772</v>
      </c>
      <c r="DB124" s="154">
        <v>1893</v>
      </c>
      <c r="DC124" s="154">
        <v>1389</v>
      </c>
      <c r="DD124" s="279">
        <v>863</v>
      </c>
      <c r="DE124" s="279">
        <v>784</v>
      </c>
      <c r="DF124" s="155"/>
      <c r="DG124" s="152">
        <v>87</v>
      </c>
      <c r="DH124" s="153">
        <v>95</v>
      </c>
      <c r="DI124" s="153">
        <v>136</v>
      </c>
      <c r="DJ124" s="153">
        <v>85</v>
      </c>
      <c r="DK124" s="154">
        <v>80</v>
      </c>
      <c r="DL124" s="154">
        <v>25</v>
      </c>
      <c r="DM124" s="279">
        <v>10</v>
      </c>
      <c r="DN124" s="279">
        <v>9</v>
      </c>
      <c r="DO124" s="155"/>
      <c r="DP124" s="152">
        <v>195</v>
      </c>
      <c r="DQ124" s="153">
        <v>165</v>
      </c>
      <c r="DR124" s="153">
        <v>206</v>
      </c>
      <c r="DS124" s="153">
        <v>96</v>
      </c>
      <c r="DT124" s="154">
        <v>117</v>
      </c>
      <c r="DU124" s="154">
        <v>130</v>
      </c>
      <c r="DV124" s="279">
        <v>60</v>
      </c>
      <c r="DW124" s="279">
        <v>72</v>
      </c>
      <c r="DX124" s="155"/>
      <c r="DY124" s="152">
        <v>299</v>
      </c>
      <c r="DZ124" s="153">
        <v>345</v>
      </c>
      <c r="EA124" s="153">
        <v>408</v>
      </c>
      <c r="EB124" s="153">
        <v>269</v>
      </c>
      <c r="EC124" s="154">
        <v>396</v>
      </c>
      <c r="ED124" s="154">
        <v>330</v>
      </c>
      <c r="EE124" s="279">
        <v>204</v>
      </c>
      <c r="EF124" s="279">
        <v>152</v>
      </c>
      <c r="EG124" s="155"/>
      <c r="EH124" s="152">
        <v>19</v>
      </c>
      <c r="EI124" s="153">
        <v>25</v>
      </c>
      <c r="EJ124" s="153">
        <v>18</v>
      </c>
      <c r="EK124" s="153">
        <v>24</v>
      </c>
      <c r="EL124" s="154">
        <v>10</v>
      </c>
      <c r="EM124" s="154">
        <v>6</v>
      </c>
      <c r="EN124" s="279">
        <v>8</v>
      </c>
      <c r="EO124" s="279">
        <v>2</v>
      </c>
      <c r="EP124" s="155"/>
      <c r="EQ124" s="152">
        <v>5</v>
      </c>
      <c r="ER124" s="153">
        <v>9</v>
      </c>
      <c r="ES124" s="153">
        <v>10</v>
      </c>
      <c r="ET124" s="153">
        <v>19</v>
      </c>
      <c r="EU124" s="154">
        <v>14</v>
      </c>
      <c r="EV124" s="154">
        <v>9</v>
      </c>
      <c r="EW124" s="279">
        <v>6</v>
      </c>
      <c r="EX124" s="279">
        <v>4</v>
      </c>
      <c r="EY124" s="155"/>
      <c r="EZ124" s="152">
        <v>14</v>
      </c>
      <c r="FA124" s="153">
        <v>4</v>
      </c>
      <c r="FB124" s="153">
        <v>2</v>
      </c>
      <c r="FC124" s="153">
        <v>3</v>
      </c>
      <c r="FD124" s="154">
        <v>4</v>
      </c>
      <c r="FE124" s="154">
        <v>3</v>
      </c>
      <c r="FF124" s="279">
        <v>1</v>
      </c>
      <c r="FG124" s="279"/>
      <c r="FH124" s="155"/>
      <c r="FI124" s="152">
        <v>309</v>
      </c>
      <c r="FJ124" s="153">
        <v>276</v>
      </c>
      <c r="FK124" s="153">
        <v>218</v>
      </c>
      <c r="FL124" s="153">
        <v>138</v>
      </c>
      <c r="FM124" s="154">
        <v>147</v>
      </c>
      <c r="FN124" s="154">
        <v>127</v>
      </c>
      <c r="FO124" s="279">
        <v>105</v>
      </c>
      <c r="FP124" s="279">
        <v>84</v>
      </c>
      <c r="FQ124" s="155"/>
      <c r="FR124" s="152">
        <v>5</v>
      </c>
      <c r="FS124" s="153">
        <v>8</v>
      </c>
      <c r="FT124" s="153">
        <v>1</v>
      </c>
      <c r="FU124" s="153">
        <v>10</v>
      </c>
      <c r="FV124" s="154">
        <v>8</v>
      </c>
      <c r="FW124" s="154">
        <v>2</v>
      </c>
      <c r="FX124" s="279">
        <v>8</v>
      </c>
      <c r="FY124" s="279"/>
      <c r="FZ124" s="155"/>
      <c r="GA124" s="152">
        <v>23</v>
      </c>
      <c r="GB124" s="153">
        <v>18</v>
      </c>
      <c r="GC124" s="153">
        <v>16</v>
      </c>
      <c r="GD124" s="153">
        <v>17</v>
      </c>
      <c r="GE124" s="154">
        <v>9</v>
      </c>
      <c r="GF124" s="154">
        <v>5</v>
      </c>
      <c r="GG124" s="279">
        <v>13</v>
      </c>
      <c r="GH124" s="279">
        <v>3</v>
      </c>
      <c r="GI124" s="155"/>
      <c r="GJ124" s="152">
        <v>2632</v>
      </c>
      <c r="GK124" s="153">
        <v>2679</v>
      </c>
      <c r="GL124" s="153">
        <v>2587</v>
      </c>
      <c r="GM124" s="153">
        <v>2143</v>
      </c>
      <c r="GN124" s="154">
        <v>2240</v>
      </c>
      <c r="GO124" s="154">
        <v>1708</v>
      </c>
      <c r="GP124" s="279">
        <v>1137</v>
      </c>
      <c r="GQ124" s="279">
        <v>951</v>
      </c>
      <c r="GR124" s="155"/>
      <c r="GS124" s="152">
        <v>900</v>
      </c>
      <c r="GT124" s="153">
        <v>909</v>
      </c>
      <c r="GU124" s="153">
        <v>917</v>
      </c>
      <c r="GV124" s="153">
        <v>612</v>
      </c>
      <c r="GW124" s="154">
        <v>350</v>
      </c>
      <c r="GX124" s="154">
        <v>231</v>
      </c>
      <c r="GY124" s="279">
        <v>157</v>
      </c>
      <c r="GZ124" s="279">
        <v>181</v>
      </c>
      <c r="HA124" s="155"/>
      <c r="HB124" s="152">
        <v>5</v>
      </c>
      <c r="HC124" s="153">
        <v>10</v>
      </c>
      <c r="HD124" s="153">
        <v>3</v>
      </c>
      <c r="HE124" s="153">
        <v>10</v>
      </c>
      <c r="HF124" s="154">
        <v>8</v>
      </c>
      <c r="HG124" s="154">
        <v>13</v>
      </c>
      <c r="HH124" s="279">
        <v>1</v>
      </c>
      <c r="HI124" s="279"/>
      <c r="HJ124" s="155"/>
      <c r="HK124" s="152">
        <v>3</v>
      </c>
      <c r="HL124" s="153">
        <v>8</v>
      </c>
      <c r="HM124" s="153">
        <v>5</v>
      </c>
      <c r="HN124" s="153">
        <v>4</v>
      </c>
      <c r="HO124" s="154">
        <v>5</v>
      </c>
      <c r="HP124" s="154">
        <v>4</v>
      </c>
      <c r="HQ124" s="279"/>
      <c r="HR124" s="279"/>
      <c r="HS124" s="155"/>
      <c r="HT124" s="152">
        <v>1255</v>
      </c>
      <c r="HU124" s="153">
        <v>1155</v>
      </c>
      <c r="HV124" s="153">
        <v>1123</v>
      </c>
      <c r="HW124" s="153">
        <v>859</v>
      </c>
      <c r="HX124" s="154">
        <v>608</v>
      </c>
      <c r="HY124" s="154">
        <v>464</v>
      </c>
      <c r="HZ124" s="279">
        <v>407</v>
      </c>
      <c r="IA124" s="279">
        <v>475</v>
      </c>
      <c r="IB124" s="155"/>
      <c r="IC124" s="152">
        <v>4114</v>
      </c>
      <c r="ID124" s="153">
        <v>4998</v>
      </c>
      <c r="IE124" s="153">
        <v>4450</v>
      </c>
      <c r="IF124" s="153">
        <v>3243</v>
      </c>
      <c r="IG124" s="154">
        <v>3706</v>
      </c>
      <c r="IH124" s="154">
        <v>2729</v>
      </c>
      <c r="II124" s="279">
        <v>1918</v>
      </c>
      <c r="IJ124" s="279">
        <v>1996</v>
      </c>
      <c r="IK124" s="155"/>
    </row>
    <row r="125" spans="1:245" x14ac:dyDescent="0.2">
      <c r="A125" s="961"/>
      <c r="B125" s="151" t="s">
        <v>719</v>
      </c>
      <c r="C125" s="152"/>
      <c r="D125" s="153">
        <v>1</v>
      </c>
      <c r="E125" s="153"/>
      <c r="F125" s="153"/>
      <c r="G125" s="154"/>
      <c r="H125" s="154"/>
      <c r="I125" s="279"/>
      <c r="J125" s="279"/>
      <c r="K125" s="155"/>
      <c r="L125" s="152"/>
      <c r="M125" s="153"/>
      <c r="N125" s="153"/>
      <c r="O125" s="153"/>
      <c r="P125" s="154"/>
      <c r="Q125" s="154"/>
      <c r="R125" s="279"/>
      <c r="S125" s="279"/>
      <c r="T125" s="155"/>
      <c r="U125" s="152"/>
      <c r="V125" s="153"/>
      <c r="W125" s="153"/>
      <c r="X125" s="153"/>
      <c r="Y125" s="154"/>
      <c r="Z125" s="154"/>
      <c r="AA125" s="279"/>
      <c r="AB125" s="279"/>
      <c r="AC125" s="155"/>
      <c r="AD125" s="152">
        <v>101</v>
      </c>
      <c r="AE125" s="153">
        <v>100</v>
      </c>
      <c r="AF125" s="153">
        <v>93</v>
      </c>
      <c r="AG125" s="153">
        <v>133</v>
      </c>
      <c r="AH125" s="154">
        <v>143</v>
      </c>
      <c r="AI125" s="154">
        <v>174</v>
      </c>
      <c r="AJ125" s="279">
        <v>95</v>
      </c>
      <c r="AK125" s="279">
        <v>91</v>
      </c>
      <c r="AL125" s="155"/>
      <c r="AM125" s="152">
        <v>69</v>
      </c>
      <c r="AN125" s="153">
        <v>60</v>
      </c>
      <c r="AO125" s="153">
        <v>51</v>
      </c>
      <c r="AP125" s="153">
        <v>65</v>
      </c>
      <c r="AQ125" s="154">
        <v>82</v>
      </c>
      <c r="AR125" s="154">
        <v>95</v>
      </c>
      <c r="AS125" s="279">
        <v>54</v>
      </c>
      <c r="AT125" s="279">
        <v>46</v>
      </c>
      <c r="AU125" s="155"/>
      <c r="AV125" s="152"/>
      <c r="AW125" s="153"/>
      <c r="AX125" s="153"/>
      <c r="AY125" s="153"/>
      <c r="AZ125" s="154"/>
      <c r="BA125" s="154"/>
      <c r="BB125" s="279"/>
      <c r="BC125" s="279"/>
      <c r="BD125" s="155"/>
      <c r="BE125" s="152">
        <v>20</v>
      </c>
      <c r="BF125" s="153">
        <v>12</v>
      </c>
      <c r="BG125" s="153">
        <v>5</v>
      </c>
      <c r="BH125" s="153">
        <v>12</v>
      </c>
      <c r="BI125" s="154">
        <v>7</v>
      </c>
      <c r="BJ125" s="154">
        <v>16</v>
      </c>
      <c r="BK125" s="279">
        <v>13</v>
      </c>
      <c r="BL125" s="279">
        <v>1</v>
      </c>
      <c r="BM125" s="155"/>
      <c r="BN125" s="152"/>
      <c r="BO125" s="153"/>
      <c r="BP125" s="153"/>
      <c r="BQ125" s="153"/>
      <c r="BR125" s="154"/>
      <c r="BS125" s="154"/>
      <c r="BT125" s="279"/>
      <c r="BU125" s="279"/>
      <c r="BV125" s="155"/>
      <c r="BW125" s="152">
        <v>58</v>
      </c>
      <c r="BX125" s="153">
        <v>59</v>
      </c>
      <c r="BY125" s="153">
        <v>61</v>
      </c>
      <c r="BZ125" s="153">
        <v>98</v>
      </c>
      <c r="CA125" s="154">
        <v>142</v>
      </c>
      <c r="CB125" s="154">
        <v>150</v>
      </c>
      <c r="CC125" s="279">
        <v>88</v>
      </c>
      <c r="CD125" s="279">
        <v>69</v>
      </c>
      <c r="CE125" s="155"/>
      <c r="CF125" s="152">
        <v>5</v>
      </c>
      <c r="CG125" s="153">
        <v>5</v>
      </c>
      <c r="CH125" s="153">
        <v>11</v>
      </c>
      <c r="CI125" s="153">
        <v>6</v>
      </c>
      <c r="CJ125" s="154">
        <v>9</v>
      </c>
      <c r="CK125" s="154">
        <v>10</v>
      </c>
      <c r="CL125" s="279"/>
      <c r="CM125" s="279">
        <v>3</v>
      </c>
      <c r="CN125" s="155"/>
      <c r="CO125" s="152"/>
      <c r="CP125" s="153">
        <v>1</v>
      </c>
      <c r="CQ125" s="153">
        <v>3</v>
      </c>
      <c r="CR125" s="153">
        <v>3</v>
      </c>
      <c r="CS125" s="154">
        <v>2</v>
      </c>
      <c r="CT125" s="154">
        <v>2</v>
      </c>
      <c r="CU125" s="279">
        <v>1</v>
      </c>
      <c r="CV125" s="279">
        <v>2</v>
      </c>
      <c r="CW125" s="155"/>
      <c r="CX125" s="152">
        <v>1671</v>
      </c>
      <c r="CY125" s="153">
        <v>2143</v>
      </c>
      <c r="CZ125" s="153">
        <v>2951</v>
      </c>
      <c r="DA125" s="153">
        <v>1850</v>
      </c>
      <c r="DB125" s="154">
        <v>1266</v>
      </c>
      <c r="DC125" s="154">
        <v>1001</v>
      </c>
      <c r="DD125" s="279">
        <v>647</v>
      </c>
      <c r="DE125" s="279">
        <v>526</v>
      </c>
      <c r="DF125" s="155"/>
      <c r="DG125" s="152">
        <v>17</v>
      </c>
      <c r="DH125" s="153">
        <v>24</v>
      </c>
      <c r="DI125" s="153">
        <v>35</v>
      </c>
      <c r="DJ125" s="153">
        <v>18</v>
      </c>
      <c r="DK125" s="154">
        <v>7</v>
      </c>
      <c r="DL125" s="154">
        <v>4</v>
      </c>
      <c r="DM125" s="279">
        <v>2</v>
      </c>
      <c r="DN125" s="279">
        <v>18</v>
      </c>
      <c r="DO125" s="155"/>
      <c r="DP125" s="152">
        <v>84</v>
      </c>
      <c r="DQ125" s="153">
        <v>59</v>
      </c>
      <c r="DR125" s="153">
        <v>71</v>
      </c>
      <c r="DS125" s="153">
        <v>54</v>
      </c>
      <c r="DT125" s="154">
        <v>27</v>
      </c>
      <c r="DU125" s="154">
        <v>25</v>
      </c>
      <c r="DV125" s="279">
        <v>10</v>
      </c>
      <c r="DW125" s="279">
        <v>6</v>
      </c>
      <c r="DX125" s="155"/>
      <c r="DY125" s="152">
        <v>207</v>
      </c>
      <c r="DZ125" s="153">
        <v>175</v>
      </c>
      <c r="EA125" s="153">
        <v>379</v>
      </c>
      <c r="EB125" s="153">
        <v>293</v>
      </c>
      <c r="EC125" s="154">
        <v>242</v>
      </c>
      <c r="ED125" s="154">
        <v>210</v>
      </c>
      <c r="EE125" s="279">
        <v>147</v>
      </c>
      <c r="EF125" s="279">
        <v>131</v>
      </c>
      <c r="EG125" s="155"/>
      <c r="EH125" s="152">
        <v>35</v>
      </c>
      <c r="EI125" s="153">
        <v>29</v>
      </c>
      <c r="EJ125" s="153">
        <v>42</v>
      </c>
      <c r="EK125" s="153">
        <v>19</v>
      </c>
      <c r="EL125" s="154">
        <v>31</v>
      </c>
      <c r="EM125" s="154">
        <v>11</v>
      </c>
      <c r="EN125" s="279">
        <v>8</v>
      </c>
      <c r="EO125" s="279">
        <v>12</v>
      </c>
      <c r="EP125" s="155"/>
      <c r="EQ125" s="152">
        <v>4</v>
      </c>
      <c r="ER125" s="153">
        <v>3</v>
      </c>
      <c r="ES125" s="153">
        <v>1</v>
      </c>
      <c r="ET125" s="153">
        <v>4</v>
      </c>
      <c r="EU125" s="154">
        <v>20</v>
      </c>
      <c r="EV125" s="154">
        <v>17</v>
      </c>
      <c r="EW125" s="279">
        <v>14</v>
      </c>
      <c r="EX125" s="279">
        <v>12</v>
      </c>
      <c r="EY125" s="155"/>
      <c r="EZ125" s="152">
        <v>6</v>
      </c>
      <c r="FA125" s="153">
        <v>13</v>
      </c>
      <c r="FB125" s="153">
        <v>2</v>
      </c>
      <c r="FC125" s="153">
        <v>9</v>
      </c>
      <c r="FD125" s="154">
        <v>1</v>
      </c>
      <c r="FE125" s="154">
        <v>1</v>
      </c>
      <c r="FF125" s="279">
        <v>5</v>
      </c>
      <c r="FG125" s="279">
        <v>2</v>
      </c>
      <c r="FH125" s="155"/>
      <c r="FI125" s="152">
        <v>93</v>
      </c>
      <c r="FJ125" s="153">
        <v>122</v>
      </c>
      <c r="FK125" s="153">
        <v>118</v>
      </c>
      <c r="FL125" s="153">
        <v>73</v>
      </c>
      <c r="FM125" s="154">
        <v>29</v>
      </c>
      <c r="FN125" s="154">
        <v>42</v>
      </c>
      <c r="FO125" s="279">
        <v>33</v>
      </c>
      <c r="FP125" s="279">
        <v>32</v>
      </c>
      <c r="FQ125" s="155"/>
      <c r="FR125" s="152">
        <v>2</v>
      </c>
      <c r="FS125" s="153">
        <v>7</v>
      </c>
      <c r="FT125" s="153">
        <v>4</v>
      </c>
      <c r="FU125" s="153">
        <v>11</v>
      </c>
      <c r="FV125" s="154">
        <v>6</v>
      </c>
      <c r="FW125" s="154">
        <v>5</v>
      </c>
      <c r="FX125" s="279">
        <v>3</v>
      </c>
      <c r="FY125" s="279">
        <v>5</v>
      </c>
      <c r="FZ125" s="155"/>
      <c r="GA125" s="152">
        <v>10</v>
      </c>
      <c r="GB125" s="153">
        <v>10</v>
      </c>
      <c r="GC125" s="153">
        <v>11</v>
      </c>
      <c r="GD125" s="153">
        <v>11</v>
      </c>
      <c r="GE125" s="154">
        <v>7</v>
      </c>
      <c r="GF125" s="154">
        <v>9</v>
      </c>
      <c r="GG125" s="279">
        <v>4</v>
      </c>
      <c r="GH125" s="279">
        <v>3</v>
      </c>
      <c r="GI125" s="155"/>
      <c r="GJ125" s="152">
        <v>2005</v>
      </c>
      <c r="GK125" s="153">
        <v>2505</v>
      </c>
      <c r="GL125" s="153">
        <v>3302</v>
      </c>
      <c r="GM125" s="153">
        <v>2229</v>
      </c>
      <c r="GN125" s="154">
        <v>1663</v>
      </c>
      <c r="GO125" s="154">
        <v>1438</v>
      </c>
      <c r="GP125" s="279">
        <v>911</v>
      </c>
      <c r="GQ125" s="279">
        <v>758</v>
      </c>
      <c r="GR125" s="155"/>
      <c r="GS125" s="152">
        <v>624</v>
      </c>
      <c r="GT125" s="153">
        <v>739</v>
      </c>
      <c r="GU125" s="153">
        <v>926</v>
      </c>
      <c r="GV125" s="153">
        <v>622</v>
      </c>
      <c r="GW125" s="154">
        <v>292</v>
      </c>
      <c r="GX125" s="154">
        <v>324</v>
      </c>
      <c r="GY125" s="279">
        <v>172</v>
      </c>
      <c r="GZ125" s="279">
        <v>160</v>
      </c>
      <c r="HA125" s="155"/>
      <c r="HB125" s="152">
        <v>14</v>
      </c>
      <c r="HC125" s="153">
        <v>12</v>
      </c>
      <c r="HD125" s="153">
        <v>13</v>
      </c>
      <c r="HE125" s="153">
        <v>5</v>
      </c>
      <c r="HF125" s="154">
        <v>9</v>
      </c>
      <c r="HG125" s="154">
        <v>10</v>
      </c>
      <c r="HH125" s="279">
        <v>6</v>
      </c>
      <c r="HI125" s="279">
        <v>3</v>
      </c>
      <c r="HJ125" s="155"/>
      <c r="HK125" s="152">
        <v>5</v>
      </c>
      <c r="HL125" s="153">
        <v>3</v>
      </c>
      <c r="HM125" s="153">
        <v>3</v>
      </c>
      <c r="HN125" s="153">
        <v>1</v>
      </c>
      <c r="HO125" s="154">
        <v>1</v>
      </c>
      <c r="HP125" s="154"/>
      <c r="HQ125" s="279">
        <v>1</v>
      </c>
      <c r="HR125" s="279">
        <v>1</v>
      </c>
      <c r="HS125" s="155"/>
      <c r="HT125" s="152">
        <v>876</v>
      </c>
      <c r="HU125" s="153">
        <v>935</v>
      </c>
      <c r="HV125" s="153">
        <v>1110</v>
      </c>
      <c r="HW125" s="153">
        <v>882</v>
      </c>
      <c r="HX125" s="154">
        <v>591</v>
      </c>
      <c r="HY125" s="154">
        <v>634</v>
      </c>
      <c r="HZ125" s="279">
        <v>407</v>
      </c>
      <c r="IA125" s="279">
        <v>427</v>
      </c>
      <c r="IB125" s="155"/>
      <c r="IC125" s="152">
        <v>2792</v>
      </c>
      <c r="ID125" s="153">
        <v>3859</v>
      </c>
      <c r="IE125" s="153">
        <v>4807</v>
      </c>
      <c r="IF125" s="153">
        <v>3211</v>
      </c>
      <c r="IG125" s="154">
        <v>2748</v>
      </c>
      <c r="IH125" s="154">
        <v>2411</v>
      </c>
      <c r="II125" s="279">
        <v>1751</v>
      </c>
      <c r="IJ125" s="279">
        <v>1596</v>
      </c>
      <c r="IK125" s="155"/>
    </row>
    <row r="126" spans="1:245" x14ac:dyDescent="0.2">
      <c r="A126" s="961"/>
      <c r="B126" s="151" t="s">
        <v>720</v>
      </c>
      <c r="C126" s="152"/>
      <c r="D126" s="153"/>
      <c r="E126" s="153"/>
      <c r="F126" s="153"/>
      <c r="G126" s="154"/>
      <c r="H126" s="154"/>
      <c r="I126" s="279"/>
      <c r="J126" s="279"/>
      <c r="K126" s="155"/>
      <c r="L126" s="152"/>
      <c r="M126" s="153"/>
      <c r="N126" s="153"/>
      <c r="O126" s="153"/>
      <c r="P126" s="154"/>
      <c r="Q126" s="154"/>
      <c r="R126" s="279"/>
      <c r="S126" s="279"/>
      <c r="T126" s="155"/>
      <c r="U126" s="152"/>
      <c r="V126" s="153"/>
      <c r="W126" s="153"/>
      <c r="X126" s="153"/>
      <c r="Y126" s="154"/>
      <c r="Z126" s="154"/>
      <c r="AA126" s="279"/>
      <c r="AB126" s="279"/>
      <c r="AC126" s="155"/>
      <c r="AD126" s="152">
        <v>107</v>
      </c>
      <c r="AE126" s="153">
        <v>51</v>
      </c>
      <c r="AF126" s="153">
        <v>74</v>
      </c>
      <c r="AG126" s="153">
        <v>134</v>
      </c>
      <c r="AH126" s="154">
        <v>107</v>
      </c>
      <c r="AI126" s="154">
        <v>101</v>
      </c>
      <c r="AJ126" s="279">
        <v>92</v>
      </c>
      <c r="AK126" s="279">
        <v>60</v>
      </c>
      <c r="AL126" s="155"/>
      <c r="AM126" s="152">
        <v>52</v>
      </c>
      <c r="AN126" s="153">
        <v>27</v>
      </c>
      <c r="AO126" s="153">
        <v>50</v>
      </c>
      <c r="AP126" s="153">
        <v>82</v>
      </c>
      <c r="AQ126" s="154">
        <v>53</v>
      </c>
      <c r="AR126" s="154">
        <v>56</v>
      </c>
      <c r="AS126" s="279">
        <v>42</v>
      </c>
      <c r="AT126" s="279">
        <v>34</v>
      </c>
      <c r="AU126" s="155"/>
      <c r="AV126" s="152"/>
      <c r="AW126" s="153"/>
      <c r="AX126" s="153"/>
      <c r="AY126" s="153"/>
      <c r="AZ126" s="154"/>
      <c r="BA126" s="154"/>
      <c r="BB126" s="279"/>
      <c r="BC126" s="279"/>
      <c r="BD126" s="155"/>
      <c r="BE126" s="152">
        <v>9</v>
      </c>
      <c r="BF126" s="153">
        <v>8</v>
      </c>
      <c r="BG126" s="153">
        <v>7</v>
      </c>
      <c r="BH126" s="153">
        <v>12</v>
      </c>
      <c r="BI126" s="154">
        <v>11</v>
      </c>
      <c r="BJ126" s="154">
        <v>20</v>
      </c>
      <c r="BK126" s="279">
        <v>11</v>
      </c>
      <c r="BL126" s="279">
        <v>1</v>
      </c>
      <c r="BM126" s="155"/>
      <c r="BN126" s="152"/>
      <c r="BO126" s="153"/>
      <c r="BP126" s="153"/>
      <c r="BQ126" s="153"/>
      <c r="BR126" s="154"/>
      <c r="BS126" s="154">
        <v>4</v>
      </c>
      <c r="BT126" s="279"/>
      <c r="BU126" s="279"/>
      <c r="BV126" s="155"/>
      <c r="BW126" s="152">
        <v>30</v>
      </c>
      <c r="BX126" s="153">
        <v>23</v>
      </c>
      <c r="BY126" s="153">
        <v>30</v>
      </c>
      <c r="BZ126" s="153">
        <v>34</v>
      </c>
      <c r="CA126" s="154">
        <v>37</v>
      </c>
      <c r="CB126" s="154">
        <v>35</v>
      </c>
      <c r="CC126" s="279">
        <v>39</v>
      </c>
      <c r="CD126" s="279">
        <v>40</v>
      </c>
      <c r="CE126" s="155"/>
      <c r="CF126" s="152">
        <v>2</v>
      </c>
      <c r="CG126" s="153">
        <v>10</v>
      </c>
      <c r="CH126" s="153">
        <v>4</v>
      </c>
      <c r="CI126" s="153">
        <v>3</v>
      </c>
      <c r="CJ126" s="154">
        <v>1</v>
      </c>
      <c r="CK126" s="154">
        <v>5</v>
      </c>
      <c r="CL126" s="279">
        <v>2</v>
      </c>
      <c r="CM126" s="279">
        <v>3</v>
      </c>
      <c r="CN126" s="155"/>
      <c r="CO126" s="152">
        <v>1</v>
      </c>
      <c r="CP126" s="153">
        <v>8</v>
      </c>
      <c r="CQ126" s="153"/>
      <c r="CR126" s="153"/>
      <c r="CS126" s="154"/>
      <c r="CT126" s="154"/>
      <c r="CU126" s="279">
        <v>4</v>
      </c>
      <c r="CV126" s="279">
        <v>1</v>
      </c>
      <c r="CW126" s="155"/>
      <c r="CX126" s="152">
        <v>1190</v>
      </c>
      <c r="CY126" s="153">
        <v>1221</v>
      </c>
      <c r="CZ126" s="153">
        <v>1145</v>
      </c>
      <c r="DA126" s="153">
        <v>922</v>
      </c>
      <c r="DB126" s="154">
        <v>949</v>
      </c>
      <c r="DC126" s="154">
        <v>684</v>
      </c>
      <c r="DD126" s="279">
        <v>698</v>
      </c>
      <c r="DE126" s="279">
        <v>507</v>
      </c>
      <c r="DF126" s="155"/>
      <c r="DG126" s="152">
        <v>28</v>
      </c>
      <c r="DH126" s="153">
        <v>23</v>
      </c>
      <c r="DI126" s="153">
        <v>29</v>
      </c>
      <c r="DJ126" s="153">
        <v>23</v>
      </c>
      <c r="DK126" s="154">
        <v>26</v>
      </c>
      <c r="DL126" s="154">
        <v>19</v>
      </c>
      <c r="DM126" s="279">
        <v>10</v>
      </c>
      <c r="DN126" s="279">
        <v>8</v>
      </c>
      <c r="DO126" s="155"/>
      <c r="DP126" s="152">
        <v>44</v>
      </c>
      <c r="DQ126" s="153">
        <v>33</v>
      </c>
      <c r="DR126" s="153">
        <v>37</v>
      </c>
      <c r="DS126" s="153">
        <v>52</v>
      </c>
      <c r="DT126" s="154">
        <v>42</v>
      </c>
      <c r="DU126" s="154">
        <v>47</v>
      </c>
      <c r="DV126" s="279">
        <v>43</v>
      </c>
      <c r="DW126" s="279">
        <v>46</v>
      </c>
      <c r="DX126" s="155"/>
      <c r="DY126" s="152">
        <v>192</v>
      </c>
      <c r="DZ126" s="153">
        <v>158</v>
      </c>
      <c r="EA126" s="153">
        <v>186</v>
      </c>
      <c r="EB126" s="153">
        <v>109</v>
      </c>
      <c r="EC126" s="154">
        <v>185</v>
      </c>
      <c r="ED126" s="154">
        <v>132</v>
      </c>
      <c r="EE126" s="279">
        <v>164</v>
      </c>
      <c r="EF126" s="279">
        <v>89</v>
      </c>
      <c r="EG126" s="155"/>
      <c r="EH126" s="152">
        <v>18</v>
      </c>
      <c r="EI126" s="153">
        <v>10</v>
      </c>
      <c r="EJ126" s="153">
        <v>11</v>
      </c>
      <c r="EK126" s="153">
        <v>17</v>
      </c>
      <c r="EL126" s="154">
        <v>5</v>
      </c>
      <c r="EM126" s="154">
        <v>4</v>
      </c>
      <c r="EN126" s="279">
        <v>4</v>
      </c>
      <c r="EO126" s="279">
        <v>5</v>
      </c>
      <c r="EP126" s="155"/>
      <c r="EQ126" s="152">
        <v>5</v>
      </c>
      <c r="ER126" s="153">
        <v>5</v>
      </c>
      <c r="ES126" s="153">
        <v>1</v>
      </c>
      <c r="ET126" s="153">
        <v>1</v>
      </c>
      <c r="EU126" s="154">
        <v>2</v>
      </c>
      <c r="EV126" s="154">
        <v>4</v>
      </c>
      <c r="EW126" s="279">
        <v>2</v>
      </c>
      <c r="EX126" s="279">
        <v>2</v>
      </c>
      <c r="EY126" s="155"/>
      <c r="EZ126" s="152">
        <v>10</v>
      </c>
      <c r="FA126" s="153">
        <v>5</v>
      </c>
      <c r="FB126" s="153">
        <v>6</v>
      </c>
      <c r="FC126" s="153">
        <v>9</v>
      </c>
      <c r="FD126" s="154">
        <v>3</v>
      </c>
      <c r="FE126" s="154"/>
      <c r="FF126" s="279">
        <v>2</v>
      </c>
      <c r="FG126" s="279"/>
      <c r="FH126" s="155"/>
      <c r="FI126" s="152">
        <v>112</v>
      </c>
      <c r="FJ126" s="153">
        <v>111</v>
      </c>
      <c r="FK126" s="153">
        <v>69</v>
      </c>
      <c r="FL126" s="153">
        <v>54</v>
      </c>
      <c r="FM126" s="154">
        <v>70</v>
      </c>
      <c r="FN126" s="154">
        <v>39</v>
      </c>
      <c r="FO126" s="279">
        <v>22</v>
      </c>
      <c r="FP126" s="279">
        <v>25</v>
      </c>
      <c r="FQ126" s="155"/>
      <c r="FR126" s="152">
        <v>11</v>
      </c>
      <c r="FS126" s="153">
        <v>4</v>
      </c>
      <c r="FT126" s="153">
        <v>3</v>
      </c>
      <c r="FU126" s="153">
        <v>9</v>
      </c>
      <c r="FV126" s="154">
        <v>27</v>
      </c>
      <c r="FW126" s="154">
        <v>10</v>
      </c>
      <c r="FX126" s="279">
        <v>1</v>
      </c>
      <c r="FY126" s="279">
        <v>5</v>
      </c>
      <c r="FZ126" s="155"/>
      <c r="GA126" s="152">
        <v>24</v>
      </c>
      <c r="GB126" s="153">
        <v>17</v>
      </c>
      <c r="GC126" s="153">
        <v>16</v>
      </c>
      <c r="GD126" s="153">
        <v>2</v>
      </c>
      <c r="GE126" s="154">
        <v>4</v>
      </c>
      <c r="GF126" s="154">
        <v>6</v>
      </c>
      <c r="GG126" s="279">
        <v>1</v>
      </c>
      <c r="GH126" s="279">
        <v>6</v>
      </c>
      <c r="GI126" s="155"/>
      <c r="GJ126" s="152">
        <v>1519</v>
      </c>
      <c r="GK126" s="153">
        <v>1473</v>
      </c>
      <c r="GL126" s="153">
        <v>1366</v>
      </c>
      <c r="GM126" s="153">
        <v>1197</v>
      </c>
      <c r="GN126" s="154">
        <v>1216</v>
      </c>
      <c r="GO126" s="154">
        <v>912</v>
      </c>
      <c r="GP126" s="279">
        <v>878</v>
      </c>
      <c r="GQ126" s="279">
        <v>655</v>
      </c>
      <c r="GR126" s="155"/>
      <c r="GS126" s="152">
        <v>509</v>
      </c>
      <c r="GT126" s="153">
        <v>534</v>
      </c>
      <c r="GU126" s="153">
        <v>438</v>
      </c>
      <c r="GV126" s="153">
        <v>333</v>
      </c>
      <c r="GW126" s="154">
        <v>110</v>
      </c>
      <c r="GX126" s="154">
        <v>118</v>
      </c>
      <c r="GY126" s="279">
        <v>116</v>
      </c>
      <c r="GZ126" s="279">
        <v>133</v>
      </c>
      <c r="HA126" s="155"/>
      <c r="HB126" s="152">
        <v>8</v>
      </c>
      <c r="HC126" s="153">
        <v>5</v>
      </c>
      <c r="HD126" s="153">
        <v>4</v>
      </c>
      <c r="HE126" s="153">
        <v>3</v>
      </c>
      <c r="HF126" s="154">
        <v>5</v>
      </c>
      <c r="HG126" s="154">
        <v>7</v>
      </c>
      <c r="HH126" s="279">
        <v>3</v>
      </c>
      <c r="HI126" s="279">
        <v>5</v>
      </c>
      <c r="HJ126" s="155"/>
      <c r="HK126" s="152">
        <v>4</v>
      </c>
      <c r="HL126" s="153">
        <v>1</v>
      </c>
      <c r="HM126" s="153">
        <v>1</v>
      </c>
      <c r="HN126" s="153">
        <v>2</v>
      </c>
      <c r="HO126" s="154">
        <v>2</v>
      </c>
      <c r="HP126" s="154"/>
      <c r="HQ126" s="279">
        <v>5</v>
      </c>
      <c r="HR126" s="279">
        <v>1</v>
      </c>
      <c r="HS126" s="155"/>
      <c r="HT126" s="152">
        <v>718</v>
      </c>
      <c r="HU126" s="153">
        <v>750</v>
      </c>
      <c r="HV126" s="153">
        <v>665</v>
      </c>
      <c r="HW126" s="153">
        <v>573</v>
      </c>
      <c r="HX126" s="154">
        <v>420</v>
      </c>
      <c r="HY126" s="154">
        <v>397</v>
      </c>
      <c r="HZ126" s="279">
        <v>478</v>
      </c>
      <c r="IA126" s="279">
        <v>425</v>
      </c>
      <c r="IB126" s="155"/>
      <c r="IC126" s="152">
        <v>2449</v>
      </c>
      <c r="ID126" s="153">
        <v>2664</v>
      </c>
      <c r="IE126" s="153">
        <v>2754</v>
      </c>
      <c r="IF126" s="153">
        <v>2054</v>
      </c>
      <c r="IG126" s="154">
        <v>1931</v>
      </c>
      <c r="IH126" s="154">
        <v>2021</v>
      </c>
      <c r="II126" s="279">
        <v>1591</v>
      </c>
      <c r="IJ126" s="279">
        <v>1398</v>
      </c>
      <c r="IK126" s="155"/>
    </row>
    <row r="127" spans="1:245" x14ac:dyDescent="0.2">
      <c r="A127" s="961"/>
      <c r="B127" s="151" t="s">
        <v>721</v>
      </c>
      <c r="C127" s="152"/>
      <c r="D127" s="153"/>
      <c r="E127" s="153"/>
      <c r="F127" s="153"/>
      <c r="G127" s="154"/>
      <c r="H127" s="154"/>
      <c r="I127" s="279"/>
      <c r="J127" s="279"/>
      <c r="K127" s="155"/>
      <c r="L127" s="152"/>
      <c r="M127" s="153"/>
      <c r="N127" s="153"/>
      <c r="O127" s="153"/>
      <c r="P127" s="154"/>
      <c r="Q127" s="154"/>
      <c r="R127" s="279"/>
      <c r="S127" s="279"/>
      <c r="T127" s="155"/>
      <c r="U127" s="152"/>
      <c r="V127" s="153"/>
      <c r="W127" s="153"/>
      <c r="X127" s="153"/>
      <c r="Y127" s="154"/>
      <c r="Z127" s="154"/>
      <c r="AA127" s="279"/>
      <c r="AB127" s="279"/>
      <c r="AC127" s="155"/>
      <c r="AD127" s="152">
        <v>87</v>
      </c>
      <c r="AE127" s="153">
        <v>71</v>
      </c>
      <c r="AF127" s="153">
        <v>76</v>
      </c>
      <c r="AG127" s="153">
        <v>107</v>
      </c>
      <c r="AH127" s="154">
        <v>88</v>
      </c>
      <c r="AI127" s="154">
        <v>84</v>
      </c>
      <c r="AJ127" s="279">
        <v>70</v>
      </c>
      <c r="AK127" s="279">
        <v>80</v>
      </c>
      <c r="AL127" s="155"/>
      <c r="AM127" s="152">
        <v>51</v>
      </c>
      <c r="AN127" s="153">
        <v>54</v>
      </c>
      <c r="AO127" s="153">
        <v>58</v>
      </c>
      <c r="AP127" s="153">
        <v>76</v>
      </c>
      <c r="AQ127" s="154">
        <v>51</v>
      </c>
      <c r="AR127" s="154">
        <v>48</v>
      </c>
      <c r="AS127" s="279">
        <v>50</v>
      </c>
      <c r="AT127" s="279">
        <v>50</v>
      </c>
      <c r="AU127" s="155"/>
      <c r="AV127" s="152"/>
      <c r="AW127" s="153"/>
      <c r="AX127" s="153"/>
      <c r="AY127" s="153"/>
      <c r="AZ127" s="154"/>
      <c r="BA127" s="154"/>
      <c r="BB127" s="279"/>
      <c r="BC127" s="279"/>
      <c r="BD127" s="155"/>
      <c r="BE127" s="152">
        <v>13</v>
      </c>
      <c r="BF127" s="153">
        <v>21</v>
      </c>
      <c r="BG127" s="153">
        <v>22</v>
      </c>
      <c r="BH127" s="153">
        <v>31</v>
      </c>
      <c r="BI127" s="154">
        <v>26</v>
      </c>
      <c r="BJ127" s="154">
        <v>33</v>
      </c>
      <c r="BK127" s="279">
        <v>21</v>
      </c>
      <c r="BL127" s="279">
        <v>10</v>
      </c>
      <c r="BM127" s="155"/>
      <c r="BN127" s="152"/>
      <c r="BO127" s="153"/>
      <c r="BP127" s="153"/>
      <c r="BQ127" s="153"/>
      <c r="BR127" s="154"/>
      <c r="BS127" s="154"/>
      <c r="BT127" s="279"/>
      <c r="BU127" s="279"/>
      <c r="BV127" s="155"/>
      <c r="BW127" s="152">
        <v>26</v>
      </c>
      <c r="BX127" s="153">
        <v>55</v>
      </c>
      <c r="BY127" s="153">
        <v>53</v>
      </c>
      <c r="BZ127" s="153">
        <v>69</v>
      </c>
      <c r="CA127" s="154">
        <v>68</v>
      </c>
      <c r="CB127" s="154">
        <v>78</v>
      </c>
      <c r="CC127" s="279">
        <v>84</v>
      </c>
      <c r="CD127" s="279">
        <v>102</v>
      </c>
      <c r="CE127" s="155"/>
      <c r="CF127" s="152">
        <v>4</v>
      </c>
      <c r="CG127" s="153">
        <v>7</v>
      </c>
      <c r="CH127" s="153">
        <v>1</v>
      </c>
      <c r="CI127" s="153">
        <v>9</v>
      </c>
      <c r="CJ127" s="154">
        <v>6</v>
      </c>
      <c r="CK127" s="154">
        <v>5</v>
      </c>
      <c r="CL127" s="279">
        <v>2</v>
      </c>
      <c r="CM127" s="279">
        <v>4</v>
      </c>
      <c r="CN127" s="155"/>
      <c r="CO127" s="152">
        <v>4</v>
      </c>
      <c r="CP127" s="153">
        <v>3</v>
      </c>
      <c r="CQ127" s="153">
        <v>4</v>
      </c>
      <c r="CR127" s="153">
        <v>5</v>
      </c>
      <c r="CS127" s="154">
        <v>5</v>
      </c>
      <c r="CT127" s="154">
        <v>4</v>
      </c>
      <c r="CU127" s="279"/>
      <c r="CV127" s="279">
        <v>3</v>
      </c>
      <c r="CW127" s="155"/>
      <c r="CX127" s="152">
        <v>2437</v>
      </c>
      <c r="CY127" s="153">
        <v>2608</v>
      </c>
      <c r="CZ127" s="153">
        <v>2718</v>
      </c>
      <c r="DA127" s="153">
        <v>2344</v>
      </c>
      <c r="DB127" s="154">
        <v>1829</v>
      </c>
      <c r="DC127" s="154">
        <v>1202</v>
      </c>
      <c r="DD127" s="279">
        <v>1454</v>
      </c>
      <c r="DE127" s="279">
        <v>1064</v>
      </c>
      <c r="DF127" s="155"/>
      <c r="DG127" s="152">
        <v>82</v>
      </c>
      <c r="DH127" s="153">
        <v>106</v>
      </c>
      <c r="DI127" s="153">
        <v>80</v>
      </c>
      <c r="DJ127" s="153">
        <v>63</v>
      </c>
      <c r="DK127" s="154">
        <v>55</v>
      </c>
      <c r="DL127" s="154">
        <v>16</v>
      </c>
      <c r="DM127" s="279">
        <v>26</v>
      </c>
      <c r="DN127" s="279">
        <v>9</v>
      </c>
      <c r="DO127" s="155"/>
      <c r="DP127" s="152">
        <v>143</v>
      </c>
      <c r="DQ127" s="153">
        <v>165</v>
      </c>
      <c r="DR127" s="153">
        <v>99</v>
      </c>
      <c r="DS127" s="153">
        <v>62</v>
      </c>
      <c r="DT127" s="154">
        <v>80</v>
      </c>
      <c r="DU127" s="154">
        <v>39</v>
      </c>
      <c r="DV127" s="279">
        <v>95</v>
      </c>
      <c r="DW127" s="279">
        <v>57</v>
      </c>
      <c r="DX127" s="155"/>
      <c r="DY127" s="152">
        <v>517</v>
      </c>
      <c r="DZ127" s="153">
        <v>400</v>
      </c>
      <c r="EA127" s="153">
        <v>458</v>
      </c>
      <c r="EB127" s="153">
        <v>411</v>
      </c>
      <c r="EC127" s="154">
        <v>347</v>
      </c>
      <c r="ED127" s="154">
        <v>323</v>
      </c>
      <c r="EE127" s="279">
        <v>423</v>
      </c>
      <c r="EF127" s="279">
        <v>267</v>
      </c>
      <c r="EG127" s="155"/>
      <c r="EH127" s="152">
        <v>47</v>
      </c>
      <c r="EI127" s="153">
        <v>27</v>
      </c>
      <c r="EJ127" s="153">
        <v>16</v>
      </c>
      <c r="EK127" s="153">
        <v>26</v>
      </c>
      <c r="EL127" s="154">
        <v>18</v>
      </c>
      <c r="EM127" s="154">
        <v>9</v>
      </c>
      <c r="EN127" s="279">
        <v>14</v>
      </c>
      <c r="EO127" s="279">
        <v>20</v>
      </c>
      <c r="EP127" s="155"/>
      <c r="EQ127" s="152">
        <v>2</v>
      </c>
      <c r="ER127" s="153">
        <v>2</v>
      </c>
      <c r="ES127" s="153"/>
      <c r="ET127" s="153">
        <v>11</v>
      </c>
      <c r="EU127" s="154">
        <v>13</v>
      </c>
      <c r="EV127" s="154">
        <v>5</v>
      </c>
      <c r="EW127" s="279">
        <v>7</v>
      </c>
      <c r="EX127" s="279">
        <v>9</v>
      </c>
      <c r="EY127" s="155"/>
      <c r="EZ127" s="152">
        <v>2</v>
      </c>
      <c r="FA127" s="153">
        <v>3</v>
      </c>
      <c r="FB127" s="153">
        <v>7</v>
      </c>
      <c r="FC127" s="153">
        <v>3</v>
      </c>
      <c r="FD127" s="154">
        <v>4</v>
      </c>
      <c r="FE127" s="154">
        <v>4</v>
      </c>
      <c r="FF127" s="279"/>
      <c r="FG127" s="279">
        <v>1</v>
      </c>
      <c r="FH127" s="155"/>
      <c r="FI127" s="152">
        <v>161</v>
      </c>
      <c r="FJ127" s="153">
        <v>201</v>
      </c>
      <c r="FK127" s="153">
        <v>227</v>
      </c>
      <c r="FL127" s="153">
        <v>139</v>
      </c>
      <c r="FM127" s="154">
        <v>92</v>
      </c>
      <c r="FN127" s="154">
        <v>82</v>
      </c>
      <c r="FO127" s="279">
        <v>115</v>
      </c>
      <c r="FP127" s="279">
        <v>94</v>
      </c>
      <c r="FQ127" s="155"/>
      <c r="FR127" s="152">
        <v>14</v>
      </c>
      <c r="FS127" s="153">
        <v>16</v>
      </c>
      <c r="FT127" s="153">
        <v>6</v>
      </c>
      <c r="FU127" s="153">
        <v>11</v>
      </c>
      <c r="FV127" s="154">
        <v>8</v>
      </c>
      <c r="FW127" s="154">
        <v>6</v>
      </c>
      <c r="FX127" s="279">
        <v>7</v>
      </c>
      <c r="FY127" s="279">
        <v>4</v>
      </c>
      <c r="FZ127" s="155"/>
      <c r="GA127" s="152">
        <v>5</v>
      </c>
      <c r="GB127" s="153">
        <v>8</v>
      </c>
      <c r="GC127" s="153">
        <v>8</v>
      </c>
      <c r="GD127" s="153">
        <v>11</v>
      </c>
      <c r="GE127" s="154">
        <v>15</v>
      </c>
      <c r="GF127" s="154">
        <v>19</v>
      </c>
      <c r="GG127" s="279">
        <v>3</v>
      </c>
      <c r="GH127" s="279">
        <v>17</v>
      </c>
      <c r="GI127" s="155"/>
      <c r="GJ127" s="152">
        <v>2802</v>
      </c>
      <c r="GK127" s="153">
        <v>3022</v>
      </c>
      <c r="GL127" s="153">
        <v>3138</v>
      </c>
      <c r="GM127" s="153">
        <v>2766</v>
      </c>
      <c r="GN127" s="154">
        <v>2172</v>
      </c>
      <c r="GO127" s="154">
        <v>1531</v>
      </c>
      <c r="GP127" s="279">
        <v>1777</v>
      </c>
      <c r="GQ127" s="279">
        <v>1408</v>
      </c>
      <c r="GR127" s="155"/>
      <c r="GS127" s="152">
        <v>822</v>
      </c>
      <c r="GT127" s="153">
        <v>1026</v>
      </c>
      <c r="GU127" s="153">
        <v>941</v>
      </c>
      <c r="GV127" s="153">
        <v>635</v>
      </c>
      <c r="GW127" s="154">
        <v>341</v>
      </c>
      <c r="GX127" s="154">
        <v>266</v>
      </c>
      <c r="GY127" s="279">
        <v>327</v>
      </c>
      <c r="GZ127" s="279">
        <v>303</v>
      </c>
      <c r="HA127" s="155"/>
      <c r="HB127" s="152">
        <v>3</v>
      </c>
      <c r="HC127" s="153">
        <v>8</v>
      </c>
      <c r="HD127" s="153">
        <v>2</v>
      </c>
      <c r="HE127" s="153">
        <v>1</v>
      </c>
      <c r="HF127" s="154">
        <v>6</v>
      </c>
      <c r="HG127" s="154">
        <v>6</v>
      </c>
      <c r="HH127" s="279">
        <v>9</v>
      </c>
      <c r="HI127" s="279">
        <v>2</v>
      </c>
      <c r="HJ127" s="155"/>
      <c r="HK127" s="152">
        <v>4</v>
      </c>
      <c r="HL127" s="153">
        <v>1</v>
      </c>
      <c r="HM127" s="153">
        <v>2</v>
      </c>
      <c r="HN127" s="153">
        <v>7</v>
      </c>
      <c r="HO127" s="154">
        <v>1</v>
      </c>
      <c r="HP127" s="154">
        <v>1</v>
      </c>
      <c r="HQ127" s="279">
        <v>4</v>
      </c>
      <c r="HR127" s="279"/>
      <c r="HS127" s="155"/>
      <c r="HT127" s="152">
        <v>1169</v>
      </c>
      <c r="HU127" s="153">
        <v>1270</v>
      </c>
      <c r="HV127" s="153">
        <v>1140</v>
      </c>
      <c r="HW127" s="153">
        <v>913</v>
      </c>
      <c r="HX127" s="154">
        <v>613</v>
      </c>
      <c r="HY127" s="154">
        <v>564</v>
      </c>
      <c r="HZ127" s="279">
        <v>621</v>
      </c>
      <c r="IA127" s="279">
        <v>630</v>
      </c>
      <c r="IB127" s="155"/>
      <c r="IC127" s="152">
        <v>4362</v>
      </c>
      <c r="ID127" s="153">
        <v>6031</v>
      </c>
      <c r="IE127" s="153">
        <v>6316</v>
      </c>
      <c r="IF127" s="153">
        <v>4245</v>
      </c>
      <c r="IG127" s="154">
        <v>3035</v>
      </c>
      <c r="IH127" s="154">
        <v>2595</v>
      </c>
      <c r="II127" s="279">
        <v>3835</v>
      </c>
      <c r="IJ127" s="279">
        <v>2655</v>
      </c>
      <c r="IK127" s="155"/>
    </row>
    <row r="128" spans="1:245" x14ac:dyDescent="0.2">
      <c r="A128" s="961"/>
      <c r="B128" s="151" t="s">
        <v>722</v>
      </c>
      <c r="C128" s="152"/>
      <c r="D128" s="153"/>
      <c r="E128" s="153"/>
      <c r="F128" s="153"/>
      <c r="G128" s="154"/>
      <c r="H128" s="154"/>
      <c r="I128" s="279"/>
      <c r="J128" s="279"/>
      <c r="K128" s="155"/>
      <c r="L128" s="152"/>
      <c r="M128" s="153"/>
      <c r="N128" s="153"/>
      <c r="O128" s="153"/>
      <c r="P128" s="154"/>
      <c r="Q128" s="154"/>
      <c r="R128" s="279"/>
      <c r="S128" s="279"/>
      <c r="T128" s="155"/>
      <c r="U128" s="152"/>
      <c r="V128" s="153"/>
      <c r="W128" s="153"/>
      <c r="X128" s="153"/>
      <c r="Y128" s="154"/>
      <c r="Z128" s="154"/>
      <c r="AA128" s="279"/>
      <c r="AB128" s="279"/>
      <c r="AC128" s="155"/>
      <c r="AD128" s="152">
        <v>196</v>
      </c>
      <c r="AE128" s="153">
        <v>130</v>
      </c>
      <c r="AF128" s="153">
        <v>99</v>
      </c>
      <c r="AG128" s="153">
        <v>115</v>
      </c>
      <c r="AH128" s="154">
        <v>113</v>
      </c>
      <c r="AI128" s="154">
        <v>86</v>
      </c>
      <c r="AJ128" s="279">
        <v>87</v>
      </c>
      <c r="AK128" s="279">
        <v>76</v>
      </c>
      <c r="AL128" s="155"/>
      <c r="AM128" s="152">
        <v>137</v>
      </c>
      <c r="AN128" s="153">
        <v>69</v>
      </c>
      <c r="AO128" s="153">
        <v>67</v>
      </c>
      <c r="AP128" s="153">
        <v>69</v>
      </c>
      <c r="AQ128" s="154">
        <v>58</v>
      </c>
      <c r="AR128" s="154">
        <v>32</v>
      </c>
      <c r="AS128" s="279">
        <v>39</v>
      </c>
      <c r="AT128" s="279">
        <v>37</v>
      </c>
      <c r="AU128" s="155"/>
      <c r="AV128" s="152"/>
      <c r="AW128" s="153"/>
      <c r="AX128" s="153"/>
      <c r="AY128" s="153"/>
      <c r="AZ128" s="154"/>
      <c r="BA128" s="154"/>
      <c r="BB128" s="279"/>
      <c r="BC128" s="279"/>
      <c r="BD128" s="155"/>
      <c r="BE128" s="152">
        <v>20</v>
      </c>
      <c r="BF128" s="153">
        <v>10</v>
      </c>
      <c r="BG128" s="153">
        <v>16</v>
      </c>
      <c r="BH128" s="153">
        <v>8</v>
      </c>
      <c r="BI128" s="154">
        <v>4</v>
      </c>
      <c r="BJ128" s="154">
        <v>8</v>
      </c>
      <c r="BK128" s="279">
        <v>11</v>
      </c>
      <c r="BL128" s="279">
        <v>7</v>
      </c>
      <c r="BM128" s="155"/>
      <c r="BN128" s="152"/>
      <c r="BO128" s="153"/>
      <c r="BP128" s="153"/>
      <c r="BQ128" s="153"/>
      <c r="BR128" s="154"/>
      <c r="BS128" s="154">
        <v>1</v>
      </c>
      <c r="BT128" s="279"/>
      <c r="BU128" s="279"/>
      <c r="BV128" s="155"/>
      <c r="BW128" s="152">
        <v>64</v>
      </c>
      <c r="BX128" s="153">
        <v>42</v>
      </c>
      <c r="BY128" s="153">
        <v>33</v>
      </c>
      <c r="BZ128" s="153">
        <v>69</v>
      </c>
      <c r="CA128" s="154">
        <v>56</v>
      </c>
      <c r="CB128" s="154">
        <v>67</v>
      </c>
      <c r="CC128" s="279">
        <v>64</v>
      </c>
      <c r="CD128" s="279">
        <v>43</v>
      </c>
      <c r="CE128" s="155"/>
      <c r="CF128" s="152">
        <v>18</v>
      </c>
      <c r="CG128" s="153">
        <v>6</v>
      </c>
      <c r="CH128" s="153">
        <v>3</v>
      </c>
      <c r="CI128" s="153">
        <v>5</v>
      </c>
      <c r="CJ128" s="154">
        <v>12</v>
      </c>
      <c r="CK128" s="154">
        <v>6</v>
      </c>
      <c r="CL128" s="279">
        <v>3</v>
      </c>
      <c r="CM128" s="279">
        <v>3</v>
      </c>
      <c r="CN128" s="155"/>
      <c r="CO128" s="152">
        <v>2</v>
      </c>
      <c r="CP128" s="153">
        <v>6</v>
      </c>
      <c r="CQ128" s="153">
        <v>3</v>
      </c>
      <c r="CR128" s="153">
        <v>1</v>
      </c>
      <c r="CS128" s="154">
        <v>1</v>
      </c>
      <c r="CT128" s="154"/>
      <c r="CU128" s="279"/>
      <c r="CV128" s="279">
        <v>1</v>
      </c>
      <c r="CW128" s="155"/>
      <c r="CX128" s="152">
        <v>1864</v>
      </c>
      <c r="CY128" s="153">
        <v>1679</v>
      </c>
      <c r="CZ128" s="153">
        <v>1963</v>
      </c>
      <c r="DA128" s="153">
        <v>1951</v>
      </c>
      <c r="DB128" s="154">
        <v>1766</v>
      </c>
      <c r="DC128" s="154">
        <v>993</v>
      </c>
      <c r="DD128" s="279">
        <v>732</v>
      </c>
      <c r="DE128" s="279">
        <v>644</v>
      </c>
      <c r="DF128" s="155"/>
      <c r="DG128" s="152">
        <v>37</v>
      </c>
      <c r="DH128" s="153">
        <v>40</v>
      </c>
      <c r="DI128" s="153">
        <v>55</v>
      </c>
      <c r="DJ128" s="153">
        <v>63</v>
      </c>
      <c r="DK128" s="154">
        <v>50</v>
      </c>
      <c r="DL128" s="154">
        <v>14</v>
      </c>
      <c r="DM128" s="279">
        <v>15</v>
      </c>
      <c r="DN128" s="279">
        <v>9</v>
      </c>
      <c r="DO128" s="155"/>
      <c r="DP128" s="152">
        <v>49</v>
      </c>
      <c r="DQ128" s="153">
        <v>39</v>
      </c>
      <c r="DR128" s="153">
        <v>46</v>
      </c>
      <c r="DS128" s="153">
        <v>49</v>
      </c>
      <c r="DT128" s="154">
        <v>51</v>
      </c>
      <c r="DU128" s="154">
        <v>40</v>
      </c>
      <c r="DV128" s="279">
        <v>49</v>
      </c>
      <c r="DW128" s="279">
        <v>93</v>
      </c>
      <c r="DX128" s="155"/>
      <c r="DY128" s="152">
        <v>266</v>
      </c>
      <c r="DZ128" s="153">
        <v>217</v>
      </c>
      <c r="EA128" s="153">
        <v>259</v>
      </c>
      <c r="EB128" s="153">
        <v>243</v>
      </c>
      <c r="EC128" s="154">
        <v>322</v>
      </c>
      <c r="ED128" s="154">
        <v>185</v>
      </c>
      <c r="EE128" s="279">
        <v>95</v>
      </c>
      <c r="EF128" s="279">
        <v>90</v>
      </c>
      <c r="EG128" s="155"/>
      <c r="EH128" s="152">
        <v>36</v>
      </c>
      <c r="EI128" s="153">
        <v>33</v>
      </c>
      <c r="EJ128" s="153">
        <v>26</v>
      </c>
      <c r="EK128" s="153">
        <v>17</v>
      </c>
      <c r="EL128" s="154">
        <v>13</v>
      </c>
      <c r="EM128" s="154">
        <v>7</v>
      </c>
      <c r="EN128" s="279">
        <v>8</v>
      </c>
      <c r="EO128" s="279">
        <v>5</v>
      </c>
      <c r="EP128" s="155"/>
      <c r="EQ128" s="152">
        <v>1</v>
      </c>
      <c r="ER128" s="153">
        <v>3</v>
      </c>
      <c r="ES128" s="153">
        <v>2</v>
      </c>
      <c r="ET128" s="153">
        <v>7</v>
      </c>
      <c r="EU128" s="154">
        <v>3</v>
      </c>
      <c r="EV128" s="154">
        <v>1</v>
      </c>
      <c r="EW128" s="279">
        <v>3</v>
      </c>
      <c r="EX128" s="279">
        <v>8</v>
      </c>
      <c r="EY128" s="155"/>
      <c r="EZ128" s="152">
        <v>17</v>
      </c>
      <c r="FA128" s="153">
        <v>8</v>
      </c>
      <c r="FB128" s="153">
        <v>5</v>
      </c>
      <c r="FC128" s="153">
        <v>4</v>
      </c>
      <c r="FD128" s="154">
        <v>2</v>
      </c>
      <c r="FE128" s="154">
        <v>7</v>
      </c>
      <c r="FF128" s="279"/>
      <c r="FG128" s="279">
        <v>1</v>
      </c>
      <c r="FH128" s="155"/>
      <c r="FI128" s="152">
        <v>201</v>
      </c>
      <c r="FJ128" s="153">
        <v>138</v>
      </c>
      <c r="FK128" s="153">
        <v>140</v>
      </c>
      <c r="FL128" s="153">
        <v>96</v>
      </c>
      <c r="FM128" s="154">
        <v>91</v>
      </c>
      <c r="FN128" s="154">
        <v>57</v>
      </c>
      <c r="FO128" s="279">
        <v>56</v>
      </c>
      <c r="FP128" s="279">
        <v>41</v>
      </c>
      <c r="FQ128" s="155"/>
      <c r="FR128" s="152">
        <v>19</v>
      </c>
      <c r="FS128" s="153">
        <v>15</v>
      </c>
      <c r="FT128" s="153">
        <v>14</v>
      </c>
      <c r="FU128" s="153">
        <v>25</v>
      </c>
      <c r="FV128" s="154">
        <v>11</v>
      </c>
      <c r="FW128" s="154">
        <v>7</v>
      </c>
      <c r="FX128" s="279"/>
      <c r="FY128" s="279">
        <v>1</v>
      </c>
      <c r="FZ128" s="155"/>
      <c r="GA128" s="152">
        <v>21</v>
      </c>
      <c r="GB128" s="153">
        <v>16</v>
      </c>
      <c r="GC128" s="153">
        <v>8</v>
      </c>
      <c r="GD128" s="153">
        <v>11</v>
      </c>
      <c r="GE128" s="154">
        <v>13</v>
      </c>
      <c r="GF128" s="154">
        <v>8</v>
      </c>
      <c r="GG128" s="279">
        <v>6</v>
      </c>
      <c r="GH128" s="279">
        <v>8</v>
      </c>
      <c r="GI128" s="155"/>
      <c r="GJ128" s="152">
        <v>2459</v>
      </c>
      <c r="GK128" s="153">
        <v>2086</v>
      </c>
      <c r="GL128" s="153">
        <v>2312</v>
      </c>
      <c r="GM128" s="153">
        <v>2309</v>
      </c>
      <c r="GN128" s="154">
        <v>2085</v>
      </c>
      <c r="GO128" s="154">
        <v>1248</v>
      </c>
      <c r="GP128" s="279">
        <v>970</v>
      </c>
      <c r="GQ128" s="279">
        <v>838</v>
      </c>
      <c r="GR128" s="155"/>
      <c r="GS128" s="152">
        <v>760</v>
      </c>
      <c r="GT128" s="153">
        <v>688</v>
      </c>
      <c r="GU128" s="153">
        <v>689</v>
      </c>
      <c r="GV128" s="153">
        <v>662</v>
      </c>
      <c r="GW128" s="154">
        <v>327</v>
      </c>
      <c r="GX128" s="154">
        <v>230</v>
      </c>
      <c r="GY128" s="279">
        <v>224</v>
      </c>
      <c r="GZ128" s="279">
        <v>212</v>
      </c>
      <c r="HA128" s="155"/>
      <c r="HB128" s="152">
        <v>18</v>
      </c>
      <c r="HC128" s="153">
        <v>8</v>
      </c>
      <c r="HD128" s="153">
        <v>12</v>
      </c>
      <c r="HE128" s="153">
        <v>13</v>
      </c>
      <c r="HF128" s="154">
        <v>20</v>
      </c>
      <c r="HG128" s="154">
        <v>5</v>
      </c>
      <c r="HH128" s="279">
        <v>6</v>
      </c>
      <c r="HI128" s="279">
        <v>1</v>
      </c>
      <c r="HJ128" s="155"/>
      <c r="HK128" s="152"/>
      <c r="HL128" s="153">
        <v>4</v>
      </c>
      <c r="HM128" s="153">
        <v>5</v>
      </c>
      <c r="HN128" s="153">
        <v>4</v>
      </c>
      <c r="HO128" s="154">
        <v>3</v>
      </c>
      <c r="HP128" s="154">
        <v>6</v>
      </c>
      <c r="HQ128" s="279">
        <v>1</v>
      </c>
      <c r="HR128" s="279"/>
      <c r="HS128" s="155"/>
      <c r="HT128" s="152">
        <v>1058</v>
      </c>
      <c r="HU128" s="153">
        <v>966</v>
      </c>
      <c r="HV128" s="153">
        <v>946</v>
      </c>
      <c r="HW128" s="153">
        <v>923</v>
      </c>
      <c r="HX128" s="154">
        <v>552</v>
      </c>
      <c r="HY128" s="154">
        <v>447</v>
      </c>
      <c r="HZ128" s="279">
        <v>444</v>
      </c>
      <c r="IA128" s="279">
        <v>533</v>
      </c>
      <c r="IB128" s="155"/>
      <c r="IC128" s="152">
        <v>3976</v>
      </c>
      <c r="ID128" s="153">
        <v>3395</v>
      </c>
      <c r="IE128" s="153">
        <v>3945</v>
      </c>
      <c r="IF128" s="153">
        <v>3358</v>
      </c>
      <c r="IG128" s="154">
        <v>2935</v>
      </c>
      <c r="IH128" s="154">
        <v>2073</v>
      </c>
      <c r="II128" s="279">
        <v>1674</v>
      </c>
      <c r="IJ128" s="279">
        <v>1755</v>
      </c>
      <c r="IK128" s="155"/>
    </row>
    <row r="129" spans="1:245" x14ac:dyDescent="0.2">
      <c r="A129" s="961"/>
      <c r="B129" s="151" t="s">
        <v>723</v>
      </c>
      <c r="C129" s="152"/>
      <c r="D129" s="153"/>
      <c r="E129" s="153"/>
      <c r="F129" s="153"/>
      <c r="G129" s="154"/>
      <c r="H129" s="154"/>
      <c r="I129" s="279">
        <v>1</v>
      </c>
      <c r="J129" s="279"/>
      <c r="K129" s="155"/>
      <c r="L129" s="152"/>
      <c r="M129" s="153"/>
      <c r="N129" s="153"/>
      <c r="O129" s="153"/>
      <c r="P129" s="154"/>
      <c r="Q129" s="154"/>
      <c r="R129" s="279"/>
      <c r="S129" s="279"/>
      <c r="T129" s="155"/>
      <c r="U129" s="152"/>
      <c r="V129" s="153"/>
      <c r="W129" s="153"/>
      <c r="X129" s="153"/>
      <c r="Y129" s="154"/>
      <c r="Z129" s="154"/>
      <c r="AA129" s="279">
        <v>1</v>
      </c>
      <c r="AB129" s="279"/>
      <c r="AC129" s="155"/>
      <c r="AD129" s="152">
        <v>85</v>
      </c>
      <c r="AE129" s="153">
        <v>68</v>
      </c>
      <c r="AF129" s="153">
        <v>73</v>
      </c>
      <c r="AG129" s="153">
        <v>129</v>
      </c>
      <c r="AH129" s="154">
        <v>161</v>
      </c>
      <c r="AI129" s="154">
        <v>156</v>
      </c>
      <c r="AJ129" s="279">
        <v>126</v>
      </c>
      <c r="AK129" s="279">
        <v>84</v>
      </c>
      <c r="AL129" s="155"/>
      <c r="AM129" s="152">
        <v>58</v>
      </c>
      <c r="AN129" s="153">
        <v>45</v>
      </c>
      <c r="AO129" s="153">
        <v>23</v>
      </c>
      <c r="AP129" s="153">
        <v>25</v>
      </c>
      <c r="AQ129" s="154">
        <v>33</v>
      </c>
      <c r="AR129" s="154">
        <v>31</v>
      </c>
      <c r="AS129" s="279">
        <v>26</v>
      </c>
      <c r="AT129" s="279">
        <v>18</v>
      </c>
      <c r="AU129" s="155"/>
      <c r="AV129" s="152"/>
      <c r="AW129" s="153"/>
      <c r="AX129" s="153"/>
      <c r="AY129" s="153"/>
      <c r="AZ129" s="154"/>
      <c r="BA129" s="154"/>
      <c r="BB129" s="279"/>
      <c r="BC129" s="279"/>
      <c r="BD129" s="155"/>
      <c r="BE129" s="152">
        <v>21</v>
      </c>
      <c r="BF129" s="153">
        <v>14</v>
      </c>
      <c r="BG129" s="153">
        <v>28</v>
      </c>
      <c r="BH129" s="153">
        <v>11</v>
      </c>
      <c r="BI129" s="154">
        <v>13</v>
      </c>
      <c r="BJ129" s="154">
        <v>19</v>
      </c>
      <c r="BK129" s="279">
        <v>10</v>
      </c>
      <c r="BL129" s="279">
        <v>12</v>
      </c>
      <c r="BM129" s="155"/>
      <c r="BN129" s="152"/>
      <c r="BO129" s="153"/>
      <c r="BP129" s="153"/>
      <c r="BQ129" s="153"/>
      <c r="BR129" s="154"/>
      <c r="BS129" s="154"/>
      <c r="BT129" s="279"/>
      <c r="BU129" s="279"/>
      <c r="BV129" s="155"/>
      <c r="BW129" s="152">
        <v>12</v>
      </c>
      <c r="BX129" s="153">
        <v>13</v>
      </c>
      <c r="BY129" s="153">
        <v>19</v>
      </c>
      <c r="BZ129" s="153">
        <v>24</v>
      </c>
      <c r="CA129" s="154">
        <v>49</v>
      </c>
      <c r="CB129" s="154">
        <v>62</v>
      </c>
      <c r="CC129" s="279">
        <v>75</v>
      </c>
      <c r="CD129" s="279">
        <v>52</v>
      </c>
      <c r="CE129" s="155"/>
      <c r="CF129" s="152">
        <v>6</v>
      </c>
      <c r="CG129" s="153">
        <v>3</v>
      </c>
      <c r="CH129" s="153">
        <v>5</v>
      </c>
      <c r="CI129" s="153">
        <v>4</v>
      </c>
      <c r="CJ129" s="154">
        <v>7</v>
      </c>
      <c r="CK129" s="154">
        <v>4</v>
      </c>
      <c r="CL129" s="279">
        <v>7</v>
      </c>
      <c r="CM129" s="279">
        <v>2</v>
      </c>
      <c r="CN129" s="155"/>
      <c r="CO129" s="152">
        <v>4</v>
      </c>
      <c r="CP129" s="153"/>
      <c r="CQ129" s="153">
        <v>2</v>
      </c>
      <c r="CR129" s="153">
        <v>1</v>
      </c>
      <c r="CS129" s="154">
        <v>2</v>
      </c>
      <c r="CT129" s="154">
        <v>2</v>
      </c>
      <c r="CU129" s="279"/>
      <c r="CV129" s="279">
        <v>3</v>
      </c>
      <c r="CW129" s="155"/>
      <c r="CX129" s="152">
        <v>1237</v>
      </c>
      <c r="CY129" s="153">
        <v>1346</v>
      </c>
      <c r="CZ129" s="153">
        <v>1649</v>
      </c>
      <c r="DA129" s="153">
        <v>1272</v>
      </c>
      <c r="DB129" s="154">
        <v>1168</v>
      </c>
      <c r="DC129" s="154">
        <v>831</v>
      </c>
      <c r="DD129" s="279">
        <v>664</v>
      </c>
      <c r="DE129" s="279">
        <v>577</v>
      </c>
      <c r="DF129" s="155"/>
      <c r="DG129" s="152">
        <v>9</v>
      </c>
      <c r="DH129" s="153">
        <v>8</v>
      </c>
      <c r="DI129" s="153">
        <v>13</v>
      </c>
      <c r="DJ129" s="153">
        <v>10</v>
      </c>
      <c r="DK129" s="154">
        <v>12</v>
      </c>
      <c r="DL129" s="154">
        <v>9</v>
      </c>
      <c r="DM129" s="279">
        <v>3</v>
      </c>
      <c r="DN129" s="279">
        <v>2</v>
      </c>
      <c r="DO129" s="155"/>
      <c r="DP129" s="152">
        <v>17</v>
      </c>
      <c r="DQ129" s="153">
        <v>28</v>
      </c>
      <c r="DR129" s="153">
        <v>32</v>
      </c>
      <c r="DS129" s="153">
        <v>9</v>
      </c>
      <c r="DT129" s="154">
        <v>28</v>
      </c>
      <c r="DU129" s="154">
        <v>7</v>
      </c>
      <c r="DV129" s="279">
        <v>11</v>
      </c>
      <c r="DW129" s="279">
        <v>4</v>
      </c>
      <c r="DX129" s="155"/>
      <c r="DY129" s="152">
        <v>270</v>
      </c>
      <c r="DZ129" s="153">
        <v>281</v>
      </c>
      <c r="EA129" s="153">
        <v>331</v>
      </c>
      <c r="EB129" s="153">
        <v>241</v>
      </c>
      <c r="EC129" s="154">
        <v>259</v>
      </c>
      <c r="ED129" s="154">
        <v>227</v>
      </c>
      <c r="EE129" s="279">
        <v>181</v>
      </c>
      <c r="EF129" s="279">
        <v>117</v>
      </c>
      <c r="EG129" s="155"/>
      <c r="EH129" s="152">
        <v>10</v>
      </c>
      <c r="EI129" s="153">
        <v>13</v>
      </c>
      <c r="EJ129" s="153">
        <v>8</v>
      </c>
      <c r="EK129" s="153">
        <v>5</v>
      </c>
      <c r="EL129" s="154">
        <v>9</v>
      </c>
      <c r="EM129" s="154">
        <v>7</v>
      </c>
      <c r="EN129" s="279">
        <v>2</v>
      </c>
      <c r="EO129" s="279">
        <v>7</v>
      </c>
      <c r="EP129" s="155"/>
      <c r="EQ129" s="152">
        <v>1</v>
      </c>
      <c r="ER129" s="153">
        <v>1</v>
      </c>
      <c r="ES129" s="153">
        <v>2</v>
      </c>
      <c r="ET129" s="153">
        <v>1</v>
      </c>
      <c r="EU129" s="154">
        <v>3</v>
      </c>
      <c r="EV129" s="154">
        <v>3</v>
      </c>
      <c r="EW129" s="279">
        <v>6</v>
      </c>
      <c r="EX129" s="279">
        <v>7</v>
      </c>
      <c r="EY129" s="155"/>
      <c r="EZ129" s="152">
        <v>3</v>
      </c>
      <c r="FA129" s="153">
        <v>8</v>
      </c>
      <c r="FB129" s="153">
        <v>5</v>
      </c>
      <c r="FC129" s="153">
        <v>1</v>
      </c>
      <c r="FD129" s="154">
        <v>2</v>
      </c>
      <c r="FE129" s="154">
        <v>5</v>
      </c>
      <c r="FF129" s="279">
        <v>1</v>
      </c>
      <c r="FG129" s="279"/>
      <c r="FH129" s="155"/>
      <c r="FI129" s="152">
        <v>88</v>
      </c>
      <c r="FJ129" s="153">
        <v>50</v>
      </c>
      <c r="FK129" s="153">
        <v>52</v>
      </c>
      <c r="FL129" s="153">
        <v>32</v>
      </c>
      <c r="FM129" s="154">
        <v>35</v>
      </c>
      <c r="FN129" s="154">
        <v>28</v>
      </c>
      <c r="FO129" s="279">
        <v>37</v>
      </c>
      <c r="FP129" s="279">
        <v>37</v>
      </c>
      <c r="FQ129" s="155"/>
      <c r="FR129" s="152">
        <v>1</v>
      </c>
      <c r="FS129" s="153">
        <v>5</v>
      </c>
      <c r="FT129" s="153">
        <v>7</v>
      </c>
      <c r="FU129" s="153">
        <v>1</v>
      </c>
      <c r="FV129" s="154">
        <v>25</v>
      </c>
      <c r="FW129" s="154">
        <v>2</v>
      </c>
      <c r="FX129" s="279"/>
      <c r="FY129" s="279">
        <v>2</v>
      </c>
      <c r="FZ129" s="155"/>
      <c r="GA129" s="152">
        <v>6</v>
      </c>
      <c r="GB129" s="153">
        <v>4</v>
      </c>
      <c r="GC129" s="153">
        <v>1</v>
      </c>
      <c r="GD129" s="153">
        <v>6</v>
      </c>
      <c r="GE129" s="154">
        <v>8</v>
      </c>
      <c r="GF129" s="154">
        <v>5</v>
      </c>
      <c r="GG129" s="279">
        <v>3</v>
      </c>
      <c r="GH129" s="279">
        <v>2</v>
      </c>
      <c r="GI129" s="155"/>
      <c r="GJ129" s="152">
        <v>1474</v>
      </c>
      <c r="GK129" s="153">
        <v>1525</v>
      </c>
      <c r="GL129" s="153">
        <v>1851</v>
      </c>
      <c r="GM129" s="153">
        <v>1487</v>
      </c>
      <c r="GN129" s="154">
        <v>1482</v>
      </c>
      <c r="GO129" s="154">
        <v>1124</v>
      </c>
      <c r="GP129" s="279">
        <v>932</v>
      </c>
      <c r="GQ129" s="279">
        <v>785</v>
      </c>
      <c r="GR129" s="155"/>
      <c r="GS129" s="152">
        <v>361</v>
      </c>
      <c r="GT129" s="153">
        <v>395</v>
      </c>
      <c r="GU129" s="153">
        <v>471</v>
      </c>
      <c r="GV129" s="153">
        <v>261</v>
      </c>
      <c r="GW129" s="154">
        <v>164</v>
      </c>
      <c r="GX129" s="154">
        <v>170</v>
      </c>
      <c r="GY129" s="279">
        <v>149</v>
      </c>
      <c r="GZ129" s="279">
        <v>128</v>
      </c>
      <c r="HA129" s="155"/>
      <c r="HB129" s="152">
        <v>4</v>
      </c>
      <c r="HC129" s="153">
        <v>4</v>
      </c>
      <c r="HD129" s="153">
        <v>8</v>
      </c>
      <c r="HE129" s="153">
        <v>2</v>
      </c>
      <c r="HF129" s="154">
        <v>2</v>
      </c>
      <c r="HG129" s="154">
        <v>4</v>
      </c>
      <c r="HH129" s="279">
        <v>8</v>
      </c>
      <c r="HI129" s="279">
        <v>4</v>
      </c>
      <c r="HJ129" s="155"/>
      <c r="HK129" s="152">
        <v>2</v>
      </c>
      <c r="HL129" s="153"/>
      <c r="HM129" s="153"/>
      <c r="HN129" s="153">
        <v>2</v>
      </c>
      <c r="HO129" s="154">
        <v>1</v>
      </c>
      <c r="HP129" s="154"/>
      <c r="HQ129" s="279"/>
      <c r="HR129" s="279">
        <v>1</v>
      </c>
      <c r="HS129" s="155"/>
      <c r="HT129" s="152">
        <v>478</v>
      </c>
      <c r="HU129" s="153">
        <v>492</v>
      </c>
      <c r="HV129" s="153">
        <v>617</v>
      </c>
      <c r="HW129" s="153">
        <v>381</v>
      </c>
      <c r="HX129" s="154">
        <v>325</v>
      </c>
      <c r="HY129" s="154">
        <v>329</v>
      </c>
      <c r="HZ129" s="279">
        <v>298</v>
      </c>
      <c r="IA129" s="279">
        <v>307</v>
      </c>
      <c r="IB129" s="155"/>
      <c r="IC129" s="152">
        <v>1962</v>
      </c>
      <c r="ID129" s="153">
        <v>2341</v>
      </c>
      <c r="IE129" s="153">
        <v>2995</v>
      </c>
      <c r="IF129" s="153">
        <v>1833</v>
      </c>
      <c r="IG129" s="154">
        <v>1980</v>
      </c>
      <c r="IH129" s="154">
        <v>1598</v>
      </c>
      <c r="II129" s="279">
        <v>1491</v>
      </c>
      <c r="IJ129" s="279">
        <v>1361</v>
      </c>
      <c r="IK129" s="155"/>
    </row>
    <row r="130" spans="1:245" x14ac:dyDescent="0.2">
      <c r="A130" s="961"/>
      <c r="B130" s="151" t="s">
        <v>724</v>
      </c>
      <c r="C130" s="152"/>
      <c r="D130" s="153"/>
      <c r="E130" s="153"/>
      <c r="F130" s="153"/>
      <c r="G130" s="154"/>
      <c r="H130" s="154"/>
      <c r="I130" s="279"/>
      <c r="J130" s="279"/>
      <c r="K130" s="155"/>
      <c r="L130" s="152"/>
      <c r="M130" s="153"/>
      <c r="N130" s="153"/>
      <c r="O130" s="153"/>
      <c r="P130" s="154"/>
      <c r="Q130" s="154"/>
      <c r="R130" s="279"/>
      <c r="S130" s="279"/>
      <c r="T130" s="155"/>
      <c r="U130" s="152"/>
      <c r="V130" s="153"/>
      <c r="W130" s="153"/>
      <c r="X130" s="153"/>
      <c r="Y130" s="154"/>
      <c r="Z130" s="154"/>
      <c r="AA130" s="279"/>
      <c r="AB130" s="279"/>
      <c r="AC130" s="155"/>
      <c r="AD130" s="152">
        <v>13</v>
      </c>
      <c r="AE130" s="153">
        <v>18</v>
      </c>
      <c r="AF130" s="153">
        <v>19</v>
      </c>
      <c r="AG130" s="153">
        <v>26</v>
      </c>
      <c r="AH130" s="154">
        <v>25</v>
      </c>
      <c r="AI130" s="154">
        <v>34</v>
      </c>
      <c r="AJ130" s="279">
        <v>65</v>
      </c>
      <c r="AK130" s="279">
        <v>52</v>
      </c>
      <c r="AL130" s="155"/>
      <c r="AM130" s="152">
        <v>10</v>
      </c>
      <c r="AN130" s="153">
        <v>9</v>
      </c>
      <c r="AO130" s="153">
        <v>13</v>
      </c>
      <c r="AP130" s="153">
        <v>15</v>
      </c>
      <c r="AQ130" s="154">
        <v>6</v>
      </c>
      <c r="AR130" s="154">
        <v>6</v>
      </c>
      <c r="AS130" s="279">
        <v>14</v>
      </c>
      <c r="AT130" s="279">
        <v>9</v>
      </c>
      <c r="AU130" s="155"/>
      <c r="AV130" s="152"/>
      <c r="AW130" s="153"/>
      <c r="AX130" s="153"/>
      <c r="AY130" s="153"/>
      <c r="AZ130" s="154"/>
      <c r="BA130" s="154"/>
      <c r="BB130" s="279"/>
      <c r="BC130" s="279"/>
      <c r="BD130" s="155"/>
      <c r="BE130" s="152">
        <v>5</v>
      </c>
      <c r="BF130" s="153">
        <v>1</v>
      </c>
      <c r="BG130" s="153">
        <v>2</v>
      </c>
      <c r="BH130" s="153">
        <v>6</v>
      </c>
      <c r="BI130" s="154">
        <v>2</v>
      </c>
      <c r="BJ130" s="154">
        <v>12</v>
      </c>
      <c r="BK130" s="279">
        <v>1</v>
      </c>
      <c r="BL130" s="279">
        <v>1</v>
      </c>
      <c r="BM130" s="155"/>
      <c r="BN130" s="152"/>
      <c r="BO130" s="153"/>
      <c r="BP130" s="153"/>
      <c r="BQ130" s="153"/>
      <c r="BR130" s="154"/>
      <c r="BS130" s="154"/>
      <c r="BT130" s="279"/>
      <c r="BU130" s="279"/>
      <c r="BV130" s="155"/>
      <c r="BW130" s="152">
        <v>6</v>
      </c>
      <c r="BX130" s="153">
        <v>6</v>
      </c>
      <c r="BY130" s="153">
        <v>15</v>
      </c>
      <c r="BZ130" s="153">
        <v>31</v>
      </c>
      <c r="CA130" s="154">
        <v>34</v>
      </c>
      <c r="CB130" s="154">
        <v>18</v>
      </c>
      <c r="CC130" s="279">
        <v>43</v>
      </c>
      <c r="CD130" s="279">
        <v>26</v>
      </c>
      <c r="CE130" s="155"/>
      <c r="CF130" s="152">
        <v>3</v>
      </c>
      <c r="CG130" s="153">
        <v>4</v>
      </c>
      <c r="CH130" s="153"/>
      <c r="CI130" s="153">
        <v>1</v>
      </c>
      <c r="CJ130" s="154">
        <v>3</v>
      </c>
      <c r="CK130" s="154">
        <v>2</v>
      </c>
      <c r="CL130" s="279">
        <v>1</v>
      </c>
      <c r="CM130" s="279"/>
      <c r="CN130" s="155"/>
      <c r="CO130" s="152"/>
      <c r="CP130" s="153">
        <v>1</v>
      </c>
      <c r="CQ130" s="153">
        <v>1</v>
      </c>
      <c r="CR130" s="153">
        <v>1</v>
      </c>
      <c r="CS130" s="154"/>
      <c r="CT130" s="154">
        <v>1</v>
      </c>
      <c r="CU130" s="279"/>
      <c r="CV130" s="279">
        <v>10</v>
      </c>
      <c r="CW130" s="155"/>
      <c r="CX130" s="152">
        <v>423</v>
      </c>
      <c r="CY130" s="153">
        <v>367</v>
      </c>
      <c r="CZ130" s="153">
        <v>485</v>
      </c>
      <c r="DA130" s="153">
        <v>511</v>
      </c>
      <c r="DB130" s="154">
        <v>459</v>
      </c>
      <c r="DC130" s="154">
        <v>371</v>
      </c>
      <c r="DD130" s="279">
        <v>263</v>
      </c>
      <c r="DE130" s="279">
        <v>204</v>
      </c>
      <c r="DF130" s="155"/>
      <c r="DG130" s="152">
        <v>4</v>
      </c>
      <c r="DH130" s="153">
        <v>6</v>
      </c>
      <c r="DI130" s="153">
        <v>6</v>
      </c>
      <c r="DJ130" s="153">
        <v>2</v>
      </c>
      <c r="DK130" s="154">
        <v>2</v>
      </c>
      <c r="DL130" s="154">
        <v>2</v>
      </c>
      <c r="DM130" s="279">
        <v>1</v>
      </c>
      <c r="DN130" s="279">
        <v>2</v>
      </c>
      <c r="DO130" s="155"/>
      <c r="DP130" s="152">
        <v>27</v>
      </c>
      <c r="DQ130" s="153">
        <v>13</v>
      </c>
      <c r="DR130" s="153">
        <v>14</v>
      </c>
      <c r="DS130" s="153">
        <v>8</v>
      </c>
      <c r="DT130" s="154">
        <v>5</v>
      </c>
      <c r="DU130" s="154">
        <v>8</v>
      </c>
      <c r="DV130" s="279">
        <v>14</v>
      </c>
      <c r="DW130" s="279">
        <v>2</v>
      </c>
      <c r="DX130" s="155"/>
      <c r="DY130" s="152">
        <v>50</v>
      </c>
      <c r="DZ130" s="153">
        <v>23</v>
      </c>
      <c r="EA130" s="153">
        <v>40</v>
      </c>
      <c r="EB130" s="153">
        <v>46</v>
      </c>
      <c r="EC130" s="154">
        <v>64</v>
      </c>
      <c r="ED130" s="154">
        <v>41</v>
      </c>
      <c r="EE130" s="279">
        <v>69</v>
      </c>
      <c r="EF130" s="279">
        <v>39</v>
      </c>
      <c r="EG130" s="155"/>
      <c r="EH130" s="152">
        <v>2</v>
      </c>
      <c r="EI130" s="153">
        <v>4</v>
      </c>
      <c r="EJ130" s="153">
        <v>4</v>
      </c>
      <c r="EK130" s="153">
        <v>3</v>
      </c>
      <c r="EL130" s="154">
        <v>2</v>
      </c>
      <c r="EM130" s="154">
        <v>1</v>
      </c>
      <c r="EN130" s="279">
        <v>5</v>
      </c>
      <c r="EO130" s="279">
        <v>2</v>
      </c>
      <c r="EP130" s="155"/>
      <c r="EQ130" s="152"/>
      <c r="ER130" s="153">
        <v>2</v>
      </c>
      <c r="ES130" s="153">
        <v>1</v>
      </c>
      <c r="ET130" s="153">
        <v>1</v>
      </c>
      <c r="EU130" s="154">
        <v>1</v>
      </c>
      <c r="EV130" s="154">
        <v>5</v>
      </c>
      <c r="EW130" s="279">
        <v>4</v>
      </c>
      <c r="EX130" s="279">
        <v>2</v>
      </c>
      <c r="EY130" s="155"/>
      <c r="EZ130" s="152">
        <v>3</v>
      </c>
      <c r="FA130" s="153">
        <v>6</v>
      </c>
      <c r="FB130" s="153"/>
      <c r="FC130" s="153"/>
      <c r="FD130" s="154"/>
      <c r="FE130" s="154"/>
      <c r="FF130" s="279"/>
      <c r="FG130" s="279">
        <v>2</v>
      </c>
      <c r="FH130" s="155"/>
      <c r="FI130" s="152">
        <v>20</v>
      </c>
      <c r="FJ130" s="153">
        <v>23</v>
      </c>
      <c r="FK130" s="153">
        <v>17</v>
      </c>
      <c r="FL130" s="153">
        <v>21</v>
      </c>
      <c r="FM130" s="154">
        <v>13</v>
      </c>
      <c r="FN130" s="154">
        <v>18</v>
      </c>
      <c r="FO130" s="279">
        <v>20</v>
      </c>
      <c r="FP130" s="279">
        <v>12</v>
      </c>
      <c r="FQ130" s="155"/>
      <c r="FR130" s="152">
        <v>7</v>
      </c>
      <c r="FS130" s="153">
        <v>1</v>
      </c>
      <c r="FT130" s="153">
        <v>5</v>
      </c>
      <c r="FU130" s="153">
        <v>4</v>
      </c>
      <c r="FV130" s="154">
        <v>4</v>
      </c>
      <c r="FW130" s="154">
        <v>4</v>
      </c>
      <c r="FX130" s="279">
        <v>5</v>
      </c>
      <c r="FY130" s="279">
        <v>2</v>
      </c>
      <c r="FZ130" s="155"/>
      <c r="GA130" s="152">
        <v>1</v>
      </c>
      <c r="GB130" s="153">
        <v>5</v>
      </c>
      <c r="GC130" s="153">
        <v>2</v>
      </c>
      <c r="GD130" s="153">
        <v>3</v>
      </c>
      <c r="GE130" s="154">
        <v>2</v>
      </c>
      <c r="GF130" s="154">
        <v>8</v>
      </c>
      <c r="GG130" s="279">
        <v>3</v>
      </c>
      <c r="GH130" s="279">
        <v>2</v>
      </c>
      <c r="GI130" s="155"/>
      <c r="GJ130" s="152">
        <v>483</v>
      </c>
      <c r="GK130" s="153">
        <v>438</v>
      </c>
      <c r="GL130" s="153">
        <v>551</v>
      </c>
      <c r="GM130" s="153">
        <v>608</v>
      </c>
      <c r="GN130" s="154">
        <v>545</v>
      </c>
      <c r="GO130" s="154">
        <v>474</v>
      </c>
      <c r="GP130" s="279">
        <v>410</v>
      </c>
      <c r="GQ130" s="279">
        <v>315</v>
      </c>
      <c r="GR130" s="155"/>
      <c r="GS130" s="152">
        <v>161</v>
      </c>
      <c r="GT130" s="153">
        <v>147</v>
      </c>
      <c r="GU130" s="153">
        <v>218</v>
      </c>
      <c r="GV130" s="153">
        <v>212</v>
      </c>
      <c r="GW130" s="154">
        <v>144</v>
      </c>
      <c r="GX130" s="154">
        <v>97</v>
      </c>
      <c r="GY130" s="279">
        <v>93</v>
      </c>
      <c r="GZ130" s="279">
        <v>63</v>
      </c>
      <c r="HA130" s="155"/>
      <c r="HB130" s="152">
        <v>3</v>
      </c>
      <c r="HC130" s="153">
        <v>5</v>
      </c>
      <c r="HD130" s="153">
        <v>1</v>
      </c>
      <c r="HE130" s="153">
        <v>1</v>
      </c>
      <c r="HF130" s="154"/>
      <c r="HG130" s="154">
        <v>2</v>
      </c>
      <c r="HH130" s="279">
        <v>2</v>
      </c>
      <c r="HI130" s="279">
        <v>1</v>
      </c>
      <c r="HJ130" s="155"/>
      <c r="HK130" s="152">
        <v>1</v>
      </c>
      <c r="HL130" s="153"/>
      <c r="HM130" s="153"/>
      <c r="HN130" s="153">
        <v>2</v>
      </c>
      <c r="HO130" s="154"/>
      <c r="HP130" s="154"/>
      <c r="HQ130" s="279">
        <v>1</v>
      </c>
      <c r="HR130" s="279"/>
      <c r="HS130" s="155"/>
      <c r="HT130" s="152">
        <v>206</v>
      </c>
      <c r="HU130" s="153">
        <v>188</v>
      </c>
      <c r="HV130" s="153">
        <v>263</v>
      </c>
      <c r="HW130" s="153">
        <v>283</v>
      </c>
      <c r="HX130" s="154">
        <v>189</v>
      </c>
      <c r="HY130" s="154">
        <v>139</v>
      </c>
      <c r="HZ130" s="279">
        <v>158</v>
      </c>
      <c r="IA130" s="279">
        <v>131</v>
      </c>
      <c r="IB130" s="155"/>
      <c r="IC130" s="152">
        <v>796</v>
      </c>
      <c r="ID130" s="153">
        <v>754</v>
      </c>
      <c r="IE130" s="153">
        <v>796</v>
      </c>
      <c r="IF130" s="153">
        <v>847</v>
      </c>
      <c r="IG130" s="154">
        <v>789</v>
      </c>
      <c r="IH130" s="154">
        <v>658</v>
      </c>
      <c r="II130" s="279">
        <v>574</v>
      </c>
      <c r="IJ130" s="279">
        <v>558</v>
      </c>
      <c r="IK130" s="155"/>
    </row>
    <row r="131" spans="1:245" x14ac:dyDescent="0.2">
      <c r="A131" s="961"/>
      <c r="B131" s="151" t="s">
        <v>725</v>
      </c>
      <c r="C131" s="152"/>
      <c r="D131" s="153"/>
      <c r="E131" s="153"/>
      <c r="F131" s="153"/>
      <c r="G131" s="154"/>
      <c r="H131" s="154"/>
      <c r="I131" s="279"/>
      <c r="J131" s="279"/>
      <c r="K131" s="155"/>
      <c r="L131" s="152"/>
      <c r="M131" s="153"/>
      <c r="N131" s="153"/>
      <c r="O131" s="153"/>
      <c r="P131" s="154"/>
      <c r="Q131" s="154"/>
      <c r="R131" s="279"/>
      <c r="S131" s="279"/>
      <c r="T131" s="155"/>
      <c r="U131" s="152"/>
      <c r="V131" s="153"/>
      <c r="W131" s="153"/>
      <c r="X131" s="153"/>
      <c r="Y131" s="154"/>
      <c r="Z131" s="154"/>
      <c r="AA131" s="279"/>
      <c r="AB131" s="279"/>
      <c r="AC131" s="155"/>
      <c r="AD131" s="152">
        <v>28</v>
      </c>
      <c r="AE131" s="153">
        <v>26</v>
      </c>
      <c r="AF131" s="153">
        <v>32</v>
      </c>
      <c r="AG131" s="153">
        <v>24</v>
      </c>
      <c r="AH131" s="154">
        <v>24</v>
      </c>
      <c r="AI131" s="154">
        <v>38</v>
      </c>
      <c r="AJ131" s="279">
        <v>22</v>
      </c>
      <c r="AK131" s="279">
        <v>17</v>
      </c>
      <c r="AL131" s="155"/>
      <c r="AM131" s="152">
        <v>14</v>
      </c>
      <c r="AN131" s="153">
        <v>13</v>
      </c>
      <c r="AO131" s="153">
        <v>18</v>
      </c>
      <c r="AP131" s="153">
        <v>14</v>
      </c>
      <c r="AQ131" s="154">
        <v>11</v>
      </c>
      <c r="AR131" s="154">
        <v>11</v>
      </c>
      <c r="AS131" s="279">
        <v>11</v>
      </c>
      <c r="AT131" s="279">
        <v>8</v>
      </c>
      <c r="AU131" s="155"/>
      <c r="AV131" s="152"/>
      <c r="AW131" s="153"/>
      <c r="AX131" s="153"/>
      <c r="AY131" s="153"/>
      <c r="AZ131" s="154"/>
      <c r="BA131" s="154"/>
      <c r="BB131" s="279"/>
      <c r="BC131" s="279"/>
      <c r="BD131" s="155"/>
      <c r="BE131" s="152">
        <v>2</v>
      </c>
      <c r="BF131" s="153">
        <v>7</v>
      </c>
      <c r="BG131" s="153">
        <v>2</v>
      </c>
      <c r="BH131" s="153">
        <v>11</v>
      </c>
      <c r="BI131" s="154">
        <v>7</v>
      </c>
      <c r="BJ131" s="154">
        <v>5</v>
      </c>
      <c r="BK131" s="279">
        <v>1</v>
      </c>
      <c r="BL131" s="279">
        <v>4</v>
      </c>
      <c r="BM131" s="155"/>
      <c r="BN131" s="152"/>
      <c r="BO131" s="153"/>
      <c r="BP131" s="153"/>
      <c r="BQ131" s="153"/>
      <c r="BR131" s="154"/>
      <c r="BS131" s="154"/>
      <c r="BT131" s="279"/>
      <c r="BU131" s="279"/>
      <c r="BV131" s="155"/>
      <c r="BW131" s="152">
        <v>19</v>
      </c>
      <c r="BX131" s="153">
        <v>5</v>
      </c>
      <c r="BY131" s="153">
        <v>19</v>
      </c>
      <c r="BZ131" s="153">
        <v>6</v>
      </c>
      <c r="CA131" s="154">
        <v>9</v>
      </c>
      <c r="CB131" s="154">
        <v>15</v>
      </c>
      <c r="CC131" s="279">
        <v>13</v>
      </c>
      <c r="CD131" s="279">
        <v>15</v>
      </c>
      <c r="CE131" s="155"/>
      <c r="CF131" s="152"/>
      <c r="CG131" s="153">
        <v>3</v>
      </c>
      <c r="CH131" s="153">
        <v>4</v>
      </c>
      <c r="CI131" s="153">
        <v>3</v>
      </c>
      <c r="CJ131" s="154">
        <v>2</v>
      </c>
      <c r="CK131" s="154">
        <v>1</v>
      </c>
      <c r="CL131" s="279"/>
      <c r="CM131" s="279">
        <v>1</v>
      </c>
      <c r="CN131" s="155"/>
      <c r="CO131" s="152">
        <v>5</v>
      </c>
      <c r="CP131" s="153">
        <v>3</v>
      </c>
      <c r="CQ131" s="153">
        <v>1</v>
      </c>
      <c r="CR131" s="153"/>
      <c r="CS131" s="154">
        <v>1</v>
      </c>
      <c r="CT131" s="154">
        <v>1</v>
      </c>
      <c r="CU131" s="279">
        <v>2</v>
      </c>
      <c r="CV131" s="279">
        <v>1</v>
      </c>
      <c r="CW131" s="155"/>
      <c r="CX131" s="152">
        <v>911</v>
      </c>
      <c r="CY131" s="153">
        <v>957</v>
      </c>
      <c r="CZ131" s="153">
        <v>759</v>
      </c>
      <c r="DA131" s="153">
        <v>692</v>
      </c>
      <c r="DB131" s="154">
        <v>773</v>
      </c>
      <c r="DC131" s="154">
        <v>661</v>
      </c>
      <c r="DD131" s="279">
        <v>372</v>
      </c>
      <c r="DE131" s="279">
        <v>222</v>
      </c>
      <c r="DF131" s="155"/>
      <c r="DG131" s="152">
        <v>13</v>
      </c>
      <c r="DH131" s="153">
        <v>12</v>
      </c>
      <c r="DI131" s="153">
        <v>11</v>
      </c>
      <c r="DJ131" s="153">
        <v>10</v>
      </c>
      <c r="DK131" s="154">
        <v>14</v>
      </c>
      <c r="DL131" s="154">
        <v>3</v>
      </c>
      <c r="DM131" s="279">
        <v>5</v>
      </c>
      <c r="DN131" s="279">
        <v>3</v>
      </c>
      <c r="DO131" s="155"/>
      <c r="DP131" s="152">
        <v>47</v>
      </c>
      <c r="DQ131" s="153">
        <v>25</v>
      </c>
      <c r="DR131" s="153">
        <v>26</v>
      </c>
      <c r="DS131" s="153">
        <v>24</v>
      </c>
      <c r="DT131" s="154">
        <v>27</v>
      </c>
      <c r="DU131" s="154">
        <v>20</v>
      </c>
      <c r="DV131" s="279">
        <v>6</v>
      </c>
      <c r="DW131" s="279">
        <v>3</v>
      </c>
      <c r="DX131" s="155"/>
      <c r="DY131" s="152">
        <v>164</v>
      </c>
      <c r="DZ131" s="153">
        <v>152</v>
      </c>
      <c r="EA131" s="153">
        <v>93</v>
      </c>
      <c r="EB131" s="153">
        <v>130</v>
      </c>
      <c r="EC131" s="154">
        <v>199</v>
      </c>
      <c r="ED131" s="154">
        <v>87</v>
      </c>
      <c r="EE131" s="279">
        <v>34</v>
      </c>
      <c r="EF131" s="279">
        <v>38</v>
      </c>
      <c r="EG131" s="155"/>
      <c r="EH131" s="152">
        <v>6</v>
      </c>
      <c r="EI131" s="153">
        <v>2</v>
      </c>
      <c r="EJ131" s="153">
        <v>4</v>
      </c>
      <c r="EK131" s="153">
        <v>5</v>
      </c>
      <c r="EL131" s="154">
        <v>7</v>
      </c>
      <c r="EM131" s="154"/>
      <c r="EN131" s="279">
        <v>1</v>
      </c>
      <c r="EO131" s="279"/>
      <c r="EP131" s="155"/>
      <c r="EQ131" s="152"/>
      <c r="ER131" s="153">
        <v>2</v>
      </c>
      <c r="ES131" s="153">
        <v>1</v>
      </c>
      <c r="ET131" s="153">
        <v>1</v>
      </c>
      <c r="EU131" s="154"/>
      <c r="EV131" s="154"/>
      <c r="EW131" s="279">
        <v>2</v>
      </c>
      <c r="EX131" s="279"/>
      <c r="EY131" s="155"/>
      <c r="EZ131" s="152">
        <v>1</v>
      </c>
      <c r="FA131" s="153">
        <v>1</v>
      </c>
      <c r="FB131" s="153">
        <v>1</v>
      </c>
      <c r="FC131" s="153">
        <v>1</v>
      </c>
      <c r="FD131" s="154"/>
      <c r="FE131" s="154"/>
      <c r="FF131" s="279"/>
      <c r="FG131" s="279">
        <v>1</v>
      </c>
      <c r="FH131" s="155"/>
      <c r="FI131" s="152">
        <v>92</v>
      </c>
      <c r="FJ131" s="153">
        <v>59</v>
      </c>
      <c r="FK131" s="153">
        <v>48</v>
      </c>
      <c r="FL131" s="153">
        <v>29</v>
      </c>
      <c r="FM131" s="154">
        <v>24</v>
      </c>
      <c r="FN131" s="154">
        <v>32</v>
      </c>
      <c r="FO131" s="279">
        <v>14</v>
      </c>
      <c r="FP131" s="279">
        <v>29</v>
      </c>
      <c r="FQ131" s="155"/>
      <c r="FR131" s="152">
        <v>8</v>
      </c>
      <c r="FS131" s="153">
        <v>5</v>
      </c>
      <c r="FT131" s="153"/>
      <c r="FU131" s="153">
        <v>6</v>
      </c>
      <c r="FV131" s="154">
        <v>1</v>
      </c>
      <c r="FW131" s="154">
        <v>3</v>
      </c>
      <c r="FX131" s="279"/>
      <c r="FY131" s="279">
        <v>2</v>
      </c>
      <c r="FZ131" s="155"/>
      <c r="GA131" s="152">
        <v>3</v>
      </c>
      <c r="GB131" s="153">
        <v>6</v>
      </c>
      <c r="GC131" s="153">
        <v>6</v>
      </c>
      <c r="GD131" s="153">
        <v>4</v>
      </c>
      <c r="GE131" s="154">
        <v>1</v>
      </c>
      <c r="GF131" s="154">
        <v>3</v>
      </c>
      <c r="GG131" s="279">
        <v>3</v>
      </c>
      <c r="GH131" s="279">
        <v>3</v>
      </c>
      <c r="GI131" s="155"/>
      <c r="GJ131" s="152">
        <v>1075</v>
      </c>
      <c r="GK131" s="153">
        <v>1076</v>
      </c>
      <c r="GL131" s="153">
        <v>877</v>
      </c>
      <c r="GM131" s="153">
        <v>782</v>
      </c>
      <c r="GN131" s="154">
        <v>849</v>
      </c>
      <c r="GO131" s="154">
        <v>759</v>
      </c>
      <c r="GP131" s="279">
        <v>430</v>
      </c>
      <c r="GQ131" s="279">
        <v>295</v>
      </c>
      <c r="GR131" s="155"/>
      <c r="GS131" s="152">
        <v>235</v>
      </c>
      <c r="GT131" s="153">
        <v>197</v>
      </c>
      <c r="GU131" s="153">
        <v>206</v>
      </c>
      <c r="GV131" s="153">
        <v>116</v>
      </c>
      <c r="GW131" s="154">
        <v>58</v>
      </c>
      <c r="GX131" s="154">
        <v>60</v>
      </c>
      <c r="GY131" s="279">
        <v>98</v>
      </c>
      <c r="GZ131" s="279">
        <v>41</v>
      </c>
      <c r="HA131" s="155"/>
      <c r="HB131" s="152">
        <v>1</v>
      </c>
      <c r="HC131" s="153">
        <v>4</v>
      </c>
      <c r="HD131" s="153">
        <v>2</v>
      </c>
      <c r="HE131" s="153">
        <v>3</v>
      </c>
      <c r="HF131" s="154"/>
      <c r="HG131" s="154"/>
      <c r="HH131" s="279">
        <v>1</v>
      </c>
      <c r="HI131" s="279">
        <v>1</v>
      </c>
      <c r="HJ131" s="155"/>
      <c r="HK131" s="152">
        <v>1</v>
      </c>
      <c r="HL131" s="153">
        <v>2</v>
      </c>
      <c r="HM131" s="153"/>
      <c r="HN131" s="153">
        <v>2</v>
      </c>
      <c r="HO131" s="154"/>
      <c r="HP131" s="154">
        <v>1</v>
      </c>
      <c r="HQ131" s="279"/>
      <c r="HR131" s="279">
        <v>1</v>
      </c>
      <c r="HS131" s="155"/>
      <c r="HT131" s="152">
        <v>318</v>
      </c>
      <c r="HU131" s="153">
        <v>285</v>
      </c>
      <c r="HV131" s="153">
        <v>283</v>
      </c>
      <c r="HW131" s="153">
        <v>202</v>
      </c>
      <c r="HX131" s="154">
        <v>180</v>
      </c>
      <c r="HY131" s="154">
        <v>170</v>
      </c>
      <c r="HZ131" s="279">
        <v>249</v>
      </c>
      <c r="IA131" s="279">
        <v>191</v>
      </c>
      <c r="IB131" s="155"/>
      <c r="IC131" s="152">
        <v>1534</v>
      </c>
      <c r="ID131" s="153">
        <v>1453</v>
      </c>
      <c r="IE131" s="153">
        <v>2084</v>
      </c>
      <c r="IF131" s="153">
        <v>1238</v>
      </c>
      <c r="IG131" s="154">
        <v>1186</v>
      </c>
      <c r="IH131" s="154">
        <v>1070</v>
      </c>
      <c r="II131" s="279">
        <v>731</v>
      </c>
      <c r="IJ131" s="279">
        <v>677</v>
      </c>
      <c r="IK131" s="155"/>
    </row>
    <row r="132" spans="1:245" x14ac:dyDescent="0.2">
      <c r="A132" s="961"/>
      <c r="B132" s="151" t="s">
        <v>726</v>
      </c>
      <c r="C132" s="152"/>
      <c r="D132" s="153">
        <v>1</v>
      </c>
      <c r="E132" s="153"/>
      <c r="F132" s="153"/>
      <c r="G132" s="171"/>
      <c r="H132" s="154"/>
      <c r="I132" s="279"/>
      <c r="J132" s="279"/>
      <c r="K132" s="155"/>
      <c r="L132" s="152"/>
      <c r="M132" s="153"/>
      <c r="N132" s="153"/>
      <c r="O132" s="153"/>
      <c r="P132" s="171"/>
      <c r="Q132" s="154"/>
      <c r="R132" s="279"/>
      <c r="S132" s="279"/>
      <c r="T132" s="155"/>
      <c r="U132" s="152"/>
      <c r="V132" s="153">
        <v>1</v>
      </c>
      <c r="W132" s="153"/>
      <c r="X132" s="153"/>
      <c r="Y132" s="171"/>
      <c r="Z132" s="154"/>
      <c r="AA132" s="279"/>
      <c r="AB132" s="279"/>
      <c r="AC132" s="155"/>
      <c r="AD132" s="152">
        <v>63</v>
      </c>
      <c r="AE132" s="153">
        <v>45</v>
      </c>
      <c r="AF132" s="153">
        <v>49</v>
      </c>
      <c r="AG132" s="153">
        <v>60</v>
      </c>
      <c r="AH132" s="171">
        <v>49</v>
      </c>
      <c r="AI132" s="154">
        <v>56</v>
      </c>
      <c r="AJ132" s="279">
        <v>53</v>
      </c>
      <c r="AK132" s="279">
        <v>86</v>
      </c>
      <c r="AL132" s="155"/>
      <c r="AM132" s="152">
        <v>47</v>
      </c>
      <c r="AN132" s="153">
        <v>24</v>
      </c>
      <c r="AO132" s="153">
        <v>33</v>
      </c>
      <c r="AP132" s="153">
        <v>35</v>
      </c>
      <c r="AQ132" s="171">
        <v>25</v>
      </c>
      <c r="AR132" s="154">
        <v>24</v>
      </c>
      <c r="AS132" s="279">
        <v>21</v>
      </c>
      <c r="AT132" s="279">
        <v>27</v>
      </c>
      <c r="AU132" s="155"/>
      <c r="AV132" s="152"/>
      <c r="AW132" s="153"/>
      <c r="AX132" s="153"/>
      <c r="AY132" s="153"/>
      <c r="AZ132" s="171"/>
      <c r="BA132" s="154"/>
      <c r="BB132" s="279"/>
      <c r="BC132" s="279"/>
      <c r="BD132" s="155"/>
      <c r="BE132" s="152">
        <v>1</v>
      </c>
      <c r="BF132" s="153">
        <v>1</v>
      </c>
      <c r="BG132" s="153">
        <v>5</v>
      </c>
      <c r="BH132" s="153">
        <v>3</v>
      </c>
      <c r="BI132" s="171">
        <v>4</v>
      </c>
      <c r="BJ132" s="154">
        <v>1</v>
      </c>
      <c r="BK132" s="279">
        <v>1</v>
      </c>
      <c r="BL132" s="279">
        <v>4</v>
      </c>
      <c r="BM132" s="155"/>
      <c r="BN132" s="152"/>
      <c r="BO132" s="153"/>
      <c r="BP132" s="153"/>
      <c r="BQ132" s="153"/>
      <c r="BR132" s="171"/>
      <c r="BS132" s="154"/>
      <c r="BT132" s="279"/>
      <c r="BU132" s="279"/>
      <c r="BV132" s="155"/>
      <c r="BW132" s="152">
        <v>21</v>
      </c>
      <c r="BX132" s="153">
        <v>28</v>
      </c>
      <c r="BY132" s="153">
        <v>41</v>
      </c>
      <c r="BZ132" s="153">
        <v>55</v>
      </c>
      <c r="CA132" s="171">
        <v>55</v>
      </c>
      <c r="CB132" s="154">
        <v>64</v>
      </c>
      <c r="CC132" s="279">
        <v>58</v>
      </c>
      <c r="CD132" s="279">
        <v>78</v>
      </c>
      <c r="CE132" s="155"/>
      <c r="CF132" s="152">
        <v>3</v>
      </c>
      <c r="CG132" s="153">
        <v>10</v>
      </c>
      <c r="CH132" s="153">
        <v>6</v>
      </c>
      <c r="CI132" s="153">
        <v>2</v>
      </c>
      <c r="CJ132" s="171">
        <v>3</v>
      </c>
      <c r="CK132" s="154">
        <v>3</v>
      </c>
      <c r="CL132" s="279">
        <v>2</v>
      </c>
      <c r="CM132" s="279">
        <v>3</v>
      </c>
      <c r="CN132" s="155"/>
      <c r="CO132" s="152">
        <v>3</v>
      </c>
      <c r="CP132" s="153">
        <v>2</v>
      </c>
      <c r="CQ132" s="153"/>
      <c r="CR132" s="153">
        <v>1</v>
      </c>
      <c r="CS132" s="171">
        <v>1</v>
      </c>
      <c r="CT132" s="154"/>
      <c r="CU132" s="279">
        <v>3</v>
      </c>
      <c r="CV132" s="279"/>
      <c r="CW132" s="155"/>
      <c r="CX132" s="152">
        <v>1298</v>
      </c>
      <c r="CY132" s="153">
        <v>1173</v>
      </c>
      <c r="CZ132" s="153">
        <v>1710</v>
      </c>
      <c r="DA132" s="153">
        <v>999</v>
      </c>
      <c r="DB132" s="171">
        <v>1275</v>
      </c>
      <c r="DC132" s="154">
        <v>735</v>
      </c>
      <c r="DD132" s="279">
        <v>591</v>
      </c>
      <c r="DE132" s="279">
        <v>521</v>
      </c>
      <c r="DF132" s="155"/>
      <c r="DG132" s="152">
        <v>46</v>
      </c>
      <c r="DH132" s="153">
        <v>40</v>
      </c>
      <c r="DI132" s="153">
        <v>61</v>
      </c>
      <c r="DJ132" s="153">
        <v>38</v>
      </c>
      <c r="DK132" s="171">
        <v>40</v>
      </c>
      <c r="DL132" s="154">
        <v>12</v>
      </c>
      <c r="DM132" s="279">
        <v>21</v>
      </c>
      <c r="DN132" s="279">
        <v>11</v>
      </c>
      <c r="DO132" s="155"/>
      <c r="DP132" s="152">
        <v>184</v>
      </c>
      <c r="DQ132" s="153">
        <v>140</v>
      </c>
      <c r="DR132" s="153">
        <v>198</v>
      </c>
      <c r="DS132" s="153">
        <v>101</v>
      </c>
      <c r="DT132" s="171">
        <v>77</v>
      </c>
      <c r="DU132" s="154">
        <v>24</v>
      </c>
      <c r="DV132" s="279">
        <v>31</v>
      </c>
      <c r="DW132" s="279">
        <v>16</v>
      </c>
      <c r="DX132" s="155"/>
      <c r="DY132" s="152">
        <v>171</v>
      </c>
      <c r="DZ132" s="153">
        <v>198</v>
      </c>
      <c r="EA132" s="153">
        <v>370</v>
      </c>
      <c r="EB132" s="153">
        <v>175</v>
      </c>
      <c r="EC132" s="171">
        <v>386</v>
      </c>
      <c r="ED132" s="154">
        <v>210</v>
      </c>
      <c r="EE132" s="279">
        <v>144</v>
      </c>
      <c r="EF132" s="279">
        <v>153</v>
      </c>
      <c r="EG132" s="155"/>
      <c r="EH132" s="152">
        <v>17</v>
      </c>
      <c r="EI132" s="153">
        <v>5</v>
      </c>
      <c r="EJ132" s="153">
        <v>7</v>
      </c>
      <c r="EK132" s="153">
        <v>5</v>
      </c>
      <c r="EL132" s="171">
        <v>14</v>
      </c>
      <c r="EM132" s="154">
        <v>4</v>
      </c>
      <c r="EN132" s="279">
        <v>3</v>
      </c>
      <c r="EO132" s="279">
        <v>2</v>
      </c>
      <c r="EP132" s="155"/>
      <c r="EQ132" s="152">
        <v>4</v>
      </c>
      <c r="ER132" s="153">
        <v>2</v>
      </c>
      <c r="ES132" s="153">
        <v>6</v>
      </c>
      <c r="ET132" s="153">
        <v>2</v>
      </c>
      <c r="EU132" s="171">
        <v>4</v>
      </c>
      <c r="EV132" s="154">
        <v>2</v>
      </c>
      <c r="EW132" s="279">
        <v>1</v>
      </c>
      <c r="EX132" s="279">
        <v>2</v>
      </c>
      <c r="EY132" s="155"/>
      <c r="EZ132" s="152">
        <v>1</v>
      </c>
      <c r="FA132" s="153">
        <v>4</v>
      </c>
      <c r="FB132" s="153">
        <v>3</v>
      </c>
      <c r="FC132" s="153">
        <v>3</v>
      </c>
      <c r="FD132" s="171">
        <v>1</v>
      </c>
      <c r="FE132" s="154">
        <v>2</v>
      </c>
      <c r="FF132" s="279"/>
      <c r="FG132" s="279">
        <v>1</v>
      </c>
      <c r="FH132" s="155"/>
      <c r="FI132" s="152">
        <v>168</v>
      </c>
      <c r="FJ132" s="153">
        <v>119</v>
      </c>
      <c r="FK132" s="153">
        <v>123</v>
      </c>
      <c r="FL132" s="153">
        <v>59</v>
      </c>
      <c r="FM132" s="171">
        <v>81</v>
      </c>
      <c r="FN132" s="154">
        <v>52</v>
      </c>
      <c r="FO132" s="279">
        <v>58</v>
      </c>
      <c r="FP132" s="279">
        <v>68</v>
      </c>
      <c r="FQ132" s="155"/>
      <c r="FR132" s="152">
        <v>4</v>
      </c>
      <c r="FS132" s="153">
        <v>4</v>
      </c>
      <c r="FT132" s="153">
        <v>1</v>
      </c>
      <c r="FU132" s="153">
        <v>7</v>
      </c>
      <c r="FV132" s="171">
        <v>2</v>
      </c>
      <c r="FW132" s="154">
        <v>13</v>
      </c>
      <c r="FX132" s="279">
        <v>2</v>
      </c>
      <c r="FY132" s="279">
        <v>4</v>
      </c>
      <c r="FZ132" s="155"/>
      <c r="GA132" s="152">
        <v>6</v>
      </c>
      <c r="GB132" s="153">
        <v>1</v>
      </c>
      <c r="GC132" s="153">
        <v>4</v>
      </c>
      <c r="GD132" s="153">
        <v>1</v>
      </c>
      <c r="GE132" s="171">
        <v>3</v>
      </c>
      <c r="GF132" s="154">
        <v>4</v>
      </c>
      <c r="GG132" s="279">
        <v>8</v>
      </c>
      <c r="GH132" s="279">
        <v>8</v>
      </c>
      <c r="GI132" s="155"/>
      <c r="GJ132" s="152">
        <v>1589</v>
      </c>
      <c r="GK132" s="153">
        <v>1395</v>
      </c>
      <c r="GL132" s="153">
        <v>1955</v>
      </c>
      <c r="GM132" s="153">
        <v>1197</v>
      </c>
      <c r="GN132" s="171">
        <v>1492</v>
      </c>
      <c r="GO132" s="154">
        <v>936</v>
      </c>
      <c r="GP132" s="279">
        <v>780</v>
      </c>
      <c r="GQ132" s="279">
        <v>777</v>
      </c>
      <c r="GR132" s="155"/>
      <c r="GS132" s="152">
        <v>565</v>
      </c>
      <c r="GT132" s="153">
        <v>437</v>
      </c>
      <c r="GU132" s="153">
        <v>581</v>
      </c>
      <c r="GV132" s="153">
        <v>334</v>
      </c>
      <c r="GW132" s="171">
        <v>193</v>
      </c>
      <c r="GX132" s="154">
        <v>132</v>
      </c>
      <c r="GY132" s="279">
        <v>140</v>
      </c>
      <c r="GZ132" s="279">
        <v>123</v>
      </c>
      <c r="HA132" s="155"/>
      <c r="HB132" s="152">
        <v>6</v>
      </c>
      <c r="HC132" s="153">
        <v>1</v>
      </c>
      <c r="HD132" s="153">
        <v>3</v>
      </c>
      <c r="HE132" s="153">
        <v>1</v>
      </c>
      <c r="HF132" s="171">
        <v>2</v>
      </c>
      <c r="HG132" s="154">
        <v>6</v>
      </c>
      <c r="HH132" s="279">
        <v>3</v>
      </c>
      <c r="HI132" s="279">
        <v>2</v>
      </c>
      <c r="HJ132" s="155"/>
      <c r="HK132" s="152">
        <v>1</v>
      </c>
      <c r="HL132" s="153"/>
      <c r="HM132" s="153"/>
      <c r="HN132" s="153"/>
      <c r="HO132" s="171">
        <v>1</v>
      </c>
      <c r="HP132" s="154"/>
      <c r="HQ132" s="279">
        <v>2</v>
      </c>
      <c r="HR132" s="279">
        <v>2</v>
      </c>
      <c r="HS132" s="155"/>
      <c r="HT132" s="152">
        <v>700</v>
      </c>
      <c r="HU132" s="153">
        <v>556</v>
      </c>
      <c r="HV132" s="153">
        <v>724</v>
      </c>
      <c r="HW132" s="153">
        <v>501</v>
      </c>
      <c r="HX132" s="171">
        <v>349</v>
      </c>
      <c r="HY132" s="154">
        <v>286</v>
      </c>
      <c r="HZ132" s="279">
        <v>286</v>
      </c>
      <c r="IA132" s="279">
        <v>305</v>
      </c>
      <c r="IB132" s="155"/>
      <c r="IC132" s="152">
        <v>2549</v>
      </c>
      <c r="ID132" s="153">
        <v>2708</v>
      </c>
      <c r="IE132" s="153">
        <v>3572</v>
      </c>
      <c r="IF132" s="153">
        <v>1736</v>
      </c>
      <c r="IG132" s="171">
        <v>2561</v>
      </c>
      <c r="IH132" s="154">
        <v>2317</v>
      </c>
      <c r="II132" s="279">
        <v>1536</v>
      </c>
      <c r="IJ132" s="279">
        <v>1743</v>
      </c>
      <c r="IK132" s="155"/>
    </row>
    <row r="133" spans="1:245" x14ac:dyDescent="0.2">
      <c r="A133" s="961"/>
      <c r="B133" s="151" t="s">
        <v>727</v>
      </c>
      <c r="C133" s="152"/>
      <c r="D133" s="153">
        <v>1</v>
      </c>
      <c r="E133" s="153"/>
      <c r="F133" s="153"/>
      <c r="G133" s="154"/>
      <c r="H133" s="154"/>
      <c r="I133" s="279"/>
      <c r="J133" s="279">
        <v>1</v>
      </c>
      <c r="K133" s="155"/>
      <c r="L133" s="152"/>
      <c r="M133" s="153">
        <v>1</v>
      </c>
      <c r="N133" s="153"/>
      <c r="O133" s="153"/>
      <c r="P133" s="154"/>
      <c r="Q133" s="154"/>
      <c r="R133" s="279"/>
      <c r="S133" s="279"/>
      <c r="T133" s="155"/>
      <c r="U133" s="152"/>
      <c r="V133" s="153"/>
      <c r="W133" s="153"/>
      <c r="X133" s="153"/>
      <c r="Y133" s="154"/>
      <c r="Z133" s="154"/>
      <c r="AA133" s="279"/>
      <c r="AB133" s="279">
        <v>1</v>
      </c>
      <c r="AC133" s="155"/>
      <c r="AD133" s="152">
        <v>95</v>
      </c>
      <c r="AE133" s="153">
        <v>74</v>
      </c>
      <c r="AF133" s="153">
        <v>70</v>
      </c>
      <c r="AG133" s="153">
        <v>65</v>
      </c>
      <c r="AH133" s="154">
        <v>116</v>
      </c>
      <c r="AI133" s="154">
        <v>121</v>
      </c>
      <c r="AJ133" s="279">
        <v>111</v>
      </c>
      <c r="AK133" s="279">
        <v>89</v>
      </c>
      <c r="AL133" s="155"/>
      <c r="AM133" s="152">
        <v>56</v>
      </c>
      <c r="AN133" s="153">
        <v>43</v>
      </c>
      <c r="AO133" s="153">
        <v>30</v>
      </c>
      <c r="AP133" s="153">
        <v>29</v>
      </c>
      <c r="AQ133" s="154">
        <v>35</v>
      </c>
      <c r="AR133" s="154">
        <v>30</v>
      </c>
      <c r="AS133" s="279">
        <v>31</v>
      </c>
      <c r="AT133" s="279">
        <v>33</v>
      </c>
      <c r="AU133" s="155"/>
      <c r="AV133" s="152"/>
      <c r="AW133" s="153"/>
      <c r="AX133" s="153"/>
      <c r="AY133" s="153"/>
      <c r="AZ133" s="154"/>
      <c r="BA133" s="154"/>
      <c r="BB133" s="279"/>
      <c r="BC133" s="279"/>
      <c r="BD133" s="155"/>
      <c r="BE133" s="152">
        <v>10</v>
      </c>
      <c r="BF133" s="153">
        <v>4</v>
      </c>
      <c r="BG133" s="153">
        <v>36</v>
      </c>
      <c r="BH133" s="153">
        <v>13</v>
      </c>
      <c r="BI133" s="154">
        <v>15</v>
      </c>
      <c r="BJ133" s="154">
        <v>11</v>
      </c>
      <c r="BK133" s="279">
        <v>1</v>
      </c>
      <c r="BL133" s="279">
        <v>15</v>
      </c>
      <c r="BM133" s="155"/>
      <c r="BN133" s="152"/>
      <c r="BO133" s="153"/>
      <c r="BP133" s="153"/>
      <c r="BQ133" s="153"/>
      <c r="BR133" s="154"/>
      <c r="BS133" s="154"/>
      <c r="BT133" s="279"/>
      <c r="BU133" s="279"/>
      <c r="BV133" s="155"/>
      <c r="BW133" s="152">
        <v>54</v>
      </c>
      <c r="BX133" s="153">
        <v>55</v>
      </c>
      <c r="BY133" s="153">
        <v>49</v>
      </c>
      <c r="BZ133" s="153">
        <v>55</v>
      </c>
      <c r="CA133" s="154">
        <v>71</v>
      </c>
      <c r="CB133" s="154">
        <v>53</v>
      </c>
      <c r="CC133" s="279">
        <v>49</v>
      </c>
      <c r="CD133" s="279">
        <v>68</v>
      </c>
      <c r="CE133" s="155"/>
      <c r="CF133" s="152">
        <v>8</v>
      </c>
      <c r="CG133" s="153">
        <v>6</v>
      </c>
      <c r="CH133" s="153">
        <v>7</v>
      </c>
      <c r="CI133" s="153">
        <v>8</v>
      </c>
      <c r="CJ133" s="154">
        <v>8</v>
      </c>
      <c r="CK133" s="154">
        <v>3</v>
      </c>
      <c r="CL133" s="279">
        <v>1</v>
      </c>
      <c r="CM133" s="279">
        <v>4</v>
      </c>
      <c r="CN133" s="155"/>
      <c r="CO133" s="152">
        <v>9</v>
      </c>
      <c r="CP133" s="153">
        <v>8</v>
      </c>
      <c r="CQ133" s="153">
        <v>10</v>
      </c>
      <c r="CR133" s="153">
        <v>6</v>
      </c>
      <c r="CS133" s="154">
        <v>8</v>
      </c>
      <c r="CT133" s="154">
        <v>7</v>
      </c>
      <c r="CU133" s="279">
        <v>3</v>
      </c>
      <c r="CV133" s="279">
        <v>3</v>
      </c>
      <c r="CW133" s="155"/>
      <c r="CX133" s="152">
        <v>1437</v>
      </c>
      <c r="CY133" s="153">
        <v>1465</v>
      </c>
      <c r="CZ133" s="153">
        <v>1748</v>
      </c>
      <c r="DA133" s="153">
        <v>1460</v>
      </c>
      <c r="DB133" s="154">
        <v>1132</v>
      </c>
      <c r="DC133" s="154">
        <v>748</v>
      </c>
      <c r="DD133" s="279">
        <v>505</v>
      </c>
      <c r="DE133" s="279">
        <v>389</v>
      </c>
      <c r="DF133" s="155"/>
      <c r="DG133" s="152">
        <v>27</v>
      </c>
      <c r="DH133" s="153">
        <v>32</v>
      </c>
      <c r="DI133" s="153">
        <v>38</v>
      </c>
      <c r="DJ133" s="153">
        <v>30</v>
      </c>
      <c r="DK133" s="154">
        <v>23</v>
      </c>
      <c r="DL133" s="154">
        <v>19</v>
      </c>
      <c r="DM133" s="279">
        <v>4</v>
      </c>
      <c r="DN133" s="279"/>
      <c r="DO133" s="155"/>
      <c r="DP133" s="152">
        <v>113</v>
      </c>
      <c r="DQ133" s="153">
        <v>117</v>
      </c>
      <c r="DR133" s="153">
        <v>129</v>
      </c>
      <c r="DS133" s="153">
        <v>66</v>
      </c>
      <c r="DT133" s="154">
        <v>26</v>
      </c>
      <c r="DU133" s="154">
        <v>16</v>
      </c>
      <c r="DV133" s="279">
        <v>24</v>
      </c>
      <c r="DW133" s="279">
        <v>8</v>
      </c>
      <c r="DX133" s="155"/>
      <c r="DY133" s="152">
        <v>128</v>
      </c>
      <c r="DZ133" s="153">
        <v>117</v>
      </c>
      <c r="EA133" s="153">
        <v>128</v>
      </c>
      <c r="EB133" s="153">
        <v>175</v>
      </c>
      <c r="EC133" s="154">
        <v>183</v>
      </c>
      <c r="ED133" s="154">
        <v>146</v>
      </c>
      <c r="EE133" s="279">
        <v>78</v>
      </c>
      <c r="EF133" s="279">
        <v>39</v>
      </c>
      <c r="EG133" s="155"/>
      <c r="EH133" s="152">
        <v>4</v>
      </c>
      <c r="EI133" s="153">
        <v>21</v>
      </c>
      <c r="EJ133" s="153">
        <v>17</v>
      </c>
      <c r="EK133" s="153">
        <v>14</v>
      </c>
      <c r="EL133" s="154">
        <v>8</v>
      </c>
      <c r="EM133" s="154">
        <v>6</v>
      </c>
      <c r="EN133" s="279">
        <v>9</v>
      </c>
      <c r="EO133" s="279">
        <v>4</v>
      </c>
      <c r="EP133" s="155"/>
      <c r="EQ133" s="152"/>
      <c r="ER133" s="153">
        <v>4</v>
      </c>
      <c r="ES133" s="153">
        <v>20</v>
      </c>
      <c r="ET133" s="153">
        <v>12</v>
      </c>
      <c r="EU133" s="154">
        <v>3</v>
      </c>
      <c r="EV133" s="154">
        <v>6</v>
      </c>
      <c r="EW133" s="279">
        <v>1</v>
      </c>
      <c r="EX133" s="279">
        <v>8</v>
      </c>
      <c r="EY133" s="155"/>
      <c r="EZ133" s="152">
        <v>2</v>
      </c>
      <c r="FA133" s="153">
        <v>9</v>
      </c>
      <c r="FB133" s="153">
        <v>4</v>
      </c>
      <c r="FC133" s="153">
        <v>7</v>
      </c>
      <c r="FD133" s="154">
        <v>2</v>
      </c>
      <c r="FE133" s="154">
        <v>5</v>
      </c>
      <c r="FF133" s="279">
        <v>2</v>
      </c>
      <c r="FG133" s="279">
        <v>8</v>
      </c>
      <c r="FH133" s="155"/>
      <c r="FI133" s="152">
        <v>172</v>
      </c>
      <c r="FJ133" s="153">
        <v>139</v>
      </c>
      <c r="FK133" s="153">
        <v>131</v>
      </c>
      <c r="FL133" s="153">
        <v>79</v>
      </c>
      <c r="FM133" s="154">
        <v>91</v>
      </c>
      <c r="FN133" s="154">
        <v>69</v>
      </c>
      <c r="FO133" s="279">
        <v>66</v>
      </c>
      <c r="FP133" s="279">
        <v>43</v>
      </c>
      <c r="FQ133" s="155"/>
      <c r="FR133" s="152">
        <v>2</v>
      </c>
      <c r="FS133" s="153">
        <v>6</v>
      </c>
      <c r="FT133" s="153">
        <v>1</v>
      </c>
      <c r="FU133" s="153">
        <v>1</v>
      </c>
      <c r="FV133" s="154">
        <v>2</v>
      </c>
      <c r="FW133" s="154">
        <v>8</v>
      </c>
      <c r="FX133" s="279">
        <v>5</v>
      </c>
      <c r="FY133" s="279"/>
      <c r="FZ133" s="155"/>
      <c r="GA133" s="152">
        <v>8</v>
      </c>
      <c r="GB133" s="153">
        <v>5</v>
      </c>
      <c r="GC133" s="153">
        <v>4</v>
      </c>
      <c r="GD133" s="153">
        <v>3</v>
      </c>
      <c r="GE133" s="154">
        <v>3</v>
      </c>
      <c r="GF133" s="154">
        <v>6</v>
      </c>
      <c r="GG133" s="279">
        <v>2</v>
      </c>
      <c r="GH133" s="279">
        <v>5</v>
      </c>
      <c r="GI133" s="155"/>
      <c r="GJ133" s="152">
        <v>1801</v>
      </c>
      <c r="GK133" s="153">
        <v>1797</v>
      </c>
      <c r="GL133" s="153">
        <v>2097</v>
      </c>
      <c r="GM133" s="153">
        <v>1723</v>
      </c>
      <c r="GN133" s="154">
        <v>1459</v>
      </c>
      <c r="GO133" s="154">
        <v>1043</v>
      </c>
      <c r="GP133" s="279">
        <v>755</v>
      </c>
      <c r="GQ133" s="279">
        <v>637</v>
      </c>
      <c r="GR133" s="155"/>
      <c r="GS133" s="152">
        <v>576</v>
      </c>
      <c r="GT133" s="153">
        <v>597</v>
      </c>
      <c r="GU133" s="153">
        <v>682</v>
      </c>
      <c r="GV133" s="153">
        <v>495</v>
      </c>
      <c r="GW133" s="154">
        <v>293</v>
      </c>
      <c r="GX133" s="154">
        <v>204</v>
      </c>
      <c r="GY133" s="279">
        <v>160</v>
      </c>
      <c r="GZ133" s="279">
        <v>120</v>
      </c>
      <c r="HA133" s="155"/>
      <c r="HB133" s="152">
        <v>5</v>
      </c>
      <c r="HC133" s="153">
        <v>2</v>
      </c>
      <c r="HD133" s="153">
        <v>3</v>
      </c>
      <c r="HE133" s="153">
        <v>4</v>
      </c>
      <c r="HF133" s="154">
        <v>2</v>
      </c>
      <c r="HG133" s="154">
        <v>1</v>
      </c>
      <c r="HH133" s="279">
        <v>3</v>
      </c>
      <c r="HI133" s="279">
        <v>3</v>
      </c>
      <c r="HJ133" s="155"/>
      <c r="HK133" s="152"/>
      <c r="HL133" s="153"/>
      <c r="HM133" s="153">
        <v>5</v>
      </c>
      <c r="HN133" s="153">
        <v>2</v>
      </c>
      <c r="HO133" s="154"/>
      <c r="HP133" s="154">
        <v>5</v>
      </c>
      <c r="HQ133" s="279">
        <v>2</v>
      </c>
      <c r="HR133" s="279">
        <v>2</v>
      </c>
      <c r="HS133" s="155"/>
      <c r="HT133" s="152">
        <v>756</v>
      </c>
      <c r="HU133" s="153">
        <v>747</v>
      </c>
      <c r="HV133" s="153">
        <v>822</v>
      </c>
      <c r="HW133" s="153">
        <v>658</v>
      </c>
      <c r="HX133" s="154">
        <v>428</v>
      </c>
      <c r="HY133" s="154">
        <v>382</v>
      </c>
      <c r="HZ133" s="279">
        <v>357</v>
      </c>
      <c r="IA133" s="279">
        <v>406</v>
      </c>
      <c r="IB133" s="155"/>
      <c r="IC133" s="152">
        <v>2860</v>
      </c>
      <c r="ID133" s="153">
        <v>3340</v>
      </c>
      <c r="IE133" s="153">
        <v>4073</v>
      </c>
      <c r="IF133" s="153">
        <v>2586</v>
      </c>
      <c r="IG133" s="154">
        <v>2732</v>
      </c>
      <c r="IH133" s="154">
        <v>1941</v>
      </c>
      <c r="II133" s="279">
        <v>1697</v>
      </c>
      <c r="IJ133" s="279">
        <v>1322</v>
      </c>
      <c r="IK133" s="155"/>
    </row>
    <row r="134" spans="1:245" x14ac:dyDescent="0.2">
      <c r="A134" s="961"/>
      <c r="B134" s="151" t="s">
        <v>728</v>
      </c>
      <c r="C134" s="152"/>
      <c r="D134" s="153"/>
      <c r="E134" s="153"/>
      <c r="F134" s="153"/>
      <c r="G134" s="154"/>
      <c r="H134" s="154"/>
      <c r="I134" s="279"/>
      <c r="J134" s="279"/>
      <c r="K134" s="155"/>
      <c r="L134" s="152"/>
      <c r="M134" s="153"/>
      <c r="N134" s="153"/>
      <c r="O134" s="153"/>
      <c r="P134" s="154"/>
      <c r="Q134" s="154"/>
      <c r="R134" s="279"/>
      <c r="S134" s="279"/>
      <c r="T134" s="155"/>
      <c r="U134" s="152"/>
      <c r="V134" s="153"/>
      <c r="W134" s="153"/>
      <c r="X134" s="153"/>
      <c r="Y134" s="154"/>
      <c r="Z134" s="154"/>
      <c r="AA134" s="279"/>
      <c r="AB134" s="279"/>
      <c r="AC134" s="155"/>
      <c r="AD134" s="152">
        <v>88</v>
      </c>
      <c r="AE134" s="153">
        <v>85</v>
      </c>
      <c r="AF134" s="153">
        <v>79</v>
      </c>
      <c r="AG134" s="153">
        <v>70</v>
      </c>
      <c r="AH134" s="154">
        <v>83</v>
      </c>
      <c r="AI134" s="154">
        <v>73</v>
      </c>
      <c r="AJ134" s="279">
        <v>68</v>
      </c>
      <c r="AK134" s="279">
        <v>83</v>
      </c>
      <c r="AL134" s="155"/>
      <c r="AM134" s="152">
        <v>55</v>
      </c>
      <c r="AN134" s="153">
        <v>45</v>
      </c>
      <c r="AO134" s="153">
        <v>43</v>
      </c>
      <c r="AP134" s="153">
        <v>27</v>
      </c>
      <c r="AQ134" s="154">
        <v>43</v>
      </c>
      <c r="AR134" s="154">
        <v>33</v>
      </c>
      <c r="AS134" s="279">
        <v>37</v>
      </c>
      <c r="AT134" s="279">
        <v>42</v>
      </c>
      <c r="AU134" s="155"/>
      <c r="AV134" s="152"/>
      <c r="AW134" s="153"/>
      <c r="AX134" s="153"/>
      <c r="AY134" s="153"/>
      <c r="AZ134" s="154"/>
      <c r="BA134" s="154"/>
      <c r="BB134" s="279"/>
      <c r="BC134" s="279"/>
      <c r="BD134" s="155"/>
      <c r="BE134" s="152">
        <v>11</v>
      </c>
      <c r="BF134" s="153">
        <v>4</v>
      </c>
      <c r="BG134" s="153">
        <v>9</v>
      </c>
      <c r="BH134" s="153">
        <v>3</v>
      </c>
      <c r="BI134" s="154">
        <v>9</v>
      </c>
      <c r="BJ134" s="154">
        <v>11</v>
      </c>
      <c r="BK134" s="279">
        <v>5</v>
      </c>
      <c r="BL134" s="279">
        <v>2</v>
      </c>
      <c r="BM134" s="155"/>
      <c r="BN134" s="152"/>
      <c r="BO134" s="153"/>
      <c r="BP134" s="153"/>
      <c r="BQ134" s="153"/>
      <c r="BR134" s="154"/>
      <c r="BS134" s="154"/>
      <c r="BT134" s="279"/>
      <c r="BU134" s="279"/>
      <c r="BV134" s="155"/>
      <c r="BW134" s="152">
        <v>19</v>
      </c>
      <c r="BX134" s="153">
        <v>34</v>
      </c>
      <c r="BY134" s="153">
        <v>39</v>
      </c>
      <c r="BZ134" s="153">
        <v>63</v>
      </c>
      <c r="CA134" s="154">
        <v>60</v>
      </c>
      <c r="CB134" s="154">
        <v>61</v>
      </c>
      <c r="CC134" s="279">
        <v>60</v>
      </c>
      <c r="CD134" s="279">
        <v>50</v>
      </c>
      <c r="CE134" s="155"/>
      <c r="CF134" s="152">
        <v>8</v>
      </c>
      <c r="CG134" s="153">
        <v>5</v>
      </c>
      <c r="CH134" s="153">
        <v>2</v>
      </c>
      <c r="CI134" s="153">
        <v>3</v>
      </c>
      <c r="CJ134" s="154">
        <v>3</v>
      </c>
      <c r="CK134" s="154">
        <v>3</v>
      </c>
      <c r="CL134" s="279">
        <v>3</v>
      </c>
      <c r="CM134" s="279">
        <v>6</v>
      </c>
      <c r="CN134" s="155"/>
      <c r="CO134" s="152">
        <v>2</v>
      </c>
      <c r="CP134" s="153">
        <v>1</v>
      </c>
      <c r="CQ134" s="153">
        <v>1</v>
      </c>
      <c r="CR134" s="153">
        <v>3</v>
      </c>
      <c r="CS134" s="154"/>
      <c r="CT134" s="154"/>
      <c r="CU134" s="279">
        <v>1</v>
      </c>
      <c r="CV134" s="279">
        <v>1</v>
      </c>
      <c r="CW134" s="155"/>
      <c r="CX134" s="152">
        <v>1484</v>
      </c>
      <c r="CY134" s="153">
        <v>1652</v>
      </c>
      <c r="CZ134" s="153">
        <v>1364</v>
      </c>
      <c r="DA134" s="153">
        <v>1408</v>
      </c>
      <c r="DB134" s="154">
        <v>1558</v>
      </c>
      <c r="DC134" s="154">
        <v>968</v>
      </c>
      <c r="DD134" s="279">
        <v>861</v>
      </c>
      <c r="DE134" s="279">
        <v>667</v>
      </c>
      <c r="DF134" s="155"/>
      <c r="DG134" s="152">
        <v>61</v>
      </c>
      <c r="DH134" s="153">
        <v>94</v>
      </c>
      <c r="DI134" s="153">
        <v>48</v>
      </c>
      <c r="DJ134" s="153">
        <v>64</v>
      </c>
      <c r="DK134" s="154">
        <v>34</v>
      </c>
      <c r="DL134" s="154">
        <v>14</v>
      </c>
      <c r="DM134" s="279">
        <v>14</v>
      </c>
      <c r="DN134" s="279">
        <v>5</v>
      </c>
      <c r="DO134" s="155"/>
      <c r="DP134" s="152">
        <v>142</v>
      </c>
      <c r="DQ134" s="153">
        <v>170</v>
      </c>
      <c r="DR134" s="153">
        <v>112</v>
      </c>
      <c r="DS134" s="153">
        <v>95</v>
      </c>
      <c r="DT134" s="154">
        <v>173</v>
      </c>
      <c r="DU134" s="154">
        <v>95</v>
      </c>
      <c r="DV134" s="279">
        <v>103</v>
      </c>
      <c r="DW134" s="279">
        <v>52</v>
      </c>
      <c r="DX134" s="155"/>
      <c r="DY134" s="152">
        <v>347</v>
      </c>
      <c r="DZ134" s="153">
        <v>421</v>
      </c>
      <c r="EA134" s="153">
        <v>374</v>
      </c>
      <c r="EB134" s="153">
        <v>348</v>
      </c>
      <c r="EC134" s="154">
        <v>497</v>
      </c>
      <c r="ED134" s="154">
        <v>240</v>
      </c>
      <c r="EE134" s="279">
        <v>227</v>
      </c>
      <c r="EF134" s="279">
        <v>141</v>
      </c>
      <c r="EG134" s="155"/>
      <c r="EH134" s="152">
        <v>35</v>
      </c>
      <c r="EI134" s="153">
        <v>25</v>
      </c>
      <c r="EJ134" s="153">
        <v>21</v>
      </c>
      <c r="EK134" s="153">
        <v>21</v>
      </c>
      <c r="EL134" s="154">
        <v>9</v>
      </c>
      <c r="EM134" s="154">
        <v>12</v>
      </c>
      <c r="EN134" s="279">
        <v>8</v>
      </c>
      <c r="EO134" s="279">
        <v>5</v>
      </c>
      <c r="EP134" s="155"/>
      <c r="EQ134" s="152"/>
      <c r="ER134" s="153">
        <v>5</v>
      </c>
      <c r="ES134" s="153">
        <v>6</v>
      </c>
      <c r="ET134" s="153">
        <v>6</v>
      </c>
      <c r="EU134" s="154">
        <v>2</v>
      </c>
      <c r="EV134" s="154"/>
      <c r="EW134" s="279">
        <v>9</v>
      </c>
      <c r="EX134" s="279">
        <v>2</v>
      </c>
      <c r="EY134" s="155"/>
      <c r="EZ134" s="152">
        <v>3</v>
      </c>
      <c r="FA134" s="153">
        <v>4</v>
      </c>
      <c r="FB134" s="153">
        <v>314</v>
      </c>
      <c r="FC134" s="153">
        <v>6</v>
      </c>
      <c r="FD134" s="154">
        <v>15</v>
      </c>
      <c r="FE134" s="154">
        <v>9</v>
      </c>
      <c r="FF134" s="279"/>
      <c r="FG134" s="279">
        <v>1</v>
      </c>
      <c r="FH134" s="155"/>
      <c r="FI134" s="152">
        <v>116</v>
      </c>
      <c r="FJ134" s="153">
        <v>151</v>
      </c>
      <c r="FK134" s="153">
        <v>94</v>
      </c>
      <c r="FL134" s="153">
        <v>95</v>
      </c>
      <c r="FM134" s="154">
        <v>81</v>
      </c>
      <c r="FN134" s="154">
        <v>60</v>
      </c>
      <c r="FO134" s="279">
        <v>50</v>
      </c>
      <c r="FP134" s="279">
        <v>46</v>
      </c>
      <c r="FQ134" s="155"/>
      <c r="FR134" s="152">
        <v>7</v>
      </c>
      <c r="FS134" s="153">
        <v>12</v>
      </c>
      <c r="FT134" s="153">
        <v>7</v>
      </c>
      <c r="FU134" s="153">
        <v>11</v>
      </c>
      <c r="FV134" s="154">
        <v>2</v>
      </c>
      <c r="FW134" s="154">
        <v>5</v>
      </c>
      <c r="FX134" s="279">
        <v>5</v>
      </c>
      <c r="FY134" s="279">
        <v>4</v>
      </c>
      <c r="FZ134" s="155"/>
      <c r="GA134" s="152">
        <v>21</v>
      </c>
      <c r="GB134" s="153">
        <v>14</v>
      </c>
      <c r="GC134" s="153">
        <v>12</v>
      </c>
      <c r="GD134" s="153">
        <v>4</v>
      </c>
      <c r="GE134" s="154">
        <v>6</v>
      </c>
      <c r="GF134" s="154">
        <v>3</v>
      </c>
      <c r="GG134" s="279">
        <v>3</v>
      </c>
      <c r="GH134" s="279">
        <v>9</v>
      </c>
      <c r="GI134" s="155"/>
      <c r="GJ134" s="152">
        <v>1794</v>
      </c>
      <c r="GK134" s="153">
        <v>1992</v>
      </c>
      <c r="GL134" s="153">
        <v>1948</v>
      </c>
      <c r="GM134" s="153">
        <v>1693</v>
      </c>
      <c r="GN134" s="154">
        <v>1828</v>
      </c>
      <c r="GO134" s="154">
        <v>1205</v>
      </c>
      <c r="GP134" s="279">
        <v>1073</v>
      </c>
      <c r="GQ134" s="279">
        <v>876</v>
      </c>
      <c r="GR134" s="155"/>
      <c r="GS134" s="152">
        <v>601</v>
      </c>
      <c r="GT134" s="153">
        <v>668</v>
      </c>
      <c r="GU134" s="153">
        <v>504</v>
      </c>
      <c r="GV134" s="153">
        <v>497</v>
      </c>
      <c r="GW134" s="154">
        <v>368</v>
      </c>
      <c r="GX134" s="154">
        <v>224</v>
      </c>
      <c r="GY134" s="279">
        <v>240</v>
      </c>
      <c r="GZ134" s="279">
        <v>183</v>
      </c>
      <c r="HA134" s="155"/>
      <c r="HB134" s="152">
        <v>4</v>
      </c>
      <c r="HC134" s="153">
        <v>5</v>
      </c>
      <c r="HD134" s="153">
        <v>5</v>
      </c>
      <c r="HE134" s="153">
        <v>4</v>
      </c>
      <c r="HF134" s="154">
        <v>5</v>
      </c>
      <c r="HG134" s="154">
        <v>3</v>
      </c>
      <c r="HH134" s="279">
        <v>2</v>
      </c>
      <c r="HI134" s="279">
        <v>2</v>
      </c>
      <c r="HJ134" s="155"/>
      <c r="HK134" s="152">
        <v>3</v>
      </c>
      <c r="HL134" s="153">
        <v>6</v>
      </c>
      <c r="HM134" s="153">
        <v>4</v>
      </c>
      <c r="HN134" s="153">
        <v>3</v>
      </c>
      <c r="HO134" s="154">
        <v>2</v>
      </c>
      <c r="HP134" s="154">
        <v>4</v>
      </c>
      <c r="HQ134" s="279"/>
      <c r="HR134" s="279"/>
      <c r="HS134" s="155"/>
      <c r="HT134" s="152">
        <v>915</v>
      </c>
      <c r="HU134" s="153">
        <v>866</v>
      </c>
      <c r="HV134" s="153">
        <v>652</v>
      </c>
      <c r="HW134" s="153">
        <v>740</v>
      </c>
      <c r="HX134" s="154">
        <v>578</v>
      </c>
      <c r="HY134" s="154">
        <v>450</v>
      </c>
      <c r="HZ134" s="279">
        <v>502</v>
      </c>
      <c r="IA134" s="279">
        <v>483</v>
      </c>
      <c r="IB134" s="155"/>
      <c r="IC134" s="152">
        <v>3253</v>
      </c>
      <c r="ID134" s="153">
        <v>3597</v>
      </c>
      <c r="IE134" s="153">
        <v>3905</v>
      </c>
      <c r="IF134" s="153">
        <v>2651</v>
      </c>
      <c r="IG134" s="154">
        <v>2477</v>
      </c>
      <c r="IH134" s="154">
        <v>2108</v>
      </c>
      <c r="II134" s="279">
        <v>1773</v>
      </c>
      <c r="IJ134" s="279">
        <v>1650</v>
      </c>
      <c r="IK134" s="155"/>
    </row>
    <row r="135" spans="1:245" x14ac:dyDescent="0.2">
      <c r="A135" s="961"/>
      <c r="B135" s="151" t="s">
        <v>623</v>
      </c>
      <c r="C135" s="152"/>
      <c r="D135" s="153"/>
      <c r="E135" s="153"/>
      <c r="F135" s="153"/>
      <c r="G135" s="154"/>
      <c r="H135" s="154"/>
      <c r="I135" s="279"/>
      <c r="J135" s="279"/>
      <c r="K135" s="155"/>
      <c r="L135" s="152"/>
      <c r="M135" s="153"/>
      <c r="N135" s="153"/>
      <c r="O135" s="153"/>
      <c r="P135" s="154"/>
      <c r="Q135" s="154"/>
      <c r="R135" s="279"/>
      <c r="S135" s="279"/>
      <c r="T135" s="155"/>
      <c r="U135" s="152"/>
      <c r="V135" s="153"/>
      <c r="W135" s="153"/>
      <c r="X135" s="153"/>
      <c r="Y135" s="154"/>
      <c r="Z135" s="154"/>
      <c r="AA135" s="279"/>
      <c r="AB135" s="279"/>
      <c r="AC135" s="155"/>
      <c r="AD135" s="152">
        <v>45</v>
      </c>
      <c r="AE135" s="153">
        <v>46</v>
      </c>
      <c r="AF135" s="153">
        <v>61</v>
      </c>
      <c r="AG135" s="153">
        <v>56</v>
      </c>
      <c r="AH135" s="154">
        <v>65</v>
      </c>
      <c r="AI135" s="154">
        <v>39</v>
      </c>
      <c r="AJ135" s="279">
        <v>70</v>
      </c>
      <c r="AK135" s="279">
        <v>57</v>
      </c>
      <c r="AL135" s="155"/>
      <c r="AM135" s="152">
        <v>30</v>
      </c>
      <c r="AN135" s="153">
        <v>22</v>
      </c>
      <c r="AO135" s="153">
        <v>27</v>
      </c>
      <c r="AP135" s="153">
        <v>32</v>
      </c>
      <c r="AQ135" s="154">
        <v>32</v>
      </c>
      <c r="AR135" s="154">
        <v>17</v>
      </c>
      <c r="AS135" s="279">
        <v>27</v>
      </c>
      <c r="AT135" s="279">
        <v>25</v>
      </c>
      <c r="AU135" s="155"/>
      <c r="AV135" s="152"/>
      <c r="AW135" s="153"/>
      <c r="AX135" s="153"/>
      <c r="AY135" s="153"/>
      <c r="AZ135" s="154"/>
      <c r="BA135" s="154"/>
      <c r="BB135" s="279"/>
      <c r="BC135" s="279"/>
      <c r="BD135" s="155"/>
      <c r="BE135" s="152">
        <v>4</v>
      </c>
      <c r="BF135" s="153">
        <v>9</v>
      </c>
      <c r="BG135" s="153">
        <v>1</v>
      </c>
      <c r="BH135" s="153">
        <v>4</v>
      </c>
      <c r="BI135" s="154">
        <v>3</v>
      </c>
      <c r="BJ135" s="154">
        <v>1</v>
      </c>
      <c r="BK135" s="279">
        <v>11</v>
      </c>
      <c r="BL135" s="279">
        <v>3</v>
      </c>
      <c r="BM135" s="155"/>
      <c r="BN135" s="152"/>
      <c r="BO135" s="153"/>
      <c r="BP135" s="153"/>
      <c r="BQ135" s="153"/>
      <c r="BR135" s="154"/>
      <c r="BS135" s="154"/>
      <c r="BT135" s="279"/>
      <c r="BU135" s="279"/>
      <c r="BV135" s="155"/>
      <c r="BW135" s="152">
        <v>26</v>
      </c>
      <c r="BX135" s="153">
        <v>31</v>
      </c>
      <c r="BY135" s="153">
        <v>36</v>
      </c>
      <c r="BZ135" s="153">
        <v>32</v>
      </c>
      <c r="CA135" s="154">
        <v>52</v>
      </c>
      <c r="CB135" s="154">
        <v>60</v>
      </c>
      <c r="CC135" s="279">
        <v>69</v>
      </c>
      <c r="CD135" s="279">
        <v>83</v>
      </c>
      <c r="CE135" s="155"/>
      <c r="CF135" s="152">
        <v>6</v>
      </c>
      <c r="CG135" s="153">
        <v>4</v>
      </c>
      <c r="CH135" s="153">
        <v>13</v>
      </c>
      <c r="CI135" s="153">
        <v>6</v>
      </c>
      <c r="CJ135" s="154">
        <v>3</v>
      </c>
      <c r="CK135" s="154">
        <v>2</v>
      </c>
      <c r="CL135" s="279">
        <v>1</v>
      </c>
      <c r="CM135" s="279">
        <v>5</v>
      </c>
      <c r="CN135" s="155"/>
      <c r="CO135" s="152">
        <v>2</v>
      </c>
      <c r="CP135" s="153"/>
      <c r="CQ135" s="153">
        <v>1</v>
      </c>
      <c r="CR135" s="153">
        <v>2</v>
      </c>
      <c r="CS135" s="154">
        <v>1</v>
      </c>
      <c r="CT135" s="154">
        <v>3</v>
      </c>
      <c r="CU135" s="279">
        <v>2</v>
      </c>
      <c r="CV135" s="279">
        <v>2</v>
      </c>
      <c r="CW135" s="155"/>
      <c r="CX135" s="152">
        <v>939</v>
      </c>
      <c r="CY135" s="153">
        <v>1023</v>
      </c>
      <c r="CZ135" s="153">
        <v>1467</v>
      </c>
      <c r="DA135" s="153">
        <v>971</v>
      </c>
      <c r="DB135" s="154">
        <v>848</v>
      </c>
      <c r="DC135" s="154">
        <v>703</v>
      </c>
      <c r="DD135" s="279">
        <v>556</v>
      </c>
      <c r="DE135" s="279">
        <v>384</v>
      </c>
      <c r="DF135" s="155"/>
      <c r="DG135" s="152">
        <v>42</v>
      </c>
      <c r="DH135" s="153">
        <v>30</v>
      </c>
      <c r="DI135" s="153">
        <v>84</v>
      </c>
      <c r="DJ135" s="153">
        <v>52</v>
      </c>
      <c r="DK135" s="154">
        <v>46</v>
      </c>
      <c r="DL135" s="154">
        <v>28</v>
      </c>
      <c r="DM135" s="279">
        <v>31</v>
      </c>
      <c r="DN135" s="279">
        <v>19</v>
      </c>
      <c r="DO135" s="155"/>
      <c r="DP135" s="152">
        <v>75</v>
      </c>
      <c r="DQ135" s="153">
        <v>61</v>
      </c>
      <c r="DR135" s="153">
        <v>77</v>
      </c>
      <c r="DS135" s="153">
        <v>43</v>
      </c>
      <c r="DT135" s="154">
        <v>42</v>
      </c>
      <c r="DU135" s="154">
        <v>27</v>
      </c>
      <c r="DV135" s="279">
        <v>31</v>
      </c>
      <c r="DW135" s="279">
        <v>15</v>
      </c>
      <c r="DX135" s="155"/>
      <c r="DY135" s="152">
        <v>164</v>
      </c>
      <c r="DZ135" s="153">
        <v>198</v>
      </c>
      <c r="EA135" s="153">
        <v>319</v>
      </c>
      <c r="EB135" s="153">
        <v>151</v>
      </c>
      <c r="EC135" s="154">
        <v>151</v>
      </c>
      <c r="ED135" s="154">
        <v>119</v>
      </c>
      <c r="EE135" s="279">
        <v>90</v>
      </c>
      <c r="EF135" s="279">
        <v>36</v>
      </c>
      <c r="EG135" s="155"/>
      <c r="EH135" s="152">
        <v>13</v>
      </c>
      <c r="EI135" s="153">
        <v>13</v>
      </c>
      <c r="EJ135" s="153">
        <v>21</v>
      </c>
      <c r="EK135" s="153">
        <v>10</v>
      </c>
      <c r="EL135" s="154">
        <v>7</v>
      </c>
      <c r="EM135" s="154">
        <v>4</v>
      </c>
      <c r="EN135" s="279">
        <v>1</v>
      </c>
      <c r="EO135" s="279">
        <v>9</v>
      </c>
      <c r="EP135" s="155"/>
      <c r="EQ135" s="152"/>
      <c r="ER135" s="153">
        <v>6</v>
      </c>
      <c r="ES135" s="153">
        <v>12</v>
      </c>
      <c r="ET135" s="153">
        <v>4</v>
      </c>
      <c r="EU135" s="154">
        <v>9</v>
      </c>
      <c r="EV135" s="154">
        <v>11</v>
      </c>
      <c r="EW135" s="279">
        <v>4</v>
      </c>
      <c r="EX135" s="279">
        <v>5</v>
      </c>
      <c r="EY135" s="155"/>
      <c r="EZ135" s="152">
        <v>3</v>
      </c>
      <c r="FA135" s="153">
        <v>2</v>
      </c>
      <c r="FB135" s="153">
        <v>5</v>
      </c>
      <c r="FC135" s="153">
        <v>3</v>
      </c>
      <c r="FD135" s="154">
        <v>6</v>
      </c>
      <c r="FE135" s="154"/>
      <c r="FF135" s="279">
        <v>1</v>
      </c>
      <c r="FG135" s="279">
        <v>3</v>
      </c>
      <c r="FH135" s="155"/>
      <c r="FI135" s="152">
        <v>107</v>
      </c>
      <c r="FJ135" s="153">
        <v>91</v>
      </c>
      <c r="FK135" s="153">
        <v>132</v>
      </c>
      <c r="FL135" s="153">
        <v>77</v>
      </c>
      <c r="FM135" s="154">
        <v>69</v>
      </c>
      <c r="FN135" s="154">
        <v>58</v>
      </c>
      <c r="FO135" s="279">
        <v>54</v>
      </c>
      <c r="FP135" s="279">
        <v>70</v>
      </c>
      <c r="FQ135" s="155"/>
      <c r="FR135" s="152">
        <v>3</v>
      </c>
      <c r="FS135" s="153">
        <v>4</v>
      </c>
      <c r="FT135" s="153">
        <v>2</v>
      </c>
      <c r="FU135" s="153">
        <v>1</v>
      </c>
      <c r="FV135" s="154">
        <v>3</v>
      </c>
      <c r="FW135" s="154">
        <v>5</v>
      </c>
      <c r="FX135" s="279"/>
      <c r="FY135" s="279"/>
      <c r="FZ135" s="155"/>
      <c r="GA135" s="152">
        <v>8</v>
      </c>
      <c r="GB135" s="153">
        <v>6</v>
      </c>
      <c r="GC135" s="153">
        <v>9</v>
      </c>
      <c r="GD135" s="153">
        <v>1</v>
      </c>
      <c r="GE135" s="154">
        <v>9</v>
      </c>
      <c r="GF135" s="154">
        <v>6</v>
      </c>
      <c r="GG135" s="279">
        <v>3</v>
      </c>
      <c r="GH135" s="279">
        <v>12</v>
      </c>
      <c r="GI135" s="155"/>
      <c r="GJ135" s="152">
        <v>1156</v>
      </c>
      <c r="GK135" s="153">
        <v>1235</v>
      </c>
      <c r="GL135" s="153">
        <v>1760</v>
      </c>
      <c r="GM135" s="153">
        <v>1167</v>
      </c>
      <c r="GN135" s="154">
        <v>1075</v>
      </c>
      <c r="GO135" s="154">
        <v>892</v>
      </c>
      <c r="GP135" s="279">
        <v>772</v>
      </c>
      <c r="GQ135" s="279">
        <v>633</v>
      </c>
      <c r="GR135" s="155"/>
      <c r="GS135" s="152">
        <v>346</v>
      </c>
      <c r="GT135" s="153">
        <v>344</v>
      </c>
      <c r="GU135" s="153">
        <v>593</v>
      </c>
      <c r="GV135" s="153">
        <v>319</v>
      </c>
      <c r="GW135" s="154">
        <v>234</v>
      </c>
      <c r="GX135" s="154">
        <v>210</v>
      </c>
      <c r="GY135" s="279">
        <v>204</v>
      </c>
      <c r="GZ135" s="279">
        <v>177</v>
      </c>
      <c r="HA135" s="155"/>
      <c r="HB135" s="152">
        <v>9</v>
      </c>
      <c r="HC135" s="153">
        <v>7</v>
      </c>
      <c r="HD135" s="153">
        <v>6</v>
      </c>
      <c r="HE135" s="153">
        <v>4</v>
      </c>
      <c r="HF135" s="154">
        <v>8</v>
      </c>
      <c r="HG135" s="154">
        <v>6</v>
      </c>
      <c r="HH135" s="279">
        <v>2</v>
      </c>
      <c r="HI135" s="279">
        <v>1</v>
      </c>
      <c r="HJ135" s="155"/>
      <c r="HK135" s="152">
        <v>9</v>
      </c>
      <c r="HL135" s="153">
        <v>10</v>
      </c>
      <c r="HM135" s="153">
        <v>3</v>
      </c>
      <c r="HN135" s="153">
        <v>2</v>
      </c>
      <c r="HO135" s="154">
        <v>4</v>
      </c>
      <c r="HP135" s="154">
        <v>4</v>
      </c>
      <c r="HQ135" s="279">
        <v>1</v>
      </c>
      <c r="HR135" s="279">
        <v>2</v>
      </c>
      <c r="HS135" s="155"/>
      <c r="HT135" s="152">
        <v>490</v>
      </c>
      <c r="HU135" s="153">
        <v>483</v>
      </c>
      <c r="HV135" s="153">
        <v>726</v>
      </c>
      <c r="HW135" s="153">
        <v>434</v>
      </c>
      <c r="HX135" s="154">
        <v>390</v>
      </c>
      <c r="HY135" s="154">
        <v>365</v>
      </c>
      <c r="HZ135" s="279">
        <v>349</v>
      </c>
      <c r="IA135" s="279">
        <v>330</v>
      </c>
      <c r="IB135" s="155"/>
      <c r="IC135" s="152">
        <v>1896</v>
      </c>
      <c r="ID135" s="153">
        <v>2848</v>
      </c>
      <c r="IE135" s="153">
        <v>3602</v>
      </c>
      <c r="IF135" s="153">
        <v>1781</v>
      </c>
      <c r="IG135" s="154">
        <v>2102</v>
      </c>
      <c r="IH135" s="154">
        <v>1532</v>
      </c>
      <c r="II135" s="279">
        <v>1528</v>
      </c>
      <c r="IJ135" s="279">
        <v>1563</v>
      </c>
      <c r="IK135" s="155"/>
    </row>
    <row r="136" spans="1:245" ht="13.5" thickBot="1" x14ac:dyDescent="0.25">
      <c r="A136" s="961"/>
      <c r="B136" s="156" t="s">
        <v>729</v>
      </c>
      <c r="C136" s="157"/>
      <c r="D136" s="166"/>
      <c r="E136" s="166"/>
      <c r="F136" s="166"/>
      <c r="G136" s="158"/>
      <c r="H136" s="158"/>
      <c r="I136" s="280"/>
      <c r="J136" s="280"/>
      <c r="K136" s="159"/>
      <c r="L136" s="157"/>
      <c r="M136" s="166"/>
      <c r="N136" s="166"/>
      <c r="O136" s="166"/>
      <c r="P136" s="158"/>
      <c r="Q136" s="158"/>
      <c r="R136" s="280"/>
      <c r="S136" s="280"/>
      <c r="T136" s="159"/>
      <c r="U136" s="157"/>
      <c r="V136" s="166"/>
      <c r="W136" s="166"/>
      <c r="X136" s="166"/>
      <c r="Y136" s="158"/>
      <c r="Z136" s="158"/>
      <c r="AA136" s="280"/>
      <c r="AB136" s="280"/>
      <c r="AC136" s="159"/>
      <c r="AD136" s="157">
        <v>67</v>
      </c>
      <c r="AE136" s="166">
        <v>80</v>
      </c>
      <c r="AF136" s="166">
        <v>60</v>
      </c>
      <c r="AG136" s="166">
        <v>79</v>
      </c>
      <c r="AH136" s="158">
        <v>96</v>
      </c>
      <c r="AI136" s="158">
        <v>55</v>
      </c>
      <c r="AJ136" s="280">
        <v>72</v>
      </c>
      <c r="AK136" s="280">
        <v>49</v>
      </c>
      <c r="AL136" s="159"/>
      <c r="AM136" s="157">
        <v>41</v>
      </c>
      <c r="AN136" s="166">
        <v>49</v>
      </c>
      <c r="AO136" s="166">
        <v>42</v>
      </c>
      <c r="AP136" s="166">
        <v>52</v>
      </c>
      <c r="AQ136" s="158">
        <v>49</v>
      </c>
      <c r="AR136" s="158">
        <v>33</v>
      </c>
      <c r="AS136" s="280">
        <v>54</v>
      </c>
      <c r="AT136" s="280">
        <v>31</v>
      </c>
      <c r="AU136" s="159"/>
      <c r="AV136" s="157"/>
      <c r="AW136" s="166"/>
      <c r="AX136" s="166"/>
      <c r="AY136" s="166"/>
      <c r="AZ136" s="158"/>
      <c r="BA136" s="158"/>
      <c r="BB136" s="280"/>
      <c r="BC136" s="280"/>
      <c r="BD136" s="159"/>
      <c r="BE136" s="157">
        <v>1</v>
      </c>
      <c r="BF136" s="166">
        <v>6</v>
      </c>
      <c r="BG136" s="166">
        <v>1</v>
      </c>
      <c r="BH136" s="166">
        <v>2</v>
      </c>
      <c r="BI136" s="158">
        <v>10</v>
      </c>
      <c r="BJ136" s="158"/>
      <c r="BK136" s="280">
        <v>1</v>
      </c>
      <c r="BL136" s="280">
        <v>8</v>
      </c>
      <c r="BM136" s="159"/>
      <c r="BN136" s="157"/>
      <c r="BO136" s="166"/>
      <c r="BP136" s="166"/>
      <c r="BQ136" s="166"/>
      <c r="BR136" s="158"/>
      <c r="BS136" s="158"/>
      <c r="BT136" s="280"/>
      <c r="BU136" s="280"/>
      <c r="BV136" s="159"/>
      <c r="BW136" s="157">
        <v>27</v>
      </c>
      <c r="BX136" s="166">
        <v>18</v>
      </c>
      <c r="BY136" s="166">
        <v>24</v>
      </c>
      <c r="BZ136" s="166">
        <v>29</v>
      </c>
      <c r="CA136" s="158">
        <v>21</v>
      </c>
      <c r="CB136" s="158">
        <v>16</v>
      </c>
      <c r="CC136" s="280">
        <v>30</v>
      </c>
      <c r="CD136" s="280">
        <v>28</v>
      </c>
      <c r="CE136" s="159"/>
      <c r="CF136" s="157">
        <v>6</v>
      </c>
      <c r="CG136" s="166">
        <v>7</v>
      </c>
      <c r="CH136" s="166">
        <v>6</v>
      </c>
      <c r="CI136" s="166">
        <v>5</v>
      </c>
      <c r="CJ136" s="158">
        <v>5</v>
      </c>
      <c r="CK136" s="158"/>
      <c r="CL136" s="280"/>
      <c r="CM136" s="280">
        <v>3</v>
      </c>
      <c r="CN136" s="159"/>
      <c r="CO136" s="157">
        <v>12</v>
      </c>
      <c r="CP136" s="166"/>
      <c r="CQ136" s="166">
        <v>4</v>
      </c>
      <c r="CR136" s="166">
        <v>1</v>
      </c>
      <c r="CS136" s="158">
        <v>2</v>
      </c>
      <c r="CT136" s="158">
        <v>2</v>
      </c>
      <c r="CU136" s="280">
        <v>2</v>
      </c>
      <c r="CV136" s="280">
        <v>11</v>
      </c>
      <c r="CW136" s="159"/>
      <c r="CX136" s="157">
        <v>1542</v>
      </c>
      <c r="CY136" s="166">
        <v>1862</v>
      </c>
      <c r="CZ136" s="166">
        <v>1797</v>
      </c>
      <c r="DA136" s="166">
        <v>1339</v>
      </c>
      <c r="DB136" s="158">
        <v>1222</v>
      </c>
      <c r="DC136" s="158">
        <v>1155</v>
      </c>
      <c r="DD136" s="280">
        <v>867</v>
      </c>
      <c r="DE136" s="280">
        <v>677</v>
      </c>
      <c r="DF136" s="159"/>
      <c r="DG136" s="157">
        <v>61</v>
      </c>
      <c r="DH136" s="166">
        <v>38</v>
      </c>
      <c r="DI136" s="166">
        <v>55</v>
      </c>
      <c r="DJ136" s="166">
        <v>51</v>
      </c>
      <c r="DK136" s="158">
        <v>30</v>
      </c>
      <c r="DL136" s="158">
        <v>19</v>
      </c>
      <c r="DM136" s="280">
        <v>15</v>
      </c>
      <c r="DN136" s="280">
        <v>6</v>
      </c>
      <c r="DO136" s="159"/>
      <c r="DP136" s="157">
        <v>87</v>
      </c>
      <c r="DQ136" s="166">
        <v>140</v>
      </c>
      <c r="DR136" s="166">
        <v>126</v>
      </c>
      <c r="DS136" s="166">
        <v>45</v>
      </c>
      <c r="DT136" s="158">
        <v>85</v>
      </c>
      <c r="DU136" s="158">
        <v>74</v>
      </c>
      <c r="DV136" s="280">
        <v>57</v>
      </c>
      <c r="DW136" s="280">
        <v>41</v>
      </c>
      <c r="DX136" s="159"/>
      <c r="DY136" s="157">
        <v>140</v>
      </c>
      <c r="DZ136" s="166">
        <v>435</v>
      </c>
      <c r="EA136" s="166">
        <v>343</v>
      </c>
      <c r="EB136" s="166">
        <v>324</v>
      </c>
      <c r="EC136" s="158">
        <v>322</v>
      </c>
      <c r="ED136" s="158">
        <v>324</v>
      </c>
      <c r="EE136" s="280">
        <v>248</v>
      </c>
      <c r="EF136" s="280">
        <v>191</v>
      </c>
      <c r="EG136" s="159"/>
      <c r="EH136" s="157">
        <v>26</v>
      </c>
      <c r="EI136" s="166">
        <v>25</v>
      </c>
      <c r="EJ136" s="166">
        <v>13</v>
      </c>
      <c r="EK136" s="166">
        <v>9</v>
      </c>
      <c r="EL136" s="158">
        <v>5</v>
      </c>
      <c r="EM136" s="158">
        <v>9</v>
      </c>
      <c r="EN136" s="280">
        <v>5</v>
      </c>
      <c r="EO136" s="280">
        <v>4</v>
      </c>
      <c r="EP136" s="159"/>
      <c r="EQ136" s="157">
        <v>1</v>
      </c>
      <c r="ER136" s="166">
        <v>3</v>
      </c>
      <c r="ES136" s="166">
        <v>2</v>
      </c>
      <c r="ET136" s="166">
        <v>4</v>
      </c>
      <c r="EU136" s="158">
        <v>4</v>
      </c>
      <c r="EV136" s="158"/>
      <c r="EW136" s="280">
        <v>7</v>
      </c>
      <c r="EX136" s="280">
        <v>5</v>
      </c>
      <c r="EY136" s="159"/>
      <c r="EZ136" s="157">
        <v>1</v>
      </c>
      <c r="FA136" s="166">
        <v>4</v>
      </c>
      <c r="FB136" s="166">
        <v>4</v>
      </c>
      <c r="FC136" s="166">
        <v>2</v>
      </c>
      <c r="FD136" s="158"/>
      <c r="FE136" s="158">
        <v>2</v>
      </c>
      <c r="FF136" s="280">
        <v>1</v>
      </c>
      <c r="FG136" s="280"/>
      <c r="FH136" s="159"/>
      <c r="FI136" s="157">
        <v>217</v>
      </c>
      <c r="FJ136" s="166">
        <v>172</v>
      </c>
      <c r="FK136" s="166">
        <v>137</v>
      </c>
      <c r="FL136" s="166">
        <v>92</v>
      </c>
      <c r="FM136" s="158">
        <v>103</v>
      </c>
      <c r="FN136" s="158">
        <v>100</v>
      </c>
      <c r="FO136" s="280">
        <v>74</v>
      </c>
      <c r="FP136" s="280">
        <v>65</v>
      </c>
      <c r="FQ136" s="159"/>
      <c r="FR136" s="157">
        <v>4</v>
      </c>
      <c r="FS136" s="166">
        <v>7</v>
      </c>
      <c r="FT136" s="166">
        <v>1</v>
      </c>
      <c r="FU136" s="166">
        <v>1</v>
      </c>
      <c r="FV136" s="158">
        <v>2</v>
      </c>
      <c r="FW136" s="158">
        <v>5</v>
      </c>
      <c r="FX136" s="280">
        <v>4</v>
      </c>
      <c r="FY136" s="280">
        <v>2</v>
      </c>
      <c r="FZ136" s="159"/>
      <c r="GA136" s="157">
        <v>21</v>
      </c>
      <c r="GB136" s="166">
        <v>11</v>
      </c>
      <c r="GC136" s="166">
        <v>20</v>
      </c>
      <c r="GD136" s="166">
        <v>13</v>
      </c>
      <c r="GE136" s="158">
        <v>8</v>
      </c>
      <c r="GF136" s="158">
        <v>10</v>
      </c>
      <c r="GG136" s="280">
        <v>3</v>
      </c>
      <c r="GH136" s="280">
        <v>8</v>
      </c>
      <c r="GI136" s="159"/>
      <c r="GJ136" s="157">
        <v>1925</v>
      </c>
      <c r="GK136" s="166">
        <v>2195</v>
      </c>
      <c r="GL136" s="166">
        <v>2069</v>
      </c>
      <c r="GM136" s="166">
        <v>1576</v>
      </c>
      <c r="GN136" s="158">
        <v>1478</v>
      </c>
      <c r="GO136" s="158">
        <v>1354</v>
      </c>
      <c r="GP136" s="280">
        <v>1066</v>
      </c>
      <c r="GQ136" s="280">
        <v>860</v>
      </c>
      <c r="GR136" s="159"/>
      <c r="GS136" s="157">
        <v>1066</v>
      </c>
      <c r="GT136" s="166">
        <v>764</v>
      </c>
      <c r="GU136" s="166">
        <v>648</v>
      </c>
      <c r="GV136" s="166">
        <v>357</v>
      </c>
      <c r="GW136" s="158">
        <v>284</v>
      </c>
      <c r="GX136" s="158">
        <v>208</v>
      </c>
      <c r="GY136" s="280">
        <v>151</v>
      </c>
      <c r="GZ136" s="280">
        <v>163</v>
      </c>
      <c r="HA136" s="159"/>
      <c r="HB136" s="157">
        <v>11</v>
      </c>
      <c r="HC136" s="166">
        <v>7</v>
      </c>
      <c r="HD136" s="166">
        <v>7</v>
      </c>
      <c r="HE136" s="166">
        <v>6</v>
      </c>
      <c r="HF136" s="158">
        <v>11</v>
      </c>
      <c r="HG136" s="158">
        <v>4</v>
      </c>
      <c r="HH136" s="280">
        <v>8</v>
      </c>
      <c r="HI136" s="280">
        <v>16</v>
      </c>
      <c r="HJ136" s="159"/>
      <c r="HK136" s="157">
        <v>4</v>
      </c>
      <c r="HL136" s="166">
        <v>3</v>
      </c>
      <c r="HM136" s="166">
        <v>4</v>
      </c>
      <c r="HN136" s="166">
        <v>1</v>
      </c>
      <c r="HO136" s="158">
        <v>4</v>
      </c>
      <c r="HP136" s="158">
        <v>3</v>
      </c>
      <c r="HQ136" s="280">
        <v>2</v>
      </c>
      <c r="HR136" s="280">
        <v>3</v>
      </c>
      <c r="HS136" s="159"/>
      <c r="HT136" s="157">
        <v>1344</v>
      </c>
      <c r="HU136" s="166">
        <v>973</v>
      </c>
      <c r="HV136" s="166">
        <v>852</v>
      </c>
      <c r="HW136" s="166">
        <v>613</v>
      </c>
      <c r="HX136" s="158">
        <v>546</v>
      </c>
      <c r="HY136" s="158">
        <v>443</v>
      </c>
      <c r="HZ136" s="280">
        <v>493</v>
      </c>
      <c r="IA136" s="280">
        <v>630</v>
      </c>
      <c r="IB136" s="159"/>
      <c r="IC136" s="157">
        <v>2967</v>
      </c>
      <c r="ID136" s="166">
        <v>3592</v>
      </c>
      <c r="IE136" s="166">
        <v>3792</v>
      </c>
      <c r="IF136" s="166">
        <v>2619</v>
      </c>
      <c r="IG136" s="158">
        <v>3078</v>
      </c>
      <c r="IH136" s="158">
        <v>3002</v>
      </c>
      <c r="II136" s="280">
        <v>2043</v>
      </c>
      <c r="IJ136" s="280">
        <v>1940</v>
      </c>
      <c r="IK136" s="159"/>
    </row>
    <row r="137" spans="1:245" ht="13.5" thickBot="1" x14ac:dyDescent="0.25">
      <c r="A137" s="962"/>
      <c r="B137" s="189" t="s">
        <v>788</v>
      </c>
      <c r="C137" s="288">
        <v>38</v>
      </c>
      <c r="D137" s="191">
        <v>34</v>
      </c>
      <c r="E137" s="191">
        <v>34</v>
      </c>
      <c r="F137" s="191">
        <v>38</v>
      </c>
      <c r="G137" s="191">
        <v>39</v>
      </c>
      <c r="H137" s="191">
        <v>31</v>
      </c>
      <c r="I137" s="191">
        <v>28</v>
      </c>
      <c r="J137" s="191">
        <v>25</v>
      </c>
      <c r="K137" s="287"/>
      <c r="L137" s="288">
        <v>22</v>
      </c>
      <c r="M137" s="191">
        <v>14</v>
      </c>
      <c r="N137" s="191">
        <v>17</v>
      </c>
      <c r="O137" s="191">
        <v>17</v>
      </c>
      <c r="P137" s="191">
        <v>17</v>
      </c>
      <c r="Q137" s="191">
        <v>8</v>
      </c>
      <c r="R137" s="191">
        <v>11</v>
      </c>
      <c r="S137" s="191">
        <v>10</v>
      </c>
      <c r="T137" s="287"/>
      <c r="U137" s="288">
        <v>14</v>
      </c>
      <c r="V137" s="191">
        <v>19</v>
      </c>
      <c r="W137" s="191">
        <v>14</v>
      </c>
      <c r="X137" s="191">
        <v>20</v>
      </c>
      <c r="Y137" s="191">
        <v>20</v>
      </c>
      <c r="Z137" s="191">
        <v>22</v>
      </c>
      <c r="AA137" s="191">
        <v>15</v>
      </c>
      <c r="AB137" s="191">
        <v>15</v>
      </c>
      <c r="AC137" s="287"/>
      <c r="AD137" s="288">
        <v>1105</v>
      </c>
      <c r="AE137" s="191">
        <v>898</v>
      </c>
      <c r="AF137" s="191">
        <v>892</v>
      </c>
      <c r="AG137" s="191">
        <v>1126</v>
      </c>
      <c r="AH137" s="191">
        <v>1182</v>
      </c>
      <c r="AI137" s="191">
        <v>1137</v>
      </c>
      <c r="AJ137" s="191">
        <v>1016</v>
      </c>
      <c r="AK137" s="191">
        <v>897</v>
      </c>
      <c r="AL137" s="287"/>
      <c r="AM137" s="288">
        <v>723</v>
      </c>
      <c r="AN137" s="191">
        <v>540</v>
      </c>
      <c r="AO137" s="191">
        <v>538</v>
      </c>
      <c r="AP137" s="191">
        <v>612</v>
      </c>
      <c r="AQ137" s="191">
        <v>572</v>
      </c>
      <c r="AR137" s="191">
        <v>493</v>
      </c>
      <c r="AS137" s="191">
        <v>466</v>
      </c>
      <c r="AT137" s="191">
        <v>411</v>
      </c>
      <c r="AU137" s="287"/>
      <c r="AV137" s="288">
        <v>4</v>
      </c>
      <c r="AW137" s="191"/>
      <c r="AX137" s="191">
        <v>2</v>
      </c>
      <c r="AY137" s="191">
        <v>1</v>
      </c>
      <c r="AZ137" s="191"/>
      <c r="BA137" s="191">
        <v>1</v>
      </c>
      <c r="BB137" s="191"/>
      <c r="BC137" s="191">
        <v>3</v>
      </c>
      <c r="BD137" s="287"/>
      <c r="BE137" s="288">
        <v>125</v>
      </c>
      <c r="BF137" s="191">
        <v>105</v>
      </c>
      <c r="BG137" s="191">
        <v>147</v>
      </c>
      <c r="BH137" s="191">
        <v>127</v>
      </c>
      <c r="BI137" s="191">
        <v>120</v>
      </c>
      <c r="BJ137" s="191">
        <v>159</v>
      </c>
      <c r="BK137" s="191">
        <v>103</v>
      </c>
      <c r="BL137" s="191">
        <v>72</v>
      </c>
      <c r="BM137" s="287"/>
      <c r="BN137" s="288"/>
      <c r="BO137" s="191"/>
      <c r="BP137" s="191">
        <v>1</v>
      </c>
      <c r="BQ137" s="191">
        <v>3</v>
      </c>
      <c r="BR137" s="191">
        <v>4</v>
      </c>
      <c r="BS137" s="191">
        <v>41</v>
      </c>
      <c r="BT137" s="191">
        <v>19</v>
      </c>
      <c r="BU137" s="191">
        <v>4</v>
      </c>
      <c r="BV137" s="287"/>
      <c r="BW137" s="288">
        <v>414</v>
      </c>
      <c r="BX137" s="191">
        <v>411</v>
      </c>
      <c r="BY137" s="191">
        <v>465</v>
      </c>
      <c r="BZ137" s="191">
        <v>616</v>
      </c>
      <c r="CA137" s="191">
        <v>715</v>
      </c>
      <c r="CB137" s="191">
        <v>733</v>
      </c>
      <c r="CC137" s="191">
        <v>731</v>
      </c>
      <c r="CD137" s="191">
        <v>691</v>
      </c>
      <c r="CE137" s="287"/>
      <c r="CF137" s="288">
        <v>82</v>
      </c>
      <c r="CG137" s="191">
        <v>76</v>
      </c>
      <c r="CH137" s="191">
        <v>64</v>
      </c>
      <c r="CI137" s="191">
        <v>65</v>
      </c>
      <c r="CJ137" s="191">
        <v>67</v>
      </c>
      <c r="CK137" s="191">
        <v>50</v>
      </c>
      <c r="CL137" s="191">
        <v>26</v>
      </c>
      <c r="CM137" s="191">
        <v>41</v>
      </c>
      <c r="CN137" s="287"/>
      <c r="CO137" s="288">
        <v>59</v>
      </c>
      <c r="CP137" s="191">
        <v>41</v>
      </c>
      <c r="CQ137" s="191">
        <v>37</v>
      </c>
      <c r="CR137" s="191">
        <v>40</v>
      </c>
      <c r="CS137" s="191">
        <v>36</v>
      </c>
      <c r="CT137" s="191">
        <v>28</v>
      </c>
      <c r="CU137" s="191">
        <v>21</v>
      </c>
      <c r="CV137" s="191">
        <v>47</v>
      </c>
      <c r="CW137" s="287"/>
      <c r="CX137" s="288">
        <v>18561</v>
      </c>
      <c r="CY137" s="191">
        <v>19772</v>
      </c>
      <c r="CZ137" s="191">
        <v>21946</v>
      </c>
      <c r="DA137" s="191">
        <v>17510</v>
      </c>
      <c r="DB137" s="191">
        <v>16156</v>
      </c>
      <c r="DC137" s="191">
        <v>11503</v>
      </c>
      <c r="DD137" s="191">
        <v>9095</v>
      </c>
      <c r="DE137" s="191">
        <v>7183</v>
      </c>
      <c r="DF137" s="287"/>
      <c r="DG137" s="288">
        <v>519</v>
      </c>
      <c r="DH137" s="191">
        <v>548</v>
      </c>
      <c r="DI137" s="191">
        <v>652</v>
      </c>
      <c r="DJ137" s="191">
        <v>510</v>
      </c>
      <c r="DK137" s="191">
        <v>421</v>
      </c>
      <c r="DL137" s="191">
        <v>233</v>
      </c>
      <c r="DM137" s="191">
        <v>160</v>
      </c>
      <c r="DN137" s="191">
        <v>112</v>
      </c>
      <c r="DO137" s="287"/>
      <c r="DP137" s="288">
        <v>1207</v>
      </c>
      <c r="DQ137" s="191">
        <v>1157</v>
      </c>
      <c r="DR137" s="191">
        <v>1173</v>
      </c>
      <c r="DS137" s="191">
        <v>704</v>
      </c>
      <c r="DT137" s="191">
        <v>781</v>
      </c>
      <c r="DU137" s="191">
        <v>552</v>
      </c>
      <c r="DV137" s="191">
        <v>534</v>
      </c>
      <c r="DW137" s="191">
        <v>415</v>
      </c>
      <c r="DX137" s="287"/>
      <c r="DY137" s="288">
        <v>2918</v>
      </c>
      <c r="DZ137" s="191">
        <v>3129</v>
      </c>
      <c r="EA137" s="191">
        <v>3689</v>
      </c>
      <c r="EB137" s="191">
        <v>2915</v>
      </c>
      <c r="EC137" s="191">
        <v>3554</v>
      </c>
      <c r="ED137" s="191">
        <v>2577</v>
      </c>
      <c r="EE137" s="191">
        <v>2105</v>
      </c>
      <c r="EF137" s="191">
        <v>1484</v>
      </c>
      <c r="EG137" s="287"/>
      <c r="EH137" s="288">
        <v>305</v>
      </c>
      <c r="EI137" s="191">
        <v>290</v>
      </c>
      <c r="EJ137" s="191">
        <v>245</v>
      </c>
      <c r="EK137" s="191">
        <v>190</v>
      </c>
      <c r="EL137" s="191">
        <v>150</v>
      </c>
      <c r="EM137" s="191">
        <v>95</v>
      </c>
      <c r="EN137" s="191">
        <v>86</v>
      </c>
      <c r="EO137" s="191">
        <v>88</v>
      </c>
      <c r="EP137" s="287"/>
      <c r="EQ137" s="288">
        <v>27</v>
      </c>
      <c r="ER137" s="191">
        <v>49</v>
      </c>
      <c r="ES137" s="191">
        <v>67</v>
      </c>
      <c r="ET137" s="191">
        <v>75</v>
      </c>
      <c r="EU137" s="191">
        <v>79</v>
      </c>
      <c r="EV137" s="191">
        <v>64</v>
      </c>
      <c r="EW137" s="191">
        <v>68</v>
      </c>
      <c r="EX137" s="191">
        <v>78</v>
      </c>
      <c r="EY137" s="287"/>
      <c r="EZ137" s="288">
        <v>67</v>
      </c>
      <c r="FA137" s="191">
        <v>85</v>
      </c>
      <c r="FB137" s="191">
        <v>361</v>
      </c>
      <c r="FC137" s="191">
        <v>61</v>
      </c>
      <c r="FD137" s="191">
        <v>42</v>
      </c>
      <c r="FE137" s="191">
        <v>42</v>
      </c>
      <c r="FF137" s="191">
        <v>15</v>
      </c>
      <c r="FG137" s="191">
        <v>21</v>
      </c>
      <c r="FH137" s="287"/>
      <c r="FI137" s="288">
        <v>1860</v>
      </c>
      <c r="FJ137" s="191">
        <v>1667</v>
      </c>
      <c r="FK137" s="191">
        <v>1506</v>
      </c>
      <c r="FL137" s="191">
        <v>989</v>
      </c>
      <c r="FM137" s="191">
        <v>929</v>
      </c>
      <c r="FN137" s="191">
        <v>767</v>
      </c>
      <c r="FO137" s="191">
        <v>706</v>
      </c>
      <c r="FP137" s="191">
        <v>653</v>
      </c>
      <c r="FQ137" s="287"/>
      <c r="FR137" s="288">
        <v>97</v>
      </c>
      <c r="FS137" s="191">
        <v>98</v>
      </c>
      <c r="FT137" s="191">
        <v>56</v>
      </c>
      <c r="FU137" s="191">
        <v>100</v>
      </c>
      <c r="FV137" s="191">
        <v>106</v>
      </c>
      <c r="FW137" s="191">
        <v>87</v>
      </c>
      <c r="FX137" s="191">
        <v>45</v>
      </c>
      <c r="FY137" s="191">
        <v>36</v>
      </c>
      <c r="FZ137" s="287"/>
      <c r="GA137" s="288">
        <v>158</v>
      </c>
      <c r="GB137" s="191">
        <v>124</v>
      </c>
      <c r="GC137" s="191">
        <v>117</v>
      </c>
      <c r="GD137" s="191">
        <v>87</v>
      </c>
      <c r="GE137" s="191">
        <v>89</v>
      </c>
      <c r="GF137" s="191">
        <v>93</v>
      </c>
      <c r="GG137" s="191">
        <v>55</v>
      </c>
      <c r="GH137" s="191">
        <v>87</v>
      </c>
      <c r="GI137" s="287"/>
      <c r="GJ137" s="288">
        <v>22898</v>
      </c>
      <c r="GK137" s="191">
        <v>23650</v>
      </c>
      <c r="GL137" s="191">
        <v>25938</v>
      </c>
      <c r="GM137" s="191">
        <v>21027</v>
      </c>
      <c r="GN137" s="191">
        <v>19714</v>
      </c>
      <c r="GO137" s="191">
        <v>14830</v>
      </c>
      <c r="GP137" s="191">
        <v>12014</v>
      </c>
      <c r="GQ137" s="191">
        <v>9923</v>
      </c>
      <c r="GR137" s="287"/>
      <c r="GS137" s="288">
        <v>7576</v>
      </c>
      <c r="GT137" s="191">
        <v>7508</v>
      </c>
      <c r="GU137" s="191">
        <v>7848</v>
      </c>
      <c r="GV137" s="191">
        <v>5487</v>
      </c>
      <c r="GW137" s="191">
        <v>3189</v>
      </c>
      <c r="GX137" s="191">
        <v>2553</v>
      </c>
      <c r="GY137" s="191">
        <v>2262</v>
      </c>
      <c r="GZ137" s="191">
        <v>2013</v>
      </c>
      <c r="HA137" s="287"/>
      <c r="HB137" s="288">
        <v>92</v>
      </c>
      <c r="HC137" s="191">
        <v>81</v>
      </c>
      <c r="HD137" s="191">
        <v>69</v>
      </c>
      <c r="HE137" s="191">
        <v>57</v>
      </c>
      <c r="HF137" s="191">
        <v>79</v>
      </c>
      <c r="HG137" s="191">
        <v>67</v>
      </c>
      <c r="HH137" s="191">
        <v>58</v>
      </c>
      <c r="HI137" s="191">
        <v>43</v>
      </c>
      <c r="HJ137" s="287"/>
      <c r="HK137" s="288">
        <v>37</v>
      </c>
      <c r="HL137" s="191">
        <v>38</v>
      </c>
      <c r="HM137" s="191">
        <v>32</v>
      </c>
      <c r="HN137" s="191">
        <v>32</v>
      </c>
      <c r="HO137" s="191">
        <v>24</v>
      </c>
      <c r="HP137" s="191">
        <v>28</v>
      </c>
      <c r="HQ137" s="191">
        <v>19</v>
      </c>
      <c r="HR137" s="191">
        <v>13</v>
      </c>
      <c r="HS137" s="287"/>
      <c r="HT137" s="288">
        <v>10349</v>
      </c>
      <c r="HU137" s="191">
        <v>9744</v>
      </c>
      <c r="HV137" s="191">
        <v>9976</v>
      </c>
      <c r="HW137" s="191">
        <v>8009</v>
      </c>
      <c r="HX137" s="191">
        <v>5819</v>
      </c>
      <c r="HY137" s="191">
        <v>5164</v>
      </c>
      <c r="HZ137" s="191">
        <v>5087</v>
      </c>
      <c r="IA137" s="191">
        <v>5310</v>
      </c>
      <c r="IB137" s="287"/>
      <c r="IC137" s="288">
        <v>35990</v>
      </c>
      <c r="ID137" s="191">
        <v>42016</v>
      </c>
      <c r="IE137" s="191">
        <v>47611</v>
      </c>
      <c r="IF137" s="191">
        <v>31951</v>
      </c>
      <c r="IG137" s="191">
        <v>32074</v>
      </c>
      <c r="IH137" s="191">
        <v>26537</v>
      </c>
      <c r="II137" s="191">
        <v>22722</v>
      </c>
      <c r="IJ137" s="191">
        <v>20848</v>
      </c>
      <c r="IK137" s="287"/>
    </row>
    <row r="138" spans="1:245" x14ac:dyDescent="0.2">
      <c r="A138" s="960" t="s">
        <v>599</v>
      </c>
      <c r="B138" s="146" t="s">
        <v>600</v>
      </c>
      <c r="C138" s="147">
        <v>11</v>
      </c>
      <c r="D138" s="148">
        <v>8</v>
      </c>
      <c r="E138" s="148">
        <v>11</v>
      </c>
      <c r="F138" s="148">
        <v>9</v>
      </c>
      <c r="G138" s="149">
        <v>12</v>
      </c>
      <c r="H138" s="149">
        <v>7</v>
      </c>
      <c r="I138" s="278">
        <v>11</v>
      </c>
      <c r="J138" s="278">
        <v>3</v>
      </c>
      <c r="K138" s="150"/>
      <c r="L138" s="147">
        <v>5</v>
      </c>
      <c r="M138" s="148">
        <v>2</v>
      </c>
      <c r="N138" s="148">
        <v>7</v>
      </c>
      <c r="O138" s="148">
        <v>5</v>
      </c>
      <c r="P138" s="149">
        <v>7</v>
      </c>
      <c r="Q138" s="149">
        <v>4</v>
      </c>
      <c r="R138" s="278">
        <v>7</v>
      </c>
      <c r="S138" s="278">
        <v>2</v>
      </c>
      <c r="T138" s="150"/>
      <c r="U138" s="147">
        <v>3</v>
      </c>
      <c r="V138" s="148">
        <v>4</v>
      </c>
      <c r="W138" s="148">
        <v>4</v>
      </c>
      <c r="X138" s="148">
        <v>3</v>
      </c>
      <c r="Y138" s="149">
        <v>5</v>
      </c>
      <c r="Z138" s="149">
        <v>3</v>
      </c>
      <c r="AA138" s="278">
        <v>3</v>
      </c>
      <c r="AB138" s="278">
        <v>1</v>
      </c>
      <c r="AC138" s="150"/>
      <c r="AD138" s="147">
        <v>18</v>
      </c>
      <c r="AE138" s="148">
        <v>17</v>
      </c>
      <c r="AF138" s="148">
        <v>15</v>
      </c>
      <c r="AG138" s="148">
        <v>20</v>
      </c>
      <c r="AH138" s="149">
        <v>24</v>
      </c>
      <c r="AI138" s="149">
        <v>12</v>
      </c>
      <c r="AJ138" s="278">
        <v>12</v>
      </c>
      <c r="AK138" s="278">
        <v>9</v>
      </c>
      <c r="AL138" s="150"/>
      <c r="AM138" s="147">
        <v>18</v>
      </c>
      <c r="AN138" s="148">
        <v>13</v>
      </c>
      <c r="AO138" s="148">
        <v>15</v>
      </c>
      <c r="AP138" s="148">
        <v>15</v>
      </c>
      <c r="AQ138" s="149">
        <v>17</v>
      </c>
      <c r="AR138" s="149">
        <v>10</v>
      </c>
      <c r="AS138" s="278">
        <v>11</v>
      </c>
      <c r="AT138" s="278">
        <v>4</v>
      </c>
      <c r="AU138" s="150"/>
      <c r="AV138" s="147">
        <v>2</v>
      </c>
      <c r="AW138" s="148">
        <v>1</v>
      </c>
      <c r="AX138" s="148"/>
      <c r="AY138" s="148">
        <v>1</v>
      </c>
      <c r="AZ138" s="149"/>
      <c r="BA138" s="149"/>
      <c r="BB138" s="278">
        <v>1</v>
      </c>
      <c r="BC138" s="278"/>
      <c r="BD138" s="150"/>
      <c r="BE138" s="147"/>
      <c r="BF138" s="148">
        <v>8</v>
      </c>
      <c r="BG138" s="148"/>
      <c r="BH138" s="148">
        <v>6</v>
      </c>
      <c r="BI138" s="149"/>
      <c r="BJ138" s="149">
        <v>1</v>
      </c>
      <c r="BK138" s="278"/>
      <c r="BL138" s="278"/>
      <c r="BM138" s="150"/>
      <c r="BN138" s="147"/>
      <c r="BO138" s="148"/>
      <c r="BP138" s="148"/>
      <c r="BQ138" s="148"/>
      <c r="BR138" s="149"/>
      <c r="BS138" s="149">
        <v>1</v>
      </c>
      <c r="BT138" s="278">
        <v>2</v>
      </c>
      <c r="BU138" s="278">
        <v>3</v>
      </c>
      <c r="BV138" s="150"/>
      <c r="BW138" s="147">
        <v>3</v>
      </c>
      <c r="BX138" s="148">
        <v>1</v>
      </c>
      <c r="BY138" s="148">
        <v>1</v>
      </c>
      <c r="BZ138" s="148">
        <v>6</v>
      </c>
      <c r="CA138" s="149">
        <v>12</v>
      </c>
      <c r="CB138" s="149">
        <v>3</v>
      </c>
      <c r="CC138" s="278">
        <v>1</v>
      </c>
      <c r="CD138" s="278">
        <v>2</v>
      </c>
      <c r="CE138" s="150"/>
      <c r="CF138" s="147"/>
      <c r="CG138" s="148">
        <v>1</v>
      </c>
      <c r="CH138" s="148"/>
      <c r="CI138" s="148">
        <v>1</v>
      </c>
      <c r="CJ138" s="149"/>
      <c r="CK138" s="149"/>
      <c r="CL138" s="278"/>
      <c r="CM138" s="278">
        <v>1</v>
      </c>
      <c r="CN138" s="150"/>
      <c r="CO138" s="147">
        <v>1</v>
      </c>
      <c r="CP138" s="148"/>
      <c r="CQ138" s="148"/>
      <c r="CR138" s="148"/>
      <c r="CS138" s="149">
        <v>1</v>
      </c>
      <c r="CT138" s="149">
        <v>1</v>
      </c>
      <c r="CU138" s="278">
        <v>1</v>
      </c>
      <c r="CV138" s="278">
        <v>8</v>
      </c>
      <c r="CW138" s="150"/>
      <c r="CX138" s="147">
        <v>4</v>
      </c>
      <c r="CY138" s="148">
        <v>21</v>
      </c>
      <c r="CZ138" s="148">
        <v>18</v>
      </c>
      <c r="DA138" s="148">
        <v>2</v>
      </c>
      <c r="DB138" s="149">
        <v>10</v>
      </c>
      <c r="DC138" s="149">
        <v>26</v>
      </c>
      <c r="DD138" s="278">
        <v>31</v>
      </c>
      <c r="DE138" s="278">
        <v>20</v>
      </c>
      <c r="DF138" s="150"/>
      <c r="DG138" s="147"/>
      <c r="DH138" s="148"/>
      <c r="DI138" s="148"/>
      <c r="DJ138" s="148"/>
      <c r="DK138" s="149"/>
      <c r="DL138" s="149"/>
      <c r="DM138" s="278">
        <v>10</v>
      </c>
      <c r="DN138" s="278">
        <v>8</v>
      </c>
      <c r="DO138" s="150"/>
      <c r="DP138" s="147">
        <v>1</v>
      </c>
      <c r="DQ138" s="148"/>
      <c r="DR138" s="148"/>
      <c r="DS138" s="148"/>
      <c r="DT138" s="149"/>
      <c r="DU138" s="149"/>
      <c r="DV138" s="278">
        <v>11</v>
      </c>
      <c r="DW138" s="278"/>
      <c r="DX138" s="150"/>
      <c r="DY138" s="147"/>
      <c r="DZ138" s="148">
        <v>7</v>
      </c>
      <c r="EA138" s="148">
        <v>2</v>
      </c>
      <c r="EB138" s="148"/>
      <c r="EC138" s="149">
        <v>3</v>
      </c>
      <c r="ED138" s="149">
        <v>26</v>
      </c>
      <c r="EE138" s="278"/>
      <c r="EF138" s="278">
        <v>3</v>
      </c>
      <c r="EG138" s="150"/>
      <c r="EH138" s="147">
        <v>5</v>
      </c>
      <c r="EI138" s="148">
        <v>15</v>
      </c>
      <c r="EJ138" s="148">
        <v>10</v>
      </c>
      <c r="EK138" s="148">
        <v>2</v>
      </c>
      <c r="EL138" s="149">
        <v>7</v>
      </c>
      <c r="EM138" s="149">
        <v>2</v>
      </c>
      <c r="EN138" s="278">
        <v>2</v>
      </c>
      <c r="EO138" s="278">
        <v>1</v>
      </c>
      <c r="EP138" s="150"/>
      <c r="EQ138" s="147"/>
      <c r="ER138" s="148">
        <v>1</v>
      </c>
      <c r="ES138" s="148"/>
      <c r="ET138" s="148"/>
      <c r="EU138" s="149"/>
      <c r="EV138" s="149"/>
      <c r="EW138" s="278"/>
      <c r="EX138" s="278">
        <v>1</v>
      </c>
      <c r="EY138" s="150"/>
      <c r="EZ138" s="147">
        <v>1</v>
      </c>
      <c r="FA138" s="148">
        <v>6</v>
      </c>
      <c r="FB138" s="148"/>
      <c r="FC138" s="148">
        <v>6</v>
      </c>
      <c r="FD138" s="149"/>
      <c r="FE138" s="149"/>
      <c r="FF138" s="278"/>
      <c r="FG138" s="278"/>
      <c r="FH138" s="150"/>
      <c r="FI138" s="147">
        <v>1</v>
      </c>
      <c r="FJ138" s="148">
        <v>2</v>
      </c>
      <c r="FK138" s="148"/>
      <c r="FL138" s="148">
        <v>1</v>
      </c>
      <c r="FM138" s="149">
        <v>1</v>
      </c>
      <c r="FN138" s="149"/>
      <c r="FO138" s="278"/>
      <c r="FP138" s="278">
        <v>3</v>
      </c>
      <c r="FQ138" s="150"/>
      <c r="FR138" s="147"/>
      <c r="FS138" s="148"/>
      <c r="FT138" s="148"/>
      <c r="FU138" s="148"/>
      <c r="FV138" s="149">
        <v>1</v>
      </c>
      <c r="FW138" s="149"/>
      <c r="FX138" s="278">
        <v>1</v>
      </c>
      <c r="FY138" s="278">
        <v>3</v>
      </c>
      <c r="FZ138" s="150"/>
      <c r="GA138" s="147"/>
      <c r="GB138" s="148">
        <v>1</v>
      </c>
      <c r="GC138" s="148">
        <v>1</v>
      </c>
      <c r="GD138" s="148"/>
      <c r="GE138" s="149"/>
      <c r="GF138" s="149"/>
      <c r="GG138" s="278"/>
      <c r="GH138" s="278"/>
      <c r="GI138" s="150"/>
      <c r="GJ138" s="147">
        <v>44</v>
      </c>
      <c r="GK138" s="148">
        <v>81</v>
      </c>
      <c r="GL138" s="148">
        <v>56</v>
      </c>
      <c r="GM138" s="148">
        <v>53</v>
      </c>
      <c r="GN138" s="149">
        <v>68</v>
      </c>
      <c r="GO138" s="149">
        <v>53</v>
      </c>
      <c r="GP138" s="278">
        <v>61</v>
      </c>
      <c r="GQ138" s="278">
        <v>54</v>
      </c>
      <c r="GR138" s="150"/>
      <c r="GS138" s="147">
        <v>15</v>
      </c>
      <c r="GT138" s="148">
        <v>22</v>
      </c>
      <c r="GU138" s="148">
        <v>14</v>
      </c>
      <c r="GV138" s="148">
        <v>19</v>
      </c>
      <c r="GW138" s="149">
        <v>18</v>
      </c>
      <c r="GX138" s="149">
        <v>2</v>
      </c>
      <c r="GY138" s="278">
        <v>34</v>
      </c>
      <c r="GZ138" s="278">
        <v>17</v>
      </c>
      <c r="HA138" s="150"/>
      <c r="HB138" s="147">
        <v>2</v>
      </c>
      <c r="HC138" s="148">
        <v>1</v>
      </c>
      <c r="HD138" s="148">
        <v>2</v>
      </c>
      <c r="HE138" s="148">
        <v>5</v>
      </c>
      <c r="HF138" s="149"/>
      <c r="HG138" s="149">
        <v>2</v>
      </c>
      <c r="HH138" s="278"/>
      <c r="HI138" s="278">
        <v>2</v>
      </c>
      <c r="HJ138" s="150"/>
      <c r="HK138" s="147"/>
      <c r="HL138" s="148"/>
      <c r="HM138" s="148"/>
      <c r="HN138" s="148"/>
      <c r="HO138" s="149"/>
      <c r="HP138" s="149"/>
      <c r="HQ138" s="278"/>
      <c r="HR138" s="278"/>
      <c r="HS138" s="150"/>
      <c r="HT138" s="147">
        <v>24</v>
      </c>
      <c r="HU138" s="148">
        <v>42</v>
      </c>
      <c r="HV138" s="148">
        <v>37</v>
      </c>
      <c r="HW138" s="148">
        <v>46</v>
      </c>
      <c r="HX138" s="149">
        <v>38</v>
      </c>
      <c r="HY138" s="149">
        <v>33</v>
      </c>
      <c r="HZ138" s="278">
        <v>54</v>
      </c>
      <c r="IA138" s="278">
        <v>38</v>
      </c>
      <c r="IB138" s="150"/>
      <c r="IC138" s="147">
        <v>127</v>
      </c>
      <c r="ID138" s="148">
        <v>317</v>
      </c>
      <c r="IE138" s="148">
        <v>162</v>
      </c>
      <c r="IF138" s="148">
        <v>143</v>
      </c>
      <c r="IG138" s="149">
        <v>931</v>
      </c>
      <c r="IH138" s="149">
        <v>2043</v>
      </c>
      <c r="II138" s="278">
        <v>118</v>
      </c>
      <c r="IJ138" s="278">
        <v>155</v>
      </c>
      <c r="IK138" s="150"/>
    </row>
    <row r="139" spans="1:245" x14ac:dyDescent="0.2">
      <c r="A139" s="961"/>
      <c r="B139" s="151" t="s">
        <v>730</v>
      </c>
      <c r="C139" s="152"/>
      <c r="D139" s="153"/>
      <c r="E139" s="153"/>
      <c r="F139" s="153"/>
      <c r="G139" s="154"/>
      <c r="H139" s="154"/>
      <c r="I139" s="279"/>
      <c r="J139" s="279"/>
      <c r="K139" s="155"/>
      <c r="L139" s="152"/>
      <c r="M139" s="153"/>
      <c r="N139" s="153"/>
      <c r="O139" s="153"/>
      <c r="P139" s="154"/>
      <c r="Q139" s="154"/>
      <c r="R139" s="279"/>
      <c r="S139" s="279"/>
      <c r="T139" s="155"/>
      <c r="U139" s="152"/>
      <c r="V139" s="153"/>
      <c r="W139" s="153"/>
      <c r="X139" s="153"/>
      <c r="Y139" s="154"/>
      <c r="Z139" s="154"/>
      <c r="AA139" s="279"/>
      <c r="AB139" s="279"/>
      <c r="AC139" s="155"/>
      <c r="AD139" s="152">
        <v>160</v>
      </c>
      <c r="AE139" s="153">
        <v>143</v>
      </c>
      <c r="AF139" s="153">
        <v>168</v>
      </c>
      <c r="AG139" s="153">
        <v>157</v>
      </c>
      <c r="AH139" s="154">
        <v>177</v>
      </c>
      <c r="AI139" s="154">
        <v>117</v>
      </c>
      <c r="AJ139" s="279">
        <v>127</v>
      </c>
      <c r="AK139" s="279">
        <v>93</v>
      </c>
      <c r="AL139" s="155"/>
      <c r="AM139" s="152">
        <v>105</v>
      </c>
      <c r="AN139" s="153">
        <v>89</v>
      </c>
      <c r="AO139" s="153">
        <v>84</v>
      </c>
      <c r="AP139" s="153">
        <v>85</v>
      </c>
      <c r="AQ139" s="154">
        <v>86</v>
      </c>
      <c r="AR139" s="154">
        <v>64</v>
      </c>
      <c r="AS139" s="279">
        <v>70</v>
      </c>
      <c r="AT139" s="279">
        <v>38</v>
      </c>
      <c r="AU139" s="155"/>
      <c r="AV139" s="152"/>
      <c r="AW139" s="153"/>
      <c r="AX139" s="153"/>
      <c r="AY139" s="153"/>
      <c r="AZ139" s="154"/>
      <c r="BA139" s="154"/>
      <c r="BB139" s="279"/>
      <c r="BC139" s="279"/>
      <c r="BD139" s="155"/>
      <c r="BE139" s="152">
        <v>10</v>
      </c>
      <c r="BF139" s="153">
        <v>21</v>
      </c>
      <c r="BG139" s="153">
        <v>22</v>
      </c>
      <c r="BH139" s="153">
        <v>19</v>
      </c>
      <c r="BI139" s="154">
        <v>11</v>
      </c>
      <c r="BJ139" s="154">
        <v>17</v>
      </c>
      <c r="BK139" s="279">
        <v>45</v>
      </c>
      <c r="BL139" s="279">
        <v>7</v>
      </c>
      <c r="BM139" s="155"/>
      <c r="BN139" s="152"/>
      <c r="BO139" s="153"/>
      <c r="BP139" s="153"/>
      <c r="BQ139" s="153"/>
      <c r="BR139" s="154"/>
      <c r="BS139" s="154"/>
      <c r="BT139" s="279"/>
      <c r="BU139" s="279"/>
      <c r="BV139" s="155"/>
      <c r="BW139" s="152">
        <v>54</v>
      </c>
      <c r="BX139" s="153">
        <v>97</v>
      </c>
      <c r="BY139" s="153">
        <v>130</v>
      </c>
      <c r="BZ139" s="153">
        <v>145</v>
      </c>
      <c r="CA139" s="154">
        <v>153</v>
      </c>
      <c r="CB139" s="154">
        <v>79</v>
      </c>
      <c r="CC139" s="279">
        <v>85</v>
      </c>
      <c r="CD139" s="279">
        <v>69</v>
      </c>
      <c r="CE139" s="155"/>
      <c r="CF139" s="152">
        <v>9</v>
      </c>
      <c r="CG139" s="153">
        <v>4</v>
      </c>
      <c r="CH139" s="153">
        <v>5</v>
      </c>
      <c r="CI139" s="153">
        <v>7</v>
      </c>
      <c r="CJ139" s="154">
        <v>5</v>
      </c>
      <c r="CK139" s="154">
        <v>10</v>
      </c>
      <c r="CL139" s="279">
        <v>5</v>
      </c>
      <c r="CM139" s="279">
        <v>4</v>
      </c>
      <c r="CN139" s="155"/>
      <c r="CO139" s="152">
        <v>5</v>
      </c>
      <c r="CP139" s="153">
        <v>3</v>
      </c>
      <c r="CQ139" s="153">
        <v>1</v>
      </c>
      <c r="CR139" s="153">
        <v>6</v>
      </c>
      <c r="CS139" s="154"/>
      <c r="CT139" s="154">
        <v>2</v>
      </c>
      <c r="CU139" s="279">
        <v>9</v>
      </c>
      <c r="CV139" s="279">
        <v>7</v>
      </c>
      <c r="CW139" s="155"/>
      <c r="CX139" s="152">
        <v>2248</v>
      </c>
      <c r="CY139" s="153">
        <v>1908</v>
      </c>
      <c r="CZ139" s="153">
        <v>1767</v>
      </c>
      <c r="DA139" s="153">
        <v>2449</v>
      </c>
      <c r="DB139" s="154">
        <v>1589</v>
      </c>
      <c r="DC139" s="154">
        <v>1293</v>
      </c>
      <c r="DD139" s="279">
        <v>781</v>
      </c>
      <c r="DE139" s="279">
        <v>629</v>
      </c>
      <c r="DF139" s="155"/>
      <c r="DG139" s="152">
        <v>9</v>
      </c>
      <c r="DH139" s="153">
        <v>11</v>
      </c>
      <c r="DI139" s="153">
        <v>7</v>
      </c>
      <c r="DJ139" s="153">
        <v>23</v>
      </c>
      <c r="DK139" s="154">
        <v>3</v>
      </c>
      <c r="DL139" s="154">
        <v>2</v>
      </c>
      <c r="DM139" s="279">
        <v>2</v>
      </c>
      <c r="DN139" s="279">
        <v>1</v>
      </c>
      <c r="DO139" s="155"/>
      <c r="DP139" s="152">
        <v>121</v>
      </c>
      <c r="DQ139" s="153">
        <v>45</v>
      </c>
      <c r="DR139" s="153">
        <v>49</v>
      </c>
      <c r="DS139" s="153">
        <v>121</v>
      </c>
      <c r="DT139" s="154">
        <v>59</v>
      </c>
      <c r="DU139" s="154">
        <v>38</v>
      </c>
      <c r="DV139" s="279">
        <v>17</v>
      </c>
      <c r="DW139" s="279">
        <v>38</v>
      </c>
      <c r="DX139" s="155"/>
      <c r="DY139" s="152">
        <v>414</v>
      </c>
      <c r="DZ139" s="153">
        <v>294</v>
      </c>
      <c r="EA139" s="153">
        <v>259</v>
      </c>
      <c r="EB139" s="153">
        <v>415</v>
      </c>
      <c r="EC139" s="154">
        <v>320</v>
      </c>
      <c r="ED139" s="154">
        <v>365</v>
      </c>
      <c r="EE139" s="279">
        <v>204</v>
      </c>
      <c r="EF139" s="279">
        <v>150</v>
      </c>
      <c r="EG139" s="155"/>
      <c r="EH139" s="152">
        <v>12</v>
      </c>
      <c r="EI139" s="153">
        <v>13</v>
      </c>
      <c r="EJ139" s="153">
        <v>18</v>
      </c>
      <c r="EK139" s="153">
        <v>20</v>
      </c>
      <c r="EL139" s="154">
        <v>18</v>
      </c>
      <c r="EM139" s="154">
        <v>19</v>
      </c>
      <c r="EN139" s="279">
        <v>6</v>
      </c>
      <c r="EO139" s="279">
        <v>4</v>
      </c>
      <c r="EP139" s="155"/>
      <c r="EQ139" s="152">
        <v>4</v>
      </c>
      <c r="ER139" s="153">
        <v>9</v>
      </c>
      <c r="ES139" s="153">
        <v>4</v>
      </c>
      <c r="ET139" s="153">
        <v>9</v>
      </c>
      <c r="EU139" s="154">
        <v>3</v>
      </c>
      <c r="EV139" s="154">
        <v>8</v>
      </c>
      <c r="EW139" s="279">
        <v>11</v>
      </c>
      <c r="EX139" s="279">
        <v>9</v>
      </c>
      <c r="EY139" s="155"/>
      <c r="EZ139" s="152">
        <v>7</v>
      </c>
      <c r="FA139" s="153">
        <v>5</v>
      </c>
      <c r="FB139" s="153">
        <v>9</v>
      </c>
      <c r="FC139" s="153">
        <v>1</v>
      </c>
      <c r="FD139" s="154">
        <v>1</v>
      </c>
      <c r="FE139" s="154">
        <v>8</v>
      </c>
      <c r="FF139" s="279">
        <v>8</v>
      </c>
      <c r="FG139" s="279">
        <v>2</v>
      </c>
      <c r="FH139" s="155"/>
      <c r="FI139" s="152">
        <v>170</v>
      </c>
      <c r="FJ139" s="153">
        <v>135</v>
      </c>
      <c r="FK139" s="153">
        <v>123</v>
      </c>
      <c r="FL139" s="153">
        <v>110</v>
      </c>
      <c r="FM139" s="154">
        <v>67</v>
      </c>
      <c r="FN139" s="154">
        <v>68</v>
      </c>
      <c r="FO139" s="279">
        <v>40</v>
      </c>
      <c r="FP139" s="279">
        <v>45</v>
      </c>
      <c r="FQ139" s="155"/>
      <c r="FR139" s="152">
        <v>11</v>
      </c>
      <c r="FS139" s="153">
        <v>14</v>
      </c>
      <c r="FT139" s="153">
        <v>6</v>
      </c>
      <c r="FU139" s="153">
        <v>7</v>
      </c>
      <c r="FV139" s="154">
        <v>3</v>
      </c>
      <c r="FW139" s="154">
        <v>1</v>
      </c>
      <c r="FX139" s="279">
        <v>3</v>
      </c>
      <c r="FY139" s="279">
        <v>2</v>
      </c>
      <c r="FZ139" s="155"/>
      <c r="GA139" s="152">
        <v>18</v>
      </c>
      <c r="GB139" s="153">
        <v>7</v>
      </c>
      <c r="GC139" s="153">
        <v>1</v>
      </c>
      <c r="GD139" s="153">
        <v>2</v>
      </c>
      <c r="GE139" s="154">
        <v>7</v>
      </c>
      <c r="GF139" s="154">
        <v>8</v>
      </c>
      <c r="GG139" s="279">
        <v>6</v>
      </c>
      <c r="GH139" s="279">
        <v>4</v>
      </c>
      <c r="GI139" s="155"/>
      <c r="GJ139" s="152">
        <v>2708</v>
      </c>
      <c r="GK139" s="153">
        <v>2359</v>
      </c>
      <c r="GL139" s="153">
        <v>2254</v>
      </c>
      <c r="GM139" s="153">
        <v>2932</v>
      </c>
      <c r="GN139" s="154">
        <v>2034</v>
      </c>
      <c r="GO139" s="154">
        <v>1630</v>
      </c>
      <c r="GP139" s="279">
        <v>1126</v>
      </c>
      <c r="GQ139" s="279">
        <v>875</v>
      </c>
      <c r="GR139" s="155"/>
      <c r="GS139" s="152">
        <v>688</v>
      </c>
      <c r="GT139" s="153">
        <v>687</v>
      </c>
      <c r="GU139" s="153">
        <v>640</v>
      </c>
      <c r="GV139" s="153">
        <v>732</v>
      </c>
      <c r="GW139" s="154">
        <v>307</v>
      </c>
      <c r="GX139" s="154">
        <v>239</v>
      </c>
      <c r="GY139" s="279">
        <v>165</v>
      </c>
      <c r="GZ139" s="279">
        <v>210</v>
      </c>
      <c r="HA139" s="155"/>
      <c r="HB139" s="152">
        <v>9</v>
      </c>
      <c r="HC139" s="153">
        <v>11</v>
      </c>
      <c r="HD139" s="153">
        <v>1</v>
      </c>
      <c r="HE139" s="153">
        <v>8</v>
      </c>
      <c r="HF139" s="154">
        <v>9</v>
      </c>
      <c r="HG139" s="154">
        <v>8</v>
      </c>
      <c r="HH139" s="279">
        <v>8</v>
      </c>
      <c r="HI139" s="279">
        <v>4</v>
      </c>
      <c r="HJ139" s="155"/>
      <c r="HK139" s="152">
        <v>5</v>
      </c>
      <c r="HL139" s="153">
        <v>2</v>
      </c>
      <c r="HM139" s="153">
        <v>2</v>
      </c>
      <c r="HN139" s="153">
        <v>3</v>
      </c>
      <c r="HO139" s="154">
        <v>2</v>
      </c>
      <c r="HP139" s="154">
        <v>3</v>
      </c>
      <c r="HQ139" s="279">
        <v>1</v>
      </c>
      <c r="HR139" s="279">
        <v>1</v>
      </c>
      <c r="HS139" s="155"/>
      <c r="HT139" s="152">
        <v>912</v>
      </c>
      <c r="HU139" s="153">
        <v>872</v>
      </c>
      <c r="HV139" s="153">
        <v>810</v>
      </c>
      <c r="HW139" s="153">
        <v>897</v>
      </c>
      <c r="HX139" s="154">
        <v>451</v>
      </c>
      <c r="HY139" s="154">
        <v>425</v>
      </c>
      <c r="HZ139" s="279">
        <v>421</v>
      </c>
      <c r="IA139" s="279">
        <v>411</v>
      </c>
      <c r="IB139" s="155"/>
      <c r="IC139" s="152">
        <v>6097</v>
      </c>
      <c r="ID139" s="153">
        <v>4666</v>
      </c>
      <c r="IE139" s="153">
        <v>4538</v>
      </c>
      <c r="IF139" s="153">
        <v>4328</v>
      </c>
      <c r="IG139" s="154">
        <v>2882</v>
      </c>
      <c r="IH139" s="154">
        <v>2436</v>
      </c>
      <c r="II139" s="279">
        <v>2187</v>
      </c>
      <c r="IJ139" s="279">
        <v>2422</v>
      </c>
      <c r="IK139" s="155"/>
    </row>
    <row r="140" spans="1:245" x14ac:dyDescent="0.2">
      <c r="A140" s="961"/>
      <c r="B140" s="151" t="s">
        <v>731</v>
      </c>
      <c r="C140" s="152"/>
      <c r="D140" s="153"/>
      <c r="E140" s="153"/>
      <c r="F140" s="153"/>
      <c r="G140" s="154"/>
      <c r="H140" s="154"/>
      <c r="I140" s="279"/>
      <c r="J140" s="279"/>
      <c r="K140" s="155"/>
      <c r="L140" s="152"/>
      <c r="M140" s="153"/>
      <c r="N140" s="153"/>
      <c r="O140" s="153"/>
      <c r="P140" s="154"/>
      <c r="Q140" s="154"/>
      <c r="R140" s="279"/>
      <c r="S140" s="279"/>
      <c r="T140" s="155"/>
      <c r="U140" s="152"/>
      <c r="V140" s="153"/>
      <c r="W140" s="153"/>
      <c r="X140" s="153"/>
      <c r="Y140" s="154"/>
      <c r="Z140" s="154"/>
      <c r="AA140" s="279"/>
      <c r="AB140" s="279"/>
      <c r="AC140" s="155"/>
      <c r="AD140" s="152">
        <v>70</v>
      </c>
      <c r="AE140" s="153">
        <v>54</v>
      </c>
      <c r="AF140" s="153">
        <v>51</v>
      </c>
      <c r="AG140" s="153">
        <v>40</v>
      </c>
      <c r="AH140" s="154">
        <v>51</v>
      </c>
      <c r="AI140" s="154">
        <v>44</v>
      </c>
      <c r="AJ140" s="279">
        <v>36</v>
      </c>
      <c r="AK140" s="279">
        <v>43</v>
      </c>
      <c r="AL140" s="155"/>
      <c r="AM140" s="152">
        <v>30</v>
      </c>
      <c r="AN140" s="153">
        <v>22</v>
      </c>
      <c r="AO140" s="153">
        <v>21</v>
      </c>
      <c r="AP140" s="153">
        <v>18</v>
      </c>
      <c r="AQ140" s="154">
        <v>21</v>
      </c>
      <c r="AR140" s="154">
        <v>11</v>
      </c>
      <c r="AS140" s="279">
        <v>8</v>
      </c>
      <c r="AT140" s="279">
        <v>16</v>
      </c>
      <c r="AU140" s="155"/>
      <c r="AV140" s="152"/>
      <c r="AW140" s="153"/>
      <c r="AX140" s="153"/>
      <c r="AY140" s="153"/>
      <c r="AZ140" s="154"/>
      <c r="BA140" s="154"/>
      <c r="BB140" s="279"/>
      <c r="BC140" s="279"/>
      <c r="BD140" s="155"/>
      <c r="BE140" s="152">
        <v>6</v>
      </c>
      <c r="BF140" s="153">
        <v>22</v>
      </c>
      <c r="BG140" s="153">
        <v>4</v>
      </c>
      <c r="BH140" s="153"/>
      <c r="BI140" s="154">
        <v>1</v>
      </c>
      <c r="BJ140" s="154">
        <v>3</v>
      </c>
      <c r="BK140" s="279">
        <v>2</v>
      </c>
      <c r="BL140" s="279">
        <v>3</v>
      </c>
      <c r="BM140" s="155"/>
      <c r="BN140" s="152"/>
      <c r="BO140" s="153"/>
      <c r="BP140" s="153"/>
      <c r="BQ140" s="153"/>
      <c r="BR140" s="154"/>
      <c r="BS140" s="154"/>
      <c r="BT140" s="279"/>
      <c r="BU140" s="279"/>
      <c r="BV140" s="155"/>
      <c r="BW140" s="152">
        <v>27</v>
      </c>
      <c r="BX140" s="153">
        <v>25</v>
      </c>
      <c r="BY140" s="153">
        <v>39</v>
      </c>
      <c r="BZ140" s="153">
        <v>40</v>
      </c>
      <c r="CA140" s="154">
        <v>41</v>
      </c>
      <c r="CB140" s="154">
        <v>16</v>
      </c>
      <c r="CC140" s="279">
        <v>20</v>
      </c>
      <c r="CD140" s="279">
        <v>29</v>
      </c>
      <c r="CE140" s="155"/>
      <c r="CF140" s="152">
        <v>3</v>
      </c>
      <c r="CG140" s="153">
        <v>2</v>
      </c>
      <c r="CH140" s="153">
        <v>3</v>
      </c>
      <c r="CI140" s="153">
        <v>1</v>
      </c>
      <c r="CJ140" s="154">
        <v>1</v>
      </c>
      <c r="CK140" s="154"/>
      <c r="CL140" s="279">
        <v>1</v>
      </c>
      <c r="CM140" s="279">
        <v>1</v>
      </c>
      <c r="CN140" s="155"/>
      <c r="CO140" s="152"/>
      <c r="CP140" s="153"/>
      <c r="CQ140" s="153"/>
      <c r="CR140" s="153"/>
      <c r="CS140" s="154"/>
      <c r="CT140" s="154"/>
      <c r="CU140" s="279"/>
      <c r="CV140" s="279"/>
      <c r="CW140" s="155"/>
      <c r="CX140" s="152">
        <v>300</v>
      </c>
      <c r="CY140" s="153">
        <v>380</v>
      </c>
      <c r="CZ140" s="153">
        <v>323</v>
      </c>
      <c r="DA140" s="153">
        <v>298</v>
      </c>
      <c r="DB140" s="154">
        <v>188</v>
      </c>
      <c r="DC140" s="154">
        <v>149</v>
      </c>
      <c r="DD140" s="279">
        <v>103</v>
      </c>
      <c r="DE140" s="279">
        <v>115</v>
      </c>
      <c r="DF140" s="155"/>
      <c r="DG140" s="152"/>
      <c r="DH140" s="153">
        <v>2</v>
      </c>
      <c r="DI140" s="153"/>
      <c r="DJ140" s="153"/>
      <c r="DK140" s="154">
        <v>1</v>
      </c>
      <c r="DL140" s="154"/>
      <c r="DM140" s="279"/>
      <c r="DN140" s="279"/>
      <c r="DO140" s="155"/>
      <c r="DP140" s="152">
        <v>4</v>
      </c>
      <c r="DQ140" s="153">
        <v>4</v>
      </c>
      <c r="DR140" s="153">
        <v>4</v>
      </c>
      <c r="DS140" s="153">
        <v>2</v>
      </c>
      <c r="DT140" s="154">
        <v>3</v>
      </c>
      <c r="DU140" s="154"/>
      <c r="DV140" s="279"/>
      <c r="DW140" s="279">
        <v>2</v>
      </c>
      <c r="DX140" s="155"/>
      <c r="DY140" s="152">
        <v>33</v>
      </c>
      <c r="DZ140" s="153">
        <v>34</v>
      </c>
      <c r="EA140" s="153">
        <v>34</v>
      </c>
      <c r="EB140" s="153">
        <v>43</v>
      </c>
      <c r="EC140" s="154">
        <v>47</v>
      </c>
      <c r="ED140" s="154">
        <v>25</v>
      </c>
      <c r="EE140" s="279">
        <v>15</v>
      </c>
      <c r="EF140" s="279">
        <v>10</v>
      </c>
      <c r="EG140" s="155"/>
      <c r="EH140" s="152">
        <v>5</v>
      </c>
      <c r="EI140" s="153">
        <v>1</v>
      </c>
      <c r="EJ140" s="153"/>
      <c r="EK140" s="153"/>
      <c r="EL140" s="154">
        <v>1</v>
      </c>
      <c r="EM140" s="154">
        <v>2</v>
      </c>
      <c r="EN140" s="279"/>
      <c r="EO140" s="279"/>
      <c r="EP140" s="155"/>
      <c r="EQ140" s="152"/>
      <c r="ER140" s="153">
        <v>2</v>
      </c>
      <c r="ES140" s="153"/>
      <c r="ET140" s="153"/>
      <c r="EU140" s="154"/>
      <c r="EV140" s="154">
        <v>4</v>
      </c>
      <c r="EW140" s="279">
        <v>1</v>
      </c>
      <c r="EX140" s="279">
        <v>2</v>
      </c>
      <c r="EY140" s="155"/>
      <c r="EZ140" s="152">
        <v>1</v>
      </c>
      <c r="FA140" s="153">
        <v>1</v>
      </c>
      <c r="FB140" s="153">
        <v>4</v>
      </c>
      <c r="FC140" s="153">
        <v>2</v>
      </c>
      <c r="FD140" s="154"/>
      <c r="FE140" s="154"/>
      <c r="FF140" s="279">
        <v>1</v>
      </c>
      <c r="FG140" s="279"/>
      <c r="FH140" s="155"/>
      <c r="FI140" s="152">
        <v>32</v>
      </c>
      <c r="FJ140" s="153">
        <v>19</v>
      </c>
      <c r="FK140" s="153">
        <v>13</v>
      </c>
      <c r="FL140" s="153">
        <v>12</v>
      </c>
      <c r="FM140" s="154">
        <v>2</v>
      </c>
      <c r="FN140" s="154">
        <v>8</v>
      </c>
      <c r="FO140" s="279">
        <v>4</v>
      </c>
      <c r="FP140" s="279">
        <v>7</v>
      </c>
      <c r="FQ140" s="155"/>
      <c r="FR140" s="152">
        <v>5</v>
      </c>
      <c r="FS140" s="153">
        <v>8</v>
      </c>
      <c r="FT140" s="153">
        <v>3</v>
      </c>
      <c r="FU140" s="153">
        <v>1</v>
      </c>
      <c r="FV140" s="154">
        <v>5</v>
      </c>
      <c r="FW140" s="154"/>
      <c r="FX140" s="279">
        <v>3</v>
      </c>
      <c r="FY140" s="279"/>
      <c r="FZ140" s="155"/>
      <c r="GA140" s="152">
        <v>2</v>
      </c>
      <c r="GB140" s="153">
        <v>2</v>
      </c>
      <c r="GC140" s="153"/>
      <c r="GD140" s="153">
        <v>2</v>
      </c>
      <c r="GE140" s="154"/>
      <c r="GF140" s="154">
        <v>3</v>
      </c>
      <c r="GG140" s="279">
        <v>8</v>
      </c>
      <c r="GH140" s="279">
        <v>7</v>
      </c>
      <c r="GI140" s="155"/>
      <c r="GJ140" s="152">
        <v>451</v>
      </c>
      <c r="GK140" s="153">
        <v>516</v>
      </c>
      <c r="GL140" s="153">
        <v>440</v>
      </c>
      <c r="GM140" s="153">
        <v>396</v>
      </c>
      <c r="GN140" s="154">
        <v>290</v>
      </c>
      <c r="GO140" s="154">
        <v>229</v>
      </c>
      <c r="GP140" s="279">
        <v>179</v>
      </c>
      <c r="GQ140" s="279">
        <v>207</v>
      </c>
      <c r="GR140" s="155"/>
      <c r="GS140" s="152">
        <v>120</v>
      </c>
      <c r="GT140" s="153">
        <v>125</v>
      </c>
      <c r="GU140" s="153">
        <v>120</v>
      </c>
      <c r="GV140" s="153">
        <v>116</v>
      </c>
      <c r="GW140" s="154">
        <v>46</v>
      </c>
      <c r="GX140" s="154">
        <v>44</v>
      </c>
      <c r="GY140" s="279">
        <v>41</v>
      </c>
      <c r="GZ140" s="279">
        <v>61</v>
      </c>
      <c r="HA140" s="155"/>
      <c r="HB140" s="152"/>
      <c r="HC140" s="153">
        <v>1</v>
      </c>
      <c r="HD140" s="153"/>
      <c r="HE140" s="153">
        <v>1</v>
      </c>
      <c r="HF140" s="154">
        <v>1</v>
      </c>
      <c r="HG140" s="154"/>
      <c r="HH140" s="279">
        <v>2</v>
      </c>
      <c r="HI140" s="279"/>
      <c r="HJ140" s="155"/>
      <c r="HK140" s="152"/>
      <c r="HL140" s="153"/>
      <c r="HM140" s="153">
        <v>1</v>
      </c>
      <c r="HN140" s="153">
        <v>1</v>
      </c>
      <c r="HO140" s="154">
        <v>1</v>
      </c>
      <c r="HP140" s="154"/>
      <c r="HQ140" s="279"/>
      <c r="HR140" s="279"/>
      <c r="HS140" s="155"/>
      <c r="HT140" s="152">
        <v>168</v>
      </c>
      <c r="HU140" s="153">
        <v>167</v>
      </c>
      <c r="HV140" s="153">
        <v>160</v>
      </c>
      <c r="HW140" s="153">
        <v>150</v>
      </c>
      <c r="HX140" s="154">
        <v>76</v>
      </c>
      <c r="HY140" s="154">
        <v>90</v>
      </c>
      <c r="HZ140" s="279">
        <v>121</v>
      </c>
      <c r="IA140" s="279">
        <v>141</v>
      </c>
      <c r="IB140" s="155"/>
      <c r="IC140" s="152">
        <v>763</v>
      </c>
      <c r="ID140" s="153">
        <v>892</v>
      </c>
      <c r="IE140" s="153">
        <v>753</v>
      </c>
      <c r="IF140" s="153">
        <v>628</v>
      </c>
      <c r="IG140" s="154">
        <v>506</v>
      </c>
      <c r="IH140" s="154">
        <v>381</v>
      </c>
      <c r="II140" s="279">
        <v>384</v>
      </c>
      <c r="IJ140" s="279">
        <v>361</v>
      </c>
      <c r="IK140" s="155"/>
    </row>
    <row r="141" spans="1:245" x14ac:dyDescent="0.2">
      <c r="A141" s="961"/>
      <c r="B141" s="151" t="s">
        <v>732</v>
      </c>
      <c r="C141" s="152"/>
      <c r="D141" s="153"/>
      <c r="E141" s="153"/>
      <c r="F141" s="153"/>
      <c r="G141" s="154"/>
      <c r="H141" s="154"/>
      <c r="I141" s="279"/>
      <c r="J141" s="279"/>
      <c r="K141" s="155"/>
      <c r="L141" s="152"/>
      <c r="M141" s="153"/>
      <c r="N141" s="153"/>
      <c r="O141" s="153"/>
      <c r="P141" s="154"/>
      <c r="Q141" s="154"/>
      <c r="R141" s="279"/>
      <c r="S141" s="279"/>
      <c r="T141" s="155"/>
      <c r="U141" s="152"/>
      <c r="V141" s="153"/>
      <c r="W141" s="153"/>
      <c r="X141" s="153"/>
      <c r="Y141" s="154"/>
      <c r="Z141" s="154"/>
      <c r="AA141" s="279"/>
      <c r="AB141" s="279"/>
      <c r="AC141" s="155"/>
      <c r="AD141" s="152">
        <v>37</v>
      </c>
      <c r="AE141" s="153">
        <v>36</v>
      </c>
      <c r="AF141" s="153">
        <v>27</v>
      </c>
      <c r="AG141" s="153">
        <v>36</v>
      </c>
      <c r="AH141" s="154">
        <v>31</v>
      </c>
      <c r="AI141" s="154">
        <v>29</v>
      </c>
      <c r="AJ141" s="279">
        <v>35</v>
      </c>
      <c r="AK141" s="279">
        <v>28</v>
      </c>
      <c r="AL141" s="155"/>
      <c r="AM141" s="152">
        <v>21</v>
      </c>
      <c r="AN141" s="153">
        <v>18</v>
      </c>
      <c r="AO141" s="153">
        <v>15</v>
      </c>
      <c r="AP141" s="153">
        <v>17</v>
      </c>
      <c r="AQ141" s="154">
        <v>17</v>
      </c>
      <c r="AR141" s="154">
        <v>11</v>
      </c>
      <c r="AS141" s="279">
        <v>11</v>
      </c>
      <c r="AT141" s="279">
        <v>13</v>
      </c>
      <c r="AU141" s="155"/>
      <c r="AV141" s="152"/>
      <c r="AW141" s="153"/>
      <c r="AX141" s="153"/>
      <c r="AY141" s="153"/>
      <c r="AZ141" s="154"/>
      <c r="BA141" s="154"/>
      <c r="BB141" s="279"/>
      <c r="BC141" s="279"/>
      <c r="BD141" s="155"/>
      <c r="BE141" s="152">
        <v>2</v>
      </c>
      <c r="BF141" s="153">
        <v>5</v>
      </c>
      <c r="BG141" s="153">
        <v>2</v>
      </c>
      <c r="BH141" s="153">
        <v>13</v>
      </c>
      <c r="BI141" s="154">
        <v>16</v>
      </c>
      <c r="BJ141" s="154"/>
      <c r="BK141" s="279">
        <v>2</v>
      </c>
      <c r="BL141" s="279">
        <v>1</v>
      </c>
      <c r="BM141" s="155"/>
      <c r="BN141" s="152"/>
      <c r="BO141" s="153"/>
      <c r="BP141" s="153"/>
      <c r="BQ141" s="153"/>
      <c r="BR141" s="154"/>
      <c r="BS141" s="154"/>
      <c r="BT141" s="279"/>
      <c r="BU141" s="279"/>
      <c r="BV141" s="155"/>
      <c r="BW141" s="152">
        <v>18</v>
      </c>
      <c r="BX141" s="153">
        <v>26</v>
      </c>
      <c r="BY141" s="153">
        <v>35</v>
      </c>
      <c r="BZ141" s="153">
        <v>52</v>
      </c>
      <c r="CA141" s="154">
        <v>42</v>
      </c>
      <c r="CB141" s="154">
        <v>30</v>
      </c>
      <c r="CC141" s="279">
        <v>24</v>
      </c>
      <c r="CD141" s="279">
        <v>16</v>
      </c>
      <c r="CE141" s="155"/>
      <c r="CF141" s="152">
        <v>1</v>
      </c>
      <c r="CG141" s="153">
        <v>1</v>
      </c>
      <c r="CH141" s="153">
        <v>6</v>
      </c>
      <c r="CI141" s="153">
        <v>3</v>
      </c>
      <c r="CJ141" s="154">
        <v>1</v>
      </c>
      <c r="CK141" s="154">
        <v>1</v>
      </c>
      <c r="CL141" s="279">
        <v>1</v>
      </c>
      <c r="CM141" s="279"/>
      <c r="CN141" s="155"/>
      <c r="CO141" s="152">
        <v>1</v>
      </c>
      <c r="CP141" s="153">
        <v>1</v>
      </c>
      <c r="CQ141" s="153"/>
      <c r="CR141" s="153">
        <v>2</v>
      </c>
      <c r="CS141" s="154">
        <v>2</v>
      </c>
      <c r="CT141" s="154">
        <v>1</v>
      </c>
      <c r="CU141" s="279"/>
      <c r="CV141" s="279">
        <v>1</v>
      </c>
      <c r="CW141" s="155"/>
      <c r="CX141" s="152">
        <v>973</v>
      </c>
      <c r="CY141" s="153">
        <v>861</v>
      </c>
      <c r="CZ141" s="153">
        <v>1209</v>
      </c>
      <c r="DA141" s="153">
        <v>719</v>
      </c>
      <c r="DB141" s="154">
        <v>548</v>
      </c>
      <c r="DC141" s="154">
        <v>452</v>
      </c>
      <c r="DD141" s="279">
        <v>358</v>
      </c>
      <c r="DE141" s="279">
        <v>309</v>
      </c>
      <c r="DF141" s="155"/>
      <c r="DG141" s="152">
        <v>7</v>
      </c>
      <c r="DH141" s="153">
        <v>10</v>
      </c>
      <c r="DI141" s="153">
        <v>15</v>
      </c>
      <c r="DJ141" s="153">
        <v>4</v>
      </c>
      <c r="DK141" s="154">
        <v>6</v>
      </c>
      <c r="DL141" s="154"/>
      <c r="DM141" s="279"/>
      <c r="DN141" s="279">
        <v>1</v>
      </c>
      <c r="DO141" s="155"/>
      <c r="DP141" s="152">
        <v>38</v>
      </c>
      <c r="DQ141" s="153">
        <v>22</v>
      </c>
      <c r="DR141" s="153">
        <v>22</v>
      </c>
      <c r="DS141" s="153">
        <v>25</v>
      </c>
      <c r="DT141" s="154">
        <v>29</v>
      </c>
      <c r="DU141" s="154">
        <v>19</v>
      </c>
      <c r="DV141" s="279">
        <v>13</v>
      </c>
      <c r="DW141" s="279">
        <v>17</v>
      </c>
      <c r="DX141" s="155"/>
      <c r="DY141" s="152">
        <v>173</v>
      </c>
      <c r="DZ141" s="153">
        <v>197</v>
      </c>
      <c r="EA141" s="153">
        <v>266</v>
      </c>
      <c r="EB141" s="153">
        <v>152</v>
      </c>
      <c r="EC141" s="154">
        <v>150</v>
      </c>
      <c r="ED141" s="154">
        <v>69</v>
      </c>
      <c r="EE141" s="279">
        <v>110</v>
      </c>
      <c r="EF141" s="279">
        <v>77</v>
      </c>
      <c r="EG141" s="155"/>
      <c r="EH141" s="152">
        <v>6</v>
      </c>
      <c r="EI141" s="153">
        <v>9</v>
      </c>
      <c r="EJ141" s="153">
        <v>8</v>
      </c>
      <c r="EK141" s="153">
        <v>6</v>
      </c>
      <c r="EL141" s="154">
        <v>4</v>
      </c>
      <c r="EM141" s="154">
        <v>2</v>
      </c>
      <c r="EN141" s="279">
        <v>7</v>
      </c>
      <c r="EO141" s="279"/>
      <c r="EP141" s="155"/>
      <c r="EQ141" s="152">
        <v>1</v>
      </c>
      <c r="ER141" s="153"/>
      <c r="ES141" s="153"/>
      <c r="ET141" s="153"/>
      <c r="EU141" s="154">
        <v>1</v>
      </c>
      <c r="EV141" s="154">
        <v>4</v>
      </c>
      <c r="EW141" s="279">
        <v>4</v>
      </c>
      <c r="EX141" s="279"/>
      <c r="EY141" s="155"/>
      <c r="EZ141" s="152">
        <v>6</v>
      </c>
      <c r="FA141" s="153">
        <v>3</v>
      </c>
      <c r="FB141" s="153">
        <v>3</v>
      </c>
      <c r="FC141" s="153">
        <v>3</v>
      </c>
      <c r="FD141" s="154"/>
      <c r="FE141" s="154"/>
      <c r="FF141" s="279"/>
      <c r="FG141" s="279"/>
      <c r="FH141" s="155"/>
      <c r="FI141" s="152">
        <v>61</v>
      </c>
      <c r="FJ141" s="153">
        <v>43</v>
      </c>
      <c r="FK141" s="153">
        <v>40</v>
      </c>
      <c r="FL141" s="153">
        <v>23</v>
      </c>
      <c r="FM141" s="154">
        <v>41</v>
      </c>
      <c r="FN141" s="154">
        <v>21</v>
      </c>
      <c r="FO141" s="279">
        <v>13</v>
      </c>
      <c r="FP141" s="279">
        <v>11</v>
      </c>
      <c r="FQ141" s="155"/>
      <c r="FR141" s="152">
        <v>4</v>
      </c>
      <c r="FS141" s="153"/>
      <c r="FT141" s="153">
        <v>7</v>
      </c>
      <c r="FU141" s="153">
        <v>1</v>
      </c>
      <c r="FV141" s="154">
        <v>2</v>
      </c>
      <c r="FW141" s="154">
        <v>1</v>
      </c>
      <c r="FX141" s="279">
        <v>1</v>
      </c>
      <c r="FY141" s="279"/>
      <c r="FZ141" s="155"/>
      <c r="GA141" s="152"/>
      <c r="GB141" s="153">
        <v>3</v>
      </c>
      <c r="GC141" s="153">
        <v>2</v>
      </c>
      <c r="GD141" s="153"/>
      <c r="GE141" s="154">
        <v>3</v>
      </c>
      <c r="GF141" s="154">
        <v>1</v>
      </c>
      <c r="GG141" s="279">
        <v>2</v>
      </c>
      <c r="GH141" s="279">
        <v>5</v>
      </c>
      <c r="GI141" s="155"/>
      <c r="GJ141" s="152">
        <v>1110</v>
      </c>
      <c r="GK141" s="153">
        <v>988</v>
      </c>
      <c r="GL141" s="153">
        <v>1339</v>
      </c>
      <c r="GM141" s="153">
        <v>858</v>
      </c>
      <c r="GN141" s="154">
        <v>691</v>
      </c>
      <c r="GO141" s="154">
        <v>542</v>
      </c>
      <c r="GP141" s="279">
        <v>447</v>
      </c>
      <c r="GQ141" s="279">
        <v>371</v>
      </c>
      <c r="GR141" s="155"/>
      <c r="GS141" s="152">
        <v>320</v>
      </c>
      <c r="GT141" s="153">
        <v>252</v>
      </c>
      <c r="GU141" s="153">
        <v>441</v>
      </c>
      <c r="GV141" s="153">
        <v>209</v>
      </c>
      <c r="GW141" s="154">
        <v>148</v>
      </c>
      <c r="GX141" s="154">
        <v>72</v>
      </c>
      <c r="GY141" s="279">
        <v>65</v>
      </c>
      <c r="GZ141" s="279">
        <v>72</v>
      </c>
      <c r="HA141" s="155"/>
      <c r="HB141" s="152">
        <v>1</v>
      </c>
      <c r="HC141" s="153"/>
      <c r="HD141" s="153">
        <v>1</v>
      </c>
      <c r="HE141" s="153"/>
      <c r="HF141" s="154">
        <v>1</v>
      </c>
      <c r="HG141" s="154"/>
      <c r="HH141" s="279">
        <v>1</v>
      </c>
      <c r="HI141" s="279">
        <v>1</v>
      </c>
      <c r="HJ141" s="155"/>
      <c r="HK141" s="152"/>
      <c r="HL141" s="153"/>
      <c r="HM141" s="153">
        <v>1</v>
      </c>
      <c r="HN141" s="153"/>
      <c r="HO141" s="154"/>
      <c r="HP141" s="154"/>
      <c r="HQ141" s="279">
        <v>2</v>
      </c>
      <c r="HR141" s="279">
        <v>1</v>
      </c>
      <c r="HS141" s="155"/>
      <c r="HT141" s="152">
        <v>376</v>
      </c>
      <c r="HU141" s="153">
        <v>327</v>
      </c>
      <c r="HV141" s="153">
        <v>488</v>
      </c>
      <c r="HW141" s="153">
        <v>274</v>
      </c>
      <c r="HX141" s="154">
        <v>240</v>
      </c>
      <c r="HY141" s="154">
        <v>152</v>
      </c>
      <c r="HZ141" s="279">
        <v>212</v>
      </c>
      <c r="IA141" s="279">
        <v>214</v>
      </c>
      <c r="IB141" s="155"/>
      <c r="IC141" s="152">
        <v>2449</v>
      </c>
      <c r="ID141" s="153">
        <v>2319</v>
      </c>
      <c r="IE141" s="153">
        <v>2335</v>
      </c>
      <c r="IF141" s="153">
        <v>1252</v>
      </c>
      <c r="IG141" s="154">
        <v>1375</v>
      </c>
      <c r="IH141" s="154">
        <v>938</v>
      </c>
      <c r="II141" s="279">
        <v>930</v>
      </c>
      <c r="IJ141" s="279">
        <v>701</v>
      </c>
      <c r="IK141" s="155"/>
    </row>
    <row r="142" spans="1:245" x14ac:dyDescent="0.2">
      <c r="A142" s="961"/>
      <c r="B142" s="151" t="s">
        <v>624</v>
      </c>
      <c r="C142" s="152"/>
      <c r="D142" s="153"/>
      <c r="E142" s="153"/>
      <c r="F142" s="153"/>
      <c r="G142" s="154"/>
      <c r="H142" s="154"/>
      <c r="I142" s="279"/>
      <c r="J142" s="279"/>
      <c r="K142" s="155"/>
      <c r="L142" s="152"/>
      <c r="M142" s="153"/>
      <c r="N142" s="153"/>
      <c r="O142" s="153"/>
      <c r="P142" s="154"/>
      <c r="Q142" s="154"/>
      <c r="R142" s="279"/>
      <c r="S142" s="279"/>
      <c r="T142" s="155"/>
      <c r="U142" s="152"/>
      <c r="V142" s="153"/>
      <c r="W142" s="153"/>
      <c r="X142" s="153"/>
      <c r="Y142" s="154"/>
      <c r="Z142" s="154"/>
      <c r="AA142" s="279"/>
      <c r="AB142" s="279"/>
      <c r="AC142" s="155"/>
      <c r="AD142" s="152">
        <v>44</v>
      </c>
      <c r="AE142" s="153">
        <v>35</v>
      </c>
      <c r="AF142" s="153">
        <v>47</v>
      </c>
      <c r="AG142" s="153">
        <v>68</v>
      </c>
      <c r="AH142" s="154">
        <v>69</v>
      </c>
      <c r="AI142" s="154">
        <v>71</v>
      </c>
      <c r="AJ142" s="279">
        <v>102</v>
      </c>
      <c r="AK142" s="279">
        <v>111</v>
      </c>
      <c r="AL142" s="155"/>
      <c r="AM142" s="152">
        <v>23</v>
      </c>
      <c r="AN142" s="153">
        <v>21</v>
      </c>
      <c r="AO142" s="153">
        <v>26</v>
      </c>
      <c r="AP142" s="153">
        <v>26</v>
      </c>
      <c r="AQ142" s="154">
        <v>18</v>
      </c>
      <c r="AR142" s="154">
        <v>14</v>
      </c>
      <c r="AS142" s="279">
        <v>27</v>
      </c>
      <c r="AT142" s="279">
        <v>21</v>
      </c>
      <c r="AU142" s="155"/>
      <c r="AV142" s="152"/>
      <c r="AW142" s="153"/>
      <c r="AX142" s="153"/>
      <c r="AY142" s="153"/>
      <c r="AZ142" s="154"/>
      <c r="BA142" s="154"/>
      <c r="BB142" s="279"/>
      <c r="BC142" s="279"/>
      <c r="BD142" s="155"/>
      <c r="BE142" s="152">
        <v>4</v>
      </c>
      <c r="BF142" s="153">
        <v>9</v>
      </c>
      <c r="BG142" s="153">
        <v>3</v>
      </c>
      <c r="BH142" s="153">
        <v>12</v>
      </c>
      <c r="BI142" s="154">
        <v>7</v>
      </c>
      <c r="BJ142" s="154">
        <v>5</v>
      </c>
      <c r="BK142" s="279">
        <v>7</v>
      </c>
      <c r="BL142" s="279">
        <v>2</v>
      </c>
      <c r="BM142" s="155"/>
      <c r="BN142" s="152"/>
      <c r="BO142" s="153"/>
      <c r="BP142" s="153"/>
      <c r="BQ142" s="153"/>
      <c r="BR142" s="154"/>
      <c r="BS142" s="154"/>
      <c r="BT142" s="279"/>
      <c r="BU142" s="279"/>
      <c r="BV142" s="155"/>
      <c r="BW142" s="152">
        <v>25</v>
      </c>
      <c r="BX142" s="153">
        <v>16</v>
      </c>
      <c r="BY142" s="153">
        <v>27</v>
      </c>
      <c r="BZ142" s="153">
        <v>25</v>
      </c>
      <c r="CA142" s="154">
        <v>17</v>
      </c>
      <c r="CB142" s="154">
        <v>34</v>
      </c>
      <c r="CC142" s="279">
        <v>55</v>
      </c>
      <c r="CD142" s="279">
        <v>45</v>
      </c>
      <c r="CE142" s="155"/>
      <c r="CF142" s="152">
        <v>6</v>
      </c>
      <c r="CG142" s="153">
        <v>3</v>
      </c>
      <c r="CH142" s="153">
        <v>2</v>
      </c>
      <c r="CI142" s="153">
        <v>1</v>
      </c>
      <c r="CJ142" s="154"/>
      <c r="CK142" s="154">
        <v>2</v>
      </c>
      <c r="CL142" s="279">
        <v>3</v>
      </c>
      <c r="CM142" s="279">
        <v>1</v>
      </c>
      <c r="CN142" s="155"/>
      <c r="CO142" s="152">
        <v>1</v>
      </c>
      <c r="CP142" s="153"/>
      <c r="CQ142" s="153"/>
      <c r="CR142" s="153"/>
      <c r="CS142" s="154">
        <v>2</v>
      </c>
      <c r="CT142" s="154"/>
      <c r="CU142" s="279">
        <v>2</v>
      </c>
      <c r="CV142" s="279">
        <v>1</v>
      </c>
      <c r="CW142" s="155"/>
      <c r="CX142" s="152">
        <v>1526</v>
      </c>
      <c r="CY142" s="153">
        <v>1879</v>
      </c>
      <c r="CZ142" s="153">
        <v>1630</v>
      </c>
      <c r="DA142" s="153">
        <v>1182</v>
      </c>
      <c r="DB142" s="154">
        <v>853</v>
      </c>
      <c r="DC142" s="154">
        <v>661</v>
      </c>
      <c r="DD142" s="279">
        <v>512</v>
      </c>
      <c r="DE142" s="279">
        <v>442</v>
      </c>
      <c r="DF142" s="155"/>
      <c r="DG142" s="152">
        <v>3</v>
      </c>
      <c r="DH142" s="153">
        <v>3</v>
      </c>
      <c r="DI142" s="153">
        <v>5</v>
      </c>
      <c r="DJ142" s="153">
        <v>5</v>
      </c>
      <c r="DK142" s="154">
        <v>2</v>
      </c>
      <c r="DL142" s="154"/>
      <c r="DM142" s="279">
        <v>2</v>
      </c>
      <c r="DN142" s="279"/>
      <c r="DO142" s="155"/>
      <c r="DP142" s="152">
        <v>20</v>
      </c>
      <c r="DQ142" s="153">
        <v>20</v>
      </c>
      <c r="DR142" s="153">
        <v>24</v>
      </c>
      <c r="DS142" s="153">
        <v>12</v>
      </c>
      <c r="DT142" s="154">
        <v>2</v>
      </c>
      <c r="DU142" s="154">
        <v>7</v>
      </c>
      <c r="DV142" s="279">
        <v>5</v>
      </c>
      <c r="DW142" s="279">
        <v>4</v>
      </c>
      <c r="DX142" s="155"/>
      <c r="DY142" s="152">
        <v>292</v>
      </c>
      <c r="DZ142" s="153">
        <v>250</v>
      </c>
      <c r="EA142" s="153">
        <v>238</v>
      </c>
      <c r="EB142" s="153">
        <v>311</v>
      </c>
      <c r="EC142" s="154">
        <v>241</v>
      </c>
      <c r="ED142" s="154">
        <v>189</v>
      </c>
      <c r="EE142" s="279">
        <v>117</v>
      </c>
      <c r="EF142" s="279">
        <v>122</v>
      </c>
      <c r="EG142" s="155"/>
      <c r="EH142" s="152">
        <v>4</v>
      </c>
      <c r="EI142" s="153">
        <v>4</v>
      </c>
      <c r="EJ142" s="153">
        <v>6</v>
      </c>
      <c r="EK142" s="153">
        <v>6</v>
      </c>
      <c r="EL142" s="154">
        <v>2</v>
      </c>
      <c r="EM142" s="154">
        <v>4</v>
      </c>
      <c r="EN142" s="279">
        <v>2</v>
      </c>
      <c r="EO142" s="279"/>
      <c r="EP142" s="155"/>
      <c r="EQ142" s="152">
        <v>4</v>
      </c>
      <c r="ER142" s="153">
        <v>8</v>
      </c>
      <c r="ES142" s="153">
        <v>5</v>
      </c>
      <c r="ET142" s="153">
        <v>4</v>
      </c>
      <c r="EU142" s="154">
        <v>4</v>
      </c>
      <c r="EV142" s="154"/>
      <c r="EW142" s="279">
        <v>2</v>
      </c>
      <c r="EX142" s="279"/>
      <c r="EY142" s="155"/>
      <c r="EZ142" s="152">
        <v>1</v>
      </c>
      <c r="FA142" s="153">
        <v>1</v>
      </c>
      <c r="FB142" s="153">
        <v>6</v>
      </c>
      <c r="FC142" s="153">
        <v>2</v>
      </c>
      <c r="FD142" s="154"/>
      <c r="FE142" s="154"/>
      <c r="FF142" s="279">
        <v>1</v>
      </c>
      <c r="FG142" s="279">
        <v>1</v>
      </c>
      <c r="FH142" s="155"/>
      <c r="FI142" s="152">
        <v>54</v>
      </c>
      <c r="FJ142" s="153">
        <v>58</v>
      </c>
      <c r="FK142" s="153">
        <v>42</v>
      </c>
      <c r="FL142" s="153">
        <v>23</v>
      </c>
      <c r="FM142" s="154">
        <v>12</v>
      </c>
      <c r="FN142" s="154">
        <v>29</v>
      </c>
      <c r="FO142" s="279">
        <v>29</v>
      </c>
      <c r="FP142" s="279">
        <v>34</v>
      </c>
      <c r="FQ142" s="155"/>
      <c r="FR142" s="152">
        <v>2</v>
      </c>
      <c r="FS142" s="153">
        <v>4</v>
      </c>
      <c r="FT142" s="153">
        <v>2</v>
      </c>
      <c r="FU142" s="153">
        <v>6</v>
      </c>
      <c r="FV142" s="154">
        <v>3</v>
      </c>
      <c r="FW142" s="154"/>
      <c r="FX142" s="279">
        <v>1</v>
      </c>
      <c r="FY142" s="279"/>
      <c r="FZ142" s="155"/>
      <c r="GA142" s="152">
        <v>4</v>
      </c>
      <c r="GB142" s="153">
        <v>3</v>
      </c>
      <c r="GC142" s="153">
        <v>2</v>
      </c>
      <c r="GD142" s="153">
        <v>8</v>
      </c>
      <c r="GE142" s="154">
        <v>3</v>
      </c>
      <c r="GF142" s="154">
        <v>6</v>
      </c>
      <c r="GG142" s="279">
        <v>3</v>
      </c>
      <c r="GH142" s="279">
        <v>4</v>
      </c>
      <c r="GI142" s="155"/>
      <c r="GJ142" s="152">
        <v>1675</v>
      </c>
      <c r="GK142" s="153">
        <v>2020</v>
      </c>
      <c r="GL142" s="153">
        <v>1772</v>
      </c>
      <c r="GM142" s="153">
        <v>1337</v>
      </c>
      <c r="GN142" s="154">
        <v>972</v>
      </c>
      <c r="GO142" s="154">
        <v>812</v>
      </c>
      <c r="GP142" s="279">
        <v>719</v>
      </c>
      <c r="GQ142" s="279">
        <v>641</v>
      </c>
      <c r="GR142" s="155"/>
      <c r="GS142" s="152">
        <v>678</v>
      </c>
      <c r="GT142" s="153">
        <v>474</v>
      </c>
      <c r="GU142" s="153">
        <v>487</v>
      </c>
      <c r="GV142" s="153">
        <v>223</v>
      </c>
      <c r="GW142" s="154">
        <v>147</v>
      </c>
      <c r="GX142" s="154">
        <v>96</v>
      </c>
      <c r="GY142" s="279">
        <v>91</v>
      </c>
      <c r="GZ142" s="279">
        <v>121</v>
      </c>
      <c r="HA142" s="155"/>
      <c r="HB142" s="152">
        <v>3</v>
      </c>
      <c r="HC142" s="153"/>
      <c r="HD142" s="153">
        <v>1</v>
      </c>
      <c r="HE142" s="153">
        <v>2</v>
      </c>
      <c r="HF142" s="154">
        <v>1</v>
      </c>
      <c r="HG142" s="154"/>
      <c r="HH142" s="279"/>
      <c r="HI142" s="279"/>
      <c r="HJ142" s="155"/>
      <c r="HK142" s="152">
        <v>2</v>
      </c>
      <c r="HL142" s="153">
        <v>1</v>
      </c>
      <c r="HM142" s="153">
        <v>1</v>
      </c>
      <c r="HN142" s="153">
        <v>2</v>
      </c>
      <c r="HO142" s="154"/>
      <c r="HP142" s="154"/>
      <c r="HQ142" s="279"/>
      <c r="HR142" s="279">
        <v>2</v>
      </c>
      <c r="HS142" s="155"/>
      <c r="HT142" s="152">
        <v>786</v>
      </c>
      <c r="HU142" s="153">
        <v>554</v>
      </c>
      <c r="HV142" s="153">
        <v>559</v>
      </c>
      <c r="HW142" s="153">
        <v>306</v>
      </c>
      <c r="HX142" s="154">
        <v>257</v>
      </c>
      <c r="HY142" s="154">
        <v>214</v>
      </c>
      <c r="HZ142" s="279">
        <v>224</v>
      </c>
      <c r="IA142" s="279">
        <v>267</v>
      </c>
      <c r="IB142" s="155"/>
      <c r="IC142" s="152">
        <v>2822</v>
      </c>
      <c r="ID142" s="153">
        <v>2774</v>
      </c>
      <c r="IE142" s="153">
        <v>2360</v>
      </c>
      <c r="IF142" s="153">
        <v>1829</v>
      </c>
      <c r="IG142" s="154">
        <v>1297</v>
      </c>
      <c r="IH142" s="154">
        <v>1207</v>
      </c>
      <c r="II142" s="279">
        <v>1137</v>
      </c>
      <c r="IJ142" s="279">
        <v>965</v>
      </c>
      <c r="IK142" s="155"/>
    </row>
    <row r="143" spans="1:245" x14ac:dyDescent="0.2">
      <c r="A143" s="961"/>
      <c r="B143" s="151" t="s">
        <v>733</v>
      </c>
      <c r="C143" s="152"/>
      <c r="D143" s="153"/>
      <c r="E143" s="153"/>
      <c r="F143" s="153"/>
      <c r="G143" s="154"/>
      <c r="H143" s="154"/>
      <c r="I143" s="279"/>
      <c r="J143" s="279"/>
      <c r="K143" s="155"/>
      <c r="L143" s="152"/>
      <c r="M143" s="153"/>
      <c r="N143" s="153"/>
      <c r="O143" s="153"/>
      <c r="P143" s="154"/>
      <c r="Q143" s="154"/>
      <c r="R143" s="279"/>
      <c r="S143" s="279"/>
      <c r="T143" s="155"/>
      <c r="U143" s="152"/>
      <c r="V143" s="153"/>
      <c r="W143" s="153"/>
      <c r="X143" s="153"/>
      <c r="Y143" s="154"/>
      <c r="Z143" s="154"/>
      <c r="AA143" s="279"/>
      <c r="AB143" s="279"/>
      <c r="AC143" s="155"/>
      <c r="AD143" s="152">
        <v>113</v>
      </c>
      <c r="AE143" s="153">
        <v>80</v>
      </c>
      <c r="AF143" s="153">
        <v>95</v>
      </c>
      <c r="AG143" s="153">
        <v>79</v>
      </c>
      <c r="AH143" s="154">
        <v>72</v>
      </c>
      <c r="AI143" s="154">
        <v>64</v>
      </c>
      <c r="AJ143" s="279">
        <v>83</v>
      </c>
      <c r="AK143" s="279">
        <v>44</v>
      </c>
      <c r="AL143" s="155"/>
      <c r="AM143" s="152">
        <v>43</v>
      </c>
      <c r="AN143" s="153">
        <v>22</v>
      </c>
      <c r="AO143" s="153">
        <v>37</v>
      </c>
      <c r="AP143" s="153">
        <v>38</v>
      </c>
      <c r="AQ143" s="154">
        <v>20</v>
      </c>
      <c r="AR143" s="154">
        <v>19</v>
      </c>
      <c r="AS143" s="279">
        <v>35</v>
      </c>
      <c r="AT143" s="279">
        <v>20</v>
      </c>
      <c r="AU143" s="155"/>
      <c r="AV143" s="152"/>
      <c r="AW143" s="153"/>
      <c r="AX143" s="153"/>
      <c r="AY143" s="153"/>
      <c r="AZ143" s="154"/>
      <c r="BA143" s="154"/>
      <c r="BB143" s="279"/>
      <c r="BC143" s="279"/>
      <c r="BD143" s="155"/>
      <c r="BE143" s="152">
        <v>30</v>
      </c>
      <c r="BF143" s="153">
        <v>25</v>
      </c>
      <c r="BG143" s="153">
        <v>14</v>
      </c>
      <c r="BH143" s="153">
        <v>13</v>
      </c>
      <c r="BI143" s="154">
        <v>16</v>
      </c>
      <c r="BJ143" s="154">
        <v>8</v>
      </c>
      <c r="BK143" s="279">
        <v>11</v>
      </c>
      <c r="BL143" s="279">
        <v>9</v>
      </c>
      <c r="BM143" s="155"/>
      <c r="BN143" s="152"/>
      <c r="BO143" s="153"/>
      <c r="BP143" s="153">
        <v>1</v>
      </c>
      <c r="BQ143" s="153">
        <v>1</v>
      </c>
      <c r="BR143" s="154"/>
      <c r="BS143" s="154"/>
      <c r="BT143" s="279"/>
      <c r="BU143" s="279"/>
      <c r="BV143" s="155"/>
      <c r="BW143" s="152">
        <v>70</v>
      </c>
      <c r="BX143" s="153">
        <v>98</v>
      </c>
      <c r="BY143" s="153">
        <v>79</v>
      </c>
      <c r="BZ143" s="153">
        <v>60</v>
      </c>
      <c r="CA143" s="154">
        <v>68</v>
      </c>
      <c r="CB143" s="154">
        <v>57</v>
      </c>
      <c r="CC143" s="279">
        <v>39</v>
      </c>
      <c r="CD143" s="279">
        <v>26</v>
      </c>
      <c r="CE143" s="155"/>
      <c r="CF143" s="152">
        <v>7</v>
      </c>
      <c r="CG143" s="153">
        <v>7</v>
      </c>
      <c r="CH143" s="153">
        <v>7</v>
      </c>
      <c r="CI143" s="153">
        <v>3</v>
      </c>
      <c r="CJ143" s="154">
        <v>7</v>
      </c>
      <c r="CK143" s="154">
        <v>2</v>
      </c>
      <c r="CL143" s="279">
        <v>3</v>
      </c>
      <c r="CM143" s="279">
        <v>1</v>
      </c>
      <c r="CN143" s="155"/>
      <c r="CO143" s="152">
        <v>1</v>
      </c>
      <c r="CP143" s="153"/>
      <c r="CQ143" s="153"/>
      <c r="CR143" s="153"/>
      <c r="CS143" s="154"/>
      <c r="CT143" s="154"/>
      <c r="CU143" s="279"/>
      <c r="CV143" s="279">
        <v>1</v>
      </c>
      <c r="CW143" s="155"/>
      <c r="CX143" s="152">
        <v>781</v>
      </c>
      <c r="CY143" s="153">
        <v>798</v>
      </c>
      <c r="CZ143" s="153">
        <v>748</v>
      </c>
      <c r="DA143" s="153">
        <v>673</v>
      </c>
      <c r="DB143" s="154">
        <v>548</v>
      </c>
      <c r="DC143" s="154">
        <v>419</v>
      </c>
      <c r="DD143" s="279">
        <v>164</v>
      </c>
      <c r="DE143" s="279">
        <v>167</v>
      </c>
      <c r="DF143" s="155"/>
      <c r="DG143" s="152"/>
      <c r="DH143" s="153"/>
      <c r="DI143" s="153">
        <v>3</v>
      </c>
      <c r="DJ143" s="153">
        <v>2</v>
      </c>
      <c r="DK143" s="154"/>
      <c r="DL143" s="154"/>
      <c r="DM143" s="279"/>
      <c r="DN143" s="279"/>
      <c r="DO143" s="155"/>
      <c r="DP143" s="152">
        <v>18</v>
      </c>
      <c r="DQ143" s="153">
        <v>18</v>
      </c>
      <c r="DR143" s="153">
        <v>11</v>
      </c>
      <c r="DS143" s="153">
        <v>26</v>
      </c>
      <c r="DT143" s="154">
        <v>15</v>
      </c>
      <c r="DU143" s="154">
        <v>10</v>
      </c>
      <c r="DV143" s="279">
        <v>3</v>
      </c>
      <c r="DW143" s="279">
        <v>8</v>
      </c>
      <c r="DX143" s="155"/>
      <c r="DY143" s="152">
        <v>106</v>
      </c>
      <c r="DZ143" s="153">
        <v>80</v>
      </c>
      <c r="EA143" s="153">
        <v>67</v>
      </c>
      <c r="EB143" s="153">
        <v>102</v>
      </c>
      <c r="EC143" s="154">
        <v>124</v>
      </c>
      <c r="ED143" s="154">
        <v>84</v>
      </c>
      <c r="EE143" s="279">
        <v>41</v>
      </c>
      <c r="EF143" s="279">
        <v>39</v>
      </c>
      <c r="EG143" s="155"/>
      <c r="EH143" s="152">
        <v>6</v>
      </c>
      <c r="EI143" s="153">
        <v>12</v>
      </c>
      <c r="EJ143" s="153">
        <v>7</v>
      </c>
      <c r="EK143" s="153">
        <v>1</v>
      </c>
      <c r="EL143" s="154">
        <v>6</v>
      </c>
      <c r="EM143" s="154">
        <v>1</v>
      </c>
      <c r="EN143" s="279">
        <v>1</v>
      </c>
      <c r="EO143" s="279"/>
      <c r="EP143" s="155"/>
      <c r="EQ143" s="152">
        <v>1</v>
      </c>
      <c r="ER143" s="153">
        <v>1</v>
      </c>
      <c r="ES143" s="153">
        <v>2</v>
      </c>
      <c r="ET143" s="153">
        <v>1</v>
      </c>
      <c r="EU143" s="154">
        <v>4</v>
      </c>
      <c r="EV143" s="154">
        <v>4</v>
      </c>
      <c r="EW143" s="279">
        <v>1</v>
      </c>
      <c r="EX143" s="279">
        <v>3</v>
      </c>
      <c r="EY143" s="155"/>
      <c r="EZ143" s="152">
        <v>2</v>
      </c>
      <c r="FA143" s="153">
        <v>5</v>
      </c>
      <c r="FB143" s="153"/>
      <c r="FC143" s="153">
        <v>2</v>
      </c>
      <c r="FD143" s="154">
        <v>1</v>
      </c>
      <c r="FE143" s="154"/>
      <c r="FF143" s="279"/>
      <c r="FG143" s="279">
        <v>1</v>
      </c>
      <c r="FH143" s="155"/>
      <c r="FI143" s="152">
        <v>71</v>
      </c>
      <c r="FJ143" s="153">
        <v>63</v>
      </c>
      <c r="FK143" s="153">
        <v>37</v>
      </c>
      <c r="FL143" s="153">
        <v>35</v>
      </c>
      <c r="FM143" s="154">
        <v>23</v>
      </c>
      <c r="FN143" s="154">
        <v>18</v>
      </c>
      <c r="FO143" s="279">
        <v>10</v>
      </c>
      <c r="FP143" s="279">
        <v>15</v>
      </c>
      <c r="FQ143" s="155"/>
      <c r="FR143" s="152">
        <v>3</v>
      </c>
      <c r="FS143" s="153">
        <v>4</v>
      </c>
      <c r="FT143" s="153">
        <v>3</v>
      </c>
      <c r="FU143" s="153">
        <v>2</v>
      </c>
      <c r="FV143" s="154">
        <v>4</v>
      </c>
      <c r="FW143" s="154">
        <v>3</v>
      </c>
      <c r="FX143" s="279">
        <v>3</v>
      </c>
      <c r="FY143" s="279">
        <v>3</v>
      </c>
      <c r="FZ143" s="155"/>
      <c r="GA143" s="152">
        <v>5</v>
      </c>
      <c r="GB143" s="153">
        <v>2</v>
      </c>
      <c r="GC143" s="153">
        <v>7</v>
      </c>
      <c r="GD143" s="153">
        <v>2</v>
      </c>
      <c r="GE143" s="154">
        <v>1</v>
      </c>
      <c r="GF143" s="154">
        <v>8</v>
      </c>
      <c r="GG143" s="279">
        <v>4</v>
      </c>
      <c r="GH143" s="279">
        <v>3</v>
      </c>
      <c r="GI143" s="155"/>
      <c r="GJ143" s="152">
        <v>1090</v>
      </c>
      <c r="GK143" s="153">
        <v>1095</v>
      </c>
      <c r="GL143" s="153">
        <v>1000</v>
      </c>
      <c r="GM143" s="153">
        <v>872</v>
      </c>
      <c r="GN143" s="154">
        <v>750</v>
      </c>
      <c r="GO143" s="154">
        <v>584</v>
      </c>
      <c r="GP143" s="279">
        <v>319</v>
      </c>
      <c r="GQ143" s="279">
        <v>273</v>
      </c>
      <c r="GR143" s="155"/>
      <c r="GS143" s="152">
        <v>327</v>
      </c>
      <c r="GT143" s="153">
        <v>392</v>
      </c>
      <c r="GU143" s="153">
        <v>336</v>
      </c>
      <c r="GV143" s="153">
        <v>223</v>
      </c>
      <c r="GW143" s="154">
        <v>120</v>
      </c>
      <c r="GX143" s="154">
        <v>87</v>
      </c>
      <c r="GY143" s="279">
        <v>62</v>
      </c>
      <c r="GZ143" s="279">
        <v>59</v>
      </c>
      <c r="HA143" s="155"/>
      <c r="HB143" s="152">
        <v>5</v>
      </c>
      <c r="HC143" s="153">
        <v>1</v>
      </c>
      <c r="HD143" s="153"/>
      <c r="HE143" s="153">
        <v>2</v>
      </c>
      <c r="HF143" s="154">
        <v>3</v>
      </c>
      <c r="HG143" s="154">
        <v>3</v>
      </c>
      <c r="HH143" s="279">
        <v>1</v>
      </c>
      <c r="HI143" s="279"/>
      <c r="HJ143" s="155"/>
      <c r="HK143" s="152">
        <v>5</v>
      </c>
      <c r="HL143" s="153"/>
      <c r="HM143" s="153">
        <v>1</v>
      </c>
      <c r="HN143" s="153">
        <v>1</v>
      </c>
      <c r="HO143" s="154">
        <v>1</v>
      </c>
      <c r="HP143" s="154"/>
      <c r="HQ143" s="279"/>
      <c r="HR143" s="279"/>
      <c r="HS143" s="155"/>
      <c r="HT143" s="152">
        <v>456</v>
      </c>
      <c r="HU143" s="153">
        <v>498</v>
      </c>
      <c r="HV143" s="153">
        <v>427</v>
      </c>
      <c r="HW143" s="153">
        <v>314</v>
      </c>
      <c r="HX143" s="154">
        <v>233</v>
      </c>
      <c r="HY143" s="154">
        <v>191</v>
      </c>
      <c r="HZ143" s="279">
        <v>162</v>
      </c>
      <c r="IA143" s="279">
        <v>138</v>
      </c>
      <c r="IB143" s="155"/>
      <c r="IC143" s="152">
        <v>2020</v>
      </c>
      <c r="ID143" s="153">
        <v>1621</v>
      </c>
      <c r="IE143" s="153">
        <v>1556</v>
      </c>
      <c r="IF143" s="153">
        <v>1205</v>
      </c>
      <c r="IG143" s="154">
        <v>1059</v>
      </c>
      <c r="IH143" s="154">
        <v>1108</v>
      </c>
      <c r="II143" s="279">
        <v>624</v>
      </c>
      <c r="IJ143" s="279">
        <v>600</v>
      </c>
      <c r="IK143" s="155"/>
    </row>
    <row r="144" spans="1:245" x14ac:dyDescent="0.2">
      <c r="A144" s="961"/>
      <c r="B144" s="151" t="s">
        <v>734</v>
      </c>
      <c r="C144" s="152"/>
      <c r="D144" s="154"/>
      <c r="E144" s="154"/>
      <c r="F144" s="154"/>
      <c r="G144" s="154"/>
      <c r="H144" s="154"/>
      <c r="I144" s="279"/>
      <c r="J144" s="279"/>
      <c r="K144" s="155"/>
      <c r="L144" s="152"/>
      <c r="M144" s="154"/>
      <c r="N144" s="154"/>
      <c r="O144" s="154"/>
      <c r="P144" s="154"/>
      <c r="Q144" s="154"/>
      <c r="R144" s="279"/>
      <c r="S144" s="279"/>
      <c r="T144" s="155"/>
      <c r="U144" s="152"/>
      <c r="V144" s="154"/>
      <c r="W144" s="154"/>
      <c r="X144" s="154"/>
      <c r="Y144" s="154"/>
      <c r="Z144" s="154"/>
      <c r="AA144" s="279"/>
      <c r="AB144" s="279"/>
      <c r="AC144" s="155"/>
      <c r="AD144" s="152">
        <v>90</v>
      </c>
      <c r="AE144" s="154">
        <v>69</v>
      </c>
      <c r="AF144" s="154">
        <v>71</v>
      </c>
      <c r="AG144" s="154">
        <v>88</v>
      </c>
      <c r="AH144" s="154">
        <v>63</v>
      </c>
      <c r="AI144" s="154">
        <v>58</v>
      </c>
      <c r="AJ144" s="279">
        <v>60</v>
      </c>
      <c r="AK144" s="279">
        <v>62</v>
      </c>
      <c r="AL144" s="155"/>
      <c r="AM144" s="152">
        <v>47</v>
      </c>
      <c r="AN144" s="154">
        <v>42</v>
      </c>
      <c r="AO144" s="154">
        <v>40</v>
      </c>
      <c r="AP144" s="154">
        <v>62</v>
      </c>
      <c r="AQ144" s="154">
        <v>37</v>
      </c>
      <c r="AR144" s="154">
        <v>35</v>
      </c>
      <c r="AS144" s="279">
        <v>25</v>
      </c>
      <c r="AT144" s="279">
        <v>29</v>
      </c>
      <c r="AU144" s="155"/>
      <c r="AV144" s="152"/>
      <c r="AW144" s="154"/>
      <c r="AX144" s="154"/>
      <c r="AY144" s="154"/>
      <c r="AZ144" s="154"/>
      <c r="BA144" s="154"/>
      <c r="BB144" s="279"/>
      <c r="BC144" s="279"/>
      <c r="BD144" s="155"/>
      <c r="BE144" s="152">
        <v>3</v>
      </c>
      <c r="BF144" s="154">
        <v>6</v>
      </c>
      <c r="BG144" s="154">
        <v>3</v>
      </c>
      <c r="BH144" s="154"/>
      <c r="BI144" s="154">
        <v>2</v>
      </c>
      <c r="BJ144" s="154">
        <v>10</v>
      </c>
      <c r="BK144" s="279">
        <v>4</v>
      </c>
      <c r="BL144" s="279">
        <v>8</v>
      </c>
      <c r="BM144" s="155"/>
      <c r="BN144" s="152"/>
      <c r="BO144" s="154"/>
      <c r="BP144" s="154"/>
      <c r="BQ144" s="154"/>
      <c r="BR144" s="154"/>
      <c r="BS144" s="154"/>
      <c r="BT144" s="279"/>
      <c r="BU144" s="279"/>
      <c r="BV144" s="155"/>
      <c r="BW144" s="152">
        <v>36</v>
      </c>
      <c r="BX144" s="154">
        <v>52</v>
      </c>
      <c r="BY144" s="154">
        <v>56</v>
      </c>
      <c r="BZ144" s="154">
        <v>59</v>
      </c>
      <c r="CA144" s="154">
        <v>64</v>
      </c>
      <c r="CB144" s="154">
        <v>46</v>
      </c>
      <c r="CC144" s="279">
        <v>70</v>
      </c>
      <c r="CD144" s="279">
        <v>61</v>
      </c>
      <c r="CE144" s="155"/>
      <c r="CF144" s="152">
        <v>9</v>
      </c>
      <c r="CG144" s="154">
        <v>5</v>
      </c>
      <c r="CH144" s="154">
        <v>6</v>
      </c>
      <c r="CI144" s="154">
        <v>2</v>
      </c>
      <c r="CJ144" s="154"/>
      <c r="CK144" s="154"/>
      <c r="CL144" s="279">
        <v>2</v>
      </c>
      <c r="CM144" s="279">
        <v>6</v>
      </c>
      <c r="CN144" s="155"/>
      <c r="CO144" s="152"/>
      <c r="CP144" s="154">
        <v>3</v>
      </c>
      <c r="CQ144" s="154">
        <v>1</v>
      </c>
      <c r="CR144" s="154">
        <v>1</v>
      </c>
      <c r="CS144" s="154">
        <v>3</v>
      </c>
      <c r="CT144" s="154">
        <v>4</v>
      </c>
      <c r="CU144" s="279">
        <v>3</v>
      </c>
      <c r="CV144" s="279">
        <v>3</v>
      </c>
      <c r="CW144" s="155"/>
      <c r="CX144" s="152">
        <v>2549</v>
      </c>
      <c r="CY144" s="154">
        <v>2353</v>
      </c>
      <c r="CZ144" s="154">
        <v>2632</v>
      </c>
      <c r="DA144" s="154">
        <v>2800</v>
      </c>
      <c r="DB144" s="154">
        <v>1824</v>
      </c>
      <c r="DC144" s="154">
        <v>1492</v>
      </c>
      <c r="DD144" s="279">
        <v>872</v>
      </c>
      <c r="DE144" s="279">
        <v>960</v>
      </c>
      <c r="DF144" s="155"/>
      <c r="DG144" s="152">
        <v>46</v>
      </c>
      <c r="DH144" s="154">
        <v>26</v>
      </c>
      <c r="DI144" s="154">
        <v>51</v>
      </c>
      <c r="DJ144" s="154">
        <v>33</v>
      </c>
      <c r="DK144" s="154">
        <v>13</v>
      </c>
      <c r="DL144" s="154">
        <v>4</v>
      </c>
      <c r="DM144" s="279">
        <v>6</v>
      </c>
      <c r="DN144" s="279">
        <v>5</v>
      </c>
      <c r="DO144" s="155"/>
      <c r="DP144" s="152">
        <v>62</v>
      </c>
      <c r="DQ144" s="154">
        <v>55</v>
      </c>
      <c r="DR144" s="154">
        <v>118</v>
      </c>
      <c r="DS144" s="154">
        <v>78</v>
      </c>
      <c r="DT144" s="154">
        <v>80</v>
      </c>
      <c r="DU144" s="154">
        <v>69</v>
      </c>
      <c r="DV144" s="279">
        <v>13</v>
      </c>
      <c r="DW144" s="279">
        <v>16</v>
      </c>
      <c r="DX144" s="155"/>
      <c r="DY144" s="152">
        <v>368</v>
      </c>
      <c r="DZ144" s="154">
        <v>308</v>
      </c>
      <c r="EA144" s="154">
        <v>332</v>
      </c>
      <c r="EB144" s="154">
        <v>580</v>
      </c>
      <c r="EC144" s="154">
        <v>472</v>
      </c>
      <c r="ED144" s="154">
        <v>286</v>
      </c>
      <c r="EE144" s="279">
        <v>134</v>
      </c>
      <c r="EF144" s="279">
        <v>125</v>
      </c>
      <c r="EG144" s="155"/>
      <c r="EH144" s="152">
        <v>15</v>
      </c>
      <c r="EI144" s="154">
        <v>13</v>
      </c>
      <c r="EJ144" s="154">
        <v>10</v>
      </c>
      <c r="EK144" s="154">
        <v>18</v>
      </c>
      <c r="EL144" s="154">
        <v>6</v>
      </c>
      <c r="EM144" s="154">
        <v>4</v>
      </c>
      <c r="EN144" s="279">
        <v>4</v>
      </c>
      <c r="EO144" s="279">
        <v>8</v>
      </c>
      <c r="EP144" s="155"/>
      <c r="EQ144" s="152">
        <v>4</v>
      </c>
      <c r="ER144" s="154">
        <v>8</v>
      </c>
      <c r="ES144" s="154">
        <v>8</v>
      </c>
      <c r="ET144" s="154">
        <v>26</v>
      </c>
      <c r="EU144" s="154">
        <v>18</v>
      </c>
      <c r="EV144" s="154">
        <v>29</v>
      </c>
      <c r="EW144" s="279">
        <v>18</v>
      </c>
      <c r="EX144" s="279">
        <v>18</v>
      </c>
      <c r="EY144" s="155"/>
      <c r="EZ144" s="152">
        <v>4</v>
      </c>
      <c r="FA144" s="154">
        <v>3</v>
      </c>
      <c r="FB144" s="154">
        <v>1</v>
      </c>
      <c r="FC144" s="154">
        <v>1</v>
      </c>
      <c r="FD144" s="154"/>
      <c r="FE144" s="154"/>
      <c r="FF144" s="279">
        <v>1</v>
      </c>
      <c r="FG144" s="279">
        <v>1</v>
      </c>
      <c r="FH144" s="155"/>
      <c r="FI144" s="152">
        <v>160</v>
      </c>
      <c r="FJ144" s="154">
        <v>132</v>
      </c>
      <c r="FK144" s="154">
        <v>103</v>
      </c>
      <c r="FL144" s="154">
        <v>68</v>
      </c>
      <c r="FM144" s="154">
        <v>58</v>
      </c>
      <c r="FN144" s="154">
        <v>84</v>
      </c>
      <c r="FO144" s="279">
        <v>47</v>
      </c>
      <c r="FP144" s="279">
        <v>44</v>
      </c>
      <c r="FQ144" s="155"/>
      <c r="FR144" s="152">
        <v>5</v>
      </c>
      <c r="FS144" s="154">
        <v>4</v>
      </c>
      <c r="FT144" s="154">
        <v>6</v>
      </c>
      <c r="FU144" s="154"/>
      <c r="FV144" s="154"/>
      <c r="FW144" s="154">
        <v>5</v>
      </c>
      <c r="FX144" s="279">
        <v>2</v>
      </c>
      <c r="FY144" s="279">
        <v>3</v>
      </c>
      <c r="FZ144" s="155"/>
      <c r="GA144" s="152">
        <v>3</v>
      </c>
      <c r="GB144" s="154">
        <v>6</v>
      </c>
      <c r="GC144" s="154">
        <v>5</v>
      </c>
      <c r="GD144" s="154">
        <v>6</v>
      </c>
      <c r="GE144" s="154">
        <v>3</v>
      </c>
      <c r="GF144" s="154">
        <v>7</v>
      </c>
      <c r="GG144" s="279">
        <v>7</v>
      </c>
      <c r="GH144" s="279">
        <v>5</v>
      </c>
      <c r="GI144" s="155"/>
      <c r="GJ144" s="152">
        <v>2878</v>
      </c>
      <c r="GK144" s="154">
        <v>2654</v>
      </c>
      <c r="GL144" s="154">
        <v>2902</v>
      </c>
      <c r="GM144" s="154">
        <v>3069</v>
      </c>
      <c r="GN144" s="154">
        <v>2041</v>
      </c>
      <c r="GO144" s="154">
        <v>1739</v>
      </c>
      <c r="GP144" s="279">
        <v>1090</v>
      </c>
      <c r="GQ144" s="279">
        <v>1179</v>
      </c>
      <c r="GR144" s="155"/>
      <c r="GS144" s="152">
        <v>760</v>
      </c>
      <c r="GT144" s="154">
        <v>738</v>
      </c>
      <c r="GU144" s="154">
        <v>844</v>
      </c>
      <c r="GV144" s="154">
        <v>533</v>
      </c>
      <c r="GW144" s="154">
        <v>304</v>
      </c>
      <c r="GX144" s="154">
        <v>198</v>
      </c>
      <c r="GY144" s="279">
        <v>101</v>
      </c>
      <c r="GZ144" s="279">
        <v>294</v>
      </c>
      <c r="HA144" s="155"/>
      <c r="HB144" s="152">
        <v>1</v>
      </c>
      <c r="HC144" s="154">
        <v>4</v>
      </c>
      <c r="HD144" s="154">
        <v>2</v>
      </c>
      <c r="HE144" s="154">
        <v>7</v>
      </c>
      <c r="HF144" s="154">
        <v>5</v>
      </c>
      <c r="HG144" s="154">
        <v>1</v>
      </c>
      <c r="HH144" s="279">
        <v>1</v>
      </c>
      <c r="HI144" s="279">
        <v>3</v>
      </c>
      <c r="HJ144" s="155"/>
      <c r="HK144" s="152"/>
      <c r="HL144" s="154">
        <v>2</v>
      </c>
      <c r="HM144" s="154">
        <v>5</v>
      </c>
      <c r="HN144" s="154">
        <v>1</v>
      </c>
      <c r="HO144" s="154">
        <v>2</v>
      </c>
      <c r="HP144" s="154">
        <v>2</v>
      </c>
      <c r="HQ144" s="279"/>
      <c r="HR144" s="279"/>
      <c r="HS144" s="155"/>
      <c r="HT144" s="152">
        <v>931</v>
      </c>
      <c r="HU144" s="154">
        <v>923</v>
      </c>
      <c r="HV144" s="154">
        <v>998</v>
      </c>
      <c r="HW144" s="154">
        <v>742</v>
      </c>
      <c r="HX144" s="154">
        <v>558</v>
      </c>
      <c r="HY144" s="154">
        <v>420</v>
      </c>
      <c r="HZ144" s="279">
        <v>376</v>
      </c>
      <c r="IA144" s="279">
        <v>542</v>
      </c>
      <c r="IB144" s="155"/>
      <c r="IC144" s="152">
        <v>6658</v>
      </c>
      <c r="ID144" s="154">
        <v>6048</v>
      </c>
      <c r="IE144" s="154">
        <v>6931</v>
      </c>
      <c r="IF144" s="154">
        <v>3984</v>
      </c>
      <c r="IG144" s="154">
        <v>3372</v>
      </c>
      <c r="IH144" s="154">
        <v>2794</v>
      </c>
      <c r="II144" s="279">
        <v>2465</v>
      </c>
      <c r="IJ144" s="279">
        <v>1909</v>
      </c>
      <c r="IK144" s="155"/>
    </row>
    <row r="145" spans="1:245" ht="13.5" thickBot="1" x14ac:dyDescent="0.25">
      <c r="A145" s="961"/>
      <c r="B145" s="156" t="s">
        <v>735</v>
      </c>
      <c r="C145" s="157"/>
      <c r="D145" s="158"/>
      <c r="E145" s="158"/>
      <c r="F145" s="158"/>
      <c r="G145" s="158"/>
      <c r="H145" s="158"/>
      <c r="I145" s="280"/>
      <c r="J145" s="280"/>
      <c r="K145" s="159"/>
      <c r="L145" s="157"/>
      <c r="M145" s="158"/>
      <c r="N145" s="158"/>
      <c r="O145" s="158"/>
      <c r="P145" s="158"/>
      <c r="Q145" s="158"/>
      <c r="R145" s="280"/>
      <c r="S145" s="280"/>
      <c r="T145" s="159"/>
      <c r="U145" s="157"/>
      <c r="V145" s="158"/>
      <c r="W145" s="158"/>
      <c r="X145" s="158"/>
      <c r="Y145" s="158"/>
      <c r="Z145" s="158"/>
      <c r="AA145" s="280"/>
      <c r="AB145" s="280"/>
      <c r="AC145" s="159"/>
      <c r="AD145" s="157"/>
      <c r="AE145" s="158"/>
      <c r="AF145" s="158"/>
      <c r="AG145" s="158"/>
      <c r="AH145" s="158">
        <v>5</v>
      </c>
      <c r="AI145" s="158"/>
      <c r="AJ145" s="280"/>
      <c r="AK145" s="280"/>
      <c r="AL145" s="159"/>
      <c r="AM145" s="157"/>
      <c r="AN145" s="158"/>
      <c r="AO145" s="158"/>
      <c r="AP145" s="158"/>
      <c r="AQ145" s="158">
        <v>4</v>
      </c>
      <c r="AR145" s="158"/>
      <c r="AS145" s="280"/>
      <c r="AT145" s="280"/>
      <c r="AU145" s="159"/>
      <c r="AV145" s="157"/>
      <c r="AW145" s="158"/>
      <c r="AX145" s="158"/>
      <c r="AY145" s="158"/>
      <c r="AZ145" s="158"/>
      <c r="BA145" s="158"/>
      <c r="BB145" s="280"/>
      <c r="BC145" s="280"/>
      <c r="BD145" s="159"/>
      <c r="BE145" s="157"/>
      <c r="BF145" s="158"/>
      <c r="BG145" s="158"/>
      <c r="BH145" s="158"/>
      <c r="BI145" s="158"/>
      <c r="BJ145" s="158"/>
      <c r="BK145" s="280"/>
      <c r="BL145" s="280"/>
      <c r="BM145" s="159"/>
      <c r="BN145" s="157"/>
      <c r="BO145" s="158"/>
      <c r="BP145" s="158"/>
      <c r="BQ145" s="158"/>
      <c r="BR145" s="158"/>
      <c r="BS145" s="158"/>
      <c r="BT145" s="280"/>
      <c r="BU145" s="280"/>
      <c r="BV145" s="159"/>
      <c r="BW145" s="157"/>
      <c r="BX145" s="158"/>
      <c r="BY145" s="158"/>
      <c r="BZ145" s="158"/>
      <c r="CA145" s="158">
        <v>1</v>
      </c>
      <c r="CB145" s="158"/>
      <c r="CC145" s="280"/>
      <c r="CD145" s="280"/>
      <c r="CE145" s="159"/>
      <c r="CF145" s="157"/>
      <c r="CG145" s="158"/>
      <c r="CH145" s="158"/>
      <c r="CI145" s="158"/>
      <c r="CJ145" s="158"/>
      <c r="CK145" s="158"/>
      <c r="CL145" s="280"/>
      <c r="CM145" s="280"/>
      <c r="CN145" s="159"/>
      <c r="CO145" s="157"/>
      <c r="CP145" s="158"/>
      <c r="CQ145" s="158"/>
      <c r="CR145" s="158"/>
      <c r="CS145" s="158"/>
      <c r="CT145" s="158"/>
      <c r="CU145" s="280"/>
      <c r="CV145" s="280"/>
      <c r="CW145" s="159"/>
      <c r="CX145" s="157">
        <v>26</v>
      </c>
      <c r="CY145" s="158">
        <v>22</v>
      </c>
      <c r="CZ145" s="158">
        <v>8</v>
      </c>
      <c r="DA145" s="158">
        <v>8</v>
      </c>
      <c r="DB145" s="158">
        <v>10</v>
      </c>
      <c r="DC145" s="158">
        <v>8</v>
      </c>
      <c r="DD145" s="280">
        <v>6</v>
      </c>
      <c r="DE145" s="280">
        <v>6</v>
      </c>
      <c r="DF145" s="159"/>
      <c r="DG145" s="157"/>
      <c r="DH145" s="158"/>
      <c r="DI145" s="158"/>
      <c r="DJ145" s="158"/>
      <c r="DK145" s="158"/>
      <c r="DL145" s="158"/>
      <c r="DM145" s="280"/>
      <c r="DN145" s="280"/>
      <c r="DO145" s="159"/>
      <c r="DP145" s="157"/>
      <c r="DQ145" s="158"/>
      <c r="DR145" s="158"/>
      <c r="DS145" s="158"/>
      <c r="DT145" s="158"/>
      <c r="DU145" s="158"/>
      <c r="DV145" s="280">
        <v>1</v>
      </c>
      <c r="DW145" s="280"/>
      <c r="DX145" s="159"/>
      <c r="DY145" s="157"/>
      <c r="DZ145" s="158"/>
      <c r="EA145" s="158"/>
      <c r="EB145" s="158"/>
      <c r="EC145" s="158"/>
      <c r="ED145" s="158"/>
      <c r="EE145" s="280"/>
      <c r="EF145" s="280"/>
      <c r="EG145" s="159"/>
      <c r="EH145" s="157"/>
      <c r="EI145" s="158"/>
      <c r="EJ145" s="158"/>
      <c r="EK145" s="158"/>
      <c r="EL145" s="158"/>
      <c r="EM145" s="158"/>
      <c r="EN145" s="280"/>
      <c r="EO145" s="280"/>
      <c r="EP145" s="159"/>
      <c r="EQ145" s="157"/>
      <c r="ER145" s="158"/>
      <c r="ES145" s="158"/>
      <c r="ET145" s="158"/>
      <c r="EU145" s="158"/>
      <c r="EV145" s="158"/>
      <c r="EW145" s="280"/>
      <c r="EX145" s="280"/>
      <c r="EY145" s="159"/>
      <c r="EZ145" s="157"/>
      <c r="FA145" s="158"/>
      <c r="FB145" s="158"/>
      <c r="FC145" s="158"/>
      <c r="FD145" s="158"/>
      <c r="FE145" s="158"/>
      <c r="FF145" s="280"/>
      <c r="FG145" s="280"/>
      <c r="FH145" s="159"/>
      <c r="FI145" s="157"/>
      <c r="FJ145" s="158"/>
      <c r="FK145" s="158">
        <v>3</v>
      </c>
      <c r="FL145" s="158"/>
      <c r="FM145" s="158">
        <v>1</v>
      </c>
      <c r="FN145" s="158"/>
      <c r="FO145" s="280">
        <v>1</v>
      </c>
      <c r="FP145" s="280"/>
      <c r="FQ145" s="159"/>
      <c r="FR145" s="157"/>
      <c r="FS145" s="158"/>
      <c r="FT145" s="158"/>
      <c r="FU145" s="158">
        <v>2</v>
      </c>
      <c r="FV145" s="158"/>
      <c r="FW145" s="158"/>
      <c r="FX145" s="280"/>
      <c r="FY145" s="280"/>
      <c r="FZ145" s="159"/>
      <c r="GA145" s="157"/>
      <c r="GB145" s="158"/>
      <c r="GC145" s="158">
        <v>2</v>
      </c>
      <c r="GD145" s="158">
        <v>1</v>
      </c>
      <c r="GE145" s="158"/>
      <c r="GF145" s="158"/>
      <c r="GG145" s="280"/>
      <c r="GH145" s="280"/>
      <c r="GI145" s="159"/>
      <c r="GJ145" s="157">
        <v>26</v>
      </c>
      <c r="GK145" s="158">
        <v>22</v>
      </c>
      <c r="GL145" s="158">
        <v>13</v>
      </c>
      <c r="GM145" s="158">
        <v>11</v>
      </c>
      <c r="GN145" s="158">
        <v>17</v>
      </c>
      <c r="GO145" s="158">
        <v>8</v>
      </c>
      <c r="GP145" s="280">
        <v>7</v>
      </c>
      <c r="GQ145" s="280">
        <v>6</v>
      </c>
      <c r="GR145" s="159"/>
      <c r="GS145" s="157">
        <v>26</v>
      </c>
      <c r="GT145" s="158">
        <v>22</v>
      </c>
      <c r="GU145" s="158">
        <v>13</v>
      </c>
      <c r="GV145" s="158">
        <v>7</v>
      </c>
      <c r="GW145" s="158">
        <v>3</v>
      </c>
      <c r="GX145" s="158">
        <v>5</v>
      </c>
      <c r="GY145" s="280">
        <v>6</v>
      </c>
      <c r="GZ145" s="280">
        <v>1</v>
      </c>
      <c r="HA145" s="159"/>
      <c r="HB145" s="157"/>
      <c r="HC145" s="158"/>
      <c r="HD145" s="158"/>
      <c r="HE145" s="158"/>
      <c r="HF145" s="158">
        <v>1</v>
      </c>
      <c r="HG145" s="158"/>
      <c r="HH145" s="280"/>
      <c r="HI145" s="280"/>
      <c r="HJ145" s="159"/>
      <c r="HK145" s="157"/>
      <c r="HL145" s="158">
        <v>1</v>
      </c>
      <c r="HM145" s="158">
        <v>1</v>
      </c>
      <c r="HN145" s="158"/>
      <c r="HO145" s="158"/>
      <c r="HP145" s="158"/>
      <c r="HQ145" s="280">
        <v>2</v>
      </c>
      <c r="HR145" s="280"/>
      <c r="HS145" s="159"/>
      <c r="HT145" s="157">
        <v>35</v>
      </c>
      <c r="HU145" s="158">
        <v>27</v>
      </c>
      <c r="HV145" s="158">
        <v>19</v>
      </c>
      <c r="HW145" s="158">
        <v>13</v>
      </c>
      <c r="HX145" s="158">
        <v>8</v>
      </c>
      <c r="HY145" s="158">
        <v>7</v>
      </c>
      <c r="HZ145" s="280">
        <v>18</v>
      </c>
      <c r="IA145" s="280">
        <v>5</v>
      </c>
      <c r="IB145" s="159"/>
      <c r="IC145" s="157">
        <v>45</v>
      </c>
      <c r="ID145" s="158">
        <v>29</v>
      </c>
      <c r="IE145" s="158">
        <v>23</v>
      </c>
      <c r="IF145" s="158">
        <v>18</v>
      </c>
      <c r="IG145" s="158">
        <v>45</v>
      </c>
      <c r="IH145" s="158">
        <v>28</v>
      </c>
      <c r="II145" s="280">
        <v>31</v>
      </c>
      <c r="IJ145" s="280">
        <v>24</v>
      </c>
      <c r="IK145" s="159"/>
    </row>
    <row r="146" spans="1:245" ht="13.5" thickBot="1" x14ac:dyDescent="0.25">
      <c r="A146" s="962"/>
      <c r="B146" s="277" t="s">
        <v>789</v>
      </c>
      <c r="C146" s="193">
        <v>11</v>
      </c>
      <c r="D146" s="194">
        <v>8</v>
      </c>
      <c r="E146" s="194">
        <v>11</v>
      </c>
      <c r="F146" s="194">
        <v>9</v>
      </c>
      <c r="G146" s="194">
        <v>12</v>
      </c>
      <c r="H146" s="194">
        <v>7</v>
      </c>
      <c r="I146" s="194">
        <v>11</v>
      </c>
      <c r="J146" s="194">
        <v>3</v>
      </c>
      <c r="K146" s="195"/>
      <c r="L146" s="193">
        <v>5</v>
      </c>
      <c r="M146" s="194">
        <v>2</v>
      </c>
      <c r="N146" s="194">
        <v>7</v>
      </c>
      <c r="O146" s="194">
        <v>5</v>
      </c>
      <c r="P146" s="194">
        <v>7</v>
      </c>
      <c r="Q146" s="194">
        <v>4</v>
      </c>
      <c r="R146" s="194">
        <v>7</v>
      </c>
      <c r="S146" s="194">
        <v>2</v>
      </c>
      <c r="T146" s="195"/>
      <c r="U146" s="193">
        <v>3</v>
      </c>
      <c r="V146" s="194">
        <v>4</v>
      </c>
      <c r="W146" s="194">
        <v>4</v>
      </c>
      <c r="X146" s="194">
        <v>3</v>
      </c>
      <c r="Y146" s="194">
        <v>5</v>
      </c>
      <c r="Z146" s="194">
        <v>3</v>
      </c>
      <c r="AA146" s="194">
        <v>3</v>
      </c>
      <c r="AB146" s="194">
        <v>1</v>
      </c>
      <c r="AC146" s="195"/>
      <c r="AD146" s="193">
        <v>532</v>
      </c>
      <c r="AE146" s="194">
        <v>434</v>
      </c>
      <c r="AF146" s="194">
        <v>474</v>
      </c>
      <c r="AG146" s="194">
        <v>488</v>
      </c>
      <c r="AH146" s="194">
        <v>492</v>
      </c>
      <c r="AI146" s="194">
        <v>395</v>
      </c>
      <c r="AJ146" s="194">
        <v>455</v>
      </c>
      <c r="AK146" s="194">
        <v>390</v>
      </c>
      <c r="AL146" s="195"/>
      <c r="AM146" s="193">
        <v>287</v>
      </c>
      <c r="AN146" s="194">
        <v>227</v>
      </c>
      <c r="AO146" s="194">
        <v>238</v>
      </c>
      <c r="AP146" s="194">
        <v>261</v>
      </c>
      <c r="AQ146" s="194">
        <v>220</v>
      </c>
      <c r="AR146" s="194">
        <v>164</v>
      </c>
      <c r="AS146" s="194">
        <v>187</v>
      </c>
      <c r="AT146" s="194">
        <v>141</v>
      </c>
      <c r="AU146" s="195"/>
      <c r="AV146" s="193">
        <v>2</v>
      </c>
      <c r="AW146" s="194">
        <v>1</v>
      </c>
      <c r="AX146" s="194"/>
      <c r="AY146" s="194">
        <v>1</v>
      </c>
      <c r="AZ146" s="194"/>
      <c r="BA146" s="194"/>
      <c r="BB146" s="194">
        <v>1</v>
      </c>
      <c r="BC146" s="194"/>
      <c r="BD146" s="195"/>
      <c r="BE146" s="193">
        <v>55</v>
      </c>
      <c r="BF146" s="194">
        <v>96</v>
      </c>
      <c r="BG146" s="194">
        <v>48</v>
      </c>
      <c r="BH146" s="194">
        <v>63</v>
      </c>
      <c r="BI146" s="194">
        <v>53</v>
      </c>
      <c r="BJ146" s="194">
        <v>44</v>
      </c>
      <c r="BK146" s="194">
        <v>71</v>
      </c>
      <c r="BL146" s="194">
        <v>30</v>
      </c>
      <c r="BM146" s="195"/>
      <c r="BN146" s="193"/>
      <c r="BO146" s="194"/>
      <c r="BP146" s="194">
        <v>1</v>
      </c>
      <c r="BQ146" s="194">
        <v>1</v>
      </c>
      <c r="BR146" s="194"/>
      <c r="BS146" s="194">
        <v>1</v>
      </c>
      <c r="BT146" s="194">
        <v>2</v>
      </c>
      <c r="BU146" s="194">
        <v>3</v>
      </c>
      <c r="BV146" s="195"/>
      <c r="BW146" s="193">
        <v>233</v>
      </c>
      <c r="BX146" s="194">
        <v>315</v>
      </c>
      <c r="BY146" s="194">
        <v>367</v>
      </c>
      <c r="BZ146" s="194">
        <v>387</v>
      </c>
      <c r="CA146" s="194">
        <v>398</v>
      </c>
      <c r="CB146" s="194">
        <v>265</v>
      </c>
      <c r="CC146" s="194">
        <v>294</v>
      </c>
      <c r="CD146" s="194">
        <v>248</v>
      </c>
      <c r="CE146" s="195"/>
      <c r="CF146" s="193">
        <v>35</v>
      </c>
      <c r="CG146" s="194">
        <v>23</v>
      </c>
      <c r="CH146" s="194">
        <v>29</v>
      </c>
      <c r="CI146" s="194">
        <v>18</v>
      </c>
      <c r="CJ146" s="194">
        <v>14</v>
      </c>
      <c r="CK146" s="194">
        <v>15</v>
      </c>
      <c r="CL146" s="194">
        <v>15</v>
      </c>
      <c r="CM146" s="194">
        <v>14</v>
      </c>
      <c r="CN146" s="195"/>
      <c r="CO146" s="193">
        <v>9</v>
      </c>
      <c r="CP146" s="194">
        <v>7</v>
      </c>
      <c r="CQ146" s="194">
        <v>2</v>
      </c>
      <c r="CR146" s="194">
        <v>9</v>
      </c>
      <c r="CS146" s="194">
        <v>8</v>
      </c>
      <c r="CT146" s="194">
        <v>8</v>
      </c>
      <c r="CU146" s="194">
        <v>15</v>
      </c>
      <c r="CV146" s="194">
        <v>21</v>
      </c>
      <c r="CW146" s="195"/>
      <c r="CX146" s="193">
        <v>8407</v>
      </c>
      <c r="CY146" s="194">
        <v>8222</v>
      </c>
      <c r="CZ146" s="194">
        <v>8335</v>
      </c>
      <c r="DA146" s="194">
        <v>8131</v>
      </c>
      <c r="DB146" s="194">
        <v>5570</v>
      </c>
      <c r="DC146" s="194">
        <v>4500</v>
      </c>
      <c r="DD146" s="194">
        <v>2827</v>
      </c>
      <c r="DE146" s="194">
        <v>2648</v>
      </c>
      <c r="DF146" s="195"/>
      <c r="DG146" s="193">
        <v>65</v>
      </c>
      <c r="DH146" s="194">
        <v>52</v>
      </c>
      <c r="DI146" s="194">
        <v>81</v>
      </c>
      <c r="DJ146" s="194">
        <v>67</v>
      </c>
      <c r="DK146" s="194">
        <v>25</v>
      </c>
      <c r="DL146" s="194">
        <v>6</v>
      </c>
      <c r="DM146" s="194">
        <v>20</v>
      </c>
      <c r="DN146" s="194">
        <v>15</v>
      </c>
      <c r="DO146" s="195"/>
      <c r="DP146" s="193">
        <v>264</v>
      </c>
      <c r="DQ146" s="194">
        <v>164</v>
      </c>
      <c r="DR146" s="194">
        <v>228</v>
      </c>
      <c r="DS146" s="194">
        <v>264</v>
      </c>
      <c r="DT146" s="194">
        <v>188</v>
      </c>
      <c r="DU146" s="194">
        <v>143</v>
      </c>
      <c r="DV146" s="194">
        <v>63</v>
      </c>
      <c r="DW146" s="194">
        <v>85</v>
      </c>
      <c r="DX146" s="195"/>
      <c r="DY146" s="193">
        <v>1386</v>
      </c>
      <c r="DZ146" s="194">
        <v>1170</v>
      </c>
      <c r="EA146" s="194">
        <v>1198</v>
      </c>
      <c r="EB146" s="194">
        <v>1603</v>
      </c>
      <c r="EC146" s="194">
        <v>1357</v>
      </c>
      <c r="ED146" s="194">
        <v>1044</v>
      </c>
      <c r="EE146" s="194">
        <v>621</v>
      </c>
      <c r="EF146" s="194">
        <v>526</v>
      </c>
      <c r="EG146" s="195"/>
      <c r="EH146" s="193">
        <v>53</v>
      </c>
      <c r="EI146" s="194">
        <v>67</v>
      </c>
      <c r="EJ146" s="194">
        <v>59</v>
      </c>
      <c r="EK146" s="194">
        <v>53</v>
      </c>
      <c r="EL146" s="194">
        <v>44</v>
      </c>
      <c r="EM146" s="194">
        <v>34</v>
      </c>
      <c r="EN146" s="194">
        <v>22</v>
      </c>
      <c r="EO146" s="194">
        <v>13</v>
      </c>
      <c r="EP146" s="195"/>
      <c r="EQ146" s="193">
        <v>14</v>
      </c>
      <c r="ER146" s="194">
        <v>29</v>
      </c>
      <c r="ES146" s="194">
        <v>19</v>
      </c>
      <c r="ET146" s="194">
        <v>40</v>
      </c>
      <c r="EU146" s="194">
        <v>30</v>
      </c>
      <c r="EV146" s="194">
        <v>49</v>
      </c>
      <c r="EW146" s="194">
        <v>37</v>
      </c>
      <c r="EX146" s="194">
        <v>33</v>
      </c>
      <c r="EY146" s="195"/>
      <c r="EZ146" s="193">
        <v>22</v>
      </c>
      <c r="FA146" s="194">
        <v>24</v>
      </c>
      <c r="FB146" s="194">
        <v>23</v>
      </c>
      <c r="FC146" s="194">
        <v>17</v>
      </c>
      <c r="FD146" s="194">
        <v>2</v>
      </c>
      <c r="FE146" s="194">
        <v>8</v>
      </c>
      <c r="FF146" s="194">
        <v>11</v>
      </c>
      <c r="FG146" s="194">
        <v>5</v>
      </c>
      <c r="FH146" s="195"/>
      <c r="FI146" s="193">
        <v>549</v>
      </c>
      <c r="FJ146" s="194">
        <v>452</v>
      </c>
      <c r="FK146" s="194">
        <v>361</v>
      </c>
      <c r="FL146" s="194">
        <v>272</v>
      </c>
      <c r="FM146" s="194">
        <v>205</v>
      </c>
      <c r="FN146" s="194">
        <v>228</v>
      </c>
      <c r="FO146" s="194">
        <v>144</v>
      </c>
      <c r="FP146" s="194">
        <v>159</v>
      </c>
      <c r="FQ146" s="195"/>
      <c r="FR146" s="193">
        <v>30</v>
      </c>
      <c r="FS146" s="194">
        <v>34</v>
      </c>
      <c r="FT146" s="194">
        <v>27</v>
      </c>
      <c r="FU146" s="194">
        <v>19</v>
      </c>
      <c r="FV146" s="194">
        <v>18</v>
      </c>
      <c r="FW146" s="194">
        <v>10</v>
      </c>
      <c r="FX146" s="194">
        <v>14</v>
      </c>
      <c r="FY146" s="194">
        <v>11</v>
      </c>
      <c r="FZ146" s="195"/>
      <c r="GA146" s="193">
        <v>32</v>
      </c>
      <c r="GB146" s="194">
        <v>24</v>
      </c>
      <c r="GC146" s="194">
        <v>20</v>
      </c>
      <c r="GD146" s="194">
        <v>21</v>
      </c>
      <c r="GE146" s="194">
        <v>17</v>
      </c>
      <c r="GF146" s="194">
        <v>33</v>
      </c>
      <c r="GG146" s="194">
        <v>30</v>
      </c>
      <c r="GH146" s="194">
        <v>28</v>
      </c>
      <c r="GI146" s="195"/>
      <c r="GJ146" s="193">
        <v>9982</v>
      </c>
      <c r="GK146" s="194">
        <v>9735</v>
      </c>
      <c r="GL146" s="194">
        <v>9776</v>
      </c>
      <c r="GM146" s="194">
        <v>9528</v>
      </c>
      <c r="GN146" s="194">
        <v>6863</v>
      </c>
      <c r="GO146" s="194">
        <v>5597</v>
      </c>
      <c r="GP146" s="194">
        <v>3948</v>
      </c>
      <c r="GQ146" s="194">
        <v>3606</v>
      </c>
      <c r="GR146" s="195"/>
      <c r="GS146" s="193">
        <v>2934</v>
      </c>
      <c r="GT146" s="194">
        <v>2712</v>
      </c>
      <c r="GU146" s="194">
        <v>2895</v>
      </c>
      <c r="GV146" s="194">
        <v>2062</v>
      </c>
      <c r="GW146" s="194">
        <v>1093</v>
      </c>
      <c r="GX146" s="194">
        <v>743</v>
      </c>
      <c r="GY146" s="194">
        <v>565</v>
      </c>
      <c r="GZ146" s="194">
        <v>835</v>
      </c>
      <c r="HA146" s="195"/>
      <c r="HB146" s="193">
        <v>21</v>
      </c>
      <c r="HC146" s="194">
        <v>18</v>
      </c>
      <c r="HD146" s="194">
        <v>7</v>
      </c>
      <c r="HE146" s="194">
        <v>25</v>
      </c>
      <c r="HF146" s="194">
        <v>21</v>
      </c>
      <c r="HG146" s="194">
        <v>14</v>
      </c>
      <c r="HH146" s="194">
        <v>13</v>
      </c>
      <c r="HI146" s="194">
        <v>10</v>
      </c>
      <c r="HJ146" s="195"/>
      <c r="HK146" s="193">
        <v>12</v>
      </c>
      <c r="HL146" s="194">
        <v>6</v>
      </c>
      <c r="HM146" s="194">
        <v>12</v>
      </c>
      <c r="HN146" s="194">
        <v>8</v>
      </c>
      <c r="HO146" s="194">
        <v>6</v>
      </c>
      <c r="HP146" s="194">
        <v>5</v>
      </c>
      <c r="HQ146" s="194">
        <v>5</v>
      </c>
      <c r="HR146" s="194">
        <v>4</v>
      </c>
      <c r="HS146" s="195"/>
      <c r="HT146" s="193">
        <v>3688</v>
      </c>
      <c r="HU146" s="194">
        <v>3410</v>
      </c>
      <c r="HV146" s="194">
        <v>3498</v>
      </c>
      <c r="HW146" s="194">
        <v>2742</v>
      </c>
      <c r="HX146" s="194">
        <v>1861</v>
      </c>
      <c r="HY146" s="194">
        <v>1532</v>
      </c>
      <c r="HZ146" s="194">
        <v>1588</v>
      </c>
      <c r="IA146" s="194">
        <v>1756</v>
      </c>
      <c r="IB146" s="195"/>
      <c r="IC146" s="193">
        <v>20981</v>
      </c>
      <c r="ID146" s="194">
        <v>18666</v>
      </c>
      <c r="IE146" s="194">
        <v>18658</v>
      </c>
      <c r="IF146" s="194">
        <v>13387</v>
      </c>
      <c r="IG146" s="194">
        <v>11467</v>
      </c>
      <c r="IH146" s="194">
        <v>10935</v>
      </c>
      <c r="II146" s="194">
        <v>7876</v>
      </c>
      <c r="IJ146" s="194">
        <v>7137</v>
      </c>
      <c r="IK146" s="195"/>
    </row>
    <row r="147" spans="1:245" x14ac:dyDescent="0.2">
      <c r="A147" s="960" t="s">
        <v>601</v>
      </c>
      <c r="B147" s="247" t="s">
        <v>602</v>
      </c>
      <c r="C147" s="285">
        <v>13</v>
      </c>
      <c r="D147" s="161">
        <v>18</v>
      </c>
      <c r="E147" s="161">
        <v>12</v>
      </c>
      <c r="F147" s="161">
        <v>10</v>
      </c>
      <c r="G147" s="162">
        <v>9</v>
      </c>
      <c r="H147" s="162">
        <v>8</v>
      </c>
      <c r="I147" s="281">
        <v>10</v>
      </c>
      <c r="J147" s="281">
        <v>4</v>
      </c>
      <c r="K147" s="163"/>
      <c r="L147" s="285">
        <v>6</v>
      </c>
      <c r="M147" s="161">
        <v>5</v>
      </c>
      <c r="N147" s="161">
        <v>6</v>
      </c>
      <c r="O147" s="161">
        <v>4</v>
      </c>
      <c r="P147" s="162">
        <v>3</v>
      </c>
      <c r="Q147" s="162">
        <v>3</v>
      </c>
      <c r="R147" s="281">
        <v>5</v>
      </c>
      <c r="S147" s="281">
        <v>3</v>
      </c>
      <c r="T147" s="163"/>
      <c r="U147" s="285">
        <v>7</v>
      </c>
      <c r="V147" s="161">
        <v>10</v>
      </c>
      <c r="W147" s="161">
        <v>4</v>
      </c>
      <c r="X147" s="161">
        <v>6</v>
      </c>
      <c r="Y147" s="162">
        <v>4</v>
      </c>
      <c r="Z147" s="162">
        <v>3</v>
      </c>
      <c r="AA147" s="281">
        <v>3</v>
      </c>
      <c r="AB147" s="281">
        <v>1</v>
      </c>
      <c r="AC147" s="163"/>
      <c r="AD147" s="285">
        <v>30</v>
      </c>
      <c r="AE147" s="161">
        <v>36</v>
      </c>
      <c r="AF147" s="161">
        <v>25</v>
      </c>
      <c r="AG147" s="161">
        <v>35</v>
      </c>
      <c r="AH147" s="162">
        <v>25</v>
      </c>
      <c r="AI147" s="162">
        <v>26</v>
      </c>
      <c r="AJ147" s="281">
        <v>18</v>
      </c>
      <c r="AK147" s="281">
        <v>13</v>
      </c>
      <c r="AL147" s="163"/>
      <c r="AM147" s="285">
        <v>29</v>
      </c>
      <c r="AN147" s="161">
        <v>33</v>
      </c>
      <c r="AO147" s="161">
        <v>19</v>
      </c>
      <c r="AP147" s="161">
        <v>31</v>
      </c>
      <c r="AQ147" s="162">
        <v>23</v>
      </c>
      <c r="AR147" s="162">
        <v>24</v>
      </c>
      <c r="AS147" s="281">
        <v>17</v>
      </c>
      <c r="AT147" s="281">
        <v>13</v>
      </c>
      <c r="AU147" s="163"/>
      <c r="AV147" s="285"/>
      <c r="AW147" s="161">
        <v>1</v>
      </c>
      <c r="AX147" s="161"/>
      <c r="AY147" s="161">
        <v>3</v>
      </c>
      <c r="AZ147" s="162"/>
      <c r="BA147" s="162">
        <v>3</v>
      </c>
      <c r="BB147" s="281">
        <v>1</v>
      </c>
      <c r="BC147" s="281">
        <v>1</v>
      </c>
      <c r="BD147" s="163"/>
      <c r="BE147" s="285">
        <v>2</v>
      </c>
      <c r="BF147" s="161">
        <v>12</v>
      </c>
      <c r="BG147" s="161"/>
      <c r="BH147" s="161">
        <v>1</v>
      </c>
      <c r="BI147" s="162">
        <v>9</v>
      </c>
      <c r="BJ147" s="162">
        <v>3</v>
      </c>
      <c r="BK147" s="281">
        <v>5</v>
      </c>
      <c r="BL147" s="281">
        <v>1</v>
      </c>
      <c r="BM147" s="163"/>
      <c r="BN147" s="285">
        <v>7</v>
      </c>
      <c r="BO147" s="161">
        <v>3</v>
      </c>
      <c r="BP147" s="161">
        <v>5</v>
      </c>
      <c r="BQ147" s="161">
        <v>9</v>
      </c>
      <c r="BR147" s="162">
        <v>15</v>
      </c>
      <c r="BS147" s="162">
        <v>20</v>
      </c>
      <c r="BT147" s="281">
        <v>9</v>
      </c>
      <c r="BU147" s="281">
        <v>8</v>
      </c>
      <c r="BV147" s="163"/>
      <c r="BW147" s="285">
        <v>2</v>
      </c>
      <c r="BX147" s="161">
        <v>1</v>
      </c>
      <c r="BY147" s="161">
        <v>2</v>
      </c>
      <c r="BZ147" s="161">
        <v>6</v>
      </c>
      <c r="CA147" s="162">
        <v>1</v>
      </c>
      <c r="CB147" s="162">
        <v>6</v>
      </c>
      <c r="CC147" s="281">
        <v>2</v>
      </c>
      <c r="CD147" s="281"/>
      <c r="CE147" s="163"/>
      <c r="CF147" s="285">
        <v>1</v>
      </c>
      <c r="CG147" s="161"/>
      <c r="CH147" s="161"/>
      <c r="CI147" s="161"/>
      <c r="CJ147" s="162"/>
      <c r="CK147" s="162">
        <v>1</v>
      </c>
      <c r="CL147" s="281"/>
      <c r="CM147" s="281"/>
      <c r="CN147" s="163"/>
      <c r="CO147" s="285">
        <v>3</v>
      </c>
      <c r="CP147" s="161">
        <v>7</v>
      </c>
      <c r="CQ147" s="161">
        <v>1</v>
      </c>
      <c r="CR147" s="161"/>
      <c r="CS147" s="162">
        <v>11</v>
      </c>
      <c r="CT147" s="162">
        <v>7</v>
      </c>
      <c r="CU147" s="281">
        <v>1</v>
      </c>
      <c r="CV147" s="281">
        <v>1</v>
      </c>
      <c r="CW147" s="163"/>
      <c r="CX147" s="285">
        <v>25</v>
      </c>
      <c r="CY147" s="161">
        <v>10</v>
      </c>
      <c r="CZ147" s="161">
        <v>22</v>
      </c>
      <c r="DA147" s="161">
        <v>9</v>
      </c>
      <c r="DB147" s="162">
        <v>11</v>
      </c>
      <c r="DC147" s="162">
        <v>6</v>
      </c>
      <c r="DD147" s="281">
        <v>17</v>
      </c>
      <c r="DE147" s="281">
        <v>8</v>
      </c>
      <c r="DF147" s="163"/>
      <c r="DG147" s="285"/>
      <c r="DH147" s="161"/>
      <c r="DI147" s="161"/>
      <c r="DJ147" s="161"/>
      <c r="DK147" s="162">
        <v>1</v>
      </c>
      <c r="DL147" s="162"/>
      <c r="DM147" s="281"/>
      <c r="DN147" s="281"/>
      <c r="DO147" s="163"/>
      <c r="DP147" s="285"/>
      <c r="DQ147" s="161"/>
      <c r="DR147" s="161">
        <v>1</v>
      </c>
      <c r="DS147" s="161"/>
      <c r="DT147" s="162"/>
      <c r="DU147" s="162"/>
      <c r="DV147" s="281"/>
      <c r="DW147" s="281"/>
      <c r="DX147" s="163"/>
      <c r="DY147" s="285">
        <v>1</v>
      </c>
      <c r="DZ147" s="161">
        <v>2</v>
      </c>
      <c r="EA147" s="161">
        <v>3</v>
      </c>
      <c r="EB147" s="161"/>
      <c r="EC147" s="162"/>
      <c r="ED147" s="162"/>
      <c r="EE147" s="281"/>
      <c r="EF147" s="281"/>
      <c r="EG147" s="163"/>
      <c r="EH147" s="285">
        <v>11</v>
      </c>
      <c r="EI147" s="161">
        <v>4</v>
      </c>
      <c r="EJ147" s="161">
        <v>4</v>
      </c>
      <c r="EK147" s="161">
        <v>7</v>
      </c>
      <c r="EL147" s="162">
        <v>4</v>
      </c>
      <c r="EM147" s="162">
        <v>2</v>
      </c>
      <c r="EN147" s="281">
        <v>1</v>
      </c>
      <c r="EO147" s="281">
        <v>1</v>
      </c>
      <c r="EP147" s="163"/>
      <c r="EQ147" s="285"/>
      <c r="ER147" s="161"/>
      <c r="ES147" s="161">
        <v>1</v>
      </c>
      <c r="ET147" s="161"/>
      <c r="EU147" s="162"/>
      <c r="EV147" s="162">
        <v>1</v>
      </c>
      <c r="EW147" s="281"/>
      <c r="EX147" s="281">
        <v>1</v>
      </c>
      <c r="EY147" s="163"/>
      <c r="EZ147" s="285">
        <v>2</v>
      </c>
      <c r="FA147" s="161">
        <v>7</v>
      </c>
      <c r="FB147" s="161">
        <v>10</v>
      </c>
      <c r="FC147" s="161">
        <v>7</v>
      </c>
      <c r="FD147" s="162"/>
      <c r="FE147" s="162"/>
      <c r="FF147" s="281"/>
      <c r="FG147" s="281">
        <v>1</v>
      </c>
      <c r="FH147" s="163"/>
      <c r="FI147" s="285">
        <v>1</v>
      </c>
      <c r="FJ147" s="161">
        <v>2</v>
      </c>
      <c r="FK147" s="161">
        <v>2</v>
      </c>
      <c r="FL147" s="161"/>
      <c r="FM147" s="162">
        <v>1</v>
      </c>
      <c r="FN147" s="162">
        <v>21</v>
      </c>
      <c r="FO147" s="281"/>
      <c r="FP147" s="281"/>
      <c r="FQ147" s="163"/>
      <c r="FR147" s="285"/>
      <c r="FS147" s="161">
        <v>2</v>
      </c>
      <c r="FT147" s="161"/>
      <c r="FU147" s="161">
        <v>2</v>
      </c>
      <c r="FV147" s="162">
        <v>5</v>
      </c>
      <c r="FW147" s="162"/>
      <c r="FX147" s="281">
        <v>3</v>
      </c>
      <c r="FY147" s="281">
        <v>2</v>
      </c>
      <c r="FZ147" s="163"/>
      <c r="GA147" s="285"/>
      <c r="GB147" s="161"/>
      <c r="GC147" s="161"/>
      <c r="GD147" s="161"/>
      <c r="GE147" s="162"/>
      <c r="GF147" s="162"/>
      <c r="GG147" s="281"/>
      <c r="GH147" s="281"/>
      <c r="GI147" s="163"/>
      <c r="GJ147" s="285">
        <v>97</v>
      </c>
      <c r="GK147" s="161">
        <v>102</v>
      </c>
      <c r="GL147" s="161">
        <v>84</v>
      </c>
      <c r="GM147" s="161">
        <v>86</v>
      </c>
      <c r="GN147" s="162">
        <v>91</v>
      </c>
      <c r="GO147" s="162">
        <v>101</v>
      </c>
      <c r="GP147" s="281">
        <v>66</v>
      </c>
      <c r="GQ147" s="281">
        <v>40</v>
      </c>
      <c r="GR147" s="163"/>
      <c r="GS147" s="285">
        <v>24</v>
      </c>
      <c r="GT147" s="161">
        <v>17</v>
      </c>
      <c r="GU147" s="161">
        <v>19</v>
      </c>
      <c r="GV147" s="161">
        <v>23</v>
      </c>
      <c r="GW147" s="162">
        <v>35</v>
      </c>
      <c r="GX147" s="162">
        <v>51</v>
      </c>
      <c r="GY147" s="281">
        <v>10</v>
      </c>
      <c r="GZ147" s="281">
        <v>7</v>
      </c>
      <c r="HA147" s="163"/>
      <c r="HB147" s="285">
        <v>3</v>
      </c>
      <c r="HC147" s="161">
        <v>4</v>
      </c>
      <c r="HD147" s="161">
        <v>2</v>
      </c>
      <c r="HE147" s="161">
        <v>1</v>
      </c>
      <c r="HF147" s="162">
        <v>4</v>
      </c>
      <c r="HG147" s="162">
        <v>3</v>
      </c>
      <c r="HH147" s="281">
        <v>4</v>
      </c>
      <c r="HI147" s="281">
        <v>2</v>
      </c>
      <c r="HJ147" s="163"/>
      <c r="HK147" s="285">
        <v>1</v>
      </c>
      <c r="HL147" s="161"/>
      <c r="HM147" s="161"/>
      <c r="HN147" s="161"/>
      <c r="HO147" s="162"/>
      <c r="HP147" s="162"/>
      <c r="HQ147" s="281"/>
      <c r="HR147" s="281"/>
      <c r="HS147" s="163"/>
      <c r="HT147" s="285">
        <v>70</v>
      </c>
      <c r="HU147" s="161">
        <v>68</v>
      </c>
      <c r="HV147" s="161">
        <v>52</v>
      </c>
      <c r="HW147" s="161">
        <v>49</v>
      </c>
      <c r="HX147" s="162">
        <v>56</v>
      </c>
      <c r="HY147" s="162">
        <v>109</v>
      </c>
      <c r="HZ147" s="281">
        <v>30</v>
      </c>
      <c r="IA147" s="281">
        <v>27</v>
      </c>
      <c r="IB147" s="163"/>
      <c r="IC147" s="285">
        <v>607</v>
      </c>
      <c r="ID147" s="161">
        <v>427</v>
      </c>
      <c r="IE147" s="161">
        <v>1290</v>
      </c>
      <c r="IF147" s="161">
        <v>261</v>
      </c>
      <c r="IG147" s="162">
        <v>1057</v>
      </c>
      <c r="IH147" s="162">
        <v>3588</v>
      </c>
      <c r="II147" s="281">
        <v>469</v>
      </c>
      <c r="IJ147" s="281">
        <v>608</v>
      </c>
      <c r="IK147" s="163"/>
    </row>
    <row r="148" spans="1:245" x14ac:dyDescent="0.2">
      <c r="A148" s="961"/>
      <c r="B148" s="151" t="s">
        <v>775</v>
      </c>
      <c r="C148" s="152"/>
      <c r="D148" s="153"/>
      <c r="E148" s="153"/>
      <c r="F148" s="153"/>
      <c r="G148" s="154"/>
      <c r="H148" s="154"/>
      <c r="I148" s="279"/>
      <c r="J148" s="279"/>
      <c r="K148" s="155"/>
      <c r="L148" s="152"/>
      <c r="M148" s="153"/>
      <c r="N148" s="153"/>
      <c r="O148" s="153"/>
      <c r="P148" s="154"/>
      <c r="Q148" s="154"/>
      <c r="R148" s="279"/>
      <c r="S148" s="279"/>
      <c r="T148" s="155"/>
      <c r="U148" s="152"/>
      <c r="V148" s="153"/>
      <c r="W148" s="153"/>
      <c r="X148" s="153"/>
      <c r="Y148" s="154"/>
      <c r="Z148" s="154"/>
      <c r="AA148" s="279"/>
      <c r="AB148" s="279"/>
      <c r="AC148" s="155"/>
      <c r="AD148" s="152">
        <v>580</v>
      </c>
      <c r="AE148" s="153">
        <v>438</v>
      </c>
      <c r="AF148" s="153">
        <v>470</v>
      </c>
      <c r="AG148" s="153">
        <v>545</v>
      </c>
      <c r="AH148" s="154">
        <v>417</v>
      </c>
      <c r="AI148" s="154">
        <v>404</v>
      </c>
      <c r="AJ148" s="279">
        <v>315</v>
      </c>
      <c r="AK148" s="279">
        <v>276</v>
      </c>
      <c r="AL148" s="155"/>
      <c r="AM148" s="152">
        <v>482</v>
      </c>
      <c r="AN148" s="153">
        <v>321</v>
      </c>
      <c r="AO148" s="153">
        <v>305</v>
      </c>
      <c r="AP148" s="153">
        <v>356</v>
      </c>
      <c r="AQ148" s="154">
        <v>227</v>
      </c>
      <c r="AR148" s="154">
        <v>222</v>
      </c>
      <c r="AS148" s="279">
        <v>150</v>
      </c>
      <c r="AT148" s="279">
        <v>159</v>
      </c>
      <c r="AU148" s="155"/>
      <c r="AV148" s="152"/>
      <c r="AW148" s="153">
        <v>1</v>
      </c>
      <c r="AX148" s="153"/>
      <c r="AY148" s="153"/>
      <c r="AZ148" s="154"/>
      <c r="BA148" s="154"/>
      <c r="BB148" s="279"/>
      <c r="BC148" s="279"/>
      <c r="BD148" s="155"/>
      <c r="BE148" s="152">
        <v>69</v>
      </c>
      <c r="BF148" s="153">
        <v>66</v>
      </c>
      <c r="BG148" s="153">
        <v>71</v>
      </c>
      <c r="BH148" s="153">
        <v>66</v>
      </c>
      <c r="BI148" s="154">
        <v>56</v>
      </c>
      <c r="BJ148" s="154">
        <v>54</v>
      </c>
      <c r="BK148" s="279">
        <v>53</v>
      </c>
      <c r="BL148" s="279">
        <v>64</v>
      </c>
      <c r="BM148" s="155"/>
      <c r="BN148" s="152"/>
      <c r="BO148" s="153"/>
      <c r="BP148" s="153"/>
      <c r="BQ148" s="153"/>
      <c r="BR148" s="154"/>
      <c r="BS148" s="154"/>
      <c r="BT148" s="279"/>
      <c r="BU148" s="279"/>
      <c r="BV148" s="155"/>
      <c r="BW148" s="152">
        <v>265</v>
      </c>
      <c r="BX148" s="153">
        <v>318</v>
      </c>
      <c r="BY148" s="153">
        <v>377</v>
      </c>
      <c r="BZ148" s="153">
        <v>441</v>
      </c>
      <c r="CA148" s="154">
        <v>364</v>
      </c>
      <c r="CB148" s="154">
        <v>358</v>
      </c>
      <c r="CC148" s="279">
        <v>235</v>
      </c>
      <c r="CD148" s="279">
        <v>248</v>
      </c>
      <c r="CE148" s="155"/>
      <c r="CF148" s="152">
        <v>19</v>
      </c>
      <c r="CG148" s="153">
        <v>13</v>
      </c>
      <c r="CH148" s="153">
        <v>20</v>
      </c>
      <c r="CI148" s="153">
        <v>16</v>
      </c>
      <c r="CJ148" s="154">
        <v>21</v>
      </c>
      <c r="CK148" s="154">
        <v>7</v>
      </c>
      <c r="CL148" s="279">
        <v>7</v>
      </c>
      <c r="CM148" s="279">
        <v>11</v>
      </c>
      <c r="CN148" s="155"/>
      <c r="CO148" s="152">
        <v>14</v>
      </c>
      <c r="CP148" s="153">
        <v>11</v>
      </c>
      <c r="CQ148" s="153">
        <v>4</v>
      </c>
      <c r="CR148" s="153">
        <v>4</v>
      </c>
      <c r="CS148" s="154">
        <v>19</v>
      </c>
      <c r="CT148" s="154">
        <v>9</v>
      </c>
      <c r="CU148" s="279">
        <v>9</v>
      </c>
      <c r="CV148" s="279">
        <v>23</v>
      </c>
      <c r="CW148" s="155"/>
      <c r="CX148" s="152">
        <v>3555</v>
      </c>
      <c r="CY148" s="153">
        <v>3256</v>
      </c>
      <c r="CZ148" s="153">
        <v>3473</v>
      </c>
      <c r="DA148" s="153">
        <v>3466</v>
      </c>
      <c r="DB148" s="154">
        <v>2798</v>
      </c>
      <c r="DC148" s="154">
        <v>2408</v>
      </c>
      <c r="DD148" s="279">
        <v>2031</v>
      </c>
      <c r="DE148" s="279">
        <v>1766</v>
      </c>
      <c r="DF148" s="155"/>
      <c r="DG148" s="152">
        <v>14</v>
      </c>
      <c r="DH148" s="153">
        <v>15</v>
      </c>
      <c r="DI148" s="153">
        <v>19</v>
      </c>
      <c r="DJ148" s="153">
        <v>18</v>
      </c>
      <c r="DK148" s="154">
        <v>13</v>
      </c>
      <c r="DL148" s="154">
        <v>5</v>
      </c>
      <c r="DM148" s="279">
        <v>8</v>
      </c>
      <c r="DN148" s="279">
        <v>16</v>
      </c>
      <c r="DO148" s="155"/>
      <c r="DP148" s="152">
        <v>127</v>
      </c>
      <c r="DQ148" s="153">
        <v>151</v>
      </c>
      <c r="DR148" s="153">
        <v>93</v>
      </c>
      <c r="DS148" s="153">
        <v>68</v>
      </c>
      <c r="DT148" s="154">
        <v>84</v>
      </c>
      <c r="DU148" s="154">
        <v>70</v>
      </c>
      <c r="DV148" s="279">
        <v>34</v>
      </c>
      <c r="DW148" s="279">
        <v>57</v>
      </c>
      <c r="DX148" s="155"/>
      <c r="DY148" s="152">
        <v>551</v>
      </c>
      <c r="DZ148" s="153">
        <v>405</v>
      </c>
      <c r="EA148" s="153">
        <v>445</v>
      </c>
      <c r="EB148" s="153">
        <v>460</v>
      </c>
      <c r="EC148" s="154">
        <v>390</v>
      </c>
      <c r="ED148" s="154">
        <v>374</v>
      </c>
      <c r="EE148" s="279">
        <v>310</v>
      </c>
      <c r="EF148" s="279">
        <v>259</v>
      </c>
      <c r="EG148" s="155"/>
      <c r="EH148" s="152">
        <v>46</v>
      </c>
      <c r="EI148" s="153">
        <v>44</v>
      </c>
      <c r="EJ148" s="153">
        <v>40</v>
      </c>
      <c r="EK148" s="153">
        <v>42</v>
      </c>
      <c r="EL148" s="154">
        <v>43</v>
      </c>
      <c r="EM148" s="154">
        <v>23</v>
      </c>
      <c r="EN148" s="279">
        <v>12</v>
      </c>
      <c r="EO148" s="279">
        <v>22</v>
      </c>
      <c r="EP148" s="155"/>
      <c r="EQ148" s="152">
        <v>12</v>
      </c>
      <c r="ER148" s="153">
        <v>5</v>
      </c>
      <c r="ES148" s="153">
        <v>17</v>
      </c>
      <c r="ET148" s="153">
        <v>31</v>
      </c>
      <c r="EU148" s="154">
        <v>36</v>
      </c>
      <c r="EV148" s="154">
        <v>44</v>
      </c>
      <c r="EW148" s="279">
        <v>36</v>
      </c>
      <c r="EX148" s="279">
        <v>36</v>
      </c>
      <c r="EY148" s="155"/>
      <c r="EZ148" s="152">
        <v>58</v>
      </c>
      <c r="FA148" s="153">
        <v>17</v>
      </c>
      <c r="FB148" s="153">
        <v>20</v>
      </c>
      <c r="FC148" s="153">
        <v>28</v>
      </c>
      <c r="FD148" s="154">
        <v>16</v>
      </c>
      <c r="FE148" s="154">
        <v>14</v>
      </c>
      <c r="FF148" s="279">
        <v>27</v>
      </c>
      <c r="FG148" s="279">
        <v>7</v>
      </c>
      <c r="FH148" s="155"/>
      <c r="FI148" s="152">
        <v>242</v>
      </c>
      <c r="FJ148" s="153">
        <v>279</v>
      </c>
      <c r="FK148" s="153">
        <v>175</v>
      </c>
      <c r="FL148" s="153">
        <v>137</v>
      </c>
      <c r="FM148" s="154">
        <v>154</v>
      </c>
      <c r="FN148" s="154">
        <v>156</v>
      </c>
      <c r="FO148" s="279">
        <v>154</v>
      </c>
      <c r="FP148" s="279">
        <v>128</v>
      </c>
      <c r="FQ148" s="155"/>
      <c r="FR148" s="152">
        <v>24</v>
      </c>
      <c r="FS148" s="153">
        <v>26</v>
      </c>
      <c r="FT148" s="153">
        <v>14</v>
      </c>
      <c r="FU148" s="153">
        <v>18</v>
      </c>
      <c r="FV148" s="154">
        <v>5</v>
      </c>
      <c r="FW148" s="154">
        <v>18</v>
      </c>
      <c r="FX148" s="279">
        <v>24</v>
      </c>
      <c r="FY148" s="279">
        <v>11</v>
      </c>
      <c r="FZ148" s="155"/>
      <c r="GA148" s="152">
        <v>21</v>
      </c>
      <c r="GB148" s="153">
        <v>14</v>
      </c>
      <c r="GC148" s="153">
        <v>12</v>
      </c>
      <c r="GD148" s="153">
        <v>10</v>
      </c>
      <c r="GE148" s="154">
        <v>16</v>
      </c>
      <c r="GF148" s="154">
        <v>21</v>
      </c>
      <c r="GG148" s="279">
        <v>27</v>
      </c>
      <c r="GH148" s="279">
        <v>29</v>
      </c>
      <c r="GI148" s="155"/>
      <c r="GJ148" s="152">
        <v>4905</v>
      </c>
      <c r="GK148" s="153">
        <v>4487</v>
      </c>
      <c r="GL148" s="153">
        <v>4693</v>
      </c>
      <c r="GM148" s="153">
        <v>4804</v>
      </c>
      <c r="GN148" s="154">
        <v>3945</v>
      </c>
      <c r="GO148" s="154">
        <v>3516</v>
      </c>
      <c r="GP148" s="279">
        <v>2930</v>
      </c>
      <c r="GQ148" s="279">
        <v>2621</v>
      </c>
      <c r="GR148" s="155"/>
      <c r="GS148" s="152">
        <v>1530</v>
      </c>
      <c r="GT148" s="153">
        <v>1526</v>
      </c>
      <c r="GU148" s="153">
        <v>1523</v>
      </c>
      <c r="GV148" s="153">
        <v>1383</v>
      </c>
      <c r="GW148" s="154">
        <v>791</v>
      </c>
      <c r="GX148" s="154">
        <v>676</v>
      </c>
      <c r="GY148" s="279">
        <v>575</v>
      </c>
      <c r="GZ148" s="279">
        <v>573</v>
      </c>
      <c r="HA148" s="155"/>
      <c r="HB148" s="152">
        <v>30</v>
      </c>
      <c r="HC148" s="153">
        <v>21</v>
      </c>
      <c r="HD148" s="153">
        <v>18</v>
      </c>
      <c r="HE148" s="153">
        <v>16</v>
      </c>
      <c r="HF148" s="154">
        <v>21</v>
      </c>
      <c r="HG148" s="154">
        <v>14</v>
      </c>
      <c r="HH148" s="279">
        <v>19</v>
      </c>
      <c r="HI148" s="279">
        <v>17</v>
      </c>
      <c r="HJ148" s="155"/>
      <c r="HK148" s="152">
        <v>15</v>
      </c>
      <c r="HL148" s="153">
        <v>7</v>
      </c>
      <c r="HM148" s="153">
        <v>3</v>
      </c>
      <c r="HN148" s="153">
        <v>7</v>
      </c>
      <c r="HO148" s="154">
        <v>6</v>
      </c>
      <c r="HP148" s="154">
        <v>9</v>
      </c>
      <c r="HQ148" s="279">
        <v>7</v>
      </c>
      <c r="HR148" s="279">
        <v>4</v>
      </c>
      <c r="HS148" s="155"/>
      <c r="HT148" s="152">
        <v>2156</v>
      </c>
      <c r="HU148" s="153">
        <v>1979</v>
      </c>
      <c r="HV148" s="153">
        <v>1940</v>
      </c>
      <c r="HW148" s="153">
        <v>1840</v>
      </c>
      <c r="HX148" s="154">
        <v>1218</v>
      </c>
      <c r="HY148" s="154">
        <v>1021</v>
      </c>
      <c r="HZ148" s="279">
        <v>985</v>
      </c>
      <c r="IA148" s="279">
        <v>1345</v>
      </c>
      <c r="IB148" s="155"/>
      <c r="IC148" s="152">
        <v>9098</v>
      </c>
      <c r="ID148" s="153">
        <v>8093</v>
      </c>
      <c r="IE148" s="153">
        <v>8168</v>
      </c>
      <c r="IF148" s="153">
        <v>8270</v>
      </c>
      <c r="IG148" s="154">
        <v>5912</v>
      </c>
      <c r="IH148" s="154">
        <v>5666</v>
      </c>
      <c r="II148" s="279">
        <v>4993</v>
      </c>
      <c r="IJ148" s="279">
        <v>5022</v>
      </c>
      <c r="IK148" s="155"/>
    </row>
    <row r="149" spans="1:245" x14ac:dyDescent="0.2">
      <c r="A149" s="961"/>
      <c r="B149" s="151" t="s">
        <v>736</v>
      </c>
      <c r="C149" s="152"/>
      <c r="D149" s="153"/>
      <c r="E149" s="153"/>
      <c r="F149" s="153"/>
      <c r="G149" s="154"/>
      <c r="H149" s="154"/>
      <c r="I149" s="279"/>
      <c r="J149" s="279"/>
      <c r="K149" s="155"/>
      <c r="L149" s="152"/>
      <c r="M149" s="153"/>
      <c r="N149" s="153"/>
      <c r="O149" s="153"/>
      <c r="P149" s="154"/>
      <c r="Q149" s="154"/>
      <c r="R149" s="279"/>
      <c r="S149" s="279"/>
      <c r="T149" s="155"/>
      <c r="U149" s="152"/>
      <c r="V149" s="153"/>
      <c r="W149" s="153"/>
      <c r="X149" s="153"/>
      <c r="Y149" s="154"/>
      <c r="Z149" s="154"/>
      <c r="AA149" s="279"/>
      <c r="AB149" s="279"/>
      <c r="AC149" s="155"/>
      <c r="AD149" s="152">
        <v>121</v>
      </c>
      <c r="AE149" s="153">
        <v>105</v>
      </c>
      <c r="AF149" s="153">
        <v>117</v>
      </c>
      <c r="AG149" s="153">
        <v>158</v>
      </c>
      <c r="AH149" s="154">
        <v>94</v>
      </c>
      <c r="AI149" s="154">
        <v>89</v>
      </c>
      <c r="AJ149" s="279">
        <v>93</v>
      </c>
      <c r="AK149" s="279">
        <v>57</v>
      </c>
      <c r="AL149" s="155"/>
      <c r="AM149" s="152">
        <v>54</v>
      </c>
      <c r="AN149" s="153">
        <v>57</v>
      </c>
      <c r="AO149" s="153">
        <v>62</v>
      </c>
      <c r="AP149" s="153">
        <v>86</v>
      </c>
      <c r="AQ149" s="154">
        <v>48</v>
      </c>
      <c r="AR149" s="154">
        <v>33</v>
      </c>
      <c r="AS149" s="279">
        <v>40</v>
      </c>
      <c r="AT149" s="279">
        <v>28</v>
      </c>
      <c r="AU149" s="155"/>
      <c r="AV149" s="152"/>
      <c r="AW149" s="153"/>
      <c r="AX149" s="153"/>
      <c r="AY149" s="153"/>
      <c r="AZ149" s="154"/>
      <c r="BA149" s="154"/>
      <c r="BB149" s="279"/>
      <c r="BC149" s="279"/>
      <c r="BD149" s="155"/>
      <c r="BE149" s="152">
        <v>7</v>
      </c>
      <c r="BF149" s="153">
        <v>8</v>
      </c>
      <c r="BG149" s="153">
        <v>8</v>
      </c>
      <c r="BH149" s="153">
        <v>15</v>
      </c>
      <c r="BI149" s="154">
        <v>6</v>
      </c>
      <c r="BJ149" s="154">
        <v>14</v>
      </c>
      <c r="BK149" s="279">
        <v>15</v>
      </c>
      <c r="BL149" s="279">
        <v>4</v>
      </c>
      <c r="BM149" s="155"/>
      <c r="BN149" s="152">
        <v>5</v>
      </c>
      <c r="BO149" s="153">
        <v>3</v>
      </c>
      <c r="BP149" s="153"/>
      <c r="BQ149" s="153"/>
      <c r="BR149" s="154"/>
      <c r="BS149" s="154"/>
      <c r="BT149" s="279"/>
      <c r="BU149" s="279"/>
      <c r="BV149" s="155"/>
      <c r="BW149" s="152">
        <v>121</v>
      </c>
      <c r="BX149" s="153">
        <v>100</v>
      </c>
      <c r="BY149" s="153">
        <v>116</v>
      </c>
      <c r="BZ149" s="153">
        <v>145</v>
      </c>
      <c r="CA149" s="154">
        <v>89</v>
      </c>
      <c r="CB149" s="154">
        <v>95</v>
      </c>
      <c r="CC149" s="279">
        <v>67</v>
      </c>
      <c r="CD149" s="279">
        <v>48</v>
      </c>
      <c r="CE149" s="155"/>
      <c r="CF149" s="152">
        <v>8</v>
      </c>
      <c r="CG149" s="153">
        <v>3</v>
      </c>
      <c r="CH149" s="153">
        <v>4</v>
      </c>
      <c r="CI149" s="153">
        <v>4</v>
      </c>
      <c r="CJ149" s="154">
        <v>3</v>
      </c>
      <c r="CK149" s="154">
        <v>3</v>
      </c>
      <c r="CL149" s="279">
        <v>4</v>
      </c>
      <c r="CM149" s="279">
        <v>1</v>
      </c>
      <c r="CN149" s="155"/>
      <c r="CO149" s="152"/>
      <c r="CP149" s="153">
        <v>2</v>
      </c>
      <c r="CQ149" s="153"/>
      <c r="CR149" s="153"/>
      <c r="CS149" s="154"/>
      <c r="CT149" s="154">
        <v>1</v>
      </c>
      <c r="CU149" s="279"/>
      <c r="CV149" s="279"/>
      <c r="CW149" s="155"/>
      <c r="CX149" s="152">
        <v>292</v>
      </c>
      <c r="CY149" s="153">
        <v>262</v>
      </c>
      <c r="CZ149" s="153">
        <v>261</v>
      </c>
      <c r="DA149" s="153">
        <v>327</v>
      </c>
      <c r="DB149" s="154">
        <v>246</v>
      </c>
      <c r="DC149" s="154">
        <v>258</v>
      </c>
      <c r="DD149" s="279">
        <v>210</v>
      </c>
      <c r="DE149" s="279">
        <v>191</v>
      </c>
      <c r="DF149" s="155"/>
      <c r="DG149" s="152">
        <v>1</v>
      </c>
      <c r="DH149" s="153">
        <v>4</v>
      </c>
      <c r="DI149" s="153">
        <v>2</v>
      </c>
      <c r="DJ149" s="153">
        <v>6</v>
      </c>
      <c r="DK149" s="154">
        <v>2</v>
      </c>
      <c r="DL149" s="154">
        <v>1</v>
      </c>
      <c r="DM149" s="279"/>
      <c r="DN149" s="279"/>
      <c r="DO149" s="155"/>
      <c r="DP149" s="152"/>
      <c r="DQ149" s="153">
        <v>1</v>
      </c>
      <c r="DR149" s="153">
        <v>3</v>
      </c>
      <c r="DS149" s="153">
        <v>5</v>
      </c>
      <c r="DT149" s="154">
        <v>2</v>
      </c>
      <c r="DU149" s="154">
        <v>11</v>
      </c>
      <c r="DV149" s="279">
        <v>2</v>
      </c>
      <c r="DW149" s="279">
        <v>1</v>
      </c>
      <c r="DX149" s="155"/>
      <c r="DY149" s="152">
        <v>20</v>
      </c>
      <c r="DZ149" s="153">
        <v>29</v>
      </c>
      <c r="EA149" s="153">
        <v>24</v>
      </c>
      <c r="EB149" s="153">
        <v>45</v>
      </c>
      <c r="EC149" s="154">
        <v>29</v>
      </c>
      <c r="ED149" s="154">
        <v>57</v>
      </c>
      <c r="EE149" s="279">
        <v>40</v>
      </c>
      <c r="EF149" s="279">
        <v>39</v>
      </c>
      <c r="EG149" s="155"/>
      <c r="EH149" s="152">
        <v>2</v>
      </c>
      <c r="EI149" s="153">
        <v>5</v>
      </c>
      <c r="EJ149" s="153">
        <v>3</v>
      </c>
      <c r="EK149" s="153">
        <v>2</v>
      </c>
      <c r="EL149" s="154">
        <v>6</v>
      </c>
      <c r="EM149" s="154">
        <v>5</v>
      </c>
      <c r="EN149" s="279">
        <v>2</v>
      </c>
      <c r="EO149" s="279">
        <v>3</v>
      </c>
      <c r="EP149" s="155"/>
      <c r="EQ149" s="152">
        <v>1</v>
      </c>
      <c r="ER149" s="153"/>
      <c r="ES149" s="153">
        <v>1</v>
      </c>
      <c r="ET149" s="153">
        <v>2</v>
      </c>
      <c r="EU149" s="154"/>
      <c r="EV149" s="154">
        <v>3</v>
      </c>
      <c r="EW149" s="279">
        <v>4</v>
      </c>
      <c r="EX149" s="279">
        <v>6</v>
      </c>
      <c r="EY149" s="155"/>
      <c r="EZ149" s="152">
        <v>2</v>
      </c>
      <c r="FA149" s="153">
        <v>4</v>
      </c>
      <c r="FB149" s="153">
        <v>6</v>
      </c>
      <c r="FC149" s="153">
        <v>3</v>
      </c>
      <c r="FD149" s="154">
        <v>2</v>
      </c>
      <c r="FE149" s="154">
        <v>1</v>
      </c>
      <c r="FF149" s="279">
        <v>2</v>
      </c>
      <c r="FG149" s="279"/>
      <c r="FH149" s="155"/>
      <c r="FI149" s="152">
        <v>20</v>
      </c>
      <c r="FJ149" s="153">
        <v>19</v>
      </c>
      <c r="FK149" s="153">
        <v>11</v>
      </c>
      <c r="FL149" s="153">
        <v>9</v>
      </c>
      <c r="FM149" s="154">
        <v>5</v>
      </c>
      <c r="FN149" s="154">
        <v>18</v>
      </c>
      <c r="FO149" s="279">
        <v>20</v>
      </c>
      <c r="FP149" s="279">
        <v>6</v>
      </c>
      <c r="FQ149" s="155"/>
      <c r="FR149" s="152">
        <v>9</v>
      </c>
      <c r="FS149" s="153">
        <v>6</v>
      </c>
      <c r="FT149" s="153">
        <v>8</v>
      </c>
      <c r="FU149" s="153">
        <v>9</v>
      </c>
      <c r="FV149" s="154">
        <v>6</v>
      </c>
      <c r="FW149" s="154">
        <v>1</v>
      </c>
      <c r="FX149" s="279"/>
      <c r="FY149" s="279">
        <v>1</v>
      </c>
      <c r="FZ149" s="155"/>
      <c r="GA149" s="152">
        <v>4</v>
      </c>
      <c r="GB149" s="153">
        <v>3</v>
      </c>
      <c r="GC149" s="153">
        <v>4</v>
      </c>
      <c r="GD149" s="153">
        <v>4</v>
      </c>
      <c r="GE149" s="154">
        <v>2</v>
      </c>
      <c r="GF149" s="154">
        <v>5</v>
      </c>
      <c r="GG149" s="279">
        <v>8</v>
      </c>
      <c r="GH149" s="279">
        <v>6</v>
      </c>
      <c r="GI149" s="155"/>
      <c r="GJ149" s="152">
        <v>592</v>
      </c>
      <c r="GK149" s="153">
        <v>520</v>
      </c>
      <c r="GL149" s="153">
        <v>539</v>
      </c>
      <c r="GM149" s="153">
        <v>678</v>
      </c>
      <c r="GN149" s="154">
        <v>459</v>
      </c>
      <c r="GO149" s="154">
        <v>493</v>
      </c>
      <c r="GP149" s="279">
        <v>425</v>
      </c>
      <c r="GQ149" s="279">
        <v>323</v>
      </c>
      <c r="GR149" s="155"/>
      <c r="GS149" s="152">
        <v>201</v>
      </c>
      <c r="GT149" s="153">
        <v>163</v>
      </c>
      <c r="GU149" s="153">
        <v>166</v>
      </c>
      <c r="GV149" s="153">
        <v>240</v>
      </c>
      <c r="GW149" s="154">
        <v>103</v>
      </c>
      <c r="GX149" s="154">
        <v>130</v>
      </c>
      <c r="GY149" s="279">
        <v>90</v>
      </c>
      <c r="GZ149" s="279">
        <v>63</v>
      </c>
      <c r="HA149" s="155"/>
      <c r="HB149" s="152">
        <v>2</v>
      </c>
      <c r="HC149" s="153">
        <v>2</v>
      </c>
      <c r="HD149" s="153">
        <v>1</v>
      </c>
      <c r="HE149" s="153">
        <v>3</v>
      </c>
      <c r="HF149" s="154">
        <v>4</v>
      </c>
      <c r="HG149" s="154">
        <v>1</v>
      </c>
      <c r="HH149" s="279">
        <v>4</v>
      </c>
      <c r="HI149" s="279"/>
      <c r="HJ149" s="155"/>
      <c r="HK149" s="152">
        <v>2</v>
      </c>
      <c r="HL149" s="153"/>
      <c r="HM149" s="153">
        <v>1</v>
      </c>
      <c r="HN149" s="153">
        <v>2</v>
      </c>
      <c r="HO149" s="154">
        <v>1</v>
      </c>
      <c r="HP149" s="154"/>
      <c r="HQ149" s="279"/>
      <c r="HR149" s="279">
        <v>1</v>
      </c>
      <c r="HS149" s="155"/>
      <c r="HT149" s="152">
        <v>282</v>
      </c>
      <c r="HU149" s="153">
        <v>231</v>
      </c>
      <c r="HV149" s="153">
        <v>225</v>
      </c>
      <c r="HW149" s="153">
        <v>296</v>
      </c>
      <c r="HX149" s="154">
        <v>175</v>
      </c>
      <c r="HY149" s="154">
        <v>192</v>
      </c>
      <c r="HZ149" s="279">
        <v>152</v>
      </c>
      <c r="IA149" s="279">
        <v>112</v>
      </c>
      <c r="IB149" s="155"/>
      <c r="IC149" s="152">
        <v>955</v>
      </c>
      <c r="ID149" s="153">
        <v>903</v>
      </c>
      <c r="IE149" s="153">
        <v>806</v>
      </c>
      <c r="IF149" s="153">
        <v>999</v>
      </c>
      <c r="IG149" s="154">
        <v>754</v>
      </c>
      <c r="IH149" s="154">
        <v>770</v>
      </c>
      <c r="II149" s="279">
        <v>705</v>
      </c>
      <c r="IJ149" s="279">
        <v>542</v>
      </c>
      <c r="IK149" s="155"/>
    </row>
    <row r="150" spans="1:245" x14ac:dyDescent="0.2">
      <c r="A150" s="961"/>
      <c r="B150" s="151" t="s">
        <v>737</v>
      </c>
      <c r="C150" s="152"/>
      <c r="D150" s="153"/>
      <c r="E150" s="153"/>
      <c r="F150" s="153"/>
      <c r="G150" s="154"/>
      <c r="H150" s="154"/>
      <c r="I150" s="279"/>
      <c r="J150" s="279"/>
      <c r="K150" s="155"/>
      <c r="L150" s="152"/>
      <c r="M150" s="153"/>
      <c r="N150" s="153"/>
      <c r="O150" s="153"/>
      <c r="P150" s="154"/>
      <c r="Q150" s="154"/>
      <c r="R150" s="279"/>
      <c r="S150" s="279"/>
      <c r="T150" s="155"/>
      <c r="U150" s="152"/>
      <c r="V150" s="153"/>
      <c r="W150" s="153"/>
      <c r="X150" s="153"/>
      <c r="Y150" s="154"/>
      <c r="Z150" s="154"/>
      <c r="AA150" s="279"/>
      <c r="AB150" s="279"/>
      <c r="AC150" s="155"/>
      <c r="AD150" s="152">
        <v>111</v>
      </c>
      <c r="AE150" s="153">
        <v>102</v>
      </c>
      <c r="AF150" s="153">
        <v>110</v>
      </c>
      <c r="AG150" s="153">
        <v>152</v>
      </c>
      <c r="AH150" s="154">
        <v>169</v>
      </c>
      <c r="AI150" s="154">
        <v>134</v>
      </c>
      <c r="AJ150" s="279">
        <v>58</v>
      </c>
      <c r="AK150" s="279">
        <v>58</v>
      </c>
      <c r="AL150" s="155"/>
      <c r="AM150" s="152">
        <v>63</v>
      </c>
      <c r="AN150" s="153">
        <v>40</v>
      </c>
      <c r="AO150" s="153">
        <v>52</v>
      </c>
      <c r="AP150" s="153">
        <v>85</v>
      </c>
      <c r="AQ150" s="154">
        <v>100</v>
      </c>
      <c r="AR150" s="154">
        <v>89</v>
      </c>
      <c r="AS150" s="279">
        <v>33</v>
      </c>
      <c r="AT150" s="279">
        <v>38</v>
      </c>
      <c r="AU150" s="155"/>
      <c r="AV150" s="152"/>
      <c r="AW150" s="153"/>
      <c r="AX150" s="153"/>
      <c r="AY150" s="153"/>
      <c r="AZ150" s="154"/>
      <c r="BA150" s="154"/>
      <c r="BB150" s="279"/>
      <c r="BC150" s="279"/>
      <c r="BD150" s="155"/>
      <c r="BE150" s="152">
        <v>12</v>
      </c>
      <c r="BF150" s="153">
        <v>6</v>
      </c>
      <c r="BG150" s="153">
        <v>29</v>
      </c>
      <c r="BH150" s="153">
        <v>12</v>
      </c>
      <c r="BI150" s="154">
        <v>4</v>
      </c>
      <c r="BJ150" s="154">
        <v>17</v>
      </c>
      <c r="BK150" s="279">
        <v>12</v>
      </c>
      <c r="BL150" s="279">
        <v>7</v>
      </c>
      <c r="BM150" s="155"/>
      <c r="BN150" s="152"/>
      <c r="BO150" s="153"/>
      <c r="BP150" s="153"/>
      <c r="BQ150" s="153"/>
      <c r="BR150" s="154"/>
      <c r="BS150" s="154"/>
      <c r="BT150" s="279"/>
      <c r="BU150" s="279"/>
      <c r="BV150" s="155"/>
      <c r="BW150" s="152">
        <v>87</v>
      </c>
      <c r="BX150" s="153">
        <v>92</v>
      </c>
      <c r="BY150" s="153">
        <v>98</v>
      </c>
      <c r="BZ150" s="153">
        <v>124</v>
      </c>
      <c r="CA150" s="154">
        <v>134</v>
      </c>
      <c r="CB150" s="154">
        <v>83</v>
      </c>
      <c r="CC150" s="279">
        <v>67</v>
      </c>
      <c r="CD150" s="279">
        <v>42</v>
      </c>
      <c r="CE150" s="155"/>
      <c r="CF150" s="152">
        <v>4</v>
      </c>
      <c r="CG150" s="153">
        <v>7</v>
      </c>
      <c r="CH150" s="153">
        <v>4</v>
      </c>
      <c r="CI150" s="153">
        <v>3</v>
      </c>
      <c r="CJ150" s="154">
        <v>5</v>
      </c>
      <c r="CK150" s="154">
        <v>3</v>
      </c>
      <c r="CL150" s="279">
        <v>2</v>
      </c>
      <c r="CM150" s="279"/>
      <c r="CN150" s="155"/>
      <c r="CO150" s="152">
        <v>2</v>
      </c>
      <c r="CP150" s="153">
        <v>1</v>
      </c>
      <c r="CQ150" s="153">
        <v>2</v>
      </c>
      <c r="CR150" s="153"/>
      <c r="CS150" s="154">
        <v>1</v>
      </c>
      <c r="CT150" s="154"/>
      <c r="CU150" s="279">
        <v>3</v>
      </c>
      <c r="CV150" s="279"/>
      <c r="CW150" s="155"/>
      <c r="CX150" s="152">
        <v>541</v>
      </c>
      <c r="CY150" s="153">
        <v>780</v>
      </c>
      <c r="CZ150" s="153">
        <v>662</v>
      </c>
      <c r="DA150" s="153">
        <v>643</v>
      </c>
      <c r="DB150" s="154">
        <v>400</v>
      </c>
      <c r="DC150" s="154">
        <v>367</v>
      </c>
      <c r="DD150" s="279">
        <v>313</v>
      </c>
      <c r="DE150" s="279">
        <v>235</v>
      </c>
      <c r="DF150" s="155"/>
      <c r="DG150" s="152">
        <v>1</v>
      </c>
      <c r="DH150" s="153">
        <v>1</v>
      </c>
      <c r="DI150" s="153">
        <v>3</v>
      </c>
      <c r="DJ150" s="153">
        <v>1</v>
      </c>
      <c r="DK150" s="154"/>
      <c r="DL150" s="154">
        <v>1</v>
      </c>
      <c r="DM150" s="279"/>
      <c r="DN150" s="279"/>
      <c r="DO150" s="155"/>
      <c r="DP150" s="152">
        <v>10</v>
      </c>
      <c r="DQ150" s="153">
        <v>9</v>
      </c>
      <c r="DR150" s="153">
        <v>5</v>
      </c>
      <c r="DS150" s="153">
        <v>1</v>
      </c>
      <c r="DT150" s="154">
        <v>5</v>
      </c>
      <c r="DU150" s="154">
        <v>2</v>
      </c>
      <c r="DV150" s="279">
        <v>1</v>
      </c>
      <c r="DW150" s="279">
        <v>1</v>
      </c>
      <c r="DX150" s="155"/>
      <c r="DY150" s="152">
        <v>78</v>
      </c>
      <c r="DZ150" s="153">
        <v>94</v>
      </c>
      <c r="EA150" s="153">
        <v>98</v>
      </c>
      <c r="EB150" s="153">
        <v>76</v>
      </c>
      <c r="EC150" s="154">
        <v>62</v>
      </c>
      <c r="ED150" s="154">
        <v>63</v>
      </c>
      <c r="EE150" s="279">
        <v>42</v>
      </c>
      <c r="EF150" s="279">
        <v>33</v>
      </c>
      <c r="EG150" s="155"/>
      <c r="EH150" s="152">
        <v>13</v>
      </c>
      <c r="EI150" s="153">
        <v>5</v>
      </c>
      <c r="EJ150" s="153">
        <v>3</v>
      </c>
      <c r="EK150" s="153">
        <v>4</v>
      </c>
      <c r="EL150" s="154">
        <v>15</v>
      </c>
      <c r="EM150" s="154">
        <v>8</v>
      </c>
      <c r="EN150" s="279">
        <v>3</v>
      </c>
      <c r="EO150" s="279">
        <v>4</v>
      </c>
      <c r="EP150" s="155"/>
      <c r="EQ150" s="152"/>
      <c r="ER150" s="153">
        <v>1</v>
      </c>
      <c r="ES150" s="153">
        <v>2</v>
      </c>
      <c r="ET150" s="153">
        <v>1</v>
      </c>
      <c r="EU150" s="154">
        <v>10</v>
      </c>
      <c r="EV150" s="154">
        <v>8</v>
      </c>
      <c r="EW150" s="279">
        <v>6</v>
      </c>
      <c r="EX150" s="279">
        <v>2</v>
      </c>
      <c r="EY150" s="155"/>
      <c r="EZ150" s="152">
        <v>16</v>
      </c>
      <c r="FA150" s="153">
        <v>8</v>
      </c>
      <c r="FB150" s="153">
        <v>5</v>
      </c>
      <c r="FC150" s="153">
        <v>2</v>
      </c>
      <c r="FD150" s="154">
        <v>9</v>
      </c>
      <c r="FE150" s="154">
        <v>2</v>
      </c>
      <c r="FF150" s="279">
        <v>1</v>
      </c>
      <c r="FG150" s="279">
        <v>1</v>
      </c>
      <c r="FH150" s="155"/>
      <c r="FI150" s="152">
        <v>41</v>
      </c>
      <c r="FJ150" s="153">
        <v>46</v>
      </c>
      <c r="FK150" s="153">
        <v>26</v>
      </c>
      <c r="FL150" s="153">
        <v>29</v>
      </c>
      <c r="FM150" s="154">
        <v>34</v>
      </c>
      <c r="FN150" s="154">
        <v>43</v>
      </c>
      <c r="FO150" s="279">
        <v>13</v>
      </c>
      <c r="FP150" s="279">
        <v>7</v>
      </c>
      <c r="FQ150" s="155"/>
      <c r="FR150" s="152">
        <v>2</v>
      </c>
      <c r="FS150" s="153">
        <v>6</v>
      </c>
      <c r="FT150" s="153">
        <v>6</v>
      </c>
      <c r="FU150" s="153">
        <v>5</v>
      </c>
      <c r="FV150" s="154">
        <v>2</v>
      </c>
      <c r="FW150" s="154">
        <v>2</v>
      </c>
      <c r="FX150" s="279">
        <v>2</v>
      </c>
      <c r="FY150" s="279"/>
      <c r="FZ150" s="155"/>
      <c r="GA150" s="152">
        <v>4</v>
      </c>
      <c r="GB150" s="153">
        <v>5</v>
      </c>
      <c r="GC150" s="153">
        <v>15</v>
      </c>
      <c r="GD150" s="153">
        <v>7</v>
      </c>
      <c r="GE150" s="154">
        <v>7</v>
      </c>
      <c r="GF150" s="154">
        <v>11</v>
      </c>
      <c r="GG150" s="279">
        <v>11</v>
      </c>
      <c r="GH150" s="279">
        <v>8</v>
      </c>
      <c r="GI150" s="155"/>
      <c r="GJ150" s="152">
        <v>833</v>
      </c>
      <c r="GK150" s="153">
        <v>1059</v>
      </c>
      <c r="GL150" s="153">
        <v>962</v>
      </c>
      <c r="GM150" s="153">
        <v>982</v>
      </c>
      <c r="GN150" s="154">
        <v>790</v>
      </c>
      <c r="GO150" s="154">
        <v>678</v>
      </c>
      <c r="GP150" s="279">
        <v>491</v>
      </c>
      <c r="GQ150" s="279">
        <v>364</v>
      </c>
      <c r="GR150" s="155"/>
      <c r="GS150" s="152">
        <v>259</v>
      </c>
      <c r="GT150" s="153">
        <v>284</v>
      </c>
      <c r="GU150" s="153">
        <v>261</v>
      </c>
      <c r="GV150" s="153">
        <v>286</v>
      </c>
      <c r="GW150" s="154">
        <v>193</v>
      </c>
      <c r="GX150" s="154">
        <v>122</v>
      </c>
      <c r="GY150" s="279">
        <v>79</v>
      </c>
      <c r="GZ150" s="279">
        <v>56</v>
      </c>
      <c r="HA150" s="155"/>
      <c r="HB150" s="152">
        <v>1</v>
      </c>
      <c r="HC150" s="153">
        <v>1</v>
      </c>
      <c r="HD150" s="153">
        <v>6</v>
      </c>
      <c r="HE150" s="153"/>
      <c r="HF150" s="154">
        <v>2</v>
      </c>
      <c r="HG150" s="154">
        <v>9</v>
      </c>
      <c r="HH150" s="279">
        <v>3</v>
      </c>
      <c r="HI150" s="279">
        <v>1</v>
      </c>
      <c r="HJ150" s="155"/>
      <c r="HK150" s="152">
        <v>1</v>
      </c>
      <c r="HL150" s="153"/>
      <c r="HM150" s="153"/>
      <c r="HN150" s="153"/>
      <c r="HO150" s="154"/>
      <c r="HP150" s="154">
        <v>3</v>
      </c>
      <c r="HQ150" s="279">
        <v>4</v>
      </c>
      <c r="HR150" s="279">
        <v>4</v>
      </c>
      <c r="HS150" s="155"/>
      <c r="HT150" s="152">
        <v>355</v>
      </c>
      <c r="HU150" s="153">
        <v>377</v>
      </c>
      <c r="HV150" s="153">
        <v>390</v>
      </c>
      <c r="HW150" s="153">
        <v>404</v>
      </c>
      <c r="HX150" s="154">
        <v>312</v>
      </c>
      <c r="HY150" s="154">
        <v>241</v>
      </c>
      <c r="HZ150" s="279">
        <v>197</v>
      </c>
      <c r="IA150" s="279">
        <v>165</v>
      </c>
      <c r="IB150" s="155"/>
      <c r="IC150" s="152">
        <v>1375</v>
      </c>
      <c r="ID150" s="153">
        <v>1815</v>
      </c>
      <c r="IE150" s="153">
        <v>1445</v>
      </c>
      <c r="IF150" s="153">
        <v>1387</v>
      </c>
      <c r="IG150" s="154">
        <v>1166</v>
      </c>
      <c r="IH150" s="154">
        <v>995</v>
      </c>
      <c r="II150" s="279">
        <v>869</v>
      </c>
      <c r="IJ150" s="279">
        <v>645</v>
      </c>
      <c r="IK150" s="155"/>
    </row>
    <row r="151" spans="1:245" x14ac:dyDescent="0.2">
      <c r="A151" s="961"/>
      <c r="B151" s="151" t="s">
        <v>738</v>
      </c>
      <c r="C151" s="152"/>
      <c r="D151" s="153"/>
      <c r="E151" s="153">
        <v>1</v>
      </c>
      <c r="F151" s="153"/>
      <c r="G151" s="154"/>
      <c r="H151" s="154"/>
      <c r="I151" s="279"/>
      <c r="J151" s="279">
        <v>1</v>
      </c>
      <c r="K151" s="155"/>
      <c r="L151" s="152"/>
      <c r="M151" s="153"/>
      <c r="N151" s="153"/>
      <c r="O151" s="153"/>
      <c r="P151" s="154"/>
      <c r="Q151" s="154"/>
      <c r="R151" s="279"/>
      <c r="S151" s="279"/>
      <c r="T151" s="155"/>
      <c r="U151" s="152"/>
      <c r="V151" s="153"/>
      <c r="W151" s="153">
        <v>1</v>
      </c>
      <c r="X151" s="153"/>
      <c r="Y151" s="154"/>
      <c r="Z151" s="154"/>
      <c r="AA151" s="279"/>
      <c r="AB151" s="279"/>
      <c r="AC151" s="155"/>
      <c r="AD151" s="152">
        <v>261</v>
      </c>
      <c r="AE151" s="153">
        <v>190</v>
      </c>
      <c r="AF151" s="153">
        <v>272</v>
      </c>
      <c r="AG151" s="153">
        <v>291</v>
      </c>
      <c r="AH151" s="154">
        <v>257</v>
      </c>
      <c r="AI151" s="154">
        <v>270</v>
      </c>
      <c r="AJ151" s="279">
        <v>205</v>
      </c>
      <c r="AK151" s="279">
        <v>155</v>
      </c>
      <c r="AL151" s="155"/>
      <c r="AM151" s="152">
        <v>140</v>
      </c>
      <c r="AN151" s="153">
        <v>97</v>
      </c>
      <c r="AO151" s="153">
        <v>180</v>
      </c>
      <c r="AP151" s="153">
        <v>210</v>
      </c>
      <c r="AQ151" s="154">
        <v>196</v>
      </c>
      <c r="AR151" s="154">
        <v>178</v>
      </c>
      <c r="AS151" s="279">
        <v>148</v>
      </c>
      <c r="AT151" s="279">
        <v>113</v>
      </c>
      <c r="AU151" s="155"/>
      <c r="AV151" s="152"/>
      <c r="AW151" s="153"/>
      <c r="AX151" s="153"/>
      <c r="AY151" s="153"/>
      <c r="AZ151" s="154"/>
      <c r="BA151" s="154"/>
      <c r="BB151" s="279"/>
      <c r="BC151" s="279"/>
      <c r="BD151" s="155"/>
      <c r="BE151" s="152">
        <v>20</v>
      </c>
      <c r="BF151" s="153">
        <v>23</v>
      </c>
      <c r="BG151" s="153">
        <v>18</v>
      </c>
      <c r="BH151" s="153">
        <v>10</v>
      </c>
      <c r="BI151" s="154">
        <v>14</v>
      </c>
      <c r="BJ151" s="154">
        <v>16</v>
      </c>
      <c r="BK151" s="279">
        <v>9</v>
      </c>
      <c r="BL151" s="279">
        <v>6</v>
      </c>
      <c r="BM151" s="155"/>
      <c r="BN151" s="152"/>
      <c r="BO151" s="153"/>
      <c r="BP151" s="153"/>
      <c r="BQ151" s="153"/>
      <c r="BR151" s="154"/>
      <c r="BS151" s="154"/>
      <c r="BT151" s="279"/>
      <c r="BU151" s="279"/>
      <c r="BV151" s="155"/>
      <c r="BW151" s="152">
        <v>179</v>
      </c>
      <c r="BX151" s="153">
        <v>173</v>
      </c>
      <c r="BY151" s="153">
        <v>197</v>
      </c>
      <c r="BZ151" s="153">
        <v>165</v>
      </c>
      <c r="CA151" s="154">
        <v>157</v>
      </c>
      <c r="CB151" s="154">
        <v>166</v>
      </c>
      <c r="CC151" s="279">
        <v>121</v>
      </c>
      <c r="CD151" s="279">
        <v>79</v>
      </c>
      <c r="CE151" s="155"/>
      <c r="CF151" s="152">
        <v>8</v>
      </c>
      <c r="CG151" s="153">
        <v>7</v>
      </c>
      <c r="CH151" s="153">
        <v>11</v>
      </c>
      <c r="CI151" s="153">
        <v>10</v>
      </c>
      <c r="CJ151" s="154">
        <v>12</v>
      </c>
      <c r="CK151" s="154">
        <v>10</v>
      </c>
      <c r="CL151" s="279">
        <v>2</v>
      </c>
      <c r="CM151" s="279">
        <v>3</v>
      </c>
      <c r="CN151" s="155"/>
      <c r="CO151" s="152">
        <v>13</v>
      </c>
      <c r="CP151" s="153">
        <v>3</v>
      </c>
      <c r="CQ151" s="153">
        <v>1</v>
      </c>
      <c r="CR151" s="153">
        <v>2</v>
      </c>
      <c r="CS151" s="154">
        <v>3</v>
      </c>
      <c r="CT151" s="154">
        <v>2</v>
      </c>
      <c r="CU151" s="279">
        <v>3</v>
      </c>
      <c r="CV151" s="279">
        <v>2</v>
      </c>
      <c r="CW151" s="155"/>
      <c r="CX151" s="152">
        <v>819</v>
      </c>
      <c r="CY151" s="153">
        <v>918</v>
      </c>
      <c r="CZ151" s="153">
        <v>1007</v>
      </c>
      <c r="DA151" s="153">
        <v>897</v>
      </c>
      <c r="DB151" s="154">
        <v>835</v>
      </c>
      <c r="DC151" s="154">
        <v>700</v>
      </c>
      <c r="DD151" s="279">
        <v>653</v>
      </c>
      <c r="DE151" s="279">
        <v>545</v>
      </c>
      <c r="DF151" s="155"/>
      <c r="DG151" s="152">
        <v>6</v>
      </c>
      <c r="DH151" s="153"/>
      <c r="DI151" s="153">
        <v>1</v>
      </c>
      <c r="DJ151" s="153">
        <v>3</v>
      </c>
      <c r="DK151" s="154">
        <v>2</v>
      </c>
      <c r="DL151" s="154">
        <v>3</v>
      </c>
      <c r="DM151" s="279">
        <v>1</v>
      </c>
      <c r="DN151" s="279">
        <v>3</v>
      </c>
      <c r="DO151" s="155"/>
      <c r="DP151" s="152">
        <v>10</v>
      </c>
      <c r="DQ151" s="153">
        <v>9</v>
      </c>
      <c r="DR151" s="153">
        <v>10</v>
      </c>
      <c r="DS151" s="153">
        <v>6</v>
      </c>
      <c r="DT151" s="154">
        <v>3</v>
      </c>
      <c r="DU151" s="154">
        <v>9</v>
      </c>
      <c r="DV151" s="279">
        <v>4</v>
      </c>
      <c r="DW151" s="279">
        <v>7</v>
      </c>
      <c r="DX151" s="155"/>
      <c r="DY151" s="152">
        <v>87</v>
      </c>
      <c r="DZ151" s="153">
        <v>104</v>
      </c>
      <c r="EA151" s="153">
        <v>92</v>
      </c>
      <c r="EB151" s="153">
        <v>90</v>
      </c>
      <c r="EC151" s="154">
        <v>141</v>
      </c>
      <c r="ED151" s="154">
        <v>116</v>
      </c>
      <c r="EE151" s="279">
        <v>117</v>
      </c>
      <c r="EF151" s="279">
        <v>88</v>
      </c>
      <c r="EG151" s="155"/>
      <c r="EH151" s="152">
        <v>16</v>
      </c>
      <c r="EI151" s="153">
        <v>11</v>
      </c>
      <c r="EJ151" s="153">
        <v>10</v>
      </c>
      <c r="EK151" s="153">
        <v>7</v>
      </c>
      <c r="EL151" s="154">
        <v>5</v>
      </c>
      <c r="EM151" s="154">
        <v>4</v>
      </c>
      <c r="EN151" s="279">
        <v>6</v>
      </c>
      <c r="EO151" s="279">
        <v>3</v>
      </c>
      <c r="EP151" s="155"/>
      <c r="EQ151" s="152"/>
      <c r="ER151" s="153"/>
      <c r="ES151" s="153">
        <v>1</v>
      </c>
      <c r="ET151" s="153">
        <v>1</v>
      </c>
      <c r="EU151" s="154">
        <v>1</v>
      </c>
      <c r="EV151" s="154">
        <v>20</v>
      </c>
      <c r="EW151" s="279">
        <v>8</v>
      </c>
      <c r="EX151" s="279">
        <v>7</v>
      </c>
      <c r="EY151" s="155"/>
      <c r="EZ151" s="152">
        <v>3</v>
      </c>
      <c r="FA151" s="153">
        <v>8</v>
      </c>
      <c r="FB151" s="153">
        <v>3</v>
      </c>
      <c r="FC151" s="153">
        <v>9</v>
      </c>
      <c r="FD151" s="154">
        <v>4</v>
      </c>
      <c r="FE151" s="154">
        <v>9</v>
      </c>
      <c r="FF151" s="279">
        <v>4</v>
      </c>
      <c r="FG151" s="279">
        <v>1</v>
      </c>
      <c r="FH151" s="155"/>
      <c r="FI151" s="152">
        <v>65</v>
      </c>
      <c r="FJ151" s="153">
        <v>69</v>
      </c>
      <c r="FK151" s="153">
        <v>46</v>
      </c>
      <c r="FL151" s="153">
        <v>127</v>
      </c>
      <c r="FM151" s="154">
        <v>54</v>
      </c>
      <c r="FN151" s="154">
        <v>30</v>
      </c>
      <c r="FO151" s="279">
        <v>35</v>
      </c>
      <c r="FP151" s="279">
        <v>20</v>
      </c>
      <c r="FQ151" s="155"/>
      <c r="FR151" s="152">
        <v>12</v>
      </c>
      <c r="FS151" s="153">
        <v>5</v>
      </c>
      <c r="FT151" s="153">
        <v>6</v>
      </c>
      <c r="FU151" s="153">
        <v>7</v>
      </c>
      <c r="FV151" s="154">
        <v>6</v>
      </c>
      <c r="FW151" s="154">
        <v>1</v>
      </c>
      <c r="FX151" s="279">
        <v>3</v>
      </c>
      <c r="FY151" s="279">
        <v>4</v>
      </c>
      <c r="FZ151" s="155"/>
      <c r="GA151" s="152">
        <v>10</v>
      </c>
      <c r="GB151" s="153">
        <v>10</v>
      </c>
      <c r="GC151" s="153">
        <v>10</v>
      </c>
      <c r="GD151" s="153">
        <v>10</v>
      </c>
      <c r="GE151" s="154">
        <v>16</v>
      </c>
      <c r="GF151" s="154">
        <v>15</v>
      </c>
      <c r="GG151" s="279">
        <v>12</v>
      </c>
      <c r="GH151" s="279">
        <v>19</v>
      </c>
      <c r="GI151" s="155"/>
      <c r="GJ151" s="152">
        <v>1406</v>
      </c>
      <c r="GK151" s="153">
        <v>1417</v>
      </c>
      <c r="GL151" s="153">
        <v>1583</v>
      </c>
      <c r="GM151" s="153">
        <v>1536</v>
      </c>
      <c r="GN151" s="154">
        <v>1364</v>
      </c>
      <c r="GO151" s="154">
        <v>1243</v>
      </c>
      <c r="GP151" s="279">
        <v>1061</v>
      </c>
      <c r="GQ151" s="279">
        <v>845</v>
      </c>
      <c r="GR151" s="155"/>
      <c r="GS151" s="152">
        <v>504</v>
      </c>
      <c r="GT151" s="153">
        <v>446</v>
      </c>
      <c r="GU151" s="153">
        <v>508</v>
      </c>
      <c r="GV151" s="153">
        <v>523</v>
      </c>
      <c r="GW151" s="154">
        <v>302</v>
      </c>
      <c r="GX151" s="154">
        <v>252</v>
      </c>
      <c r="GY151" s="279">
        <v>197</v>
      </c>
      <c r="GZ151" s="279">
        <v>177</v>
      </c>
      <c r="HA151" s="155"/>
      <c r="HB151" s="152">
        <v>6</v>
      </c>
      <c r="HC151" s="153">
        <v>3</v>
      </c>
      <c r="HD151" s="153">
        <v>4</v>
      </c>
      <c r="HE151" s="153">
        <v>7</v>
      </c>
      <c r="HF151" s="154">
        <v>5</v>
      </c>
      <c r="HG151" s="154">
        <v>4</v>
      </c>
      <c r="HH151" s="279">
        <v>6</v>
      </c>
      <c r="HI151" s="279">
        <v>5</v>
      </c>
      <c r="HJ151" s="155"/>
      <c r="HK151" s="152">
        <v>2</v>
      </c>
      <c r="HL151" s="153">
        <v>2</v>
      </c>
      <c r="HM151" s="153"/>
      <c r="HN151" s="153">
        <v>4</v>
      </c>
      <c r="HO151" s="154">
        <v>3</v>
      </c>
      <c r="HP151" s="154">
        <v>6</v>
      </c>
      <c r="HQ151" s="279">
        <v>1</v>
      </c>
      <c r="HR151" s="279">
        <v>4</v>
      </c>
      <c r="HS151" s="155"/>
      <c r="HT151" s="152">
        <v>667</v>
      </c>
      <c r="HU151" s="153">
        <v>587</v>
      </c>
      <c r="HV151" s="153">
        <v>637</v>
      </c>
      <c r="HW151" s="153">
        <v>659</v>
      </c>
      <c r="HX151" s="154">
        <v>439</v>
      </c>
      <c r="HY151" s="154">
        <v>413</v>
      </c>
      <c r="HZ151" s="279">
        <v>375</v>
      </c>
      <c r="IA151" s="279">
        <v>311</v>
      </c>
      <c r="IB151" s="155"/>
      <c r="IC151" s="152">
        <v>2222</v>
      </c>
      <c r="ID151" s="153">
        <v>2285</v>
      </c>
      <c r="IE151" s="153">
        <v>2289</v>
      </c>
      <c r="IF151" s="153">
        <v>2033</v>
      </c>
      <c r="IG151" s="154">
        <v>1857</v>
      </c>
      <c r="IH151" s="154">
        <v>2005</v>
      </c>
      <c r="II151" s="279">
        <v>1667</v>
      </c>
      <c r="IJ151" s="279">
        <v>1245</v>
      </c>
      <c r="IK151" s="155"/>
    </row>
    <row r="152" spans="1:245" x14ac:dyDescent="0.2">
      <c r="A152" s="961"/>
      <c r="B152" s="151" t="s">
        <v>625</v>
      </c>
      <c r="C152" s="152"/>
      <c r="D152" s="153"/>
      <c r="E152" s="153"/>
      <c r="F152" s="153"/>
      <c r="G152" s="154"/>
      <c r="H152" s="154"/>
      <c r="I152" s="279"/>
      <c r="J152" s="279"/>
      <c r="K152" s="155"/>
      <c r="L152" s="152"/>
      <c r="M152" s="153"/>
      <c r="N152" s="153"/>
      <c r="O152" s="153"/>
      <c r="P152" s="154"/>
      <c r="Q152" s="154"/>
      <c r="R152" s="279"/>
      <c r="S152" s="279"/>
      <c r="T152" s="155"/>
      <c r="U152" s="152"/>
      <c r="V152" s="153"/>
      <c r="W152" s="153"/>
      <c r="X152" s="153"/>
      <c r="Y152" s="154"/>
      <c r="Z152" s="154"/>
      <c r="AA152" s="279"/>
      <c r="AB152" s="279"/>
      <c r="AC152" s="155"/>
      <c r="AD152" s="152">
        <v>63</v>
      </c>
      <c r="AE152" s="153">
        <v>55</v>
      </c>
      <c r="AF152" s="153">
        <v>62</v>
      </c>
      <c r="AG152" s="153">
        <v>102</v>
      </c>
      <c r="AH152" s="154">
        <v>56</v>
      </c>
      <c r="AI152" s="154">
        <v>56</v>
      </c>
      <c r="AJ152" s="279">
        <v>65</v>
      </c>
      <c r="AK152" s="279">
        <v>57</v>
      </c>
      <c r="AL152" s="155"/>
      <c r="AM152" s="152">
        <v>40</v>
      </c>
      <c r="AN152" s="153">
        <v>40</v>
      </c>
      <c r="AO152" s="153">
        <v>40</v>
      </c>
      <c r="AP152" s="153">
        <v>68</v>
      </c>
      <c r="AQ152" s="154">
        <v>41</v>
      </c>
      <c r="AR152" s="154">
        <v>35</v>
      </c>
      <c r="AS152" s="279">
        <v>44</v>
      </c>
      <c r="AT152" s="279">
        <v>43</v>
      </c>
      <c r="AU152" s="155"/>
      <c r="AV152" s="152"/>
      <c r="AW152" s="153"/>
      <c r="AX152" s="153"/>
      <c r="AY152" s="153"/>
      <c r="AZ152" s="154"/>
      <c r="BA152" s="154"/>
      <c r="BB152" s="279"/>
      <c r="BC152" s="279"/>
      <c r="BD152" s="155"/>
      <c r="BE152" s="152">
        <v>12</v>
      </c>
      <c r="BF152" s="153">
        <v>9</v>
      </c>
      <c r="BG152" s="153">
        <v>12</v>
      </c>
      <c r="BH152" s="153">
        <v>14</v>
      </c>
      <c r="BI152" s="154">
        <v>14</v>
      </c>
      <c r="BJ152" s="154">
        <v>26</v>
      </c>
      <c r="BK152" s="279">
        <v>36</v>
      </c>
      <c r="BL152" s="279">
        <v>7</v>
      </c>
      <c r="BM152" s="155"/>
      <c r="BN152" s="152"/>
      <c r="BO152" s="153"/>
      <c r="BP152" s="153"/>
      <c r="BQ152" s="153"/>
      <c r="BR152" s="154"/>
      <c r="BS152" s="154"/>
      <c r="BT152" s="279"/>
      <c r="BU152" s="279"/>
      <c r="BV152" s="155"/>
      <c r="BW152" s="152">
        <v>36</v>
      </c>
      <c r="BX152" s="153">
        <v>36</v>
      </c>
      <c r="BY152" s="153">
        <v>42</v>
      </c>
      <c r="BZ152" s="153">
        <v>67</v>
      </c>
      <c r="CA152" s="154">
        <v>44</v>
      </c>
      <c r="CB152" s="154">
        <v>38</v>
      </c>
      <c r="CC152" s="279">
        <v>31</v>
      </c>
      <c r="CD152" s="279">
        <v>32</v>
      </c>
      <c r="CE152" s="155"/>
      <c r="CF152" s="152">
        <v>8</v>
      </c>
      <c r="CG152" s="153">
        <v>1</v>
      </c>
      <c r="CH152" s="153">
        <v>1</v>
      </c>
      <c r="CI152" s="153">
        <v>4</v>
      </c>
      <c r="CJ152" s="154">
        <v>3</v>
      </c>
      <c r="CK152" s="154">
        <v>1</v>
      </c>
      <c r="CL152" s="279">
        <v>1</v>
      </c>
      <c r="CM152" s="279">
        <v>3</v>
      </c>
      <c r="CN152" s="155"/>
      <c r="CO152" s="152"/>
      <c r="CP152" s="153"/>
      <c r="CQ152" s="153"/>
      <c r="CR152" s="153"/>
      <c r="CS152" s="154">
        <v>1</v>
      </c>
      <c r="CT152" s="154">
        <v>3</v>
      </c>
      <c r="CU152" s="279">
        <v>4</v>
      </c>
      <c r="CV152" s="279">
        <v>3</v>
      </c>
      <c r="CW152" s="155"/>
      <c r="CX152" s="152">
        <v>532</v>
      </c>
      <c r="CY152" s="153">
        <v>629</v>
      </c>
      <c r="CZ152" s="153">
        <v>724</v>
      </c>
      <c r="DA152" s="153">
        <v>552</v>
      </c>
      <c r="DB152" s="154">
        <v>532</v>
      </c>
      <c r="DC152" s="154">
        <v>426</v>
      </c>
      <c r="DD152" s="279">
        <v>349</v>
      </c>
      <c r="DE152" s="279">
        <v>232</v>
      </c>
      <c r="DF152" s="155"/>
      <c r="DG152" s="152"/>
      <c r="DH152" s="153">
        <v>3</v>
      </c>
      <c r="DI152" s="153">
        <v>1</v>
      </c>
      <c r="DJ152" s="153">
        <v>2</v>
      </c>
      <c r="DK152" s="154">
        <v>1</v>
      </c>
      <c r="DL152" s="154">
        <v>1</v>
      </c>
      <c r="DM152" s="279"/>
      <c r="DN152" s="279"/>
      <c r="DO152" s="155"/>
      <c r="DP152" s="152">
        <v>6</v>
      </c>
      <c r="DQ152" s="153">
        <v>6</v>
      </c>
      <c r="DR152" s="153">
        <v>10</v>
      </c>
      <c r="DS152" s="153">
        <v>3</v>
      </c>
      <c r="DT152" s="154">
        <v>3</v>
      </c>
      <c r="DU152" s="154">
        <v>4</v>
      </c>
      <c r="DV152" s="279">
        <v>2</v>
      </c>
      <c r="DW152" s="279">
        <v>3</v>
      </c>
      <c r="DX152" s="155"/>
      <c r="DY152" s="152">
        <v>84</v>
      </c>
      <c r="DZ152" s="153">
        <v>83</v>
      </c>
      <c r="EA152" s="153">
        <v>119</v>
      </c>
      <c r="EB152" s="153">
        <v>83</v>
      </c>
      <c r="EC152" s="154">
        <v>112</v>
      </c>
      <c r="ED152" s="154">
        <v>105</v>
      </c>
      <c r="EE152" s="279">
        <v>75</v>
      </c>
      <c r="EF152" s="279">
        <v>46</v>
      </c>
      <c r="EG152" s="155"/>
      <c r="EH152" s="152">
        <v>4</v>
      </c>
      <c r="EI152" s="153">
        <v>9</v>
      </c>
      <c r="EJ152" s="153">
        <v>3</v>
      </c>
      <c r="EK152" s="153">
        <v>5</v>
      </c>
      <c r="EL152" s="154">
        <v>13</v>
      </c>
      <c r="EM152" s="154">
        <v>5</v>
      </c>
      <c r="EN152" s="279">
        <v>3</v>
      </c>
      <c r="EO152" s="279">
        <v>3</v>
      </c>
      <c r="EP152" s="155"/>
      <c r="EQ152" s="152"/>
      <c r="ER152" s="153"/>
      <c r="ES152" s="153">
        <v>2</v>
      </c>
      <c r="ET152" s="153">
        <v>3</v>
      </c>
      <c r="EU152" s="154">
        <v>2</v>
      </c>
      <c r="EV152" s="154"/>
      <c r="EW152" s="279">
        <v>2</v>
      </c>
      <c r="EX152" s="279">
        <v>1</v>
      </c>
      <c r="EY152" s="155"/>
      <c r="EZ152" s="152">
        <v>5</v>
      </c>
      <c r="FA152" s="153"/>
      <c r="FB152" s="153">
        <v>5</v>
      </c>
      <c r="FC152" s="153">
        <v>5</v>
      </c>
      <c r="FD152" s="154">
        <v>17</v>
      </c>
      <c r="FE152" s="154">
        <v>2</v>
      </c>
      <c r="FF152" s="279">
        <v>2</v>
      </c>
      <c r="FG152" s="279">
        <v>2</v>
      </c>
      <c r="FH152" s="155"/>
      <c r="FI152" s="152">
        <v>26</v>
      </c>
      <c r="FJ152" s="153">
        <v>31</v>
      </c>
      <c r="FK152" s="153">
        <v>27</v>
      </c>
      <c r="FL152" s="153">
        <v>19</v>
      </c>
      <c r="FM152" s="154">
        <v>19</v>
      </c>
      <c r="FN152" s="154">
        <v>8</v>
      </c>
      <c r="FO152" s="279">
        <v>14</v>
      </c>
      <c r="FP152" s="279">
        <v>19</v>
      </c>
      <c r="FQ152" s="155"/>
      <c r="FR152" s="152">
        <v>3</v>
      </c>
      <c r="FS152" s="153">
        <v>9</v>
      </c>
      <c r="FT152" s="153">
        <v>7</v>
      </c>
      <c r="FU152" s="153">
        <v>2</v>
      </c>
      <c r="FV152" s="154">
        <v>1</v>
      </c>
      <c r="FW152" s="154">
        <v>1</v>
      </c>
      <c r="FX152" s="279">
        <v>1</v>
      </c>
      <c r="FY152" s="279">
        <v>1</v>
      </c>
      <c r="FZ152" s="155"/>
      <c r="GA152" s="152">
        <v>2</v>
      </c>
      <c r="GB152" s="153">
        <v>1</v>
      </c>
      <c r="GC152" s="153"/>
      <c r="GD152" s="153"/>
      <c r="GE152" s="154"/>
      <c r="GF152" s="154">
        <v>6</v>
      </c>
      <c r="GG152" s="279">
        <v>2</v>
      </c>
      <c r="GH152" s="279">
        <v>3</v>
      </c>
      <c r="GI152" s="155"/>
      <c r="GJ152" s="152">
        <v>691</v>
      </c>
      <c r="GK152" s="153">
        <v>780</v>
      </c>
      <c r="GL152" s="153">
        <v>885</v>
      </c>
      <c r="GM152" s="153">
        <v>773</v>
      </c>
      <c r="GN152" s="154">
        <v>702</v>
      </c>
      <c r="GO152" s="154">
        <v>572</v>
      </c>
      <c r="GP152" s="279">
        <v>510</v>
      </c>
      <c r="GQ152" s="279">
        <v>363</v>
      </c>
      <c r="GR152" s="155"/>
      <c r="GS152" s="152">
        <v>126</v>
      </c>
      <c r="GT152" s="153">
        <v>121</v>
      </c>
      <c r="GU152" s="153">
        <v>146</v>
      </c>
      <c r="GV152" s="153">
        <v>140</v>
      </c>
      <c r="GW152" s="154">
        <v>81</v>
      </c>
      <c r="GX152" s="154">
        <v>52</v>
      </c>
      <c r="GY152" s="279">
        <v>70</v>
      </c>
      <c r="GZ152" s="279">
        <v>71</v>
      </c>
      <c r="HA152" s="155"/>
      <c r="HB152" s="152">
        <v>1</v>
      </c>
      <c r="HC152" s="153">
        <v>3</v>
      </c>
      <c r="HD152" s="153">
        <v>2</v>
      </c>
      <c r="HE152" s="153">
        <v>2</v>
      </c>
      <c r="HF152" s="154">
        <v>5</v>
      </c>
      <c r="HG152" s="154"/>
      <c r="HH152" s="279">
        <v>1</v>
      </c>
      <c r="HI152" s="279">
        <v>3</v>
      </c>
      <c r="HJ152" s="155"/>
      <c r="HK152" s="152">
        <v>2</v>
      </c>
      <c r="HL152" s="153">
        <v>2</v>
      </c>
      <c r="HM152" s="153"/>
      <c r="HN152" s="153">
        <v>2</v>
      </c>
      <c r="HO152" s="154"/>
      <c r="HP152" s="154">
        <v>1</v>
      </c>
      <c r="HQ152" s="279">
        <v>4</v>
      </c>
      <c r="HR152" s="279">
        <v>3</v>
      </c>
      <c r="HS152" s="155"/>
      <c r="HT152" s="152">
        <v>194</v>
      </c>
      <c r="HU152" s="153">
        <v>172</v>
      </c>
      <c r="HV152" s="153">
        <v>186</v>
      </c>
      <c r="HW152" s="153">
        <v>189</v>
      </c>
      <c r="HX152" s="154">
        <v>377</v>
      </c>
      <c r="HY152" s="154">
        <v>103</v>
      </c>
      <c r="HZ152" s="279">
        <v>128</v>
      </c>
      <c r="IA152" s="279">
        <v>122</v>
      </c>
      <c r="IB152" s="155"/>
      <c r="IC152" s="152">
        <v>931</v>
      </c>
      <c r="ID152" s="153">
        <v>1108</v>
      </c>
      <c r="IE152" s="153">
        <v>1129</v>
      </c>
      <c r="IF152" s="153">
        <v>967</v>
      </c>
      <c r="IG152" s="154">
        <v>1126</v>
      </c>
      <c r="IH152" s="154">
        <v>749</v>
      </c>
      <c r="II152" s="279">
        <v>700</v>
      </c>
      <c r="IJ152" s="279">
        <v>523</v>
      </c>
      <c r="IK152" s="155"/>
    </row>
    <row r="153" spans="1:245" x14ac:dyDescent="0.2">
      <c r="A153" s="961"/>
      <c r="B153" s="151" t="s">
        <v>739</v>
      </c>
      <c r="C153" s="152"/>
      <c r="D153" s="153"/>
      <c r="E153" s="153"/>
      <c r="F153" s="153"/>
      <c r="G153" s="154"/>
      <c r="H153" s="154"/>
      <c r="I153" s="279"/>
      <c r="J153" s="279"/>
      <c r="K153" s="155"/>
      <c r="L153" s="152"/>
      <c r="M153" s="153"/>
      <c r="N153" s="153"/>
      <c r="O153" s="153"/>
      <c r="P153" s="154"/>
      <c r="Q153" s="154"/>
      <c r="R153" s="279"/>
      <c r="S153" s="279"/>
      <c r="T153" s="155"/>
      <c r="U153" s="152"/>
      <c r="V153" s="153"/>
      <c r="W153" s="153"/>
      <c r="X153" s="153"/>
      <c r="Y153" s="154"/>
      <c r="Z153" s="154"/>
      <c r="AA153" s="279"/>
      <c r="AB153" s="279"/>
      <c r="AC153" s="155"/>
      <c r="AD153" s="152">
        <v>175</v>
      </c>
      <c r="AE153" s="153">
        <v>124</v>
      </c>
      <c r="AF153" s="153">
        <v>158</v>
      </c>
      <c r="AG153" s="153">
        <v>126</v>
      </c>
      <c r="AH153" s="154">
        <v>100</v>
      </c>
      <c r="AI153" s="154">
        <v>104</v>
      </c>
      <c r="AJ153" s="279">
        <v>105</v>
      </c>
      <c r="AK153" s="279">
        <v>80</v>
      </c>
      <c r="AL153" s="155"/>
      <c r="AM153" s="152">
        <v>102</v>
      </c>
      <c r="AN153" s="153">
        <v>91</v>
      </c>
      <c r="AO153" s="153">
        <v>113</v>
      </c>
      <c r="AP153" s="153">
        <v>76</v>
      </c>
      <c r="AQ153" s="154">
        <v>67</v>
      </c>
      <c r="AR153" s="154">
        <v>77</v>
      </c>
      <c r="AS153" s="279">
        <v>78</v>
      </c>
      <c r="AT153" s="279">
        <v>57</v>
      </c>
      <c r="AU153" s="155"/>
      <c r="AV153" s="152"/>
      <c r="AW153" s="153"/>
      <c r="AX153" s="153"/>
      <c r="AY153" s="153"/>
      <c r="AZ153" s="154"/>
      <c r="BA153" s="154"/>
      <c r="BB153" s="279"/>
      <c r="BC153" s="279"/>
      <c r="BD153" s="155"/>
      <c r="BE153" s="152">
        <v>62</v>
      </c>
      <c r="BF153" s="153">
        <v>16</v>
      </c>
      <c r="BG153" s="153">
        <v>29</v>
      </c>
      <c r="BH153" s="153">
        <v>19</v>
      </c>
      <c r="BI153" s="154">
        <v>18</v>
      </c>
      <c r="BJ153" s="154">
        <v>17</v>
      </c>
      <c r="BK153" s="279">
        <v>13</v>
      </c>
      <c r="BL153" s="279">
        <v>4</v>
      </c>
      <c r="BM153" s="155"/>
      <c r="BN153" s="152"/>
      <c r="BO153" s="153"/>
      <c r="BP153" s="153"/>
      <c r="BQ153" s="153"/>
      <c r="BR153" s="154"/>
      <c r="BS153" s="154"/>
      <c r="BT153" s="279"/>
      <c r="BU153" s="279"/>
      <c r="BV153" s="155"/>
      <c r="BW153" s="152">
        <v>142</v>
      </c>
      <c r="BX153" s="153">
        <v>116</v>
      </c>
      <c r="BY153" s="153">
        <v>123</v>
      </c>
      <c r="BZ153" s="153">
        <v>119</v>
      </c>
      <c r="CA153" s="154">
        <v>127</v>
      </c>
      <c r="CB153" s="154">
        <v>85</v>
      </c>
      <c r="CC153" s="279">
        <v>72</v>
      </c>
      <c r="CD153" s="279">
        <v>67</v>
      </c>
      <c r="CE153" s="155"/>
      <c r="CF153" s="152">
        <v>8</v>
      </c>
      <c r="CG153" s="153">
        <v>8</v>
      </c>
      <c r="CH153" s="153">
        <v>5</v>
      </c>
      <c r="CI153" s="153">
        <v>2</v>
      </c>
      <c r="CJ153" s="154">
        <v>2</v>
      </c>
      <c r="CK153" s="154">
        <v>4</v>
      </c>
      <c r="CL153" s="279">
        <v>1</v>
      </c>
      <c r="CM153" s="279">
        <v>1</v>
      </c>
      <c r="CN153" s="155"/>
      <c r="CO153" s="152">
        <v>1</v>
      </c>
      <c r="CP153" s="153"/>
      <c r="CQ153" s="153">
        <v>1</v>
      </c>
      <c r="CR153" s="153">
        <v>1</v>
      </c>
      <c r="CS153" s="154"/>
      <c r="CT153" s="154">
        <v>1</v>
      </c>
      <c r="CU153" s="279">
        <v>1</v>
      </c>
      <c r="CV153" s="279">
        <v>2</v>
      </c>
      <c r="CW153" s="155"/>
      <c r="CX153" s="152">
        <v>1122</v>
      </c>
      <c r="CY153" s="153">
        <v>857</v>
      </c>
      <c r="CZ153" s="153">
        <v>1076</v>
      </c>
      <c r="DA153" s="153">
        <v>864</v>
      </c>
      <c r="DB153" s="154">
        <v>658</v>
      </c>
      <c r="DC153" s="154">
        <v>561</v>
      </c>
      <c r="DD153" s="279">
        <v>427</v>
      </c>
      <c r="DE153" s="279">
        <v>467</v>
      </c>
      <c r="DF153" s="155"/>
      <c r="DG153" s="152">
        <v>3</v>
      </c>
      <c r="DH153" s="153">
        <v>1</v>
      </c>
      <c r="DI153" s="153">
        <v>6</v>
      </c>
      <c r="DJ153" s="153">
        <v>1</v>
      </c>
      <c r="DK153" s="154"/>
      <c r="DL153" s="154">
        <v>1</v>
      </c>
      <c r="DM153" s="279"/>
      <c r="DN153" s="279"/>
      <c r="DO153" s="155"/>
      <c r="DP153" s="152">
        <v>5</v>
      </c>
      <c r="DQ153" s="153">
        <v>5</v>
      </c>
      <c r="DR153" s="153">
        <v>6</v>
      </c>
      <c r="DS153" s="153">
        <v>3</v>
      </c>
      <c r="DT153" s="154">
        <v>2</v>
      </c>
      <c r="DU153" s="154">
        <v>2</v>
      </c>
      <c r="DV153" s="279"/>
      <c r="DW153" s="279">
        <v>2</v>
      </c>
      <c r="DX153" s="155"/>
      <c r="DY153" s="152">
        <v>164</v>
      </c>
      <c r="DZ153" s="153">
        <v>174</v>
      </c>
      <c r="EA153" s="153">
        <v>161</v>
      </c>
      <c r="EB153" s="153">
        <v>160</v>
      </c>
      <c r="EC153" s="154">
        <v>127</v>
      </c>
      <c r="ED153" s="154">
        <v>115</v>
      </c>
      <c r="EE153" s="279">
        <v>83</v>
      </c>
      <c r="EF153" s="279">
        <v>76</v>
      </c>
      <c r="EG153" s="155"/>
      <c r="EH153" s="152">
        <v>11</v>
      </c>
      <c r="EI153" s="153">
        <v>8</v>
      </c>
      <c r="EJ153" s="153">
        <v>5</v>
      </c>
      <c r="EK153" s="153">
        <v>15</v>
      </c>
      <c r="EL153" s="154">
        <v>9</v>
      </c>
      <c r="EM153" s="154">
        <v>3</v>
      </c>
      <c r="EN153" s="279">
        <v>4</v>
      </c>
      <c r="EO153" s="279">
        <v>3</v>
      </c>
      <c r="EP153" s="155"/>
      <c r="EQ153" s="152">
        <v>2</v>
      </c>
      <c r="ER153" s="153">
        <v>1</v>
      </c>
      <c r="ES153" s="153">
        <v>1</v>
      </c>
      <c r="ET153" s="153">
        <v>7</v>
      </c>
      <c r="EU153" s="154">
        <v>11</v>
      </c>
      <c r="EV153" s="154">
        <v>4</v>
      </c>
      <c r="EW153" s="279">
        <v>10</v>
      </c>
      <c r="EX153" s="279">
        <v>7</v>
      </c>
      <c r="EY153" s="155"/>
      <c r="EZ153" s="152">
        <v>5</v>
      </c>
      <c r="FA153" s="153">
        <v>11</v>
      </c>
      <c r="FB153" s="153">
        <v>5</v>
      </c>
      <c r="FC153" s="153">
        <v>5</v>
      </c>
      <c r="FD153" s="154">
        <v>6</v>
      </c>
      <c r="FE153" s="154">
        <v>3</v>
      </c>
      <c r="FF153" s="279">
        <v>1</v>
      </c>
      <c r="FG153" s="279"/>
      <c r="FH153" s="155"/>
      <c r="FI153" s="152">
        <v>89</v>
      </c>
      <c r="FJ153" s="153">
        <v>45</v>
      </c>
      <c r="FK153" s="153">
        <v>38</v>
      </c>
      <c r="FL153" s="153">
        <v>14</v>
      </c>
      <c r="FM153" s="154">
        <v>22</v>
      </c>
      <c r="FN153" s="154">
        <v>25</v>
      </c>
      <c r="FO153" s="279">
        <v>43</v>
      </c>
      <c r="FP153" s="279">
        <v>15</v>
      </c>
      <c r="FQ153" s="155"/>
      <c r="FR153" s="152">
        <v>4</v>
      </c>
      <c r="FS153" s="153">
        <v>12</v>
      </c>
      <c r="FT153" s="153">
        <v>20</v>
      </c>
      <c r="FU153" s="153">
        <v>5</v>
      </c>
      <c r="FV153" s="154"/>
      <c r="FW153" s="154">
        <v>2</v>
      </c>
      <c r="FX153" s="279">
        <v>3</v>
      </c>
      <c r="FY153" s="279">
        <v>5</v>
      </c>
      <c r="FZ153" s="155"/>
      <c r="GA153" s="152">
        <v>17</v>
      </c>
      <c r="GB153" s="153">
        <v>4</v>
      </c>
      <c r="GC153" s="153">
        <v>8</v>
      </c>
      <c r="GD153" s="153">
        <v>10</v>
      </c>
      <c r="GE153" s="154">
        <v>14</v>
      </c>
      <c r="GF153" s="154">
        <v>10</v>
      </c>
      <c r="GG153" s="279">
        <v>10</v>
      </c>
      <c r="GH153" s="279">
        <v>18</v>
      </c>
      <c r="GI153" s="155"/>
      <c r="GJ153" s="152">
        <v>1638</v>
      </c>
      <c r="GK153" s="153">
        <v>1202</v>
      </c>
      <c r="GL153" s="153">
        <v>1469</v>
      </c>
      <c r="GM153" s="153">
        <v>1187</v>
      </c>
      <c r="GN153" s="154">
        <v>967</v>
      </c>
      <c r="GO153" s="154">
        <v>819</v>
      </c>
      <c r="GP153" s="279">
        <v>690</v>
      </c>
      <c r="GQ153" s="279">
        <v>669</v>
      </c>
      <c r="GR153" s="155"/>
      <c r="GS153" s="152">
        <v>459</v>
      </c>
      <c r="GT153" s="153">
        <v>301</v>
      </c>
      <c r="GU153" s="153">
        <v>399</v>
      </c>
      <c r="GV153" s="153">
        <v>240</v>
      </c>
      <c r="GW153" s="154">
        <v>106</v>
      </c>
      <c r="GX153" s="154">
        <v>92</v>
      </c>
      <c r="GY153" s="279">
        <v>72</v>
      </c>
      <c r="GZ153" s="279">
        <v>49</v>
      </c>
      <c r="HA153" s="155"/>
      <c r="HB153" s="152">
        <v>4</v>
      </c>
      <c r="HC153" s="153">
        <v>4</v>
      </c>
      <c r="HD153" s="153">
        <v>3</v>
      </c>
      <c r="HE153" s="153">
        <v>3</v>
      </c>
      <c r="HF153" s="154">
        <v>4</v>
      </c>
      <c r="HG153" s="154">
        <v>1</v>
      </c>
      <c r="HH153" s="279">
        <v>3</v>
      </c>
      <c r="HI153" s="279"/>
      <c r="HJ153" s="155"/>
      <c r="HK153" s="152"/>
      <c r="HL153" s="153">
        <v>4</v>
      </c>
      <c r="HM153" s="153">
        <v>4</v>
      </c>
      <c r="HN153" s="153"/>
      <c r="HO153" s="154">
        <v>1</v>
      </c>
      <c r="HP153" s="154">
        <v>2</v>
      </c>
      <c r="HQ153" s="279">
        <v>1</v>
      </c>
      <c r="HR153" s="279">
        <v>4</v>
      </c>
      <c r="HS153" s="155"/>
      <c r="HT153" s="152">
        <v>564</v>
      </c>
      <c r="HU153" s="153">
        <v>382</v>
      </c>
      <c r="HV153" s="153">
        <v>518</v>
      </c>
      <c r="HW153" s="153">
        <v>363</v>
      </c>
      <c r="HX153" s="154">
        <v>208</v>
      </c>
      <c r="HY153" s="154">
        <v>192</v>
      </c>
      <c r="HZ153" s="279">
        <v>151</v>
      </c>
      <c r="IA153" s="279">
        <v>138</v>
      </c>
      <c r="IB153" s="155"/>
      <c r="IC153" s="152">
        <v>2656</v>
      </c>
      <c r="ID153" s="153">
        <v>1914</v>
      </c>
      <c r="IE153" s="153">
        <v>4990</v>
      </c>
      <c r="IF153" s="153">
        <v>1591</v>
      </c>
      <c r="IG153" s="154">
        <v>1488</v>
      </c>
      <c r="IH153" s="154">
        <v>1230</v>
      </c>
      <c r="II153" s="279">
        <v>1016</v>
      </c>
      <c r="IJ153" s="279">
        <v>926</v>
      </c>
      <c r="IK153" s="155"/>
    </row>
    <row r="154" spans="1:245" x14ac:dyDescent="0.2">
      <c r="A154" s="961"/>
      <c r="B154" s="151" t="s">
        <v>740</v>
      </c>
      <c r="C154" s="152"/>
      <c r="D154" s="153"/>
      <c r="E154" s="153"/>
      <c r="F154" s="153"/>
      <c r="G154" s="154"/>
      <c r="H154" s="154"/>
      <c r="I154" s="279"/>
      <c r="J154" s="279"/>
      <c r="K154" s="155"/>
      <c r="L154" s="152"/>
      <c r="M154" s="153"/>
      <c r="N154" s="153"/>
      <c r="O154" s="153"/>
      <c r="P154" s="154"/>
      <c r="Q154" s="154"/>
      <c r="R154" s="279"/>
      <c r="S154" s="279"/>
      <c r="T154" s="155"/>
      <c r="U154" s="152"/>
      <c r="V154" s="153"/>
      <c r="W154" s="153"/>
      <c r="X154" s="153"/>
      <c r="Y154" s="154"/>
      <c r="Z154" s="154"/>
      <c r="AA154" s="279"/>
      <c r="AB154" s="279"/>
      <c r="AC154" s="155"/>
      <c r="AD154" s="152">
        <v>118</v>
      </c>
      <c r="AE154" s="153">
        <v>111</v>
      </c>
      <c r="AF154" s="153">
        <v>83</v>
      </c>
      <c r="AG154" s="153">
        <v>112</v>
      </c>
      <c r="AH154" s="154">
        <v>78</v>
      </c>
      <c r="AI154" s="154">
        <v>76</v>
      </c>
      <c r="AJ154" s="279">
        <v>59</v>
      </c>
      <c r="AK154" s="279">
        <v>57</v>
      </c>
      <c r="AL154" s="155"/>
      <c r="AM154" s="152">
        <v>85</v>
      </c>
      <c r="AN154" s="153">
        <v>88</v>
      </c>
      <c r="AO154" s="153">
        <v>57</v>
      </c>
      <c r="AP154" s="153">
        <v>59</v>
      </c>
      <c r="AQ154" s="154">
        <v>37</v>
      </c>
      <c r="AR154" s="154">
        <v>55</v>
      </c>
      <c r="AS154" s="279">
        <v>36</v>
      </c>
      <c r="AT154" s="279">
        <v>28</v>
      </c>
      <c r="AU154" s="155"/>
      <c r="AV154" s="152"/>
      <c r="AW154" s="153"/>
      <c r="AX154" s="153"/>
      <c r="AY154" s="153"/>
      <c r="AZ154" s="154"/>
      <c r="BA154" s="154"/>
      <c r="BB154" s="279"/>
      <c r="BC154" s="279"/>
      <c r="BD154" s="155"/>
      <c r="BE154" s="152">
        <v>5</v>
      </c>
      <c r="BF154" s="153">
        <v>2</v>
      </c>
      <c r="BG154" s="153">
        <v>3</v>
      </c>
      <c r="BH154" s="153">
        <v>21</v>
      </c>
      <c r="BI154" s="154">
        <v>2</v>
      </c>
      <c r="BJ154" s="154">
        <v>6</v>
      </c>
      <c r="BK154" s="279">
        <v>23</v>
      </c>
      <c r="BL154" s="279">
        <v>3</v>
      </c>
      <c r="BM154" s="155"/>
      <c r="BN154" s="152">
        <v>3</v>
      </c>
      <c r="BO154" s="153"/>
      <c r="BP154" s="153"/>
      <c r="BQ154" s="153"/>
      <c r="BR154" s="154"/>
      <c r="BS154" s="154"/>
      <c r="BT154" s="279"/>
      <c r="BU154" s="279"/>
      <c r="BV154" s="155"/>
      <c r="BW154" s="152">
        <v>104</v>
      </c>
      <c r="BX154" s="153">
        <v>112</v>
      </c>
      <c r="BY154" s="153">
        <v>86</v>
      </c>
      <c r="BZ154" s="153">
        <v>109</v>
      </c>
      <c r="CA154" s="154">
        <v>92</v>
      </c>
      <c r="CB154" s="154">
        <v>103</v>
      </c>
      <c r="CC154" s="279">
        <v>65</v>
      </c>
      <c r="CD154" s="279">
        <v>65</v>
      </c>
      <c r="CE154" s="155"/>
      <c r="CF154" s="152">
        <v>1</v>
      </c>
      <c r="CG154" s="153">
        <v>1</v>
      </c>
      <c r="CH154" s="153">
        <v>2</v>
      </c>
      <c r="CI154" s="153">
        <v>2</v>
      </c>
      <c r="CJ154" s="154">
        <v>4</v>
      </c>
      <c r="CK154" s="154">
        <v>6</v>
      </c>
      <c r="CL154" s="279">
        <v>3</v>
      </c>
      <c r="CM154" s="279"/>
      <c r="CN154" s="155"/>
      <c r="CO154" s="152"/>
      <c r="CP154" s="153">
        <v>1</v>
      </c>
      <c r="CQ154" s="153">
        <v>1</v>
      </c>
      <c r="CR154" s="153"/>
      <c r="CS154" s="154">
        <v>1</v>
      </c>
      <c r="CT154" s="154"/>
      <c r="CU154" s="279">
        <v>3</v>
      </c>
      <c r="CV154" s="279">
        <v>2</v>
      </c>
      <c r="CW154" s="155"/>
      <c r="CX154" s="152">
        <v>464</v>
      </c>
      <c r="CY154" s="153">
        <v>474</v>
      </c>
      <c r="CZ154" s="153">
        <v>425</v>
      </c>
      <c r="DA154" s="153">
        <v>441</v>
      </c>
      <c r="DB154" s="154">
        <v>309</v>
      </c>
      <c r="DC154" s="154">
        <v>283</v>
      </c>
      <c r="DD154" s="279">
        <v>288</v>
      </c>
      <c r="DE154" s="279">
        <v>255</v>
      </c>
      <c r="DF154" s="155"/>
      <c r="DG154" s="152"/>
      <c r="DH154" s="153"/>
      <c r="DI154" s="153">
        <v>1</v>
      </c>
      <c r="DJ154" s="153">
        <v>1</v>
      </c>
      <c r="DK154" s="154">
        <v>1</v>
      </c>
      <c r="DL154" s="154"/>
      <c r="DM154" s="279">
        <v>2</v>
      </c>
      <c r="DN154" s="279"/>
      <c r="DO154" s="155"/>
      <c r="DP154" s="152">
        <v>8</v>
      </c>
      <c r="DQ154" s="153">
        <v>6</v>
      </c>
      <c r="DR154" s="153">
        <v>4</v>
      </c>
      <c r="DS154" s="153"/>
      <c r="DT154" s="154">
        <v>5</v>
      </c>
      <c r="DU154" s="154">
        <v>1</v>
      </c>
      <c r="DV154" s="279"/>
      <c r="DW154" s="279">
        <v>3</v>
      </c>
      <c r="DX154" s="155"/>
      <c r="DY154" s="152">
        <v>47</v>
      </c>
      <c r="DZ154" s="153">
        <v>50</v>
      </c>
      <c r="EA154" s="153">
        <v>55</v>
      </c>
      <c r="EB154" s="153">
        <v>95</v>
      </c>
      <c r="EC154" s="154">
        <v>31</v>
      </c>
      <c r="ED154" s="154">
        <v>41</v>
      </c>
      <c r="EE154" s="279">
        <v>34</v>
      </c>
      <c r="EF154" s="279">
        <v>40</v>
      </c>
      <c r="EG154" s="155"/>
      <c r="EH154" s="152">
        <v>3</v>
      </c>
      <c r="EI154" s="153">
        <v>4</v>
      </c>
      <c r="EJ154" s="153">
        <v>4</v>
      </c>
      <c r="EK154" s="153">
        <v>3</v>
      </c>
      <c r="EL154" s="154">
        <v>2</v>
      </c>
      <c r="EM154" s="154">
        <v>4</v>
      </c>
      <c r="EN154" s="279">
        <v>3</v>
      </c>
      <c r="EO154" s="279">
        <v>2</v>
      </c>
      <c r="EP154" s="155"/>
      <c r="EQ154" s="152"/>
      <c r="ER154" s="153">
        <v>3</v>
      </c>
      <c r="ES154" s="153"/>
      <c r="ET154" s="153">
        <v>5</v>
      </c>
      <c r="EU154" s="154">
        <v>3</v>
      </c>
      <c r="EV154" s="154">
        <v>6</v>
      </c>
      <c r="EW154" s="279">
        <v>2</v>
      </c>
      <c r="EX154" s="279">
        <v>3</v>
      </c>
      <c r="EY154" s="155"/>
      <c r="EZ154" s="152">
        <v>5</v>
      </c>
      <c r="FA154" s="153">
        <v>4</v>
      </c>
      <c r="FB154" s="153">
        <v>2</v>
      </c>
      <c r="FC154" s="153">
        <v>10</v>
      </c>
      <c r="FD154" s="154"/>
      <c r="FE154" s="154">
        <v>1</v>
      </c>
      <c r="FF154" s="279">
        <v>1</v>
      </c>
      <c r="FG154" s="279"/>
      <c r="FH154" s="155"/>
      <c r="FI154" s="152">
        <v>22</v>
      </c>
      <c r="FJ154" s="153">
        <v>38</v>
      </c>
      <c r="FK154" s="153">
        <v>21</v>
      </c>
      <c r="FL154" s="153">
        <v>14</v>
      </c>
      <c r="FM154" s="154">
        <v>11</v>
      </c>
      <c r="FN154" s="154">
        <v>17</v>
      </c>
      <c r="FO154" s="279">
        <v>9</v>
      </c>
      <c r="FP154" s="279">
        <v>13</v>
      </c>
      <c r="FQ154" s="155"/>
      <c r="FR154" s="152">
        <v>2</v>
      </c>
      <c r="FS154" s="153">
        <v>8</v>
      </c>
      <c r="FT154" s="153">
        <v>5</v>
      </c>
      <c r="FU154" s="153">
        <v>13</v>
      </c>
      <c r="FV154" s="154">
        <v>1</v>
      </c>
      <c r="FW154" s="154"/>
      <c r="FX154" s="279">
        <v>1</v>
      </c>
      <c r="FY154" s="279">
        <v>3</v>
      </c>
      <c r="FZ154" s="155"/>
      <c r="GA154" s="152">
        <v>5</v>
      </c>
      <c r="GB154" s="153">
        <v>2</v>
      </c>
      <c r="GC154" s="153">
        <v>1</v>
      </c>
      <c r="GD154" s="153"/>
      <c r="GE154" s="154">
        <v>6</v>
      </c>
      <c r="GF154" s="154">
        <v>4</v>
      </c>
      <c r="GG154" s="279">
        <v>4</v>
      </c>
      <c r="GH154" s="279">
        <v>9</v>
      </c>
      <c r="GI154" s="155"/>
      <c r="GJ154" s="152">
        <v>732</v>
      </c>
      <c r="GK154" s="153">
        <v>760</v>
      </c>
      <c r="GL154" s="153">
        <v>633</v>
      </c>
      <c r="GM154" s="153">
        <v>730</v>
      </c>
      <c r="GN154" s="154">
        <v>509</v>
      </c>
      <c r="GO154" s="154">
        <v>506</v>
      </c>
      <c r="GP154" s="279">
        <v>461</v>
      </c>
      <c r="GQ154" s="279">
        <v>412</v>
      </c>
      <c r="GR154" s="155"/>
      <c r="GS154" s="152">
        <v>211</v>
      </c>
      <c r="GT154" s="153">
        <v>216</v>
      </c>
      <c r="GU154" s="153">
        <v>192</v>
      </c>
      <c r="GV154" s="153">
        <v>167</v>
      </c>
      <c r="GW154" s="154">
        <v>65</v>
      </c>
      <c r="GX154" s="154">
        <v>67</v>
      </c>
      <c r="GY154" s="279">
        <v>56</v>
      </c>
      <c r="GZ154" s="279">
        <v>62</v>
      </c>
      <c r="HA154" s="155"/>
      <c r="HB154" s="152">
        <v>1</v>
      </c>
      <c r="HC154" s="153">
        <v>2</v>
      </c>
      <c r="HD154" s="153"/>
      <c r="HE154" s="153">
        <v>2</v>
      </c>
      <c r="HF154" s="154">
        <v>4</v>
      </c>
      <c r="HG154" s="154">
        <v>5</v>
      </c>
      <c r="HH154" s="279">
        <v>2</v>
      </c>
      <c r="HI154" s="279">
        <v>1</v>
      </c>
      <c r="HJ154" s="155"/>
      <c r="HK154" s="152">
        <v>6</v>
      </c>
      <c r="HL154" s="153">
        <v>1</v>
      </c>
      <c r="HM154" s="153"/>
      <c r="HN154" s="153">
        <v>2</v>
      </c>
      <c r="HO154" s="154">
        <v>1</v>
      </c>
      <c r="HP154" s="154">
        <v>1</v>
      </c>
      <c r="HQ154" s="279">
        <v>1</v>
      </c>
      <c r="HR154" s="279">
        <v>1</v>
      </c>
      <c r="HS154" s="155"/>
      <c r="HT154" s="152">
        <v>276</v>
      </c>
      <c r="HU154" s="153">
        <v>273</v>
      </c>
      <c r="HV154" s="153">
        <v>235</v>
      </c>
      <c r="HW154" s="153">
        <v>237</v>
      </c>
      <c r="HX154" s="154">
        <v>150</v>
      </c>
      <c r="HY154" s="154">
        <v>146</v>
      </c>
      <c r="HZ154" s="279">
        <v>154</v>
      </c>
      <c r="IA154" s="279">
        <v>133</v>
      </c>
      <c r="IB154" s="155"/>
      <c r="IC154" s="152">
        <v>1237</v>
      </c>
      <c r="ID154" s="153">
        <v>1163</v>
      </c>
      <c r="IE154" s="153">
        <v>1135</v>
      </c>
      <c r="IF154" s="153">
        <v>1243</v>
      </c>
      <c r="IG154" s="154">
        <v>770</v>
      </c>
      <c r="IH154" s="154">
        <v>1425</v>
      </c>
      <c r="II154" s="279">
        <v>860</v>
      </c>
      <c r="IJ154" s="279">
        <v>708</v>
      </c>
      <c r="IK154" s="155"/>
    </row>
    <row r="155" spans="1:245" ht="13.5" thickBot="1" x14ac:dyDescent="0.25">
      <c r="A155" s="961"/>
      <c r="B155" s="156" t="s">
        <v>741</v>
      </c>
      <c r="C155" s="157"/>
      <c r="D155" s="166"/>
      <c r="E155" s="166"/>
      <c r="F155" s="166"/>
      <c r="G155" s="158"/>
      <c r="H155" s="158"/>
      <c r="I155" s="280"/>
      <c r="J155" s="280"/>
      <c r="K155" s="159"/>
      <c r="L155" s="157"/>
      <c r="M155" s="166"/>
      <c r="N155" s="166"/>
      <c r="O155" s="166"/>
      <c r="P155" s="158"/>
      <c r="Q155" s="158"/>
      <c r="R155" s="280"/>
      <c r="S155" s="280"/>
      <c r="T155" s="159"/>
      <c r="U155" s="157"/>
      <c r="V155" s="166"/>
      <c r="W155" s="166"/>
      <c r="X155" s="166"/>
      <c r="Y155" s="158"/>
      <c r="Z155" s="158"/>
      <c r="AA155" s="280"/>
      <c r="AB155" s="280"/>
      <c r="AC155" s="159"/>
      <c r="AD155" s="157">
        <v>66</v>
      </c>
      <c r="AE155" s="166">
        <v>65</v>
      </c>
      <c r="AF155" s="166">
        <v>52</v>
      </c>
      <c r="AG155" s="166">
        <v>60</v>
      </c>
      <c r="AH155" s="158">
        <v>48</v>
      </c>
      <c r="AI155" s="158">
        <v>68</v>
      </c>
      <c r="AJ155" s="280">
        <v>40</v>
      </c>
      <c r="AK155" s="280">
        <v>26</v>
      </c>
      <c r="AL155" s="159"/>
      <c r="AM155" s="157">
        <v>39</v>
      </c>
      <c r="AN155" s="166">
        <v>34</v>
      </c>
      <c r="AO155" s="166">
        <v>27</v>
      </c>
      <c r="AP155" s="166">
        <v>44</v>
      </c>
      <c r="AQ155" s="158">
        <v>30</v>
      </c>
      <c r="AR155" s="158">
        <v>47</v>
      </c>
      <c r="AS155" s="280">
        <v>27</v>
      </c>
      <c r="AT155" s="280">
        <v>14</v>
      </c>
      <c r="AU155" s="159"/>
      <c r="AV155" s="157"/>
      <c r="AW155" s="166"/>
      <c r="AX155" s="166"/>
      <c r="AY155" s="166"/>
      <c r="AZ155" s="158"/>
      <c r="BA155" s="158"/>
      <c r="BB155" s="280"/>
      <c r="BC155" s="280"/>
      <c r="BD155" s="159"/>
      <c r="BE155" s="157">
        <v>7</v>
      </c>
      <c r="BF155" s="166">
        <v>22</v>
      </c>
      <c r="BG155" s="166">
        <v>8</v>
      </c>
      <c r="BH155" s="166">
        <v>7</v>
      </c>
      <c r="BI155" s="158">
        <v>5</v>
      </c>
      <c r="BJ155" s="158">
        <v>17</v>
      </c>
      <c r="BK155" s="280">
        <v>11</v>
      </c>
      <c r="BL155" s="280">
        <v>5</v>
      </c>
      <c r="BM155" s="159"/>
      <c r="BN155" s="157">
        <v>3</v>
      </c>
      <c r="BO155" s="166"/>
      <c r="BP155" s="166"/>
      <c r="BQ155" s="166"/>
      <c r="BR155" s="158"/>
      <c r="BS155" s="158"/>
      <c r="BT155" s="280"/>
      <c r="BU155" s="280"/>
      <c r="BV155" s="159"/>
      <c r="BW155" s="157">
        <v>51</v>
      </c>
      <c r="BX155" s="166">
        <v>49</v>
      </c>
      <c r="BY155" s="166">
        <v>44</v>
      </c>
      <c r="BZ155" s="166">
        <v>44</v>
      </c>
      <c r="CA155" s="158">
        <v>53</v>
      </c>
      <c r="CB155" s="158">
        <v>64</v>
      </c>
      <c r="CC155" s="280">
        <v>25</v>
      </c>
      <c r="CD155" s="280">
        <v>33</v>
      </c>
      <c r="CE155" s="159"/>
      <c r="CF155" s="157">
        <v>1</v>
      </c>
      <c r="CG155" s="166">
        <v>2</v>
      </c>
      <c r="CH155" s="166">
        <v>1</v>
      </c>
      <c r="CI155" s="166">
        <v>1</v>
      </c>
      <c r="CJ155" s="158">
        <v>2</v>
      </c>
      <c r="CK155" s="158">
        <v>4</v>
      </c>
      <c r="CL155" s="280"/>
      <c r="CM155" s="280"/>
      <c r="CN155" s="159"/>
      <c r="CO155" s="157"/>
      <c r="CP155" s="166"/>
      <c r="CQ155" s="166"/>
      <c r="CR155" s="166"/>
      <c r="CS155" s="158">
        <v>2</v>
      </c>
      <c r="CT155" s="158"/>
      <c r="CU155" s="280"/>
      <c r="CV155" s="280"/>
      <c r="CW155" s="159"/>
      <c r="CX155" s="157">
        <v>377</v>
      </c>
      <c r="CY155" s="166">
        <v>376</v>
      </c>
      <c r="CZ155" s="166">
        <v>306</v>
      </c>
      <c r="DA155" s="166">
        <v>332</v>
      </c>
      <c r="DB155" s="158">
        <v>223</v>
      </c>
      <c r="DC155" s="158">
        <v>141</v>
      </c>
      <c r="DD155" s="280">
        <v>112</v>
      </c>
      <c r="DE155" s="280">
        <v>122</v>
      </c>
      <c r="DF155" s="159"/>
      <c r="DG155" s="157"/>
      <c r="DH155" s="166">
        <v>1</v>
      </c>
      <c r="DI155" s="166">
        <v>2</v>
      </c>
      <c r="DJ155" s="166"/>
      <c r="DK155" s="158">
        <v>1</v>
      </c>
      <c r="DL155" s="158"/>
      <c r="DM155" s="280">
        <v>2</v>
      </c>
      <c r="DN155" s="280">
        <v>1</v>
      </c>
      <c r="DO155" s="159"/>
      <c r="DP155" s="157">
        <v>3</v>
      </c>
      <c r="DQ155" s="166">
        <v>2</v>
      </c>
      <c r="DR155" s="166">
        <v>3</v>
      </c>
      <c r="DS155" s="166">
        <v>3</v>
      </c>
      <c r="DT155" s="158"/>
      <c r="DU155" s="158"/>
      <c r="DV155" s="280"/>
      <c r="DW155" s="280"/>
      <c r="DX155" s="159"/>
      <c r="DY155" s="157">
        <v>50</v>
      </c>
      <c r="DZ155" s="166">
        <v>35</v>
      </c>
      <c r="EA155" s="166">
        <v>12</v>
      </c>
      <c r="EB155" s="166">
        <v>24</v>
      </c>
      <c r="EC155" s="158">
        <v>30</v>
      </c>
      <c r="ED155" s="158">
        <v>15</v>
      </c>
      <c r="EE155" s="280">
        <v>14</v>
      </c>
      <c r="EF155" s="280">
        <v>21</v>
      </c>
      <c r="EG155" s="159"/>
      <c r="EH155" s="157">
        <v>2</v>
      </c>
      <c r="EI155" s="166">
        <v>2</v>
      </c>
      <c r="EJ155" s="166">
        <v>3</v>
      </c>
      <c r="EK155" s="166">
        <v>4</v>
      </c>
      <c r="EL155" s="158">
        <v>3</v>
      </c>
      <c r="EM155" s="158">
        <v>2</v>
      </c>
      <c r="EN155" s="280">
        <v>1</v>
      </c>
      <c r="EO155" s="280">
        <v>3</v>
      </c>
      <c r="EP155" s="159"/>
      <c r="EQ155" s="157">
        <v>2</v>
      </c>
      <c r="ER155" s="166"/>
      <c r="ES155" s="166">
        <v>1</v>
      </c>
      <c r="ET155" s="166">
        <v>2</v>
      </c>
      <c r="EU155" s="158">
        <v>3</v>
      </c>
      <c r="EV155" s="158">
        <v>2</v>
      </c>
      <c r="EW155" s="280">
        <v>1</v>
      </c>
      <c r="EX155" s="280">
        <v>2</v>
      </c>
      <c r="EY155" s="159"/>
      <c r="EZ155" s="157">
        <v>2</v>
      </c>
      <c r="FA155" s="166">
        <v>4</v>
      </c>
      <c r="FB155" s="166"/>
      <c r="FC155" s="166">
        <v>2</v>
      </c>
      <c r="FD155" s="158">
        <v>4</v>
      </c>
      <c r="FE155" s="158"/>
      <c r="FF155" s="280"/>
      <c r="FG155" s="280">
        <v>1</v>
      </c>
      <c r="FH155" s="159"/>
      <c r="FI155" s="157">
        <v>23</v>
      </c>
      <c r="FJ155" s="166">
        <v>30</v>
      </c>
      <c r="FK155" s="166">
        <v>17</v>
      </c>
      <c r="FL155" s="166">
        <v>24</v>
      </c>
      <c r="FM155" s="158">
        <v>17</v>
      </c>
      <c r="FN155" s="158">
        <v>12</v>
      </c>
      <c r="FO155" s="280">
        <v>9</v>
      </c>
      <c r="FP155" s="280">
        <v>9</v>
      </c>
      <c r="FQ155" s="159"/>
      <c r="FR155" s="157">
        <v>2</v>
      </c>
      <c r="FS155" s="166">
        <v>5</v>
      </c>
      <c r="FT155" s="166">
        <v>3</v>
      </c>
      <c r="FU155" s="166"/>
      <c r="FV155" s="158">
        <v>4</v>
      </c>
      <c r="FW155" s="158">
        <v>5</v>
      </c>
      <c r="FX155" s="280">
        <v>1</v>
      </c>
      <c r="FY155" s="280">
        <v>2</v>
      </c>
      <c r="FZ155" s="159"/>
      <c r="GA155" s="157">
        <v>1</v>
      </c>
      <c r="GB155" s="166">
        <v>5</v>
      </c>
      <c r="GC155" s="166">
        <v>3</v>
      </c>
      <c r="GD155" s="166">
        <v>3</v>
      </c>
      <c r="GE155" s="158">
        <v>3</v>
      </c>
      <c r="GF155" s="158">
        <v>9</v>
      </c>
      <c r="GG155" s="280">
        <v>2</v>
      </c>
      <c r="GH155" s="280">
        <v>4</v>
      </c>
      <c r="GI155" s="159"/>
      <c r="GJ155" s="157">
        <v>537</v>
      </c>
      <c r="GK155" s="166">
        <v>560</v>
      </c>
      <c r="GL155" s="166">
        <v>438</v>
      </c>
      <c r="GM155" s="166">
        <v>479</v>
      </c>
      <c r="GN155" s="158">
        <v>367</v>
      </c>
      <c r="GO155" s="158">
        <v>324</v>
      </c>
      <c r="GP155" s="280">
        <v>202</v>
      </c>
      <c r="GQ155" s="280">
        <v>207</v>
      </c>
      <c r="GR155" s="159"/>
      <c r="GS155" s="157">
        <v>173</v>
      </c>
      <c r="GT155" s="166">
        <v>197</v>
      </c>
      <c r="GU155" s="166">
        <v>161</v>
      </c>
      <c r="GV155" s="166">
        <v>125</v>
      </c>
      <c r="GW155" s="158">
        <v>62</v>
      </c>
      <c r="GX155" s="158">
        <v>86</v>
      </c>
      <c r="GY155" s="280">
        <v>39</v>
      </c>
      <c r="GZ155" s="280">
        <v>42</v>
      </c>
      <c r="HA155" s="159"/>
      <c r="HB155" s="157">
        <v>4</v>
      </c>
      <c r="HC155" s="166"/>
      <c r="HD155" s="166">
        <v>1</v>
      </c>
      <c r="HE155" s="166"/>
      <c r="HF155" s="158">
        <v>1</v>
      </c>
      <c r="HG155" s="158"/>
      <c r="HH155" s="280"/>
      <c r="HI155" s="280"/>
      <c r="HJ155" s="159"/>
      <c r="HK155" s="157"/>
      <c r="HL155" s="166"/>
      <c r="HM155" s="166">
        <v>1</v>
      </c>
      <c r="HN155" s="166"/>
      <c r="HO155" s="158">
        <v>1</v>
      </c>
      <c r="HP155" s="158">
        <v>1</v>
      </c>
      <c r="HQ155" s="280"/>
      <c r="HR155" s="280">
        <v>1</v>
      </c>
      <c r="HS155" s="159"/>
      <c r="HT155" s="157">
        <v>238</v>
      </c>
      <c r="HU155" s="166">
        <v>252</v>
      </c>
      <c r="HV155" s="166">
        <v>225</v>
      </c>
      <c r="HW155" s="166">
        <v>178</v>
      </c>
      <c r="HX155" s="158">
        <v>121</v>
      </c>
      <c r="HY155" s="158">
        <v>138</v>
      </c>
      <c r="HZ155" s="280">
        <v>74</v>
      </c>
      <c r="IA155" s="280">
        <v>96</v>
      </c>
      <c r="IB155" s="159"/>
      <c r="IC155" s="157">
        <v>1194</v>
      </c>
      <c r="ID155" s="166">
        <v>1273</v>
      </c>
      <c r="IE155" s="166">
        <v>1025</v>
      </c>
      <c r="IF155" s="166">
        <v>948</v>
      </c>
      <c r="IG155" s="158">
        <v>850</v>
      </c>
      <c r="IH155" s="158">
        <v>842</v>
      </c>
      <c r="II155" s="280">
        <v>551</v>
      </c>
      <c r="IJ155" s="280">
        <v>665</v>
      </c>
      <c r="IK155" s="159"/>
    </row>
    <row r="156" spans="1:245" ht="26.25" thickBot="1" x14ac:dyDescent="0.25">
      <c r="A156" s="962"/>
      <c r="B156" s="189" t="s">
        <v>790</v>
      </c>
      <c r="C156" s="273">
        <v>13</v>
      </c>
      <c r="D156" s="190">
        <v>18</v>
      </c>
      <c r="E156" s="190">
        <v>13</v>
      </c>
      <c r="F156" s="190">
        <v>10</v>
      </c>
      <c r="G156" s="190">
        <v>9</v>
      </c>
      <c r="H156" s="190">
        <v>8</v>
      </c>
      <c r="I156" s="190">
        <v>10</v>
      </c>
      <c r="J156" s="190">
        <v>5</v>
      </c>
      <c r="K156" s="286"/>
      <c r="L156" s="273">
        <v>6</v>
      </c>
      <c r="M156" s="190">
        <v>5</v>
      </c>
      <c r="N156" s="190">
        <v>6</v>
      </c>
      <c r="O156" s="190">
        <v>4</v>
      </c>
      <c r="P156" s="190">
        <v>3</v>
      </c>
      <c r="Q156" s="190">
        <v>3</v>
      </c>
      <c r="R156" s="190">
        <v>5</v>
      </c>
      <c r="S156" s="190">
        <v>3</v>
      </c>
      <c r="T156" s="286"/>
      <c r="U156" s="273">
        <v>7</v>
      </c>
      <c r="V156" s="190">
        <v>10</v>
      </c>
      <c r="W156" s="190">
        <v>5</v>
      </c>
      <c r="X156" s="190">
        <v>6</v>
      </c>
      <c r="Y156" s="190">
        <v>4</v>
      </c>
      <c r="Z156" s="190">
        <v>3</v>
      </c>
      <c r="AA156" s="190">
        <v>3</v>
      </c>
      <c r="AB156" s="190">
        <v>1</v>
      </c>
      <c r="AC156" s="286"/>
      <c r="AD156" s="273">
        <v>1525</v>
      </c>
      <c r="AE156" s="190">
        <v>1226</v>
      </c>
      <c r="AF156" s="190">
        <v>1349</v>
      </c>
      <c r="AG156" s="190">
        <v>1581</v>
      </c>
      <c r="AH156" s="190">
        <v>1244</v>
      </c>
      <c r="AI156" s="190">
        <v>1227</v>
      </c>
      <c r="AJ156" s="190">
        <v>958</v>
      </c>
      <c r="AK156" s="190">
        <v>779</v>
      </c>
      <c r="AL156" s="286"/>
      <c r="AM156" s="273">
        <v>1034</v>
      </c>
      <c r="AN156" s="190">
        <v>801</v>
      </c>
      <c r="AO156" s="190">
        <v>855</v>
      </c>
      <c r="AP156" s="190">
        <v>1015</v>
      </c>
      <c r="AQ156" s="190">
        <v>769</v>
      </c>
      <c r="AR156" s="190">
        <v>760</v>
      </c>
      <c r="AS156" s="190">
        <v>573</v>
      </c>
      <c r="AT156" s="190">
        <v>493</v>
      </c>
      <c r="AU156" s="286"/>
      <c r="AV156" s="273"/>
      <c r="AW156" s="190">
        <v>2</v>
      </c>
      <c r="AX156" s="190"/>
      <c r="AY156" s="190">
        <v>3</v>
      </c>
      <c r="AZ156" s="190"/>
      <c r="BA156" s="190">
        <v>3</v>
      </c>
      <c r="BB156" s="190">
        <v>1</v>
      </c>
      <c r="BC156" s="190">
        <v>1</v>
      </c>
      <c r="BD156" s="286"/>
      <c r="BE156" s="273">
        <v>196</v>
      </c>
      <c r="BF156" s="190">
        <v>164</v>
      </c>
      <c r="BG156" s="190">
        <v>178</v>
      </c>
      <c r="BH156" s="190">
        <v>165</v>
      </c>
      <c r="BI156" s="190">
        <v>128</v>
      </c>
      <c r="BJ156" s="190">
        <v>170</v>
      </c>
      <c r="BK156" s="190">
        <v>177</v>
      </c>
      <c r="BL156" s="190">
        <v>101</v>
      </c>
      <c r="BM156" s="286"/>
      <c r="BN156" s="273">
        <v>18</v>
      </c>
      <c r="BO156" s="190">
        <v>6</v>
      </c>
      <c r="BP156" s="190">
        <v>5</v>
      </c>
      <c r="BQ156" s="190">
        <v>9</v>
      </c>
      <c r="BR156" s="190">
        <v>15</v>
      </c>
      <c r="BS156" s="190">
        <v>20</v>
      </c>
      <c r="BT156" s="190">
        <v>9</v>
      </c>
      <c r="BU156" s="190">
        <v>8</v>
      </c>
      <c r="BV156" s="286"/>
      <c r="BW156" s="273">
        <v>987</v>
      </c>
      <c r="BX156" s="190">
        <v>997</v>
      </c>
      <c r="BY156" s="190">
        <v>1085</v>
      </c>
      <c r="BZ156" s="190">
        <v>1220</v>
      </c>
      <c r="CA156" s="190">
        <v>1061</v>
      </c>
      <c r="CB156" s="190">
        <v>998</v>
      </c>
      <c r="CC156" s="190">
        <v>685</v>
      </c>
      <c r="CD156" s="190">
        <v>614</v>
      </c>
      <c r="CE156" s="286"/>
      <c r="CF156" s="273">
        <v>58</v>
      </c>
      <c r="CG156" s="190">
        <v>42</v>
      </c>
      <c r="CH156" s="190">
        <v>48</v>
      </c>
      <c r="CI156" s="190">
        <v>42</v>
      </c>
      <c r="CJ156" s="190">
        <v>52</v>
      </c>
      <c r="CK156" s="190">
        <v>39</v>
      </c>
      <c r="CL156" s="190">
        <v>20</v>
      </c>
      <c r="CM156" s="190">
        <v>19</v>
      </c>
      <c r="CN156" s="286"/>
      <c r="CO156" s="273">
        <v>33</v>
      </c>
      <c r="CP156" s="190">
        <v>25</v>
      </c>
      <c r="CQ156" s="190">
        <v>10</v>
      </c>
      <c r="CR156" s="190">
        <v>7</v>
      </c>
      <c r="CS156" s="190">
        <v>38</v>
      </c>
      <c r="CT156" s="190">
        <v>23</v>
      </c>
      <c r="CU156" s="190">
        <v>24</v>
      </c>
      <c r="CV156" s="190">
        <v>33</v>
      </c>
      <c r="CW156" s="286"/>
      <c r="CX156" s="273">
        <v>7727</v>
      </c>
      <c r="CY156" s="190">
        <v>7562</v>
      </c>
      <c r="CZ156" s="190">
        <v>7956</v>
      </c>
      <c r="DA156" s="190">
        <v>7531</v>
      </c>
      <c r="DB156" s="190">
        <v>6012</v>
      </c>
      <c r="DC156" s="190">
        <v>5150</v>
      </c>
      <c r="DD156" s="190">
        <v>4400</v>
      </c>
      <c r="DE156" s="190">
        <v>3821</v>
      </c>
      <c r="DF156" s="286"/>
      <c r="DG156" s="273">
        <v>25</v>
      </c>
      <c r="DH156" s="190">
        <v>25</v>
      </c>
      <c r="DI156" s="190">
        <v>35</v>
      </c>
      <c r="DJ156" s="190">
        <v>32</v>
      </c>
      <c r="DK156" s="190">
        <v>21</v>
      </c>
      <c r="DL156" s="190">
        <v>12</v>
      </c>
      <c r="DM156" s="190">
        <v>13</v>
      </c>
      <c r="DN156" s="190">
        <v>20</v>
      </c>
      <c r="DO156" s="286"/>
      <c r="DP156" s="273">
        <v>169</v>
      </c>
      <c r="DQ156" s="190">
        <v>189</v>
      </c>
      <c r="DR156" s="190">
        <v>135</v>
      </c>
      <c r="DS156" s="190">
        <v>89</v>
      </c>
      <c r="DT156" s="190">
        <v>104</v>
      </c>
      <c r="DU156" s="190">
        <v>99</v>
      </c>
      <c r="DV156" s="190">
        <v>43</v>
      </c>
      <c r="DW156" s="190">
        <v>74</v>
      </c>
      <c r="DX156" s="286"/>
      <c r="DY156" s="273">
        <v>1082</v>
      </c>
      <c r="DZ156" s="190">
        <v>976</v>
      </c>
      <c r="EA156" s="190">
        <v>1009</v>
      </c>
      <c r="EB156" s="190">
        <v>1033</v>
      </c>
      <c r="EC156" s="190">
        <v>922</v>
      </c>
      <c r="ED156" s="190">
        <v>886</v>
      </c>
      <c r="EE156" s="190">
        <v>715</v>
      </c>
      <c r="EF156" s="190">
        <v>602</v>
      </c>
      <c r="EG156" s="286"/>
      <c r="EH156" s="273">
        <v>108</v>
      </c>
      <c r="EI156" s="190">
        <v>92</v>
      </c>
      <c r="EJ156" s="190">
        <v>75</v>
      </c>
      <c r="EK156" s="190">
        <v>89</v>
      </c>
      <c r="EL156" s="190">
        <v>100</v>
      </c>
      <c r="EM156" s="190">
        <v>56</v>
      </c>
      <c r="EN156" s="190">
        <v>35</v>
      </c>
      <c r="EO156" s="190">
        <v>44</v>
      </c>
      <c r="EP156" s="286"/>
      <c r="EQ156" s="273">
        <v>17</v>
      </c>
      <c r="ER156" s="190">
        <v>10</v>
      </c>
      <c r="ES156" s="190">
        <v>26</v>
      </c>
      <c r="ET156" s="190">
        <v>52</v>
      </c>
      <c r="EU156" s="190">
        <v>66</v>
      </c>
      <c r="EV156" s="190">
        <v>88</v>
      </c>
      <c r="EW156" s="190">
        <v>69</v>
      </c>
      <c r="EX156" s="190">
        <v>65</v>
      </c>
      <c r="EY156" s="286"/>
      <c r="EZ156" s="273">
        <v>98</v>
      </c>
      <c r="FA156" s="190">
        <v>63</v>
      </c>
      <c r="FB156" s="190">
        <v>56</v>
      </c>
      <c r="FC156" s="190">
        <v>71</v>
      </c>
      <c r="FD156" s="190">
        <v>58</v>
      </c>
      <c r="FE156" s="190">
        <v>32</v>
      </c>
      <c r="FF156" s="190">
        <v>38</v>
      </c>
      <c r="FG156" s="190">
        <v>13</v>
      </c>
      <c r="FH156" s="286"/>
      <c r="FI156" s="273">
        <v>529</v>
      </c>
      <c r="FJ156" s="190">
        <v>559</v>
      </c>
      <c r="FK156" s="190">
        <v>363</v>
      </c>
      <c r="FL156" s="190">
        <v>373</v>
      </c>
      <c r="FM156" s="190">
        <v>317</v>
      </c>
      <c r="FN156" s="190">
        <v>330</v>
      </c>
      <c r="FO156" s="190">
        <v>297</v>
      </c>
      <c r="FP156" s="190">
        <v>217</v>
      </c>
      <c r="FQ156" s="286"/>
      <c r="FR156" s="273">
        <v>58</v>
      </c>
      <c r="FS156" s="190">
        <v>79</v>
      </c>
      <c r="FT156" s="190">
        <v>69</v>
      </c>
      <c r="FU156" s="190">
        <v>61</v>
      </c>
      <c r="FV156" s="190">
        <v>30</v>
      </c>
      <c r="FW156" s="190">
        <v>30</v>
      </c>
      <c r="FX156" s="190">
        <v>38</v>
      </c>
      <c r="FY156" s="190">
        <v>29</v>
      </c>
      <c r="FZ156" s="286"/>
      <c r="GA156" s="273">
        <v>64</v>
      </c>
      <c r="GB156" s="190">
        <v>44</v>
      </c>
      <c r="GC156" s="190">
        <v>53</v>
      </c>
      <c r="GD156" s="190">
        <v>44</v>
      </c>
      <c r="GE156" s="190">
        <v>64</v>
      </c>
      <c r="GF156" s="190">
        <v>81</v>
      </c>
      <c r="GG156" s="190">
        <v>76</v>
      </c>
      <c r="GH156" s="190">
        <v>96</v>
      </c>
      <c r="GI156" s="286"/>
      <c r="GJ156" s="273">
        <v>11431</v>
      </c>
      <c r="GK156" s="190">
        <v>10887</v>
      </c>
      <c r="GL156" s="190">
        <v>11286</v>
      </c>
      <c r="GM156" s="190">
        <v>11255</v>
      </c>
      <c r="GN156" s="190">
        <v>9194</v>
      </c>
      <c r="GO156" s="190">
        <v>8252</v>
      </c>
      <c r="GP156" s="190">
        <v>6836</v>
      </c>
      <c r="GQ156" s="190">
        <v>5844</v>
      </c>
      <c r="GR156" s="286"/>
      <c r="GS156" s="273">
        <v>3487</v>
      </c>
      <c r="GT156" s="190">
        <v>3271</v>
      </c>
      <c r="GU156" s="190">
        <v>3375</v>
      </c>
      <c r="GV156" s="190">
        <v>3127</v>
      </c>
      <c r="GW156" s="190">
        <v>1738</v>
      </c>
      <c r="GX156" s="190">
        <v>1528</v>
      </c>
      <c r="GY156" s="190">
        <v>1188</v>
      </c>
      <c r="GZ156" s="190">
        <v>1100</v>
      </c>
      <c r="HA156" s="286"/>
      <c r="HB156" s="273">
        <v>52</v>
      </c>
      <c r="HC156" s="190">
        <v>40</v>
      </c>
      <c r="HD156" s="190">
        <v>37</v>
      </c>
      <c r="HE156" s="190">
        <v>34</v>
      </c>
      <c r="HF156" s="190">
        <v>50</v>
      </c>
      <c r="HG156" s="190">
        <v>37</v>
      </c>
      <c r="HH156" s="190">
        <v>42</v>
      </c>
      <c r="HI156" s="190">
        <v>29</v>
      </c>
      <c r="HJ156" s="286"/>
      <c r="HK156" s="273">
        <v>29</v>
      </c>
      <c r="HL156" s="190">
        <v>16</v>
      </c>
      <c r="HM156" s="190">
        <v>9</v>
      </c>
      <c r="HN156" s="190">
        <v>17</v>
      </c>
      <c r="HO156" s="190">
        <v>13</v>
      </c>
      <c r="HP156" s="190">
        <v>23</v>
      </c>
      <c r="HQ156" s="190">
        <v>18</v>
      </c>
      <c r="HR156" s="190">
        <v>22</v>
      </c>
      <c r="HS156" s="286"/>
      <c r="HT156" s="273">
        <v>4802</v>
      </c>
      <c r="HU156" s="190">
        <v>4321</v>
      </c>
      <c r="HV156" s="190">
        <v>4408</v>
      </c>
      <c r="HW156" s="190">
        <v>4215</v>
      </c>
      <c r="HX156" s="190">
        <v>3056</v>
      </c>
      <c r="HY156" s="190">
        <v>2555</v>
      </c>
      <c r="HZ156" s="190">
        <v>2246</v>
      </c>
      <c r="IA156" s="190">
        <v>2449</v>
      </c>
      <c r="IB156" s="286"/>
      <c r="IC156" s="273">
        <v>20275</v>
      </c>
      <c r="ID156" s="190">
        <v>18981</v>
      </c>
      <c r="IE156" s="190">
        <v>22277</v>
      </c>
      <c r="IF156" s="190">
        <v>17699</v>
      </c>
      <c r="IG156" s="190">
        <v>14980</v>
      </c>
      <c r="IH156" s="190">
        <v>17270</v>
      </c>
      <c r="II156" s="190">
        <v>11830</v>
      </c>
      <c r="IJ156" s="190">
        <v>10884</v>
      </c>
      <c r="IK156" s="286"/>
    </row>
    <row r="157" spans="1:245" ht="12.75" customHeight="1" x14ac:dyDescent="0.2">
      <c r="A157" s="960" t="s">
        <v>603</v>
      </c>
      <c r="B157" s="146" t="s">
        <v>604</v>
      </c>
      <c r="C157" s="147">
        <v>13</v>
      </c>
      <c r="D157" s="148">
        <v>20</v>
      </c>
      <c r="E157" s="148">
        <v>7</v>
      </c>
      <c r="F157" s="148">
        <v>12</v>
      </c>
      <c r="G157" s="149">
        <v>13</v>
      </c>
      <c r="H157" s="149">
        <v>9</v>
      </c>
      <c r="I157" s="278">
        <v>4</v>
      </c>
      <c r="J157" s="278">
        <v>9</v>
      </c>
      <c r="K157" s="150"/>
      <c r="L157" s="147">
        <v>4</v>
      </c>
      <c r="M157" s="148">
        <v>8</v>
      </c>
      <c r="N157" s="148">
        <v>4</v>
      </c>
      <c r="O157" s="148">
        <v>6</v>
      </c>
      <c r="P157" s="149">
        <v>8</v>
      </c>
      <c r="Q157" s="149">
        <v>2</v>
      </c>
      <c r="R157" s="278">
        <v>3</v>
      </c>
      <c r="S157" s="278">
        <v>6</v>
      </c>
      <c r="T157" s="150"/>
      <c r="U157" s="147">
        <v>8</v>
      </c>
      <c r="V157" s="148">
        <v>10</v>
      </c>
      <c r="W157" s="148">
        <v>1</v>
      </c>
      <c r="X157" s="148">
        <v>6</v>
      </c>
      <c r="Y157" s="149">
        <v>4</v>
      </c>
      <c r="Z157" s="149">
        <v>7</v>
      </c>
      <c r="AA157" s="278">
        <v>1</v>
      </c>
      <c r="AB157" s="278">
        <v>2</v>
      </c>
      <c r="AC157" s="150"/>
      <c r="AD157" s="147">
        <v>32</v>
      </c>
      <c r="AE157" s="148">
        <v>29</v>
      </c>
      <c r="AF157" s="148">
        <v>20</v>
      </c>
      <c r="AG157" s="148">
        <v>11</v>
      </c>
      <c r="AH157" s="149">
        <v>12</v>
      </c>
      <c r="AI157" s="149">
        <v>11</v>
      </c>
      <c r="AJ157" s="278">
        <v>16</v>
      </c>
      <c r="AK157" s="278">
        <v>22</v>
      </c>
      <c r="AL157" s="150"/>
      <c r="AM157" s="147">
        <v>28</v>
      </c>
      <c r="AN157" s="148">
        <v>24</v>
      </c>
      <c r="AO157" s="148">
        <v>17</v>
      </c>
      <c r="AP157" s="148">
        <v>8</v>
      </c>
      <c r="AQ157" s="149">
        <v>10</v>
      </c>
      <c r="AR157" s="149">
        <v>7</v>
      </c>
      <c r="AS157" s="278">
        <v>13</v>
      </c>
      <c r="AT157" s="278">
        <v>18</v>
      </c>
      <c r="AU157" s="150"/>
      <c r="AV157" s="147">
        <v>3</v>
      </c>
      <c r="AW157" s="148">
        <v>1</v>
      </c>
      <c r="AX157" s="148">
        <v>4</v>
      </c>
      <c r="AY157" s="148"/>
      <c r="AZ157" s="149"/>
      <c r="BA157" s="149">
        <v>1</v>
      </c>
      <c r="BB157" s="278">
        <v>1</v>
      </c>
      <c r="BC157" s="278">
        <v>1</v>
      </c>
      <c r="BD157" s="150"/>
      <c r="BE157" s="147">
        <v>5</v>
      </c>
      <c r="BF157" s="148">
        <v>3</v>
      </c>
      <c r="BG157" s="148">
        <v>7</v>
      </c>
      <c r="BH157" s="148"/>
      <c r="BI157" s="149">
        <v>6</v>
      </c>
      <c r="BJ157" s="149">
        <v>7</v>
      </c>
      <c r="BK157" s="278">
        <v>6</v>
      </c>
      <c r="BL157" s="278">
        <v>4</v>
      </c>
      <c r="BM157" s="150"/>
      <c r="BN157" s="147"/>
      <c r="BO157" s="148"/>
      <c r="BP157" s="148"/>
      <c r="BQ157" s="148"/>
      <c r="BR157" s="149"/>
      <c r="BS157" s="149"/>
      <c r="BT157" s="278"/>
      <c r="BU157" s="278"/>
      <c r="BV157" s="150"/>
      <c r="BW157" s="147">
        <v>12</v>
      </c>
      <c r="BX157" s="148">
        <v>8</v>
      </c>
      <c r="BY157" s="148">
        <v>5</v>
      </c>
      <c r="BZ157" s="148">
        <v>5</v>
      </c>
      <c r="CA157" s="149">
        <v>2</v>
      </c>
      <c r="CB157" s="149">
        <v>6</v>
      </c>
      <c r="CC157" s="278">
        <v>7</v>
      </c>
      <c r="CD157" s="278">
        <v>2</v>
      </c>
      <c r="CE157" s="150"/>
      <c r="CF157" s="147">
        <v>1</v>
      </c>
      <c r="CG157" s="148">
        <v>1</v>
      </c>
      <c r="CH157" s="148">
        <v>1</v>
      </c>
      <c r="CI157" s="148">
        <v>2</v>
      </c>
      <c r="CJ157" s="149">
        <v>2</v>
      </c>
      <c r="CK157" s="149">
        <v>1</v>
      </c>
      <c r="CL157" s="278"/>
      <c r="CM157" s="278"/>
      <c r="CN157" s="150"/>
      <c r="CO157" s="147">
        <v>8</v>
      </c>
      <c r="CP157" s="148">
        <v>7</v>
      </c>
      <c r="CQ157" s="148">
        <v>5</v>
      </c>
      <c r="CR157" s="148">
        <v>2</v>
      </c>
      <c r="CS157" s="149"/>
      <c r="CT157" s="149"/>
      <c r="CU157" s="278">
        <v>2</v>
      </c>
      <c r="CV157" s="278">
        <v>1</v>
      </c>
      <c r="CW157" s="150"/>
      <c r="CX157" s="147">
        <v>33</v>
      </c>
      <c r="CY157" s="148">
        <v>106</v>
      </c>
      <c r="CZ157" s="148">
        <v>8</v>
      </c>
      <c r="DA157" s="148">
        <v>9</v>
      </c>
      <c r="DB157" s="149">
        <v>7</v>
      </c>
      <c r="DC157" s="149">
        <v>14</v>
      </c>
      <c r="DD157" s="278">
        <v>16</v>
      </c>
      <c r="DE157" s="278">
        <v>4</v>
      </c>
      <c r="DF157" s="150"/>
      <c r="DG157" s="147"/>
      <c r="DH157" s="148"/>
      <c r="DI157" s="148"/>
      <c r="DJ157" s="148"/>
      <c r="DK157" s="149"/>
      <c r="DL157" s="149"/>
      <c r="DM157" s="278"/>
      <c r="DN157" s="278"/>
      <c r="DO157" s="150"/>
      <c r="DP157" s="147"/>
      <c r="DQ157" s="148"/>
      <c r="DR157" s="148"/>
      <c r="DS157" s="148">
        <v>1</v>
      </c>
      <c r="DT157" s="149"/>
      <c r="DU157" s="149"/>
      <c r="DV157" s="278"/>
      <c r="DW157" s="278"/>
      <c r="DX157" s="150"/>
      <c r="DY157" s="147">
        <v>1</v>
      </c>
      <c r="DZ157" s="148">
        <v>42</v>
      </c>
      <c r="EA157" s="148"/>
      <c r="EB157" s="148">
        <v>3</v>
      </c>
      <c r="EC157" s="149">
        <v>1</v>
      </c>
      <c r="ED157" s="149">
        <v>11</v>
      </c>
      <c r="EE157" s="278">
        <v>2</v>
      </c>
      <c r="EF157" s="278"/>
      <c r="EG157" s="150"/>
      <c r="EH157" s="147">
        <v>6</v>
      </c>
      <c r="EI157" s="148">
        <v>16</v>
      </c>
      <c r="EJ157" s="148">
        <v>8</v>
      </c>
      <c r="EK157" s="148">
        <v>7</v>
      </c>
      <c r="EL157" s="149">
        <v>5</v>
      </c>
      <c r="EM157" s="149"/>
      <c r="EN157" s="278">
        <v>4</v>
      </c>
      <c r="EO157" s="278">
        <v>3</v>
      </c>
      <c r="EP157" s="150"/>
      <c r="EQ157" s="147">
        <v>1</v>
      </c>
      <c r="ER157" s="148"/>
      <c r="ES157" s="148">
        <v>2</v>
      </c>
      <c r="ET157" s="148"/>
      <c r="EU157" s="149">
        <v>2</v>
      </c>
      <c r="EV157" s="149"/>
      <c r="EW157" s="278">
        <v>3</v>
      </c>
      <c r="EX157" s="278"/>
      <c r="EY157" s="150"/>
      <c r="EZ157" s="147">
        <v>7</v>
      </c>
      <c r="FA157" s="148">
        <v>14</v>
      </c>
      <c r="FB157" s="148">
        <v>15</v>
      </c>
      <c r="FC157" s="148">
        <v>23</v>
      </c>
      <c r="FD157" s="149">
        <v>4</v>
      </c>
      <c r="FE157" s="149"/>
      <c r="FF157" s="278"/>
      <c r="FG157" s="278"/>
      <c r="FH157" s="150"/>
      <c r="FI157" s="147">
        <v>1</v>
      </c>
      <c r="FJ157" s="148">
        <v>2</v>
      </c>
      <c r="FK157" s="148">
        <v>1</v>
      </c>
      <c r="FL157" s="148">
        <v>3</v>
      </c>
      <c r="FM157" s="149">
        <v>3</v>
      </c>
      <c r="FN157" s="149">
        <v>1</v>
      </c>
      <c r="FO157" s="278"/>
      <c r="FP157" s="278"/>
      <c r="FQ157" s="150"/>
      <c r="FR157" s="147">
        <v>2</v>
      </c>
      <c r="FS157" s="148">
        <v>6</v>
      </c>
      <c r="FT157" s="148">
        <v>8</v>
      </c>
      <c r="FU157" s="148">
        <v>3</v>
      </c>
      <c r="FV157" s="149"/>
      <c r="FW157" s="149">
        <v>21</v>
      </c>
      <c r="FX157" s="278"/>
      <c r="FY157" s="278"/>
      <c r="FZ157" s="150"/>
      <c r="GA157" s="147"/>
      <c r="GB157" s="148"/>
      <c r="GC157" s="148"/>
      <c r="GD157" s="148"/>
      <c r="GE157" s="149"/>
      <c r="GF157" s="149"/>
      <c r="GG157" s="278"/>
      <c r="GH157" s="278">
        <v>2</v>
      </c>
      <c r="GI157" s="150"/>
      <c r="GJ157" s="147">
        <v>121</v>
      </c>
      <c r="GK157" s="148">
        <v>212</v>
      </c>
      <c r="GL157" s="148">
        <v>87</v>
      </c>
      <c r="GM157" s="148">
        <v>77</v>
      </c>
      <c r="GN157" s="149">
        <v>56</v>
      </c>
      <c r="GO157" s="149">
        <v>70</v>
      </c>
      <c r="GP157" s="278">
        <v>58</v>
      </c>
      <c r="GQ157" s="278">
        <v>47</v>
      </c>
      <c r="GR157" s="150"/>
      <c r="GS157" s="147">
        <v>26</v>
      </c>
      <c r="GT157" s="148">
        <v>64</v>
      </c>
      <c r="GU157" s="148">
        <v>13</v>
      </c>
      <c r="GV157" s="148">
        <v>16</v>
      </c>
      <c r="GW157" s="149">
        <v>8</v>
      </c>
      <c r="GX157" s="149">
        <v>9</v>
      </c>
      <c r="GY157" s="278">
        <v>12</v>
      </c>
      <c r="GZ157" s="278">
        <v>14</v>
      </c>
      <c r="HA157" s="150"/>
      <c r="HB157" s="147">
        <v>1</v>
      </c>
      <c r="HC157" s="148"/>
      <c r="HD157" s="148">
        <v>2</v>
      </c>
      <c r="HE157" s="148">
        <v>2</v>
      </c>
      <c r="HF157" s="149">
        <v>1</v>
      </c>
      <c r="HG157" s="149">
        <v>2</v>
      </c>
      <c r="HH157" s="278">
        <v>2</v>
      </c>
      <c r="HI157" s="278"/>
      <c r="HJ157" s="150"/>
      <c r="HK157" s="147"/>
      <c r="HL157" s="148"/>
      <c r="HM157" s="148"/>
      <c r="HN157" s="148"/>
      <c r="HO157" s="149"/>
      <c r="HP157" s="149"/>
      <c r="HQ157" s="278"/>
      <c r="HR157" s="278"/>
      <c r="HS157" s="150"/>
      <c r="HT157" s="147">
        <v>36</v>
      </c>
      <c r="HU157" s="148">
        <v>98</v>
      </c>
      <c r="HV157" s="148">
        <v>37</v>
      </c>
      <c r="HW157" s="148">
        <v>35</v>
      </c>
      <c r="HX157" s="149">
        <v>18</v>
      </c>
      <c r="HY157" s="149">
        <v>24</v>
      </c>
      <c r="HZ157" s="278">
        <v>24</v>
      </c>
      <c r="IA157" s="278">
        <v>21</v>
      </c>
      <c r="IB157" s="150"/>
      <c r="IC157" s="147">
        <v>199</v>
      </c>
      <c r="ID157" s="148">
        <v>425</v>
      </c>
      <c r="IE157" s="148">
        <v>189</v>
      </c>
      <c r="IF157" s="148">
        <v>555</v>
      </c>
      <c r="IG157" s="149">
        <v>1692</v>
      </c>
      <c r="IH157" s="149">
        <v>332</v>
      </c>
      <c r="II157" s="278">
        <v>149</v>
      </c>
      <c r="IJ157" s="278">
        <v>1022</v>
      </c>
      <c r="IK157" s="150"/>
    </row>
    <row r="158" spans="1:245" x14ac:dyDescent="0.2">
      <c r="A158" s="961"/>
      <c r="B158" s="151" t="s">
        <v>742</v>
      </c>
      <c r="C158" s="152"/>
      <c r="D158" s="153"/>
      <c r="E158" s="153"/>
      <c r="F158" s="153"/>
      <c r="G158" s="154"/>
      <c r="H158" s="154"/>
      <c r="I158" s="279"/>
      <c r="J158" s="279"/>
      <c r="K158" s="155"/>
      <c r="L158" s="152"/>
      <c r="M158" s="153"/>
      <c r="N158" s="153"/>
      <c r="O158" s="153"/>
      <c r="P158" s="154"/>
      <c r="Q158" s="154"/>
      <c r="R158" s="279"/>
      <c r="S158" s="279"/>
      <c r="T158" s="155"/>
      <c r="U158" s="152"/>
      <c r="V158" s="153"/>
      <c r="W158" s="153"/>
      <c r="X158" s="153"/>
      <c r="Y158" s="154"/>
      <c r="Z158" s="154"/>
      <c r="AA158" s="279"/>
      <c r="AB158" s="279"/>
      <c r="AC158" s="155"/>
      <c r="AD158" s="152">
        <v>159</v>
      </c>
      <c r="AE158" s="153">
        <v>155</v>
      </c>
      <c r="AF158" s="153">
        <v>133</v>
      </c>
      <c r="AG158" s="153">
        <v>116</v>
      </c>
      <c r="AH158" s="154">
        <v>86</v>
      </c>
      <c r="AI158" s="154">
        <v>115</v>
      </c>
      <c r="AJ158" s="279">
        <v>84</v>
      </c>
      <c r="AK158" s="279">
        <v>78</v>
      </c>
      <c r="AL158" s="155"/>
      <c r="AM158" s="152">
        <v>54</v>
      </c>
      <c r="AN158" s="153">
        <v>48</v>
      </c>
      <c r="AO158" s="153">
        <v>51</v>
      </c>
      <c r="AP158" s="153">
        <v>41</v>
      </c>
      <c r="AQ158" s="154">
        <v>26</v>
      </c>
      <c r="AR158" s="154">
        <v>46</v>
      </c>
      <c r="AS158" s="279">
        <v>22</v>
      </c>
      <c r="AT158" s="279">
        <v>22</v>
      </c>
      <c r="AU158" s="155"/>
      <c r="AV158" s="152"/>
      <c r="AW158" s="153"/>
      <c r="AX158" s="153"/>
      <c r="AY158" s="153"/>
      <c r="AZ158" s="154"/>
      <c r="BA158" s="154"/>
      <c r="BB158" s="279"/>
      <c r="BC158" s="279"/>
      <c r="BD158" s="155"/>
      <c r="BE158" s="152">
        <v>26</v>
      </c>
      <c r="BF158" s="153">
        <v>42</v>
      </c>
      <c r="BG158" s="153">
        <v>24</v>
      </c>
      <c r="BH158" s="153">
        <v>11</v>
      </c>
      <c r="BI158" s="154">
        <v>23</v>
      </c>
      <c r="BJ158" s="154">
        <v>22</v>
      </c>
      <c r="BK158" s="279">
        <v>20</v>
      </c>
      <c r="BL158" s="279">
        <v>11</v>
      </c>
      <c r="BM158" s="155"/>
      <c r="BN158" s="152"/>
      <c r="BO158" s="153"/>
      <c r="BP158" s="153"/>
      <c r="BQ158" s="153"/>
      <c r="BR158" s="154"/>
      <c r="BS158" s="154"/>
      <c r="BT158" s="279"/>
      <c r="BU158" s="279"/>
      <c r="BV158" s="155"/>
      <c r="BW158" s="152">
        <v>237</v>
      </c>
      <c r="BX158" s="153">
        <v>240</v>
      </c>
      <c r="BY158" s="153">
        <v>249</v>
      </c>
      <c r="BZ158" s="153">
        <v>195</v>
      </c>
      <c r="CA158" s="154">
        <v>187</v>
      </c>
      <c r="CB158" s="154">
        <v>162</v>
      </c>
      <c r="CC158" s="279">
        <v>156</v>
      </c>
      <c r="CD158" s="279">
        <v>127</v>
      </c>
      <c r="CE158" s="155"/>
      <c r="CF158" s="152">
        <v>12</v>
      </c>
      <c r="CG158" s="153">
        <v>8</v>
      </c>
      <c r="CH158" s="153">
        <v>7</v>
      </c>
      <c r="CI158" s="153">
        <v>5</v>
      </c>
      <c r="CJ158" s="154">
        <v>3</v>
      </c>
      <c r="CK158" s="154">
        <v>5</v>
      </c>
      <c r="CL158" s="279">
        <v>1</v>
      </c>
      <c r="CM158" s="279">
        <v>1</v>
      </c>
      <c r="CN158" s="155"/>
      <c r="CO158" s="152">
        <v>17</v>
      </c>
      <c r="CP158" s="153">
        <v>20</v>
      </c>
      <c r="CQ158" s="153">
        <v>1</v>
      </c>
      <c r="CR158" s="153">
        <v>1</v>
      </c>
      <c r="CS158" s="154"/>
      <c r="CT158" s="154"/>
      <c r="CU158" s="279">
        <v>3</v>
      </c>
      <c r="CV158" s="279">
        <v>2</v>
      </c>
      <c r="CW158" s="155"/>
      <c r="CX158" s="152">
        <v>2886</v>
      </c>
      <c r="CY158" s="153">
        <v>2927</v>
      </c>
      <c r="CZ158" s="153">
        <v>3403</v>
      </c>
      <c r="DA158" s="153">
        <v>2738</v>
      </c>
      <c r="DB158" s="154">
        <v>2279</v>
      </c>
      <c r="DC158" s="154">
        <v>1943</v>
      </c>
      <c r="DD158" s="279">
        <v>1321</v>
      </c>
      <c r="DE158" s="279">
        <v>1117</v>
      </c>
      <c r="DF158" s="155"/>
      <c r="DG158" s="152">
        <v>29</v>
      </c>
      <c r="DH158" s="153">
        <v>12</v>
      </c>
      <c r="DI158" s="153">
        <v>41</v>
      </c>
      <c r="DJ158" s="153">
        <v>14</v>
      </c>
      <c r="DK158" s="154">
        <v>7</v>
      </c>
      <c r="DL158" s="154">
        <v>7</v>
      </c>
      <c r="DM158" s="279">
        <v>9</v>
      </c>
      <c r="DN158" s="279">
        <v>8</v>
      </c>
      <c r="DO158" s="155"/>
      <c r="DP158" s="152">
        <v>205</v>
      </c>
      <c r="DQ158" s="153">
        <v>86</v>
      </c>
      <c r="DR158" s="153">
        <v>121</v>
      </c>
      <c r="DS158" s="153">
        <v>109</v>
      </c>
      <c r="DT158" s="154">
        <v>54</v>
      </c>
      <c r="DU158" s="154">
        <v>67</v>
      </c>
      <c r="DV158" s="279">
        <v>61</v>
      </c>
      <c r="DW158" s="279">
        <v>55</v>
      </c>
      <c r="DX158" s="155"/>
      <c r="DY158" s="152">
        <v>273</v>
      </c>
      <c r="DZ158" s="153">
        <v>317</v>
      </c>
      <c r="EA158" s="153">
        <v>327</v>
      </c>
      <c r="EB158" s="153">
        <v>278</v>
      </c>
      <c r="EC158" s="154">
        <v>298</v>
      </c>
      <c r="ED158" s="154">
        <v>357</v>
      </c>
      <c r="EE158" s="279">
        <v>314</v>
      </c>
      <c r="EF158" s="279">
        <v>215</v>
      </c>
      <c r="EG158" s="155"/>
      <c r="EH158" s="152">
        <v>33</v>
      </c>
      <c r="EI158" s="153">
        <v>23</v>
      </c>
      <c r="EJ158" s="153">
        <v>35</v>
      </c>
      <c r="EK158" s="153">
        <v>19</v>
      </c>
      <c r="EL158" s="154">
        <v>22</v>
      </c>
      <c r="EM158" s="154">
        <v>12</v>
      </c>
      <c r="EN158" s="279">
        <v>11</v>
      </c>
      <c r="EO158" s="279">
        <v>11</v>
      </c>
      <c r="EP158" s="155"/>
      <c r="EQ158" s="152">
        <v>3</v>
      </c>
      <c r="ER158" s="153">
        <v>19</v>
      </c>
      <c r="ES158" s="153">
        <v>41</v>
      </c>
      <c r="ET158" s="153">
        <v>26</v>
      </c>
      <c r="EU158" s="154">
        <v>17</v>
      </c>
      <c r="EV158" s="154">
        <v>13</v>
      </c>
      <c r="EW158" s="279">
        <v>11</v>
      </c>
      <c r="EX158" s="279">
        <v>15</v>
      </c>
      <c r="EY158" s="155"/>
      <c r="EZ158" s="152">
        <v>15</v>
      </c>
      <c r="FA158" s="153">
        <v>4</v>
      </c>
      <c r="FB158" s="153">
        <v>6</v>
      </c>
      <c r="FC158" s="153">
        <v>5</v>
      </c>
      <c r="FD158" s="154">
        <v>4</v>
      </c>
      <c r="FE158" s="154">
        <v>6</v>
      </c>
      <c r="FF158" s="279">
        <v>4</v>
      </c>
      <c r="FG158" s="279">
        <v>5</v>
      </c>
      <c r="FH158" s="155"/>
      <c r="FI158" s="152">
        <v>211</v>
      </c>
      <c r="FJ158" s="153">
        <v>229</v>
      </c>
      <c r="FK158" s="153">
        <v>177</v>
      </c>
      <c r="FL158" s="153">
        <v>93</v>
      </c>
      <c r="FM158" s="154">
        <v>134</v>
      </c>
      <c r="FN158" s="154">
        <v>139</v>
      </c>
      <c r="FO158" s="279">
        <v>84</v>
      </c>
      <c r="FP158" s="279">
        <v>58</v>
      </c>
      <c r="FQ158" s="155"/>
      <c r="FR158" s="152">
        <v>7</v>
      </c>
      <c r="FS158" s="153">
        <v>13</v>
      </c>
      <c r="FT158" s="153">
        <v>3</v>
      </c>
      <c r="FU158" s="153">
        <v>5</v>
      </c>
      <c r="FV158" s="154">
        <v>10</v>
      </c>
      <c r="FW158" s="154">
        <v>7</v>
      </c>
      <c r="FX158" s="279">
        <v>8</v>
      </c>
      <c r="FY158" s="279"/>
      <c r="FZ158" s="155"/>
      <c r="GA158" s="152">
        <v>15</v>
      </c>
      <c r="GB158" s="153">
        <v>4</v>
      </c>
      <c r="GC158" s="153">
        <v>11</v>
      </c>
      <c r="GD158" s="153">
        <v>5</v>
      </c>
      <c r="GE158" s="154">
        <v>7</v>
      </c>
      <c r="GF158" s="154">
        <v>7</v>
      </c>
      <c r="GG158" s="279">
        <v>4</v>
      </c>
      <c r="GH158" s="279">
        <v>7</v>
      </c>
      <c r="GI158" s="155"/>
      <c r="GJ158" s="152">
        <v>3621</v>
      </c>
      <c r="GK158" s="153">
        <v>3684</v>
      </c>
      <c r="GL158" s="153">
        <v>4090</v>
      </c>
      <c r="GM158" s="153">
        <v>3219</v>
      </c>
      <c r="GN158" s="154">
        <v>2772</v>
      </c>
      <c r="GO158" s="154">
        <v>2431</v>
      </c>
      <c r="GP158" s="279">
        <v>1707</v>
      </c>
      <c r="GQ158" s="279">
        <v>1432</v>
      </c>
      <c r="GR158" s="155"/>
      <c r="GS158" s="152">
        <v>1227</v>
      </c>
      <c r="GT158" s="153">
        <v>1246</v>
      </c>
      <c r="GU158" s="153">
        <v>1390</v>
      </c>
      <c r="GV158" s="153">
        <v>957</v>
      </c>
      <c r="GW158" s="154">
        <v>526</v>
      </c>
      <c r="GX158" s="154">
        <v>445</v>
      </c>
      <c r="GY158" s="279">
        <v>295</v>
      </c>
      <c r="GZ158" s="279">
        <v>286</v>
      </c>
      <c r="HA158" s="155"/>
      <c r="HB158" s="152">
        <v>15</v>
      </c>
      <c r="HC158" s="153">
        <v>10</v>
      </c>
      <c r="HD158" s="153">
        <v>10</v>
      </c>
      <c r="HE158" s="153">
        <v>13</v>
      </c>
      <c r="HF158" s="154">
        <v>11</v>
      </c>
      <c r="HG158" s="154">
        <v>5</v>
      </c>
      <c r="HH158" s="279">
        <v>4</v>
      </c>
      <c r="HI158" s="279">
        <v>4</v>
      </c>
      <c r="HJ158" s="155"/>
      <c r="HK158" s="152">
        <v>12</v>
      </c>
      <c r="HL158" s="153">
        <v>5</v>
      </c>
      <c r="HM158" s="153">
        <v>4</v>
      </c>
      <c r="HN158" s="153">
        <v>4</v>
      </c>
      <c r="HO158" s="154">
        <v>3</v>
      </c>
      <c r="HP158" s="154">
        <v>4</v>
      </c>
      <c r="HQ158" s="279">
        <v>1</v>
      </c>
      <c r="HR158" s="279">
        <v>2</v>
      </c>
      <c r="HS158" s="155"/>
      <c r="HT158" s="152">
        <v>1455</v>
      </c>
      <c r="HU158" s="153">
        <v>1480</v>
      </c>
      <c r="HV158" s="153">
        <v>1580</v>
      </c>
      <c r="HW158" s="153">
        <v>1153</v>
      </c>
      <c r="HX158" s="154">
        <v>745</v>
      </c>
      <c r="HY158" s="154">
        <v>628</v>
      </c>
      <c r="HZ158" s="279">
        <v>506</v>
      </c>
      <c r="IA158" s="279">
        <v>520</v>
      </c>
      <c r="IB158" s="155"/>
      <c r="IC158" s="152">
        <v>5996</v>
      </c>
      <c r="ID158" s="153">
        <v>6336</v>
      </c>
      <c r="IE158" s="153">
        <v>6580</v>
      </c>
      <c r="IF158" s="153">
        <v>6065</v>
      </c>
      <c r="IG158" s="154">
        <v>4961</v>
      </c>
      <c r="IH158" s="154">
        <v>4371</v>
      </c>
      <c r="II158" s="279">
        <v>2451</v>
      </c>
      <c r="IJ158" s="279">
        <v>3270</v>
      </c>
      <c r="IK158" s="155"/>
    </row>
    <row r="159" spans="1:245" x14ac:dyDescent="0.2">
      <c r="A159" s="961"/>
      <c r="B159" s="151" t="s">
        <v>743</v>
      </c>
      <c r="C159" s="152"/>
      <c r="D159" s="153"/>
      <c r="E159" s="153"/>
      <c r="F159" s="153"/>
      <c r="G159" s="154"/>
      <c r="H159" s="154"/>
      <c r="I159" s="279"/>
      <c r="J159" s="279"/>
      <c r="K159" s="155"/>
      <c r="L159" s="152"/>
      <c r="M159" s="153"/>
      <c r="N159" s="153"/>
      <c r="O159" s="153"/>
      <c r="P159" s="154"/>
      <c r="Q159" s="154"/>
      <c r="R159" s="279"/>
      <c r="S159" s="279"/>
      <c r="T159" s="155"/>
      <c r="U159" s="152"/>
      <c r="V159" s="153"/>
      <c r="W159" s="153"/>
      <c r="X159" s="153"/>
      <c r="Y159" s="154"/>
      <c r="Z159" s="154"/>
      <c r="AA159" s="279"/>
      <c r="AB159" s="279"/>
      <c r="AC159" s="155"/>
      <c r="AD159" s="152">
        <v>112</v>
      </c>
      <c r="AE159" s="153">
        <v>115</v>
      </c>
      <c r="AF159" s="153">
        <v>115</v>
      </c>
      <c r="AG159" s="153">
        <v>99</v>
      </c>
      <c r="AH159" s="154">
        <v>114</v>
      </c>
      <c r="AI159" s="154">
        <v>115</v>
      </c>
      <c r="AJ159" s="279">
        <v>92</v>
      </c>
      <c r="AK159" s="279">
        <v>77</v>
      </c>
      <c r="AL159" s="155"/>
      <c r="AM159" s="152">
        <v>44</v>
      </c>
      <c r="AN159" s="153">
        <v>33</v>
      </c>
      <c r="AO159" s="153">
        <v>38</v>
      </c>
      <c r="AP159" s="153">
        <v>37</v>
      </c>
      <c r="AQ159" s="154">
        <v>32</v>
      </c>
      <c r="AR159" s="154">
        <v>38</v>
      </c>
      <c r="AS159" s="279">
        <v>30</v>
      </c>
      <c r="AT159" s="279">
        <v>29</v>
      </c>
      <c r="AU159" s="155"/>
      <c r="AV159" s="152"/>
      <c r="AW159" s="153"/>
      <c r="AX159" s="153"/>
      <c r="AY159" s="153"/>
      <c r="AZ159" s="154"/>
      <c r="BA159" s="154"/>
      <c r="BB159" s="279"/>
      <c r="BC159" s="279"/>
      <c r="BD159" s="155"/>
      <c r="BE159" s="152">
        <v>13</v>
      </c>
      <c r="BF159" s="153">
        <v>50</v>
      </c>
      <c r="BG159" s="153">
        <v>22</v>
      </c>
      <c r="BH159" s="153">
        <v>23</v>
      </c>
      <c r="BI159" s="154">
        <v>45</v>
      </c>
      <c r="BJ159" s="154">
        <v>36</v>
      </c>
      <c r="BK159" s="279">
        <v>16</v>
      </c>
      <c r="BL159" s="279">
        <v>15</v>
      </c>
      <c r="BM159" s="155"/>
      <c r="BN159" s="152"/>
      <c r="BO159" s="153"/>
      <c r="BP159" s="153"/>
      <c r="BQ159" s="153"/>
      <c r="BR159" s="154"/>
      <c r="BS159" s="154"/>
      <c r="BT159" s="279"/>
      <c r="BU159" s="279"/>
      <c r="BV159" s="155"/>
      <c r="BW159" s="152">
        <v>193</v>
      </c>
      <c r="BX159" s="153">
        <v>180</v>
      </c>
      <c r="BY159" s="153">
        <v>178</v>
      </c>
      <c r="BZ159" s="153">
        <v>189</v>
      </c>
      <c r="CA159" s="154">
        <v>228</v>
      </c>
      <c r="CB159" s="154">
        <v>250</v>
      </c>
      <c r="CC159" s="279">
        <v>196</v>
      </c>
      <c r="CD159" s="279">
        <v>112</v>
      </c>
      <c r="CE159" s="155"/>
      <c r="CF159" s="152">
        <v>4</v>
      </c>
      <c r="CG159" s="153">
        <v>3</v>
      </c>
      <c r="CH159" s="153">
        <v>5</v>
      </c>
      <c r="CI159" s="153">
        <v>3</v>
      </c>
      <c r="CJ159" s="154">
        <v>7</v>
      </c>
      <c r="CK159" s="154">
        <v>5</v>
      </c>
      <c r="CL159" s="279">
        <v>2</v>
      </c>
      <c r="CM159" s="279">
        <v>4</v>
      </c>
      <c r="CN159" s="155"/>
      <c r="CO159" s="152">
        <v>4</v>
      </c>
      <c r="CP159" s="153">
        <v>1</v>
      </c>
      <c r="CQ159" s="153">
        <v>5</v>
      </c>
      <c r="CR159" s="153">
        <v>4</v>
      </c>
      <c r="CS159" s="154">
        <v>6</v>
      </c>
      <c r="CT159" s="154">
        <v>2</v>
      </c>
      <c r="CU159" s="279">
        <v>1</v>
      </c>
      <c r="CV159" s="279">
        <v>1</v>
      </c>
      <c r="CW159" s="155"/>
      <c r="CX159" s="152">
        <v>1767</v>
      </c>
      <c r="CY159" s="153">
        <v>1680</v>
      </c>
      <c r="CZ159" s="153">
        <v>2249</v>
      </c>
      <c r="DA159" s="153">
        <v>1804</v>
      </c>
      <c r="DB159" s="154">
        <v>1271</v>
      </c>
      <c r="DC159" s="154">
        <v>1166</v>
      </c>
      <c r="DD159" s="279">
        <v>1171</v>
      </c>
      <c r="DE159" s="279">
        <v>633</v>
      </c>
      <c r="DF159" s="155"/>
      <c r="DG159" s="152">
        <v>27</v>
      </c>
      <c r="DH159" s="153">
        <v>18</v>
      </c>
      <c r="DI159" s="153">
        <v>20</v>
      </c>
      <c r="DJ159" s="153">
        <v>9</v>
      </c>
      <c r="DK159" s="154">
        <v>7</v>
      </c>
      <c r="DL159" s="154">
        <v>3</v>
      </c>
      <c r="DM159" s="279">
        <v>2</v>
      </c>
      <c r="DN159" s="279"/>
      <c r="DO159" s="155"/>
      <c r="DP159" s="152">
        <v>78</v>
      </c>
      <c r="DQ159" s="153">
        <v>68</v>
      </c>
      <c r="DR159" s="153">
        <v>80</v>
      </c>
      <c r="DS159" s="153">
        <v>29</v>
      </c>
      <c r="DT159" s="154">
        <v>18</v>
      </c>
      <c r="DU159" s="154">
        <v>14</v>
      </c>
      <c r="DV159" s="279">
        <v>19</v>
      </c>
      <c r="DW159" s="279">
        <v>9</v>
      </c>
      <c r="DX159" s="155"/>
      <c r="DY159" s="152">
        <v>287</v>
      </c>
      <c r="DZ159" s="153">
        <v>273</v>
      </c>
      <c r="EA159" s="153">
        <v>397</v>
      </c>
      <c r="EB159" s="153">
        <v>390</v>
      </c>
      <c r="EC159" s="154">
        <v>338</v>
      </c>
      <c r="ED159" s="154">
        <v>328</v>
      </c>
      <c r="EE159" s="279">
        <v>403</v>
      </c>
      <c r="EF159" s="279">
        <v>192</v>
      </c>
      <c r="EG159" s="155"/>
      <c r="EH159" s="152">
        <v>10</v>
      </c>
      <c r="EI159" s="153">
        <v>15</v>
      </c>
      <c r="EJ159" s="153">
        <v>15</v>
      </c>
      <c r="EK159" s="153">
        <v>19</v>
      </c>
      <c r="EL159" s="154">
        <v>6</v>
      </c>
      <c r="EM159" s="154">
        <v>8</v>
      </c>
      <c r="EN159" s="279">
        <v>11</v>
      </c>
      <c r="EO159" s="279">
        <v>7</v>
      </c>
      <c r="EP159" s="155"/>
      <c r="EQ159" s="152">
        <v>4</v>
      </c>
      <c r="ER159" s="153">
        <v>1</v>
      </c>
      <c r="ES159" s="153">
        <v>1</v>
      </c>
      <c r="ET159" s="153">
        <v>3</v>
      </c>
      <c r="EU159" s="154">
        <v>5</v>
      </c>
      <c r="EV159" s="154">
        <v>4</v>
      </c>
      <c r="EW159" s="279">
        <v>7</v>
      </c>
      <c r="EX159" s="279">
        <v>5</v>
      </c>
      <c r="EY159" s="155"/>
      <c r="EZ159" s="152">
        <v>2</v>
      </c>
      <c r="FA159" s="153">
        <v>6</v>
      </c>
      <c r="FB159" s="153">
        <v>11</v>
      </c>
      <c r="FC159" s="153">
        <v>7</v>
      </c>
      <c r="FD159" s="154">
        <v>2</v>
      </c>
      <c r="FE159" s="154">
        <v>5</v>
      </c>
      <c r="FF159" s="279">
        <v>2</v>
      </c>
      <c r="FG159" s="279">
        <v>3</v>
      </c>
      <c r="FH159" s="155"/>
      <c r="FI159" s="152">
        <v>98</v>
      </c>
      <c r="FJ159" s="153">
        <v>89</v>
      </c>
      <c r="FK159" s="153">
        <v>82</v>
      </c>
      <c r="FL159" s="153">
        <v>42</v>
      </c>
      <c r="FM159" s="154">
        <v>34</v>
      </c>
      <c r="FN159" s="154">
        <v>42</v>
      </c>
      <c r="FO159" s="279">
        <v>27</v>
      </c>
      <c r="FP159" s="279">
        <v>33</v>
      </c>
      <c r="FQ159" s="155"/>
      <c r="FR159" s="152">
        <v>7</v>
      </c>
      <c r="FS159" s="153">
        <v>13</v>
      </c>
      <c r="FT159" s="153">
        <v>6</v>
      </c>
      <c r="FU159" s="153">
        <v>5</v>
      </c>
      <c r="FV159" s="154">
        <v>5</v>
      </c>
      <c r="FW159" s="154">
        <v>6</v>
      </c>
      <c r="FX159" s="279">
        <v>5</v>
      </c>
      <c r="FY159" s="279">
        <v>4</v>
      </c>
      <c r="FZ159" s="155"/>
      <c r="GA159" s="152">
        <v>14</v>
      </c>
      <c r="GB159" s="153">
        <v>2</v>
      </c>
      <c r="GC159" s="153">
        <v>9</v>
      </c>
      <c r="GD159" s="153">
        <v>4</v>
      </c>
      <c r="GE159" s="154">
        <v>7</v>
      </c>
      <c r="GF159" s="154">
        <v>8</v>
      </c>
      <c r="GG159" s="279">
        <v>6</v>
      </c>
      <c r="GH159" s="279">
        <v>1</v>
      </c>
      <c r="GI159" s="155"/>
      <c r="GJ159" s="152">
        <v>2228</v>
      </c>
      <c r="GK159" s="153">
        <v>2155</v>
      </c>
      <c r="GL159" s="153">
        <v>2698</v>
      </c>
      <c r="GM159" s="153">
        <v>2202</v>
      </c>
      <c r="GN159" s="154">
        <v>1730</v>
      </c>
      <c r="GO159" s="154">
        <v>1647</v>
      </c>
      <c r="GP159" s="279">
        <v>1536</v>
      </c>
      <c r="GQ159" s="279">
        <v>895</v>
      </c>
      <c r="GR159" s="155"/>
      <c r="GS159" s="152">
        <v>693</v>
      </c>
      <c r="GT159" s="153">
        <v>644</v>
      </c>
      <c r="GU159" s="153">
        <v>716</v>
      </c>
      <c r="GV159" s="153">
        <v>533</v>
      </c>
      <c r="GW159" s="154">
        <v>337</v>
      </c>
      <c r="GX159" s="154">
        <v>361</v>
      </c>
      <c r="GY159" s="279">
        <v>393</v>
      </c>
      <c r="GZ159" s="279">
        <v>179</v>
      </c>
      <c r="HA159" s="155"/>
      <c r="HB159" s="152">
        <v>16</v>
      </c>
      <c r="HC159" s="153">
        <v>5</v>
      </c>
      <c r="HD159" s="153">
        <v>8</v>
      </c>
      <c r="HE159" s="153">
        <v>5</v>
      </c>
      <c r="HF159" s="154">
        <v>4</v>
      </c>
      <c r="HG159" s="154">
        <v>7</v>
      </c>
      <c r="HH159" s="279">
        <v>5</v>
      </c>
      <c r="HI159" s="279">
        <v>5</v>
      </c>
      <c r="HJ159" s="155"/>
      <c r="HK159" s="152">
        <v>1</v>
      </c>
      <c r="HL159" s="153">
        <v>5</v>
      </c>
      <c r="HM159" s="153"/>
      <c r="HN159" s="153">
        <v>1</v>
      </c>
      <c r="HO159" s="154">
        <v>4</v>
      </c>
      <c r="HP159" s="154">
        <v>1</v>
      </c>
      <c r="HQ159" s="279">
        <v>2</v>
      </c>
      <c r="HR159" s="279"/>
      <c r="HS159" s="155"/>
      <c r="HT159" s="152">
        <v>850</v>
      </c>
      <c r="HU159" s="153">
        <v>783</v>
      </c>
      <c r="HV159" s="153">
        <v>870</v>
      </c>
      <c r="HW159" s="153">
        <v>691</v>
      </c>
      <c r="HX159" s="154">
        <v>587</v>
      </c>
      <c r="HY159" s="154">
        <v>534</v>
      </c>
      <c r="HZ159" s="279">
        <v>583</v>
      </c>
      <c r="IA159" s="279">
        <v>419</v>
      </c>
      <c r="IB159" s="155"/>
      <c r="IC159" s="152">
        <v>3410</v>
      </c>
      <c r="ID159" s="153">
        <v>3574</v>
      </c>
      <c r="IE159" s="153">
        <v>4266</v>
      </c>
      <c r="IF159" s="153">
        <v>3020</v>
      </c>
      <c r="IG159" s="154">
        <v>2995</v>
      </c>
      <c r="IH159" s="154">
        <v>2745</v>
      </c>
      <c r="II159" s="279">
        <v>2151</v>
      </c>
      <c r="IJ159" s="279">
        <v>1383</v>
      </c>
      <c r="IK159" s="155"/>
    </row>
    <row r="160" spans="1:245" x14ac:dyDescent="0.2">
      <c r="A160" s="961"/>
      <c r="B160" s="151" t="s">
        <v>744</v>
      </c>
      <c r="C160" s="152"/>
      <c r="D160" s="153"/>
      <c r="E160" s="153"/>
      <c r="F160" s="153"/>
      <c r="G160" s="154"/>
      <c r="H160" s="154"/>
      <c r="I160" s="279"/>
      <c r="J160" s="279"/>
      <c r="K160" s="155"/>
      <c r="L160" s="152"/>
      <c r="M160" s="153"/>
      <c r="N160" s="153"/>
      <c r="O160" s="153"/>
      <c r="P160" s="154"/>
      <c r="Q160" s="154"/>
      <c r="R160" s="279"/>
      <c r="S160" s="279"/>
      <c r="T160" s="155"/>
      <c r="U160" s="152"/>
      <c r="V160" s="153"/>
      <c r="W160" s="153"/>
      <c r="X160" s="153"/>
      <c r="Y160" s="154"/>
      <c r="Z160" s="154"/>
      <c r="AA160" s="279"/>
      <c r="AB160" s="279"/>
      <c r="AC160" s="155"/>
      <c r="AD160" s="152">
        <v>92</v>
      </c>
      <c r="AE160" s="153">
        <v>85</v>
      </c>
      <c r="AF160" s="153">
        <v>72</v>
      </c>
      <c r="AG160" s="153">
        <v>76</v>
      </c>
      <c r="AH160" s="154">
        <v>75</v>
      </c>
      <c r="AI160" s="154">
        <v>90</v>
      </c>
      <c r="AJ160" s="279">
        <v>95</v>
      </c>
      <c r="AK160" s="279">
        <v>75</v>
      </c>
      <c r="AL160" s="155"/>
      <c r="AM160" s="152">
        <v>18</v>
      </c>
      <c r="AN160" s="153">
        <v>19</v>
      </c>
      <c r="AO160" s="153">
        <v>21</v>
      </c>
      <c r="AP160" s="153">
        <v>20</v>
      </c>
      <c r="AQ160" s="154">
        <v>26</v>
      </c>
      <c r="AR160" s="154">
        <v>21</v>
      </c>
      <c r="AS160" s="279">
        <v>25</v>
      </c>
      <c r="AT160" s="279">
        <v>31</v>
      </c>
      <c r="AU160" s="155"/>
      <c r="AV160" s="152"/>
      <c r="AW160" s="153"/>
      <c r="AX160" s="153"/>
      <c r="AY160" s="153"/>
      <c r="AZ160" s="154"/>
      <c r="BA160" s="154"/>
      <c r="BB160" s="279"/>
      <c r="BC160" s="279"/>
      <c r="BD160" s="155"/>
      <c r="BE160" s="152">
        <v>5</v>
      </c>
      <c r="BF160" s="153">
        <v>8</v>
      </c>
      <c r="BG160" s="153">
        <v>23</v>
      </c>
      <c r="BH160" s="153">
        <v>8</v>
      </c>
      <c r="BI160" s="154">
        <v>13</v>
      </c>
      <c r="BJ160" s="154">
        <v>42</v>
      </c>
      <c r="BK160" s="279">
        <v>20</v>
      </c>
      <c r="BL160" s="279">
        <v>10</v>
      </c>
      <c r="BM160" s="155"/>
      <c r="BN160" s="152"/>
      <c r="BO160" s="153"/>
      <c r="BP160" s="153"/>
      <c r="BQ160" s="153"/>
      <c r="BR160" s="154"/>
      <c r="BS160" s="154"/>
      <c r="BT160" s="279"/>
      <c r="BU160" s="279"/>
      <c r="BV160" s="155"/>
      <c r="BW160" s="152">
        <v>177</v>
      </c>
      <c r="BX160" s="153">
        <v>175</v>
      </c>
      <c r="BY160" s="153">
        <v>177</v>
      </c>
      <c r="BZ160" s="153">
        <v>172</v>
      </c>
      <c r="CA160" s="154">
        <v>151</v>
      </c>
      <c r="CB160" s="154">
        <v>180</v>
      </c>
      <c r="CC160" s="279">
        <v>225</v>
      </c>
      <c r="CD160" s="279">
        <v>137</v>
      </c>
      <c r="CE160" s="155"/>
      <c r="CF160" s="152">
        <v>8</v>
      </c>
      <c r="CG160" s="153">
        <v>7</v>
      </c>
      <c r="CH160" s="153">
        <v>9</v>
      </c>
      <c r="CI160" s="153">
        <v>6</v>
      </c>
      <c r="CJ160" s="154">
        <v>9</v>
      </c>
      <c r="CK160" s="154">
        <v>5</v>
      </c>
      <c r="CL160" s="279">
        <v>7</v>
      </c>
      <c r="CM160" s="279">
        <v>7</v>
      </c>
      <c r="CN160" s="155"/>
      <c r="CO160" s="152">
        <v>12</v>
      </c>
      <c r="CP160" s="153">
        <v>3</v>
      </c>
      <c r="CQ160" s="153"/>
      <c r="CR160" s="153"/>
      <c r="CS160" s="154">
        <v>1</v>
      </c>
      <c r="CT160" s="154">
        <v>2</v>
      </c>
      <c r="CU160" s="279">
        <v>3</v>
      </c>
      <c r="CV160" s="279">
        <v>8</v>
      </c>
      <c r="CW160" s="155"/>
      <c r="CX160" s="152">
        <v>1335</v>
      </c>
      <c r="CY160" s="153">
        <v>1245</v>
      </c>
      <c r="CZ160" s="153">
        <v>1498</v>
      </c>
      <c r="DA160" s="153">
        <v>1191</v>
      </c>
      <c r="DB160" s="154">
        <v>716</v>
      </c>
      <c r="DC160" s="154">
        <v>767</v>
      </c>
      <c r="DD160" s="279">
        <v>693</v>
      </c>
      <c r="DE160" s="279">
        <v>484</v>
      </c>
      <c r="DF160" s="155"/>
      <c r="DG160" s="152">
        <v>2</v>
      </c>
      <c r="DH160" s="153">
        <v>1</v>
      </c>
      <c r="DI160" s="153">
        <v>4</v>
      </c>
      <c r="DJ160" s="153">
        <v>4</v>
      </c>
      <c r="DK160" s="154">
        <v>1</v>
      </c>
      <c r="DL160" s="154">
        <v>1</v>
      </c>
      <c r="DM160" s="279">
        <v>2</v>
      </c>
      <c r="DN160" s="279">
        <v>1</v>
      </c>
      <c r="DO160" s="155"/>
      <c r="DP160" s="152">
        <v>30</v>
      </c>
      <c r="DQ160" s="153">
        <v>17</v>
      </c>
      <c r="DR160" s="153">
        <v>5</v>
      </c>
      <c r="DS160" s="153">
        <v>1</v>
      </c>
      <c r="DT160" s="154">
        <v>6</v>
      </c>
      <c r="DU160" s="154">
        <v>3</v>
      </c>
      <c r="DV160" s="279">
        <v>3</v>
      </c>
      <c r="DW160" s="279"/>
      <c r="DX160" s="155"/>
      <c r="DY160" s="152">
        <v>236</v>
      </c>
      <c r="DZ160" s="153">
        <v>181</v>
      </c>
      <c r="EA160" s="153">
        <v>249</v>
      </c>
      <c r="EB160" s="153">
        <v>205</v>
      </c>
      <c r="EC160" s="154">
        <v>112</v>
      </c>
      <c r="ED160" s="154">
        <v>167</v>
      </c>
      <c r="EE160" s="279">
        <v>207</v>
      </c>
      <c r="EF160" s="279">
        <v>125</v>
      </c>
      <c r="EG160" s="155"/>
      <c r="EH160" s="152">
        <v>13</v>
      </c>
      <c r="EI160" s="153">
        <v>6</v>
      </c>
      <c r="EJ160" s="153">
        <v>9</v>
      </c>
      <c r="EK160" s="153">
        <v>16</v>
      </c>
      <c r="EL160" s="154">
        <v>12</v>
      </c>
      <c r="EM160" s="154">
        <v>10</v>
      </c>
      <c r="EN160" s="279">
        <v>12</v>
      </c>
      <c r="EO160" s="279">
        <v>13</v>
      </c>
      <c r="EP160" s="155"/>
      <c r="EQ160" s="152">
        <v>2</v>
      </c>
      <c r="ER160" s="153"/>
      <c r="ES160" s="153">
        <v>2</v>
      </c>
      <c r="ET160" s="153">
        <v>5</v>
      </c>
      <c r="EU160" s="154">
        <v>4</v>
      </c>
      <c r="EV160" s="154">
        <v>5</v>
      </c>
      <c r="EW160" s="279">
        <v>6</v>
      </c>
      <c r="EX160" s="279">
        <v>5</v>
      </c>
      <c r="EY160" s="155"/>
      <c r="EZ160" s="152">
        <v>8</v>
      </c>
      <c r="FA160" s="153">
        <v>3</v>
      </c>
      <c r="FB160" s="153">
        <v>4</v>
      </c>
      <c r="FC160" s="153">
        <v>5</v>
      </c>
      <c r="FD160" s="154">
        <v>6</v>
      </c>
      <c r="FE160" s="154">
        <v>3</v>
      </c>
      <c r="FF160" s="279">
        <v>3</v>
      </c>
      <c r="FG160" s="279">
        <v>1</v>
      </c>
      <c r="FH160" s="155"/>
      <c r="FI160" s="152">
        <v>60</v>
      </c>
      <c r="FJ160" s="153">
        <v>56</v>
      </c>
      <c r="FK160" s="153">
        <v>30</v>
      </c>
      <c r="FL160" s="153">
        <v>20</v>
      </c>
      <c r="FM160" s="154">
        <v>26</v>
      </c>
      <c r="FN160" s="154">
        <v>21</v>
      </c>
      <c r="FO160" s="279">
        <v>31</v>
      </c>
      <c r="FP160" s="279">
        <v>25</v>
      </c>
      <c r="FQ160" s="155"/>
      <c r="FR160" s="152">
        <v>6</v>
      </c>
      <c r="FS160" s="153">
        <v>2</v>
      </c>
      <c r="FT160" s="153">
        <v>1</v>
      </c>
      <c r="FU160" s="153">
        <v>9</v>
      </c>
      <c r="FV160" s="154">
        <v>11</v>
      </c>
      <c r="FW160" s="154">
        <v>4</v>
      </c>
      <c r="FX160" s="279">
        <v>5</v>
      </c>
      <c r="FY160" s="279">
        <v>1</v>
      </c>
      <c r="FZ160" s="155"/>
      <c r="GA160" s="152">
        <v>5</v>
      </c>
      <c r="GB160" s="153">
        <v>2</v>
      </c>
      <c r="GC160" s="153">
        <v>4</v>
      </c>
      <c r="GD160" s="153">
        <v>5</v>
      </c>
      <c r="GE160" s="154">
        <v>4</v>
      </c>
      <c r="GF160" s="154">
        <v>4</v>
      </c>
      <c r="GG160" s="279">
        <v>5</v>
      </c>
      <c r="GH160" s="279">
        <v>4</v>
      </c>
      <c r="GI160" s="155"/>
      <c r="GJ160" s="152">
        <v>1723</v>
      </c>
      <c r="GK160" s="153">
        <v>1592</v>
      </c>
      <c r="GL160" s="153">
        <v>1829</v>
      </c>
      <c r="GM160" s="153">
        <v>1513</v>
      </c>
      <c r="GN160" s="154">
        <v>1028</v>
      </c>
      <c r="GO160" s="154">
        <v>1133</v>
      </c>
      <c r="GP160" s="279">
        <v>1105</v>
      </c>
      <c r="GQ160" s="279">
        <v>770</v>
      </c>
      <c r="GR160" s="155"/>
      <c r="GS160" s="152">
        <v>474</v>
      </c>
      <c r="GT160" s="153">
        <v>447</v>
      </c>
      <c r="GU160" s="153">
        <v>533</v>
      </c>
      <c r="GV160" s="153">
        <v>382</v>
      </c>
      <c r="GW160" s="154">
        <v>207</v>
      </c>
      <c r="GX160" s="154">
        <v>201</v>
      </c>
      <c r="GY160" s="279">
        <v>242</v>
      </c>
      <c r="GZ160" s="279">
        <v>172</v>
      </c>
      <c r="HA160" s="155"/>
      <c r="HB160" s="152">
        <v>5</v>
      </c>
      <c r="HC160" s="153">
        <v>2</v>
      </c>
      <c r="HD160" s="153">
        <v>2</v>
      </c>
      <c r="HE160" s="153">
        <v>1</v>
      </c>
      <c r="HF160" s="154"/>
      <c r="HG160" s="154"/>
      <c r="HH160" s="279">
        <v>3</v>
      </c>
      <c r="HI160" s="279">
        <v>2</v>
      </c>
      <c r="HJ160" s="155"/>
      <c r="HK160" s="152">
        <v>3</v>
      </c>
      <c r="HL160" s="153">
        <v>4</v>
      </c>
      <c r="HM160" s="153">
        <v>2</v>
      </c>
      <c r="HN160" s="153">
        <v>1</v>
      </c>
      <c r="HO160" s="154"/>
      <c r="HP160" s="154"/>
      <c r="HQ160" s="279"/>
      <c r="HR160" s="279"/>
      <c r="HS160" s="155"/>
      <c r="HT160" s="152">
        <v>551</v>
      </c>
      <c r="HU160" s="153">
        <v>541</v>
      </c>
      <c r="HV160" s="153">
        <v>618</v>
      </c>
      <c r="HW160" s="153">
        <v>447</v>
      </c>
      <c r="HX160" s="154">
        <v>288</v>
      </c>
      <c r="HY160" s="154">
        <v>295</v>
      </c>
      <c r="HZ160" s="279">
        <v>384</v>
      </c>
      <c r="IA160" s="279">
        <v>287</v>
      </c>
      <c r="IB160" s="155"/>
      <c r="IC160" s="152">
        <v>2300</v>
      </c>
      <c r="ID160" s="153">
        <v>2009</v>
      </c>
      <c r="IE160" s="153">
        <v>2399</v>
      </c>
      <c r="IF160" s="153">
        <v>1828</v>
      </c>
      <c r="IG160" s="154">
        <v>1279</v>
      </c>
      <c r="IH160" s="154">
        <v>1418</v>
      </c>
      <c r="II160" s="279">
        <v>1722</v>
      </c>
      <c r="IJ160" s="279">
        <v>1137</v>
      </c>
      <c r="IK160" s="155"/>
    </row>
    <row r="161" spans="1:245" x14ac:dyDescent="0.2">
      <c r="A161" s="961"/>
      <c r="B161" s="151" t="s">
        <v>745</v>
      </c>
      <c r="C161" s="152"/>
      <c r="D161" s="153"/>
      <c r="E161" s="153"/>
      <c r="F161" s="153">
        <v>1</v>
      </c>
      <c r="G161" s="154"/>
      <c r="H161" s="154"/>
      <c r="I161" s="279"/>
      <c r="J161" s="279"/>
      <c r="K161" s="155"/>
      <c r="L161" s="152"/>
      <c r="M161" s="153"/>
      <c r="N161" s="153"/>
      <c r="O161" s="153"/>
      <c r="P161" s="154"/>
      <c r="Q161" s="154"/>
      <c r="R161" s="279"/>
      <c r="S161" s="279"/>
      <c r="T161" s="155"/>
      <c r="U161" s="152"/>
      <c r="V161" s="153"/>
      <c r="W161" s="153"/>
      <c r="X161" s="153"/>
      <c r="Y161" s="154"/>
      <c r="Z161" s="154"/>
      <c r="AA161" s="279"/>
      <c r="AB161" s="279"/>
      <c r="AC161" s="155"/>
      <c r="AD161" s="152">
        <v>40</v>
      </c>
      <c r="AE161" s="153">
        <v>56</v>
      </c>
      <c r="AF161" s="153">
        <v>70</v>
      </c>
      <c r="AG161" s="153">
        <v>70</v>
      </c>
      <c r="AH161" s="154">
        <v>57</v>
      </c>
      <c r="AI161" s="154">
        <v>91</v>
      </c>
      <c r="AJ161" s="279">
        <v>53</v>
      </c>
      <c r="AK161" s="279">
        <v>28</v>
      </c>
      <c r="AL161" s="155"/>
      <c r="AM161" s="152">
        <v>12</v>
      </c>
      <c r="AN161" s="153">
        <v>11</v>
      </c>
      <c r="AO161" s="153">
        <v>14</v>
      </c>
      <c r="AP161" s="153">
        <v>11</v>
      </c>
      <c r="AQ161" s="154">
        <v>7</v>
      </c>
      <c r="AR161" s="154">
        <v>24</v>
      </c>
      <c r="AS161" s="279">
        <v>16</v>
      </c>
      <c r="AT161" s="279">
        <v>10</v>
      </c>
      <c r="AU161" s="155"/>
      <c r="AV161" s="152"/>
      <c r="AW161" s="153"/>
      <c r="AX161" s="153"/>
      <c r="AY161" s="153"/>
      <c r="AZ161" s="154"/>
      <c r="BA161" s="154"/>
      <c r="BB161" s="279"/>
      <c r="BC161" s="279"/>
      <c r="BD161" s="155"/>
      <c r="BE161" s="152">
        <v>24</v>
      </c>
      <c r="BF161" s="153">
        <v>27</v>
      </c>
      <c r="BG161" s="153">
        <v>6</v>
      </c>
      <c r="BH161" s="153">
        <v>25</v>
      </c>
      <c r="BI161" s="154">
        <v>1</v>
      </c>
      <c r="BJ161" s="154">
        <v>19</v>
      </c>
      <c r="BK161" s="279">
        <v>19</v>
      </c>
      <c r="BL161" s="279">
        <v>1</v>
      </c>
      <c r="BM161" s="155"/>
      <c r="BN161" s="152"/>
      <c r="BO161" s="153"/>
      <c r="BP161" s="153"/>
      <c r="BQ161" s="153"/>
      <c r="BR161" s="154"/>
      <c r="BS161" s="154">
        <v>1</v>
      </c>
      <c r="BT161" s="279"/>
      <c r="BU161" s="279"/>
      <c r="BV161" s="155"/>
      <c r="BW161" s="152">
        <v>53</v>
      </c>
      <c r="BX161" s="153">
        <v>65</v>
      </c>
      <c r="BY161" s="153">
        <v>95</v>
      </c>
      <c r="BZ161" s="153">
        <v>69</v>
      </c>
      <c r="CA161" s="154">
        <v>76</v>
      </c>
      <c r="CB161" s="154">
        <v>91</v>
      </c>
      <c r="CC161" s="279">
        <v>85</v>
      </c>
      <c r="CD161" s="279">
        <v>37</v>
      </c>
      <c r="CE161" s="155"/>
      <c r="CF161" s="152">
        <v>1</v>
      </c>
      <c r="CG161" s="153">
        <v>2</v>
      </c>
      <c r="CH161" s="153">
        <v>1</v>
      </c>
      <c r="CI161" s="153">
        <v>1</v>
      </c>
      <c r="CJ161" s="154">
        <v>1</v>
      </c>
      <c r="CK161" s="154">
        <v>1</v>
      </c>
      <c r="CL161" s="279"/>
      <c r="CM161" s="279">
        <v>2</v>
      </c>
      <c r="CN161" s="155"/>
      <c r="CO161" s="152">
        <v>1</v>
      </c>
      <c r="CP161" s="153"/>
      <c r="CQ161" s="153">
        <v>1</v>
      </c>
      <c r="CR161" s="153">
        <v>3</v>
      </c>
      <c r="CS161" s="154"/>
      <c r="CT161" s="154"/>
      <c r="CU161" s="279"/>
      <c r="CV161" s="279">
        <v>1</v>
      </c>
      <c r="CW161" s="155"/>
      <c r="CX161" s="152">
        <v>579</v>
      </c>
      <c r="CY161" s="153">
        <v>513</v>
      </c>
      <c r="CZ161" s="153">
        <v>564</v>
      </c>
      <c r="DA161" s="153">
        <v>610</v>
      </c>
      <c r="DB161" s="154">
        <v>560</v>
      </c>
      <c r="DC161" s="154">
        <v>494</v>
      </c>
      <c r="DD161" s="279">
        <v>549</v>
      </c>
      <c r="DE161" s="279">
        <v>345</v>
      </c>
      <c r="DF161" s="155"/>
      <c r="DG161" s="152">
        <v>2</v>
      </c>
      <c r="DH161" s="153">
        <v>3</v>
      </c>
      <c r="DI161" s="153">
        <v>4</v>
      </c>
      <c r="DJ161" s="153">
        <v>1</v>
      </c>
      <c r="DK161" s="154"/>
      <c r="DL161" s="154"/>
      <c r="DM161" s="279"/>
      <c r="DN161" s="279"/>
      <c r="DO161" s="155"/>
      <c r="DP161" s="152">
        <v>5</v>
      </c>
      <c r="DQ161" s="153">
        <v>2</v>
      </c>
      <c r="DR161" s="153">
        <v>4</v>
      </c>
      <c r="DS161" s="153">
        <v>1</v>
      </c>
      <c r="DT161" s="154">
        <v>4</v>
      </c>
      <c r="DU161" s="154">
        <v>8</v>
      </c>
      <c r="DV161" s="279">
        <v>4</v>
      </c>
      <c r="DW161" s="279">
        <v>2</v>
      </c>
      <c r="DX161" s="155"/>
      <c r="DY161" s="152">
        <v>103</v>
      </c>
      <c r="DZ161" s="153">
        <v>98</v>
      </c>
      <c r="EA161" s="153">
        <v>97</v>
      </c>
      <c r="EB161" s="153">
        <v>112</v>
      </c>
      <c r="EC161" s="154">
        <v>106</v>
      </c>
      <c r="ED161" s="154">
        <v>121</v>
      </c>
      <c r="EE161" s="279">
        <v>217</v>
      </c>
      <c r="EF161" s="279">
        <v>92</v>
      </c>
      <c r="EG161" s="155"/>
      <c r="EH161" s="152">
        <v>1</v>
      </c>
      <c r="EI161" s="153">
        <v>5</v>
      </c>
      <c r="EJ161" s="153">
        <v>7</v>
      </c>
      <c r="EK161" s="153">
        <v>2</v>
      </c>
      <c r="EL161" s="154">
        <v>6</v>
      </c>
      <c r="EM161" s="154">
        <v>10</v>
      </c>
      <c r="EN161" s="279">
        <v>3</v>
      </c>
      <c r="EO161" s="279">
        <v>2</v>
      </c>
      <c r="EP161" s="155"/>
      <c r="EQ161" s="152"/>
      <c r="ER161" s="153">
        <v>1</v>
      </c>
      <c r="ES161" s="153">
        <v>1</v>
      </c>
      <c r="ET161" s="153">
        <v>1</v>
      </c>
      <c r="EU161" s="154">
        <v>1</v>
      </c>
      <c r="EV161" s="154">
        <v>2</v>
      </c>
      <c r="EW161" s="279">
        <v>6</v>
      </c>
      <c r="EX161" s="279">
        <v>4</v>
      </c>
      <c r="EY161" s="155"/>
      <c r="EZ161" s="152"/>
      <c r="FA161" s="153">
        <v>1</v>
      </c>
      <c r="FB161" s="153">
        <v>2</v>
      </c>
      <c r="FC161" s="153">
        <v>13</v>
      </c>
      <c r="FD161" s="154">
        <v>1</v>
      </c>
      <c r="FE161" s="154">
        <v>2</v>
      </c>
      <c r="FF161" s="279"/>
      <c r="FG161" s="279"/>
      <c r="FH161" s="155"/>
      <c r="FI161" s="152">
        <v>16</v>
      </c>
      <c r="FJ161" s="153">
        <v>25</v>
      </c>
      <c r="FK161" s="153">
        <v>16</v>
      </c>
      <c r="FL161" s="153">
        <v>15</v>
      </c>
      <c r="FM161" s="154">
        <v>4</v>
      </c>
      <c r="FN161" s="154">
        <v>12</v>
      </c>
      <c r="FO161" s="279">
        <v>14</v>
      </c>
      <c r="FP161" s="279">
        <v>9</v>
      </c>
      <c r="FQ161" s="155"/>
      <c r="FR161" s="152">
        <v>1</v>
      </c>
      <c r="FS161" s="153">
        <v>5</v>
      </c>
      <c r="FT161" s="153">
        <v>5</v>
      </c>
      <c r="FU161" s="153"/>
      <c r="FV161" s="154">
        <v>2</v>
      </c>
      <c r="FW161" s="154"/>
      <c r="FX161" s="279">
        <v>4</v>
      </c>
      <c r="FY161" s="279">
        <v>1</v>
      </c>
      <c r="FZ161" s="155"/>
      <c r="GA161" s="152">
        <v>4</v>
      </c>
      <c r="GB161" s="153">
        <v>5</v>
      </c>
      <c r="GC161" s="153">
        <v>4</v>
      </c>
      <c r="GD161" s="153">
        <v>4</v>
      </c>
      <c r="GE161" s="154">
        <v>5</v>
      </c>
      <c r="GF161" s="154">
        <v>6</v>
      </c>
      <c r="GG161" s="279">
        <v>7</v>
      </c>
      <c r="GH161" s="279">
        <v>5</v>
      </c>
      <c r="GI161" s="155"/>
      <c r="GJ161" s="152">
        <v>720</v>
      </c>
      <c r="GK161" s="153">
        <v>705</v>
      </c>
      <c r="GL161" s="153">
        <v>772</v>
      </c>
      <c r="GM161" s="153">
        <v>814</v>
      </c>
      <c r="GN161" s="154">
        <v>714</v>
      </c>
      <c r="GO161" s="154">
        <v>729</v>
      </c>
      <c r="GP161" s="279">
        <v>740</v>
      </c>
      <c r="GQ161" s="279">
        <v>435</v>
      </c>
      <c r="GR161" s="155"/>
      <c r="GS161" s="152">
        <v>121</v>
      </c>
      <c r="GT161" s="153">
        <v>167</v>
      </c>
      <c r="GU161" s="153">
        <v>212</v>
      </c>
      <c r="GV161" s="153">
        <v>131</v>
      </c>
      <c r="GW161" s="154">
        <v>70</v>
      </c>
      <c r="GX161" s="154">
        <v>152</v>
      </c>
      <c r="GY161" s="279">
        <v>153</v>
      </c>
      <c r="GZ161" s="279">
        <v>64</v>
      </c>
      <c r="HA161" s="155"/>
      <c r="HB161" s="152">
        <v>2</v>
      </c>
      <c r="HC161" s="153">
        <v>1</v>
      </c>
      <c r="HD161" s="153">
        <v>1</v>
      </c>
      <c r="HE161" s="153">
        <v>2</v>
      </c>
      <c r="HF161" s="154">
        <v>1</v>
      </c>
      <c r="HG161" s="154">
        <v>1</v>
      </c>
      <c r="HH161" s="279">
        <v>3</v>
      </c>
      <c r="HI161" s="279"/>
      <c r="HJ161" s="155"/>
      <c r="HK161" s="152">
        <v>1</v>
      </c>
      <c r="HL161" s="153">
        <v>3</v>
      </c>
      <c r="HM161" s="153">
        <v>1</v>
      </c>
      <c r="HN161" s="153"/>
      <c r="HO161" s="154">
        <v>2</v>
      </c>
      <c r="HP161" s="154">
        <v>1</v>
      </c>
      <c r="HQ161" s="279">
        <v>2</v>
      </c>
      <c r="HR161" s="279">
        <v>1</v>
      </c>
      <c r="HS161" s="155"/>
      <c r="HT161" s="152">
        <v>159</v>
      </c>
      <c r="HU161" s="153">
        <v>223</v>
      </c>
      <c r="HV161" s="153">
        <v>249</v>
      </c>
      <c r="HW161" s="153">
        <v>181</v>
      </c>
      <c r="HX161" s="154">
        <v>130</v>
      </c>
      <c r="HY161" s="154">
        <v>213</v>
      </c>
      <c r="HZ161" s="279">
        <v>234</v>
      </c>
      <c r="IA161" s="279">
        <v>167</v>
      </c>
      <c r="IB161" s="155"/>
      <c r="IC161" s="152">
        <v>1188</v>
      </c>
      <c r="ID161" s="153">
        <v>1068</v>
      </c>
      <c r="IE161" s="153">
        <v>1123</v>
      </c>
      <c r="IF161" s="153">
        <v>1123</v>
      </c>
      <c r="IG161" s="154">
        <v>1213</v>
      </c>
      <c r="IH161" s="154">
        <v>1097</v>
      </c>
      <c r="II161" s="279">
        <v>1337</v>
      </c>
      <c r="IJ161" s="279">
        <v>653</v>
      </c>
      <c r="IK161" s="155"/>
    </row>
    <row r="162" spans="1:245" x14ac:dyDescent="0.2">
      <c r="A162" s="961"/>
      <c r="B162" s="151" t="s">
        <v>746</v>
      </c>
      <c r="C162" s="152"/>
      <c r="D162" s="153"/>
      <c r="E162" s="153"/>
      <c r="F162" s="153"/>
      <c r="G162" s="154"/>
      <c r="H162" s="154"/>
      <c r="I162" s="279"/>
      <c r="J162" s="279"/>
      <c r="K162" s="155"/>
      <c r="L162" s="152"/>
      <c r="M162" s="153"/>
      <c r="N162" s="153"/>
      <c r="O162" s="153"/>
      <c r="P162" s="154"/>
      <c r="Q162" s="154"/>
      <c r="R162" s="279"/>
      <c r="S162" s="279"/>
      <c r="T162" s="155"/>
      <c r="U162" s="152"/>
      <c r="V162" s="153"/>
      <c r="W162" s="153"/>
      <c r="X162" s="153"/>
      <c r="Y162" s="154"/>
      <c r="Z162" s="154"/>
      <c r="AA162" s="279"/>
      <c r="AB162" s="279"/>
      <c r="AC162" s="155"/>
      <c r="AD162" s="152">
        <v>46</v>
      </c>
      <c r="AE162" s="153">
        <v>34</v>
      </c>
      <c r="AF162" s="153">
        <v>34</v>
      </c>
      <c r="AG162" s="153">
        <v>40</v>
      </c>
      <c r="AH162" s="154">
        <v>41</v>
      </c>
      <c r="AI162" s="154">
        <v>22</v>
      </c>
      <c r="AJ162" s="279">
        <v>26</v>
      </c>
      <c r="AK162" s="279">
        <v>18</v>
      </c>
      <c r="AL162" s="155"/>
      <c r="AM162" s="152">
        <v>23</v>
      </c>
      <c r="AN162" s="153">
        <v>14</v>
      </c>
      <c r="AO162" s="153">
        <v>9</v>
      </c>
      <c r="AP162" s="153">
        <v>14</v>
      </c>
      <c r="AQ162" s="154">
        <v>16</v>
      </c>
      <c r="AR162" s="154">
        <v>6</v>
      </c>
      <c r="AS162" s="279">
        <v>11</v>
      </c>
      <c r="AT162" s="279">
        <v>7</v>
      </c>
      <c r="AU162" s="155"/>
      <c r="AV162" s="152"/>
      <c r="AW162" s="153"/>
      <c r="AX162" s="153"/>
      <c r="AY162" s="153"/>
      <c r="AZ162" s="154"/>
      <c r="BA162" s="154"/>
      <c r="BB162" s="279"/>
      <c r="BC162" s="279"/>
      <c r="BD162" s="155"/>
      <c r="BE162" s="152">
        <v>6</v>
      </c>
      <c r="BF162" s="153">
        <v>7</v>
      </c>
      <c r="BG162" s="153">
        <v>8</v>
      </c>
      <c r="BH162" s="153">
        <v>9</v>
      </c>
      <c r="BI162" s="154">
        <v>3</v>
      </c>
      <c r="BJ162" s="154">
        <v>5</v>
      </c>
      <c r="BK162" s="279">
        <v>7</v>
      </c>
      <c r="BL162" s="279">
        <v>11</v>
      </c>
      <c r="BM162" s="155"/>
      <c r="BN162" s="152"/>
      <c r="BO162" s="153"/>
      <c r="BP162" s="153"/>
      <c r="BQ162" s="153"/>
      <c r="BR162" s="154"/>
      <c r="BS162" s="154"/>
      <c r="BT162" s="279"/>
      <c r="BU162" s="279"/>
      <c r="BV162" s="155"/>
      <c r="BW162" s="152">
        <v>78</v>
      </c>
      <c r="BX162" s="153">
        <v>61</v>
      </c>
      <c r="BY162" s="153">
        <v>74</v>
      </c>
      <c r="BZ162" s="153">
        <v>79</v>
      </c>
      <c r="CA162" s="154">
        <v>78</v>
      </c>
      <c r="CB162" s="154">
        <v>59</v>
      </c>
      <c r="CC162" s="279">
        <v>57</v>
      </c>
      <c r="CD162" s="279">
        <v>35</v>
      </c>
      <c r="CE162" s="155"/>
      <c r="CF162" s="152">
        <v>1</v>
      </c>
      <c r="CG162" s="153">
        <v>2</v>
      </c>
      <c r="CH162" s="153"/>
      <c r="CI162" s="153">
        <v>3</v>
      </c>
      <c r="CJ162" s="154">
        <v>2</v>
      </c>
      <c r="CK162" s="154">
        <v>2</v>
      </c>
      <c r="CL162" s="279"/>
      <c r="CM162" s="279"/>
      <c r="CN162" s="155"/>
      <c r="CO162" s="152"/>
      <c r="CP162" s="153">
        <v>2</v>
      </c>
      <c r="CQ162" s="153"/>
      <c r="CR162" s="153">
        <v>1</v>
      </c>
      <c r="CS162" s="154"/>
      <c r="CT162" s="154"/>
      <c r="CU162" s="279">
        <v>1</v>
      </c>
      <c r="CV162" s="279"/>
      <c r="CW162" s="155"/>
      <c r="CX162" s="152">
        <v>666</v>
      </c>
      <c r="CY162" s="153">
        <v>526</v>
      </c>
      <c r="CZ162" s="153">
        <v>685</v>
      </c>
      <c r="DA162" s="153">
        <v>427</v>
      </c>
      <c r="DB162" s="154">
        <v>472</v>
      </c>
      <c r="DC162" s="154">
        <v>290</v>
      </c>
      <c r="DD162" s="279">
        <v>212</v>
      </c>
      <c r="DE162" s="279">
        <v>184</v>
      </c>
      <c r="DF162" s="155"/>
      <c r="DG162" s="152">
        <v>1</v>
      </c>
      <c r="DH162" s="153">
        <v>4</v>
      </c>
      <c r="DI162" s="153">
        <v>2</v>
      </c>
      <c r="DJ162" s="153"/>
      <c r="DK162" s="154">
        <v>1</v>
      </c>
      <c r="DL162" s="154"/>
      <c r="DM162" s="279"/>
      <c r="DN162" s="279">
        <v>1</v>
      </c>
      <c r="DO162" s="155"/>
      <c r="DP162" s="152">
        <v>4</v>
      </c>
      <c r="DQ162" s="153">
        <v>2</v>
      </c>
      <c r="DR162" s="153">
        <v>6</v>
      </c>
      <c r="DS162" s="153">
        <v>6</v>
      </c>
      <c r="DT162" s="154">
        <v>12</v>
      </c>
      <c r="DU162" s="154">
        <v>3</v>
      </c>
      <c r="DV162" s="279">
        <v>1</v>
      </c>
      <c r="DW162" s="279">
        <v>1</v>
      </c>
      <c r="DX162" s="155"/>
      <c r="DY162" s="152">
        <v>56</v>
      </c>
      <c r="DZ162" s="153">
        <v>54</v>
      </c>
      <c r="EA162" s="153">
        <v>64</v>
      </c>
      <c r="EB162" s="153">
        <v>58</v>
      </c>
      <c r="EC162" s="154">
        <v>82</v>
      </c>
      <c r="ED162" s="154">
        <v>55</v>
      </c>
      <c r="EE162" s="279">
        <v>59</v>
      </c>
      <c r="EF162" s="279">
        <v>27</v>
      </c>
      <c r="EG162" s="155"/>
      <c r="EH162" s="152">
        <v>11</v>
      </c>
      <c r="EI162" s="153">
        <v>4</v>
      </c>
      <c r="EJ162" s="153">
        <v>4</v>
      </c>
      <c r="EK162" s="153">
        <v>6</v>
      </c>
      <c r="EL162" s="154">
        <v>1</v>
      </c>
      <c r="EM162" s="154">
        <v>1</v>
      </c>
      <c r="EN162" s="279"/>
      <c r="EO162" s="279"/>
      <c r="EP162" s="155"/>
      <c r="EQ162" s="152"/>
      <c r="ER162" s="153">
        <v>1</v>
      </c>
      <c r="ES162" s="153">
        <v>1</v>
      </c>
      <c r="ET162" s="153">
        <v>3</v>
      </c>
      <c r="EU162" s="154"/>
      <c r="EV162" s="154">
        <v>3</v>
      </c>
      <c r="EW162" s="279">
        <v>2</v>
      </c>
      <c r="EX162" s="279">
        <v>2</v>
      </c>
      <c r="EY162" s="155"/>
      <c r="EZ162" s="152">
        <v>4</v>
      </c>
      <c r="FA162" s="153">
        <v>1</v>
      </c>
      <c r="FB162" s="153">
        <v>1</v>
      </c>
      <c r="FC162" s="153">
        <v>1</v>
      </c>
      <c r="FD162" s="154"/>
      <c r="FE162" s="154">
        <v>1</v>
      </c>
      <c r="FF162" s="279">
        <v>3</v>
      </c>
      <c r="FG162" s="279"/>
      <c r="FH162" s="155"/>
      <c r="FI162" s="152">
        <v>32</v>
      </c>
      <c r="FJ162" s="153">
        <v>31</v>
      </c>
      <c r="FK162" s="153">
        <v>18</v>
      </c>
      <c r="FL162" s="153">
        <v>14</v>
      </c>
      <c r="FM162" s="154">
        <v>11</v>
      </c>
      <c r="FN162" s="154">
        <v>8</v>
      </c>
      <c r="FO162" s="279">
        <v>10</v>
      </c>
      <c r="FP162" s="279">
        <v>4</v>
      </c>
      <c r="FQ162" s="155"/>
      <c r="FR162" s="152">
        <v>1</v>
      </c>
      <c r="FS162" s="153"/>
      <c r="FT162" s="153">
        <v>1</v>
      </c>
      <c r="FU162" s="153">
        <v>2</v>
      </c>
      <c r="FV162" s="154">
        <v>1</v>
      </c>
      <c r="FW162" s="154">
        <v>4</v>
      </c>
      <c r="FX162" s="279">
        <v>3</v>
      </c>
      <c r="FY162" s="279"/>
      <c r="FZ162" s="155"/>
      <c r="GA162" s="152">
        <v>5</v>
      </c>
      <c r="GB162" s="153">
        <v>14</v>
      </c>
      <c r="GC162" s="153">
        <v>5</v>
      </c>
      <c r="GD162" s="153">
        <v>2</v>
      </c>
      <c r="GE162" s="154">
        <v>2</v>
      </c>
      <c r="GF162" s="154">
        <v>5</v>
      </c>
      <c r="GG162" s="279">
        <v>3</v>
      </c>
      <c r="GH162" s="279">
        <v>1</v>
      </c>
      <c r="GI162" s="155"/>
      <c r="GJ162" s="152">
        <v>850</v>
      </c>
      <c r="GK162" s="153">
        <v>683</v>
      </c>
      <c r="GL162" s="153">
        <v>831</v>
      </c>
      <c r="GM162" s="153">
        <v>587</v>
      </c>
      <c r="GN162" s="154">
        <v>611</v>
      </c>
      <c r="GO162" s="154">
        <v>400</v>
      </c>
      <c r="GP162" s="279">
        <v>324</v>
      </c>
      <c r="GQ162" s="279">
        <v>255</v>
      </c>
      <c r="GR162" s="155"/>
      <c r="GS162" s="152">
        <v>232</v>
      </c>
      <c r="GT162" s="153">
        <v>198</v>
      </c>
      <c r="GU162" s="153">
        <v>223</v>
      </c>
      <c r="GV162" s="153">
        <v>168</v>
      </c>
      <c r="GW162" s="154">
        <v>98</v>
      </c>
      <c r="GX162" s="154">
        <v>67</v>
      </c>
      <c r="GY162" s="279">
        <v>83</v>
      </c>
      <c r="GZ162" s="279">
        <v>42</v>
      </c>
      <c r="HA162" s="155"/>
      <c r="HB162" s="152">
        <v>2</v>
      </c>
      <c r="HC162" s="153">
        <v>3</v>
      </c>
      <c r="HD162" s="153">
        <v>4</v>
      </c>
      <c r="HE162" s="153">
        <v>1</v>
      </c>
      <c r="HF162" s="154"/>
      <c r="HG162" s="154"/>
      <c r="HH162" s="279">
        <v>5</v>
      </c>
      <c r="HI162" s="279"/>
      <c r="HJ162" s="155"/>
      <c r="HK162" s="152">
        <v>3</v>
      </c>
      <c r="HL162" s="153">
        <v>1</v>
      </c>
      <c r="HM162" s="153">
        <v>1</v>
      </c>
      <c r="HN162" s="153"/>
      <c r="HO162" s="154"/>
      <c r="HP162" s="154">
        <v>1</v>
      </c>
      <c r="HQ162" s="279"/>
      <c r="HR162" s="279"/>
      <c r="HS162" s="155"/>
      <c r="HT162" s="152">
        <v>357</v>
      </c>
      <c r="HU162" s="153">
        <v>264</v>
      </c>
      <c r="HV162" s="153">
        <v>272</v>
      </c>
      <c r="HW162" s="153">
        <v>212</v>
      </c>
      <c r="HX162" s="154">
        <v>147</v>
      </c>
      <c r="HY162" s="154">
        <v>118</v>
      </c>
      <c r="HZ162" s="279">
        <v>148</v>
      </c>
      <c r="IA162" s="279">
        <v>93</v>
      </c>
      <c r="IB162" s="155"/>
      <c r="IC162" s="152">
        <v>1451</v>
      </c>
      <c r="ID162" s="153">
        <v>1101</v>
      </c>
      <c r="IE162" s="153">
        <v>1177</v>
      </c>
      <c r="IF162" s="153">
        <v>770</v>
      </c>
      <c r="IG162" s="154">
        <v>852</v>
      </c>
      <c r="IH162" s="154">
        <v>675</v>
      </c>
      <c r="II162" s="279">
        <v>546</v>
      </c>
      <c r="IJ162" s="279">
        <v>382</v>
      </c>
      <c r="IK162" s="155"/>
    </row>
    <row r="163" spans="1:245" x14ac:dyDescent="0.2">
      <c r="A163" s="961"/>
      <c r="B163" s="151" t="s">
        <v>747</v>
      </c>
      <c r="C163" s="152"/>
      <c r="D163" s="153"/>
      <c r="E163" s="153"/>
      <c r="F163" s="153"/>
      <c r="G163" s="154">
        <v>1</v>
      </c>
      <c r="H163" s="154"/>
      <c r="I163" s="279"/>
      <c r="J163" s="279"/>
      <c r="K163" s="155"/>
      <c r="L163" s="152"/>
      <c r="M163" s="153"/>
      <c r="N163" s="153"/>
      <c r="O163" s="153"/>
      <c r="P163" s="154"/>
      <c r="Q163" s="154"/>
      <c r="R163" s="279"/>
      <c r="S163" s="279"/>
      <c r="T163" s="155"/>
      <c r="U163" s="152"/>
      <c r="V163" s="153"/>
      <c r="W163" s="153"/>
      <c r="X163" s="153"/>
      <c r="Y163" s="154">
        <v>1</v>
      </c>
      <c r="Z163" s="154"/>
      <c r="AA163" s="279"/>
      <c r="AB163" s="279"/>
      <c r="AC163" s="155"/>
      <c r="AD163" s="152">
        <v>65</v>
      </c>
      <c r="AE163" s="153">
        <v>83</v>
      </c>
      <c r="AF163" s="153">
        <v>59</v>
      </c>
      <c r="AG163" s="153">
        <v>72</v>
      </c>
      <c r="AH163" s="154">
        <v>64</v>
      </c>
      <c r="AI163" s="154">
        <v>59</v>
      </c>
      <c r="AJ163" s="279">
        <v>17</v>
      </c>
      <c r="AK163" s="279">
        <v>21</v>
      </c>
      <c r="AL163" s="155"/>
      <c r="AM163" s="152">
        <v>11</v>
      </c>
      <c r="AN163" s="153">
        <v>15</v>
      </c>
      <c r="AO163" s="153">
        <v>8</v>
      </c>
      <c r="AP163" s="153">
        <v>20</v>
      </c>
      <c r="AQ163" s="154">
        <v>11</v>
      </c>
      <c r="AR163" s="154">
        <v>14</v>
      </c>
      <c r="AS163" s="279">
        <v>8</v>
      </c>
      <c r="AT163" s="279">
        <v>4</v>
      </c>
      <c r="AU163" s="155"/>
      <c r="AV163" s="152"/>
      <c r="AW163" s="153"/>
      <c r="AX163" s="153"/>
      <c r="AY163" s="153"/>
      <c r="AZ163" s="154"/>
      <c r="BA163" s="154"/>
      <c r="BB163" s="279"/>
      <c r="BC163" s="279"/>
      <c r="BD163" s="155"/>
      <c r="BE163" s="152">
        <v>12</v>
      </c>
      <c r="BF163" s="153">
        <v>12</v>
      </c>
      <c r="BG163" s="153">
        <v>5</v>
      </c>
      <c r="BH163" s="153"/>
      <c r="BI163" s="154">
        <v>7</v>
      </c>
      <c r="BJ163" s="154">
        <v>8</v>
      </c>
      <c r="BK163" s="279">
        <v>1</v>
      </c>
      <c r="BL163" s="279">
        <v>2</v>
      </c>
      <c r="BM163" s="155"/>
      <c r="BN163" s="152"/>
      <c r="BO163" s="153"/>
      <c r="BP163" s="153"/>
      <c r="BQ163" s="153"/>
      <c r="BR163" s="154"/>
      <c r="BS163" s="154"/>
      <c r="BT163" s="279"/>
      <c r="BU163" s="279"/>
      <c r="BV163" s="155"/>
      <c r="BW163" s="152">
        <v>107</v>
      </c>
      <c r="BX163" s="153">
        <v>111</v>
      </c>
      <c r="BY163" s="153">
        <v>74</v>
      </c>
      <c r="BZ163" s="153">
        <v>84</v>
      </c>
      <c r="CA163" s="154">
        <v>78</v>
      </c>
      <c r="CB163" s="154">
        <v>73</v>
      </c>
      <c r="CC163" s="279">
        <v>44</v>
      </c>
      <c r="CD163" s="279">
        <v>30</v>
      </c>
      <c r="CE163" s="155"/>
      <c r="CF163" s="152">
        <v>3</v>
      </c>
      <c r="CG163" s="153">
        <v>7</v>
      </c>
      <c r="CH163" s="153">
        <v>4</v>
      </c>
      <c r="CI163" s="153">
        <v>10</v>
      </c>
      <c r="CJ163" s="154">
        <v>6</v>
      </c>
      <c r="CK163" s="154">
        <v>5</v>
      </c>
      <c r="CL163" s="279"/>
      <c r="CM163" s="279">
        <v>1</v>
      </c>
      <c r="CN163" s="155"/>
      <c r="CO163" s="152"/>
      <c r="CP163" s="153"/>
      <c r="CQ163" s="153"/>
      <c r="CR163" s="153"/>
      <c r="CS163" s="154"/>
      <c r="CT163" s="154"/>
      <c r="CU163" s="279"/>
      <c r="CV163" s="279"/>
      <c r="CW163" s="155"/>
      <c r="CX163" s="152">
        <v>441</v>
      </c>
      <c r="CY163" s="153">
        <v>518</v>
      </c>
      <c r="CZ163" s="153">
        <v>578</v>
      </c>
      <c r="DA163" s="153">
        <v>480</v>
      </c>
      <c r="DB163" s="154">
        <v>368</v>
      </c>
      <c r="DC163" s="154">
        <v>263</v>
      </c>
      <c r="DD163" s="279">
        <v>108</v>
      </c>
      <c r="DE163" s="279">
        <v>68</v>
      </c>
      <c r="DF163" s="155"/>
      <c r="DG163" s="152"/>
      <c r="DH163" s="153">
        <v>1</v>
      </c>
      <c r="DI163" s="153">
        <v>1</v>
      </c>
      <c r="DJ163" s="153"/>
      <c r="DK163" s="154">
        <v>1</v>
      </c>
      <c r="DL163" s="154"/>
      <c r="DM163" s="279"/>
      <c r="DN163" s="279"/>
      <c r="DO163" s="155"/>
      <c r="DP163" s="152">
        <v>9</v>
      </c>
      <c r="DQ163" s="153">
        <v>6</v>
      </c>
      <c r="DR163" s="153">
        <v>7</v>
      </c>
      <c r="DS163" s="153">
        <v>5</v>
      </c>
      <c r="DT163" s="154">
        <v>4</v>
      </c>
      <c r="DU163" s="154">
        <v>2</v>
      </c>
      <c r="DV163" s="279">
        <v>7</v>
      </c>
      <c r="DW163" s="279"/>
      <c r="DX163" s="155"/>
      <c r="DY163" s="152">
        <v>60</v>
      </c>
      <c r="DZ163" s="153">
        <v>63</v>
      </c>
      <c r="EA163" s="153">
        <v>53</v>
      </c>
      <c r="EB163" s="153">
        <v>77</v>
      </c>
      <c r="EC163" s="154">
        <v>69</v>
      </c>
      <c r="ED163" s="154">
        <v>81</v>
      </c>
      <c r="EE163" s="279">
        <v>35</v>
      </c>
      <c r="EF163" s="279">
        <v>20</v>
      </c>
      <c r="EG163" s="155"/>
      <c r="EH163" s="152">
        <v>8</v>
      </c>
      <c r="EI163" s="153">
        <v>9</v>
      </c>
      <c r="EJ163" s="153">
        <v>2</v>
      </c>
      <c r="EK163" s="153">
        <v>3</v>
      </c>
      <c r="EL163" s="154">
        <v>1</v>
      </c>
      <c r="EM163" s="154"/>
      <c r="EN163" s="279">
        <v>2</v>
      </c>
      <c r="EO163" s="279"/>
      <c r="EP163" s="155"/>
      <c r="EQ163" s="152"/>
      <c r="ER163" s="153"/>
      <c r="ES163" s="153"/>
      <c r="ET163" s="153">
        <v>1</v>
      </c>
      <c r="EU163" s="154">
        <v>1</v>
      </c>
      <c r="EV163" s="154"/>
      <c r="EW163" s="279">
        <v>1</v>
      </c>
      <c r="EX163" s="279"/>
      <c r="EY163" s="155"/>
      <c r="EZ163" s="152">
        <v>1</v>
      </c>
      <c r="FA163" s="153">
        <v>2</v>
      </c>
      <c r="FB163" s="153">
        <v>2</v>
      </c>
      <c r="FC163" s="153">
        <v>3</v>
      </c>
      <c r="FD163" s="154">
        <v>4</v>
      </c>
      <c r="FE163" s="154">
        <v>1</v>
      </c>
      <c r="FF163" s="279"/>
      <c r="FG163" s="279"/>
      <c r="FH163" s="155"/>
      <c r="FI163" s="152">
        <v>27</v>
      </c>
      <c r="FJ163" s="153">
        <v>22</v>
      </c>
      <c r="FK163" s="153">
        <v>17</v>
      </c>
      <c r="FL163" s="153">
        <v>13</v>
      </c>
      <c r="FM163" s="154">
        <v>16</v>
      </c>
      <c r="FN163" s="154">
        <v>7</v>
      </c>
      <c r="FO163" s="279">
        <v>7</v>
      </c>
      <c r="FP163" s="279">
        <v>3</v>
      </c>
      <c r="FQ163" s="155"/>
      <c r="FR163" s="152">
        <v>3</v>
      </c>
      <c r="FS163" s="153">
        <v>8</v>
      </c>
      <c r="FT163" s="153">
        <v>2</v>
      </c>
      <c r="FU163" s="153">
        <v>4</v>
      </c>
      <c r="FV163" s="154">
        <v>1</v>
      </c>
      <c r="FW163" s="154"/>
      <c r="FX163" s="279"/>
      <c r="FY163" s="279">
        <v>2</v>
      </c>
      <c r="FZ163" s="155"/>
      <c r="GA163" s="152">
        <v>4</v>
      </c>
      <c r="GB163" s="153">
        <v>2</v>
      </c>
      <c r="GC163" s="153">
        <v>3</v>
      </c>
      <c r="GD163" s="153">
        <v>3</v>
      </c>
      <c r="GE163" s="154">
        <v>1</v>
      </c>
      <c r="GF163" s="154">
        <v>2</v>
      </c>
      <c r="GG163" s="279">
        <v>4</v>
      </c>
      <c r="GH163" s="279"/>
      <c r="GI163" s="155"/>
      <c r="GJ163" s="152">
        <v>671</v>
      </c>
      <c r="GK163" s="153">
        <v>774</v>
      </c>
      <c r="GL163" s="153">
        <v>746</v>
      </c>
      <c r="GM163" s="153">
        <v>673</v>
      </c>
      <c r="GN163" s="154">
        <v>548</v>
      </c>
      <c r="GO163" s="154">
        <v>418</v>
      </c>
      <c r="GP163" s="279">
        <v>184</v>
      </c>
      <c r="GQ163" s="279">
        <v>127</v>
      </c>
      <c r="GR163" s="155"/>
      <c r="GS163" s="152">
        <v>182</v>
      </c>
      <c r="GT163" s="153">
        <v>184</v>
      </c>
      <c r="GU163" s="153">
        <v>184</v>
      </c>
      <c r="GV163" s="153">
        <v>169</v>
      </c>
      <c r="GW163" s="154">
        <v>100</v>
      </c>
      <c r="GX163" s="154">
        <v>59</v>
      </c>
      <c r="GY163" s="279">
        <v>15</v>
      </c>
      <c r="GZ163" s="279">
        <v>17</v>
      </c>
      <c r="HA163" s="155"/>
      <c r="HB163" s="152"/>
      <c r="HC163" s="153"/>
      <c r="HD163" s="153"/>
      <c r="HE163" s="153"/>
      <c r="HF163" s="154"/>
      <c r="HG163" s="154"/>
      <c r="HH163" s="279">
        <v>1</v>
      </c>
      <c r="HI163" s="279"/>
      <c r="HJ163" s="155"/>
      <c r="HK163" s="152"/>
      <c r="HL163" s="153">
        <v>1</v>
      </c>
      <c r="HM163" s="153">
        <v>1</v>
      </c>
      <c r="HN163" s="153"/>
      <c r="HO163" s="154"/>
      <c r="HP163" s="154">
        <v>2</v>
      </c>
      <c r="HQ163" s="279"/>
      <c r="HR163" s="279"/>
      <c r="HS163" s="155"/>
      <c r="HT163" s="152">
        <v>230</v>
      </c>
      <c r="HU163" s="153">
        <v>234</v>
      </c>
      <c r="HV163" s="153">
        <v>210</v>
      </c>
      <c r="HW163" s="153">
        <v>206</v>
      </c>
      <c r="HX163" s="154">
        <v>159</v>
      </c>
      <c r="HY163" s="154">
        <v>108</v>
      </c>
      <c r="HZ163" s="279">
        <v>61</v>
      </c>
      <c r="IA163" s="279">
        <v>41</v>
      </c>
      <c r="IB163" s="155"/>
      <c r="IC163" s="152">
        <v>950</v>
      </c>
      <c r="ID163" s="153">
        <v>1044</v>
      </c>
      <c r="IE163" s="153">
        <v>1026</v>
      </c>
      <c r="IF163" s="153">
        <v>811</v>
      </c>
      <c r="IG163" s="154">
        <v>738</v>
      </c>
      <c r="IH163" s="154">
        <v>605</v>
      </c>
      <c r="II163" s="279">
        <v>294</v>
      </c>
      <c r="IJ163" s="279">
        <v>203</v>
      </c>
      <c r="IK163" s="155"/>
    </row>
    <row r="164" spans="1:245" x14ac:dyDescent="0.2">
      <c r="A164" s="961"/>
      <c r="B164" s="151" t="s">
        <v>748</v>
      </c>
      <c r="C164" s="152"/>
      <c r="D164" s="154"/>
      <c r="E164" s="154"/>
      <c r="F164" s="154"/>
      <c r="G164" s="154"/>
      <c r="H164" s="154"/>
      <c r="I164" s="279"/>
      <c r="J164" s="279"/>
      <c r="K164" s="155"/>
      <c r="L164" s="152"/>
      <c r="M164" s="154"/>
      <c r="N164" s="154"/>
      <c r="O164" s="154"/>
      <c r="P164" s="154"/>
      <c r="Q164" s="154"/>
      <c r="R164" s="279"/>
      <c r="S164" s="279"/>
      <c r="T164" s="155"/>
      <c r="U164" s="152"/>
      <c r="V164" s="154"/>
      <c r="W164" s="154"/>
      <c r="X164" s="154"/>
      <c r="Y164" s="154"/>
      <c r="Z164" s="154"/>
      <c r="AA164" s="279"/>
      <c r="AB164" s="279"/>
      <c r="AC164" s="155"/>
      <c r="AD164" s="152">
        <v>67</v>
      </c>
      <c r="AE164" s="154">
        <v>43</v>
      </c>
      <c r="AF164" s="154">
        <v>43</v>
      </c>
      <c r="AG164" s="154">
        <v>72</v>
      </c>
      <c r="AH164" s="154">
        <v>91</v>
      </c>
      <c r="AI164" s="154">
        <v>77</v>
      </c>
      <c r="AJ164" s="279">
        <v>73</v>
      </c>
      <c r="AK164" s="279">
        <v>58</v>
      </c>
      <c r="AL164" s="155"/>
      <c r="AM164" s="152">
        <v>28</v>
      </c>
      <c r="AN164" s="154">
        <v>12</v>
      </c>
      <c r="AO164" s="154">
        <v>18</v>
      </c>
      <c r="AP164" s="154">
        <v>9</v>
      </c>
      <c r="AQ164" s="154">
        <v>21</v>
      </c>
      <c r="AR164" s="154">
        <v>17</v>
      </c>
      <c r="AS164" s="279">
        <v>13</v>
      </c>
      <c r="AT164" s="279">
        <v>9</v>
      </c>
      <c r="AU164" s="155"/>
      <c r="AV164" s="152"/>
      <c r="AW164" s="154"/>
      <c r="AX164" s="154"/>
      <c r="AY164" s="154"/>
      <c r="AZ164" s="154"/>
      <c r="BA164" s="154"/>
      <c r="BB164" s="279"/>
      <c r="BC164" s="279"/>
      <c r="BD164" s="155"/>
      <c r="BE164" s="152">
        <v>22</v>
      </c>
      <c r="BF164" s="154">
        <v>27</v>
      </c>
      <c r="BG164" s="154">
        <v>33</v>
      </c>
      <c r="BH164" s="154">
        <v>10</v>
      </c>
      <c r="BI164" s="154">
        <v>21</v>
      </c>
      <c r="BJ164" s="154">
        <v>31</v>
      </c>
      <c r="BK164" s="279">
        <v>14</v>
      </c>
      <c r="BL164" s="279">
        <v>18</v>
      </c>
      <c r="BM164" s="155"/>
      <c r="BN164" s="152"/>
      <c r="BO164" s="154"/>
      <c r="BP164" s="154"/>
      <c r="BQ164" s="154"/>
      <c r="BR164" s="154"/>
      <c r="BS164" s="154"/>
      <c r="BT164" s="279"/>
      <c r="BU164" s="279"/>
      <c r="BV164" s="155"/>
      <c r="BW164" s="152">
        <v>63</v>
      </c>
      <c r="BX164" s="154">
        <v>54</v>
      </c>
      <c r="BY164" s="154">
        <v>50</v>
      </c>
      <c r="BZ164" s="154">
        <v>79</v>
      </c>
      <c r="CA164" s="154">
        <v>82</v>
      </c>
      <c r="CB164" s="154">
        <v>62</v>
      </c>
      <c r="CC164" s="279">
        <v>67</v>
      </c>
      <c r="CD164" s="279">
        <v>45</v>
      </c>
      <c r="CE164" s="155"/>
      <c r="CF164" s="152">
        <v>1</v>
      </c>
      <c r="CG164" s="154">
        <v>3</v>
      </c>
      <c r="CH164" s="154"/>
      <c r="CI164" s="154">
        <v>5</v>
      </c>
      <c r="CJ164" s="154">
        <v>2</v>
      </c>
      <c r="CK164" s="154">
        <v>6</v>
      </c>
      <c r="CL164" s="279">
        <v>1</v>
      </c>
      <c r="CM164" s="279"/>
      <c r="CN164" s="155"/>
      <c r="CO164" s="152"/>
      <c r="CP164" s="154">
        <v>1</v>
      </c>
      <c r="CQ164" s="154"/>
      <c r="CR164" s="154"/>
      <c r="CS164" s="154"/>
      <c r="CT164" s="154">
        <v>2</v>
      </c>
      <c r="CU164" s="279">
        <v>1</v>
      </c>
      <c r="CV164" s="279">
        <v>3</v>
      </c>
      <c r="CW164" s="155"/>
      <c r="CX164" s="152">
        <v>730</v>
      </c>
      <c r="CY164" s="154">
        <v>775</v>
      </c>
      <c r="CZ164" s="154">
        <v>934</v>
      </c>
      <c r="DA164" s="154">
        <v>774</v>
      </c>
      <c r="DB164" s="154">
        <v>700</v>
      </c>
      <c r="DC164" s="154">
        <v>456</v>
      </c>
      <c r="DD164" s="279">
        <v>341</v>
      </c>
      <c r="DE164" s="279">
        <v>270</v>
      </c>
      <c r="DF164" s="155"/>
      <c r="DG164" s="152"/>
      <c r="DH164" s="154"/>
      <c r="DI164" s="154">
        <v>1</v>
      </c>
      <c r="DJ164" s="154"/>
      <c r="DK164" s="154">
        <v>12</v>
      </c>
      <c r="DL164" s="154"/>
      <c r="DM164" s="279">
        <v>3</v>
      </c>
      <c r="DN164" s="279"/>
      <c r="DO164" s="155"/>
      <c r="DP164" s="152">
        <v>14</v>
      </c>
      <c r="DQ164" s="154">
        <v>4</v>
      </c>
      <c r="DR164" s="154">
        <v>16</v>
      </c>
      <c r="DS164" s="154">
        <v>5</v>
      </c>
      <c r="DT164" s="154">
        <v>7</v>
      </c>
      <c r="DU164" s="154">
        <v>4</v>
      </c>
      <c r="DV164" s="279">
        <v>3</v>
      </c>
      <c r="DW164" s="279"/>
      <c r="DX164" s="155"/>
      <c r="DY164" s="152">
        <v>114</v>
      </c>
      <c r="DZ164" s="154">
        <v>120</v>
      </c>
      <c r="EA164" s="154">
        <v>87</v>
      </c>
      <c r="EB164" s="154">
        <v>108</v>
      </c>
      <c r="EC164" s="154">
        <v>122</v>
      </c>
      <c r="ED164" s="154">
        <v>102</v>
      </c>
      <c r="EE164" s="279">
        <v>65</v>
      </c>
      <c r="EF164" s="279">
        <v>56</v>
      </c>
      <c r="EG164" s="155"/>
      <c r="EH164" s="152">
        <v>10</v>
      </c>
      <c r="EI164" s="154">
        <v>6</v>
      </c>
      <c r="EJ164" s="154">
        <v>9</v>
      </c>
      <c r="EK164" s="154">
        <v>8</v>
      </c>
      <c r="EL164" s="154">
        <v>11</v>
      </c>
      <c r="EM164" s="154">
        <v>8</v>
      </c>
      <c r="EN164" s="279">
        <v>7</v>
      </c>
      <c r="EO164" s="279">
        <v>2</v>
      </c>
      <c r="EP164" s="155"/>
      <c r="EQ164" s="152">
        <v>1</v>
      </c>
      <c r="ER164" s="154">
        <v>3</v>
      </c>
      <c r="ES164" s="154">
        <v>2</v>
      </c>
      <c r="ET164" s="154">
        <v>1</v>
      </c>
      <c r="EU164" s="154">
        <v>5</v>
      </c>
      <c r="EV164" s="154">
        <v>2</v>
      </c>
      <c r="EW164" s="279">
        <v>1</v>
      </c>
      <c r="EX164" s="279">
        <v>3</v>
      </c>
      <c r="EY164" s="155"/>
      <c r="EZ164" s="152">
        <v>2</v>
      </c>
      <c r="FA164" s="154">
        <v>2</v>
      </c>
      <c r="FB164" s="154">
        <v>4</v>
      </c>
      <c r="FC164" s="154">
        <v>5</v>
      </c>
      <c r="FD164" s="154">
        <v>1</v>
      </c>
      <c r="FE164" s="154">
        <v>4</v>
      </c>
      <c r="FF164" s="279"/>
      <c r="FG164" s="279"/>
      <c r="FH164" s="155"/>
      <c r="FI164" s="152">
        <v>46</v>
      </c>
      <c r="FJ164" s="154">
        <v>33</v>
      </c>
      <c r="FK164" s="154">
        <v>32</v>
      </c>
      <c r="FL164" s="154">
        <v>21</v>
      </c>
      <c r="FM164" s="154">
        <v>10</v>
      </c>
      <c r="FN164" s="154">
        <v>12</v>
      </c>
      <c r="FO164" s="279">
        <v>10</v>
      </c>
      <c r="FP164" s="279">
        <v>11</v>
      </c>
      <c r="FQ164" s="155"/>
      <c r="FR164" s="152">
        <v>4</v>
      </c>
      <c r="FS164" s="154">
        <v>10</v>
      </c>
      <c r="FT164" s="154">
        <v>3</v>
      </c>
      <c r="FU164" s="154">
        <v>8</v>
      </c>
      <c r="FV164" s="154">
        <v>4</v>
      </c>
      <c r="FW164" s="154">
        <v>5</v>
      </c>
      <c r="FX164" s="279">
        <v>1</v>
      </c>
      <c r="FY164" s="279">
        <v>1</v>
      </c>
      <c r="FZ164" s="155"/>
      <c r="GA164" s="152"/>
      <c r="GB164" s="154">
        <v>6</v>
      </c>
      <c r="GC164" s="154">
        <v>1</v>
      </c>
      <c r="GD164" s="154">
        <v>5</v>
      </c>
      <c r="GE164" s="154">
        <v>4</v>
      </c>
      <c r="GF164" s="154">
        <v>5</v>
      </c>
      <c r="GG164" s="279">
        <v>6</v>
      </c>
      <c r="GH164" s="279">
        <v>5</v>
      </c>
      <c r="GI164" s="155"/>
      <c r="GJ164" s="152">
        <v>946</v>
      </c>
      <c r="GK164" s="154">
        <v>963</v>
      </c>
      <c r="GL164" s="154">
        <v>1111</v>
      </c>
      <c r="GM164" s="154">
        <v>988</v>
      </c>
      <c r="GN164" s="154">
        <v>931</v>
      </c>
      <c r="GO164" s="154">
        <v>670</v>
      </c>
      <c r="GP164" s="279">
        <v>522</v>
      </c>
      <c r="GQ164" s="279">
        <v>416</v>
      </c>
      <c r="GR164" s="155"/>
      <c r="GS164" s="152">
        <v>259</v>
      </c>
      <c r="GT164" s="154">
        <v>260</v>
      </c>
      <c r="GU164" s="154">
        <v>290</v>
      </c>
      <c r="GV164" s="154">
        <v>227</v>
      </c>
      <c r="GW164" s="154">
        <v>180</v>
      </c>
      <c r="GX164" s="154">
        <v>119</v>
      </c>
      <c r="GY164" s="279">
        <v>172</v>
      </c>
      <c r="GZ164" s="279">
        <v>149</v>
      </c>
      <c r="HA164" s="155"/>
      <c r="HB164" s="152">
        <v>5</v>
      </c>
      <c r="HC164" s="154">
        <v>9</v>
      </c>
      <c r="HD164" s="154">
        <v>2</v>
      </c>
      <c r="HE164" s="154">
        <v>3</v>
      </c>
      <c r="HF164" s="154"/>
      <c r="HG164" s="154">
        <v>3</v>
      </c>
      <c r="HH164" s="279">
        <v>2</v>
      </c>
      <c r="HI164" s="279"/>
      <c r="HJ164" s="155"/>
      <c r="HK164" s="152">
        <v>4</v>
      </c>
      <c r="HL164" s="154">
        <v>2</v>
      </c>
      <c r="HM164" s="154"/>
      <c r="HN164" s="154">
        <v>1</v>
      </c>
      <c r="HO164" s="154"/>
      <c r="HP164" s="154">
        <v>1</v>
      </c>
      <c r="HQ164" s="279">
        <v>1</v>
      </c>
      <c r="HR164" s="279"/>
      <c r="HS164" s="155"/>
      <c r="HT164" s="152">
        <v>357</v>
      </c>
      <c r="HU164" s="154">
        <v>356</v>
      </c>
      <c r="HV164" s="154">
        <v>369</v>
      </c>
      <c r="HW164" s="154">
        <v>302</v>
      </c>
      <c r="HX164" s="154">
        <v>274</v>
      </c>
      <c r="HY164" s="154">
        <v>236</v>
      </c>
      <c r="HZ164" s="279">
        <v>274</v>
      </c>
      <c r="IA164" s="279">
        <v>255</v>
      </c>
      <c r="IB164" s="155"/>
      <c r="IC164" s="152">
        <v>1414</v>
      </c>
      <c r="ID164" s="154">
        <v>1565</v>
      </c>
      <c r="IE164" s="154">
        <v>1730</v>
      </c>
      <c r="IF164" s="154">
        <v>1247</v>
      </c>
      <c r="IG164" s="154">
        <v>1211</v>
      </c>
      <c r="IH164" s="154">
        <v>1169</v>
      </c>
      <c r="II164" s="279">
        <v>909</v>
      </c>
      <c r="IJ164" s="279">
        <v>664</v>
      </c>
      <c r="IK164" s="155"/>
    </row>
    <row r="165" spans="1:245" ht="13.5" thickBot="1" x14ac:dyDescent="0.25">
      <c r="A165" s="961"/>
      <c r="B165" s="156" t="s">
        <v>749</v>
      </c>
      <c r="C165" s="157"/>
      <c r="D165" s="158"/>
      <c r="E165" s="158"/>
      <c r="F165" s="158"/>
      <c r="G165" s="158"/>
      <c r="H165" s="158"/>
      <c r="I165" s="280"/>
      <c r="J165" s="280"/>
      <c r="K165" s="159"/>
      <c r="L165" s="157"/>
      <c r="M165" s="158"/>
      <c r="N165" s="158"/>
      <c r="O165" s="158"/>
      <c r="P165" s="158"/>
      <c r="Q165" s="158"/>
      <c r="R165" s="280"/>
      <c r="S165" s="280"/>
      <c r="T165" s="159"/>
      <c r="U165" s="157"/>
      <c r="V165" s="158"/>
      <c r="W165" s="158"/>
      <c r="X165" s="158"/>
      <c r="Y165" s="158"/>
      <c r="Z165" s="158"/>
      <c r="AA165" s="280"/>
      <c r="AB165" s="280"/>
      <c r="AC165" s="159"/>
      <c r="AD165" s="157"/>
      <c r="AE165" s="158"/>
      <c r="AF165" s="158"/>
      <c r="AG165" s="158"/>
      <c r="AH165" s="158"/>
      <c r="AI165" s="158"/>
      <c r="AJ165" s="280"/>
      <c r="AK165" s="280"/>
      <c r="AL165" s="159"/>
      <c r="AM165" s="157"/>
      <c r="AN165" s="158"/>
      <c r="AO165" s="158"/>
      <c r="AP165" s="158"/>
      <c r="AQ165" s="158"/>
      <c r="AR165" s="158"/>
      <c r="AS165" s="280"/>
      <c r="AT165" s="280"/>
      <c r="AU165" s="159"/>
      <c r="AV165" s="157"/>
      <c r="AW165" s="158"/>
      <c r="AX165" s="158"/>
      <c r="AY165" s="158"/>
      <c r="AZ165" s="158"/>
      <c r="BA165" s="158"/>
      <c r="BB165" s="280"/>
      <c r="BC165" s="280"/>
      <c r="BD165" s="159"/>
      <c r="BE165" s="157">
        <v>1</v>
      </c>
      <c r="BF165" s="158"/>
      <c r="BG165" s="158">
        <v>3</v>
      </c>
      <c r="BH165" s="158"/>
      <c r="BI165" s="158">
        <v>3</v>
      </c>
      <c r="BJ165" s="158">
        <v>2</v>
      </c>
      <c r="BK165" s="280"/>
      <c r="BL165" s="280">
        <v>2</v>
      </c>
      <c r="BM165" s="159"/>
      <c r="BN165" s="157"/>
      <c r="BO165" s="158"/>
      <c r="BP165" s="158"/>
      <c r="BQ165" s="158"/>
      <c r="BR165" s="158"/>
      <c r="BS165" s="158"/>
      <c r="BT165" s="280"/>
      <c r="BU165" s="280"/>
      <c r="BV165" s="159"/>
      <c r="BW165" s="157">
        <v>7</v>
      </c>
      <c r="BX165" s="158"/>
      <c r="BY165" s="158">
        <v>1</v>
      </c>
      <c r="BZ165" s="158"/>
      <c r="CA165" s="158"/>
      <c r="CB165" s="158"/>
      <c r="CC165" s="280"/>
      <c r="CD165" s="280"/>
      <c r="CE165" s="159"/>
      <c r="CF165" s="157"/>
      <c r="CG165" s="158"/>
      <c r="CH165" s="158"/>
      <c r="CI165" s="158"/>
      <c r="CJ165" s="158"/>
      <c r="CK165" s="158"/>
      <c r="CL165" s="280"/>
      <c r="CM165" s="280"/>
      <c r="CN165" s="159"/>
      <c r="CO165" s="157"/>
      <c r="CP165" s="158"/>
      <c r="CQ165" s="158"/>
      <c r="CR165" s="158"/>
      <c r="CS165" s="158"/>
      <c r="CT165" s="158"/>
      <c r="CU165" s="280"/>
      <c r="CV165" s="280"/>
      <c r="CW165" s="159"/>
      <c r="CX165" s="157">
        <v>33</v>
      </c>
      <c r="CY165" s="158">
        <v>80</v>
      </c>
      <c r="CZ165" s="158">
        <v>35</v>
      </c>
      <c r="DA165" s="158">
        <v>20</v>
      </c>
      <c r="DB165" s="158">
        <v>45</v>
      </c>
      <c r="DC165" s="158">
        <v>26</v>
      </c>
      <c r="DD165" s="280">
        <v>36</v>
      </c>
      <c r="DE165" s="280">
        <v>26</v>
      </c>
      <c r="DF165" s="159"/>
      <c r="DG165" s="157"/>
      <c r="DH165" s="158"/>
      <c r="DI165" s="158"/>
      <c r="DJ165" s="158"/>
      <c r="DK165" s="158"/>
      <c r="DL165" s="158"/>
      <c r="DM165" s="280"/>
      <c r="DN165" s="280"/>
      <c r="DO165" s="159"/>
      <c r="DP165" s="157"/>
      <c r="DQ165" s="158"/>
      <c r="DR165" s="158"/>
      <c r="DS165" s="158"/>
      <c r="DT165" s="158"/>
      <c r="DU165" s="158"/>
      <c r="DV165" s="280"/>
      <c r="DW165" s="280"/>
      <c r="DX165" s="159"/>
      <c r="DY165" s="157"/>
      <c r="DZ165" s="158"/>
      <c r="EA165" s="158"/>
      <c r="EB165" s="158"/>
      <c r="EC165" s="158"/>
      <c r="ED165" s="158"/>
      <c r="EE165" s="280"/>
      <c r="EF165" s="280"/>
      <c r="EG165" s="159"/>
      <c r="EH165" s="157"/>
      <c r="EI165" s="158"/>
      <c r="EJ165" s="158"/>
      <c r="EK165" s="158"/>
      <c r="EL165" s="158"/>
      <c r="EM165" s="158"/>
      <c r="EN165" s="280"/>
      <c r="EO165" s="280"/>
      <c r="EP165" s="159"/>
      <c r="EQ165" s="157"/>
      <c r="ER165" s="158"/>
      <c r="ES165" s="158"/>
      <c r="ET165" s="158"/>
      <c r="EU165" s="158"/>
      <c r="EV165" s="158"/>
      <c r="EW165" s="280"/>
      <c r="EX165" s="280"/>
      <c r="EY165" s="159"/>
      <c r="EZ165" s="157">
        <v>2</v>
      </c>
      <c r="FA165" s="158"/>
      <c r="FB165" s="158"/>
      <c r="FC165" s="158"/>
      <c r="FD165" s="158"/>
      <c r="FE165" s="158"/>
      <c r="FF165" s="280"/>
      <c r="FG165" s="280"/>
      <c r="FH165" s="159"/>
      <c r="FI165" s="157"/>
      <c r="FJ165" s="158">
        <v>1</v>
      </c>
      <c r="FK165" s="158">
        <v>1</v>
      </c>
      <c r="FL165" s="158">
        <v>2</v>
      </c>
      <c r="FM165" s="158">
        <v>1</v>
      </c>
      <c r="FN165" s="158">
        <v>3</v>
      </c>
      <c r="FO165" s="280">
        <v>5</v>
      </c>
      <c r="FP165" s="280"/>
      <c r="FQ165" s="159"/>
      <c r="FR165" s="157"/>
      <c r="FS165" s="158">
        <v>1</v>
      </c>
      <c r="FT165" s="158">
        <v>2</v>
      </c>
      <c r="FU165" s="158">
        <v>1</v>
      </c>
      <c r="FV165" s="158"/>
      <c r="FW165" s="158">
        <v>1</v>
      </c>
      <c r="FX165" s="280">
        <v>1</v>
      </c>
      <c r="FY165" s="280">
        <v>1</v>
      </c>
      <c r="FZ165" s="159"/>
      <c r="GA165" s="157">
        <v>3</v>
      </c>
      <c r="GB165" s="158"/>
      <c r="GC165" s="158">
        <v>2</v>
      </c>
      <c r="GD165" s="158">
        <v>1</v>
      </c>
      <c r="GE165" s="158"/>
      <c r="GF165" s="158"/>
      <c r="GG165" s="280">
        <v>1</v>
      </c>
      <c r="GH165" s="280"/>
      <c r="GI165" s="159"/>
      <c r="GJ165" s="157">
        <v>46</v>
      </c>
      <c r="GK165" s="158">
        <v>82</v>
      </c>
      <c r="GL165" s="158">
        <v>44</v>
      </c>
      <c r="GM165" s="158">
        <v>24</v>
      </c>
      <c r="GN165" s="158">
        <v>49</v>
      </c>
      <c r="GO165" s="158">
        <v>32</v>
      </c>
      <c r="GP165" s="280">
        <v>43</v>
      </c>
      <c r="GQ165" s="280">
        <v>29</v>
      </c>
      <c r="GR165" s="159"/>
      <c r="GS165" s="157">
        <v>34</v>
      </c>
      <c r="GT165" s="158">
        <v>68</v>
      </c>
      <c r="GU165" s="158">
        <v>34</v>
      </c>
      <c r="GV165" s="158">
        <v>13</v>
      </c>
      <c r="GW165" s="158">
        <v>15</v>
      </c>
      <c r="GX165" s="158">
        <v>4</v>
      </c>
      <c r="GY165" s="280">
        <v>10</v>
      </c>
      <c r="GZ165" s="280">
        <v>15</v>
      </c>
      <c r="HA165" s="159"/>
      <c r="HB165" s="157">
        <v>1</v>
      </c>
      <c r="HC165" s="158"/>
      <c r="HD165" s="158"/>
      <c r="HE165" s="158"/>
      <c r="HF165" s="158"/>
      <c r="HG165" s="158"/>
      <c r="HH165" s="280"/>
      <c r="HI165" s="280"/>
      <c r="HJ165" s="159"/>
      <c r="HK165" s="157"/>
      <c r="HL165" s="158"/>
      <c r="HM165" s="158"/>
      <c r="HN165" s="158"/>
      <c r="HO165" s="158"/>
      <c r="HP165" s="158"/>
      <c r="HQ165" s="280"/>
      <c r="HR165" s="280"/>
      <c r="HS165" s="159"/>
      <c r="HT165" s="157">
        <v>63</v>
      </c>
      <c r="HU165" s="158">
        <v>95</v>
      </c>
      <c r="HV165" s="158">
        <v>67</v>
      </c>
      <c r="HW165" s="158">
        <v>41</v>
      </c>
      <c r="HX165" s="158">
        <v>29</v>
      </c>
      <c r="HY165" s="158">
        <v>20</v>
      </c>
      <c r="HZ165" s="280">
        <v>36</v>
      </c>
      <c r="IA165" s="280">
        <v>33</v>
      </c>
      <c r="IB165" s="159"/>
      <c r="IC165" s="157">
        <v>107</v>
      </c>
      <c r="ID165" s="158">
        <v>130</v>
      </c>
      <c r="IE165" s="158">
        <v>95</v>
      </c>
      <c r="IF165" s="158">
        <v>83</v>
      </c>
      <c r="IG165" s="158">
        <v>130</v>
      </c>
      <c r="IH165" s="158">
        <v>88</v>
      </c>
      <c r="II165" s="280">
        <v>113</v>
      </c>
      <c r="IJ165" s="280">
        <v>96</v>
      </c>
      <c r="IK165" s="159"/>
    </row>
    <row r="166" spans="1:245" ht="26.25" thickBot="1" x14ac:dyDescent="0.25">
      <c r="A166" s="962"/>
      <c r="B166" s="277" t="s">
        <v>791</v>
      </c>
      <c r="C166" s="193">
        <v>13</v>
      </c>
      <c r="D166" s="194">
        <v>20</v>
      </c>
      <c r="E166" s="194">
        <v>7</v>
      </c>
      <c r="F166" s="194">
        <v>13</v>
      </c>
      <c r="G166" s="194">
        <v>14</v>
      </c>
      <c r="H166" s="194">
        <v>9</v>
      </c>
      <c r="I166" s="194">
        <v>4</v>
      </c>
      <c r="J166" s="194">
        <v>9</v>
      </c>
      <c r="K166" s="195"/>
      <c r="L166" s="193">
        <v>4</v>
      </c>
      <c r="M166" s="194">
        <v>8</v>
      </c>
      <c r="N166" s="194">
        <v>4</v>
      </c>
      <c r="O166" s="194">
        <v>6</v>
      </c>
      <c r="P166" s="194">
        <v>8</v>
      </c>
      <c r="Q166" s="194">
        <v>2</v>
      </c>
      <c r="R166" s="194">
        <v>3</v>
      </c>
      <c r="S166" s="194">
        <v>6</v>
      </c>
      <c r="T166" s="195"/>
      <c r="U166" s="193">
        <v>8</v>
      </c>
      <c r="V166" s="194">
        <v>10</v>
      </c>
      <c r="W166" s="194">
        <v>1</v>
      </c>
      <c r="X166" s="194">
        <v>6</v>
      </c>
      <c r="Y166" s="194">
        <v>5</v>
      </c>
      <c r="Z166" s="194">
        <v>7</v>
      </c>
      <c r="AA166" s="194">
        <v>1</v>
      </c>
      <c r="AB166" s="194">
        <v>2</v>
      </c>
      <c r="AC166" s="195"/>
      <c r="AD166" s="193">
        <v>613</v>
      </c>
      <c r="AE166" s="194">
        <v>600</v>
      </c>
      <c r="AF166" s="194">
        <v>546</v>
      </c>
      <c r="AG166" s="194">
        <v>556</v>
      </c>
      <c r="AH166" s="194">
        <v>540</v>
      </c>
      <c r="AI166" s="194">
        <v>580</v>
      </c>
      <c r="AJ166" s="194">
        <v>456</v>
      </c>
      <c r="AK166" s="194">
        <v>377</v>
      </c>
      <c r="AL166" s="195"/>
      <c r="AM166" s="193">
        <v>218</v>
      </c>
      <c r="AN166" s="194">
        <v>176</v>
      </c>
      <c r="AO166" s="194">
        <v>176</v>
      </c>
      <c r="AP166" s="194">
        <v>160</v>
      </c>
      <c r="AQ166" s="194">
        <v>149</v>
      </c>
      <c r="AR166" s="194">
        <v>173</v>
      </c>
      <c r="AS166" s="194">
        <v>138</v>
      </c>
      <c r="AT166" s="194">
        <v>130</v>
      </c>
      <c r="AU166" s="195"/>
      <c r="AV166" s="193">
        <v>3</v>
      </c>
      <c r="AW166" s="194">
        <v>1</v>
      </c>
      <c r="AX166" s="194">
        <v>4</v>
      </c>
      <c r="AY166" s="194"/>
      <c r="AZ166" s="194"/>
      <c r="BA166" s="194">
        <v>1</v>
      </c>
      <c r="BB166" s="194">
        <v>1</v>
      </c>
      <c r="BC166" s="194">
        <v>1</v>
      </c>
      <c r="BD166" s="195"/>
      <c r="BE166" s="193">
        <v>114</v>
      </c>
      <c r="BF166" s="194">
        <v>176</v>
      </c>
      <c r="BG166" s="194">
        <v>131</v>
      </c>
      <c r="BH166" s="194">
        <v>86</v>
      </c>
      <c r="BI166" s="194">
        <v>122</v>
      </c>
      <c r="BJ166" s="194">
        <v>172</v>
      </c>
      <c r="BK166" s="194">
        <v>103</v>
      </c>
      <c r="BL166" s="194">
        <v>74</v>
      </c>
      <c r="BM166" s="195"/>
      <c r="BN166" s="193"/>
      <c r="BO166" s="194"/>
      <c r="BP166" s="194"/>
      <c r="BQ166" s="194"/>
      <c r="BR166" s="194"/>
      <c r="BS166" s="194">
        <v>1</v>
      </c>
      <c r="BT166" s="194"/>
      <c r="BU166" s="194"/>
      <c r="BV166" s="195"/>
      <c r="BW166" s="193">
        <v>927</v>
      </c>
      <c r="BX166" s="194">
        <v>894</v>
      </c>
      <c r="BY166" s="194">
        <v>903</v>
      </c>
      <c r="BZ166" s="194">
        <v>872</v>
      </c>
      <c r="CA166" s="194">
        <v>882</v>
      </c>
      <c r="CB166" s="194">
        <v>883</v>
      </c>
      <c r="CC166" s="194">
        <v>837</v>
      </c>
      <c r="CD166" s="194">
        <v>525</v>
      </c>
      <c r="CE166" s="195"/>
      <c r="CF166" s="193">
        <v>31</v>
      </c>
      <c r="CG166" s="194">
        <v>33</v>
      </c>
      <c r="CH166" s="194">
        <v>27</v>
      </c>
      <c r="CI166" s="194">
        <v>35</v>
      </c>
      <c r="CJ166" s="194">
        <v>32</v>
      </c>
      <c r="CK166" s="194">
        <v>30</v>
      </c>
      <c r="CL166" s="194">
        <v>11</v>
      </c>
      <c r="CM166" s="194">
        <v>15</v>
      </c>
      <c r="CN166" s="195"/>
      <c r="CO166" s="193">
        <v>42</v>
      </c>
      <c r="CP166" s="194">
        <v>34</v>
      </c>
      <c r="CQ166" s="194">
        <v>12</v>
      </c>
      <c r="CR166" s="194">
        <v>11</v>
      </c>
      <c r="CS166" s="194">
        <v>7</v>
      </c>
      <c r="CT166" s="194">
        <v>6</v>
      </c>
      <c r="CU166" s="194">
        <v>11</v>
      </c>
      <c r="CV166" s="194">
        <v>16</v>
      </c>
      <c r="CW166" s="195"/>
      <c r="CX166" s="193">
        <v>8470</v>
      </c>
      <c r="CY166" s="194">
        <v>8370</v>
      </c>
      <c r="CZ166" s="194">
        <v>9954</v>
      </c>
      <c r="DA166" s="194">
        <v>8053</v>
      </c>
      <c r="DB166" s="194">
        <v>6418</v>
      </c>
      <c r="DC166" s="194">
        <v>5419</v>
      </c>
      <c r="DD166" s="194">
        <v>4447</v>
      </c>
      <c r="DE166" s="194">
        <v>3131</v>
      </c>
      <c r="DF166" s="195"/>
      <c r="DG166" s="193">
        <v>61</v>
      </c>
      <c r="DH166" s="194">
        <v>39</v>
      </c>
      <c r="DI166" s="194">
        <v>73</v>
      </c>
      <c r="DJ166" s="194">
        <v>28</v>
      </c>
      <c r="DK166" s="194">
        <v>29</v>
      </c>
      <c r="DL166" s="194">
        <v>11</v>
      </c>
      <c r="DM166" s="194">
        <v>16</v>
      </c>
      <c r="DN166" s="194">
        <v>10</v>
      </c>
      <c r="DO166" s="195"/>
      <c r="DP166" s="193">
        <v>345</v>
      </c>
      <c r="DQ166" s="194">
        <v>185</v>
      </c>
      <c r="DR166" s="194">
        <v>239</v>
      </c>
      <c r="DS166" s="194">
        <v>157</v>
      </c>
      <c r="DT166" s="194">
        <v>105</v>
      </c>
      <c r="DU166" s="194">
        <v>101</v>
      </c>
      <c r="DV166" s="194">
        <v>98</v>
      </c>
      <c r="DW166" s="194">
        <v>67</v>
      </c>
      <c r="DX166" s="195"/>
      <c r="DY166" s="193">
        <v>1130</v>
      </c>
      <c r="DZ166" s="194">
        <v>1148</v>
      </c>
      <c r="EA166" s="194">
        <v>1274</v>
      </c>
      <c r="EB166" s="194">
        <v>1231</v>
      </c>
      <c r="EC166" s="194">
        <v>1128</v>
      </c>
      <c r="ED166" s="194">
        <v>1222</v>
      </c>
      <c r="EE166" s="194">
        <v>1302</v>
      </c>
      <c r="EF166" s="194">
        <v>727</v>
      </c>
      <c r="EG166" s="195"/>
      <c r="EH166" s="193">
        <v>92</v>
      </c>
      <c r="EI166" s="194">
        <v>84</v>
      </c>
      <c r="EJ166" s="194">
        <v>89</v>
      </c>
      <c r="EK166" s="194">
        <v>80</v>
      </c>
      <c r="EL166" s="194">
        <v>64</v>
      </c>
      <c r="EM166" s="194">
        <v>49</v>
      </c>
      <c r="EN166" s="194">
        <v>50</v>
      </c>
      <c r="EO166" s="194">
        <v>38</v>
      </c>
      <c r="EP166" s="195"/>
      <c r="EQ166" s="193">
        <v>11</v>
      </c>
      <c r="ER166" s="194">
        <v>25</v>
      </c>
      <c r="ES166" s="194">
        <v>50</v>
      </c>
      <c r="ET166" s="194">
        <v>40</v>
      </c>
      <c r="EU166" s="194">
        <v>35</v>
      </c>
      <c r="EV166" s="194">
        <v>29</v>
      </c>
      <c r="EW166" s="194">
        <v>37</v>
      </c>
      <c r="EX166" s="194">
        <v>34</v>
      </c>
      <c r="EY166" s="195"/>
      <c r="EZ166" s="193">
        <v>41</v>
      </c>
      <c r="FA166" s="194">
        <v>33</v>
      </c>
      <c r="FB166" s="194">
        <v>45</v>
      </c>
      <c r="FC166" s="194">
        <v>62</v>
      </c>
      <c r="FD166" s="194">
        <v>22</v>
      </c>
      <c r="FE166" s="194">
        <v>22</v>
      </c>
      <c r="FF166" s="194">
        <v>12</v>
      </c>
      <c r="FG166" s="194">
        <v>9</v>
      </c>
      <c r="FH166" s="195"/>
      <c r="FI166" s="193">
        <v>491</v>
      </c>
      <c r="FJ166" s="194">
        <v>488</v>
      </c>
      <c r="FK166" s="194">
        <v>374</v>
      </c>
      <c r="FL166" s="194">
        <v>223</v>
      </c>
      <c r="FM166" s="194">
        <v>239</v>
      </c>
      <c r="FN166" s="194">
        <v>245</v>
      </c>
      <c r="FO166" s="194">
        <v>188</v>
      </c>
      <c r="FP166" s="194">
        <v>143</v>
      </c>
      <c r="FQ166" s="195"/>
      <c r="FR166" s="193">
        <v>31</v>
      </c>
      <c r="FS166" s="194">
        <v>58</v>
      </c>
      <c r="FT166" s="194">
        <v>31</v>
      </c>
      <c r="FU166" s="194">
        <v>37</v>
      </c>
      <c r="FV166" s="194">
        <v>34</v>
      </c>
      <c r="FW166" s="194">
        <v>48</v>
      </c>
      <c r="FX166" s="194">
        <v>27</v>
      </c>
      <c r="FY166" s="194">
        <v>10</v>
      </c>
      <c r="FZ166" s="195"/>
      <c r="GA166" s="193">
        <v>50</v>
      </c>
      <c r="GB166" s="194">
        <v>35</v>
      </c>
      <c r="GC166" s="194">
        <v>39</v>
      </c>
      <c r="GD166" s="194">
        <v>29</v>
      </c>
      <c r="GE166" s="194">
        <v>30</v>
      </c>
      <c r="GF166" s="194">
        <v>37</v>
      </c>
      <c r="GG166" s="194">
        <v>36</v>
      </c>
      <c r="GH166" s="194">
        <v>25</v>
      </c>
      <c r="GI166" s="195"/>
      <c r="GJ166" s="193">
        <v>10926</v>
      </c>
      <c r="GK166" s="194">
        <v>10850</v>
      </c>
      <c r="GL166" s="194">
        <v>12208</v>
      </c>
      <c r="GM166" s="194">
        <v>10097</v>
      </c>
      <c r="GN166" s="194">
        <v>8439</v>
      </c>
      <c r="GO166" s="194">
        <v>7530</v>
      </c>
      <c r="GP166" s="194">
        <v>6219</v>
      </c>
      <c r="GQ166" s="194">
        <v>4406</v>
      </c>
      <c r="GR166" s="195"/>
      <c r="GS166" s="193">
        <v>3248</v>
      </c>
      <c r="GT166" s="194">
        <v>3278</v>
      </c>
      <c r="GU166" s="194">
        <v>3595</v>
      </c>
      <c r="GV166" s="194">
        <v>2596</v>
      </c>
      <c r="GW166" s="194">
        <v>1541</v>
      </c>
      <c r="GX166" s="194">
        <v>1417</v>
      </c>
      <c r="GY166" s="194">
        <v>1375</v>
      </c>
      <c r="GZ166" s="194">
        <v>938</v>
      </c>
      <c r="HA166" s="195"/>
      <c r="HB166" s="193">
        <v>47</v>
      </c>
      <c r="HC166" s="194">
        <v>30</v>
      </c>
      <c r="HD166" s="194">
        <v>29</v>
      </c>
      <c r="HE166" s="194">
        <v>27</v>
      </c>
      <c r="HF166" s="194">
        <v>17</v>
      </c>
      <c r="HG166" s="194">
        <v>18</v>
      </c>
      <c r="HH166" s="194">
        <v>25</v>
      </c>
      <c r="HI166" s="194">
        <v>11</v>
      </c>
      <c r="HJ166" s="195"/>
      <c r="HK166" s="193">
        <v>24</v>
      </c>
      <c r="HL166" s="194">
        <v>21</v>
      </c>
      <c r="HM166" s="194">
        <v>9</v>
      </c>
      <c r="HN166" s="194">
        <v>7</v>
      </c>
      <c r="HO166" s="194">
        <v>9</v>
      </c>
      <c r="HP166" s="194">
        <v>10</v>
      </c>
      <c r="HQ166" s="194">
        <v>6</v>
      </c>
      <c r="HR166" s="194">
        <v>3</v>
      </c>
      <c r="HS166" s="195"/>
      <c r="HT166" s="193">
        <v>4058</v>
      </c>
      <c r="HU166" s="194">
        <v>4074</v>
      </c>
      <c r="HV166" s="194">
        <v>4272</v>
      </c>
      <c r="HW166" s="194">
        <v>3268</v>
      </c>
      <c r="HX166" s="194">
        <v>2377</v>
      </c>
      <c r="HY166" s="194">
        <v>2176</v>
      </c>
      <c r="HZ166" s="194">
        <v>2250</v>
      </c>
      <c r="IA166" s="194">
        <v>1836</v>
      </c>
      <c r="IB166" s="195"/>
      <c r="IC166" s="193">
        <v>17015</v>
      </c>
      <c r="ID166" s="194">
        <v>17252</v>
      </c>
      <c r="IE166" s="194">
        <v>18585</v>
      </c>
      <c r="IF166" s="194">
        <v>15502</v>
      </c>
      <c r="IG166" s="194">
        <v>15071</v>
      </c>
      <c r="IH166" s="194">
        <v>12500</v>
      </c>
      <c r="II166" s="194">
        <v>9672</v>
      </c>
      <c r="IJ166" s="194">
        <v>8810</v>
      </c>
      <c r="IK166" s="195"/>
    </row>
    <row r="167" spans="1:245" x14ac:dyDescent="0.2">
      <c r="A167" s="960" t="s">
        <v>605</v>
      </c>
      <c r="B167" s="247" t="s">
        <v>606</v>
      </c>
      <c r="C167" s="285">
        <v>7</v>
      </c>
      <c r="D167" s="172">
        <v>5</v>
      </c>
      <c r="E167" s="172">
        <v>4</v>
      </c>
      <c r="F167" s="172">
        <v>5</v>
      </c>
      <c r="G167" s="162">
        <v>4</v>
      </c>
      <c r="H167" s="162">
        <v>1</v>
      </c>
      <c r="I167" s="281">
        <v>2</v>
      </c>
      <c r="J167" s="281">
        <v>1</v>
      </c>
      <c r="K167" s="163"/>
      <c r="L167" s="285">
        <v>2</v>
      </c>
      <c r="M167" s="172">
        <v>5</v>
      </c>
      <c r="N167" s="172">
        <v>1</v>
      </c>
      <c r="O167" s="172">
        <v>3</v>
      </c>
      <c r="P167" s="162">
        <v>2</v>
      </c>
      <c r="Q167" s="162">
        <v>1</v>
      </c>
      <c r="R167" s="281">
        <v>1</v>
      </c>
      <c r="S167" s="281">
        <v>1</v>
      </c>
      <c r="T167" s="163"/>
      <c r="U167" s="285">
        <v>5</v>
      </c>
      <c r="V167" s="172"/>
      <c r="W167" s="172">
        <v>3</v>
      </c>
      <c r="X167" s="172">
        <v>1</v>
      </c>
      <c r="Y167" s="162">
        <v>2</v>
      </c>
      <c r="Z167" s="162"/>
      <c r="AA167" s="281"/>
      <c r="AB167" s="281"/>
      <c r="AC167" s="163"/>
      <c r="AD167" s="285">
        <v>19</v>
      </c>
      <c r="AE167" s="172">
        <v>14</v>
      </c>
      <c r="AF167" s="172">
        <v>5</v>
      </c>
      <c r="AG167" s="172">
        <v>9</v>
      </c>
      <c r="AH167" s="162">
        <v>15</v>
      </c>
      <c r="AI167" s="162">
        <v>13</v>
      </c>
      <c r="AJ167" s="281">
        <v>10</v>
      </c>
      <c r="AK167" s="281">
        <v>10</v>
      </c>
      <c r="AL167" s="163"/>
      <c r="AM167" s="285">
        <v>18</v>
      </c>
      <c r="AN167" s="172">
        <v>14</v>
      </c>
      <c r="AO167" s="172">
        <v>5</v>
      </c>
      <c r="AP167" s="172">
        <v>7</v>
      </c>
      <c r="AQ167" s="162">
        <v>14</v>
      </c>
      <c r="AR167" s="162">
        <v>11</v>
      </c>
      <c r="AS167" s="281">
        <v>9</v>
      </c>
      <c r="AT167" s="281">
        <v>9</v>
      </c>
      <c r="AU167" s="163"/>
      <c r="AV167" s="285">
        <v>1</v>
      </c>
      <c r="AW167" s="172"/>
      <c r="AX167" s="172"/>
      <c r="AY167" s="172"/>
      <c r="AZ167" s="162">
        <v>1</v>
      </c>
      <c r="BA167" s="162"/>
      <c r="BB167" s="281"/>
      <c r="BC167" s="281">
        <v>1</v>
      </c>
      <c r="BD167" s="163"/>
      <c r="BE167" s="285"/>
      <c r="BF167" s="172"/>
      <c r="BG167" s="172"/>
      <c r="BH167" s="172"/>
      <c r="BI167" s="162">
        <v>2</v>
      </c>
      <c r="BJ167" s="162"/>
      <c r="BK167" s="281"/>
      <c r="BL167" s="281"/>
      <c r="BM167" s="163"/>
      <c r="BN167" s="285"/>
      <c r="BO167" s="172"/>
      <c r="BP167" s="172"/>
      <c r="BQ167" s="172"/>
      <c r="BR167" s="162">
        <v>2</v>
      </c>
      <c r="BS167" s="162">
        <v>2</v>
      </c>
      <c r="BT167" s="281">
        <v>1</v>
      </c>
      <c r="BU167" s="281">
        <v>1</v>
      </c>
      <c r="BV167" s="163"/>
      <c r="BW167" s="285">
        <v>2</v>
      </c>
      <c r="BX167" s="172">
        <v>1</v>
      </c>
      <c r="BY167" s="172">
        <v>1</v>
      </c>
      <c r="BZ167" s="172"/>
      <c r="CA167" s="162">
        <v>4</v>
      </c>
      <c r="CB167" s="162">
        <v>2</v>
      </c>
      <c r="CC167" s="281"/>
      <c r="CD167" s="281"/>
      <c r="CE167" s="163"/>
      <c r="CF167" s="285"/>
      <c r="CG167" s="172"/>
      <c r="CH167" s="172"/>
      <c r="CI167" s="172"/>
      <c r="CJ167" s="162">
        <v>1</v>
      </c>
      <c r="CK167" s="162"/>
      <c r="CL167" s="281"/>
      <c r="CM167" s="281"/>
      <c r="CN167" s="163"/>
      <c r="CO167" s="285">
        <v>10</v>
      </c>
      <c r="CP167" s="172">
        <v>2</v>
      </c>
      <c r="CQ167" s="172"/>
      <c r="CR167" s="172">
        <v>1</v>
      </c>
      <c r="CS167" s="162">
        <v>2</v>
      </c>
      <c r="CT167" s="162">
        <v>2</v>
      </c>
      <c r="CU167" s="281">
        <v>1</v>
      </c>
      <c r="CV167" s="281">
        <v>4</v>
      </c>
      <c r="CW167" s="163"/>
      <c r="CX167" s="285">
        <v>7</v>
      </c>
      <c r="CY167" s="172">
        <v>2</v>
      </c>
      <c r="CZ167" s="172">
        <v>18</v>
      </c>
      <c r="DA167" s="172">
        <v>3</v>
      </c>
      <c r="DB167" s="162">
        <v>6</v>
      </c>
      <c r="DC167" s="162">
        <v>30</v>
      </c>
      <c r="DD167" s="281">
        <v>6</v>
      </c>
      <c r="DE167" s="281">
        <v>75</v>
      </c>
      <c r="DF167" s="163"/>
      <c r="DG167" s="285">
        <v>1</v>
      </c>
      <c r="DH167" s="172"/>
      <c r="DI167" s="172"/>
      <c r="DJ167" s="172"/>
      <c r="DK167" s="162"/>
      <c r="DL167" s="162">
        <v>24</v>
      </c>
      <c r="DM167" s="281"/>
      <c r="DN167" s="281"/>
      <c r="DO167" s="163"/>
      <c r="DP167" s="285"/>
      <c r="DQ167" s="172"/>
      <c r="DR167" s="172"/>
      <c r="DS167" s="172"/>
      <c r="DT167" s="162"/>
      <c r="DU167" s="162"/>
      <c r="DV167" s="281"/>
      <c r="DW167" s="281"/>
      <c r="DX167" s="163"/>
      <c r="DY167" s="285">
        <v>2</v>
      </c>
      <c r="DZ167" s="172"/>
      <c r="EA167" s="172">
        <v>1</v>
      </c>
      <c r="EB167" s="172"/>
      <c r="EC167" s="162">
        <v>4</v>
      </c>
      <c r="ED167" s="162">
        <v>4</v>
      </c>
      <c r="EE167" s="281">
        <v>1</v>
      </c>
      <c r="EF167" s="281"/>
      <c r="EG167" s="163"/>
      <c r="EH167" s="285">
        <v>7</v>
      </c>
      <c r="EI167" s="172">
        <v>5</v>
      </c>
      <c r="EJ167" s="172">
        <v>2</v>
      </c>
      <c r="EK167" s="172">
        <v>2</v>
      </c>
      <c r="EL167" s="162">
        <v>2</v>
      </c>
      <c r="EM167" s="162">
        <v>1</v>
      </c>
      <c r="EN167" s="281"/>
      <c r="EO167" s="281">
        <v>3</v>
      </c>
      <c r="EP167" s="163"/>
      <c r="EQ167" s="285"/>
      <c r="ER167" s="172"/>
      <c r="ES167" s="172"/>
      <c r="ET167" s="172"/>
      <c r="EU167" s="162"/>
      <c r="EV167" s="162"/>
      <c r="EW167" s="281">
        <v>1</v>
      </c>
      <c r="EX167" s="281"/>
      <c r="EY167" s="163"/>
      <c r="EZ167" s="285">
        <v>5</v>
      </c>
      <c r="FA167" s="172">
        <v>1</v>
      </c>
      <c r="FB167" s="172">
        <v>3</v>
      </c>
      <c r="FC167" s="172">
        <v>1</v>
      </c>
      <c r="FD167" s="162">
        <v>1</v>
      </c>
      <c r="FE167" s="162"/>
      <c r="FF167" s="281"/>
      <c r="FG167" s="281"/>
      <c r="FH167" s="163"/>
      <c r="FI167" s="285">
        <v>1</v>
      </c>
      <c r="FJ167" s="172">
        <v>1</v>
      </c>
      <c r="FK167" s="172"/>
      <c r="FL167" s="172"/>
      <c r="FM167" s="162">
        <v>1</v>
      </c>
      <c r="FN167" s="162"/>
      <c r="FO167" s="281">
        <v>1</v>
      </c>
      <c r="FP167" s="281">
        <v>2</v>
      </c>
      <c r="FQ167" s="163"/>
      <c r="FR167" s="285"/>
      <c r="FS167" s="172">
        <v>1</v>
      </c>
      <c r="FT167" s="172"/>
      <c r="FU167" s="172">
        <v>1</v>
      </c>
      <c r="FV167" s="162"/>
      <c r="FW167" s="162">
        <v>4</v>
      </c>
      <c r="FX167" s="281">
        <v>1</v>
      </c>
      <c r="FY167" s="281"/>
      <c r="FZ167" s="163"/>
      <c r="GA167" s="285"/>
      <c r="GB167" s="172"/>
      <c r="GC167" s="172"/>
      <c r="GD167" s="172"/>
      <c r="GE167" s="162"/>
      <c r="GF167" s="162"/>
      <c r="GG167" s="281"/>
      <c r="GH167" s="281"/>
      <c r="GI167" s="163"/>
      <c r="GJ167" s="285">
        <v>58</v>
      </c>
      <c r="GK167" s="172">
        <v>32</v>
      </c>
      <c r="GL167" s="172">
        <v>33</v>
      </c>
      <c r="GM167" s="172">
        <v>22</v>
      </c>
      <c r="GN167" s="162">
        <v>40</v>
      </c>
      <c r="GO167" s="162">
        <v>55</v>
      </c>
      <c r="GP167" s="281">
        <v>23</v>
      </c>
      <c r="GQ167" s="281">
        <v>96</v>
      </c>
      <c r="GR167" s="163"/>
      <c r="GS167" s="285">
        <v>21</v>
      </c>
      <c r="GT167" s="172">
        <v>2</v>
      </c>
      <c r="GU167" s="172">
        <v>7</v>
      </c>
      <c r="GV167" s="172">
        <v>4</v>
      </c>
      <c r="GW167" s="162">
        <v>5</v>
      </c>
      <c r="GX167" s="162">
        <v>27</v>
      </c>
      <c r="GY167" s="281">
        <v>6</v>
      </c>
      <c r="GZ167" s="281">
        <v>48</v>
      </c>
      <c r="HA167" s="163"/>
      <c r="HB167" s="285"/>
      <c r="HC167" s="172"/>
      <c r="HD167" s="172">
        <v>1</v>
      </c>
      <c r="HE167" s="172"/>
      <c r="HF167" s="162">
        <v>1</v>
      </c>
      <c r="HG167" s="162"/>
      <c r="HH167" s="281"/>
      <c r="HI167" s="281"/>
      <c r="HJ167" s="163"/>
      <c r="HK167" s="285"/>
      <c r="HL167" s="172">
        <v>1</v>
      </c>
      <c r="HM167" s="172"/>
      <c r="HN167" s="172">
        <v>1</v>
      </c>
      <c r="HO167" s="162"/>
      <c r="HP167" s="162"/>
      <c r="HQ167" s="281"/>
      <c r="HR167" s="281"/>
      <c r="HS167" s="163"/>
      <c r="HT167" s="285">
        <v>28</v>
      </c>
      <c r="HU167" s="172">
        <v>16</v>
      </c>
      <c r="HV167" s="172">
        <v>18</v>
      </c>
      <c r="HW167" s="172">
        <v>21</v>
      </c>
      <c r="HX167" s="162">
        <v>14</v>
      </c>
      <c r="HY167" s="162">
        <v>30</v>
      </c>
      <c r="HZ167" s="281">
        <v>19</v>
      </c>
      <c r="IA167" s="281">
        <v>53</v>
      </c>
      <c r="IB167" s="163"/>
      <c r="IC167" s="285">
        <v>424</v>
      </c>
      <c r="ID167" s="172">
        <v>105</v>
      </c>
      <c r="IE167" s="172">
        <v>130</v>
      </c>
      <c r="IF167" s="172">
        <v>75</v>
      </c>
      <c r="IG167" s="162">
        <v>270</v>
      </c>
      <c r="IH167" s="162">
        <v>110</v>
      </c>
      <c r="II167" s="281">
        <v>306</v>
      </c>
      <c r="IJ167" s="281">
        <v>174</v>
      </c>
      <c r="IK167" s="163"/>
    </row>
    <row r="168" spans="1:245" x14ac:dyDescent="0.2">
      <c r="A168" s="961"/>
      <c r="B168" s="151" t="s">
        <v>750</v>
      </c>
      <c r="C168" s="152"/>
      <c r="D168" s="153"/>
      <c r="E168" s="153"/>
      <c r="F168" s="153"/>
      <c r="G168" s="154"/>
      <c r="H168" s="154"/>
      <c r="I168" s="279"/>
      <c r="J168" s="279"/>
      <c r="K168" s="155"/>
      <c r="L168" s="152"/>
      <c r="M168" s="153"/>
      <c r="N168" s="153"/>
      <c r="O168" s="153"/>
      <c r="P168" s="154"/>
      <c r="Q168" s="154"/>
      <c r="R168" s="279"/>
      <c r="S168" s="279"/>
      <c r="T168" s="155"/>
      <c r="U168" s="152"/>
      <c r="V168" s="153"/>
      <c r="W168" s="153"/>
      <c r="X168" s="153"/>
      <c r="Y168" s="154"/>
      <c r="Z168" s="154"/>
      <c r="AA168" s="279"/>
      <c r="AB168" s="279"/>
      <c r="AC168" s="155"/>
      <c r="AD168" s="152">
        <v>149</v>
      </c>
      <c r="AE168" s="153">
        <v>149</v>
      </c>
      <c r="AF168" s="153">
        <v>128</v>
      </c>
      <c r="AG168" s="153">
        <v>120</v>
      </c>
      <c r="AH168" s="154">
        <v>104</v>
      </c>
      <c r="AI168" s="154">
        <v>132</v>
      </c>
      <c r="AJ168" s="279">
        <v>115</v>
      </c>
      <c r="AK168" s="279">
        <v>98</v>
      </c>
      <c r="AL168" s="155"/>
      <c r="AM168" s="152">
        <v>55</v>
      </c>
      <c r="AN168" s="153">
        <v>49</v>
      </c>
      <c r="AO168" s="153">
        <v>76</v>
      </c>
      <c r="AP168" s="153">
        <v>67</v>
      </c>
      <c r="AQ168" s="154">
        <v>58</v>
      </c>
      <c r="AR168" s="154">
        <v>70</v>
      </c>
      <c r="AS168" s="279">
        <v>63</v>
      </c>
      <c r="AT168" s="279">
        <v>33</v>
      </c>
      <c r="AU168" s="155"/>
      <c r="AV168" s="152"/>
      <c r="AW168" s="153"/>
      <c r="AX168" s="153"/>
      <c r="AY168" s="153"/>
      <c r="AZ168" s="154"/>
      <c r="BA168" s="154"/>
      <c r="BB168" s="279"/>
      <c r="BC168" s="279"/>
      <c r="BD168" s="155"/>
      <c r="BE168" s="152">
        <v>16</v>
      </c>
      <c r="BF168" s="153">
        <v>13</v>
      </c>
      <c r="BG168" s="153">
        <v>8</v>
      </c>
      <c r="BH168" s="153">
        <v>16</v>
      </c>
      <c r="BI168" s="154">
        <v>13</v>
      </c>
      <c r="BJ168" s="154">
        <v>5</v>
      </c>
      <c r="BK168" s="279">
        <v>10</v>
      </c>
      <c r="BL168" s="279">
        <v>4</v>
      </c>
      <c r="BM168" s="155"/>
      <c r="BN168" s="152"/>
      <c r="BO168" s="153"/>
      <c r="BP168" s="153"/>
      <c r="BQ168" s="153"/>
      <c r="BR168" s="154"/>
      <c r="BS168" s="154"/>
      <c r="BT168" s="279"/>
      <c r="BU168" s="279"/>
      <c r="BV168" s="155"/>
      <c r="BW168" s="152">
        <v>119</v>
      </c>
      <c r="BX168" s="153">
        <v>85</v>
      </c>
      <c r="BY168" s="153">
        <v>66</v>
      </c>
      <c r="BZ168" s="153">
        <v>50</v>
      </c>
      <c r="CA168" s="154">
        <v>61</v>
      </c>
      <c r="CB168" s="154">
        <v>45</v>
      </c>
      <c r="CC168" s="279">
        <v>45</v>
      </c>
      <c r="CD168" s="279">
        <v>42</v>
      </c>
      <c r="CE168" s="155"/>
      <c r="CF168" s="152">
        <v>3</v>
      </c>
      <c r="CG168" s="153">
        <v>9</v>
      </c>
      <c r="CH168" s="153">
        <v>8</v>
      </c>
      <c r="CI168" s="153">
        <v>6</v>
      </c>
      <c r="CJ168" s="154">
        <v>2</v>
      </c>
      <c r="CK168" s="154">
        <v>5</v>
      </c>
      <c r="CL168" s="279">
        <v>2</v>
      </c>
      <c r="CM168" s="279">
        <v>1</v>
      </c>
      <c r="CN168" s="155"/>
      <c r="CO168" s="152">
        <v>16</v>
      </c>
      <c r="CP168" s="153">
        <v>3</v>
      </c>
      <c r="CQ168" s="153">
        <v>5</v>
      </c>
      <c r="CR168" s="153">
        <v>1</v>
      </c>
      <c r="CS168" s="154">
        <v>1</v>
      </c>
      <c r="CT168" s="154">
        <v>2</v>
      </c>
      <c r="CU168" s="279">
        <v>1</v>
      </c>
      <c r="CV168" s="279">
        <v>2</v>
      </c>
      <c r="CW168" s="155"/>
      <c r="CX168" s="152">
        <v>1405</v>
      </c>
      <c r="CY168" s="153">
        <v>1085</v>
      </c>
      <c r="CZ168" s="153">
        <v>1074</v>
      </c>
      <c r="DA168" s="153">
        <v>1141</v>
      </c>
      <c r="DB168" s="154">
        <v>1051</v>
      </c>
      <c r="DC168" s="154">
        <v>984</v>
      </c>
      <c r="DD168" s="279">
        <v>762</v>
      </c>
      <c r="DE168" s="279">
        <v>579</v>
      </c>
      <c r="DF168" s="155"/>
      <c r="DG168" s="152">
        <v>8</v>
      </c>
      <c r="DH168" s="153">
        <v>8</v>
      </c>
      <c r="DI168" s="153">
        <v>7</v>
      </c>
      <c r="DJ168" s="153">
        <v>11</v>
      </c>
      <c r="DK168" s="154">
        <v>4</v>
      </c>
      <c r="DL168" s="154">
        <v>5</v>
      </c>
      <c r="DM168" s="279">
        <v>2</v>
      </c>
      <c r="DN168" s="279"/>
      <c r="DO168" s="155"/>
      <c r="DP168" s="152">
        <v>70</v>
      </c>
      <c r="DQ168" s="153">
        <v>16</v>
      </c>
      <c r="DR168" s="153">
        <v>17</v>
      </c>
      <c r="DS168" s="153">
        <v>12</v>
      </c>
      <c r="DT168" s="154">
        <v>23</v>
      </c>
      <c r="DU168" s="154">
        <v>23</v>
      </c>
      <c r="DV168" s="279">
        <v>7</v>
      </c>
      <c r="DW168" s="279">
        <v>16</v>
      </c>
      <c r="DX168" s="155"/>
      <c r="DY168" s="152">
        <v>121</v>
      </c>
      <c r="DZ168" s="153">
        <v>88</v>
      </c>
      <c r="EA168" s="153">
        <v>133</v>
      </c>
      <c r="EB168" s="153">
        <v>125</v>
      </c>
      <c r="EC168" s="154">
        <v>183</v>
      </c>
      <c r="ED168" s="154">
        <v>230</v>
      </c>
      <c r="EE168" s="279">
        <v>166</v>
      </c>
      <c r="EF168" s="279">
        <v>111</v>
      </c>
      <c r="EG168" s="155"/>
      <c r="EH168" s="152">
        <v>19</v>
      </c>
      <c r="EI168" s="153">
        <v>16</v>
      </c>
      <c r="EJ168" s="153">
        <v>16</v>
      </c>
      <c r="EK168" s="153">
        <v>21</v>
      </c>
      <c r="EL168" s="154">
        <v>9</v>
      </c>
      <c r="EM168" s="154">
        <v>4</v>
      </c>
      <c r="EN168" s="279">
        <v>6</v>
      </c>
      <c r="EO168" s="279">
        <v>9</v>
      </c>
      <c r="EP168" s="155"/>
      <c r="EQ168" s="152">
        <v>5</v>
      </c>
      <c r="ER168" s="153"/>
      <c r="ES168" s="153">
        <v>2</v>
      </c>
      <c r="ET168" s="153">
        <v>4</v>
      </c>
      <c r="EU168" s="154">
        <v>3</v>
      </c>
      <c r="EV168" s="154">
        <v>1</v>
      </c>
      <c r="EW168" s="279">
        <v>1</v>
      </c>
      <c r="EX168" s="279">
        <v>3</v>
      </c>
      <c r="EY168" s="155"/>
      <c r="EZ168" s="152">
        <v>16</v>
      </c>
      <c r="FA168" s="153">
        <v>4</v>
      </c>
      <c r="FB168" s="153">
        <v>10</v>
      </c>
      <c r="FC168" s="153">
        <v>7</v>
      </c>
      <c r="FD168" s="154">
        <v>5</v>
      </c>
      <c r="FE168" s="154"/>
      <c r="FF168" s="279">
        <v>4</v>
      </c>
      <c r="FG168" s="279">
        <v>3</v>
      </c>
      <c r="FH168" s="155"/>
      <c r="FI168" s="152">
        <v>99</v>
      </c>
      <c r="FJ168" s="153">
        <v>94</v>
      </c>
      <c r="FK168" s="153">
        <v>74</v>
      </c>
      <c r="FL168" s="153">
        <v>48</v>
      </c>
      <c r="FM168" s="154">
        <v>44</v>
      </c>
      <c r="FN168" s="154">
        <v>53</v>
      </c>
      <c r="FO168" s="279">
        <v>58</v>
      </c>
      <c r="FP168" s="279">
        <v>106</v>
      </c>
      <c r="FQ168" s="155"/>
      <c r="FR168" s="152">
        <v>16</v>
      </c>
      <c r="FS168" s="153">
        <v>4</v>
      </c>
      <c r="FT168" s="153">
        <v>5</v>
      </c>
      <c r="FU168" s="153">
        <v>5</v>
      </c>
      <c r="FV168" s="154">
        <v>4</v>
      </c>
      <c r="FW168" s="154">
        <v>1</v>
      </c>
      <c r="FX168" s="279">
        <v>3</v>
      </c>
      <c r="FY168" s="279">
        <v>3</v>
      </c>
      <c r="FZ168" s="155"/>
      <c r="GA168" s="152">
        <v>9</v>
      </c>
      <c r="GB168" s="153">
        <v>14</v>
      </c>
      <c r="GC168" s="153">
        <v>12</v>
      </c>
      <c r="GD168" s="153">
        <v>6</v>
      </c>
      <c r="GE168" s="154">
        <v>6</v>
      </c>
      <c r="GF168" s="154">
        <v>4</v>
      </c>
      <c r="GG168" s="279">
        <v>7</v>
      </c>
      <c r="GH168" s="279">
        <v>16</v>
      </c>
      <c r="GI168" s="155"/>
      <c r="GJ168" s="152">
        <v>1872</v>
      </c>
      <c r="GK168" s="153">
        <v>1476</v>
      </c>
      <c r="GL168" s="153">
        <v>1408</v>
      </c>
      <c r="GM168" s="153">
        <v>1425</v>
      </c>
      <c r="GN168" s="154">
        <v>1303</v>
      </c>
      <c r="GO168" s="154">
        <v>1236</v>
      </c>
      <c r="GP168" s="279">
        <v>1014</v>
      </c>
      <c r="GQ168" s="279">
        <v>866</v>
      </c>
      <c r="GR168" s="155"/>
      <c r="GS168" s="152">
        <v>524</v>
      </c>
      <c r="GT168" s="153">
        <v>480</v>
      </c>
      <c r="GU168" s="153">
        <v>382</v>
      </c>
      <c r="GV168" s="153">
        <v>294</v>
      </c>
      <c r="GW168" s="154">
        <v>235</v>
      </c>
      <c r="GX168" s="154">
        <v>223</v>
      </c>
      <c r="GY168" s="279">
        <v>174</v>
      </c>
      <c r="GZ168" s="279">
        <v>193</v>
      </c>
      <c r="HA168" s="155"/>
      <c r="HB168" s="152">
        <v>5</v>
      </c>
      <c r="HC168" s="153">
        <v>4</v>
      </c>
      <c r="HD168" s="153">
        <v>3</v>
      </c>
      <c r="HE168" s="153">
        <v>2</v>
      </c>
      <c r="HF168" s="154">
        <v>5</v>
      </c>
      <c r="HG168" s="154"/>
      <c r="HH168" s="279">
        <v>2</v>
      </c>
      <c r="HI168" s="279"/>
      <c r="HJ168" s="155"/>
      <c r="HK168" s="152">
        <v>5</v>
      </c>
      <c r="HL168" s="153"/>
      <c r="HM168" s="153">
        <v>2</v>
      </c>
      <c r="HN168" s="153"/>
      <c r="HO168" s="154">
        <v>2</v>
      </c>
      <c r="HP168" s="154">
        <v>1</v>
      </c>
      <c r="HQ168" s="279"/>
      <c r="HR168" s="279">
        <v>2</v>
      </c>
      <c r="HS168" s="155"/>
      <c r="HT168" s="152">
        <v>735</v>
      </c>
      <c r="HU168" s="153">
        <v>620</v>
      </c>
      <c r="HV168" s="153">
        <v>509</v>
      </c>
      <c r="HW168" s="153">
        <v>430</v>
      </c>
      <c r="HX168" s="154">
        <v>428</v>
      </c>
      <c r="HY168" s="154">
        <v>388</v>
      </c>
      <c r="HZ168" s="279">
        <v>331</v>
      </c>
      <c r="IA168" s="279">
        <v>363</v>
      </c>
      <c r="IB168" s="155"/>
      <c r="IC168" s="152">
        <v>3831</v>
      </c>
      <c r="ID168" s="153">
        <v>3224</v>
      </c>
      <c r="IE168" s="153">
        <v>2658</v>
      </c>
      <c r="IF168" s="153">
        <v>2391</v>
      </c>
      <c r="IG168" s="154">
        <v>2746</v>
      </c>
      <c r="IH168" s="154">
        <v>1925</v>
      </c>
      <c r="II168" s="279">
        <v>1765</v>
      </c>
      <c r="IJ168" s="279">
        <v>1582</v>
      </c>
      <c r="IK168" s="155"/>
    </row>
    <row r="169" spans="1:245" x14ac:dyDescent="0.2">
      <c r="A169" s="961"/>
      <c r="B169" s="151" t="s">
        <v>751</v>
      </c>
      <c r="C169" s="152"/>
      <c r="D169" s="153">
        <v>1</v>
      </c>
      <c r="E169" s="153"/>
      <c r="F169" s="153"/>
      <c r="G169" s="154"/>
      <c r="H169" s="154"/>
      <c r="I169" s="279"/>
      <c r="J169" s="279"/>
      <c r="K169" s="155"/>
      <c r="L169" s="152"/>
      <c r="M169" s="153">
        <v>1</v>
      </c>
      <c r="N169" s="153"/>
      <c r="O169" s="153"/>
      <c r="P169" s="154"/>
      <c r="Q169" s="154"/>
      <c r="R169" s="279"/>
      <c r="S169" s="279"/>
      <c r="T169" s="155"/>
      <c r="U169" s="152"/>
      <c r="V169" s="153"/>
      <c r="W169" s="153"/>
      <c r="X169" s="153"/>
      <c r="Y169" s="154"/>
      <c r="Z169" s="154"/>
      <c r="AA169" s="279"/>
      <c r="AB169" s="279"/>
      <c r="AC169" s="155"/>
      <c r="AD169" s="152">
        <v>74</v>
      </c>
      <c r="AE169" s="153">
        <v>42</v>
      </c>
      <c r="AF169" s="153">
        <v>60</v>
      </c>
      <c r="AG169" s="153">
        <v>47</v>
      </c>
      <c r="AH169" s="154">
        <v>76</v>
      </c>
      <c r="AI169" s="154">
        <v>53</v>
      </c>
      <c r="AJ169" s="279">
        <v>65</v>
      </c>
      <c r="AK169" s="279">
        <v>63</v>
      </c>
      <c r="AL169" s="155"/>
      <c r="AM169" s="152">
        <v>26</v>
      </c>
      <c r="AN169" s="153">
        <v>7</v>
      </c>
      <c r="AO169" s="153">
        <v>14</v>
      </c>
      <c r="AP169" s="153">
        <v>9</v>
      </c>
      <c r="AQ169" s="154">
        <v>19</v>
      </c>
      <c r="AR169" s="154">
        <v>15</v>
      </c>
      <c r="AS169" s="279">
        <v>12</v>
      </c>
      <c r="AT169" s="279">
        <v>13</v>
      </c>
      <c r="AU169" s="155"/>
      <c r="AV169" s="152"/>
      <c r="AW169" s="153"/>
      <c r="AX169" s="153"/>
      <c r="AY169" s="153"/>
      <c r="AZ169" s="154"/>
      <c r="BA169" s="154"/>
      <c r="BB169" s="279"/>
      <c r="BC169" s="279"/>
      <c r="BD169" s="155"/>
      <c r="BE169" s="152">
        <v>20</v>
      </c>
      <c r="BF169" s="153">
        <v>8</v>
      </c>
      <c r="BG169" s="153">
        <v>12</v>
      </c>
      <c r="BH169" s="153">
        <v>4</v>
      </c>
      <c r="BI169" s="154">
        <v>1</v>
      </c>
      <c r="BJ169" s="154">
        <v>2</v>
      </c>
      <c r="BK169" s="279">
        <v>1</v>
      </c>
      <c r="BL169" s="279">
        <v>1</v>
      </c>
      <c r="BM169" s="155"/>
      <c r="BN169" s="152"/>
      <c r="BO169" s="153"/>
      <c r="BP169" s="153"/>
      <c r="BQ169" s="153"/>
      <c r="BR169" s="154"/>
      <c r="BS169" s="154"/>
      <c r="BT169" s="279"/>
      <c r="BU169" s="279"/>
      <c r="BV169" s="155"/>
      <c r="BW169" s="152">
        <v>62</v>
      </c>
      <c r="BX169" s="153">
        <v>15</v>
      </c>
      <c r="BY169" s="153">
        <v>28</v>
      </c>
      <c r="BZ169" s="153">
        <v>22</v>
      </c>
      <c r="CA169" s="154">
        <v>65</v>
      </c>
      <c r="CB169" s="154">
        <v>19</v>
      </c>
      <c r="CC169" s="279">
        <v>23</v>
      </c>
      <c r="CD169" s="279">
        <v>28</v>
      </c>
      <c r="CE169" s="155"/>
      <c r="CF169" s="152">
        <v>3</v>
      </c>
      <c r="CG169" s="153">
        <v>2</v>
      </c>
      <c r="CH169" s="153">
        <v>5</v>
      </c>
      <c r="CI169" s="153">
        <v>7</v>
      </c>
      <c r="CJ169" s="154">
        <v>1</v>
      </c>
      <c r="CK169" s="154">
        <v>1</v>
      </c>
      <c r="CL169" s="279">
        <v>3</v>
      </c>
      <c r="CM169" s="279">
        <v>1</v>
      </c>
      <c r="CN169" s="155"/>
      <c r="CO169" s="152">
        <v>4</v>
      </c>
      <c r="CP169" s="153">
        <v>20</v>
      </c>
      <c r="CQ169" s="153"/>
      <c r="CR169" s="153">
        <v>1</v>
      </c>
      <c r="CS169" s="154"/>
      <c r="CT169" s="154"/>
      <c r="CU169" s="279"/>
      <c r="CV169" s="279"/>
      <c r="CW169" s="155"/>
      <c r="CX169" s="152">
        <v>311</v>
      </c>
      <c r="CY169" s="153">
        <v>225</v>
      </c>
      <c r="CZ169" s="153">
        <v>340</v>
      </c>
      <c r="DA169" s="153">
        <v>231</v>
      </c>
      <c r="DB169" s="154">
        <v>194</v>
      </c>
      <c r="DC169" s="154">
        <v>174</v>
      </c>
      <c r="DD169" s="279">
        <v>121</v>
      </c>
      <c r="DE169" s="279">
        <v>135</v>
      </c>
      <c r="DF169" s="155"/>
      <c r="DG169" s="152"/>
      <c r="DH169" s="153"/>
      <c r="DI169" s="153"/>
      <c r="DJ169" s="153"/>
      <c r="DK169" s="154"/>
      <c r="DL169" s="154"/>
      <c r="DM169" s="279">
        <v>1</v>
      </c>
      <c r="DN169" s="279"/>
      <c r="DO169" s="155"/>
      <c r="DP169" s="152">
        <v>1</v>
      </c>
      <c r="DQ169" s="153">
        <v>1</v>
      </c>
      <c r="DR169" s="153">
        <v>5</v>
      </c>
      <c r="DS169" s="153">
        <v>4</v>
      </c>
      <c r="DT169" s="154">
        <v>4</v>
      </c>
      <c r="DU169" s="154">
        <v>1</v>
      </c>
      <c r="DV169" s="279">
        <v>3</v>
      </c>
      <c r="DW169" s="279"/>
      <c r="DX169" s="155"/>
      <c r="DY169" s="152">
        <v>49</v>
      </c>
      <c r="DZ169" s="153">
        <v>24</v>
      </c>
      <c r="EA169" s="153">
        <v>33</v>
      </c>
      <c r="EB169" s="153">
        <v>27</v>
      </c>
      <c r="EC169" s="154">
        <v>28</v>
      </c>
      <c r="ED169" s="154">
        <v>29</v>
      </c>
      <c r="EE169" s="279">
        <v>17</v>
      </c>
      <c r="EF169" s="279">
        <v>13</v>
      </c>
      <c r="EG169" s="155"/>
      <c r="EH169" s="152">
        <v>2</v>
      </c>
      <c r="EI169" s="153">
        <v>1</v>
      </c>
      <c r="EJ169" s="153"/>
      <c r="EK169" s="153">
        <v>2</v>
      </c>
      <c r="EL169" s="154">
        <v>3</v>
      </c>
      <c r="EM169" s="154"/>
      <c r="EN169" s="279">
        <v>2</v>
      </c>
      <c r="EO169" s="279"/>
      <c r="EP169" s="155"/>
      <c r="EQ169" s="152"/>
      <c r="ER169" s="153">
        <v>2</v>
      </c>
      <c r="ES169" s="153"/>
      <c r="ET169" s="153">
        <v>1</v>
      </c>
      <c r="EU169" s="154"/>
      <c r="EV169" s="154"/>
      <c r="EW169" s="279"/>
      <c r="EX169" s="279"/>
      <c r="EY169" s="155"/>
      <c r="EZ169" s="152">
        <v>5</v>
      </c>
      <c r="FA169" s="153">
        <v>2</v>
      </c>
      <c r="FB169" s="153">
        <v>2</v>
      </c>
      <c r="FC169" s="153">
        <v>4</v>
      </c>
      <c r="FD169" s="154">
        <v>4</v>
      </c>
      <c r="FE169" s="154"/>
      <c r="FF169" s="279">
        <v>2</v>
      </c>
      <c r="FG169" s="279">
        <v>1</v>
      </c>
      <c r="FH169" s="155"/>
      <c r="FI169" s="152">
        <v>34</v>
      </c>
      <c r="FJ169" s="153">
        <v>36</v>
      </c>
      <c r="FK169" s="153">
        <v>21</v>
      </c>
      <c r="FL169" s="153">
        <v>10</v>
      </c>
      <c r="FM169" s="154">
        <v>14</v>
      </c>
      <c r="FN169" s="154">
        <v>14</v>
      </c>
      <c r="FO169" s="279">
        <v>13</v>
      </c>
      <c r="FP169" s="279">
        <v>17</v>
      </c>
      <c r="FQ169" s="155"/>
      <c r="FR169" s="152">
        <v>3</v>
      </c>
      <c r="FS169" s="153">
        <v>4</v>
      </c>
      <c r="FT169" s="153">
        <v>4</v>
      </c>
      <c r="FU169" s="153">
        <v>2</v>
      </c>
      <c r="FV169" s="154">
        <v>1</v>
      </c>
      <c r="FW169" s="154">
        <v>1</v>
      </c>
      <c r="FX169" s="279"/>
      <c r="FY169" s="279"/>
      <c r="FZ169" s="155"/>
      <c r="GA169" s="152">
        <v>6</v>
      </c>
      <c r="GB169" s="153">
        <v>2</v>
      </c>
      <c r="GC169" s="153">
        <v>1</v>
      </c>
      <c r="GD169" s="153">
        <v>1</v>
      </c>
      <c r="GE169" s="154">
        <v>4</v>
      </c>
      <c r="GF169" s="154">
        <v>3</v>
      </c>
      <c r="GG169" s="279">
        <v>6</v>
      </c>
      <c r="GH169" s="279">
        <v>9</v>
      </c>
      <c r="GI169" s="155"/>
      <c r="GJ169" s="152">
        <v>524</v>
      </c>
      <c r="GK169" s="153">
        <v>360</v>
      </c>
      <c r="GL169" s="153">
        <v>473</v>
      </c>
      <c r="GM169" s="153">
        <v>332</v>
      </c>
      <c r="GN169" s="154">
        <v>363</v>
      </c>
      <c r="GO169" s="154">
        <v>267</v>
      </c>
      <c r="GP169" s="279">
        <v>236</v>
      </c>
      <c r="GQ169" s="279">
        <v>255</v>
      </c>
      <c r="GR169" s="155"/>
      <c r="GS169" s="152">
        <v>163</v>
      </c>
      <c r="GT169" s="153">
        <v>113</v>
      </c>
      <c r="GU169" s="153">
        <v>116</v>
      </c>
      <c r="GV169" s="153">
        <v>56</v>
      </c>
      <c r="GW169" s="154">
        <v>53</v>
      </c>
      <c r="GX169" s="154">
        <v>35</v>
      </c>
      <c r="GY169" s="279">
        <v>75</v>
      </c>
      <c r="GZ169" s="279">
        <v>64</v>
      </c>
      <c r="HA169" s="155"/>
      <c r="HB169" s="152"/>
      <c r="HC169" s="153"/>
      <c r="HD169" s="153"/>
      <c r="HE169" s="153">
        <v>1</v>
      </c>
      <c r="HF169" s="154"/>
      <c r="HG169" s="154"/>
      <c r="HH169" s="279">
        <v>1</v>
      </c>
      <c r="HI169" s="279"/>
      <c r="HJ169" s="155"/>
      <c r="HK169" s="152">
        <v>2</v>
      </c>
      <c r="HL169" s="153"/>
      <c r="HM169" s="153">
        <v>1</v>
      </c>
      <c r="HN169" s="153">
        <v>1</v>
      </c>
      <c r="HO169" s="154"/>
      <c r="HP169" s="154"/>
      <c r="HQ169" s="279"/>
      <c r="HR169" s="279">
        <v>1</v>
      </c>
      <c r="HS169" s="155"/>
      <c r="HT169" s="152">
        <v>249</v>
      </c>
      <c r="HU169" s="153">
        <v>153</v>
      </c>
      <c r="HV169" s="153">
        <v>160</v>
      </c>
      <c r="HW169" s="153">
        <v>112</v>
      </c>
      <c r="HX169" s="154">
        <v>124</v>
      </c>
      <c r="HY169" s="154">
        <v>92</v>
      </c>
      <c r="HZ169" s="279">
        <v>160</v>
      </c>
      <c r="IA169" s="279">
        <v>128</v>
      </c>
      <c r="IB169" s="155"/>
      <c r="IC169" s="152">
        <v>987</v>
      </c>
      <c r="ID169" s="153">
        <v>666</v>
      </c>
      <c r="IE169" s="153">
        <v>839</v>
      </c>
      <c r="IF169" s="153">
        <v>697</v>
      </c>
      <c r="IG169" s="154">
        <v>556</v>
      </c>
      <c r="IH169" s="154">
        <v>470</v>
      </c>
      <c r="II169" s="279">
        <v>435</v>
      </c>
      <c r="IJ169" s="279">
        <v>514</v>
      </c>
      <c r="IK169" s="155"/>
    </row>
    <row r="170" spans="1:245" x14ac:dyDescent="0.2">
      <c r="A170" s="961"/>
      <c r="B170" s="151" t="s">
        <v>752</v>
      </c>
      <c r="C170" s="152"/>
      <c r="D170" s="153"/>
      <c r="E170" s="153"/>
      <c r="F170" s="153"/>
      <c r="G170" s="154"/>
      <c r="H170" s="154"/>
      <c r="I170" s="279"/>
      <c r="J170" s="279"/>
      <c r="K170" s="155"/>
      <c r="L170" s="152"/>
      <c r="M170" s="153"/>
      <c r="N170" s="153"/>
      <c r="O170" s="153"/>
      <c r="P170" s="154"/>
      <c r="Q170" s="154"/>
      <c r="R170" s="279"/>
      <c r="S170" s="279"/>
      <c r="T170" s="155"/>
      <c r="U170" s="152"/>
      <c r="V170" s="153"/>
      <c r="W170" s="153"/>
      <c r="X170" s="153"/>
      <c r="Y170" s="154"/>
      <c r="Z170" s="154"/>
      <c r="AA170" s="279"/>
      <c r="AB170" s="279"/>
      <c r="AC170" s="155"/>
      <c r="AD170" s="152">
        <v>48</v>
      </c>
      <c r="AE170" s="153">
        <v>76</v>
      </c>
      <c r="AF170" s="153">
        <v>90</v>
      </c>
      <c r="AG170" s="153">
        <v>55</v>
      </c>
      <c r="AH170" s="154">
        <v>59</v>
      </c>
      <c r="AI170" s="154">
        <v>34</v>
      </c>
      <c r="AJ170" s="279">
        <v>40</v>
      </c>
      <c r="AK170" s="279">
        <v>49</v>
      </c>
      <c r="AL170" s="155"/>
      <c r="AM170" s="152">
        <v>15</v>
      </c>
      <c r="AN170" s="153">
        <v>28</v>
      </c>
      <c r="AO170" s="153">
        <v>23</v>
      </c>
      <c r="AP170" s="153">
        <v>18</v>
      </c>
      <c r="AQ170" s="154">
        <v>18</v>
      </c>
      <c r="AR170" s="154">
        <v>7</v>
      </c>
      <c r="AS170" s="279">
        <v>9</v>
      </c>
      <c r="AT170" s="279">
        <v>14</v>
      </c>
      <c r="AU170" s="155"/>
      <c r="AV170" s="152"/>
      <c r="AW170" s="153"/>
      <c r="AX170" s="153"/>
      <c r="AY170" s="153"/>
      <c r="AZ170" s="154"/>
      <c r="BA170" s="154"/>
      <c r="BB170" s="279"/>
      <c r="BC170" s="279"/>
      <c r="BD170" s="155"/>
      <c r="BE170" s="152">
        <v>3</v>
      </c>
      <c r="BF170" s="153">
        <v>14</v>
      </c>
      <c r="BG170" s="153">
        <v>2</v>
      </c>
      <c r="BH170" s="153">
        <v>3</v>
      </c>
      <c r="BI170" s="154">
        <v>10</v>
      </c>
      <c r="BJ170" s="154">
        <v>14</v>
      </c>
      <c r="BK170" s="279"/>
      <c r="BL170" s="279">
        <v>9</v>
      </c>
      <c r="BM170" s="155"/>
      <c r="BN170" s="152"/>
      <c r="BO170" s="153"/>
      <c r="BP170" s="153"/>
      <c r="BQ170" s="153"/>
      <c r="BR170" s="154"/>
      <c r="BS170" s="154"/>
      <c r="BT170" s="279"/>
      <c r="BU170" s="279"/>
      <c r="BV170" s="155"/>
      <c r="BW170" s="152">
        <v>39</v>
      </c>
      <c r="BX170" s="153">
        <v>46</v>
      </c>
      <c r="BY170" s="153">
        <v>63</v>
      </c>
      <c r="BZ170" s="153">
        <v>55</v>
      </c>
      <c r="CA170" s="154">
        <v>46</v>
      </c>
      <c r="CB170" s="154">
        <v>24</v>
      </c>
      <c r="CC170" s="279">
        <v>22</v>
      </c>
      <c r="CD170" s="279">
        <v>35</v>
      </c>
      <c r="CE170" s="155"/>
      <c r="CF170" s="152">
        <v>4</v>
      </c>
      <c r="CG170" s="153">
        <v>9</v>
      </c>
      <c r="CH170" s="153">
        <v>7</v>
      </c>
      <c r="CI170" s="153">
        <v>4</v>
      </c>
      <c r="CJ170" s="154">
        <v>1</v>
      </c>
      <c r="CK170" s="154">
        <v>1</v>
      </c>
      <c r="CL170" s="279"/>
      <c r="CM170" s="279">
        <v>2</v>
      </c>
      <c r="CN170" s="155"/>
      <c r="CO170" s="152">
        <v>12</v>
      </c>
      <c r="CP170" s="153">
        <v>3</v>
      </c>
      <c r="CQ170" s="153"/>
      <c r="CR170" s="153">
        <v>1</v>
      </c>
      <c r="CS170" s="154"/>
      <c r="CT170" s="154"/>
      <c r="CU170" s="279"/>
      <c r="CV170" s="279">
        <v>4</v>
      </c>
      <c r="CW170" s="155"/>
      <c r="CX170" s="152">
        <v>503</v>
      </c>
      <c r="CY170" s="153">
        <v>542</v>
      </c>
      <c r="CZ170" s="153">
        <v>615</v>
      </c>
      <c r="DA170" s="153">
        <v>555</v>
      </c>
      <c r="DB170" s="154">
        <v>370</v>
      </c>
      <c r="DC170" s="154">
        <v>318</v>
      </c>
      <c r="DD170" s="279">
        <v>235</v>
      </c>
      <c r="DE170" s="279">
        <v>246</v>
      </c>
      <c r="DF170" s="155"/>
      <c r="DG170" s="152">
        <v>2</v>
      </c>
      <c r="DH170" s="153"/>
      <c r="DI170" s="153">
        <v>2</v>
      </c>
      <c r="DJ170" s="153">
        <v>2</v>
      </c>
      <c r="DK170" s="154">
        <v>1</v>
      </c>
      <c r="DL170" s="154">
        <v>1</v>
      </c>
      <c r="DM170" s="279">
        <v>2</v>
      </c>
      <c r="DN170" s="279">
        <v>1</v>
      </c>
      <c r="DO170" s="155"/>
      <c r="DP170" s="152">
        <v>11</v>
      </c>
      <c r="DQ170" s="153">
        <v>14</v>
      </c>
      <c r="DR170" s="153">
        <v>3</v>
      </c>
      <c r="DS170" s="153">
        <v>10</v>
      </c>
      <c r="DT170" s="154">
        <v>5</v>
      </c>
      <c r="DU170" s="154">
        <v>4</v>
      </c>
      <c r="DV170" s="279">
        <v>1</v>
      </c>
      <c r="DW170" s="279"/>
      <c r="DX170" s="155"/>
      <c r="DY170" s="152">
        <v>25</v>
      </c>
      <c r="DZ170" s="153">
        <v>81</v>
      </c>
      <c r="EA170" s="153">
        <v>77</v>
      </c>
      <c r="EB170" s="153">
        <v>77</v>
      </c>
      <c r="EC170" s="154">
        <v>74</v>
      </c>
      <c r="ED170" s="154">
        <v>78</v>
      </c>
      <c r="EE170" s="279">
        <v>58</v>
      </c>
      <c r="EF170" s="279">
        <v>54</v>
      </c>
      <c r="EG170" s="155"/>
      <c r="EH170" s="152">
        <v>5</v>
      </c>
      <c r="EI170" s="153">
        <v>6</v>
      </c>
      <c r="EJ170" s="153">
        <v>1</v>
      </c>
      <c r="EK170" s="153">
        <v>5</v>
      </c>
      <c r="EL170" s="154">
        <v>1</v>
      </c>
      <c r="EM170" s="154"/>
      <c r="EN170" s="279">
        <v>2</v>
      </c>
      <c r="EO170" s="279">
        <v>1</v>
      </c>
      <c r="EP170" s="155"/>
      <c r="EQ170" s="152">
        <v>1</v>
      </c>
      <c r="ER170" s="153">
        <v>3</v>
      </c>
      <c r="ES170" s="153"/>
      <c r="ET170" s="153">
        <v>1</v>
      </c>
      <c r="EU170" s="154">
        <v>2</v>
      </c>
      <c r="EV170" s="154"/>
      <c r="EW170" s="279"/>
      <c r="EX170" s="279"/>
      <c r="EY170" s="155"/>
      <c r="EZ170" s="152">
        <v>34</v>
      </c>
      <c r="FA170" s="153">
        <v>18</v>
      </c>
      <c r="FB170" s="153">
        <v>8</v>
      </c>
      <c r="FC170" s="153">
        <v>5</v>
      </c>
      <c r="FD170" s="154">
        <v>5</v>
      </c>
      <c r="FE170" s="154">
        <v>1</v>
      </c>
      <c r="FF170" s="279">
        <v>4</v>
      </c>
      <c r="FG170" s="279"/>
      <c r="FH170" s="155"/>
      <c r="FI170" s="152">
        <v>28</v>
      </c>
      <c r="FJ170" s="153">
        <v>36</v>
      </c>
      <c r="FK170" s="153">
        <v>23</v>
      </c>
      <c r="FL170" s="153">
        <v>24</v>
      </c>
      <c r="FM170" s="154">
        <v>9</v>
      </c>
      <c r="FN170" s="154">
        <v>14</v>
      </c>
      <c r="FO170" s="279">
        <v>35</v>
      </c>
      <c r="FP170" s="279">
        <v>13</v>
      </c>
      <c r="FQ170" s="155"/>
      <c r="FR170" s="152">
        <v>3</v>
      </c>
      <c r="FS170" s="153">
        <v>3</v>
      </c>
      <c r="FT170" s="153">
        <v>12</v>
      </c>
      <c r="FU170" s="153">
        <v>5</v>
      </c>
      <c r="FV170" s="154">
        <v>1</v>
      </c>
      <c r="FW170" s="154">
        <v>1</v>
      </c>
      <c r="FX170" s="279">
        <v>2</v>
      </c>
      <c r="FY170" s="279"/>
      <c r="FZ170" s="155"/>
      <c r="GA170" s="152">
        <v>4</v>
      </c>
      <c r="GB170" s="153">
        <v>3</v>
      </c>
      <c r="GC170" s="153">
        <v>2</v>
      </c>
      <c r="GD170" s="153">
        <v>6</v>
      </c>
      <c r="GE170" s="154">
        <v>9</v>
      </c>
      <c r="GF170" s="154">
        <v>3</v>
      </c>
      <c r="GG170" s="279">
        <v>2</v>
      </c>
      <c r="GH170" s="279">
        <v>6</v>
      </c>
      <c r="GI170" s="155"/>
      <c r="GJ170" s="152">
        <v>684</v>
      </c>
      <c r="GK170" s="153">
        <v>759</v>
      </c>
      <c r="GL170" s="153">
        <v>823</v>
      </c>
      <c r="GM170" s="153">
        <v>719</v>
      </c>
      <c r="GN170" s="154">
        <v>513</v>
      </c>
      <c r="GO170" s="154">
        <v>410</v>
      </c>
      <c r="GP170" s="279">
        <v>342</v>
      </c>
      <c r="GQ170" s="279">
        <v>365</v>
      </c>
      <c r="GR170" s="155"/>
      <c r="GS170" s="152">
        <v>215</v>
      </c>
      <c r="GT170" s="153">
        <v>191</v>
      </c>
      <c r="GU170" s="153">
        <v>199</v>
      </c>
      <c r="GV170" s="153">
        <v>193</v>
      </c>
      <c r="GW170" s="154">
        <v>95</v>
      </c>
      <c r="GX170" s="154">
        <v>54</v>
      </c>
      <c r="GY170" s="279">
        <v>84</v>
      </c>
      <c r="GZ170" s="279">
        <v>70</v>
      </c>
      <c r="HA170" s="155"/>
      <c r="HB170" s="152">
        <v>2</v>
      </c>
      <c r="HC170" s="153"/>
      <c r="HD170" s="153">
        <v>1</v>
      </c>
      <c r="HE170" s="153"/>
      <c r="HF170" s="154"/>
      <c r="HG170" s="154"/>
      <c r="HH170" s="279">
        <v>1</v>
      </c>
      <c r="HI170" s="279">
        <v>2</v>
      </c>
      <c r="HJ170" s="155"/>
      <c r="HK170" s="152">
        <v>1</v>
      </c>
      <c r="HL170" s="153"/>
      <c r="HM170" s="153">
        <v>2</v>
      </c>
      <c r="HN170" s="153">
        <v>1</v>
      </c>
      <c r="HO170" s="154"/>
      <c r="HP170" s="154"/>
      <c r="HQ170" s="279"/>
      <c r="HR170" s="279"/>
      <c r="HS170" s="155"/>
      <c r="HT170" s="152">
        <v>322</v>
      </c>
      <c r="HU170" s="153">
        <v>257</v>
      </c>
      <c r="HV170" s="153">
        <v>260</v>
      </c>
      <c r="HW170" s="153">
        <v>266</v>
      </c>
      <c r="HX170" s="154">
        <v>158</v>
      </c>
      <c r="HY170" s="154">
        <v>130</v>
      </c>
      <c r="HZ170" s="279">
        <v>151</v>
      </c>
      <c r="IA170" s="279">
        <v>151</v>
      </c>
      <c r="IB170" s="155"/>
      <c r="IC170" s="152">
        <v>1353</v>
      </c>
      <c r="ID170" s="153">
        <v>1244</v>
      </c>
      <c r="IE170" s="153">
        <v>1320</v>
      </c>
      <c r="IF170" s="153">
        <v>1091</v>
      </c>
      <c r="IG170" s="154">
        <v>735</v>
      </c>
      <c r="IH170" s="154">
        <v>705</v>
      </c>
      <c r="II170" s="279">
        <v>694</v>
      </c>
      <c r="IJ170" s="279">
        <v>580</v>
      </c>
      <c r="IK170" s="155"/>
    </row>
    <row r="171" spans="1:245" x14ac:dyDescent="0.2">
      <c r="A171" s="961"/>
      <c r="B171" s="151" t="s">
        <v>753</v>
      </c>
      <c r="C171" s="152"/>
      <c r="D171" s="153"/>
      <c r="E171" s="153"/>
      <c r="F171" s="153"/>
      <c r="G171" s="154"/>
      <c r="H171" s="154"/>
      <c r="I171" s="279"/>
      <c r="J171" s="279"/>
      <c r="K171" s="155"/>
      <c r="L171" s="152"/>
      <c r="M171" s="153"/>
      <c r="N171" s="153"/>
      <c r="O171" s="153"/>
      <c r="P171" s="154"/>
      <c r="Q171" s="154"/>
      <c r="R171" s="279"/>
      <c r="S171" s="279"/>
      <c r="T171" s="155"/>
      <c r="U171" s="152"/>
      <c r="V171" s="153"/>
      <c r="W171" s="153"/>
      <c r="X171" s="153"/>
      <c r="Y171" s="154"/>
      <c r="Z171" s="154"/>
      <c r="AA171" s="279"/>
      <c r="AB171" s="279"/>
      <c r="AC171" s="155"/>
      <c r="AD171" s="152">
        <v>80</v>
      </c>
      <c r="AE171" s="153">
        <v>56</v>
      </c>
      <c r="AF171" s="153">
        <v>45</v>
      </c>
      <c r="AG171" s="153">
        <v>52</v>
      </c>
      <c r="AH171" s="154">
        <v>43</v>
      </c>
      <c r="AI171" s="154">
        <v>42</v>
      </c>
      <c r="AJ171" s="279">
        <v>38</v>
      </c>
      <c r="AK171" s="279">
        <v>32</v>
      </c>
      <c r="AL171" s="155"/>
      <c r="AM171" s="152">
        <v>42</v>
      </c>
      <c r="AN171" s="153">
        <v>24</v>
      </c>
      <c r="AO171" s="153">
        <v>12</v>
      </c>
      <c r="AP171" s="153">
        <v>27</v>
      </c>
      <c r="AQ171" s="154">
        <v>17</v>
      </c>
      <c r="AR171" s="154">
        <v>25</v>
      </c>
      <c r="AS171" s="279">
        <v>21</v>
      </c>
      <c r="AT171" s="279">
        <v>14</v>
      </c>
      <c r="AU171" s="155"/>
      <c r="AV171" s="152"/>
      <c r="AW171" s="153"/>
      <c r="AX171" s="153"/>
      <c r="AY171" s="153"/>
      <c r="AZ171" s="154"/>
      <c r="BA171" s="154"/>
      <c r="BB171" s="279"/>
      <c r="BC171" s="279"/>
      <c r="BD171" s="155"/>
      <c r="BE171" s="152">
        <v>1</v>
      </c>
      <c r="BF171" s="153">
        <v>2</v>
      </c>
      <c r="BG171" s="153">
        <v>3</v>
      </c>
      <c r="BH171" s="153"/>
      <c r="BI171" s="154">
        <v>8</v>
      </c>
      <c r="BJ171" s="154">
        <v>7</v>
      </c>
      <c r="BK171" s="279">
        <v>4</v>
      </c>
      <c r="BL171" s="279">
        <v>6</v>
      </c>
      <c r="BM171" s="155"/>
      <c r="BN171" s="152"/>
      <c r="BO171" s="153"/>
      <c r="BP171" s="153"/>
      <c r="BQ171" s="153"/>
      <c r="BR171" s="154"/>
      <c r="BS171" s="154"/>
      <c r="BT171" s="279"/>
      <c r="BU171" s="279"/>
      <c r="BV171" s="155"/>
      <c r="BW171" s="152">
        <v>99</v>
      </c>
      <c r="BX171" s="153">
        <v>84</v>
      </c>
      <c r="BY171" s="153">
        <v>62</v>
      </c>
      <c r="BZ171" s="153">
        <v>67</v>
      </c>
      <c r="CA171" s="154">
        <v>60</v>
      </c>
      <c r="CB171" s="154">
        <v>37</v>
      </c>
      <c r="CC171" s="279">
        <v>25</v>
      </c>
      <c r="CD171" s="279">
        <v>34</v>
      </c>
      <c r="CE171" s="155"/>
      <c r="CF171" s="152">
        <v>8</v>
      </c>
      <c r="CG171" s="153"/>
      <c r="CH171" s="153">
        <v>2</v>
      </c>
      <c r="CI171" s="153">
        <v>1</v>
      </c>
      <c r="CJ171" s="154"/>
      <c r="CK171" s="154"/>
      <c r="CL171" s="279"/>
      <c r="CM171" s="279"/>
      <c r="CN171" s="155"/>
      <c r="CO171" s="152">
        <v>3</v>
      </c>
      <c r="CP171" s="153"/>
      <c r="CQ171" s="153">
        <v>1</v>
      </c>
      <c r="CR171" s="153">
        <v>11</v>
      </c>
      <c r="CS171" s="154"/>
      <c r="CT171" s="154">
        <v>1</v>
      </c>
      <c r="CU171" s="279">
        <v>1</v>
      </c>
      <c r="CV171" s="279">
        <v>2</v>
      </c>
      <c r="CW171" s="155"/>
      <c r="CX171" s="152">
        <v>544</v>
      </c>
      <c r="CY171" s="153">
        <v>461</v>
      </c>
      <c r="CZ171" s="153">
        <v>457</v>
      </c>
      <c r="DA171" s="153">
        <v>367</v>
      </c>
      <c r="DB171" s="154">
        <v>355</v>
      </c>
      <c r="DC171" s="154">
        <v>319</v>
      </c>
      <c r="DD171" s="279">
        <v>267</v>
      </c>
      <c r="DE171" s="279">
        <v>222</v>
      </c>
      <c r="DF171" s="155"/>
      <c r="DG171" s="152"/>
      <c r="DH171" s="153">
        <v>3</v>
      </c>
      <c r="DI171" s="153">
        <v>1</v>
      </c>
      <c r="DJ171" s="153">
        <v>4</v>
      </c>
      <c r="DK171" s="154"/>
      <c r="DL171" s="154">
        <v>1</v>
      </c>
      <c r="DM171" s="279">
        <v>1</v>
      </c>
      <c r="DN171" s="279"/>
      <c r="DO171" s="155"/>
      <c r="DP171" s="152">
        <v>15</v>
      </c>
      <c r="DQ171" s="153">
        <v>14</v>
      </c>
      <c r="DR171" s="153">
        <v>23</v>
      </c>
      <c r="DS171" s="153">
        <v>6</v>
      </c>
      <c r="DT171" s="154">
        <v>8</v>
      </c>
      <c r="DU171" s="154">
        <v>4</v>
      </c>
      <c r="DV171" s="279">
        <v>6</v>
      </c>
      <c r="DW171" s="279">
        <v>4</v>
      </c>
      <c r="DX171" s="155"/>
      <c r="DY171" s="152">
        <v>53</v>
      </c>
      <c r="DZ171" s="153">
        <v>43</v>
      </c>
      <c r="EA171" s="153">
        <v>63</v>
      </c>
      <c r="EB171" s="153">
        <v>77</v>
      </c>
      <c r="EC171" s="154">
        <v>79</v>
      </c>
      <c r="ED171" s="154">
        <v>79</v>
      </c>
      <c r="EE171" s="279">
        <v>53</v>
      </c>
      <c r="EF171" s="279">
        <v>25</v>
      </c>
      <c r="EG171" s="155"/>
      <c r="EH171" s="152">
        <v>5</v>
      </c>
      <c r="EI171" s="153">
        <v>9</v>
      </c>
      <c r="EJ171" s="153">
        <v>2</v>
      </c>
      <c r="EK171" s="153">
        <v>9</v>
      </c>
      <c r="EL171" s="154"/>
      <c r="EM171" s="154">
        <v>4</v>
      </c>
      <c r="EN171" s="279">
        <v>1</v>
      </c>
      <c r="EO171" s="279">
        <v>2</v>
      </c>
      <c r="EP171" s="155"/>
      <c r="EQ171" s="152">
        <v>1</v>
      </c>
      <c r="ER171" s="153">
        <v>1</v>
      </c>
      <c r="ES171" s="153">
        <v>1</v>
      </c>
      <c r="ET171" s="153"/>
      <c r="EU171" s="154"/>
      <c r="EV171" s="154"/>
      <c r="EW171" s="279"/>
      <c r="EX171" s="279"/>
      <c r="EY171" s="155"/>
      <c r="EZ171" s="152">
        <v>3</v>
      </c>
      <c r="FA171" s="153">
        <v>2</v>
      </c>
      <c r="FB171" s="153">
        <v>1</v>
      </c>
      <c r="FC171" s="153">
        <v>3</v>
      </c>
      <c r="FD171" s="154">
        <v>1</v>
      </c>
      <c r="FE171" s="154"/>
      <c r="FF171" s="279"/>
      <c r="FG171" s="279"/>
      <c r="FH171" s="155"/>
      <c r="FI171" s="152">
        <v>38</v>
      </c>
      <c r="FJ171" s="153">
        <v>63</v>
      </c>
      <c r="FK171" s="153">
        <v>16</v>
      </c>
      <c r="FL171" s="153">
        <v>16</v>
      </c>
      <c r="FM171" s="154">
        <v>26</v>
      </c>
      <c r="FN171" s="154">
        <v>41</v>
      </c>
      <c r="FO171" s="279">
        <v>12</v>
      </c>
      <c r="FP171" s="279">
        <v>17</v>
      </c>
      <c r="FQ171" s="155"/>
      <c r="FR171" s="152">
        <v>19</v>
      </c>
      <c r="FS171" s="153">
        <v>7</v>
      </c>
      <c r="FT171" s="153">
        <v>3</v>
      </c>
      <c r="FU171" s="153">
        <v>3</v>
      </c>
      <c r="FV171" s="154">
        <v>1</v>
      </c>
      <c r="FW171" s="154">
        <v>4</v>
      </c>
      <c r="FX171" s="279"/>
      <c r="FY171" s="279"/>
      <c r="FZ171" s="155"/>
      <c r="GA171" s="152">
        <v>24</v>
      </c>
      <c r="GB171" s="153">
        <v>8</v>
      </c>
      <c r="GC171" s="153">
        <v>2</v>
      </c>
      <c r="GD171" s="153">
        <v>5</v>
      </c>
      <c r="GE171" s="154">
        <v>4</v>
      </c>
      <c r="GF171" s="154">
        <v>1</v>
      </c>
      <c r="GG171" s="279">
        <v>2</v>
      </c>
      <c r="GH171" s="279">
        <v>1</v>
      </c>
      <c r="GI171" s="155"/>
      <c r="GJ171" s="152">
        <v>825</v>
      </c>
      <c r="GK171" s="153">
        <v>693</v>
      </c>
      <c r="GL171" s="153">
        <v>595</v>
      </c>
      <c r="GM171" s="153">
        <v>534</v>
      </c>
      <c r="GN171" s="154">
        <v>498</v>
      </c>
      <c r="GO171" s="154">
        <v>456</v>
      </c>
      <c r="GP171" s="279">
        <v>350</v>
      </c>
      <c r="GQ171" s="279">
        <v>316</v>
      </c>
      <c r="GR171" s="155"/>
      <c r="GS171" s="152">
        <v>277</v>
      </c>
      <c r="GT171" s="153">
        <v>227</v>
      </c>
      <c r="GU171" s="153">
        <v>167</v>
      </c>
      <c r="GV171" s="153">
        <v>170</v>
      </c>
      <c r="GW171" s="154">
        <v>91</v>
      </c>
      <c r="GX171" s="154">
        <v>87</v>
      </c>
      <c r="GY171" s="279">
        <v>48</v>
      </c>
      <c r="GZ171" s="279">
        <v>61</v>
      </c>
      <c r="HA171" s="155"/>
      <c r="HB171" s="152">
        <v>2</v>
      </c>
      <c r="HC171" s="153"/>
      <c r="HD171" s="153"/>
      <c r="HE171" s="153">
        <v>2</v>
      </c>
      <c r="HF171" s="154">
        <v>1</v>
      </c>
      <c r="HG171" s="154"/>
      <c r="HH171" s="279">
        <v>1</v>
      </c>
      <c r="HI171" s="279"/>
      <c r="HJ171" s="155"/>
      <c r="HK171" s="152">
        <v>5</v>
      </c>
      <c r="HL171" s="153">
        <v>2</v>
      </c>
      <c r="HM171" s="153">
        <v>1</v>
      </c>
      <c r="HN171" s="153">
        <v>4</v>
      </c>
      <c r="HO171" s="154"/>
      <c r="HP171" s="154"/>
      <c r="HQ171" s="279"/>
      <c r="HR171" s="279">
        <v>1</v>
      </c>
      <c r="HS171" s="155"/>
      <c r="HT171" s="152">
        <v>395</v>
      </c>
      <c r="HU171" s="153">
        <v>304</v>
      </c>
      <c r="HV171" s="153">
        <v>241</v>
      </c>
      <c r="HW171" s="153">
        <v>288</v>
      </c>
      <c r="HX171" s="154">
        <v>179</v>
      </c>
      <c r="HY171" s="154">
        <v>178</v>
      </c>
      <c r="HZ171" s="279">
        <v>129</v>
      </c>
      <c r="IA171" s="279">
        <v>167</v>
      </c>
      <c r="IB171" s="155"/>
      <c r="IC171" s="152">
        <v>1410</v>
      </c>
      <c r="ID171" s="153">
        <v>1289</v>
      </c>
      <c r="IE171" s="153">
        <v>1001</v>
      </c>
      <c r="IF171" s="153">
        <v>1008</v>
      </c>
      <c r="IG171" s="154">
        <v>1168</v>
      </c>
      <c r="IH171" s="154">
        <v>787</v>
      </c>
      <c r="II171" s="279">
        <v>1001</v>
      </c>
      <c r="IJ171" s="279">
        <v>614</v>
      </c>
      <c r="IK171" s="155"/>
    </row>
    <row r="172" spans="1:245" ht="13.5" thickBot="1" x14ac:dyDescent="0.25">
      <c r="A172" s="961"/>
      <c r="B172" s="156" t="s">
        <v>626</v>
      </c>
      <c r="C172" s="157"/>
      <c r="D172" s="166"/>
      <c r="E172" s="166"/>
      <c r="F172" s="166"/>
      <c r="G172" s="158"/>
      <c r="H172" s="158"/>
      <c r="I172" s="280"/>
      <c r="J172" s="280"/>
      <c r="K172" s="159"/>
      <c r="L172" s="157"/>
      <c r="M172" s="166"/>
      <c r="N172" s="166"/>
      <c r="O172" s="166"/>
      <c r="P172" s="158"/>
      <c r="Q172" s="158"/>
      <c r="R172" s="280"/>
      <c r="S172" s="280"/>
      <c r="T172" s="159"/>
      <c r="U172" s="157"/>
      <c r="V172" s="166"/>
      <c r="W172" s="166"/>
      <c r="X172" s="166"/>
      <c r="Y172" s="158"/>
      <c r="Z172" s="158"/>
      <c r="AA172" s="280"/>
      <c r="AB172" s="280"/>
      <c r="AC172" s="159"/>
      <c r="AD172" s="157">
        <v>68</v>
      </c>
      <c r="AE172" s="166">
        <v>48</v>
      </c>
      <c r="AF172" s="166">
        <v>37</v>
      </c>
      <c r="AG172" s="166">
        <v>63</v>
      </c>
      <c r="AH172" s="158">
        <v>75</v>
      </c>
      <c r="AI172" s="158">
        <v>71</v>
      </c>
      <c r="AJ172" s="280">
        <v>135</v>
      </c>
      <c r="AK172" s="280">
        <v>103</v>
      </c>
      <c r="AL172" s="159"/>
      <c r="AM172" s="157">
        <v>22</v>
      </c>
      <c r="AN172" s="166">
        <v>12</v>
      </c>
      <c r="AO172" s="166">
        <v>16</v>
      </c>
      <c r="AP172" s="166">
        <v>28</v>
      </c>
      <c r="AQ172" s="158">
        <v>23</v>
      </c>
      <c r="AR172" s="158">
        <v>21</v>
      </c>
      <c r="AS172" s="280">
        <v>33</v>
      </c>
      <c r="AT172" s="280">
        <v>18</v>
      </c>
      <c r="AU172" s="159"/>
      <c r="AV172" s="157"/>
      <c r="AW172" s="166"/>
      <c r="AX172" s="166"/>
      <c r="AY172" s="166"/>
      <c r="AZ172" s="158"/>
      <c r="BA172" s="158"/>
      <c r="BB172" s="280"/>
      <c r="BC172" s="280"/>
      <c r="BD172" s="159"/>
      <c r="BE172" s="157">
        <v>9</v>
      </c>
      <c r="BF172" s="166">
        <v>9</v>
      </c>
      <c r="BG172" s="166">
        <v>13</v>
      </c>
      <c r="BH172" s="166">
        <v>1</v>
      </c>
      <c r="BI172" s="158">
        <v>3</v>
      </c>
      <c r="BJ172" s="158">
        <v>9</v>
      </c>
      <c r="BK172" s="280">
        <v>3</v>
      </c>
      <c r="BL172" s="280">
        <v>2</v>
      </c>
      <c r="BM172" s="159"/>
      <c r="BN172" s="157"/>
      <c r="BO172" s="166"/>
      <c r="BP172" s="166"/>
      <c r="BQ172" s="166"/>
      <c r="BR172" s="158"/>
      <c r="BS172" s="158"/>
      <c r="BT172" s="280"/>
      <c r="BU172" s="280"/>
      <c r="BV172" s="159"/>
      <c r="BW172" s="157">
        <v>72</v>
      </c>
      <c r="BX172" s="166">
        <v>33</v>
      </c>
      <c r="BY172" s="166">
        <v>22</v>
      </c>
      <c r="BZ172" s="166">
        <v>46</v>
      </c>
      <c r="CA172" s="158">
        <v>58</v>
      </c>
      <c r="CB172" s="158">
        <v>71</v>
      </c>
      <c r="CC172" s="280">
        <v>59</v>
      </c>
      <c r="CD172" s="280">
        <v>62</v>
      </c>
      <c r="CE172" s="159"/>
      <c r="CF172" s="157">
        <v>7</v>
      </c>
      <c r="CG172" s="166">
        <v>5</v>
      </c>
      <c r="CH172" s="166">
        <v>6</v>
      </c>
      <c r="CI172" s="166">
        <v>3</v>
      </c>
      <c r="CJ172" s="158">
        <v>6</v>
      </c>
      <c r="CK172" s="158">
        <v>2</v>
      </c>
      <c r="CL172" s="280">
        <v>4</v>
      </c>
      <c r="CM172" s="280">
        <v>3</v>
      </c>
      <c r="CN172" s="159"/>
      <c r="CO172" s="157">
        <v>7</v>
      </c>
      <c r="CP172" s="166">
        <v>5</v>
      </c>
      <c r="CQ172" s="166">
        <v>7</v>
      </c>
      <c r="CR172" s="166">
        <v>9</v>
      </c>
      <c r="CS172" s="158">
        <v>2</v>
      </c>
      <c r="CT172" s="158">
        <v>3</v>
      </c>
      <c r="CU172" s="280"/>
      <c r="CV172" s="280">
        <v>1</v>
      </c>
      <c r="CW172" s="159"/>
      <c r="CX172" s="157">
        <v>506</v>
      </c>
      <c r="CY172" s="166">
        <v>493</v>
      </c>
      <c r="CZ172" s="166">
        <v>445</v>
      </c>
      <c r="DA172" s="166">
        <v>469</v>
      </c>
      <c r="DB172" s="158">
        <v>415</v>
      </c>
      <c r="DC172" s="158">
        <v>324</v>
      </c>
      <c r="DD172" s="280">
        <v>327</v>
      </c>
      <c r="DE172" s="280">
        <v>214</v>
      </c>
      <c r="DF172" s="159"/>
      <c r="DG172" s="157">
        <v>3</v>
      </c>
      <c r="DH172" s="166">
        <v>3</v>
      </c>
      <c r="DI172" s="166">
        <v>2</v>
      </c>
      <c r="DJ172" s="166">
        <v>2</v>
      </c>
      <c r="DK172" s="158">
        <v>1</v>
      </c>
      <c r="DL172" s="158">
        <v>1</v>
      </c>
      <c r="DM172" s="280">
        <v>1</v>
      </c>
      <c r="DN172" s="280"/>
      <c r="DO172" s="159"/>
      <c r="DP172" s="157">
        <v>4</v>
      </c>
      <c r="DQ172" s="166">
        <v>4</v>
      </c>
      <c r="DR172" s="166">
        <v>3</v>
      </c>
      <c r="DS172" s="166">
        <v>3</v>
      </c>
      <c r="DT172" s="158">
        <v>5</v>
      </c>
      <c r="DU172" s="158">
        <v>1</v>
      </c>
      <c r="DV172" s="280">
        <v>3</v>
      </c>
      <c r="DW172" s="280"/>
      <c r="DX172" s="159"/>
      <c r="DY172" s="157">
        <v>80</v>
      </c>
      <c r="DZ172" s="166">
        <v>77</v>
      </c>
      <c r="EA172" s="166">
        <v>67</v>
      </c>
      <c r="EB172" s="166">
        <v>85</v>
      </c>
      <c r="EC172" s="158">
        <v>88</v>
      </c>
      <c r="ED172" s="158">
        <v>99</v>
      </c>
      <c r="EE172" s="280">
        <v>70</v>
      </c>
      <c r="EF172" s="280">
        <v>50</v>
      </c>
      <c r="EG172" s="159"/>
      <c r="EH172" s="157">
        <v>5</v>
      </c>
      <c r="EI172" s="166">
        <v>6</v>
      </c>
      <c r="EJ172" s="166">
        <v>2</v>
      </c>
      <c r="EK172" s="166">
        <v>2</v>
      </c>
      <c r="EL172" s="158">
        <v>2</v>
      </c>
      <c r="EM172" s="158">
        <v>5</v>
      </c>
      <c r="EN172" s="280">
        <v>2</v>
      </c>
      <c r="EO172" s="280">
        <v>5</v>
      </c>
      <c r="EP172" s="159"/>
      <c r="EQ172" s="157">
        <v>2</v>
      </c>
      <c r="ER172" s="166"/>
      <c r="ES172" s="166">
        <v>2</v>
      </c>
      <c r="ET172" s="166">
        <v>1</v>
      </c>
      <c r="EU172" s="158">
        <v>1</v>
      </c>
      <c r="EV172" s="158">
        <v>1</v>
      </c>
      <c r="EW172" s="280">
        <v>1</v>
      </c>
      <c r="EX172" s="280">
        <v>2</v>
      </c>
      <c r="EY172" s="159"/>
      <c r="EZ172" s="157">
        <v>7</v>
      </c>
      <c r="FA172" s="166">
        <v>3</v>
      </c>
      <c r="FB172" s="166">
        <v>1</v>
      </c>
      <c r="FC172" s="166">
        <v>4</v>
      </c>
      <c r="FD172" s="158">
        <v>1</v>
      </c>
      <c r="FE172" s="158">
        <v>1</v>
      </c>
      <c r="FF172" s="280">
        <v>5</v>
      </c>
      <c r="FG172" s="280"/>
      <c r="FH172" s="159"/>
      <c r="FI172" s="157">
        <v>27</v>
      </c>
      <c r="FJ172" s="166">
        <v>21</v>
      </c>
      <c r="FK172" s="166">
        <v>33</v>
      </c>
      <c r="FL172" s="166">
        <v>17</v>
      </c>
      <c r="FM172" s="158">
        <v>17</v>
      </c>
      <c r="FN172" s="158">
        <v>15</v>
      </c>
      <c r="FO172" s="280">
        <v>21</v>
      </c>
      <c r="FP172" s="280">
        <v>10</v>
      </c>
      <c r="FQ172" s="159"/>
      <c r="FR172" s="157">
        <v>8</v>
      </c>
      <c r="FS172" s="166">
        <v>9</v>
      </c>
      <c r="FT172" s="166">
        <v>5</v>
      </c>
      <c r="FU172" s="166">
        <v>6</v>
      </c>
      <c r="FV172" s="158">
        <v>2</v>
      </c>
      <c r="FW172" s="158">
        <v>2</v>
      </c>
      <c r="FX172" s="280">
        <v>2</v>
      </c>
      <c r="FY172" s="280">
        <v>3</v>
      </c>
      <c r="FZ172" s="159"/>
      <c r="GA172" s="157">
        <v>4</v>
      </c>
      <c r="GB172" s="166">
        <v>6</v>
      </c>
      <c r="GC172" s="166">
        <v>5</v>
      </c>
      <c r="GD172" s="166">
        <v>2</v>
      </c>
      <c r="GE172" s="158">
        <v>3</v>
      </c>
      <c r="GF172" s="158">
        <v>3</v>
      </c>
      <c r="GG172" s="280">
        <v>2</v>
      </c>
      <c r="GH172" s="280">
        <v>4</v>
      </c>
      <c r="GI172" s="159"/>
      <c r="GJ172" s="157">
        <v>722</v>
      </c>
      <c r="GK172" s="166">
        <v>638</v>
      </c>
      <c r="GL172" s="166">
        <v>578</v>
      </c>
      <c r="GM172" s="166">
        <v>623</v>
      </c>
      <c r="GN172" s="158">
        <v>585</v>
      </c>
      <c r="GO172" s="158">
        <v>507</v>
      </c>
      <c r="GP172" s="280">
        <v>561</v>
      </c>
      <c r="GQ172" s="280">
        <v>409</v>
      </c>
      <c r="GR172" s="159"/>
      <c r="GS172" s="157">
        <v>208</v>
      </c>
      <c r="GT172" s="166">
        <v>164</v>
      </c>
      <c r="GU172" s="166">
        <v>124</v>
      </c>
      <c r="GV172" s="166">
        <v>146</v>
      </c>
      <c r="GW172" s="158">
        <v>89</v>
      </c>
      <c r="GX172" s="158">
        <v>109</v>
      </c>
      <c r="GY172" s="280">
        <v>90</v>
      </c>
      <c r="GZ172" s="280">
        <v>86</v>
      </c>
      <c r="HA172" s="159"/>
      <c r="HB172" s="157"/>
      <c r="HC172" s="166">
        <v>1</v>
      </c>
      <c r="HD172" s="166">
        <v>2</v>
      </c>
      <c r="HE172" s="166">
        <v>1</v>
      </c>
      <c r="HF172" s="158">
        <v>1</v>
      </c>
      <c r="HG172" s="158"/>
      <c r="HH172" s="280"/>
      <c r="HI172" s="280">
        <v>1</v>
      </c>
      <c r="HJ172" s="159"/>
      <c r="HK172" s="157">
        <v>1</v>
      </c>
      <c r="HL172" s="166">
        <v>1</v>
      </c>
      <c r="HM172" s="166"/>
      <c r="HN172" s="166"/>
      <c r="HO172" s="158">
        <v>2</v>
      </c>
      <c r="HP172" s="158"/>
      <c r="HQ172" s="280"/>
      <c r="HR172" s="280"/>
      <c r="HS172" s="159"/>
      <c r="HT172" s="157">
        <v>313</v>
      </c>
      <c r="HU172" s="166">
        <v>260</v>
      </c>
      <c r="HV172" s="166">
        <v>225</v>
      </c>
      <c r="HW172" s="166">
        <v>224</v>
      </c>
      <c r="HX172" s="158">
        <v>194</v>
      </c>
      <c r="HY172" s="158">
        <v>164</v>
      </c>
      <c r="HZ172" s="280">
        <v>165</v>
      </c>
      <c r="IA172" s="280">
        <v>188</v>
      </c>
      <c r="IB172" s="159"/>
      <c r="IC172" s="157">
        <v>1471</v>
      </c>
      <c r="ID172" s="166">
        <v>1454</v>
      </c>
      <c r="IE172" s="166">
        <v>1169</v>
      </c>
      <c r="IF172" s="166">
        <v>925</v>
      </c>
      <c r="IG172" s="158">
        <v>909</v>
      </c>
      <c r="IH172" s="158">
        <v>785</v>
      </c>
      <c r="II172" s="280">
        <v>958</v>
      </c>
      <c r="IJ172" s="280">
        <v>862</v>
      </c>
      <c r="IK172" s="159"/>
    </row>
    <row r="173" spans="1:245" s="134" customFormat="1" ht="13.5" thickBot="1" x14ac:dyDescent="0.25">
      <c r="A173" s="962"/>
      <c r="B173" s="189" t="s">
        <v>792</v>
      </c>
      <c r="C173" s="273">
        <v>7</v>
      </c>
      <c r="D173" s="190">
        <v>6</v>
      </c>
      <c r="E173" s="190">
        <v>4</v>
      </c>
      <c r="F173" s="190">
        <v>5</v>
      </c>
      <c r="G173" s="190">
        <v>4</v>
      </c>
      <c r="H173" s="190">
        <v>1</v>
      </c>
      <c r="I173" s="190">
        <v>2</v>
      </c>
      <c r="J173" s="190">
        <v>1</v>
      </c>
      <c r="K173" s="286"/>
      <c r="L173" s="273">
        <v>2</v>
      </c>
      <c r="M173" s="190">
        <v>6</v>
      </c>
      <c r="N173" s="190">
        <v>1</v>
      </c>
      <c r="O173" s="190">
        <v>3</v>
      </c>
      <c r="P173" s="190">
        <v>2</v>
      </c>
      <c r="Q173" s="190">
        <v>1</v>
      </c>
      <c r="R173" s="190">
        <v>1</v>
      </c>
      <c r="S173" s="190">
        <v>1</v>
      </c>
      <c r="T173" s="286"/>
      <c r="U173" s="273">
        <v>5</v>
      </c>
      <c r="V173" s="190"/>
      <c r="W173" s="190">
        <v>3</v>
      </c>
      <c r="X173" s="190">
        <v>1</v>
      </c>
      <c r="Y173" s="190">
        <v>2</v>
      </c>
      <c r="Z173" s="190"/>
      <c r="AA173" s="190"/>
      <c r="AB173" s="190"/>
      <c r="AC173" s="286"/>
      <c r="AD173" s="273">
        <v>438</v>
      </c>
      <c r="AE173" s="190">
        <v>385</v>
      </c>
      <c r="AF173" s="190">
        <v>365</v>
      </c>
      <c r="AG173" s="190">
        <v>346</v>
      </c>
      <c r="AH173" s="190">
        <v>372</v>
      </c>
      <c r="AI173" s="190">
        <v>345</v>
      </c>
      <c r="AJ173" s="190">
        <v>403</v>
      </c>
      <c r="AK173" s="190">
        <v>355</v>
      </c>
      <c r="AL173" s="286"/>
      <c r="AM173" s="273">
        <v>178</v>
      </c>
      <c r="AN173" s="190">
        <v>134</v>
      </c>
      <c r="AO173" s="190">
        <v>146</v>
      </c>
      <c r="AP173" s="190">
        <v>156</v>
      </c>
      <c r="AQ173" s="190">
        <v>149</v>
      </c>
      <c r="AR173" s="190">
        <v>149</v>
      </c>
      <c r="AS173" s="190">
        <v>147</v>
      </c>
      <c r="AT173" s="190">
        <v>101</v>
      </c>
      <c r="AU173" s="286"/>
      <c r="AV173" s="273">
        <v>1</v>
      </c>
      <c r="AW173" s="190"/>
      <c r="AX173" s="190"/>
      <c r="AY173" s="190"/>
      <c r="AZ173" s="190">
        <v>1</v>
      </c>
      <c r="BA173" s="190"/>
      <c r="BB173" s="190"/>
      <c r="BC173" s="190">
        <v>1</v>
      </c>
      <c r="BD173" s="286"/>
      <c r="BE173" s="273">
        <v>49</v>
      </c>
      <c r="BF173" s="190">
        <v>46</v>
      </c>
      <c r="BG173" s="190">
        <v>38</v>
      </c>
      <c r="BH173" s="190">
        <v>24</v>
      </c>
      <c r="BI173" s="190">
        <v>37</v>
      </c>
      <c r="BJ173" s="190">
        <v>37</v>
      </c>
      <c r="BK173" s="190">
        <v>18</v>
      </c>
      <c r="BL173" s="190">
        <v>22</v>
      </c>
      <c r="BM173" s="286"/>
      <c r="BN173" s="273"/>
      <c r="BO173" s="190"/>
      <c r="BP173" s="190"/>
      <c r="BQ173" s="190"/>
      <c r="BR173" s="190">
        <v>2</v>
      </c>
      <c r="BS173" s="190">
        <v>2</v>
      </c>
      <c r="BT173" s="190">
        <v>1</v>
      </c>
      <c r="BU173" s="190">
        <v>1</v>
      </c>
      <c r="BV173" s="286"/>
      <c r="BW173" s="273">
        <v>393</v>
      </c>
      <c r="BX173" s="190">
        <v>264</v>
      </c>
      <c r="BY173" s="190">
        <v>242</v>
      </c>
      <c r="BZ173" s="190">
        <v>240</v>
      </c>
      <c r="CA173" s="190">
        <v>294</v>
      </c>
      <c r="CB173" s="190">
        <v>198</v>
      </c>
      <c r="CC173" s="190">
        <v>174</v>
      </c>
      <c r="CD173" s="190">
        <v>201</v>
      </c>
      <c r="CE173" s="286"/>
      <c r="CF173" s="273">
        <v>25</v>
      </c>
      <c r="CG173" s="190">
        <v>25</v>
      </c>
      <c r="CH173" s="190">
        <v>28</v>
      </c>
      <c r="CI173" s="190">
        <v>21</v>
      </c>
      <c r="CJ173" s="190">
        <v>11</v>
      </c>
      <c r="CK173" s="190">
        <v>9</v>
      </c>
      <c r="CL173" s="190">
        <v>9</v>
      </c>
      <c r="CM173" s="190">
        <v>7</v>
      </c>
      <c r="CN173" s="286"/>
      <c r="CO173" s="273">
        <v>52</v>
      </c>
      <c r="CP173" s="190">
        <v>33</v>
      </c>
      <c r="CQ173" s="190">
        <v>13</v>
      </c>
      <c r="CR173" s="190">
        <v>24</v>
      </c>
      <c r="CS173" s="190">
        <v>5</v>
      </c>
      <c r="CT173" s="190">
        <v>8</v>
      </c>
      <c r="CU173" s="190">
        <v>3</v>
      </c>
      <c r="CV173" s="190">
        <v>13</v>
      </c>
      <c r="CW173" s="286"/>
      <c r="CX173" s="273">
        <v>3276</v>
      </c>
      <c r="CY173" s="190">
        <v>2808</v>
      </c>
      <c r="CZ173" s="190">
        <v>2949</v>
      </c>
      <c r="DA173" s="190">
        <v>2766</v>
      </c>
      <c r="DB173" s="190">
        <v>2391</v>
      </c>
      <c r="DC173" s="190">
        <v>2149</v>
      </c>
      <c r="DD173" s="190">
        <v>1718</v>
      </c>
      <c r="DE173" s="190">
        <v>1471</v>
      </c>
      <c r="DF173" s="286"/>
      <c r="DG173" s="273">
        <v>14</v>
      </c>
      <c r="DH173" s="190">
        <v>14</v>
      </c>
      <c r="DI173" s="190">
        <v>12</v>
      </c>
      <c r="DJ173" s="190">
        <v>19</v>
      </c>
      <c r="DK173" s="190">
        <v>6</v>
      </c>
      <c r="DL173" s="190">
        <v>32</v>
      </c>
      <c r="DM173" s="190">
        <v>7</v>
      </c>
      <c r="DN173" s="190">
        <v>1</v>
      </c>
      <c r="DO173" s="286"/>
      <c r="DP173" s="273">
        <v>101</v>
      </c>
      <c r="DQ173" s="190">
        <v>49</v>
      </c>
      <c r="DR173" s="190">
        <v>51</v>
      </c>
      <c r="DS173" s="190">
        <v>35</v>
      </c>
      <c r="DT173" s="190">
        <v>45</v>
      </c>
      <c r="DU173" s="190">
        <v>33</v>
      </c>
      <c r="DV173" s="190">
        <v>20</v>
      </c>
      <c r="DW173" s="190">
        <v>20</v>
      </c>
      <c r="DX173" s="286"/>
      <c r="DY173" s="273">
        <v>330</v>
      </c>
      <c r="DZ173" s="190">
        <v>313</v>
      </c>
      <c r="EA173" s="190">
        <v>374</v>
      </c>
      <c r="EB173" s="190">
        <v>391</v>
      </c>
      <c r="EC173" s="190">
        <v>456</v>
      </c>
      <c r="ED173" s="190">
        <v>519</v>
      </c>
      <c r="EE173" s="190">
        <v>365</v>
      </c>
      <c r="EF173" s="190">
        <v>253</v>
      </c>
      <c r="EG173" s="286"/>
      <c r="EH173" s="273">
        <v>43</v>
      </c>
      <c r="EI173" s="190">
        <v>43</v>
      </c>
      <c r="EJ173" s="190">
        <v>23</v>
      </c>
      <c r="EK173" s="190">
        <v>41</v>
      </c>
      <c r="EL173" s="190">
        <v>17</v>
      </c>
      <c r="EM173" s="190">
        <v>14</v>
      </c>
      <c r="EN173" s="190">
        <v>13</v>
      </c>
      <c r="EO173" s="190">
        <v>20</v>
      </c>
      <c r="EP173" s="286"/>
      <c r="EQ173" s="273">
        <v>9</v>
      </c>
      <c r="ER173" s="190">
        <v>6</v>
      </c>
      <c r="ES173" s="190">
        <v>5</v>
      </c>
      <c r="ET173" s="190">
        <v>7</v>
      </c>
      <c r="EU173" s="190">
        <v>6</v>
      </c>
      <c r="EV173" s="190">
        <v>2</v>
      </c>
      <c r="EW173" s="190">
        <v>3</v>
      </c>
      <c r="EX173" s="190">
        <v>5</v>
      </c>
      <c r="EY173" s="286"/>
      <c r="EZ173" s="273">
        <v>70</v>
      </c>
      <c r="FA173" s="190">
        <v>30</v>
      </c>
      <c r="FB173" s="190">
        <v>25</v>
      </c>
      <c r="FC173" s="190">
        <v>24</v>
      </c>
      <c r="FD173" s="190">
        <v>17</v>
      </c>
      <c r="FE173" s="190">
        <v>2</v>
      </c>
      <c r="FF173" s="190">
        <v>15</v>
      </c>
      <c r="FG173" s="190">
        <v>4</v>
      </c>
      <c r="FH173" s="286"/>
      <c r="FI173" s="273">
        <v>227</v>
      </c>
      <c r="FJ173" s="190">
        <v>251</v>
      </c>
      <c r="FK173" s="190">
        <v>167</v>
      </c>
      <c r="FL173" s="190">
        <v>115</v>
      </c>
      <c r="FM173" s="190">
        <v>111</v>
      </c>
      <c r="FN173" s="190">
        <v>137</v>
      </c>
      <c r="FO173" s="190">
        <v>140</v>
      </c>
      <c r="FP173" s="190">
        <v>165</v>
      </c>
      <c r="FQ173" s="286"/>
      <c r="FR173" s="273">
        <v>49</v>
      </c>
      <c r="FS173" s="190">
        <v>28</v>
      </c>
      <c r="FT173" s="190">
        <v>29</v>
      </c>
      <c r="FU173" s="190">
        <v>22</v>
      </c>
      <c r="FV173" s="190">
        <v>9</v>
      </c>
      <c r="FW173" s="190">
        <v>13</v>
      </c>
      <c r="FX173" s="190">
        <v>8</v>
      </c>
      <c r="FY173" s="190">
        <v>6</v>
      </c>
      <c r="FZ173" s="286"/>
      <c r="GA173" s="273">
        <v>47</v>
      </c>
      <c r="GB173" s="190">
        <v>33</v>
      </c>
      <c r="GC173" s="190">
        <v>22</v>
      </c>
      <c r="GD173" s="190">
        <v>20</v>
      </c>
      <c r="GE173" s="190">
        <v>26</v>
      </c>
      <c r="GF173" s="190">
        <v>14</v>
      </c>
      <c r="GG173" s="190">
        <v>19</v>
      </c>
      <c r="GH173" s="190">
        <v>36</v>
      </c>
      <c r="GI173" s="286"/>
      <c r="GJ173" s="273">
        <v>4685</v>
      </c>
      <c r="GK173" s="190">
        <v>3958</v>
      </c>
      <c r="GL173" s="190">
        <v>3910</v>
      </c>
      <c r="GM173" s="190">
        <v>3655</v>
      </c>
      <c r="GN173" s="190">
        <v>3302</v>
      </c>
      <c r="GO173" s="190">
        <v>2931</v>
      </c>
      <c r="GP173" s="190">
        <v>2526</v>
      </c>
      <c r="GQ173" s="190">
        <v>2307</v>
      </c>
      <c r="GR173" s="286"/>
      <c r="GS173" s="273">
        <v>1408</v>
      </c>
      <c r="GT173" s="190">
        <v>1177</v>
      </c>
      <c r="GU173" s="190">
        <v>995</v>
      </c>
      <c r="GV173" s="190">
        <v>863</v>
      </c>
      <c r="GW173" s="190">
        <v>568</v>
      </c>
      <c r="GX173" s="190">
        <v>535</v>
      </c>
      <c r="GY173" s="190">
        <v>477</v>
      </c>
      <c r="GZ173" s="190">
        <v>522</v>
      </c>
      <c r="HA173" s="286"/>
      <c r="HB173" s="273">
        <v>9</v>
      </c>
      <c r="HC173" s="190">
        <v>5</v>
      </c>
      <c r="HD173" s="190">
        <v>7</v>
      </c>
      <c r="HE173" s="190">
        <v>6</v>
      </c>
      <c r="HF173" s="190">
        <v>8</v>
      </c>
      <c r="HG173" s="190"/>
      <c r="HH173" s="190">
        <v>5</v>
      </c>
      <c r="HI173" s="190">
        <v>3</v>
      </c>
      <c r="HJ173" s="286"/>
      <c r="HK173" s="273">
        <v>14</v>
      </c>
      <c r="HL173" s="190">
        <v>4</v>
      </c>
      <c r="HM173" s="190">
        <v>6</v>
      </c>
      <c r="HN173" s="190">
        <v>7</v>
      </c>
      <c r="HO173" s="190">
        <v>4</v>
      </c>
      <c r="HP173" s="190">
        <v>1</v>
      </c>
      <c r="HQ173" s="190"/>
      <c r="HR173" s="190">
        <v>4</v>
      </c>
      <c r="HS173" s="286"/>
      <c r="HT173" s="273">
        <v>2042</v>
      </c>
      <c r="HU173" s="190">
        <v>1610</v>
      </c>
      <c r="HV173" s="190">
        <v>1413</v>
      </c>
      <c r="HW173" s="190">
        <v>1341</v>
      </c>
      <c r="HX173" s="190">
        <v>1097</v>
      </c>
      <c r="HY173" s="190">
        <v>982</v>
      </c>
      <c r="HZ173" s="190">
        <v>955</v>
      </c>
      <c r="IA173" s="190">
        <v>1050</v>
      </c>
      <c r="IB173" s="286"/>
      <c r="IC173" s="273">
        <v>9476</v>
      </c>
      <c r="ID173" s="190">
        <v>7982</v>
      </c>
      <c r="IE173" s="190">
        <v>7117</v>
      </c>
      <c r="IF173" s="190">
        <v>6187</v>
      </c>
      <c r="IG173" s="190">
        <v>6384</v>
      </c>
      <c r="IH173" s="190">
        <v>4782</v>
      </c>
      <c r="II173" s="190">
        <v>5159</v>
      </c>
      <c r="IJ173" s="190">
        <v>4326</v>
      </c>
      <c r="IK173" s="286"/>
    </row>
    <row r="174" spans="1:245" x14ac:dyDescent="0.2">
      <c r="A174" s="960" t="s">
        <v>607</v>
      </c>
      <c r="B174" s="146" t="s">
        <v>608</v>
      </c>
      <c r="C174" s="147">
        <v>3</v>
      </c>
      <c r="D174" s="148">
        <v>6</v>
      </c>
      <c r="E174" s="148">
        <v>5</v>
      </c>
      <c r="F174" s="148">
        <v>6</v>
      </c>
      <c r="G174" s="149">
        <v>2</v>
      </c>
      <c r="H174" s="149">
        <v>2</v>
      </c>
      <c r="I174" s="278">
        <v>6</v>
      </c>
      <c r="J174" s="278">
        <v>2</v>
      </c>
      <c r="K174" s="150"/>
      <c r="L174" s="147">
        <v>3</v>
      </c>
      <c r="M174" s="148">
        <v>4</v>
      </c>
      <c r="N174" s="148">
        <v>1</v>
      </c>
      <c r="O174" s="148">
        <v>4</v>
      </c>
      <c r="P174" s="149">
        <v>1</v>
      </c>
      <c r="Q174" s="149">
        <v>2</v>
      </c>
      <c r="R174" s="278">
        <v>2</v>
      </c>
      <c r="S174" s="278">
        <v>1</v>
      </c>
      <c r="T174" s="150"/>
      <c r="U174" s="147"/>
      <c r="V174" s="148">
        <v>1</v>
      </c>
      <c r="W174" s="148">
        <v>4</v>
      </c>
      <c r="X174" s="148">
        <v>1</v>
      </c>
      <c r="Y174" s="149">
        <v>1</v>
      </c>
      <c r="Z174" s="149"/>
      <c r="AA174" s="278">
        <v>1</v>
      </c>
      <c r="AB174" s="278">
        <v>1</v>
      </c>
      <c r="AC174" s="150"/>
      <c r="AD174" s="147">
        <v>9</v>
      </c>
      <c r="AE174" s="148">
        <v>8</v>
      </c>
      <c r="AF174" s="148">
        <v>10</v>
      </c>
      <c r="AG174" s="148">
        <v>9</v>
      </c>
      <c r="AH174" s="149">
        <v>10</v>
      </c>
      <c r="AI174" s="149">
        <v>11</v>
      </c>
      <c r="AJ174" s="278">
        <v>6</v>
      </c>
      <c r="AK174" s="278">
        <v>2</v>
      </c>
      <c r="AL174" s="150"/>
      <c r="AM174" s="147">
        <v>6</v>
      </c>
      <c r="AN174" s="148">
        <v>7</v>
      </c>
      <c r="AO174" s="148">
        <v>7</v>
      </c>
      <c r="AP174" s="148">
        <v>8</v>
      </c>
      <c r="AQ174" s="149">
        <v>9</v>
      </c>
      <c r="AR174" s="149">
        <v>9</v>
      </c>
      <c r="AS174" s="278">
        <v>6</v>
      </c>
      <c r="AT174" s="278">
        <v>1</v>
      </c>
      <c r="AU174" s="150"/>
      <c r="AV174" s="147">
        <v>1</v>
      </c>
      <c r="AW174" s="148"/>
      <c r="AX174" s="148">
        <v>1</v>
      </c>
      <c r="AY174" s="148"/>
      <c r="AZ174" s="149">
        <v>1</v>
      </c>
      <c r="BA174" s="149">
        <v>1</v>
      </c>
      <c r="BB174" s="278"/>
      <c r="BC174" s="278"/>
      <c r="BD174" s="150"/>
      <c r="BE174" s="147"/>
      <c r="BF174" s="148"/>
      <c r="BG174" s="148"/>
      <c r="BH174" s="148">
        <v>4</v>
      </c>
      <c r="BI174" s="149">
        <v>2</v>
      </c>
      <c r="BJ174" s="149"/>
      <c r="BK174" s="278">
        <v>4</v>
      </c>
      <c r="BL174" s="278">
        <v>3</v>
      </c>
      <c r="BM174" s="150"/>
      <c r="BN174" s="147"/>
      <c r="BO174" s="148">
        <v>1</v>
      </c>
      <c r="BP174" s="148"/>
      <c r="BQ174" s="148"/>
      <c r="BR174" s="149">
        <v>3</v>
      </c>
      <c r="BS174" s="149"/>
      <c r="BT174" s="278"/>
      <c r="BU174" s="278"/>
      <c r="BV174" s="150"/>
      <c r="BW174" s="147">
        <v>8</v>
      </c>
      <c r="BX174" s="148">
        <v>17</v>
      </c>
      <c r="BY174" s="148">
        <v>12</v>
      </c>
      <c r="BZ174" s="148">
        <v>7</v>
      </c>
      <c r="CA174" s="149">
        <v>12</v>
      </c>
      <c r="CB174" s="149">
        <v>6</v>
      </c>
      <c r="CC174" s="278">
        <v>2</v>
      </c>
      <c r="CD174" s="278">
        <v>4</v>
      </c>
      <c r="CE174" s="150"/>
      <c r="CF174" s="147"/>
      <c r="CG174" s="148"/>
      <c r="CH174" s="148"/>
      <c r="CI174" s="148"/>
      <c r="CJ174" s="149"/>
      <c r="CK174" s="149"/>
      <c r="CL174" s="278">
        <v>1</v>
      </c>
      <c r="CM174" s="278"/>
      <c r="CN174" s="150"/>
      <c r="CO174" s="147">
        <v>2</v>
      </c>
      <c r="CP174" s="148">
        <v>6</v>
      </c>
      <c r="CQ174" s="148">
        <v>7</v>
      </c>
      <c r="CR174" s="148">
        <v>5</v>
      </c>
      <c r="CS174" s="149">
        <v>5</v>
      </c>
      <c r="CT174" s="149">
        <v>7</v>
      </c>
      <c r="CU174" s="278">
        <v>1</v>
      </c>
      <c r="CV174" s="278">
        <v>2</v>
      </c>
      <c r="CW174" s="150"/>
      <c r="CX174" s="147">
        <v>174</v>
      </c>
      <c r="CY174" s="148">
        <v>52</v>
      </c>
      <c r="CZ174" s="148">
        <v>60</v>
      </c>
      <c r="DA174" s="148">
        <v>16</v>
      </c>
      <c r="DB174" s="149">
        <v>34</v>
      </c>
      <c r="DC174" s="149">
        <v>16</v>
      </c>
      <c r="DD174" s="278">
        <v>23</v>
      </c>
      <c r="DE174" s="278">
        <v>10</v>
      </c>
      <c r="DF174" s="150"/>
      <c r="DG174" s="147"/>
      <c r="DH174" s="148"/>
      <c r="DI174" s="148"/>
      <c r="DJ174" s="148"/>
      <c r="DK174" s="149"/>
      <c r="DL174" s="149"/>
      <c r="DM174" s="278"/>
      <c r="DN174" s="278"/>
      <c r="DO174" s="150"/>
      <c r="DP174" s="147">
        <v>63</v>
      </c>
      <c r="DQ174" s="148"/>
      <c r="DR174" s="148"/>
      <c r="DS174" s="148"/>
      <c r="DT174" s="149">
        <v>12</v>
      </c>
      <c r="DU174" s="149"/>
      <c r="DV174" s="278"/>
      <c r="DW174" s="278"/>
      <c r="DX174" s="150"/>
      <c r="DY174" s="147"/>
      <c r="DZ174" s="148"/>
      <c r="EA174" s="148">
        <v>1</v>
      </c>
      <c r="EB174" s="148"/>
      <c r="EC174" s="149"/>
      <c r="ED174" s="149"/>
      <c r="EE174" s="278"/>
      <c r="EF174" s="278"/>
      <c r="EG174" s="150"/>
      <c r="EH174" s="147">
        <v>5</v>
      </c>
      <c r="EI174" s="148">
        <v>12</v>
      </c>
      <c r="EJ174" s="148">
        <v>3</v>
      </c>
      <c r="EK174" s="148">
        <v>3</v>
      </c>
      <c r="EL174" s="149">
        <v>2</v>
      </c>
      <c r="EM174" s="149">
        <v>2</v>
      </c>
      <c r="EN174" s="278">
        <v>2</v>
      </c>
      <c r="EO174" s="278">
        <v>1</v>
      </c>
      <c r="EP174" s="150"/>
      <c r="EQ174" s="147"/>
      <c r="ER174" s="148"/>
      <c r="ES174" s="148"/>
      <c r="ET174" s="148"/>
      <c r="EU174" s="149"/>
      <c r="EV174" s="149"/>
      <c r="EW174" s="278"/>
      <c r="EX174" s="278">
        <v>3</v>
      </c>
      <c r="EY174" s="150"/>
      <c r="EZ174" s="147">
        <v>5</v>
      </c>
      <c r="FA174" s="148"/>
      <c r="FB174" s="148">
        <v>3</v>
      </c>
      <c r="FC174" s="148"/>
      <c r="FD174" s="149"/>
      <c r="FE174" s="149"/>
      <c r="FF174" s="278"/>
      <c r="FG174" s="278"/>
      <c r="FH174" s="150"/>
      <c r="FI174" s="147">
        <v>4</v>
      </c>
      <c r="FJ174" s="148">
        <v>17</v>
      </c>
      <c r="FK174" s="148">
        <v>9</v>
      </c>
      <c r="FL174" s="148">
        <v>3</v>
      </c>
      <c r="FM174" s="149">
        <v>4</v>
      </c>
      <c r="FN174" s="149"/>
      <c r="FO174" s="278">
        <v>2</v>
      </c>
      <c r="FP174" s="278">
        <v>6</v>
      </c>
      <c r="FQ174" s="150"/>
      <c r="FR174" s="147">
        <v>4</v>
      </c>
      <c r="FS174" s="148"/>
      <c r="FT174" s="148">
        <v>10</v>
      </c>
      <c r="FU174" s="148">
        <v>1</v>
      </c>
      <c r="FV174" s="149">
        <v>5</v>
      </c>
      <c r="FW174" s="149">
        <v>6</v>
      </c>
      <c r="FX174" s="278"/>
      <c r="FY174" s="278">
        <v>1</v>
      </c>
      <c r="FZ174" s="150"/>
      <c r="GA174" s="147"/>
      <c r="GB174" s="148"/>
      <c r="GC174" s="148"/>
      <c r="GD174" s="148"/>
      <c r="GE174" s="149">
        <v>1</v>
      </c>
      <c r="GF174" s="149"/>
      <c r="GG174" s="278"/>
      <c r="GH174" s="278">
        <v>1</v>
      </c>
      <c r="GI174" s="150"/>
      <c r="GJ174" s="147">
        <v>214</v>
      </c>
      <c r="GK174" s="148">
        <v>119</v>
      </c>
      <c r="GL174" s="148">
        <v>119</v>
      </c>
      <c r="GM174" s="148">
        <v>54</v>
      </c>
      <c r="GN174" s="149">
        <v>80</v>
      </c>
      <c r="GO174" s="149">
        <v>50</v>
      </c>
      <c r="GP174" s="278">
        <v>47</v>
      </c>
      <c r="GQ174" s="278">
        <v>35</v>
      </c>
      <c r="GR174" s="150"/>
      <c r="GS174" s="147">
        <v>169</v>
      </c>
      <c r="GT174" s="148">
        <v>61</v>
      </c>
      <c r="GU174" s="148">
        <v>76</v>
      </c>
      <c r="GV174" s="148">
        <v>19</v>
      </c>
      <c r="GW174" s="149">
        <v>10</v>
      </c>
      <c r="GX174" s="149">
        <v>16</v>
      </c>
      <c r="GY174" s="278">
        <v>5</v>
      </c>
      <c r="GZ174" s="278">
        <v>5</v>
      </c>
      <c r="HA174" s="150"/>
      <c r="HB174" s="147"/>
      <c r="HC174" s="148">
        <v>1</v>
      </c>
      <c r="HD174" s="148">
        <v>1</v>
      </c>
      <c r="HE174" s="148">
        <v>1</v>
      </c>
      <c r="HF174" s="149">
        <v>1</v>
      </c>
      <c r="HG174" s="149">
        <v>7</v>
      </c>
      <c r="HH174" s="278">
        <v>1</v>
      </c>
      <c r="HI174" s="278"/>
      <c r="HJ174" s="150"/>
      <c r="HK174" s="147"/>
      <c r="HL174" s="148"/>
      <c r="HM174" s="148"/>
      <c r="HN174" s="148"/>
      <c r="HO174" s="149"/>
      <c r="HP174" s="149"/>
      <c r="HQ174" s="278"/>
      <c r="HR174" s="278"/>
      <c r="HS174" s="150"/>
      <c r="HT174" s="147">
        <v>184</v>
      </c>
      <c r="HU174" s="148">
        <v>78</v>
      </c>
      <c r="HV174" s="148">
        <v>123</v>
      </c>
      <c r="HW174" s="148">
        <v>44</v>
      </c>
      <c r="HX174" s="149">
        <v>26</v>
      </c>
      <c r="HY174" s="149">
        <v>27</v>
      </c>
      <c r="HZ174" s="278">
        <v>14</v>
      </c>
      <c r="IA174" s="278">
        <v>12</v>
      </c>
      <c r="IB174" s="150"/>
      <c r="IC174" s="147">
        <v>518</v>
      </c>
      <c r="ID174" s="148">
        <v>263</v>
      </c>
      <c r="IE174" s="148">
        <v>257</v>
      </c>
      <c r="IF174" s="148">
        <v>159</v>
      </c>
      <c r="IG174" s="149">
        <v>173</v>
      </c>
      <c r="IH174" s="149">
        <v>96</v>
      </c>
      <c r="II174" s="278">
        <v>91</v>
      </c>
      <c r="IJ174" s="278">
        <v>290</v>
      </c>
      <c r="IK174" s="150"/>
    </row>
    <row r="175" spans="1:245" x14ac:dyDescent="0.2">
      <c r="A175" s="961"/>
      <c r="B175" s="151" t="s">
        <v>754</v>
      </c>
      <c r="C175" s="152"/>
      <c r="D175" s="153"/>
      <c r="E175" s="153"/>
      <c r="F175" s="153"/>
      <c r="G175" s="154"/>
      <c r="H175" s="154"/>
      <c r="I175" s="279"/>
      <c r="J175" s="279"/>
      <c r="K175" s="155"/>
      <c r="L175" s="152"/>
      <c r="M175" s="153"/>
      <c r="N175" s="153"/>
      <c r="O175" s="153"/>
      <c r="P175" s="154"/>
      <c r="Q175" s="154"/>
      <c r="R175" s="279"/>
      <c r="S175" s="279"/>
      <c r="T175" s="155"/>
      <c r="U175" s="152"/>
      <c r="V175" s="153"/>
      <c r="W175" s="153"/>
      <c r="X175" s="153"/>
      <c r="Y175" s="154"/>
      <c r="Z175" s="154"/>
      <c r="AA175" s="279"/>
      <c r="AB175" s="279"/>
      <c r="AC175" s="155"/>
      <c r="AD175" s="152">
        <v>131</v>
      </c>
      <c r="AE175" s="153">
        <v>154</v>
      </c>
      <c r="AF175" s="153">
        <v>134</v>
      </c>
      <c r="AG175" s="153">
        <v>119</v>
      </c>
      <c r="AH175" s="154">
        <v>121</v>
      </c>
      <c r="AI175" s="154">
        <v>101</v>
      </c>
      <c r="AJ175" s="279">
        <v>67</v>
      </c>
      <c r="AK175" s="279">
        <v>70</v>
      </c>
      <c r="AL175" s="155"/>
      <c r="AM175" s="152">
        <v>55</v>
      </c>
      <c r="AN175" s="153">
        <v>52</v>
      </c>
      <c r="AO175" s="153">
        <v>42</v>
      </c>
      <c r="AP175" s="153">
        <v>50</v>
      </c>
      <c r="AQ175" s="154">
        <v>45</v>
      </c>
      <c r="AR175" s="154">
        <v>45</v>
      </c>
      <c r="AS175" s="279">
        <v>28</v>
      </c>
      <c r="AT175" s="279">
        <v>31</v>
      </c>
      <c r="AU175" s="155"/>
      <c r="AV175" s="152"/>
      <c r="AW175" s="153"/>
      <c r="AX175" s="153"/>
      <c r="AY175" s="153"/>
      <c r="AZ175" s="154"/>
      <c r="BA175" s="154"/>
      <c r="BB175" s="279"/>
      <c r="BC175" s="279"/>
      <c r="BD175" s="155"/>
      <c r="BE175" s="152">
        <v>14</v>
      </c>
      <c r="BF175" s="153">
        <v>26</v>
      </c>
      <c r="BG175" s="153">
        <v>6</v>
      </c>
      <c r="BH175" s="153">
        <v>1</v>
      </c>
      <c r="BI175" s="154">
        <v>5</v>
      </c>
      <c r="BJ175" s="154">
        <v>1</v>
      </c>
      <c r="BK175" s="279">
        <v>5</v>
      </c>
      <c r="BL175" s="279">
        <v>22</v>
      </c>
      <c r="BM175" s="155"/>
      <c r="BN175" s="152"/>
      <c r="BO175" s="153"/>
      <c r="BP175" s="153">
        <v>3</v>
      </c>
      <c r="BQ175" s="153"/>
      <c r="BR175" s="154"/>
      <c r="BS175" s="154"/>
      <c r="BT175" s="279">
        <v>2</v>
      </c>
      <c r="BU175" s="279"/>
      <c r="BV175" s="155"/>
      <c r="BW175" s="152">
        <v>269</v>
      </c>
      <c r="BX175" s="153">
        <v>227</v>
      </c>
      <c r="BY175" s="153">
        <v>275</v>
      </c>
      <c r="BZ175" s="153">
        <v>240</v>
      </c>
      <c r="CA175" s="154">
        <v>237</v>
      </c>
      <c r="CB175" s="154">
        <v>184</v>
      </c>
      <c r="CC175" s="279">
        <v>149</v>
      </c>
      <c r="CD175" s="279">
        <v>159</v>
      </c>
      <c r="CE175" s="155"/>
      <c r="CF175" s="152">
        <v>6</v>
      </c>
      <c r="CG175" s="153">
        <v>5</v>
      </c>
      <c r="CH175" s="153">
        <v>5</v>
      </c>
      <c r="CI175" s="153">
        <v>7</v>
      </c>
      <c r="CJ175" s="154">
        <v>2</v>
      </c>
      <c r="CK175" s="154"/>
      <c r="CL175" s="279">
        <v>3</v>
      </c>
      <c r="CM175" s="279">
        <v>1</v>
      </c>
      <c r="CN175" s="155"/>
      <c r="CO175" s="152">
        <v>11</v>
      </c>
      <c r="CP175" s="153">
        <v>19</v>
      </c>
      <c r="CQ175" s="153">
        <v>12</v>
      </c>
      <c r="CR175" s="153">
        <v>13</v>
      </c>
      <c r="CS175" s="154">
        <v>13</v>
      </c>
      <c r="CT175" s="154">
        <v>7</v>
      </c>
      <c r="CU175" s="279">
        <v>4</v>
      </c>
      <c r="CV175" s="279">
        <v>12</v>
      </c>
      <c r="CW175" s="155"/>
      <c r="CX175" s="152">
        <v>1890</v>
      </c>
      <c r="CY175" s="153">
        <v>1585</v>
      </c>
      <c r="CZ175" s="153">
        <v>1408</v>
      </c>
      <c r="DA175" s="153">
        <v>1040</v>
      </c>
      <c r="DB175" s="154">
        <v>1227</v>
      </c>
      <c r="DC175" s="154">
        <v>933</v>
      </c>
      <c r="DD175" s="279">
        <v>673</v>
      </c>
      <c r="DE175" s="279">
        <v>643</v>
      </c>
      <c r="DF175" s="155"/>
      <c r="DG175" s="152">
        <v>5</v>
      </c>
      <c r="DH175" s="153">
        <v>7</v>
      </c>
      <c r="DI175" s="153">
        <v>6</v>
      </c>
      <c r="DJ175" s="153">
        <v>3</v>
      </c>
      <c r="DK175" s="154">
        <v>3</v>
      </c>
      <c r="DL175" s="154">
        <v>1</v>
      </c>
      <c r="DM175" s="279">
        <v>3</v>
      </c>
      <c r="DN175" s="279">
        <v>2</v>
      </c>
      <c r="DO175" s="155"/>
      <c r="DP175" s="152">
        <v>104</v>
      </c>
      <c r="DQ175" s="153">
        <v>31</v>
      </c>
      <c r="DR175" s="153">
        <v>36</v>
      </c>
      <c r="DS175" s="153">
        <v>24</v>
      </c>
      <c r="DT175" s="154">
        <v>30</v>
      </c>
      <c r="DU175" s="154">
        <v>26</v>
      </c>
      <c r="DV175" s="279">
        <v>8</v>
      </c>
      <c r="DW175" s="279">
        <v>9</v>
      </c>
      <c r="DX175" s="155"/>
      <c r="DY175" s="152">
        <v>169</v>
      </c>
      <c r="DZ175" s="153">
        <v>123</v>
      </c>
      <c r="EA175" s="153">
        <v>115</v>
      </c>
      <c r="EB175" s="153">
        <v>84</v>
      </c>
      <c r="EC175" s="154">
        <v>90</v>
      </c>
      <c r="ED175" s="154">
        <v>131</v>
      </c>
      <c r="EE175" s="279">
        <v>135</v>
      </c>
      <c r="EF175" s="279">
        <v>67</v>
      </c>
      <c r="EG175" s="155"/>
      <c r="EH175" s="152">
        <v>40</v>
      </c>
      <c r="EI175" s="153">
        <v>20</v>
      </c>
      <c r="EJ175" s="153">
        <v>16</v>
      </c>
      <c r="EK175" s="153">
        <v>5</v>
      </c>
      <c r="EL175" s="154">
        <v>10</v>
      </c>
      <c r="EM175" s="154">
        <v>6</v>
      </c>
      <c r="EN175" s="279">
        <v>7</v>
      </c>
      <c r="EO175" s="279">
        <v>2</v>
      </c>
      <c r="EP175" s="155"/>
      <c r="EQ175" s="152"/>
      <c r="ER175" s="153">
        <v>6</v>
      </c>
      <c r="ES175" s="153">
        <v>7</v>
      </c>
      <c r="ET175" s="153">
        <v>5</v>
      </c>
      <c r="EU175" s="154">
        <v>4</v>
      </c>
      <c r="EV175" s="154">
        <v>1</v>
      </c>
      <c r="EW175" s="279">
        <v>23</v>
      </c>
      <c r="EX175" s="279">
        <v>15</v>
      </c>
      <c r="EY175" s="155"/>
      <c r="EZ175" s="152">
        <v>7</v>
      </c>
      <c r="FA175" s="153">
        <v>5</v>
      </c>
      <c r="FB175" s="153">
        <v>3</v>
      </c>
      <c r="FC175" s="153">
        <v>3</v>
      </c>
      <c r="FD175" s="154">
        <v>5</v>
      </c>
      <c r="FE175" s="154">
        <v>4</v>
      </c>
      <c r="FF175" s="279"/>
      <c r="FG175" s="279">
        <v>3</v>
      </c>
      <c r="FH175" s="155"/>
      <c r="FI175" s="152">
        <v>160</v>
      </c>
      <c r="FJ175" s="153">
        <v>126</v>
      </c>
      <c r="FK175" s="153">
        <v>97</v>
      </c>
      <c r="FL175" s="153">
        <v>90</v>
      </c>
      <c r="FM175" s="154">
        <v>93</v>
      </c>
      <c r="FN175" s="154">
        <v>77</v>
      </c>
      <c r="FO175" s="279">
        <v>68</v>
      </c>
      <c r="FP175" s="279">
        <v>81</v>
      </c>
      <c r="FQ175" s="155"/>
      <c r="FR175" s="152">
        <v>4</v>
      </c>
      <c r="FS175" s="153">
        <v>21</v>
      </c>
      <c r="FT175" s="153">
        <v>11</v>
      </c>
      <c r="FU175" s="153">
        <v>4</v>
      </c>
      <c r="FV175" s="154">
        <v>14</v>
      </c>
      <c r="FW175" s="154">
        <v>16</v>
      </c>
      <c r="FX175" s="279">
        <v>4</v>
      </c>
      <c r="FY175" s="279">
        <v>2</v>
      </c>
      <c r="FZ175" s="155"/>
      <c r="GA175" s="152">
        <v>7</v>
      </c>
      <c r="GB175" s="153">
        <v>8</v>
      </c>
      <c r="GC175" s="153">
        <v>4</v>
      </c>
      <c r="GD175" s="153">
        <v>6</v>
      </c>
      <c r="GE175" s="154">
        <v>9</v>
      </c>
      <c r="GF175" s="154">
        <v>10</v>
      </c>
      <c r="GG175" s="279">
        <v>8</v>
      </c>
      <c r="GH175" s="279">
        <v>20</v>
      </c>
      <c r="GI175" s="155"/>
      <c r="GJ175" s="152">
        <v>2539</v>
      </c>
      <c r="GK175" s="153">
        <v>2202</v>
      </c>
      <c r="GL175" s="153">
        <v>1981</v>
      </c>
      <c r="GM175" s="153">
        <v>1533</v>
      </c>
      <c r="GN175" s="154">
        <v>1740</v>
      </c>
      <c r="GO175" s="154">
        <v>1340</v>
      </c>
      <c r="GP175" s="279">
        <v>1013</v>
      </c>
      <c r="GQ175" s="279">
        <v>1030</v>
      </c>
      <c r="GR175" s="155"/>
      <c r="GS175" s="152">
        <v>783</v>
      </c>
      <c r="GT175" s="153">
        <v>727</v>
      </c>
      <c r="GU175" s="153">
        <v>692</v>
      </c>
      <c r="GV175" s="153">
        <v>463</v>
      </c>
      <c r="GW175" s="154">
        <v>337</v>
      </c>
      <c r="GX175" s="154">
        <v>285</v>
      </c>
      <c r="GY175" s="279">
        <v>255</v>
      </c>
      <c r="GZ175" s="279">
        <v>200</v>
      </c>
      <c r="HA175" s="155"/>
      <c r="HB175" s="152">
        <v>8</v>
      </c>
      <c r="HC175" s="153">
        <v>15</v>
      </c>
      <c r="HD175" s="153">
        <v>14</v>
      </c>
      <c r="HE175" s="153">
        <v>6</v>
      </c>
      <c r="HF175" s="154">
        <v>6</v>
      </c>
      <c r="HG175" s="154">
        <v>8</v>
      </c>
      <c r="HH175" s="279">
        <v>10</v>
      </c>
      <c r="HI175" s="279">
        <v>7</v>
      </c>
      <c r="HJ175" s="155"/>
      <c r="HK175" s="152">
        <v>3</v>
      </c>
      <c r="HL175" s="153">
        <v>11</v>
      </c>
      <c r="HM175" s="153">
        <v>3</v>
      </c>
      <c r="HN175" s="153">
        <v>4</v>
      </c>
      <c r="HO175" s="154">
        <v>2</v>
      </c>
      <c r="HP175" s="154">
        <v>4</v>
      </c>
      <c r="HQ175" s="279">
        <v>4</v>
      </c>
      <c r="HR175" s="279">
        <v>5</v>
      </c>
      <c r="HS175" s="155"/>
      <c r="HT175" s="152">
        <v>1054</v>
      </c>
      <c r="HU175" s="153">
        <v>1015</v>
      </c>
      <c r="HV175" s="153">
        <v>974</v>
      </c>
      <c r="HW175" s="153">
        <v>825</v>
      </c>
      <c r="HX175" s="154">
        <v>656</v>
      </c>
      <c r="HY175" s="154">
        <v>595</v>
      </c>
      <c r="HZ175" s="279">
        <v>519</v>
      </c>
      <c r="IA175" s="279">
        <v>558</v>
      </c>
      <c r="IB175" s="155"/>
      <c r="IC175" s="152">
        <v>3859</v>
      </c>
      <c r="ID175" s="153">
        <v>4049</v>
      </c>
      <c r="IE175" s="153">
        <v>3673</v>
      </c>
      <c r="IF175" s="153">
        <v>2651</v>
      </c>
      <c r="IG175" s="154">
        <v>2748</v>
      </c>
      <c r="IH175" s="154">
        <v>2952</v>
      </c>
      <c r="II175" s="279">
        <v>2011</v>
      </c>
      <c r="IJ175" s="279">
        <v>2199</v>
      </c>
      <c r="IK175" s="155"/>
    </row>
    <row r="176" spans="1:245" x14ac:dyDescent="0.2">
      <c r="A176" s="961"/>
      <c r="B176" s="151" t="s">
        <v>755</v>
      </c>
      <c r="C176" s="152"/>
      <c r="D176" s="153"/>
      <c r="E176" s="153"/>
      <c r="F176" s="153"/>
      <c r="G176" s="154"/>
      <c r="H176" s="154"/>
      <c r="I176" s="279"/>
      <c r="J176" s="279"/>
      <c r="K176" s="155"/>
      <c r="L176" s="152"/>
      <c r="M176" s="153"/>
      <c r="N176" s="153"/>
      <c r="O176" s="153"/>
      <c r="P176" s="154"/>
      <c r="Q176" s="154"/>
      <c r="R176" s="279"/>
      <c r="S176" s="279"/>
      <c r="T176" s="155"/>
      <c r="U176" s="152"/>
      <c r="V176" s="153"/>
      <c r="W176" s="153"/>
      <c r="X176" s="153"/>
      <c r="Y176" s="154"/>
      <c r="Z176" s="154"/>
      <c r="AA176" s="279"/>
      <c r="AB176" s="279"/>
      <c r="AC176" s="155"/>
      <c r="AD176" s="152">
        <v>7</v>
      </c>
      <c r="AE176" s="153">
        <v>11</v>
      </c>
      <c r="AF176" s="153">
        <v>12</v>
      </c>
      <c r="AG176" s="153">
        <v>11</v>
      </c>
      <c r="AH176" s="154">
        <v>12</v>
      </c>
      <c r="AI176" s="154">
        <v>18</v>
      </c>
      <c r="AJ176" s="279">
        <v>14</v>
      </c>
      <c r="AK176" s="279">
        <v>18</v>
      </c>
      <c r="AL176" s="155"/>
      <c r="AM176" s="152">
        <v>6</v>
      </c>
      <c r="AN176" s="153">
        <v>5</v>
      </c>
      <c r="AO176" s="153">
        <v>4</v>
      </c>
      <c r="AP176" s="153">
        <v>7</v>
      </c>
      <c r="AQ176" s="154">
        <v>5</v>
      </c>
      <c r="AR176" s="154">
        <v>7</v>
      </c>
      <c r="AS176" s="279">
        <v>5</v>
      </c>
      <c r="AT176" s="279">
        <v>1</v>
      </c>
      <c r="AU176" s="155"/>
      <c r="AV176" s="152"/>
      <c r="AW176" s="153"/>
      <c r="AX176" s="153"/>
      <c r="AY176" s="153"/>
      <c r="AZ176" s="154"/>
      <c r="BA176" s="154"/>
      <c r="BB176" s="279"/>
      <c r="BC176" s="279"/>
      <c r="BD176" s="155"/>
      <c r="BE176" s="152">
        <v>3</v>
      </c>
      <c r="BF176" s="153">
        <v>1</v>
      </c>
      <c r="BG176" s="153">
        <v>8</v>
      </c>
      <c r="BH176" s="153">
        <v>1</v>
      </c>
      <c r="BI176" s="154">
        <v>5</v>
      </c>
      <c r="BJ176" s="154"/>
      <c r="BK176" s="279"/>
      <c r="BL176" s="279"/>
      <c r="BM176" s="155"/>
      <c r="BN176" s="152"/>
      <c r="BO176" s="153"/>
      <c r="BP176" s="153"/>
      <c r="BQ176" s="153"/>
      <c r="BR176" s="154"/>
      <c r="BS176" s="154"/>
      <c r="BT176" s="279">
        <v>1</v>
      </c>
      <c r="BU176" s="279">
        <v>1</v>
      </c>
      <c r="BV176" s="155"/>
      <c r="BW176" s="152">
        <v>13</v>
      </c>
      <c r="BX176" s="153">
        <v>35</v>
      </c>
      <c r="BY176" s="153">
        <v>22</v>
      </c>
      <c r="BZ176" s="153">
        <v>28</v>
      </c>
      <c r="CA176" s="154">
        <v>33</v>
      </c>
      <c r="CB176" s="154">
        <v>37</v>
      </c>
      <c r="CC176" s="279">
        <v>27</v>
      </c>
      <c r="CD176" s="279">
        <v>24</v>
      </c>
      <c r="CE176" s="155"/>
      <c r="CF176" s="152">
        <v>1</v>
      </c>
      <c r="CG176" s="153">
        <v>1</v>
      </c>
      <c r="CH176" s="153"/>
      <c r="CI176" s="153"/>
      <c r="CJ176" s="154"/>
      <c r="CK176" s="154"/>
      <c r="CL176" s="279">
        <v>2</v>
      </c>
      <c r="CM176" s="279"/>
      <c r="CN176" s="155"/>
      <c r="CO176" s="152">
        <v>1</v>
      </c>
      <c r="CP176" s="153"/>
      <c r="CQ176" s="153"/>
      <c r="CR176" s="153"/>
      <c r="CS176" s="154">
        <v>1</v>
      </c>
      <c r="CT176" s="154"/>
      <c r="CU176" s="279"/>
      <c r="CV176" s="279"/>
      <c r="CW176" s="155"/>
      <c r="CX176" s="152">
        <v>309</v>
      </c>
      <c r="CY176" s="153">
        <v>222</v>
      </c>
      <c r="CZ176" s="153">
        <v>216</v>
      </c>
      <c r="DA176" s="153">
        <v>216</v>
      </c>
      <c r="DB176" s="154">
        <v>185</v>
      </c>
      <c r="DC176" s="154">
        <v>179</v>
      </c>
      <c r="DD176" s="279">
        <v>90</v>
      </c>
      <c r="DE176" s="279">
        <v>138</v>
      </c>
      <c r="DF176" s="155"/>
      <c r="DG176" s="152">
        <v>2</v>
      </c>
      <c r="DH176" s="153">
        <v>2</v>
      </c>
      <c r="DI176" s="153">
        <v>1</v>
      </c>
      <c r="DJ176" s="153"/>
      <c r="DK176" s="154">
        <v>1</v>
      </c>
      <c r="DL176" s="154">
        <v>6</v>
      </c>
      <c r="DM176" s="279"/>
      <c r="DN176" s="279">
        <v>6</v>
      </c>
      <c r="DO176" s="155"/>
      <c r="DP176" s="152">
        <v>6</v>
      </c>
      <c r="DQ176" s="153">
        <v>2</v>
      </c>
      <c r="DR176" s="153">
        <v>2</v>
      </c>
      <c r="DS176" s="153">
        <v>5</v>
      </c>
      <c r="DT176" s="154">
        <v>10</v>
      </c>
      <c r="DU176" s="154">
        <v>4</v>
      </c>
      <c r="DV176" s="279">
        <v>2</v>
      </c>
      <c r="DW176" s="279">
        <v>1</v>
      </c>
      <c r="DX176" s="155"/>
      <c r="DY176" s="152">
        <v>52</v>
      </c>
      <c r="DZ176" s="153">
        <v>22</v>
      </c>
      <c r="EA176" s="153">
        <v>29</v>
      </c>
      <c r="EB176" s="153">
        <v>29</v>
      </c>
      <c r="EC176" s="154">
        <v>28</v>
      </c>
      <c r="ED176" s="154">
        <v>37</v>
      </c>
      <c r="EE176" s="279">
        <v>14</v>
      </c>
      <c r="EF176" s="279">
        <v>16</v>
      </c>
      <c r="EG176" s="155"/>
      <c r="EH176" s="152">
        <v>8</v>
      </c>
      <c r="EI176" s="153">
        <v>1</v>
      </c>
      <c r="EJ176" s="153">
        <v>1</v>
      </c>
      <c r="EK176" s="153">
        <v>2</v>
      </c>
      <c r="EL176" s="154">
        <v>2</v>
      </c>
      <c r="EM176" s="154">
        <v>1</v>
      </c>
      <c r="EN176" s="279"/>
      <c r="EO176" s="279">
        <v>1</v>
      </c>
      <c r="EP176" s="155"/>
      <c r="EQ176" s="152">
        <v>1</v>
      </c>
      <c r="ER176" s="153">
        <v>2</v>
      </c>
      <c r="ES176" s="153"/>
      <c r="ET176" s="153"/>
      <c r="EU176" s="154">
        <v>1</v>
      </c>
      <c r="EV176" s="154">
        <v>1</v>
      </c>
      <c r="EW176" s="279">
        <v>1</v>
      </c>
      <c r="EX176" s="279">
        <v>1</v>
      </c>
      <c r="EY176" s="155"/>
      <c r="EZ176" s="152"/>
      <c r="FA176" s="153"/>
      <c r="FB176" s="153">
        <v>1</v>
      </c>
      <c r="FC176" s="153"/>
      <c r="FD176" s="154"/>
      <c r="FE176" s="154">
        <v>2</v>
      </c>
      <c r="FF176" s="279">
        <v>1</v>
      </c>
      <c r="FG176" s="279"/>
      <c r="FH176" s="155"/>
      <c r="FI176" s="152">
        <v>9</v>
      </c>
      <c r="FJ176" s="153">
        <v>29</v>
      </c>
      <c r="FK176" s="153">
        <v>18</v>
      </c>
      <c r="FL176" s="153">
        <v>10</v>
      </c>
      <c r="FM176" s="154">
        <v>19</v>
      </c>
      <c r="FN176" s="154">
        <v>39</v>
      </c>
      <c r="FO176" s="279">
        <v>7</v>
      </c>
      <c r="FP176" s="279">
        <v>8</v>
      </c>
      <c r="FQ176" s="155"/>
      <c r="FR176" s="152">
        <v>1</v>
      </c>
      <c r="FS176" s="153">
        <v>2</v>
      </c>
      <c r="FT176" s="153">
        <v>3</v>
      </c>
      <c r="FU176" s="153">
        <v>1</v>
      </c>
      <c r="FV176" s="154">
        <v>1</v>
      </c>
      <c r="FW176" s="154"/>
      <c r="FX176" s="279"/>
      <c r="FY176" s="279"/>
      <c r="FZ176" s="155"/>
      <c r="GA176" s="152">
        <v>1</v>
      </c>
      <c r="GB176" s="153">
        <v>5</v>
      </c>
      <c r="GC176" s="153"/>
      <c r="GD176" s="153">
        <v>2</v>
      </c>
      <c r="GE176" s="154">
        <v>3</v>
      </c>
      <c r="GF176" s="154">
        <v>4</v>
      </c>
      <c r="GG176" s="279">
        <v>4</v>
      </c>
      <c r="GH176" s="279">
        <v>5</v>
      </c>
      <c r="GI176" s="155"/>
      <c r="GJ176" s="152">
        <v>354</v>
      </c>
      <c r="GK176" s="153">
        <v>309</v>
      </c>
      <c r="GL176" s="153">
        <v>281</v>
      </c>
      <c r="GM176" s="153">
        <v>271</v>
      </c>
      <c r="GN176" s="154">
        <v>262</v>
      </c>
      <c r="GO176" s="154">
        <v>281</v>
      </c>
      <c r="GP176" s="279">
        <v>147</v>
      </c>
      <c r="GQ176" s="279">
        <v>196</v>
      </c>
      <c r="GR176" s="155"/>
      <c r="GS176" s="152">
        <v>75</v>
      </c>
      <c r="GT176" s="153">
        <v>81</v>
      </c>
      <c r="GU176" s="153">
        <v>69</v>
      </c>
      <c r="GV176" s="153">
        <v>73</v>
      </c>
      <c r="GW176" s="154">
        <v>42</v>
      </c>
      <c r="GX176" s="154">
        <v>55</v>
      </c>
      <c r="GY176" s="279">
        <v>39</v>
      </c>
      <c r="GZ176" s="279">
        <v>74</v>
      </c>
      <c r="HA176" s="155"/>
      <c r="HB176" s="152"/>
      <c r="HC176" s="153"/>
      <c r="HD176" s="153"/>
      <c r="HE176" s="153"/>
      <c r="HF176" s="154"/>
      <c r="HG176" s="154"/>
      <c r="HH176" s="279"/>
      <c r="HI176" s="279"/>
      <c r="HJ176" s="155"/>
      <c r="HK176" s="152"/>
      <c r="HL176" s="153"/>
      <c r="HM176" s="153"/>
      <c r="HN176" s="153"/>
      <c r="HO176" s="154"/>
      <c r="HP176" s="154"/>
      <c r="HQ176" s="279"/>
      <c r="HR176" s="279"/>
      <c r="HS176" s="155"/>
      <c r="HT176" s="152">
        <v>105</v>
      </c>
      <c r="HU176" s="153">
        <v>109</v>
      </c>
      <c r="HV176" s="153">
        <v>89</v>
      </c>
      <c r="HW176" s="153">
        <v>100</v>
      </c>
      <c r="HX176" s="154">
        <v>66</v>
      </c>
      <c r="HY176" s="154">
        <v>79</v>
      </c>
      <c r="HZ176" s="279">
        <v>76</v>
      </c>
      <c r="IA176" s="279">
        <v>116</v>
      </c>
      <c r="IB176" s="155"/>
      <c r="IC176" s="152">
        <v>561</v>
      </c>
      <c r="ID176" s="153">
        <v>480</v>
      </c>
      <c r="IE176" s="153">
        <v>459</v>
      </c>
      <c r="IF176" s="153">
        <v>426</v>
      </c>
      <c r="IG176" s="154">
        <v>450</v>
      </c>
      <c r="IH176" s="154">
        <v>411</v>
      </c>
      <c r="II176" s="279">
        <v>316</v>
      </c>
      <c r="IJ176" s="279">
        <v>371</v>
      </c>
      <c r="IK176" s="155"/>
    </row>
    <row r="177" spans="1:245" x14ac:dyDescent="0.2">
      <c r="A177" s="961"/>
      <c r="B177" s="151" t="s">
        <v>756</v>
      </c>
      <c r="C177" s="152"/>
      <c r="D177" s="153"/>
      <c r="E177" s="153"/>
      <c r="F177" s="153"/>
      <c r="G177" s="154"/>
      <c r="H177" s="154"/>
      <c r="I177" s="279"/>
      <c r="J177" s="279"/>
      <c r="K177" s="155"/>
      <c r="L177" s="152"/>
      <c r="M177" s="153"/>
      <c r="N177" s="153"/>
      <c r="O177" s="153"/>
      <c r="P177" s="154"/>
      <c r="Q177" s="154"/>
      <c r="R177" s="279"/>
      <c r="S177" s="279"/>
      <c r="T177" s="155"/>
      <c r="U177" s="152"/>
      <c r="V177" s="153"/>
      <c r="W177" s="153"/>
      <c r="X177" s="153"/>
      <c r="Y177" s="154"/>
      <c r="Z177" s="154"/>
      <c r="AA177" s="279"/>
      <c r="AB177" s="279"/>
      <c r="AC177" s="155"/>
      <c r="AD177" s="152">
        <v>41</v>
      </c>
      <c r="AE177" s="153">
        <v>29</v>
      </c>
      <c r="AF177" s="153">
        <v>45</v>
      </c>
      <c r="AG177" s="153">
        <v>41</v>
      </c>
      <c r="AH177" s="154">
        <v>60</v>
      </c>
      <c r="AI177" s="154">
        <v>51</v>
      </c>
      <c r="AJ177" s="279">
        <v>47</v>
      </c>
      <c r="AK177" s="279">
        <v>54</v>
      </c>
      <c r="AL177" s="155"/>
      <c r="AM177" s="152">
        <v>10</v>
      </c>
      <c r="AN177" s="153">
        <v>12</v>
      </c>
      <c r="AO177" s="153">
        <v>11</v>
      </c>
      <c r="AP177" s="153">
        <v>12</v>
      </c>
      <c r="AQ177" s="154">
        <v>10</v>
      </c>
      <c r="AR177" s="154">
        <v>8</v>
      </c>
      <c r="AS177" s="279">
        <v>8</v>
      </c>
      <c r="AT177" s="279">
        <v>8</v>
      </c>
      <c r="AU177" s="155"/>
      <c r="AV177" s="152">
        <v>1</v>
      </c>
      <c r="AW177" s="153"/>
      <c r="AX177" s="153"/>
      <c r="AY177" s="153"/>
      <c r="AZ177" s="154"/>
      <c r="BA177" s="154"/>
      <c r="BB177" s="279"/>
      <c r="BC177" s="279"/>
      <c r="BD177" s="155"/>
      <c r="BE177" s="152">
        <v>9</v>
      </c>
      <c r="BF177" s="153">
        <v>9</v>
      </c>
      <c r="BG177" s="153">
        <v>15</v>
      </c>
      <c r="BH177" s="153">
        <v>12</v>
      </c>
      <c r="BI177" s="154"/>
      <c r="BJ177" s="154">
        <v>3</v>
      </c>
      <c r="BK177" s="279">
        <v>7</v>
      </c>
      <c r="BL177" s="279">
        <v>10</v>
      </c>
      <c r="BM177" s="155"/>
      <c r="BN177" s="152">
        <v>1</v>
      </c>
      <c r="BO177" s="153">
        <v>2</v>
      </c>
      <c r="BP177" s="153">
        <v>2</v>
      </c>
      <c r="BQ177" s="153">
        <v>13</v>
      </c>
      <c r="BR177" s="154">
        <v>6</v>
      </c>
      <c r="BS177" s="154">
        <v>5</v>
      </c>
      <c r="BT177" s="279">
        <v>1</v>
      </c>
      <c r="BU177" s="279"/>
      <c r="BV177" s="155"/>
      <c r="BW177" s="152">
        <v>74</v>
      </c>
      <c r="BX177" s="153">
        <v>58</v>
      </c>
      <c r="BY177" s="153">
        <v>45</v>
      </c>
      <c r="BZ177" s="153">
        <v>31</v>
      </c>
      <c r="CA177" s="154">
        <v>43</v>
      </c>
      <c r="CB177" s="154">
        <v>50</v>
      </c>
      <c r="CC177" s="279">
        <v>33</v>
      </c>
      <c r="CD177" s="279">
        <v>30</v>
      </c>
      <c r="CE177" s="155"/>
      <c r="CF177" s="152">
        <v>1</v>
      </c>
      <c r="CG177" s="153"/>
      <c r="CH177" s="153">
        <v>1</v>
      </c>
      <c r="CI177" s="153">
        <v>1</v>
      </c>
      <c r="CJ177" s="154"/>
      <c r="CK177" s="154"/>
      <c r="CL177" s="279">
        <v>1</v>
      </c>
      <c r="CM177" s="279">
        <v>1</v>
      </c>
      <c r="CN177" s="155"/>
      <c r="CO177" s="152">
        <v>13</v>
      </c>
      <c r="CP177" s="153">
        <v>12</v>
      </c>
      <c r="CQ177" s="153">
        <v>3</v>
      </c>
      <c r="CR177" s="153">
        <v>5</v>
      </c>
      <c r="CS177" s="154">
        <v>3</v>
      </c>
      <c r="CT177" s="154">
        <v>5</v>
      </c>
      <c r="CU177" s="279">
        <v>10</v>
      </c>
      <c r="CV177" s="279">
        <v>2</v>
      </c>
      <c r="CW177" s="155"/>
      <c r="CX177" s="152">
        <v>390</v>
      </c>
      <c r="CY177" s="153">
        <v>430</v>
      </c>
      <c r="CZ177" s="153">
        <v>490</v>
      </c>
      <c r="DA177" s="153">
        <v>228</v>
      </c>
      <c r="DB177" s="154">
        <v>205</v>
      </c>
      <c r="DC177" s="154">
        <v>179</v>
      </c>
      <c r="DD177" s="279">
        <v>183</v>
      </c>
      <c r="DE177" s="279">
        <v>140</v>
      </c>
      <c r="DF177" s="155"/>
      <c r="DG177" s="152">
        <v>1</v>
      </c>
      <c r="DH177" s="153">
        <v>5</v>
      </c>
      <c r="DI177" s="153">
        <v>3</v>
      </c>
      <c r="DJ177" s="153">
        <v>1</v>
      </c>
      <c r="DK177" s="154">
        <v>1</v>
      </c>
      <c r="DL177" s="154">
        <v>1</v>
      </c>
      <c r="DM177" s="279"/>
      <c r="DN177" s="279">
        <v>1</v>
      </c>
      <c r="DO177" s="155"/>
      <c r="DP177" s="152">
        <v>11</v>
      </c>
      <c r="DQ177" s="153">
        <v>23</v>
      </c>
      <c r="DR177" s="153">
        <v>36</v>
      </c>
      <c r="DS177" s="153">
        <v>3</v>
      </c>
      <c r="DT177" s="154">
        <v>11</v>
      </c>
      <c r="DU177" s="154">
        <v>6</v>
      </c>
      <c r="DV177" s="279">
        <v>1</v>
      </c>
      <c r="DW177" s="279">
        <v>3</v>
      </c>
      <c r="DX177" s="155"/>
      <c r="DY177" s="152">
        <v>43</v>
      </c>
      <c r="DZ177" s="153">
        <v>46</v>
      </c>
      <c r="EA177" s="153">
        <v>67</v>
      </c>
      <c r="EB177" s="153">
        <v>23</v>
      </c>
      <c r="EC177" s="154">
        <v>33</v>
      </c>
      <c r="ED177" s="154">
        <v>23</v>
      </c>
      <c r="EE177" s="279">
        <v>11</v>
      </c>
      <c r="EF177" s="279">
        <v>11</v>
      </c>
      <c r="EG177" s="155"/>
      <c r="EH177" s="152">
        <v>2</v>
      </c>
      <c r="EI177" s="153">
        <v>2</v>
      </c>
      <c r="EJ177" s="153">
        <v>6</v>
      </c>
      <c r="EK177" s="153">
        <v>4</v>
      </c>
      <c r="EL177" s="154">
        <v>1</v>
      </c>
      <c r="EM177" s="154"/>
      <c r="EN177" s="279"/>
      <c r="EO177" s="279"/>
      <c r="EP177" s="155"/>
      <c r="EQ177" s="152">
        <v>1</v>
      </c>
      <c r="ER177" s="153"/>
      <c r="ES177" s="153"/>
      <c r="ET177" s="153">
        <v>1</v>
      </c>
      <c r="EU177" s="154"/>
      <c r="EV177" s="154"/>
      <c r="EW177" s="279">
        <v>7</v>
      </c>
      <c r="EX177" s="279"/>
      <c r="EY177" s="155"/>
      <c r="EZ177" s="152">
        <v>1</v>
      </c>
      <c r="FA177" s="153">
        <v>2</v>
      </c>
      <c r="FB177" s="153"/>
      <c r="FC177" s="153"/>
      <c r="FD177" s="154">
        <v>3</v>
      </c>
      <c r="FE177" s="154"/>
      <c r="FF177" s="279">
        <v>3</v>
      </c>
      <c r="FG177" s="279">
        <v>1</v>
      </c>
      <c r="FH177" s="155"/>
      <c r="FI177" s="152">
        <v>53</v>
      </c>
      <c r="FJ177" s="153">
        <v>51</v>
      </c>
      <c r="FK177" s="153">
        <v>37</v>
      </c>
      <c r="FL177" s="153">
        <v>19</v>
      </c>
      <c r="FM177" s="154">
        <v>19</v>
      </c>
      <c r="FN177" s="154">
        <v>13</v>
      </c>
      <c r="FO177" s="279">
        <v>12</v>
      </c>
      <c r="FP177" s="279">
        <v>18</v>
      </c>
      <c r="FQ177" s="155"/>
      <c r="FR177" s="152">
        <v>4</v>
      </c>
      <c r="FS177" s="153">
        <v>3</v>
      </c>
      <c r="FT177" s="153">
        <v>2</v>
      </c>
      <c r="FU177" s="153">
        <v>8</v>
      </c>
      <c r="FV177" s="154">
        <v>4</v>
      </c>
      <c r="FW177" s="154">
        <v>3</v>
      </c>
      <c r="FX177" s="279">
        <v>1</v>
      </c>
      <c r="FY177" s="279">
        <v>3</v>
      </c>
      <c r="FZ177" s="155"/>
      <c r="GA177" s="152">
        <v>2</v>
      </c>
      <c r="GB177" s="153">
        <v>5</v>
      </c>
      <c r="GC177" s="153">
        <v>5</v>
      </c>
      <c r="GD177" s="153">
        <v>6</v>
      </c>
      <c r="GE177" s="154">
        <v>1</v>
      </c>
      <c r="GF177" s="154">
        <v>2</v>
      </c>
      <c r="GG177" s="279">
        <v>6</v>
      </c>
      <c r="GH177" s="279">
        <v>4</v>
      </c>
      <c r="GI177" s="155"/>
      <c r="GJ177" s="152">
        <v>592</v>
      </c>
      <c r="GK177" s="153">
        <v>603</v>
      </c>
      <c r="GL177" s="153">
        <v>651</v>
      </c>
      <c r="GM177" s="153">
        <v>369</v>
      </c>
      <c r="GN177" s="154">
        <v>345</v>
      </c>
      <c r="GO177" s="154">
        <v>311</v>
      </c>
      <c r="GP177" s="279">
        <v>311</v>
      </c>
      <c r="GQ177" s="279">
        <v>263</v>
      </c>
      <c r="GR177" s="155"/>
      <c r="GS177" s="152">
        <v>163</v>
      </c>
      <c r="GT177" s="153">
        <v>164</v>
      </c>
      <c r="GU177" s="153">
        <v>199</v>
      </c>
      <c r="GV177" s="153">
        <v>98</v>
      </c>
      <c r="GW177" s="154">
        <v>68</v>
      </c>
      <c r="GX177" s="154">
        <v>50</v>
      </c>
      <c r="GY177" s="279">
        <v>68</v>
      </c>
      <c r="GZ177" s="279">
        <v>61</v>
      </c>
      <c r="HA177" s="155"/>
      <c r="HB177" s="152">
        <v>5</v>
      </c>
      <c r="HC177" s="153">
        <v>1</v>
      </c>
      <c r="HD177" s="153">
        <v>2</v>
      </c>
      <c r="HE177" s="153">
        <v>3</v>
      </c>
      <c r="HF177" s="154">
        <v>2</v>
      </c>
      <c r="HG177" s="154">
        <v>3</v>
      </c>
      <c r="HH177" s="279">
        <v>2</v>
      </c>
      <c r="HI177" s="279">
        <v>1</v>
      </c>
      <c r="HJ177" s="155"/>
      <c r="HK177" s="152">
        <v>2</v>
      </c>
      <c r="HL177" s="153">
        <v>9</v>
      </c>
      <c r="HM177" s="153">
        <v>3</v>
      </c>
      <c r="HN177" s="153">
        <v>1</v>
      </c>
      <c r="HO177" s="154">
        <v>1</v>
      </c>
      <c r="HP177" s="154"/>
      <c r="HQ177" s="279">
        <v>2</v>
      </c>
      <c r="HR177" s="279">
        <v>1</v>
      </c>
      <c r="HS177" s="155"/>
      <c r="HT177" s="152">
        <v>290</v>
      </c>
      <c r="HU177" s="153">
        <v>277</v>
      </c>
      <c r="HV177" s="153">
        <v>282</v>
      </c>
      <c r="HW177" s="153">
        <v>199</v>
      </c>
      <c r="HX177" s="154">
        <v>152</v>
      </c>
      <c r="HY177" s="154">
        <v>122</v>
      </c>
      <c r="HZ177" s="279">
        <v>163</v>
      </c>
      <c r="IA177" s="279">
        <v>188</v>
      </c>
      <c r="IB177" s="155"/>
      <c r="IC177" s="152">
        <v>1009</v>
      </c>
      <c r="ID177" s="153">
        <v>1062</v>
      </c>
      <c r="IE177" s="153">
        <v>1084</v>
      </c>
      <c r="IF177" s="153">
        <v>715</v>
      </c>
      <c r="IG177" s="154">
        <v>698</v>
      </c>
      <c r="IH177" s="154">
        <v>629</v>
      </c>
      <c r="II177" s="279">
        <v>604</v>
      </c>
      <c r="IJ177" s="279">
        <v>767</v>
      </c>
      <c r="IK177" s="155"/>
    </row>
    <row r="178" spans="1:245" x14ac:dyDescent="0.2">
      <c r="A178" s="961"/>
      <c r="B178" s="151" t="s">
        <v>757</v>
      </c>
      <c r="C178" s="152"/>
      <c r="D178" s="153"/>
      <c r="E178" s="153"/>
      <c r="F178" s="153"/>
      <c r="G178" s="154"/>
      <c r="H178" s="154"/>
      <c r="I178" s="279"/>
      <c r="J178" s="279"/>
      <c r="K178" s="155"/>
      <c r="L178" s="152"/>
      <c r="M178" s="153"/>
      <c r="N178" s="153"/>
      <c r="O178" s="153"/>
      <c r="P178" s="154"/>
      <c r="Q178" s="154"/>
      <c r="R178" s="279"/>
      <c r="S178" s="279"/>
      <c r="T178" s="155"/>
      <c r="U178" s="152"/>
      <c r="V178" s="153"/>
      <c r="W178" s="153"/>
      <c r="X178" s="153"/>
      <c r="Y178" s="154"/>
      <c r="Z178" s="154"/>
      <c r="AA178" s="279"/>
      <c r="AB178" s="279"/>
      <c r="AC178" s="155"/>
      <c r="AD178" s="152">
        <v>29</v>
      </c>
      <c r="AE178" s="153">
        <v>30</v>
      </c>
      <c r="AF178" s="153">
        <v>16</v>
      </c>
      <c r="AG178" s="153">
        <v>20</v>
      </c>
      <c r="AH178" s="154">
        <v>18</v>
      </c>
      <c r="AI178" s="154">
        <v>23</v>
      </c>
      <c r="AJ178" s="279">
        <v>27</v>
      </c>
      <c r="AK178" s="279">
        <v>31</v>
      </c>
      <c r="AL178" s="155"/>
      <c r="AM178" s="152">
        <v>19</v>
      </c>
      <c r="AN178" s="153">
        <v>16</v>
      </c>
      <c r="AO178" s="153">
        <v>9</v>
      </c>
      <c r="AP178" s="153">
        <v>8</v>
      </c>
      <c r="AQ178" s="154">
        <v>10</v>
      </c>
      <c r="AR178" s="154">
        <v>11</v>
      </c>
      <c r="AS178" s="279">
        <v>11</v>
      </c>
      <c r="AT178" s="279">
        <v>14</v>
      </c>
      <c r="AU178" s="155"/>
      <c r="AV178" s="152"/>
      <c r="AW178" s="153"/>
      <c r="AX178" s="153"/>
      <c r="AY178" s="153"/>
      <c r="AZ178" s="154"/>
      <c r="BA178" s="154"/>
      <c r="BB178" s="279"/>
      <c r="BC178" s="279"/>
      <c r="BD178" s="155"/>
      <c r="BE178" s="152">
        <v>8</v>
      </c>
      <c r="BF178" s="153">
        <v>13</v>
      </c>
      <c r="BG178" s="153">
        <v>2</v>
      </c>
      <c r="BH178" s="153">
        <v>3</v>
      </c>
      <c r="BI178" s="154"/>
      <c r="BJ178" s="154">
        <v>2</v>
      </c>
      <c r="BK178" s="279">
        <v>3</v>
      </c>
      <c r="BL178" s="279">
        <v>2</v>
      </c>
      <c r="BM178" s="155"/>
      <c r="BN178" s="152"/>
      <c r="BO178" s="153">
        <v>1</v>
      </c>
      <c r="BP178" s="153"/>
      <c r="BQ178" s="153"/>
      <c r="BR178" s="154"/>
      <c r="BS178" s="154"/>
      <c r="BT178" s="279">
        <v>1</v>
      </c>
      <c r="BU178" s="279"/>
      <c r="BV178" s="155"/>
      <c r="BW178" s="152">
        <v>48</v>
      </c>
      <c r="BX178" s="153">
        <v>59</v>
      </c>
      <c r="BY178" s="153">
        <v>45</v>
      </c>
      <c r="BZ178" s="153">
        <v>40</v>
      </c>
      <c r="CA178" s="154">
        <v>50</v>
      </c>
      <c r="CB178" s="154">
        <v>46</v>
      </c>
      <c r="CC178" s="279">
        <v>48</v>
      </c>
      <c r="CD178" s="279">
        <v>34</v>
      </c>
      <c r="CE178" s="155"/>
      <c r="CF178" s="152">
        <v>3</v>
      </c>
      <c r="CG178" s="153">
        <v>1</v>
      </c>
      <c r="CH178" s="153">
        <v>1</v>
      </c>
      <c r="CI178" s="153"/>
      <c r="CJ178" s="154">
        <v>2</v>
      </c>
      <c r="CK178" s="154">
        <v>1</v>
      </c>
      <c r="CL178" s="279">
        <v>4</v>
      </c>
      <c r="CM178" s="279">
        <v>1</v>
      </c>
      <c r="CN178" s="155"/>
      <c r="CO178" s="152"/>
      <c r="CP178" s="153">
        <v>2</v>
      </c>
      <c r="CQ178" s="153"/>
      <c r="CR178" s="153"/>
      <c r="CS178" s="154"/>
      <c r="CT178" s="154"/>
      <c r="CU178" s="279">
        <v>2</v>
      </c>
      <c r="CV178" s="279">
        <v>3</v>
      </c>
      <c r="CW178" s="155"/>
      <c r="CX178" s="152">
        <v>366</v>
      </c>
      <c r="CY178" s="153">
        <v>260</v>
      </c>
      <c r="CZ178" s="153">
        <v>333</v>
      </c>
      <c r="DA178" s="153">
        <v>267</v>
      </c>
      <c r="DB178" s="154">
        <v>290</v>
      </c>
      <c r="DC178" s="154">
        <v>237</v>
      </c>
      <c r="DD178" s="279">
        <v>198</v>
      </c>
      <c r="DE178" s="279">
        <v>226</v>
      </c>
      <c r="DF178" s="155"/>
      <c r="DG178" s="152"/>
      <c r="DH178" s="153"/>
      <c r="DI178" s="153">
        <v>4</v>
      </c>
      <c r="DJ178" s="153">
        <v>3</v>
      </c>
      <c r="DK178" s="154">
        <v>3</v>
      </c>
      <c r="DL178" s="154">
        <v>2</v>
      </c>
      <c r="DM178" s="279"/>
      <c r="DN178" s="279">
        <v>1</v>
      </c>
      <c r="DO178" s="155"/>
      <c r="DP178" s="152">
        <v>6</v>
      </c>
      <c r="DQ178" s="153">
        <v>18</v>
      </c>
      <c r="DR178" s="153">
        <v>9</v>
      </c>
      <c r="DS178" s="153">
        <v>7</v>
      </c>
      <c r="DT178" s="154">
        <v>4</v>
      </c>
      <c r="DU178" s="154">
        <v>7</v>
      </c>
      <c r="DV178" s="279">
        <v>2</v>
      </c>
      <c r="DW178" s="279">
        <v>5</v>
      </c>
      <c r="DX178" s="155"/>
      <c r="DY178" s="152">
        <v>33</v>
      </c>
      <c r="DZ178" s="153">
        <v>27</v>
      </c>
      <c r="EA178" s="153">
        <v>42</v>
      </c>
      <c r="EB178" s="153">
        <v>34</v>
      </c>
      <c r="EC178" s="154">
        <v>36</v>
      </c>
      <c r="ED178" s="154">
        <v>30</v>
      </c>
      <c r="EE178" s="279">
        <v>24</v>
      </c>
      <c r="EF178" s="279">
        <v>30</v>
      </c>
      <c r="EG178" s="155"/>
      <c r="EH178" s="152">
        <v>2</v>
      </c>
      <c r="EI178" s="153">
        <v>2</v>
      </c>
      <c r="EJ178" s="153">
        <v>3</v>
      </c>
      <c r="EK178" s="153">
        <v>1</v>
      </c>
      <c r="EL178" s="154">
        <v>6</v>
      </c>
      <c r="EM178" s="154"/>
      <c r="EN178" s="279"/>
      <c r="EO178" s="279">
        <v>1</v>
      </c>
      <c r="EP178" s="155"/>
      <c r="EQ178" s="152">
        <v>1</v>
      </c>
      <c r="ER178" s="153">
        <v>2</v>
      </c>
      <c r="ES178" s="153">
        <v>2</v>
      </c>
      <c r="ET178" s="153"/>
      <c r="EU178" s="154"/>
      <c r="EV178" s="154">
        <v>1</v>
      </c>
      <c r="EW178" s="279">
        <v>1</v>
      </c>
      <c r="EX178" s="279">
        <v>5</v>
      </c>
      <c r="EY178" s="155"/>
      <c r="EZ178" s="152"/>
      <c r="FA178" s="153">
        <v>2</v>
      </c>
      <c r="FB178" s="153">
        <v>4</v>
      </c>
      <c r="FC178" s="153"/>
      <c r="FD178" s="154">
        <v>1</v>
      </c>
      <c r="FE178" s="154"/>
      <c r="FF178" s="279"/>
      <c r="FG178" s="279"/>
      <c r="FH178" s="155"/>
      <c r="FI178" s="152">
        <v>30</v>
      </c>
      <c r="FJ178" s="153">
        <v>22</v>
      </c>
      <c r="FK178" s="153">
        <v>10</v>
      </c>
      <c r="FL178" s="153">
        <v>13</v>
      </c>
      <c r="FM178" s="154">
        <v>12</v>
      </c>
      <c r="FN178" s="154">
        <v>7</v>
      </c>
      <c r="FO178" s="279">
        <v>7</v>
      </c>
      <c r="FP178" s="279">
        <v>9</v>
      </c>
      <c r="FQ178" s="155"/>
      <c r="FR178" s="152">
        <v>4</v>
      </c>
      <c r="FS178" s="153">
        <v>1</v>
      </c>
      <c r="FT178" s="153">
        <v>2</v>
      </c>
      <c r="FU178" s="153">
        <v>7</v>
      </c>
      <c r="FV178" s="154">
        <v>2</v>
      </c>
      <c r="FW178" s="154">
        <v>4</v>
      </c>
      <c r="FX178" s="279">
        <v>2</v>
      </c>
      <c r="FY178" s="279">
        <v>3</v>
      </c>
      <c r="FZ178" s="155"/>
      <c r="GA178" s="152">
        <v>1</v>
      </c>
      <c r="GB178" s="153">
        <v>3</v>
      </c>
      <c r="GC178" s="153">
        <v>2</v>
      </c>
      <c r="GD178" s="153">
        <v>4</v>
      </c>
      <c r="GE178" s="154">
        <v>7</v>
      </c>
      <c r="GF178" s="154">
        <v>5</v>
      </c>
      <c r="GG178" s="279">
        <v>4</v>
      </c>
      <c r="GH178" s="279">
        <v>12</v>
      </c>
      <c r="GI178" s="155"/>
      <c r="GJ178" s="152">
        <v>492</v>
      </c>
      <c r="GK178" s="153">
        <v>398</v>
      </c>
      <c r="GL178" s="153">
        <v>420</v>
      </c>
      <c r="GM178" s="153">
        <v>355</v>
      </c>
      <c r="GN178" s="154">
        <v>388</v>
      </c>
      <c r="GO178" s="154">
        <v>326</v>
      </c>
      <c r="GP178" s="279">
        <v>297</v>
      </c>
      <c r="GQ178" s="279">
        <v>327</v>
      </c>
      <c r="GR178" s="155"/>
      <c r="GS178" s="152">
        <v>156</v>
      </c>
      <c r="GT178" s="153">
        <v>137</v>
      </c>
      <c r="GU178" s="153">
        <v>130</v>
      </c>
      <c r="GV178" s="153">
        <v>102</v>
      </c>
      <c r="GW178" s="154">
        <v>80</v>
      </c>
      <c r="GX178" s="154">
        <v>79</v>
      </c>
      <c r="GY178" s="279">
        <v>60</v>
      </c>
      <c r="GZ178" s="279">
        <v>84</v>
      </c>
      <c r="HA178" s="155"/>
      <c r="HB178" s="152">
        <v>5</v>
      </c>
      <c r="HC178" s="153">
        <v>3</v>
      </c>
      <c r="HD178" s="153">
        <v>4</v>
      </c>
      <c r="HE178" s="153">
        <v>1</v>
      </c>
      <c r="HF178" s="154"/>
      <c r="HG178" s="154">
        <v>2</v>
      </c>
      <c r="HH178" s="279"/>
      <c r="HI178" s="279"/>
      <c r="HJ178" s="155"/>
      <c r="HK178" s="152"/>
      <c r="HL178" s="153"/>
      <c r="HM178" s="153">
        <v>1</v>
      </c>
      <c r="HN178" s="153">
        <v>2</v>
      </c>
      <c r="HO178" s="154">
        <v>2</v>
      </c>
      <c r="HP178" s="154">
        <v>1</v>
      </c>
      <c r="HQ178" s="279"/>
      <c r="HR178" s="279">
        <v>1</v>
      </c>
      <c r="HS178" s="155"/>
      <c r="HT178" s="152">
        <v>260</v>
      </c>
      <c r="HU178" s="153">
        <v>256</v>
      </c>
      <c r="HV178" s="153">
        <v>205</v>
      </c>
      <c r="HW178" s="153">
        <v>203</v>
      </c>
      <c r="HX178" s="154">
        <v>180</v>
      </c>
      <c r="HY178" s="154">
        <v>192</v>
      </c>
      <c r="HZ178" s="279">
        <v>163</v>
      </c>
      <c r="IA178" s="279">
        <v>190</v>
      </c>
      <c r="IB178" s="155"/>
      <c r="IC178" s="152">
        <v>787</v>
      </c>
      <c r="ID178" s="153">
        <v>863</v>
      </c>
      <c r="IE178" s="153">
        <v>759</v>
      </c>
      <c r="IF178" s="153">
        <v>731</v>
      </c>
      <c r="IG178" s="154">
        <v>651</v>
      </c>
      <c r="IH178" s="154">
        <v>709</v>
      </c>
      <c r="II178" s="279">
        <v>551</v>
      </c>
      <c r="IJ178" s="279">
        <v>622</v>
      </c>
      <c r="IK178" s="155"/>
    </row>
    <row r="179" spans="1:245" x14ac:dyDescent="0.2">
      <c r="A179" s="961"/>
      <c r="B179" s="151" t="s">
        <v>758</v>
      </c>
      <c r="C179" s="152"/>
      <c r="D179" s="153"/>
      <c r="E179" s="153"/>
      <c r="F179" s="153"/>
      <c r="G179" s="154"/>
      <c r="H179" s="154"/>
      <c r="I179" s="279"/>
      <c r="J179" s="279"/>
      <c r="K179" s="155"/>
      <c r="L179" s="152"/>
      <c r="M179" s="153"/>
      <c r="N179" s="153"/>
      <c r="O179" s="153"/>
      <c r="P179" s="154"/>
      <c r="Q179" s="154"/>
      <c r="R179" s="279"/>
      <c r="S179" s="279"/>
      <c r="T179" s="155"/>
      <c r="U179" s="152"/>
      <c r="V179" s="153"/>
      <c r="W179" s="153"/>
      <c r="X179" s="153"/>
      <c r="Y179" s="154"/>
      <c r="Z179" s="154"/>
      <c r="AA179" s="279"/>
      <c r="AB179" s="279"/>
      <c r="AC179" s="155"/>
      <c r="AD179" s="152">
        <v>31</v>
      </c>
      <c r="AE179" s="153">
        <v>25</v>
      </c>
      <c r="AF179" s="153">
        <v>23</v>
      </c>
      <c r="AG179" s="153">
        <v>36</v>
      </c>
      <c r="AH179" s="154">
        <v>21</v>
      </c>
      <c r="AI179" s="154">
        <v>22</v>
      </c>
      <c r="AJ179" s="279">
        <v>38</v>
      </c>
      <c r="AK179" s="279">
        <v>34</v>
      </c>
      <c r="AL179" s="155"/>
      <c r="AM179" s="152">
        <v>10</v>
      </c>
      <c r="AN179" s="153">
        <v>10</v>
      </c>
      <c r="AO179" s="153">
        <v>6</v>
      </c>
      <c r="AP179" s="153">
        <v>12</v>
      </c>
      <c r="AQ179" s="154">
        <v>9</v>
      </c>
      <c r="AR179" s="154">
        <v>11</v>
      </c>
      <c r="AS179" s="279">
        <v>5</v>
      </c>
      <c r="AT179" s="279">
        <v>8</v>
      </c>
      <c r="AU179" s="155"/>
      <c r="AV179" s="152"/>
      <c r="AW179" s="153"/>
      <c r="AX179" s="153"/>
      <c r="AY179" s="153"/>
      <c r="AZ179" s="154"/>
      <c r="BA179" s="154"/>
      <c r="BB179" s="279"/>
      <c r="BC179" s="279"/>
      <c r="BD179" s="155"/>
      <c r="BE179" s="152">
        <v>2</v>
      </c>
      <c r="BF179" s="153"/>
      <c r="BG179" s="153">
        <v>1</v>
      </c>
      <c r="BH179" s="153">
        <v>6</v>
      </c>
      <c r="BI179" s="154">
        <v>4</v>
      </c>
      <c r="BJ179" s="154">
        <v>3</v>
      </c>
      <c r="BK179" s="279">
        <v>8</v>
      </c>
      <c r="BL179" s="279"/>
      <c r="BM179" s="155"/>
      <c r="BN179" s="152"/>
      <c r="BO179" s="153"/>
      <c r="BP179" s="153"/>
      <c r="BQ179" s="153"/>
      <c r="BR179" s="154"/>
      <c r="BS179" s="154">
        <v>1</v>
      </c>
      <c r="BT179" s="279"/>
      <c r="BU179" s="279"/>
      <c r="BV179" s="155"/>
      <c r="BW179" s="152">
        <v>51</v>
      </c>
      <c r="BX179" s="153">
        <v>50</v>
      </c>
      <c r="BY179" s="153">
        <v>37</v>
      </c>
      <c r="BZ179" s="153">
        <v>57</v>
      </c>
      <c r="CA179" s="154">
        <v>32</v>
      </c>
      <c r="CB179" s="154">
        <v>33</v>
      </c>
      <c r="CC179" s="279">
        <v>38</v>
      </c>
      <c r="CD179" s="279">
        <v>24</v>
      </c>
      <c r="CE179" s="155"/>
      <c r="CF179" s="152"/>
      <c r="CG179" s="153"/>
      <c r="CH179" s="153">
        <v>1</v>
      </c>
      <c r="CI179" s="153">
        <v>1</v>
      </c>
      <c r="CJ179" s="154"/>
      <c r="CK179" s="154">
        <v>1</v>
      </c>
      <c r="CL179" s="279"/>
      <c r="CM179" s="279"/>
      <c r="CN179" s="155"/>
      <c r="CO179" s="152">
        <v>1</v>
      </c>
      <c r="CP179" s="153"/>
      <c r="CQ179" s="153">
        <v>1</v>
      </c>
      <c r="CR179" s="153">
        <v>3</v>
      </c>
      <c r="CS179" s="154">
        <v>1</v>
      </c>
      <c r="CT179" s="154"/>
      <c r="CU179" s="279">
        <v>1</v>
      </c>
      <c r="CV179" s="279">
        <v>3</v>
      </c>
      <c r="CW179" s="155"/>
      <c r="CX179" s="152">
        <v>307</v>
      </c>
      <c r="CY179" s="153">
        <v>280</v>
      </c>
      <c r="CZ179" s="153">
        <v>198</v>
      </c>
      <c r="DA179" s="153">
        <v>311</v>
      </c>
      <c r="DB179" s="154">
        <v>169</v>
      </c>
      <c r="DC179" s="154">
        <v>190</v>
      </c>
      <c r="DD179" s="279">
        <v>138</v>
      </c>
      <c r="DE179" s="279">
        <v>129</v>
      </c>
      <c r="DF179" s="155"/>
      <c r="DG179" s="152">
        <v>1</v>
      </c>
      <c r="DH179" s="153">
        <v>4</v>
      </c>
      <c r="DI179" s="153">
        <v>1</v>
      </c>
      <c r="DJ179" s="153">
        <v>1</v>
      </c>
      <c r="DK179" s="154">
        <v>1</v>
      </c>
      <c r="DL179" s="154">
        <v>2</v>
      </c>
      <c r="DM179" s="279">
        <v>1</v>
      </c>
      <c r="DN179" s="279"/>
      <c r="DO179" s="155"/>
      <c r="DP179" s="152">
        <v>16</v>
      </c>
      <c r="DQ179" s="153">
        <v>14</v>
      </c>
      <c r="DR179" s="153">
        <v>7</v>
      </c>
      <c r="DS179" s="153">
        <v>4</v>
      </c>
      <c r="DT179" s="154">
        <v>1</v>
      </c>
      <c r="DU179" s="154">
        <v>1</v>
      </c>
      <c r="DV179" s="279">
        <v>3</v>
      </c>
      <c r="DW179" s="279">
        <v>2</v>
      </c>
      <c r="DX179" s="155"/>
      <c r="DY179" s="152">
        <v>30</v>
      </c>
      <c r="DZ179" s="153">
        <v>23</v>
      </c>
      <c r="EA179" s="153">
        <v>21</v>
      </c>
      <c r="EB179" s="153">
        <v>51</v>
      </c>
      <c r="EC179" s="154">
        <v>19</v>
      </c>
      <c r="ED179" s="154">
        <v>21</v>
      </c>
      <c r="EE179" s="279">
        <v>26</v>
      </c>
      <c r="EF179" s="279">
        <v>23</v>
      </c>
      <c r="EG179" s="155"/>
      <c r="EH179" s="152">
        <v>3</v>
      </c>
      <c r="EI179" s="153">
        <v>1</v>
      </c>
      <c r="EJ179" s="153">
        <v>1</v>
      </c>
      <c r="EK179" s="153">
        <v>4</v>
      </c>
      <c r="EL179" s="154">
        <v>2</v>
      </c>
      <c r="EM179" s="154">
        <v>1</v>
      </c>
      <c r="EN179" s="279"/>
      <c r="EO179" s="279"/>
      <c r="EP179" s="155"/>
      <c r="EQ179" s="152"/>
      <c r="ER179" s="153"/>
      <c r="ES179" s="153"/>
      <c r="ET179" s="153"/>
      <c r="EU179" s="154">
        <v>3</v>
      </c>
      <c r="EV179" s="154">
        <v>1</v>
      </c>
      <c r="EW179" s="279"/>
      <c r="EX179" s="279"/>
      <c r="EY179" s="155"/>
      <c r="EZ179" s="152"/>
      <c r="FA179" s="153">
        <v>1</v>
      </c>
      <c r="FB179" s="153">
        <v>2</v>
      </c>
      <c r="FC179" s="153"/>
      <c r="FD179" s="154"/>
      <c r="FE179" s="154"/>
      <c r="FF179" s="279"/>
      <c r="FG179" s="279">
        <v>1</v>
      </c>
      <c r="FH179" s="155"/>
      <c r="FI179" s="152">
        <v>30</v>
      </c>
      <c r="FJ179" s="153">
        <v>35</v>
      </c>
      <c r="FK179" s="153">
        <v>26</v>
      </c>
      <c r="FL179" s="153">
        <v>23</v>
      </c>
      <c r="FM179" s="154">
        <v>9</v>
      </c>
      <c r="FN179" s="154">
        <v>13</v>
      </c>
      <c r="FO179" s="279">
        <v>11</v>
      </c>
      <c r="FP179" s="279">
        <v>11</v>
      </c>
      <c r="FQ179" s="155"/>
      <c r="FR179" s="152">
        <v>4</v>
      </c>
      <c r="FS179" s="153">
        <v>1</v>
      </c>
      <c r="FT179" s="153">
        <v>1</v>
      </c>
      <c r="FU179" s="153">
        <v>4</v>
      </c>
      <c r="FV179" s="154">
        <v>2</v>
      </c>
      <c r="FW179" s="154">
        <v>2</v>
      </c>
      <c r="FX179" s="279">
        <v>1</v>
      </c>
      <c r="FY179" s="279">
        <v>2</v>
      </c>
      <c r="FZ179" s="155"/>
      <c r="GA179" s="152">
        <v>7</v>
      </c>
      <c r="GB179" s="153">
        <v>2</v>
      </c>
      <c r="GC179" s="153">
        <v>4</v>
      </c>
      <c r="GD179" s="153"/>
      <c r="GE179" s="154">
        <v>4</v>
      </c>
      <c r="GF179" s="154">
        <v>1</v>
      </c>
      <c r="GG179" s="279">
        <v>2</v>
      </c>
      <c r="GH179" s="279"/>
      <c r="GI179" s="155"/>
      <c r="GJ179" s="152">
        <v>436</v>
      </c>
      <c r="GK179" s="153">
        <v>395</v>
      </c>
      <c r="GL179" s="153">
        <v>295</v>
      </c>
      <c r="GM179" s="153">
        <v>445</v>
      </c>
      <c r="GN179" s="154">
        <v>247</v>
      </c>
      <c r="GO179" s="154">
        <v>268</v>
      </c>
      <c r="GP179" s="279">
        <v>237</v>
      </c>
      <c r="GQ179" s="279">
        <v>204</v>
      </c>
      <c r="GR179" s="155"/>
      <c r="GS179" s="152">
        <v>122</v>
      </c>
      <c r="GT179" s="153">
        <v>111</v>
      </c>
      <c r="GU179" s="153">
        <v>92</v>
      </c>
      <c r="GV179" s="153">
        <v>100</v>
      </c>
      <c r="GW179" s="154">
        <v>36</v>
      </c>
      <c r="GX179" s="154">
        <v>73</v>
      </c>
      <c r="GY179" s="279">
        <v>66</v>
      </c>
      <c r="GZ179" s="279">
        <v>26</v>
      </c>
      <c r="HA179" s="155"/>
      <c r="HB179" s="152"/>
      <c r="HC179" s="153"/>
      <c r="HD179" s="153"/>
      <c r="HE179" s="153"/>
      <c r="HF179" s="154"/>
      <c r="HG179" s="154"/>
      <c r="HH179" s="279"/>
      <c r="HI179" s="279"/>
      <c r="HJ179" s="155"/>
      <c r="HK179" s="152"/>
      <c r="HL179" s="153"/>
      <c r="HM179" s="153"/>
      <c r="HN179" s="153"/>
      <c r="HO179" s="154"/>
      <c r="HP179" s="154"/>
      <c r="HQ179" s="279"/>
      <c r="HR179" s="279"/>
      <c r="HS179" s="155"/>
      <c r="HT179" s="152">
        <v>154</v>
      </c>
      <c r="HU179" s="153">
        <v>143</v>
      </c>
      <c r="HV179" s="153">
        <v>116</v>
      </c>
      <c r="HW179" s="153">
        <v>138</v>
      </c>
      <c r="HX179" s="154">
        <v>61</v>
      </c>
      <c r="HY179" s="154">
        <v>106</v>
      </c>
      <c r="HZ179" s="279">
        <v>95</v>
      </c>
      <c r="IA179" s="279">
        <v>51</v>
      </c>
      <c r="IB179" s="155"/>
      <c r="IC179" s="152">
        <v>610</v>
      </c>
      <c r="ID179" s="153">
        <v>665</v>
      </c>
      <c r="IE179" s="153">
        <v>563</v>
      </c>
      <c r="IF179" s="153">
        <v>639</v>
      </c>
      <c r="IG179" s="154">
        <v>432</v>
      </c>
      <c r="IH179" s="154">
        <v>386</v>
      </c>
      <c r="II179" s="279">
        <v>481</v>
      </c>
      <c r="IJ179" s="279">
        <v>310</v>
      </c>
      <c r="IK179" s="155"/>
    </row>
    <row r="180" spans="1:245" ht="13.5" thickBot="1" x14ac:dyDescent="0.25">
      <c r="A180" s="961"/>
      <c r="B180" s="156" t="s">
        <v>759</v>
      </c>
      <c r="C180" s="157"/>
      <c r="D180" s="166"/>
      <c r="E180" s="166"/>
      <c r="F180" s="166"/>
      <c r="G180" s="158"/>
      <c r="H180" s="158"/>
      <c r="I180" s="280"/>
      <c r="J180" s="280"/>
      <c r="K180" s="159"/>
      <c r="L180" s="157"/>
      <c r="M180" s="166"/>
      <c r="N180" s="166"/>
      <c r="O180" s="166"/>
      <c r="P180" s="158"/>
      <c r="Q180" s="158"/>
      <c r="R180" s="280"/>
      <c r="S180" s="280"/>
      <c r="T180" s="159"/>
      <c r="U180" s="157"/>
      <c r="V180" s="166"/>
      <c r="W180" s="166"/>
      <c r="X180" s="166"/>
      <c r="Y180" s="158"/>
      <c r="Z180" s="158"/>
      <c r="AA180" s="280"/>
      <c r="AB180" s="280"/>
      <c r="AC180" s="159"/>
      <c r="AD180" s="157">
        <v>50</v>
      </c>
      <c r="AE180" s="166">
        <v>49</v>
      </c>
      <c r="AF180" s="166">
        <v>34</v>
      </c>
      <c r="AG180" s="166">
        <v>25</v>
      </c>
      <c r="AH180" s="158">
        <v>30</v>
      </c>
      <c r="AI180" s="158">
        <v>42</v>
      </c>
      <c r="AJ180" s="280">
        <v>49</v>
      </c>
      <c r="AK180" s="280">
        <v>54</v>
      </c>
      <c r="AL180" s="159"/>
      <c r="AM180" s="157">
        <v>8</v>
      </c>
      <c r="AN180" s="166">
        <v>5</v>
      </c>
      <c r="AO180" s="166">
        <v>4</v>
      </c>
      <c r="AP180" s="166">
        <v>7</v>
      </c>
      <c r="AQ180" s="158">
        <v>7</v>
      </c>
      <c r="AR180" s="158">
        <v>3</v>
      </c>
      <c r="AS180" s="280">
        <v>3</v>
      </c>
      <c r="AT180" s="280">
        <v>9</v>
      </c>
      <c r="AU180" s="159"/>
      <c r="AV180" s="157"/>
      <c r="AW180" s="166"/>
      <c r="AX180" s="166"/>
      <c r="AY180" s="166"/>
      <c r="AZ180" s="158"/>
      <c r="BA180" s="158"/>
      <c r="BB180" s="280"/>
      <c r="BC180" s="280"/>
      <c r="BD180" s="159"/>
      <c r="BE180" s="157">
        <v>10</v>
      </c>
      <c r="BF180" s="166">
        <v>3</v>
      </c>
      <c r="BG180" s="166">
        <v>2</v>
      </c>
      <c r="BH180" s="166">
        <v>5</v>
      </c>
      <c r="BI180" s="158"/>
      <c r="BJ180" s="158">
        <v>10</v>
      </c>
      <c r="BK180" s="280"/>
      <c r="BL180" s="280">
        <v>4</v>
      </c>
      <c r="BM180" s="159"/>
      <c r="BN180" s="157"/>
      <c r="BO180" s="166"/>
      <c r="BP180" s="166"/>
      <c r="BQ180" s="166"/>
      <c r="BR180" s="158"/>
      <c r="BS180" s="158"/>
      <c r="BT180" s="280"/>
      <c r="BU180" s="280"/>
      <c r="BV180" s="159"/>
      <c r="BW180" s="157">
        <v>65</v>
      </c>
      <c r="BX180" s="166">
        <v>62</v>
      </c>
      <c r="BY180" s="166">
        <v>45</v>
      </c>
      <c r="BZ180" s="166">
        <v>43</v>
      </c>
      <c r="CA180" s="158">
        <v>42</v>
      </c>
      <c r="CB180" s="158">
        <v>39</v>
      </c>
      <c r="CC180" s="280">
        <v>39</v>
      </c>
      <c r="CD180" s="280">
        <v>36</v>
      </c>
      <c r="CE180" s="159"/>
      <c r="CF180" s="157">
        <v>3</v>
      </c>
      <c r="CG180" s="166">
        <v>1</v>
      </c>
      <c r="CH180" s="166"/>
      <c r="CI180" s="166"/>
      <c r="CJ180" s="158">
        <v>1</v>
      </c>
      <c r="CK180" s="158"/>
      <c r="CL180" s="280">
        <v>1</v>
      </c>
      <c r="CM180" s="280">
        <v>1</v>
      </c>
      <c r="CN180" s="159"/>
      <c r="CO180" s="157"/>
      <c r="CP180" s="166">
        <v>3</v>
      </c>
      <c r="CQ180" s="166"/>
      <c r="CR180" s="166"/>
      <c r="CS180" s="158"/>
      <c r="CT180" s="158"/>
      <c r="CU180" s="280">
        <v>2</v>
      </c>
      <c r="CV180" s="280">
        <v>2</v>
      </c>
      <c r="CW180" s="159"/>
      <c r="CX180" s="157">
        <v>221</v>
      </c>
      <c r="CY180" s="166">
        <v>202</v>
      </c>
      <c r="CZ180" s="166">
        <v>174</v>
      </c>
      <c r="DA180" s="166">
        <v>183</v>
      </c>
      <c r="DB180" s="158">
        <v>139</v>
      </c>
      <c r="DC180" s="158">
        <v>121</v>
      </c>
      <c r="DD180" s="280">
        <v>80</v>
      </c>
      <c r="DE180" s="280">
        <v>77</v>
      </c>
      <c r="DF180" s="159"/>
      <c r="DG180" s="157">
        <v>1</v>
      </c>
      <c r="DH180" s="166"/>
      <c r="DI180" s="166"/>
      <c r="DJ180" s="166"/>
      <c r="DK180" s="158">
        <v>1</v>
      </c>
      <c r="DL180" s="158"/>
      <c r="DM180" s="280">
        <v>1</v>
      </c>
      <c r="DN180" s="280">
        <v>1</v>
      </c>
      <c r="DO180" s="159"/>
      <c r="DP180" s="157">
        <v>4</v>
      </c>
      <c r="DQ180" s="166">
        <v>4</v>
      </c>
      <c r="DR180" s="166">
        <v>1</v>
      </c>
      <c r="DS180" s="166">
        <v>4</v>
      </c>
      <c r="DT180" s="158">
        <v>4</v>
      </c>
      <c r="DU180" s="158">
        <v>1</v>
      </c>
      <c r="DV180" s="280">
        <v>1</v>
      </c>
      <c r="DW180" s="280"/>
      <c r="DX180" s="159"/>
      <c r="DY180" s="157">
        <v>47</v>
      </c>
      <c r="DZ180" s="166">
        <v>34</v>
      </c>
      <c r="EA180" s="166">
        <v>47</v>
      </c>
      <c r="EB180" s="166">
        <v>33</v>
      </c>
      <c r="EC180" s="158">
        <v>28</v>
      </c>
      <c r="ED180" s="158">
        <v>30</v>
      </c>
      <c r="EE180" s="280">
        <v>29</v>
      </c>
      <c r="EF180" s="280">
        <v>25</v>
      </c>
      <c r="EG180" s="159"/>
      <c r="EH180" s="157">
        <v>2</v>
      </c>
      <c r="EI180" s="166">
        <v>2</v>
      </c>
      <c r="EJ180" s="166">
        <v>1</v>
      </c>
      <c r="EK180" s="166"/>
      <c r="EL180" s="158"/>
      <c r="EM180" s="158"/>
      <c r="EN180" s="280"/>
      <c r="EO180" s="280"/>
      <c r="EP180" s="159"/>
      <c r="EQ180" s="157"/>
      <c r="ER180" s="166"/>
      <c r="ES180" s="166"/>
      <c r="ET180" s="166"/>
      <c r="EU180" s="158">
        <v>1</v>
      </c>
      <c r="EV180" s="158"/>
      <c r="EW180" s="280">
        <v>1</v>
      </c>
      <c r="EX180" s="280">
        <v>1</v>
      </c>
      <c r="EY180" s="159"/>
      <c r="EZ180" s="157">
        <v>2</v>
      </c>
      <c r="FA180" s="166">
        <v>1</v>
      </c>
      <c r="FB180" s="166"/>
      <c r="FC180" s="166">
        <v>1</v>
      </c>
      <c r="FD180" s="158"/>
      <c r="FE180" s="158"/>
      <c r="FF180" s="280"/>
      <c r="FG180" s="280">
        <v>1</v>
      </c>
      <c r="FH180" s="159"/>
      <c r="FI180" s="157">
        <v>19</v>
      </c>
      <c r="FJ180" s="166">
        <v>15</v>
      </c>
      <c r="FK180" s="166">
        <v>8</v>
      </c>
      <c r="FL180" s="166">
        <v>11</v>
      </c>
      <c r="FM180" s="158">
        <v>3</v>
      </c>
      <c r="FN180" s="158">
        <v>1</v>
      </c>
      <c r="FO180" s="280">
        <v>6</v>
      </c>
      <c r="FP180" s="280">
        <v>1</v>
      </c>
      <c r="FQ180" s="159"/>
      <c r="FR180" s="157">
        <v>4</v>
      </c>
      <c r="FS180" s="166">
        <v>1</v>
      </c>
      <c r="FT180" s="166">
        <v>1</v>
      </c>
      <c r="FU180" s="166"/>
      <c r="FV180" s="158">
        <v>1</v>
      </c>
      <c r="FW180" s="158"/>
      <c r="FX180" s="280"/>
      <c r="FY180" s="280"/>
      <c r="FZ180" s="159"/>
      <c r="GA180" s="157">
        <v>2</v>
      </c>
      <c r="GB180" s="166">
        <v>2</v>
      </c>
      <c r="GC180" s="166"/>
      <c r="GD180" s="166">
        <v>1</v>
      </c>
      <c r="GE180" s="158">
        <v>5</v>
      </c>
      <c r="GF180" s="158"/>
      <c r="GG180" s="280">
        <v>1</v>
      </c>
      <c r="GH180" s="280">
        <v>3</v>
      </c>
      <c r="GI180" s="159"/>
      <c r="GJ180" s="157">
        <v>378</v>
      </c>
      <c r="GK180" s="166">
        <v>341</v>
      </c>
      <c r="GL180" s="166">
        <v>265</v>
      </c>
      <c r="GM180" s="166">
        <v>269</v>
      </c>
      <c r="GN180" s="158">
        <v>222</v>
      </c>
      <c r="GO180" s="158">
        <v>213</v>
      </c>
      <c r="GP180" s="280">
        <v>179</v>
      </c>
      <c r="GQ180" s="280">
        <v>180</v>
      </c>
      <c r="GR180" s="159"/>
      <c r="GS180" s="157">
        <v>122</v>
      </c>
      <c r="GT180" s="166">
        <v>106</v>
      </c>
      <c r="GU180" s="166">
        <v>77</v>
      </c>
      <c r="GV180" s="166">
        <v>65</v>
      </c>
      <c r="GW180" s="158">
        <v>38</v>
      </c>
      <c r="GX180" s="158">
        <v>32</v>
      </c>
      <c r="GY180" s="280">
        <v>33</v>
      </c>
      <c r="GZ180" s="280">
        <v>56</v>
      </c>
      <c r="HA180" s="159"/>
      <c r="HB180" s="157"/>
      <c r="HC180" s="166"/>
      <c r="HD180" s="166"/>
      <c r="HE180" s="166"/>
      <c r="HF180" s="158"/>
      <c r="HG180" s="158"/>
      <c r="HH180" s="280"/>
      <c r="HI180" s="280"/>
      <c r="HJ180" s="159"/>
      <c r="HK180" s="157"/>
      <c r="HL180" s="166"/>
      <c r="HM180" s="166"/>
      <c r="HN180" s="166"/>
      <c r="HO180" s="158"/>
      <c r="HP180" s="158"/>
      <c r="HQ180" s="280"/>
      <c r="HR180" s="280"/>
      <c r="HS180" s="159"/>
      <c r="HT180" s="157">
        <v>136</v>
      </c>
      <c r="HU180" s="166">
        <v>132</v>
      </c>
      <c r="HV180" s="166">
        <v>107</v>
      </c>
      <c r="HW180" s="166">
        <v>78</v>
      </c>
      <c r="HX180" s="158">
        <v>64</v>
      </c>
      <c r="HY180" s="158">
        <v>47</v>
      </c>
      <c r="HZ180" s="280">
        <v>53</v>
      </c>
      <c r="IA180" s="280">
        <v>82</v>
      </c>
      <c r="IB180" s="159"/>
      <c r="IC180" s="157">
        <v>475</v>
      </c>
      <c r="ID180" s="166">
        <v>777</v>
      </c>
      <c r="IE180" s="166">
        <v>352</v>
      </c>
      <c r="IF180" s="166">
        <v>345</v>
      </c>
      <c r="IG180" s="158">
        <v>293</v>
      </c>
      <c r="IH180" s="158">
        <v>278</v>
      </c>
      <c r="II180" s="280">
        <v>433</v>
      </c>
      <c r="IJ180" s="280">
        <v>268</v>
      </c>
      <c r="IK180" s="159"/>
    </row>
    <row r="181" spans="1:245" ht="13.5" thickBot="1" x14ac:dyDescent="0.25">
      <c r="A181" s="962"/>
      <c r="B181" s="189" t="s">
        <v>793</v>
      </c>
      <c r="C181" s="288">
        <v>3</v>
      </c>
      <c r="D181" s="191">
        <v>6</v>
      </c>
      <c r="E181" s="191">
        <v>5</v>
      </c>
      <c r="F181" s="191">
        <v>6</v>
      </c>
      <c r="G181" s="191">
        <v>2</v>
      </c>
      <c r="H181" s="191">
        <v>2</v>
      </c>
      <c r="I181" s="191">
        <v>6</v>
      </c>
      <c r="J181" s="191">
        <v>2</v>
      </c>
      <c r="K181" s="287"/>
      <c r="L181" s="288">
        <v>3</v>
      </c>
      <c r="M181" s="191">
        <v>4</v>
      </c>
      <c r="N181" s="191">
        <v>1</v>
      </c>
      <c r="O181" s="191">
        <v>4</v>
      </c>
      <c r="P181" s="191">
        <v>1</v>
      </c>
      <c r="Q181" s="191">
        <v>2</v>
      </c>
      <c r="R181" s="191">
        <v>2</v>
      </c>
      <c r="S181" s="191">
        <v>1</v>
      </c>
      <c r="T181" s="287"/>
      <c r="U181" s="288"/>
      <c r="V181" s="191">
        <v>1</v>
      </c>
      <c r="W181" s="191">
        <v>4</v>
      </c>
      <c r="X181" s="191">
        <v>1</v>
      </c>
      <c r="Y181" s="191">
        <v>1</v>
      </c>
      <c r="Z181" s="191"/>
      <c r="AA181" s="191">
        <v>1</v>
      </c>
      <c r="AB181" s="191">
        <v>1</v>
      </c>
      <c r="AC181" s="287"/>
      <c r="AD181" s="288">
        <v>298</v>
      </c>
      <c r="AE181" s="191">
        <v>306</v>
      </c>
      <c r="AF181" s="191">
        <v>274</v>
      </c>
      <c r="AG181" s="191">
        <v>261</v>
      </c>
      <c r="AH181" s="191">
        <v>272</v>
      </c>
      <c r="AI181" s="191">
        <v>268</v>
      </c>
      <c r="AJ181" s="191">
        <v>248</v>
      </c>
      <c r="AK181" s="191">
        <v>263</v>
      </c>
      <c r="AL181" s="287"/>
      <c r="AM181" s="288">
        <v>114</v>
      </c>
      <c r="AN181" s="191">
        <v>107</v>
      </c>
      <c r="AO181" s="191">
        <v>83</v>
      </c>
      <c r="AP181" s="191">
        <v>104</v>
      </c>
      <c r="AQ181" s="191">
        <v>95</v>
      </c>
      <c r="AR181" s="191">
        <v>94</v>
      </c>
      <c r="AS181" s="191">
        <v>66</v>
      </c>
      <c r="AT181" s="191">
        <v>72</v>
      </c>
      <c r="AU181" s="287"/>
      <c r="AV181" s="288">
        <v>2</v>
      </c>
      <c r="AW181" s="191"/>
      <c r="AX181" s="191">
        <v>1</v>
      </c>
      <c r="AY181" s="191"/>
      <c r="AZ181" s="191">
        <v>1</v>
      </c>
      <c r="BA181" s="191">
        <v>1</v>
      </c>
      <c r="BB181" s="191"/>
      <c r="BC181" s="191"/>
      <c r="BD181" s="287"/>
      <c r="BE181" s="288">
        <v>46</v>
      </c>
      <c r="BF181" s="191">
        <v>52</v>
      </c>
      <c r="BG181" s="191">
        <v>34</v>
      </c>
      <c r="BH181" s="191">
        <v>32</v>
      </c>
      <c r="BI181" s="191">
        <v>16</v>
      </c>
      <c r="BJ181" s="191">
        <v>19</v>
      </c>
      <c r="BK181" s="191">
        <v>27</v>
      </c>
      <c r="BL181" s="191">
        <v>41</v>
      </c>
      <c r="BM181" s="287"/>
      <c r="BN181" s="288">
        <v>1</v>
      </c>
      <c r="BO181" s="191">
        <v>4</v>
      </c>
      <c r="BP181" s="191">
        <v>5</v>
      </c>
      <c r="BQ181" s="191">
        <v>13</v>
      </c>
      <c r="BR181" s="191">
        <v>9</v>
      </c>
      <c r="BS181" s="191">
        <v>6</v>
      </c>
      <c r="BT181" s="191">
        <v>5</v>
      </c>
      <c r="BU181" s="191">
        <v>1</v>
      </c>
      <c r="BV181" s="287"/>
      <c r="BW181" s="288">
        <v>528</v>
      </c>
      <c r="BX181" s="191">
        <v>508</v>
      </c>
      <c r="BY181" s="191">
        <v>481</v>
      </c>
      <c r="BZ181" s="191">
        <v>446</v>
      </c>
      <c r="CA181" s="191">
        <v>449</v>
      </c>
      <c r="CB181" s="191">
        <v>395</v>
      </c>
      <c r="CC181" s="191">
        <v>336</v>
      </c>
      <c r="CD181" s="191">
        <v>311</v>
      </c>
      <c r="CE181" s="287"/>
      <c r="CF181" s="288">
        <v>14</v>
      </c>
      <c r="CG181" s="191">
        <v>8</v>
      </c>
      <c r="CH181" s="191">
        <v>8</v>
      </c>
      <c r="CI181" s="191">
        <v>9</v>
      </c>
      <c r="CJ181" s="191">
        <v>5</v>
      </c>
      <c r="CK181" s="191">
        <v>2</v>
      </c>
      <c r="CL181" s="191">
        <v>12</v>
      </c>
      <c r="CM181" s="191">
        <v>4</v>
      </c>
      <c r="CN181" s="287"/>
      <c r="CO181" s="288">
        <v>28</v>
      </c>
      <c r="CP181" s="191">
        <v>42</v>
      </c>
      <c r="CQ181" s="191">
        <v>23</v>
      </c>
      <c r="CR181" s="191">
        <v>26</v>
      </c>
      <c r="CS181" s="191">
        <v>23</v>
      </c>
      <c r="CT181" s="191">
        <v>19</v>
      </c>
      <c r="CU181" s="191">
        <v>20</v>
      </c>
      <c r="CV181" s="191">
        <v>24</v>
      </c>
      <c r="CW181" s="287"/>
      <c r="CX181" s="288">
        <v>3657</v>
      </c>
      <c r="CY181" s="191">
        <v>3031</v>
      </c>
      <c r="CZ181" s="191">
        <v>2879</v>
      </c>
      <c r="DA181" s="191">
        <v>2261</v>
      </c>
      <c r="DB181" s="191">
        <v>2249</v>
      </c>
      <c r="DC181" s="191">
        <v>1855</v>
      </c>
      <c r="DD181" s="191">
        <v>1385</v>
      </c>
      <c r="DE181" s="191">
        <v>1363</v>
      </c>
      <c r="DF181" s="287"/>
      <c r="DG181" s="288">
        <v>10</v>
      </c>
      <c r="DH181" s="191">
        <v>18</v>
      </c>
      <c r="DI181" s="191">
        <v>15</v>
      </c>
      <c r="DJ181" s="191">
        <v>8</v>
      </c>
      <c r="DK181" s="191">
        <v>10</v>
      </c>
      <c r="DL181" s="191">
        <v>12</v>
      </c>
      <c r="DM181" s="191">
        <v>5</v>
      </c>
      <c r="DN181" s="191">
        <v>11</v>
      </c>
      <c r="DO181" s="287"/>
      <c r="DP181" s="288">
        <v>210</v>
      </c>
      <c r="DQ181" s="191">
        <v>92</v>
      </c>
      <c r="DR181" s="191">
        <v>91</v>
      </c>
      <c r="DS181" s="191">
        <v>47</v>
      </c>
      <c r="DT181" s="191">
        <v>72</v>
      </c>
      <c r="DU181" s="191">
        <v>45</v>
      </c>
      <c r="DV181" s="191">
        <v>17</v>
      </c>
      <c r="DW181" s="191">
        <v>20</v>
      </c>
      <c r="DX181" s="287"/>
      <c r="DY181" s="288">
        <v>374</v>
      </c>
      <c r="DZ181" s="191">
        <v>275</v>
      </c>
      <c r="EA181" s="191">
        <v>322</v>
      </c>
      <c r="EB181" s="191">
        <v>254</v>
      </c>
      <c r="EC181" s="191">
        <v>234</v>
      </c>
      <c r="ED181" s="191">
        <v>272</v>
      </c>
      <c r="EE181" s="191">
        <v>239</v>
      </c>
      <c r="EF181" s="191">
        <v>172</v>
      </c>
      <c r="EG181" s="287"/>
      <c r="EH181" s="288">
        <v>62</v>
      </c>
      <c r="EI181" s="191">
        <v>40</v>
      </c>
      <c r="EJ181" s="191">
        <v>31</v>
      </c>
      <c r="EK181" s="191">
        <v>19</v>
      </c>
      <c r="EL181" s="191">
        <v>23</v>
      </c>
      <c r="EM181" s="191">
        <v>10</v>
      </c>
      <c r="EN181" s="191">
        <v>9</v>
      </c>
      <c r="EO181" s="191">
        <v>5</v>
      </c>
      <c r="EP181" s="287"/>
      <c r="EQ181" s="288">
        <v>3</v>
      </c>
      <c r="ER181" s="191">
        <v>10</v>
      </c>
      <c r="ES181" s="191">
        <v>9</v>
      </c>
      <c r="ET181" s="191">
        <v>6</v>
      </c>
      <c r="EU181" s="191">
        <v>9</v>
      </c>
      <c r="EV181" s="191">
        <v>4</v>
      </c>
      <c r="EW181" s="191">
        <v>33</v>
      </c>
      <c r="EX181" s="191">
        <v>25</v>
      </c>
      <c r="EY181" s="287"/>
      <c r="EZ181" s="288">
        <v>15</v>
      </c>
      <c r="FA181" s="191">
        <v>11</v>
      </c>
      <c r="FB181" s="191">
        <v>13</v>
      </c>
      <c r="FC181" s="191">
        <v>4</v>
      </c>
      <c r="FD181" s="191">
        <v>9</v>
      </c>
      <c r="FE181" s="191">
        <v>6</v>
      </c>
      <c r="FF181" s="191">
        <v>4</v>
      </c>
      <c r="FG181" s="191">
        <v>6</v>
      </c>
      <c r="FH181" s="287"/>
      <c r="FI181" s="288">
        <v>305</v>
      </c>
      <c r="FJ181" s="191">
        <v>295</v>
      </c>
      <c r="FK181" s="191">
        <v>205</v>
      </c>
      <c r="FL181" s="191">
        <v>169</v>
      </c>
      <c r="FM181" s="191">
        <v>159</v>
      </c>
      <c r="FN181" s="191">
        <v>150</v>
      </c>
      <c r="FO181" s="191">
        <v>113</v>
      </c>
      <c r="FP181" s="191">
        <v>134</v>
      </c>
      <c r="FQ181" s="287"/>
      <c r="FR181" s="288">
        <v>25</v>
      </c>
      <c r="FS181" s="191">
        <v>29</v>
      </c>
      <c r="FT181" s="191">
        <v>30</v>
      </c>
      <c r="FU181" s="191">
        <v>25</v>
      </c>
      <c r="FV181" s="191">
        <v>29</v>
      </c>
      <c r="FW181" s="191">
        <v>31</v>
      </c>
      <c r="FX181" s="191">
        <v>8</v>
      </c>
      <c r="FY181" s="191">
        <v>11</v>
      </c>
      <c r="FZ181" s="287"/>
      <c r="GA181" s="288">
        <v>20</v>
      </c>
      <c r="GB181" s="191">
        <v>25</v>
      </c>
      <c r="GC181" s="191">
        <v>15</v>
      </c>
      <c r="GD181" s="191">
        <v>19</v>
      </c>
      <c r="GE181" s="191">
        <v>30</v>
      </c>
      <c r="GF181" s="191">
        <v>22</v>
      </c>
      <c r="GG181" s="191">
        <v>25</v>
      </c>
      <c r="GH181" s="191">
        <v>45</v>
      </c>
      <c r="GI181" s="287"/>
      <c r="GJ181" s="288">
        <v>5005</v>
      </c>
      <c r="GK181" s="191">
        <v>4367</v>
      </c>
      <c r="GL181" s="191">
        <v>4012</v>
      </c>
      <c r="GM181" s="191">
        <v>3296</v>
      </c>
      <c r="GN181" s="191">
        <v>3284</v>
      </c>
      <c r="GO181" s="191">
        <v>2789</v>
      </c>
      <c r="GP181" s="191">
        <v>2231</v>
      </c>
      <c r="GQ181" s="191">
        <v>2235</v>
      </c>
      <c r="GR181" s="287"/>
      <c r="GS181" s="288">
        <v>1590</v>
      </c>
      <c r="GT181" s="191">
        <v>1387</v>
      </c>
      <c r="GU181" s="191">
        <v>1335</v>
      </c>
      <c r="GV181" s="191">
        <v>920</v>
      </c>
      <c r="GW181" s="191">
        <v>611</v>
      </c>
      <c r="GX181" s="191">
        <v>590</v>
      </c>
      <c r="GY181" s="191">
        <v>526</v>
      </c>
      <c r="GZ181" s="191">
        <v>506</v>
      </c>
      <c r="HA181" s="287"/>
      <c r="HB181" s="288">
        <v>18</v>
      </c>
      <c r="HC181" s="191">
        <v>20</v>
      </c>
      <c r="HD181" s="191">
        <v>21</v>
      </c>
      <c r="HE181" s="191">
        <v>11</v>
      </c>
      <c r="HF181" s="191">
        <v>9</v>
      </c>
      <c r="HG181" s="191">
        <v>20</v>
      </c>
      <c r="HH181" s="191">
        <v>13</v>
      </c>
      <c r="HI181" s="191">
        <v>8</v>
      </c>
      <c r="HJ181" s="287"/>
      <c r="HK181" s="288">
        <v>5</v>
      </c>
      <c r="HL181" s="191">
        <v>20</v>
      </c>
      <c r="HM181" s="191">
        <v>7</v>
      </c>
      <c r="HN181" s="191">
        <v>7</v>
      </c>
      <c r="HO181" s="191">
        <v>5</v>
      </c>
      <c r="HP181" s="191">
        <v>5</v>
      </c>
      <c r="HQ181" s="191">
        <v>6</v>
      </c>
      <c r="HR181" s="191">
        <v>7</v>
      </c>
      <c r="HS181" s="287"/>
      <c r="HT181" s="288">
        <v>2183</v>
      </c>
      <c r="HU181" s="191">
        <v>2010</v>
      </c>
      <c r="HV181" s="191">
        <v>1896</v>
      </c>
      <c r="HW181" s="191">
        <v>1587</v>
      </c>
      <c r="HX181" s="191">
        <v>1205</v>
      </c>
      <c r="HY181" s="191">
        <v>1168</v>
      </c>
      <c r="HZ181" s="191">
        <v>1083</v>
      </c>
      <c r="IA181" s="191">
        <v>1197</v>
      </c>
      <c r="IB181" s="287"/>
      <c r="IC181" s="288">
        <v>7819</v>
      </c>
      <c r="ID181" s="191">
        <v>8159</v>
      </c>
      <c r="IE181" s="191">
        <v>7147</v>
      </c>
      <c r="IF181" s="191">
        <v>5666</v>
      </c>
      <c r="IG181" s="191">
        <v>5445</v>
      </c>
      <c r="IH181" s="191">
        <v>5461</v>
      </c>
      <c r="II181" s="191">
        <v>4487</v>
      </c>
      <c r="IJ181" s="191">
        <v>4827</v>
      </c>
      <c r="IK181" s="287"/>
    </row>
    <row r="182" spans="1:245" x14ac:dyDescent="0.2">
      <c r="A182" s="960" t="s">
        <v>609</v>
      </c>
      <c r="B182" s="146" t="s">
        <v>610</v>
      </c>
      <c r="C182" s="147">
        <v>3</v>
      </c>
      <c r="D182" s="148">
        <v>7</v>
      </c>
      <c r="E182" s="148">
        <v>10</v>
      </c>
      <c r="F182" s="148">
        <v>9</v>
      </c>
      <c r="G182" s="149">
        <v>3</v>
      </c>
      <c r="H182" s="149">
        <v>4</v>
      </c>
      <c r="I182" s="278">
        <v>5</v>
      </c>
      <c r="J182" s="278">
        <v>2</v>
      </c>
      <c r="K182" s="150"/>
      <c r="L182" s="147">
        <v>1</v>
      </c>
      <c r="M182" s="148">
        <v>2</v>
      </c>
      <c r="N182" s="148">
        <v>2</v>
      </c>
      <c r="O182" s="148">
        <v>3</v>
      </c>
      <c r="P182" s="149">
        <v>1</v>
      </c>
      <c r="Q182" s="149">
        <v>3</v>
      </c>
      <c r="R182" s="278">
        <v>1</v>
      </c>
      <c r="S182" s="278">
        <v>2</v>
      </c>
      <c r="T182" s="150"/>
      <c r="U182" s="147">
        <v>1</v>
      </c>
      <c r="V182" s="148">
        <v>2</v>
      </c>
      <c r="W182" s="148">
        <v>5</v>
      </c>
      <c r="X182" s="148">
        <v>3</v>
      </c>
      <c r="Y182" s="149">
        <v>1</v>
      </c>
      <c r="Z182" s="149">
        <v>1</v>
      </c>
      <c r="AA182" s="278">
        <v>4</v>
      </c>
      <c r="AB182" s="278"/>
      <c r="AC182" s="150"/>
      <c r="AD182" s="147">
        <v>7</v>
      </c>
      <c r="AE182" s="148">
        <v>7</v>
      </c>
      <c r="AF182" s="148">
        <v>10</v>
      </c>
      <c r="AG182" s="148">
        <v>13</v>
      </c>
      <c r="AH182" s="149">
        <v>10</v>
      </c>
      <c r="AI182" s="149">
        <v>6</v>
      </c>
      <c r="AJ182" s="278">
        <v>7</v>
      </c>
      <c r="AK182" s="278">
        <v>7</v>
      </c>
      <c r="AL182" s="150"/>
      <c r="AM182" s="147">
        <v>7</v>
      </c>
      <c r="AN182" s="148">
        <v>5</v>
      </c>
      <c r="AO182" s="148">
        <v>9</v>
      </c>
      <c r="AP182" s="148">
        <v>6</v>
      </c>
      <c r="AQ182" s="149">
        <v>9</v>
      </c>
      <c r="AR182" s="149">
        <v>6</v>
      </c>
      <c r="AS182" s="278">
        <v>7</v>
      </c>
      <c r="AT182" s="278">
        <v>5</v>
      </c>
      <c r="AU182" s="150"/>
      <c r="AV182" s="147"/>
      <c r="AW182" s="148"/>
      <c r="AX182" s="148">
        <v>4</v>
      </c>
      <c r="AY182" s="148"/>
      <c r="AZ182" s="149">
        <v>1</v>
      </c>
      <c r="BA182" s="149">
        <v>1</v>
      </c>
      <c r="BB182" s="278">
        <v>2</v>
      </c>
      <c r="BC182" s="278"/>
      <c r="BD182" s="150"/>
      <c r="BE182" s="147">
        <v>1</v>
      </c>
      <c r="BF182" s="148">
        <v>2</v>
      </c>
      <c r="BG182" s="148">
        <v>4</v>
      </c>
      <c r="BH182" s="148">
        <v>2</v>
      </c>
      <c r="BI182" s="149">
        <v>1</v>
      </c>
      <c r="BJ182" s="149">
        <v>4</v>
      </c>
      <c r="BK182" s="278">
        <v>3</v>
      </c>
      <c r="BL182" s="278">
        <v>2</v>
      </c>
      <c r="BM182" s="150"/>
      <c r="BN182" s="147"/>
      <c r="BO182" s="148"/>
      <c r="BP182" s="148"/>
      <c r="BQ182" s="148">
        <v>1</v>
      </c>
      <c r="BR182" s="149"/>
      <c r="BS182" s="149"/>
      <c r="BT182" s="278">
        <v>3</v>
      </c>
      <c r="BU182" s="278"/>
      <c r="BV182" s="150"/>
      <c r="BW182" s="147">
        <v>3</v>
      </c>
      <c r="BX182" s="148">
        <v>1</v>
      </c>
      <c r="BY182" s="148">
        <v>2</v>
      </c>
      <c r="BZ182" s="148">
        <v>1</v>
      </c>
      <c r="CA182" s="149">
        <v>2</v>
      </c>
      <c r="CB182" s="149">
        <v>1</v>
      </c>
      <c r="CC182" s="278">
        <v>1</v>
      </c>
      <c r="CD182" s="278">
        <v>1</v>
      </c>
      <c r="CE182" s="150"/>
      <c r="CF182" s="147"/>
      <c r="CG182" s="148">
        <v>2</v>
      </c>
      <c r="CH182" s="148">
        <v>1</v>
      </c>
      <c r="CI182" s="148"/>
      <c r="CJ182" s="149"/>
      <c r="CK182" s="149"/>
      <c r="CL182" s="278">
        <v>1</v>
      </c>
      <c r="CM182" s="278"/>
      <c r="CN182" s="150"/>
      <c r="CO182" s="147"/>
      <c r="CP182" s="148"/>
      <c r="CQ182" s="148"/>
      <c r="CR182" s="148"/>
      <c r="CS182" s="149">
        <v>11</v>
      </c>
      <c r="CT182" s="149">
        <v>16</v>
      </c>
      <c r="CU182" s="278">
        <v>1</v>
      </c>
      <c r="CV182" s="278">
        <v>5</v>
      </c>
      <c r="CW182" s="150"/>
      <c r="CX182" s="147">
        <v>1</v>
      </c>
      <c r="CY182" s="148">
        <v>2</v>
      </c>
      <c r="CZ182" s="148">
        <v>4</v>
      </c>
      <c r="DA182" s="148">
        <v>4</v>
      </c>
      <c r="DB182" s="149">
        <v>10</v>
      </c>
      <c r="DC182" s="149">
        <v>1</v>
      </c>
      <c r="DD182" s="278">
        <v>14</v>
      </c>
      <c r="DE182" s="278"/>
      <c r="DF182" s="150"/>
      <c r="DG182" s="147"/>
      <c r="DH182" s="148"/>
      <c r="DI182" s="148"/>
      <c r="DJ182" s="148"/>
      <c r="DK182" s="149"/>
      <c r="DL182" s="149"/>
      <c r="DM182" s="278"/>
      <c r="DN182" s="278"/>
      <c r="DO182" s="150"/>
      <c r="DP182" s="147"/>
      <c r="DQ182" s="148"/>
      <c r="DR182" s="148"/>
      <c r="DS182" s="148"/>
      <c r="DT182" s="149"/>
      <c r="DU182" s="149"/>
      <c r="DV182" s="278">
        <v>13</v>
      </c>
      <c r="DW182" s="278"/>
      <c r="DX182" s="150"/>
      <c r="DY182" s="147">
        <v>1</v>
      </c>
      <c r="DZ182" s="148"/>
      <c r="EA182" s="148"/>
      <c r="EB182" s="148"/>
      <c r="EC182" s="149">
        <v>10</v>
      </c>
      <c r="ED182" s="149"/>
      <c r="EE182" s="278"/>
      <c r="EF182" s="278"/>
      <c r="EG182" s="150"/>
      <c r="EH182" s="147"/>
      <c r="EI182" s="148">
        <v>1</v>
      </c>
      <c r="EJ182" s="148">
        <v>4</v>
      </c>
      <c r="EK182" s="148">
        <v>7</v>
      </c>
      <c r="EL182" s="149">
        <v>4</v>
      </c>
      <c r="EM182" s="149">
        <v>4</v>
      </c>
      <c r="EN182" s="278"/>
      <c r="EO182" s="278">
        <v>1</v>
      </c>
      <c r="EP182" s="150"/>
      <c r="EQ182" s="147"/>
      <c r="ER182" s="148"/>
      <c r="ES182" s="148"/>
      <c r="ET182" s="148">
        <v>3</v>
      </c>
      <c r="EU182" s="149"/>
      <c r="EV182" s="149"/>
      <c r="EW182" s="278"/>
      <c r="EX182" s="278"/>
      <c r="EY182" s="150"/>
      <c r="EZ182" s="147">
        <v>2</v>
      </c>
      <c r="FA182" s="148">
        <v>9</v>
      </c>
      <c r="FB182" s="148">
        <v>4</v>
      </c>
      <c r="FC182" s="148">
        <v>6</v>
      </c>
      <c r="FD182" s="149">
        <v>2</v>
      </c>
      <c r="FE182" s="149">
        <v>1</v>
      </c>
      <c r="FF182" s="278">
        <v>1</v>
      </c>
      <c r="FG182" s="278"/>
      <c r="FH182" s="150"/>
      <c r="FI182" s="147">
        <v>1</v>
      </c>
      <c r="FJ182" s="148"/>
      <c r="FK182" s="148">
        <v>3</v>
      </c>
      <c r="FL182" s="148"/>
      <c r="FM182" s="149"/>
      <c r="FN182" s="149">
        <v>1</v>
      </c>
      <c r="FO182" s="278">
        <v>3</v>
      </c>
      <c r="FP182" s="278"/>
      <c r="FQ182" s="150"/>
      <c r="FR182" s="147">
        <v>1</v>
      </c>
      <c r="FS182" s="148"/>
      <c r="FT182" s="148"/>
      <c r="FU182" s="148"/>
      <c r="FV182" s="149"/>
      <c r="FW182" s="149"/>
      <c r="FX182" s="278"/>
      <c r="FY182" s="278"/>
      <c r="FZ182" s="150"/>
      <c r="GA182" s="147"/>
      <c r="GB182" s="148"/>
      <c r="GC182" s="148"/>
      <c r="GD182" s="148">
        <v>3</v>
      </c>
      <c r="GE182" s="149"/>
      <c r="GF182" s="149">
        <v>1</v>
      </c>
      <c r="GG182" s="278"/>
      <c r="GH182" s="278">
        <v>1</v>
      </c>
      <c r="GI182" s="150"/>
      <c r="GJ182" s="147">
        <v>19</v>
      </c>
      <c r="GK182" s="148">
        <v>31</v>
      </c>
      <c r="GL182" s="148">
        <v>42</v>
      </c>
      <c r="GM182" s="148">
        <v>49</v>
      </c>
      <c r="GN182" s="149">
        <v>43</v>
      </c>
      <c r="GO182" s="149">
        <v>39</v>
      </c>
      <c r="GP182" s="278">
        <v>39</v>
      </c>
      <c r="GQ182" s="278">
        <v>19</v>
      </c>
      <c r="GR182" s="150"/>
      <c r="GS182" s="147">
        <v>7</v>
      </c>
      <c r="GT182" s="148">
        <v>3</v>
      </c>
      <c r="GU182" s="148">
        <v>11</v>
      </c>
      <c r="GV182" s="148">
        <v>8</v>
      </c>
      <c r="GW182" s="149">
        <v>7</v>
      </c>
      <c r="GX182" s="149">
        <v>11</v>
      </c>
      <c r="GY182" s="278">
        <v>16</v>
      </c>
      <c r="GZ182" s="278">
        <v>5</v>
      </c>
      <c r="HA182" s="150"/>
      <c r="HB182" s="147">
        <v>1</v>
      </c>
      <c r="HC182" s="148">
        <v>2</v>
      </c>
      <c r="HD182" s="148">
        <v>1</v>
      </c>
      <c r="HE182" s="148">
        <v>1</v>
      </c>
      <c r="HF182" s="149">
        <v>1</v>
      </c>
      <c r="HG182" s="149"/>
      <c r="HH182" s="278">
        <v>6</v>
      </c>
      <c r="HI182" s="278"/>
      <c r="HJ182" s="150"/>
      <c r="HK182" s="147"/>
      <c r="HL182" s="148"/>
      <c r="HM182" s="148"/>
      <c r="HN182" s="148"/>
      <c r="HO182" s="149"/>
      <c r="HP182" s="149"/>
      <c r="HQ182" s="278"/>
      <c r="HR182" s="278">
        <v>1</v>
      </c>
      <c r="HS182" s="150"/>
      <c r="HT182" s="147">
        <v>13</v>
      </c>
      <c r="HU182" s="148">
        <v>19</v>
      </c>
      <c r="HV182" s="148">
        <v>34</v>
      </c>
      <c r="HW182" s="148">
        <v>28</v>
      </c>
      <c r="HX182" s="149">
        <v>23</v>
      </c>
      <c r="HY182" s="149">
        <v>36</v>
      </c>
      <c r="HZ182" s="278">
        <v>38</v>
      </c>
      <c r="IA182" s="278">
        <v>25</v>
      </c>
      <c r="IB182" s="150"/>
      <c r="IC182" s="147">
        <v>59</v>
      </c>
      <c r="ID182" s="148">
        <v>86</v>
      </c>
      <c r="IE182" s="148">
        <v>146</v>
      </c>
      <c r="IF182" s="148">
        <v>177</v>
      </c>
      <c r="IG182" s="149">
        <v>123</v>
      </c>
      <c r="IH182" s="149">
        <v>193</v>
      </c>
      <c r="II182" s="278">
        <v>302</v>
      </c>
      <c r="IJ182" s="278">
        <v>75</v>
      </c>
      <c r="IK182" s="150"/>
    </row>
    <row r="183" spans="1:245" x14ac:dyDescent="0.2">
      <c r="A183" s="961"/>
      <c r="B183" s="151" t="s">
        <v>760</v>
      </c>
      <c r="C183" s="152"/>
      <c r="D183" s="153"/>
      <c r="E183" s="153">
        <v>1</v>
      </c>
      <c r="F183" s="153"/>
      <c r="G183" s="154">
        <v>1</v>
      </c>
      <c r="H183" s="154"/>
      <c r="I183" s="279"/>
      <c r="J183" s="279"/>
      <c r="K183" s="155"/>
      <c r="L183" s="152"/>
      <c r="M183" s="153"/>
      <c r="N183" s="153"/>
      <c r="O183" s="153"/>
      <c r="P183" s="154"/>
      <c r="Q183" s="154"/>
      <c r="R183" s="279"/>
      <c r="S183" s="279"/>
      <c r="T183" s="155"/>
      <c r="U183" s="152"/>
      <c r="V183" s="153"/>
      <c r="W183" s="153">
        <v>1</v>
      </c>
      <c r="X183" s="153"/>
      <c r="Y183" s="154">
        <v>1</v>
      </c>
      <c r="Z183" s="154"/>
      <c r="AA183" s="279"/>
      <c r="AB183" s="279"/>
      <c r="AC183" s="155"/>
      <c r="AD183" s="152">
        <v>114</v>
      </c>
      <c r="AE183" s="153">
        <v>112</v>
      </c>
      <c r="AF183" s="153">
        <v>96</v>
      </c>
      <c r="AG183" s="153">
        <v>75</v>
      </c>
      <c r="AH183" s="154">
        <v>154</v>
      </c>
      <c r="AI183" s="154">
        <v>162</v>
      </c>
      <c r="AJ183" s="279">
        <v>184</v>
      </c>
      <c r="AK183" s="279">
        <v>147</v>
      </c>
      <c r="AL183" s="155"/>
      <c r="AM183" s="152">
        <v>39</v>
      </c>
      <c r="AN183" s="153">
        <v>46</v>
      </c>
      <c r="AO183" s="153">
        <v>50</v>
      </c>
      <c r="AP183" s="153">
        <v>31</v>
      </c>
      <c r="AQ183" s="154">
        <v>45</v>
      </c>
      <c r="AR183" s="154">
        <v>41</v>
      </c>
      <c r="AS183" s="279">
        <v>50</v>
      </c>
      <c r="AT183" s="279">
        <v>42</v>
      </c>
      <c r="AU183" s="155"/>
      <c r="AV183" s="152"/>
      <c r="AW183" s="153"/>
      <c r="AX183" s="153"/>
      <c r="AY183" s="153"/>
      <c r="AZ183" s="154"/>
      <c r="BA183" s="154"/>
      <c r="BB183" s="279"/>
      <c r="BC183" s="279"/>
      <c r="BD183" s="155"/>
      <c r="BE183" s="152">
        <v>27</v>
      </c>
      <c r="BF183" s="153">
        <v>41</v>
      </c>
      <c r="BG183" s="153">
        <v>18</v>
      </c>
      <c r="BH183" s="153">
        <v>30</v>
      </c>
      <c r="BI183" s="154">
        <v>32</v>
      </c>
      <c r="BJ183" s="154">
        <v>24</v>
      </c>
      <c r="BK183" s="279">
        <v>23</v>
      </c>
      <c r="BL183" s="279">
        <v>20</v>
      </c>
      <c r="BM183" s="155"/>
      <c r="BN183" s="152"/>
      <c r="BO183" s="153"/>
      <c r="BP183" s="153"/>
      <c r="BQ183" s="153"/>
      <c r="BR183" s="154"/>
      <c r="BS183" s="154"/>
      <c r="BT183" s="279"/>
      <c r="BU183" s="279"/>
      <c r="BV183" s="155"/>
      <c r="BW183" s="152">
        <v>71</v>
      </c>
      <c r="BX183" s="153">
        <v>70</v>
      </c>
      <c r="BY183" s="153">
        <v>48</v>
      </c>
      <c r="BZ183" s="153">
        <v>100</v>
      </c>
      <c r="CA183" s="154">
        <v>77</v>
      </c>
      <c r="CB183" s="154">
        <v>73</v>
      </c>
      <c r="CC183" s="279">
        <v>111</v>
      </c>
      <c r="CD183" s="279">
        <v>127</v>
      </c>
      <c r="CE183" s="155"/>
      <c r="CF183" s="152">
        <v>7</v>
      </c>
      <c r="CG183" s="153">
        <v>4</v>
      </c>
      <c r="CH183" s="153">
        <v>4</v>
      </c>
      <c r="CI183" s="153">
        <v>6</v>
      </c>
      <c r="CJ183" s="154">
        <v>3</v>
      </c>
      <c r="CK183" s="154">
        <v>4</v>
      </c>
      <c r="CL183" s="279">
        <v>3</v>
      </c>
      <c r="CM183" s="279">
        <v>1</v>
      </c>
      <c r="CN183" s="155"/>
      <c r="CO183" s="152">
        <v>1</v>
      </c>
      <c r="CP183" s="153"/>
      <c r="CQ183" s="153"/>
      <c r="CR183" s="153">
        <v>4</v>
      </c>
      <c r="CS183" s="154">
        <v>1</v>
      </c>
      <c r="CT183" s="154">
        <v>4</v>
      </c>
      <c r="CU183" s="279"/>
      <c r="CV183" s="279">
        <v>3</v>
      </c>
      <c r="CW183" s="155"/>
      <c r="CX183" s="152">
        <v>1276</v>
      </c>
      <c r="CY183" s="153">
        <v>978</v>
      </c>
      <c r="CZ183" s="153">
        <v>870</v>
      </c>
      <c r="DA183" s="153">
        <v>745</v>
      </c>
      <c r="DB183" s="154">
        <v>841</v>
      </c>
      <c r="DC183" s="154">
        <v>740</v>
      </c>
      <c r="DD183" s="279">
        <v>610</v>
      </c>
      <c r="DE183" s="279">
        <v>416</v>
      </c>
      <c r="DF183" s="155"/>
      <c r="DG183" s="152">
        <v>26</v>
      </c>
      <c r="DH183" s="153">
        <v>15</v>
      </c>
      <c r="DI183" s="153">
        <v>10</v>
      </c>
      <c r="DJ183" s="153">
        <v>16</v>
      </c>
      <c r="DK183" s="154">
        <v>20</v>
      </c>
      <c r="DL183" s="154">
        <v>6</v>
      </c>
      <c r="DM183" s="279">
        <v>3</v>
      </c>
      <c r="DN183" s="279">
        <v>1</v>
      </c>
      <c r="DO183" s="155"/>
      <c r="DP183" s="152">
        <v>77</v>
      </c>
      <c r="DQ183" s="153">
        <v>20</v>
      </c>
      <c r="DR183" s="153">
        <v>31</v>
      </c>
      <c r="DS183" s="153">
        <v>10</v>
      </c>
      <c r="DT183" s="154">
        <v>17</v>
      </c>
      <c r="DU183" s="154">
        <v>23</v>
      </c>
      <c r="DV183" s="279">
        <v>21</v>
      </c>
      <c r="DW183" s="279">
        <v>15</v>
      </c>
      <c r="DX183" s="155"/>
      <c r="DY183" s="152">
        <v>117</v>
      </c>
      <c r="DZ183" s="153">
        <v>88</v>
      </c>
      <c r="EA183" s="153">
        <v>92</v>
      </c>
      <c r="EB183" s="153">
        <v>116</v>
      </c>
      <c r="EC183" s="154">
        <v>157</v>
      </c>
      <c r="ED183" s="154">
        <v>158</v>
      </c>
      <c r="EE183" s="279">
        <v>152</v>
      </c>
      <c r="EF183" s="279">
        <v>47</v>
      </c>
      <c r="EG183" s="155"/>
      <c r="EH183" s="152">
        <v>24</v>
      </c>
      <c r="EI183" s="153">
        <v>10</v>
      </c>
      <c r="EJ183" s="153">
        <v>12</v>
      </c>
      <c r="EK183" s="153">
        <v>9</v>
      </c>
      <c r="EL183" s="154">
        <v>10</v>
      </c>
      <c r="EM183" s="154">
        <v>8</v>
      </c>
      <c r="EN183" s="279">
        <v>11</v>
      </c>
      <c r="EO183" s="279">
        <v>6</v>
      </c>
      <c r="EP183" s="155"/>
      <c r="EQ183" s="152">
        <v>1</v>
      </c>
      <c r="ER183" s="153">
        <v>1</v>
      </c>
      <c r="ES183" s="153">
        <v>1</v>
      </c>
      <c r="ET183" s="153"/>
      <c r="EU183" s="154">
        <v>1</v>
      </c>
      <c r="EV183" s="154">
        <v>64</v>
      </c>
      <c r="EW183" s="279">
        <v>7</v>
      </c>
      <c r="EX183" s="279">
        <v>25</v>
      </c>
      <c r="EY183" s="155"/>
      <c r="EZ183" s="152">
        <v>1</v>
      </c>
      <c r="FA183" s="153">
        <v>4</v>
      </c>
      <c r="FB183" s="153">
        <v>2</v>
      </c>
      <c r="FC183" s="153">
        <v>6</v>
      </c>
      <c r="FD183" s="154">
        <v>5</v>
      </c>
      <c r="FE183" s="154">
        <v>2</v>
      </c>
      <c r="FF183" s="279">
        <v>7</v>
      </c>
      <c r="FG183" s="279">
        <v>2</v>
      </c>
      <c r="FH183" s="155"/>
      <c r="FI183" s="152">
        <v>170</v>
      </c>
      <c r="FJ183" s="153">
        <v>135</v>
      </c>
      <c r="FK183" s="153">
        <v>87</v>
      </c>
      <c r="FL183" s="153">
        <v>97</v>
      </c>
      <c r="FM183" s="154">
        <v>88</v>
      </c>
      <c r="FN183" s="154">
        <v>93</v>
      </c>
      <c r="FO183" s="279">
        <v>63</v>
      </c>
      <c r="FP183" s="279">
        <v>67</v>
      </c>
      <c r="FQ183" s="155"/>
      <c r="FR183" s="152">
        <v>10</v>
      </c>
      <c r="FS183" s="153">
        <v>3</v>
      </c>
      <c r="FT183" s="153">
        <v>9</v>
      </c>
      <c r="FU183" s="153">
        <v>9</v>
      </c>
      <c r="FV183" s="154">
        <v>14</v>
      </c>
      <c r="FW183" s="154">
        <v>5</v>
      </c>
      <c r="FX183" s="279"/>
      <c r="FY183" s="279">
        <v>4</v>
      </c>
      <c r="FZ183" s="155"/>
      <c r="GA183" s="152">
        <v>17</v>
      </c>
      <c r="GB183" s="153">
        <v>6</v>
      </c>
      <c r="GC183" s="153">
        <v>9</v>
      </c>
      <c r="GD183" s="153">
        <v>6</v>
      </c>
      <c r="GE183" s="154">
        <v>11</v>
      </c>
      <c r="GF183" s="154">
        <v>6</v>
      </c>
      <c r="GG183" s="279">
        <v>6</v>
      </c>
      <c r="GH183" s="279">
        <v>9</v>
      </c>
      <c r="GI183" s="155"/>
      <c r="GJ183" s="152">
        <v>1719</v>
      </c>
      <c r="GK183" s="153">
        <v>1364</v>
      </c>
      <c r="GL183" s="153">
        <v>1157</v>
      </c>
      <c r="GM183" s="153">
        <v>1087</v>
      </c>
      <c r="GN183" s="154">
        <v>1238</v>
      </c>
      <c r="GO183" s="154">
        <v>1185</v>
      </c>
      <c r="GP183" s="279">
        <v>1025</v>
      </c>
      <c r="GQ183" s="279">
        <v>827</v>
      </c>
      <c r="GR183" s="155"/>
      <c r="GS183" s="152">
        <v>576</v>
      </c>
      <c r="GT183" s="153">
        <v>469</v>
      </c>
      <c r="GU183" s="153">
        <v>371</v>
      </c>
      <c r="GV183" s="153">
        <v>300</v>
      </c>
      <c r="GW183" s="154">
        <v>204</v>
      </c>
      <c r="GX183" s="154">
        <v>197</v>
      </c>
      <c r="GY183" s="279">
        <v>176</v>
      </c>
      <c r="GZ183" s="279">
        <v>190</v>
      </c>
      <c r="HA183" s="155"/>
      <c r="HB183" s="152">
        <v>3</v>
      </c>
      <c r="HC183" s="153">
        <v>4</v>
      </c>
      <c r="HD183" s="153">
        <v>6</v>
      </c>
      <c r="HE183" s="153">
        <v>9</v>
      </c>
      <c r="HF183" s="154">
        <v>4</v>
      </c>
      <c r="HG183" s="154">
        <v>3</v>
      </c>
      <c r="HH183" s="279">
        <v>5</v>
      </c>
      <c r="HI183" s="279">
        <v>7</v>
      </c>
      <c r="HJ183" s="155"/>
      <c r="HK183" s="152">
        <v>3</v>
      </c>
      <c r="HL183" s="153">
        <v>7</v>
      </c>
      <c r="HM183" s="153">
        <v>5</v>
      </c>
      <c r="HN183" s="153">
        <v>3</v>
      </c>
      <c r="HO183" s="154">
        <v>3</v>
      </c>
      <c r="HP183" s="154">
        <v>8</v>
      </c>
      <c r="HQ183" s="279">
        <v>4</v>
      </c>
      <c r="HR183" s="279">
        <v>11</v>
      </c>
      <c r="HS183" s="155"/>
      <c r="HT183" s="152">
        <v>1018</v>
      </c>
      <c r="HU183" s="153">
        <v>651</v>
      </c>
      <c r="HV183" s="153">
        <v>497</v>
      </c>
      <c r="HW183" s="153">
        <v>484</v>
      </c>
      <c r="HX183" s="154">
        <v>421</v>
      </c>
      <c r="HY183" s="154">
        <v>397</v>
      </c>
      <c r="HZ183" s="279">
        <v>378</v>
      </c>
      <c r="IA183" s="279">
        <v>392</v>
      </c>
      <c r="IB183" s="155"/>
      <c r="IC183" s="152">
        <v>4201</v>
      </c>
      <c r="ID183" s="153">
        <v>3578</v>
      </c>
      <c r="IE183" s="153">
        <v>2831</v>
      </c>
      <c r="IF183" s="153">
        <v>1808</v>
      </c>
      <c r="IG183" s="154">
        <v>1935</v>
      </c>
      <c r="IH183" s="154">
        <v>1946</v>
      </c>
      <c r="II183" s="279">
        <v>1820</v>
      </c>
      <c r="IJ183" s="279">
        <v>1678</v>
      </c>
      <c r="IK183" s="155"/>
    </row>
    <row r="184" spans="1:245" x14ac:dyDescent="0.2">
      <c r="A184" s="961"/>
      <c r="B184" s="151" t="s">
        <v>761</v>
      </c>
      <c r="C184" s="152">
        <v>1</v>
      </c>
      <c r="D184" s="153"/>
      <c r="E184" s="153"/>
      <c r="F184" s="153"/>
      <c r="G184" s="154"/>
      <c r="H184" s="154"/>
      <c r="I184" s="279"/>
      <c r="J184" s="279"/>
      <c r="K184" s="155"/>
      <c r="L184" s="152"/>
      <c r="M184" s="153"/>
      <c r="N184" s="153"/>
      <c r="O184" s="153"/>
      <c r="P184" s="154"/>
      <c r="Q184" s="154"/>
      <c r="R184" s="279"/>
      <c r="S184" s="279"/>
      <c r="T184" s="155"/>
      <c r="U184" s="152">
        <v>1</v>
      </c>
      <c r="V184" s="153"/>
      <c r="W184" s="153"/>
      <c r="X184" s="153"/>
      <c r="Y184" s="154"/>
      <c r="Z184" s="154"/>
      <c r="AA184" s="279"/>
      <c r="AB184" s="279"/>
      <c r="AC184" s="155"/>
      <c r="AD184" s="152">
        <v>58</v>
      </c>
      <c r="AE184" s="153">
        <v>48</v>
      </c>
      <c r="AF184" s="153">
        <v>57</v>
      </c>
      <c r="AG184" s="153">
        <v>54</v>
      </c>
      <c r="AH184" s="154">
        <v>63</v>
      </c>
      <c r="AI184" s="154">
        <v>40</v>
      </c>
      <c r="AJ184" s="279">
        <v>44</v>
      </c>
      <c r="AK184" s="279">
        <v>30</v>
      </c>
      <c r="AL184" s="155"/>
      <c r="AM184" s="152">
        <v>34</v>
      </c>
      <c r="AN184" s="153">
        <v>21</v>
      </c>
      <c r="AO184" s="153">
        <v>30</v>
      </c>
      <c r="AP184" s="153">
        <v>23</v>
      </c>
      <c r="AQ184" s="154">
        <v>25</v>
      </c>
      <c r="AR184" s="154">
        <v>17</v>
      </c>
      <c r="AS184" s="279">
        <v>14</v>
      </c>
      <c r="AT184" s="279">
        <v>14</v>
      </c>
      <c r="AU184" s="155"/>
      <c r="AV184" s="152"/>
      <c r="AW184" s="153"/>
      <c r="AX184" s="153"/>
      <c r="AY184" s="153"/>
      <c r="AZ184" s="154"/>
      <c r="BA184" s="154"/>
      <c r="BB184" s="279"/>
      <c r="BC184" s="279"/>
      <c r="BD184" s="155"/>
      <c r="BE184" s="152">
        <v>22</v>
      </c>
      <c r="BF184" s="153">
        <v>36</v>
      </c>
      <c r="BG184" s="153">
        <v>20</v>
      </c>
      <c r="BH184" s="153">
        <v>9</v>
      </c>
      <c r="BI184" s="154">
        <v>14</v>
      </c>
      <c r="BJ184" s="154">
        <v>9</v>
      </c>
      <c r="BK184" s="279">
        <v>7</v>
      </c>
      <c r="BL184" s="279">
        <v>5</v>
      </c>
      <c r="BM184" s="155"/>
      <c r="BN184" s="152"/>
      <c r="BO184" s="153"/>
      <c r="BP184" s="153"/>
      <c r="BQ184" s="153"/>
      <c r="BR184" s="154"/>
      <c r="BS184" s="154"/>
      <c r="BT184" s="279"/>
      <c r="BU184" s="279"/>
      <c r="BV184" s="155"/>
      <c r="BW184" s="152">
        <v>32</v>
      </c>
      <c r="BX184" s="153">
        <v>54</v>
      </c>
      <c r="BY184" s="153">
        <v>43</v>
      </c>
      <c r="BZ184" s="153">
        <v>61</v>
      </c>
      <c r="CA184" s="154">
        <v>70</v>
      </c>
      <c r="CB184" s="154">
        <v>46</v>
      </c>
      <c r="CC184" s="279">
        <v>56</v>
      </c>
      <c r="CD184" s="279">
        <v>85</v>
      </c>
      <c r="CE184" s="155"/>
      <c r="CF184" s="152">
        <v>2</v>
      </c>
      <c r="CG184" s="153"/>
      <c r="CH184" s="153">
        <v>4</v>
      </c>
      <c r="CI184" s="153">
        <v>2</v>
      </c>
      <c r="CJ184" s="154">
        <v>2</v>
      </c>
      <c r="CK184" s="154">
        <v>6</v>
      </c>
      <c r="CL184" s="279">
        <v>2</v>
      </c>
      <c r="CM184" s="279">
        <v>1</v>
      </c>
      <c r="CN184" s="155"/>
      <c r="CO184" s="152">
        <v>1</v>
      </c>
      <c r="CP184" s="153">
        <v>1</v>
      </c>
      <c r="CQ184" s="153">
        <v>4</v>
      </c>
      <c r="CR184" s="153">
        <v>15</v>
      </c>
      <c r="CS184" s="154">
        <v>1</v>
      </c>
      <c r="CT184" s="154">
        <v>1</v>
      </c>
      <c r="CU184" s="279"/>
      <c r="CV184" s="279">
        <v>1</v>
      </c>
      <c r="CW184" s="155"/>
      <c r="CX184" s="152">
        <v>760</v>
      </c>
      <c r="CY184" s="153">
        <v>743</v>
      </c>
      <c r="CZ184" s="153">
        <v>622</v>
      </c>
      <c r="DA184" s="153">
        <v>601</v>
      </c>
      <c r="DB184" s="154">
        <v>563</v>
      </c>
      <c r="DC184" s="154">
        <v>352</v>
      </c>
      <c r="DD184" s="279">
        <v>344</v>
      </c>
      <c r="DE184" s="279">
        <v>275</v>
      </c>
      <c r="DF184" s="155"/>
      <c r="DG184" s="152">
        <v>4</v>
      </c>
      <c r="DH184" s="153">
        <v>1</v>
      </c>
      <c r="DI184" s="153">
        <v>2</v>
      </c>
      <c r="DJ184" s="153">
        <v>5</v>
      </c>
      <c r="DK184" s="154">
        <v>1</v>
      </c>
      <c r="DL184" s="154">
        <v>3</v>
      </c>
      <c r="DM184" s="279">
        <v>2</v>
      </c>
      <c r="DN184" s="279">
        <v>2</v>
      </c>
      <c r="DO184" s="155"/>
      <c r="DP184" s="152">
        <v>8</v>
      </c>
      <c r="DQ184" s="153">
        <v>26</v>
      </c>
      <c r="DR184" s="153">
        <v>25</v>
      </c>
      <c r="DS184" s="153">
        <v>18</v>
      </c>
      <c r="DT184" s="154">
        <v>5</v>
      </c>
      <c r="DU184" s="154">
        <v>3</v>
      </c>
      <c r="DV184" s="279">
        <v>8</v>
      </c>
      <c r="DW184" s="279">
        <v>13</v>
      </c>
      <c r="DX184" s="155"/>
      <c r="DY184" s="152">
        <v>55</v>
      </c>
      <c r="DZ184" s="153">
        <v>84</v>
      </c>
      <c r="EA184" s="153">
        <v>34</v>
      </c>
      <c r="EB184" s="153">
        <v>57</v>
      </c>
      <c r="EC184" s="154">
        <v>53</v>
      </c>
      <c r="ED184" s="154">
        <v>34</v>
      </c>
      <c r="EE184" s="279">
        <v>48</v>
      </c>
      <c r="EF184" s="279">
        <v>26</v>
      </c>
      <c r="EG184" s="155"/>
      <c r="EH184" s="152">
        <v>11</v>
      </c>
      <c r="EI184" s="153">
        <v>8</v>
      </c>
      <c r="EJ184" s="153">
        <v>6</v>
      </c>
      <c r="EK184" s="153">
        <v>8</v>
      </c>
      <c r="EL184" s="154">
        <v>10</v>
      </c>
      <c r="EM184" s="154">
        <v>6</v>
      </c>
      <c r="EN184" s="279">
        <v>3</v>
      </c>
      <c r="EO184" s="279">
        <v>1</v>
      </c>
      <c r="EP184" s="155"/>
      <c r="EQ184" s="152">
        <v>4</v>
      </c>
      <c r="ER184" s="153">
        <v>6</v>
      </c>
      <c r="ES184" s="153">
        <v>4</v>
      </c>
      <c r="ET184" s="153">
        <v>1</v>
      </c>
      <c r="EU184" s="154"/>
      <c r="EV184" s="154">
        <v>2</v>
      </c>
      <c r="EW184" s="279">
        <v>6</v>
      </c>
      <c r="EX184" s="279">
        <v>23</v>
      </c>
      <c r="EY184" s="155"/>
      <c r="EZ184" s="152">
        <v>2</v>
      </c>
      <c r="FA184" s="153">
        <v>7</v>
      </c>
      <c r="FB184" s="153">
        <v>4</v>
      </c>
      <c r="FC184" s="153">
        <v>3</v>
      </c>
      <c r="FD184" s="154">
        <v>4</v>
      </c>
      <c r="FE184" s="154">
        <v>9</v>
      </c>
      <c r="FF184" s="279">
        <v>1</v>
      </c>
      <c r="FG184" s="279">
        <v>4</v>
      </c>
      <c r="FH184" s="155"/>
      <c r="FI184" s="152">
        <v>70</v>
      </c>
      <c r="FJ184" s="153">
        <v>51</v>
      </c>
      <c r="FK184" s="153">
        <v>63</v>
      </c>
      <c r="FL184" s="153">
        <v>45</v>
      </c>
      <c r="FM184" s="154">
        <v>34</v>
      </c>
      <c r="FN184" s="154">
        <v>26</v>
      </c>
      <c r="FO184" s="279">
        <v>41</v>
      </c>
      <c r="FP184" s="279">
        <v>49</v>
      </c>
      <c r="FQ184" s="155"/>
      <c r="FR184" s="152">
        <v>16</v>
      </c>
      <c r="FS184" s="153">
        <v>28</v>
      </c>
      <c r="FT184" s="153">
        <v>7</v>
      </c>
      <c r="FU184" s="153">
        <v>26</v>
      </c>
      <c r="FV184" s="154">
        <v>7</v>
      </c>
      <c r="FW184" s="154">
        <v>9</v>
      </c>
      <c r="FX184" s="279">
        <v>2</v>
      </c>
      <c r="FY184" s="279">
        <v>4</v>
      </c>
      <c r="FZ184" s="155"/>
      <c r="GA184" s="152">
        <v>1</v>
      </c>
      <c r="GB184" s="153">
        <v>5</v>
      </c>
      <c r="GC184" s="153">
        <v>1</v>
      </c>
      <c r="GD184" s="153">
        <v>6</v>
      </c>
      <c r="GE184" s="154">
        <v>8</v>
      </c>
      <c r="GF184" s="154">
        <v>5</v>
      </c>
      <c r="GG184" s="279">
        <v>13</v>
      </c>
      <c r="GH184" s="279">
        <v>4</v>
      </c>
      <c r="GI184" s="155"/>
      <c r="GJ184" s="152">
        <v>980</v>
      </c>
      <c r="GK184" s="153">
        <v>987</v>
      </c>
      <c r="GL184" s="153">
        <v>835</v>
      </c>
      <c r="GM184" s="153">
        <v>831</v>
      </c>
      <c r="GN184" s="154">
        <v>776</v>
      </c>
      <c r="GO184" s="154">
        <v>511</v>
      </c>
      <c r="GP184" s="279">
        <v>519</v>
      </c>
      <c r="GQ184" s="279">
        <v>482</v>
      </c>
      <c r="GR184" s="155"/>
      <c r="GS184" s="152">
        <v>207</v>
      </c>
      <c r="GT184" s="153">
        <v>275</v>
      </c>
      <c r="GU184" s="153">
        <v>243</v>
      </c>
      <c r="GV184" s="153">
        <v>212</v>
      </c>
      <c r="GW184" s="154">
        <v>150</v>
      </c>
      <c r="GX184" s="154">
        <v>101</v>
      </c>
      <c r="GY184" s="279">
        <v>127</v>
      </c>
      <c r="GZ184" s="279">
        <v>157</v>
      </c>
      <c r="HA184" s="155"/>
      <c r="HB184" s="152">
        <v>4</v>
      </c>
      <c r="HC184" s="153">
        <v>8</v>
      </c>
      <c r="HD184" s="153">
        <v>3</v>
      </c>
      <c r="HE184" s="153">
        <v>1</v>
      </c>
      <c r="HF184" s="154">
        <v>3</v>
      </c>
      <c r="HG184" s="154"/>
      <c r="HH184" s="279">
        <v>5</v>
      </c>
      <c r="HI184" s="279">
        <v>4</v>
      </c>
      <c r="HJ184" s="155"/>
      <c r="HK184" s="152">
        <v>4</v>
      </c>
      <c r="HL184" s="153">
        <v>2</v>
      </c>
      <c r="HM184" s="153">
        <v>6</v>
      </c>
      <c r="HN184" s="153">
        <v>3</v>
      </c>
      <c r="HO184" s="154">
        <v>1</v>
      </c>
      <c r="HP184" s="154">
        <v>1</v>
      </c>
      <c r="HQ184" s="279">
        <v>1</v>
      </c>
      <c r="HR184" s="279">
        <v>1</v>
      </c>
      <c r="HS184" s="155"/>
      <c r="HT184" s="152">
        <v>296</v>
      </c>
      <c r="HU184" s="153">
        <v>363</v>
      </c>
      <c r="HV184" s="153">
        <v>328</v>
      </c>
      <c r="HW184" s="153">
        <v>296</v>
      </c>
      <c r="HX184" s="154">
        <v>257</v>
      </c>
      <c r="HY184" s="154">
        <v>173</v>
      </c>
      <c r="HZ184" s="279">
        <v>217</v>
      </c>
      <c r="IA184" s="279">
        <v>288</v>
      </c>
      <c r="IB184" s="155"/>
      <c r="IC184" s="152">
        <v>2125</v>
      </c>
      <c r="ID184" s="153">
        <v>2064</v>
      </c>
      <c r="IE184" s="153">
        <v>2274</v>
      </c>
      <c r="IF184" s="153">
        <v>1364</v>
      </c>
      <c r="IG184" s="154">
        <v>1363</v>
      </c>
      <c r="IH184" s="154">
        <v>1009</v>
      </c>
      <c r="II184" s="279">
        <v>946</v>
      </c>
      <c r="IJ184" s="279">
        <v>826</v>
      </c>
      <c r="IK184" s="155"/>
    </row>
    <row r="185" spans="1:245" x14ac:dyDescent="0.2">
      <c r="A185" s="961"/>
      <c r="B185" s="151" t="s">
        <v>762</v>
      </c>
      <c r="C185" s="152"/>
      <c r="D185" s="153"/>
      <c r="E185" s="153"/>
      <c r="F185" s="153"/>
      <c r="G185" s="154"/>
      <c r="H185" s="154"/>
      <c r="I185" s="279"/>
      <c r="J185" s="279"/>
      <c r="K185" s="155"/>
      <c r="L185" s="152"/>
      <c r="M185" s="153"/>
      <c r="N185" s="153"/>
      <c r="O185" s="153"/>
      <c r="P185" s="154"/>
      <c r="Q185" s="154"/>
      <c r="R185" s="279"/>
      <c r="S185" s="279"/>
      <c r="T185" s="155"/>
      <c r="U185" s="152"/>
      <c r="V185" s="153"/>
      <c r="W185" s="153"/>
      <c r="X185" s="153"/>
      <c r="Y185" s="154"/>
      <c r="Z185" s="154"/>
      <c r="AA185" s="279"/>
      <c r="AB185" s="279"/>
      <c r="AC185" s="155"/>
      <c r="AD185" s="152">
        <v>39</v>
      </c>
      <c r="AE185" s="153">
        <v>47</v>
      </c>
      <c r="AF185" s="153">
        <v>46</v>
      </c>
      <c r="AG185" s="153">
        <v>38</v>
      </c>
      <c r="AH185" s="154">
        <v>63</v>
      </c>
      <c r="AI185" s="154">
        <v>94</v>
      </c>
      <c r="AJ185" s="279">
        <v>90</v>
      </c>
      <c r="AK185" s="279">
        <v>78</v>
      </c>
      <c r="AL185" s="155"/>
      <c r="AM185" s="152">
        <v>18</v>
      </c>
      <c r="AN185" s="153">
        <v>19</v>
      </c>
      <c r="AO185" s="153">
        <v>25</v>
      </c>
      <c r="AP185" s="153">
        <v>18</v>
      </c>
      <c r="AQ185" s="154">
        <v>18</v>
      </c>
      <c r="AR185" s="154">
        <v>9</v>
      </c>
      <c r="AS185" s="279">
        <v>6</v>
      </c>
      <c r="AT185" s="279">
        <v>14</v>
      </c>
      <c r="AU185" s="155"/>
      <c r="AV185" s="152"/>
      <c r="AW185" s="153"/>
      <c r="AX185" s="153"/>
      <c r="AY185" s="153"/>
      <c r="AZ185" s="154"/>
      <c r="BA185" s="154"/>
      <c r="BB185" s="279"/>
      <c r="BC185" s="279"/>
      <c r="BD185" s="155"/>
      <c r="BE185" s="152">
        <v>16</v>
      </c>
      <c r="BF185" s="153">
        <v>9</v>
      </c>
      <c r="BG185" s="153">
        <v>8</v>
      </c>
      <c r="BH185" s="153">
        <v>7</v>
      </c>
      <c r="BI185" s="154">
        <v>6</v>
      </c>
      <c r="BJ185" s="154">
        <v>7</v>
      </c>
      <c r="BK185" s="279">
        <v>5</v>
      </c>
      <c r="BL185" s="279">
        <v>5</v>
      </c>
      <c r="BM185" s="155"/>
      <c r="BN185" s="152"/>
      <c r="BO185" s="153"/>
      <c r="BP185" s="153"/>
      <c r="BQ185" s="153"/>
      <c r="BR185" s="154"/>
      <c r="BS185" s="154"/>
      <c r="BT185" s="279"/>
      <c r="BU185" s="279"/>
      <c r="BV185" s="155"/>
      <c r="BW185" s="152">
        <v>52</v>
      </c>
      <c r="BX185" s="153">
        <v>41</v>
      </c>
      <c r="BY185" s="153">
        <v>39</v>
      </c>
      <c r="BZ185" s="153">
        <v>24</v>
      </c>
      <c r="CA185" s="154">
        <v>43</v>
      </c>
      <c r="CB185" s="154">
        <v>23</v>
      </c>
      <c r="CC185" s="279">
        <v>16</v>
      </c>
      <c r="CD185" s="279">
        <v>14</v>
      </c>
      <c r="CE185" s="155"/>
      <c r="CF185" s="152">
        <v>6</v>
      </c>
      <c r="CG185" s="153">
        <v>2</v>
      </c>
      <c r="CH185" s="153">
        <v>2</v>
      </c>
      <c r="CI185" s="153"/>
      <c r="CJ185" s="154">
        <v>2</v>
      </c>
      <c r="CK185" s="154">
        <v>1</v>
      </c>
      <c r="CL185" s="279">
        <v>2</v>
      </c>
      <c r="CM185" s="279">
        <v>2</v>
      </c>
      <c r="CN185" s="155"/>
      <c r="CO185" s="152"/>
      <c r="CP185" s="153">
        <v>6</v>
      </c>
      <c r="CQ185" s="153">
        <v>2</v>
      </c>
      <c r="CR185" s="153">
        <v>1</v>
      </c>
      <c r="CS185" s="154">
        <v>1</v>
      </c>
      <c r="CT185" s="154">
        <v>1</v>
      </c>
      <c r="CU185" s="279">
        <v>2</v>
      </c>
      <c r="CV185" s="279">
        <v>1</v>
      </c>
      <c r="CW185" s="155"/>
      <c r="CX185" s="152">
        <v>446</v>
      </c>
      <c r="CY185" s="153">
        <v>594</v>
      </c>
      <c r="CZ185" s="153">
        <v>520</v>
      </c>
      <c r="DA185" s="153">
        <v>455</v>
      </c>
      <c r="DB185" s="154">
        <v>445</v>
      </c>
      <c r="DC185" s="154">
        <v>275</v>
      </c>
      <c r="DD185" s="279">
        <v>140</v>
      </c>
      <c r="DE185" s="279">
        <v>229</v>
      </c>
      <c r="DF185" s="155"/>
      <c r="DG185" s="152">
        <v>6</v>
      </c>
      <c r="DH185" s="153">
        <v>4</v>
      </c>
      <c r="DI185" s="153">
        <v>1</v>
      </c>
      <c r="DJ185" s="153">
        <v>8</v>
      </c>
      <c r="DK185" s="154">
        <v>2</v>
      </c>
      <c r="DL185" s="154"/>
      <c r="DM185" s="279"/>
      <c r="DN185" s="279">
        <v>2</v>
      </c>
      <c r="DO185" s="155"/>
      <c r="DP185" s="152">
        <v>19</v>
      </c>
      <c r="DQ185" s="153">
        <v>26</v>
      </c>
      <c r="DR185" s="153">
        <v>8</v>
      </c>
      <c r="DS185" s="153">
        <v>5</v>
      </c>
      <c r="DT185" s="154">
        <v>16</v>
      </c>
      <c r="DU185" s="154">
        <v>6</v>
      </c>
      <c r="DV185" s="279">
        <v>2</v>
      </c>
      <c r="DW185" s="279">
        <v>21</v>
      </c>
      <c r="DX185" s="155"/>
      <c r="DY185" s="152">
        <v>37</v>
      </c>
      <c r="DZ185" s="153">
        <v>66</v>
      </c>
      <c r="EA185" s="153">
        <v>38</v>
      </c>
      <c r="EB185" s="153">
        <v>38</v>
      </c>
      <c r="EC185" s="154">
        <v>42</v>
      </c>
      <c r="ED185" s="154">
        <v>31</v>
      </c>
      <c r="EE185" s="279">
        <v>14</v>
      </c>
      <c r="EF185" s="279">
        <v>46</v>
      </c>
      <c r="EG185" s="155"/>
      <c r="EH185" s="152">
        <v>5</v>
      </c>
      <c r="EI185" s="153">
        <v>5</v>
      </c>
      <c r="EJ185" s="153">
        <v>3</v>
      </c>
      <c r="EK185" s="153">
        <v>5</v>
      </c>
      <c r="EL185" s="154">
        <v>1</v>
      </c>
      <c r="EM185" s="154">
        <v>2</v>
      </c>
      <c r="EN185" s="279">
        <v>1</v>
      </c>
      <c r="EO185" s="279">
        <v>3</v>
      </c>
      <c r="EP185" s="155"/>
      <c r="EQ185" s="152"/>
      <c r="ER185" s="153"/>
      <c r="ES185" s="153">
        <v>1</v>
      </c>
      <c r="ET185" s="153"/>
      <c r="EU185" s="154"/>
      <c r="EV185" s="154"/>
      <c r="EW185" s="279"/>
      <c r="EX185" s="279"/>
      <c r="EY185" s="155"/>
      <c r="EZ185" s="152"/>
      <c r="FA185" s="153"/>
      <c r="FB185" s="153">
        <v>1</v>
      </c>
      <c r="FC185" s="153">
        <v>2</v>
      </c>
      <c r="FD185" s="154">
        <v>1</v>
      </c>
      <c r="FE185" s="154">
        <v>1</v>
      </c>
      <c r="FF185" s="279">
        <v>1</v>
      </c>
      <c r="FG185" s="279"/>
      <c r="FH185" s="155"/>
      <c r="FI185" s="152">
        <v>66</v>
      </c>
      <c r="FJ185" s="153">
        <v>91</v>
      </c>
      <c r="FK185" s="153">
        <v>67</v>
      </c>
      <c r="FL185" s="153">
        <v>31</v>
      </c>
      <c r="FM185" s="154">
        <v>33</v>
      </c>
      <c r="FN185" s="154">
        <v>18</v>
      </c>
      <c r="FO185" s="279">
        <v>16</v>
      </c>
      <c r="FP185" s="279">
        <v>44</v>
      </c>
      <c r="FQ185" s="155"/>
      <c r="FR185" s="152">
        <v>4</v>
      </c>
      <c r="FS185" s="153">
        <v>38</v>
      </c>
      <c r="FT185" s="153">
        <v>7</v>
      </c>
      <c r="FU185" s="153">
        <v>8</v>
      </c>
      <c r="FV185" s="154">
        <v>1</v>
      </c>
      <c r="FW185" s="154">
        <v>2</v>
      </c>
      <c r="FX185" s="279"/>
      <c r="FY185" s="279"/>
      <c r="FZ185" s="155"/>
      <c r="GA185" s="152">
        <v>4</v>
      </c>
      <c r="GB185" s="153">
        <v>1</v>
      </c>
      <c r="GC185" s="153">
        <v>1</v>
      </c>
      <c r="GD185" s="153">
        <v>2</v>
      </c>
      <c r="GE185" s="154">
        <v>16</v>
      </c>
      <c r="GF185" s="154">
        <v>8</v>
      </c>
      <c r="GG185" s="279">
        <v>4</v>
      </c>
      <c r="GH185" s="279">
        <v>5</v>
      </c>
      <c r="GI185" s="155"/>
      <c r="GJ185" s="152">
        <v>638</v>
      </c>
      <c r="GK185" s="153">
        <v>834</v>
      </c>
      <c r="GL185" s="153">
        <v>697</v>
      </c>
      <c r="GM185" s="153">
        <v>573</v>
      </c>
      <c r="GN185" s="154">
        <v>612</v>
      </c>
      <c r="GO185" s="154">
        <v>432</v>
      </c>
      <c r="GP185" s="279">
        <v>277</v>
      </c>
      <c r="GQ185" s="279">
        <v>381</v>
      </c>
      <c r="GR185" s="155"/>
      <c r="GS185" s="152">
        <v>222</v>
      </c>
      <c r="GT185" s="153">
        <v>229</v>
      </c>
      <c r="GU185" s="153">
        <v>197</v>
      </c>
      <c r="GV185" s="153">
        <v>124</v>
      </c>
      <c r="GW185" s="154">
        <v>113</v>
      </c>
      <c r="GX185" s="154">
        <v>48</v>
      </c>
      <c r="GY185" s="279">
        <v>38</v>
      </c>
      <c r="GZ185" s="279">
        <v>48</v>
      </c>
      <c r="HA185" s="155"/>
      <c r="HB185" s="152">
        <v>8</v>
      </c>
      <c r="HC185" s="153">
        <v>1</v>
      </c>
      <c r="HD185" s="153">
        <v>1</v>
      </c>
      <c r="HE185" s="153">
        <v>1</v>
      </c>
      <c r="HF185" s="154">
        <v>4</v>
      </c>
      <c r="HG185" s="154">
        <v>1</v>
      </c>
      <c r="HH185" s="279">
        <v>3</v>
      </c>
      <c r="HI185" s="279">
        <v>4</v>
      </c>
      <c r="HJ185" s="155"/>
      <c r="HK185" s="152">
        <v>2</v>
      </c>
      <c r="HL185" s="153">
        <v>1</v>
      </c>
      <c r="HM185" s="153"/>
      <c r="HN185" s="153">
        <v>1</v>
      </c>
      <c r="HO185" s="154">
        <v>1</v>
      </c>
      <c r="HP185" s="154">
        <v>2</v>
      </c>
      <c r="HQ185" s="279"/>
      <c r="HR185" s="279"/>
      <c r="HS185" s="155"/>
      <c r="HT185" s="152">
        <v>326</v>
      </c>
      <c r="HU185" s="153">
        <v>317</v>
      </c>
      <c r="HV185" s="153">
        <v>281</v>
      </c>
      <c r="HW185" s="153">
        <v>207</v>
      </c>
      <c r="HX185" s="154">
        <v>204</v>
      </c>
      <c r="HY185" s="154">
        <v>162</v>
      </c>
      <c r="HZ185" s="279">
        <v>205</v>
      </c>
      <c r="IA185" s="279">
        <v>235</v>
      </c>
      <c r="IB185" s="155"/>
      <c r="IC185" s="152">
        <v>1347</v>
      </c>
      <c r="ID185" s="153">
        <v>1729</v>
      </c>
      <c r="IE185" s="153">
        <v>1452</v>
      </c>
      <c r="IF185" s="153">
        <v>1041</v>
      </c>
      <c r="IG185" s="154">
        <v>913</v>
      </c>
      <c r="IH185" s="154">
        <v>786</v>
      </c>
      <c r="II185" s="279">
        <v>654</v>
      </c>
      <c r="IJ185" s="279">
        <v>737</v>
      </c>
      <c r="IK185" s="155"/>
    </row>
    <row r="186" spans="1:245" x14ac:dyDescent="0.2">
      <c r="A186" s="961"/>
      <c r="B186" s="151" t="s">
        <v>763</v>
      </c>
      <c r="C186" s="152"/>
      <c r="D186" s="153"/>
      <c r="E186" s="153"/>
      <c r="F186" s="153"/>
      <c r="G186" s="154"/>
      <c r="H186" s="154"/>
      <c r="I186" s="279"/>
      <c r="J186" s="279"/>
      <c r="K186" s="155"/>
      <c r="L186" s="152"/>
      <c r="M186" s="153"/>
      <c r="N186" s="153"/>
      <c r="O186" s="153"/>
      <c r="P186" s="154"/>
      <c r="Q186" s="154"/>
      <c r="R186" s="279"/>
      <c r="S186" s="279"/>
      <c r="T186" s="155"/>
      <c r="U186" s="152"/>
      <c r="V186" s="153"/>
      <c r="W186" s="153"/>
      <c r="X186" s="153"/>
      <c r="Y186" s="154"/>
      <c r="Z186" s="154"/>
      <c r="AA186" s="279"/>
      <c r="AB186" s="279"/>
      <c r="AC186" s="155"/>
      <c r="AD186" s="152">
        <v>46</v>
      </c>
      <c r="AE186" s="153">
        <v>38</v>
      </c>
      <c r="AF186" s="153">
        <v>70</v>
      </c>
      <c r="AG186" s="153">
        <v>56</v>
      </c>
      <c r="AH186" s="154">
        <v>33</v>
      </c>
      <c r="AI186" s="154">
        <v>64</v>
      </c>
      <c r="AJ186" s="279">
        <v>53</v>
      </c>
      <c r="AK186" s="279">
        <v>53</v>
      </c>
      <c r="AL186" s="155"/>
      <c r="AM186" s="152">
        <v>25</v>
      </c>
      <c r="AN186" s="153">
        <v>11</v>
      </c>
      <c r="AO186" s="153">
        <v>29</v>
      </c>
      <c r="AP186" s="153">
        <v>20</v>
      </c>
      <c r="AQ186" s="154">
        <v>8</v>
      </c>
      <c r="AR186" s="154">
        <v>25</v>
      </c>
      <c r="AS186" s="279">
        <v>19</v>
      </c>
      <c r="AT186" s="279">
        <v>17</v>
      </c>
      <c r="AU186" s="155"/>
      <c r="AV186" s="152"/>
      <c r="AW186" s="153"/>
      <c r="AX186" s="153"/>
      <c r="AY186" s="153"/>
      <c r="AZ186" s="154"/>
      <c r="BA186" s="154"/>
      <c r="BB186" s="279"/>
      <c r="BC186" s="279"/>
      <c r="BD186" s="155"/>
      <c r="BE186" s="152">
        <v>18</v>
      </c>
      <c r="BF186" s="153">
        <v>37</v>
      </c>
      <c r="BG186" s="153">
        <v>15</v>
      </c>
      <c r="BH186" s="153">
        <v>42</v>
      </c>
      <c r="BI186" s="154">
        <v>16</v>
      </c>
      <c r="BJ186" s="154">
        <v>26</v>
      </c>
      <c r="BK186" s="279">
        <v>20</v>
      </c>
      <c r="BL186" s="279">
        <v>32</v>
      </c>
      <c r="BM186" s="155"/>
      <c r="BN186" s="152"/>
      <c r="BO186" s="153"/>
      <c r="BP186" s="153"/>
      <c r="BQ186" s="153"/>
      <c r="BR186" s="154"/>
      <c r="BS186" s="154"/>
      <c r="BT186" s="279"/>
      <c r="BU186" s="279"/>
      <c r="BV186" s="155"/>
      <c r="BW186" s="152">
        <v>47</v>
      </c>
      <c r="BX186" s="153">
        <v>54</v>
      </c>
      <c r="BY186" s="153">
        <v>51</v>
      </c>
      <c r="BZ186" s="153">
        <v>33</v>
      </c>
      <c r="CA186" s="154">
        <v>35</v>
      </c>
      <c r="CB186" s="154">
        <v>61</v>
      </c>
      <c r="CC186" s="279">
        <v>48</v>
      </c>
      <c r="CD186" s="279">
        <v>42</v>
      </c>
      <c r="CE186" s="155"/>
      <c r="CF186" s="152">
        <v>1</v>
      </c>
      <c r="CG186" s="153">
        <v>2</v>
      </c>
      <c r="CH186" s="153">
        <v>1</v>
      </c>
      <c r="CI186" s="153">
        <v>2</v>
      </c>
      <c r="CJ186" s="154">
        <v>4</v>
      </c>
      <c r="CK186" s="154">
        <v>1</v>
      </c>
      <c r="CL186" s="279"/>
      <c r="CM186" s="279">
        <v>2</v>
      </c>
      <c r="CN186" s="155"/>
      <c r="CO186" s="152"/>
      <c r="CP186" s="153">
        <v>1</v>
      </c>
      <c r="CQ186" s="153">
        <v>2</v>
      </c>
      <c r="CR186" s="153"/>
      <c r="CS186" s="154"/>
      <c r="CT186" s="154"/>
      <c r="CU186" s="279">
        <v>2</v>
      </c>
      <c r="CV186" s="279"/>
      <c r="CW186" s="155"/>
      <c r="CX186" s="152">
        <v>420</v>
      </c>
      <c r="CY186" s="153">
        <v>421</v>
      </c>
      <c r="CZ186" s="153">
        <v>399</v>
      </c>
      <c r="DA186" s="153">
        <v>291</v>
      </c>
      <c r="DB186" s="154">
        <v>284</v>
      </c>
      <c r="DC186" s="154">
        <v>313</v>
      </c>
      <c r="DD186" s="279">
        <v>143</v>
      </c>
      <c r="DE186" s="279">
        <v>155</v>
      </c>
      <c r="DF186" s="155"/>
      <c r="DG186" s="152">
        <v>3</v>
      </c>
      <c r="DH186" s="153">
        <v>8</v>
      </c>
      <c r="DI186" s="153">
        <v>8</v>
      </c>
      <c r="DJ186" s="153">
        <v>6</v>
      </c>
      <c r="DK186" s="154">
        <v>2</v>
      </c>
      <c r="DL186" s="154">
        <v>5</v>
      </c>
      <c r="DM186" s="279"/>
      <c r="DN186" s="279"/>
      <c r="DO186" s="155"/>
      <c r="DP186" s="152">
        <v>9</v>
      </c>
      <c r="DQ186" s="153">
        <v>11</v>
      </c>
      <c r="DR186" s="153">
        <v>11</v>
      </c>
      <c r="DS186" s="153">
        <v>4</v>
      </c>
      <c r="DT186" s="154">
        <v>6</v>
      </c>
      <c r="DU186" s="154">
        <v>1</v>
      </c>
      <c r="DV186" s="279">
        <v>1</v>
      </c>
      <c r="DW186" s="279">
        <v>9</v>
      </c>
      <c r="DX186" s="155"/>
      <c r="DY186" s="152">
        <v>31</v>
      </c>
      <c r="DZ186" s="153">
        <v>29</v>
      </c>
      <c r="EA186" s="153">
        <v>37</v>
      </c>
      <c r="EB186" s="153">
        <v>18</v>
      </c>
      <c r="EC186" s="154">
        <v>31</v>
      </c>
      <c r="ED186" s="154">
        <v>71</v>
      </c>
      <c r="EE186" s="279">
        <v>18</v>
      </c>
      <c r="EF186" s="279">
        <v>26</v>
      </c>
      <c r="EG186" s="155"/>
      <c r="EH186" s="152">
        <v>3</v>
      </c>
      <c r="EI186" s="153"/>
      <c r="EJ186" s="153">
        <v>12</v>
      </c>
      <c r="EK186" s="153">
        <v>4</v>
      </c>
      <c r="EL186" s="154">
        <v>3</v>
      </c>
      <c r="EM186" s="154">
        <v>3</v>
      </c>
      <c r="EN186" s="279">
        <v>7</v>
      </c>
      <c r="EO186" s="279"/>
      <c r="EP186" s="155"/>
      <c r="EQ186" s="152"/>
      <c r="ER186" s="153">
        <v>1</v>
      </c>
      <c r="ES186" s="153"/>
      <c r="ET186" s="153">
        <v>1</v>
      </c>
      <c r="EU186" s="154">
        <v>1</v>
      </c>
      <c r="EV186" s="154"/>
      <c r="EW186" s="279">
        <v>8</v>
      </c>
      <c r="EX186" s="279">
        <v>7</v>
      </c>
      <c r="EY186" s="155"/>
      <c r="EZ186" s="152"/>
      <c r="FA186" s="153">
        <v>6</v>
      </c>
      <c r="FB186" s="153">
        <v>1</v>
      </c>
      <c r="FC186" s="153"/>
      <c r="FD186" s="154">
        <v>2</v>
      </c>
      <c r="FE186" s="154"/>
      <c r="FF186" s="279">
        <v>3</v>
      </c>
      <c r="FG186" s="279"/>
      <c r="FH186" s="155"/>
      <c r="FI186" s="152">
        <v>54</v>
      </c>
      <c r="FJ186" s="153">
        <v>116</v>
      </c>
      <c r="FK186" s="153">
        <v>29</v>
      </c>
      <c r="FL186" s="153">
        <v>23</v>
      </c>
      <c r="FM186" s="154">
        <v>29</v>
      </c>
      <c r="FN186" s="154">
        <v>26</v>
      </c>
      <c r="FO186" s="279">
        <v>22</v>
      </c>
      <c r="FP186" s="279">
        <v>30</v>
      </c>
      <c r="FQ186" s="155"/>
      <c r="FR186" s="152">
        <v>9</v>
      </c>
      <c r="FS186" s="153"/>
      <c r="FT186" s="153">
        <v>2</v>
      </c>
      <c r="FU186" s="153">
        <v>6</v>
      </c>
      <c r="FV186" s="154">
        <v>1</v>
      </c>
      <c r="FW186" s="154"/>
      <c r="FX186" s="279">
        <v>2</v>
      </c>
      <c r="FY186" s="279">
        <v>2</v>
      </c>
      <c r="FZ186" s="155"/>
      <c r="GA186" s="152">
        <v>7</v>
      </c>
      <c r="GB186" s="153">
        <v>9</v>
      </c>
      <c r="GC186" s="153">
        <v>8</v>
      </c>
      <c r="GD186" s="153">
        <v>2</v>
      </c>
      <c r="GE186" s="154">
        <v>4</v>
      </c>
      <c r="GF186" s="154">
        <v>3</v>
      </c>
      <c r="GG186" s="279">
        <v>2</v>
      </c>
      <c r="GH186" s="279">
        <v>3</v>
      </c>
      <c r="GI186" s="155"/>
      <c r="GJ186" s="152">
        <v>605</v>
      </c>
      <c r="GK186" s="153">
        <v>685</v>
      </c>
      <c r="GL186" s="153">
        <v>590</v>
      </c>
      <c r="GM186" s="153">
        <v>460</v>
      </c>
      <c r="GN186" s="154">
        <v>412</v>
      </c>
      <c r="GO186" s="154">
        <v>497</v>
      </c>
      <c r="GP186" s="279">
        <v>310</v>
      </c>
      <c r="GQ186" s="279">
        <v>326</v>
      </c>
      <c r="GR186" s="155"/>
      <c r="GS186" s="152">
        <v>168</v>
      </c>
      <c r="GT186" s="153">
        <v>251</v>
      </c>
      <c r="GU186" s="153">
        <v>184</v>
      </c>
      <c r="GV186" s="153">
        <v>115</v>
      </c>
      <c r="GW186" s="154">
        <v>80</v>
      </c>
      <c r="GX186" s="154">
        <v>108</v>
      </c>
      <c r="GY186" s="279">
        <v>76</v>
      </c>
      <c r="GZ186" s="279">
        <v>72</v>
      </c>
      <c r="HA186" s="155"/>
      <c r="HB186" s="152"/>
      <c r="HC186" s="153"/>
      <c r="HD186" s="153"/>
      <c r="HE186" s="153"/>
      <c r="HF186" s="154"/>
      <c r="HG186" s="154">
        <v>1</v>
      </c>
      <c r="HH186" s="279"/>
      <c r="HI186" s="279">
        <v>2</v>
      </c>
      <c r="HJ186" s="155"/>
      <c r="HK186" s="152">
        <v>2</v>
      </c>
      <c r="HL186" s="153"/>
      <c r="HM186" s="153"/>
      <c r="HN186" s="153"/>
      <c r="HO186" s="154"/>
      <c r="HP186" s="154">
        <v>1</v>
      </c>
      <c r="HQ186" s="279"/>
      <c r="HR186" s="279"/>
      <c r="HS186" s="155"/>
      <c r="HT186" s="152">
        <v>234</v>
      </c>
      <c r="HU186" s="153">
        <v>293</v>
      </c>
      <c r="HV186" s="153">
        <v>237</v>
      </c>
      <c r="HW186" s="153">
        <v>177</v>
      </c>
      <c r="HX186" s="154">
        <v>126</v>
      </c>
      <c r="HY186" s="154">
        <v>158</v>
      </c>
      <c r="HZ186" s="279">
        <v>134</v>
      </c>
      <c r="IA186" s="279">
        <v>146</v>
      </c>
      <c r="IB186" s="155"/>
      <c r="IC186" s="152">
        <v>1198</v>
      </c>
      <c r="ID186" s="153">
        <v>1120</v>
      </c>
      <c r="IE186" s="153">
        <v>1591</v>
      </c>
      <c r="IF186" s="153">
        <v>856</v>
      </c>
      <c r="IG186" s="154">
        <v>799</v>
      </c>
      <c r="IH186" s="154">
        <v>859</v>
      </c>
      <c r="II186" s="279">
        <v>605</v>
      </c>
      <c r="IJ186" s="279">
        <v>639</v>
      </c>
      <c r="IK186" s="155"/>
    </row>
    <row r="187" spans="1:245" x14ac:dyDescent="0.2">
      <c r="A187" s="961"/>
      <c r="B187" s="151" t="s">
        <v>764</v>
      </c>
      <c r="C187" s="152">
        <v>1</v>
      </c>
      <c r="D187" s="153"/>
      <c r="E187" s="153"/>
      <c r="F187" s="153"/>
      <c r="G187" s="154"/>
      <c r="H187" s="154">
        <v>1</v>
      </c>
      <c r="I187" s="279"/>
      <c r="J187" s="279"/>
      <c r="K187" s="155"/>
      <c r="L187" s="152"/>
      <c r="M187" s="153"/>
      <c r="N187" s="153"/>
      <c r="O187" s="153"/>
      <c r="P187" s="154"/>
      <c r="Q187" s="154">
        <v>1</v>
      </c>
      <c r="R187" s="279"/>
      <c r="S187" s="279"/>
      <c r="T187" s="155"/>
      <c r="U187" s="152">
        <v>1</v>
      </c>
      <c r="V187" s="153"/>
      <c r="W187" s="153"/>
      <c r="X187" s="153"/>
      <c r="Y187" s="154"/>
      <c r="Z187" s="154"/>
      <c r="AA187" s="279"/>
      <c r="AB187" s="279"/>
      <c r="AC187" s="155"/>
      <c r="AD187" s="152">
        <v>89</v>
      </c>
      <c r="AE187" s="153">
        <v>81</v>
      </c>
      <c r="AF187" s="153">
        <v>92</v>
      </c>
      <c r="AG187" s="153">
        <v>61</v>
      </c>
      <c r="AH187" s="154">
        <v>67</v>
      </c>
      <c r="AI187" s="154">
        <v>99</v>
      </c>
      <c r="AJ187" s="279">
        <v>74</v>
      </c>
      <c r="AK187" s="279">
        <v>49</v>
      </c>
      <c r="AL187" s="155"/>
      <c r="AM187" s="152">
        <v>33</v>
      </c>
      <c r="AN187" s="153">
        <v>37</v>
      </c>
      <c r="AO187" s="153">
        <v>40</v>
      </c>
      <c r="AP187" s="153">
        <v>23</v>
      </c>
      <c r="AQ187" s="154">
        <v>21</v>
      </c>
      <c r="AR187" s="154">
        <v>22</v>
      </c>
      <c r="AS187" s="279">
        <v>16</v>
      </c>
      <c r="AT187" s="279">
        <v>17</v>
      </c>
      <c r="AU187" s="155"/>
      <c r="AV187" s="152"/>
      <c r="AW187" s="153"/>
      <c r="AX187" s="153"/>
      <c r="AY187" s="153"/>
      <c r="AZ187" s="154"/>
      <c r="BA187" s="154"/>
      <c r="BB187" s="279"/>
      <c r="BC187" s="279"/>
      <c r="BD187" s="155"/>
      <c r="BE187" s="152">
        <v>4</v>
      </c>
      <c r="BF187" s="153">
        <v>8</v>
      </c>
      <c r="BG187" s="153">
        <v>6</v>
      </c>
      <c r="BH187" s="153">
        <v>2</v>
      </c>
      <c r="BI187" s="154">
        <v>15</v>
      </c>
      <c r="BJ187" s="154">
        <v>21</v>
      </c>
      <c r="BK187" s="279">
        <v>7</v>
      </c>
      <c r="BL187" s="279">
        <v>3</v>
      </c>
      <c r="BM187" s="155"/>
      <c r="BN187" s="152"/>
      <c r="BO187" s="153"/>
      <c r="BP187" s="153"/>
      <c r="BQ187" s="153"/>
      <c r="BR187" s="154"/>
      <c r="BS187" s="154"/>
      <c r="BT187" s="279"/>
      <c r="BU187" s="279"/>
      <c r="BV187" s="155"/>
      <c r="BW187" s="152">
        <v>108</v>
      </c>
      <c r="BX187" s="153">
        <v>104</v>
      </c>
      <c r="BY187" s="153">
        <v>152</v>
      </c>
      <c r="BZ187" s="153">
        <v>89</v>
      </c>
      <c r="CA187" s="154">
        <v>97</v>
      </c>
      <c r="CB187" s="154">
        <v>112</v>
      </c>
      <c r="CC187" s="279">
        <v>108</v>
      </c>
      <c r="CD187" s="279">
        <v>82</v>
      </c>
      <c r="CE187" s="155"/>
      <c r="CF187" s="152">
        <v>5</v>
      </c>
      <c r="CG187" s="153">
        <v>4</v>
      </c>
      <c r="CH187" s="153">
        <v>5</v>
      </c>
      <c r="CI187" s="153">
        <v>3</v>
      </c>
      <c r="CJ187" s="154">
        <v>1</v>
      </c>
      <c r="CK187" s="154"/>
      <c r="CL187" s="279">
        <v>1</v>
      </c>
      <c r="CM187" s="279">
        <v>2</v>
      </c>
      <c r="CN187" s="155"/>
      <c r="CO187" s="152"/>
      <c r="CP187" s="153"/>
      <c r="CQ187" s="153">
        <v>1</v>
      </c>
      <c r="CR187" s="153"/>
      <c r="CS187" s="154"/>
      <c r="CT187" s="154"/>
      <c r="CU187" s="279"/>
      <c r="CV187" s="279">
        <v>1</v>
      </c>
      <c r="CW187" s="155"/>
      <c r="CX187" s="152">
        <v>629</v>
      </c>
      <c r="CY187" s="153">
        <v>726</v>
      </c>
      <c r="CZ187" s="153">
        <v>772</v>
      </c>
      <c r="DA187" s="153">
        <v>688</v>
      </c>
      <c r="DB187" s="154">
        <v>442</v>
      </c>
      <c r="DC187" s="154">
        <v>255</v>
      </c>
      <c r="DD187" s="279">
        <v>271</v>
      </c>
      <c r="DE187" s="279">
        <v>204</v>
      </c>
      <c r="DF187" s="155"/>
      <c r="DG187" s="152">
        <v>8</v>
      </c>
      <c r="DH187" s="153">
        <v>4</v>
      </c>
      <c r="DI187" s="153">
        <v>5</v>
      </c>
      <c r="DJ187" s="153">
        <v>8</v>
      </c>
      <c r="DK187" s="154">
        <v>1</v>
      </c>
      <c r="DL187" s="154"/>
      <c r="DM187" s="279">
        <v>1</v>
      </c>
      <c r="DN187" s="279">
        <v>1</v>
      </c>
      <c r="DO187" s="155"/>
      <c r="DP187" s="152">
        <v>15</v>
      </c>
      <c r="DQ187" s="153">
        <v>21</v>
      </c>
      <c r="DR187" s="153">
        <v>33</v>
      </c>
      <c r="DS187" s="153">
        <v>15</v>
      </c>
      <c r="DT187" s="154">
        <v>7</v>
      </c>
      <c r="DU187" s="154">
        <v>3</v>
      </c>
      <c r="DV187" s="279">
        <v>1</v>
      </c>
      <c r="DW187" s="279"/>
      <c r="DX187" s="155"/>
      <c r="DY187" s="152">
        <v>40</v>
      </c>
      <c r="DZ187" s="153">
        <v>56</v>
      </c>
      <c r="EA187" s="153">
        <v>71</v>
      </c>
      <c r="EB187" s="153">
        <v>69</v>
      </c>
      <c r="EC187" s="154">
        <v>85</v>
      </c>
      <c r="ED187" s="154">
        <v>18</v>
      </c>
      <c r="EE187" s="279">
        <v>20</v>
      </c>
      <c r="EF187" s="279">
        <v>18</v>
      </c>
      <c r="EG187" s="155"/>
      <c r="EH187" s="152">
        <v>9</v>
      </c>
      <c r="EI187" s="153">
        <v>9</v>
      </c>
      <c r="EJ187" s="153">
        <v>9</v>
      </c>
      <c r="EK187" s="153">
        <v>6</v>
      </c>
      <c r="EL187" s="154">
        <v>2</v>
      </c>
      <c r="EM187" s="154">
        <v>1</v>
      </c>
      <c r="EN187" s="279">
        <v>1</v>
      </c>
      <c r="EO187" s="279"/>
      <c r="EP187" s="155"/>
      <c r="EQ187" s="152">
        <v>1</v>
      </c>
      <c r="ER187" s="153"/>
      <c r="ES187" s="153">
        <v>1</v>
      </c>
      <c r="ET187" s="153"/>
      <c r="EU187" s="154"/>
      <c r="EV187" s="154"/>
      <c r="EW187" s="279">
        <v>3</v>
      </c>
      <c r="EX187" s="279">
        <v>1</v>
      </c>
      <c r="EY187" s="155"/>
      <c r="EZ187" s="152">
        <v>3</v>
      </c>
      <c r="FA187" s="153">
        <v>2</v>
      </c>
      <c r="FB187" s="153">
        <v>2</v>
      </c>
      <c r="FC187" s="153">
        <v>3</v>
      </c>
      <c r="FD187" s="154">
        <v>1</v>
      </c>
      <c r="FE187" s="154">
        <v>2</v>
      </c>
      <c r="FF187" s="279">
        <v>1</v>
      </c>
      <c r="FG187" s="279">
        <v>3</v>
      </c>
      <c r="FH187" s="155"/>
      <c r="FI187" s="152">
        <v>54</v>
      </c>
      <c r="FJ187" s="153">
        <v>92</v>
      </c>
      <c r="FK187" s="153">
        <v>75</v>
      </c>
      <c r="FL187" s="153">
        <v>34</v>
      </c>
      <c r="FM187" s="154">
        <v>33</v>
      </c>
      <c r="FN187" s="154">
        <v>23</v>
      </c>
      <c r="FO187" s="279">
        <v>32</v>
      </c>
      <c r="FP187" s="279">
        <v>34</v>
      </c>
      <c r="FQ187" s="155"/>
      <c r="FR187" s="152">
        <v>5</v>
      </c>
      <c r="FS187" s="153">
        <v>5</v>
      </c>
      <c r="FT187" s="153">
        <v>7</v>
      </c>
      <c r="FU187" s="153">
        <v>3</v>
      </c>
      <c r="FV187" s="154">
        <v>3</v>
      </c>
      <c r="FW187" s="154"/>
      <c r="FX187" s="279">
        <v>2</v>
      </c>
      <c r="FY187" s="279">
        <v>2</v>
      </c>
      <c r="FZ187" s="155"/>
      <c r="GA187" s="152">
        <v>9</v>
      </c>
      <c r="GB187" s="153">
        <v>14</v>
      </c>
      <c r="GC187" s="153">
        <v>21</v>
      </c>
      <c r="GD187" s="153">
        <v>8</v>
      </c>
      <c r="GE187" s="154">
        <v>4</v>
      </c>
      <c r="GF187" s="154">
        <v>5</v>
      </c>
      <c r="GG187" s="279">
        <v>5</v>
      </c>
      <c r="GH187" s="279">
        <v>3</v>
      </c>
      <c r="GI187" s="155"/>
      <c r="GJ187" s="152">
        <v>917</v>
      </c>
      <c r="GK187" s="153">
        <v>1045</v>
      </c>
      <c r="GL187" s="153">
        <v>1143</v>
      </c>
      <c r="GM187" s="153">
        <v>897</v>
      </c>
      <c r="GN187" s="154">
        <v>665</v>
      </c>
      <c r="GO187" s="154">
        <v>519</v>
      </c>
      <c r="GP187" s="279">
        <v>505</v>
      </c>
      <c r="GQ187" s="279">
        <v>384</v>
      </c>
      <c r="GR187" s="155"/>
      <c r="GS187" s="152">
        <v>291</v>
      </c>
      <c r="GT187" s="153">
        <v>430</v>
      </c>
      <c r="GU187" s="153">
        <v>433</v>
      </c>
      <c r="GV187" s="153">
        <v>294</v>
      </c>
      <c r="GW187" s="154">
        <v>192</v>
      </c>
      <c r="GX187" s="154">
        <v>118</v>
      </c>
      <c r="GY187" s="279">
        <v>128</v>
      </c>
      <c r="GZ187" s="279">
        <v>119</v>
      </c>
      <c r="HA187" s="155"/>
      <c r="HB187" s="152">
        <v>2</v>
      </c>
      <c r="HC187" s="153">
        <v>1</v>
      </c>
      <c r="HD187" s="153">
        <v>3</v>
      </c>
      <c r="HE187" s="153">
        <v>1</v>
      </c>
      <c r="HF187" s="154">
        <v>1</v>
      </c>
      <c r="HG187" s="154">
        <v>3</v>
      </c>
      <c r="HH187" s="279">
        <v>2</v>
      </c>
      <c r="HI187" s="279">
        <v>1</v>
      </c>
      <c r="HJ187" s="155"/>
      <c r="HK187" s="152">
        <v>6</v>
      </c>
      <c r="HL187" s="153">
        <v>4</v>
      </c>
      <c r="HM187" s="153"/>
      <c r="HN187" s="153">
        <v>1</v>
      </c>
      <c r="HO187" s="154">
        <v>1</v>
      </c>
      <c r="HP187" s="154"/>
      <c r="HQ187" s="279">
        <v>1</v>
      </c>
      <c r="HR187" s="279">
        <v>1</v>
      </c>
      <c r="HS187" s="155"/>
      <c r="HT187" s="152">
        <v>397</v>
      </c>
      <c r="HU187" s="153">
        <v>526</v>
      </c>
      <c r="HV187" s="153">
        <v>521</v>
      </c>
      <c r="HW187" s="153">
        <v>377</v>
      </c>
      <c r="HX187" s="154">
        <v>266</v>
      </c>
      <c r="HY187" s="154">
        <v>217</v>
      </c>
      <c r="HZ187" s="279">
        <v>215</v>
      </c>
      <c r="IA187" s="279">
        <v>225</v>
      </c>
      <c r="IB187" s="155"/>
      <c r="IC187" s="152">
        <v>1566</v>
      </c>
      <c r="ID187" s="153">
        <v>1924</v>
      </c>
      <c r="IE187" s="153">
        <v>2211</v>
      </c>
      <c r="IF187" s="153">
        <v>2926</v>
      </c>
      <c r="IG187" s="154">
        <v>966</v>
      </c>
      <c r="IH187" s="154">
        <v>842</v>
      </c>
      <c r="II187" s="279">
        <v>854</v>
      </c>
      <c r="IJ187" s="279">
        <v>715</v>
      </c>
      <c r="IK187" s="155"/>
    </row>
    <row r="188" spans="1:245" x14ac:dyDescent="0.2">
      <c r="A188" s="961"/>
      <c r="B188" s="151" t="s">
        <v>765</v>
      </c>
      <c r="C188" s="152">
        <v>1</v>
      </c>
      <c r="D188" s="153"/>
      <c r="E188" s="153"/>
      <c r="F188" s="153"/>
      <c r="G188" s="154"/>
      <c r="H188" s="154"/>
      <c r="I188" s="279"/>
      <c r="J188" s="279"/>
      <c r="K188" s="155"/>
      <c r="L188" s="152"/>
      <c r="M188" s="153"/>
      <c r="N188" s="153"/>
      <c r="O188" s="153"/>
      <c r="P188" s="154"/>
      <c r="Q188" s="154"/>
      <c r="R188" s="279"/>
      <c r="S188" s="279"/>
      <c r="T188" s="155"/>
      <c r="U188" s="152">
        <v>1</v>
      </c>
      <c r="V188" s="153"/>
      <c r="W188" s="153"/>
      <c r="X188" s="153"/>
      <c r="Y188" s="154"/>
      <c r="Z188" s="154"/>
      <c r="AA188" s="279"/>
      <c r="AB188" s="279"/>
      <c r="AC188" s="155"/>
      <c r="AD188" s="152">
        <v>32</v>
      </c>
      <c r="AE188" s="153">
        <v>34</v>
      </c>
      <c r="AF188" s="153">
        <v>24</v>
      </c>
      <c r="AG188" s="153">
        <v>28</v>
      </c>
      <c r="AH188" s="154">
        <v>19</v>
      </c>
      <c r="AI188" s="154">
        <v>17</v>
      </c>
      <c r="AJ188" s="279">
        <v>18</v>
      </c>
      <c r="AK188" s="279">
        <v>30</v>
      </c>
      <c r="AL188" s="155"/>
      <c r="AM188" s="152">
        <v>14</v>
      </c>
      <c r="AN188" s="153">
        <v>12</v>
      </c>
      <c r="AO188" s="153">
        <v>8</v>
      </c>
      <c r="AP188" s="153">
        <v>4</v>
      </c>
      <c r="AQ188" s="154">
        <v>8</v>
      </c>
      <c r="AR188" s="154">
        <v>11</v>
      </c>
      <c r="AS188" s="279">
        <v>5</v>
      </c>
      <c r="AT188" s="279">
        <v>10</v>
      </c>
      <c r="AU188" s="155"/>
      <c r="AV188" s="152"/>
      <c r="AW188" s="153"/>
      <c r="AX188" s="153"/>
      <c r="AY188" s="153"/>
      <c r="AZ188" s="154"/>
      <c r="BA188" s="154"/>
      <c r="BB188" s="279"/>
      <c r="BC188" s="279"/>
      <c r="BD188" s="155"/>
      <c r="BE188" s="152">
        <v>3</v>
      </c>
      <c r="BF188" s="153">
        <v>2</v>
      </c>
      <c r="BG188" s="153">
        <v>2</v>
      </c>
      <c r="BH188" s="153">
        <v>4</v>
      </c>
      <c r="BI188" s="154">
        <v>1</v>
      </c>
      <c r="BJ188" s="154">
        <v>2</v>
      </c>
      <c r="BK188" s="279">
        <v>1</v>
      </c>
      <c r="BL188" s="279">
        <v>8</v>
      </c>
      <c r="BM188" s="155"/>
      <c r="BN188" s="152"/>
      <c r="BO188" s="153"/>
      <c r="BP188" s="153"/>
      <c r="BQ188" s="153"/>
      <c r="BR188" s="154"/>
      <c r="BS188" s="154"/>
      <c r="BT188" s="279"/>
      <c r="BU188" s="279"/>
      <c r="BV188" s="155"/>
      <c r="BW188" s="152">
        <v>45</v>
      </c>
      <c r="BX188" s="153">
        <v>50</v>
      </c>
      <c r="BY188" s="153">
        <v>39</v>
      </c>
      <c r="BZ188" s="153">
        <v>39</v>
      </c>
      <c r="CA188" s="154">
        <v>32</v>
      </c>
      <c r="CB188" s="154">
        <v>29</v>
      </c>
      <c r="CC188" s="279">
        <v>38</v>
      </c>
      <c r="CD188" s="279">
        <v>26</v>
      </c>
      <c r="CE188" s="155"/>
      <c r="CF188" s="152"/>
      <c r="CG188" s="153">
        <v>7</v>
      </c>
      <c r="CH188" s="153">
        <v>2</v>
      </c>
      <c r="CI188" s="153">
        <v>2</v>
      </c>
      <c r="CJ188" s="154">
        <v>2</v>
      </c>
      <c r="CK188" s="154">
        <v>6</v>
      </c>
      <c r="CL188" s="279">
        <v>1</v>
      </c>
      <c r="CM188" s="279">
        <v>1</v>
      </c>
      <c r="CN188" s="155"/>
      <c r="CO188" s="152">
        <v>2</v>
      </c>
      <c r="CP188" s="153">
        <v>1</v>
      </c>
      <c r="CQ188" s="153">
        <v>4</v>
      </c>
      <c r="CR188" s="153">
        <v>2</v>
      </c>
      <c r="CS188" s="154"/>
      <c r="CT188" s="154">
        <v>6</v>
      </c>
      <c r="CU188" s="279"/>
      <c r="CV188" s="279">
        <v>7</v>
      </c>
      <c r="CW188" s="155"/>
      <c r="CX188" s="152">
        <v>362</v>
      </c>
      <c r="CY188" s="153">
        <v>561</v>
      </c>
      <c r="CZ188" s="153">
        <v>339</v>
      </c>
      <c r="DA188" s="153">
        <v>218</v>
      </c>
      <c r="DB188" s="154">
        <v>428</v>
      </c>
      <c r="DC188" s="154">
        <v>201</v>
      </c>
      <c r="DD188" s="279">
        <v>161</v>
      </c>
      <c r="DE188" s="279">
        <v>131</v>
      </c>
      <c r="DF188" s="155"/>
      <c r="DG188" s="152">
        <v>8</v>
      </c>
      <c r="DH188" s="153">
        <v>1</v>
      </c>
      <c r="DI188" s="153">
        <v>16</v>
      </c>
      <c r="DJ188" s="153">
        <v>3</v>
      </c>
      <c r="DK188" s="154">
        <v>2</v>
      </c>
      <c r="DL188" s="154">
        <v>1</v>
      </c>
      <c r="DM188" s="279"/>
      <c r="DN188" s="279"/>
      <c r="DO188" s="155"/>
      <c r="DP188" s="152">
        <v>44</v>
      </c>
      <c r="DQ188" s="153">
        <v>30</v>
      </c>
      <c r="DR188" s="153">
        <v>25</v>
      </c>
      <c r="DS188" s="153">
        <v>5</v>
      </c>
      <c r="DT188" s="154">
        <v>16</v>
      </c>
      <c r="DU188" s="154">
        <v>10</v>
      </c>
      <c r="DV188" s="279">
        <v>4</v>
      </c>
      <c r="DW188" s="279">
        <v>1</v>
      </c>
      <c r="DX188" s="155"/>
      <c r="DY188" s="152">
        <v>14</v>
      </c>
      <c r="DZ188" s="153">
        <v>33</v>
      </c>
      <c r="EA188" s="153">
        <v>23</v>
      </c>
      <c r="EB188" s="153">
        <v>17</v>
      </c>
      <c r="EC188" s="154">
        <v>42</v>
      </c>
      <c r="ED188" s="154">
        <v>9</v>
      </c>
      <c r="EE188" s="279">
        <v>23</v>
      </c>
      <c r="EF188" s="279">
        <v>11</v>
      </c>
      <c r="EG188" s="155"/>
      <c r="EH188" s="152">
        <v>4</v>
      </c>
      <c r="EI188" s="153">
        <v>4</v>
      </c>
      <c r="EJ188" s="153">
        <v>2</v>
      </c>
      <c r="EK188" s="153">
        <v>1</v>
      </c>
      <c r="EL188" s="154"/>
      <c r="EM188" s="154"/>
      <c r="EN188" s="279"/>
      <c r="EO188" s="279">
        <v>1</v>
      </c>
      <c r="EP188" s="155"/>
      <c r="EQ188" s="152"/>
      <c r="ER188" s="153"/>
      <c r="ES188" s="153"/>
      <c r="ET188" s="153"/>
      <c r="EU188" s="154">
        <v>1</v>
      </c>
      <c r="EV188" s="154">
        <v>3</v>
      </c>
      <c r="EW188" s="279">
        <v>2</v>
      </c>
      <c r="EX188" s="279">
        <v>7</v>
      </c>
      <c r="EY188" s="155"/>
      <c r="EZ188" s="152">
        <v>1</v>
      </c>
      <c r="FA188" s="153">
        <v>5</v>
      </c>
      <c r="FB188" s="153"/>
      <c r="FC188" s="153"/>
      <c r="FD188" s="154">
        <v>1</v>
      </c>
      <c r="FE188" s="154"/>
      <c r="FF188" s="279">
        <v>2</v>
      </c>
      <c r="FG188" s="279"/>
      <c r="FH188" s="155"/>
      <c r="FI188" s="152">
        <v>45</v>
      </c>
      <c r="FJ188" s="153">
        <v>60</v>
      </c>
      <c r="FK188" s="153">
        <v>32</v>
      </c>
      <c r="FL188" s="153">
        <v>24</v>
      </c>
      <c r="FM188" s="154">
        <v>22</v>
      </c>
      <c r="FN188" s="154">
        <v>21</v>
      </c>
      <c r="FO188" s="279">
        <v>20</v>
      </c>
      <c r="FP188" s="279">
        <v>21</v>
      </c>
      <c r="FQ188" s="155"/>
      <c r="FR188" s="152">
        <v>4</v>
      </c>
      <c r="FS188" s="153">
        <v>11</v>
      </c>
      <c r="FT188" s="153">
        <v>11</v>
      </c>
      <c r="FU188" s="153">
        <v>7</v>
      </c>
      <c r="FV188" s="154">
        <v>3</v>
      </c>
      <c r="FW188" s="154">
        <v>3</v>
      </c>
      <c r="FX188" s="279">
        <v>1</v>
      </c>
      <c r="FY188" s="279">
        <v>3</v>
      </c>
      <c r="FZ188" s="155"/>
      <c r="GA188" s="152">
        <v>4</v>
      </c>
      <c r="GB188" s="153">
        <v>3</v>
      </c>
      <c r="GC188" s="153">
        <v>5</v>
      </c>
      <c r="GD188" s="153">
        <v>3</v>
      </c>
      <c r="GE188" s="154">
        <v>3</v>
      </c>
      <c r="GF188" s="154">
        <v>1</v>
      </c>
      <c r="GG188" s="279">
        <v>7</v>
      </c>
      <c r="GH188" s="279">
        <v>2</v>
      </c>
      <c r="GI188" s="155"/>
      <c r="GJ188" s="152">
        <v>503</v>
      </c>
      <c r="GK188" s="153">
        <v>738</v>
      </c>
      <c r="GL188" s="153">
        <v>460</v>
      </c>
      <c r="GM188" s="153">
        <v>328</v>
      </c>
      <c r="GN188" s="154">
        <v>512</v>
      </c>
      <c r="GO188" s="154">
        <v>289</v>
      </c>
      <c r="GP188" s="279">
        <v>251</v>
      </c>
      <c r="GQ188" s="279">
        <v>237</v>
      </c>
      <c r="GR188" s="155"/>
      <c r="GS188" s="152">
        <v>192</v>
      </c>
      <c r="GT188" s="153">
        <v>166</v>
      </c>
      <c r="GU188" s="153">
        <v>154</v>
      </c>
      <c r="GV188" s="153">
        <v>95</v>
      </c>
      <c r="GW188" s="154">
        <v>73</v>
      </c>
      <c r="GX188" s="154">
        <v>47</v>
      </c>
      <c r="GY188" s="279">
        <v>51</v>
      </c>
      <c r="GZ188" s="279">
        <v>34</v>
      </c>
      <c r="HA188" s="155"/>
      <c r="HB188" s="152"/>
      <c r="HC188" s="153"/>
      <c r="HD188" s="153">
        <v>2</v>
      </c>
      <c r="HE188" s="153">
        <v>1</v>
      </c>
      <c r="HF188" s="154">
        <v>1</v>
      </c>
      <c r="HG188" s="154">
        <v>1</v>
      </c>
      <c r="HH188" s="279"/>
      <c r="HI188" s="279">
        <v>1</v>
      </c>
      <c r="HJ188" s="155"/>
      <c r="HK188" s="152">
        <v>5</v>
      </c>
      <c r="HL188" s="153">
        <v>2</v>
      </c>
      <c r="HM188" s="153">
        <v>4</v>
      </c>
      <c r="HN188" s="153">
        <v>5</v>
      </c>
      <c r="HO188" s="154">
        <v>1</v>
      </c>
      <c r="HP188" s="154"/>
      <c r="HQ188" s="279"/>
      <c r="HR188" s="279"/>
      <c r="HS188" s="155"/>
      <c r="HT188" s="152">
        <v>264</v>
      </c>
      <c r="HU188" s="153">
        <v>221</v>
      </c>
      <c r="HV188" s="153">
        <v>230</v>
      </c>
      <c r="HW188" s="153">
        <v>198</v>
      </c>
      <c r="HX188" s="154">
        <v>239</v>
      </c>
      <c r="HY188" s="154">
        <v>167</v>
      </c>
      <c r="HZ188" s="279">
        <v>188</v>
      </c>
      <c r="IA188" s="279">
        <v>185</v>
      </c>
      <c r="IB188" s="155"/>
      <c r="IC188" s="152">
        <v>1255</v>
      </c>
      <c r="ID188" s="153">
        <v>1162</v>
      </c>
      <c r="IE188" s="153">
        <v>1045</v>
      </c>
      <c r="IF188" s="153">
        <v>581</v>
      </c>
      <c r="IG188" s="154">
        <v>923</v>
      </c>
      <c r="IH188" s="154">
        <v>585</v>
      </c>
      <c r="II188" s="279">
        <v>550</v>
      </c>
      <c r="IJ188" s="279">
        <v>616</v>
      </c>
      <c r="IK188" s="155"/>
    </row>
    <row r="189" spans="1:245" ht="13.5" thickBot="1" x14ac:dyDescent="0.25">
      <c r="A189" s="961"/>
      <c r="B189" s="156" t="s">
        <v>627</v>
      </c>
      <c r="C189" s="157">
        <v>1</v>
      </c>
      <c r="D189" s="166"/>
      <c r="E189" s="166"/>
      <c r="F189" s="166"/>
      <c r="G189" s="158"/>
      <c r="H189" s="158"/>
      <c r="I189" s="280"/>
      <c r="J189" s="280"/>
      <c r="K189" s="159"/>
      <c r="L189" s="157"/>
      <c r="M189" s="166"/>
      <c r="N189" s="166"/>
      <c r="O189" s="166"/>
      <c r="P189" s="158"/>
      <c r="Q189" s="158"/>
      <c r="R189" s="280"/>
      <c r="S189" s="280"/>
      <c r="T189" s="159"/>
      <c r="U189" s="157">
        <v>1</v>
      </c>
      <c r="V189" s="166"/>
      <c r="W189" s="166"/>
      <c r="X189" s="166"/>
      <c r="Y189" s="158"/>
      <c r="Z189" s="158"/>
      <c r="AA189" s="280"/>
      <c r="AB189" s="280"/>
      <c r="AC189" s="159"/>
      <c r="AD189" s="157">
        <v>18</v>
      </c>
      <c r="AE189" s="166">
        <v>23</v>
      </c>
      <c r="AF189" s="166">
        <v>15</v>
      </c>
      <c r="AG189" s="166">
        <v>15</v>
      </c>
      <c r="AH189" s="158">
        <v>19</v>
      </c>
      <c r="AI189" s="158">
        <v>25</v>
      </c>
      <c r="AJ189" s="280">
        <v>26</v>
      </c>
      <c r="AK189" s="280">
        <v>27</v>
      </c>
      <c r="AL189" s="159"/>
      <c r="AM189" s="157">
        <v>14</v>
      </c>
      <c r="AN189" s="166">
        <v>10</v>
      </c>
      <c r="AO189" s="166">
        <v>8</v>
      </c>
      <c r="AP189" s="166">
        <v>6</v>
      </c>
      <c r="AQ189" s="158">
        <v>9</v>
      </c>
      <c r="AR189" s="158">
        <v>10</v>
      </c>
      <c r="AS189" s="280">
        <v>9</v>
      </c>
      <c r="AT189" s="280">
        <v>5</v>
      </c>
      <c r="AU189" s="159"/>
      <c r="AV189" s="157"/>
      <c r="AW189" s="166"/>
      <c r="AX189" s="166"/>
      <c r="AY189" s="166"/>
      <c r="AZ189" s="158"/>
      <c r="BA189" s="158"/>
      <c r="BB189" s="280"/>
      <c r="BC189" s="280"/>
      <c r="BD189" s="159"/>
      <c r="BE189" s="157">
        <v>9</v>
      </c>
      <c r="BF189" s="166">
        <v>10</v>
      </c>
      <c r="BG189" s="166">
        <v>8</v>
      </c>
      <c r="BH189" s="166">
        <v>4</v>
      </c>
      <c r="BI189" s="158">
        <v>1</v>
      </c>
      <c r="BJ189" s="158">
        <v>1</v>
      </c>
      <c r="BK189" s="280">
        <v>5</v>
      </c>
      <c r="BL189" s="280">
        <v>5</v>
      </c>
      <c r="BM189" s="159"/>
      <c r="BN189" s="157"/>
      <c r="BO189" s="166"/>
      <c r="BP189" s="166"/>
      <c r="BQ189" s="166"/>
      <c r="BR189" s="158"/>
      <c r="BS189" s="158"/>
      <c r="BT189" s="280"/>
      <c r="BU189" s="280"/>
      <c r="BV189" s="159"/>
      <c r="BW189" s="157">
        <v>25</v>
      </c>
      <c r="BX189" s="166">
        <v>34</v>
      </c>
      <c r="BY189" s="166">
        <v>29</v>
      </c>
      <c r="BZ189" s="166">
        <v>22</v>
      </c>
      <c r="CA189" s="158">
        <v>26</v>
      </c>
      <c r="CB189" s="158">
        <v>26</v>
      </c>
      <c r="CC189" s="280">
        <v>32</v>
      </c>
      <c r="CD189" s="280">
        <v>22</v>
      </c>
      <c r="CE189" s="159"/>
      <c r="CF189" s="157"/>
      <c r="CG189" s="166">
        <v>3</v>
      </c>
      <c r="CH189" s="166">
        <v>4</v>
      </c>
      <c r="CI189" s="166">
        <v>3</v>
      </c>
      <c r="CJ189" s="158">
        <v>2</v>
      </c>
      <c r="CK189" s="158">
        <v>4</v>
      </c>
      <c r="CL189" s="280">
        <v>1</v>
      </c>
      <c r="CM189" s="280"/>
      <c r="CN189" s="159"/>
      <c r="CO189" s="157">
        <v>1</v>
      </c>
      <c r="CP189" s="166">
        <v>5</v>
      </c>
      <c r="CQ189" s="166">
        <v>4</v>
      </c>
      <c r="CR189" s="166"/>
      <c r="CS189" s="158">
        <v>2</v>
      </c>
      <c r="CT189" s="158"/>
      <c r="CU189" s="280">
        <v>1</v>
      </c>
      <c r="CV189" s="280"/>
      <c r="CW189" s="159"/>
      <c r="CX189" s="157">
        <v>491</v>
      </c>
      <c r="CY189" s="166">
        <v>432</v>
      </c>
      <c r="CZ189" s="166">
        <v>434</v>
      </c>
      <c r="DA189" s="166">
        <v>318</v>
      </c>
      <c r="DB189" s="158">
        <v>273</v>
      </c>
      <c r="DC189" s="158">
        <v>189</v>
      </c>
      <c r="DD189" s="280">
        <v>159</v>
      </c>
      <c r="DE189" s="280">
        <v>160</v>
      </c>
      <c r="DF189" s="159"/>
      <c r="DG189" s="157">
        <v>7</v>
      </c>
      <c r="DH189" s="166">
        <v>8</v>
      </c>
      <c r="DI189" s="166">
        <v>4</v>
      </c>
      <c r="DJ189" s="166">
        <v>6</v>
      </c>
      <c r="DK189" s="158">
        <v>1</v>
      </c>
      <c r="DL189" s="158">
        <v>1</v>
      </c>
      <c r="DM189" s="280">
        <v>2</v>
      </c>
      <c r="DN189" s="280">
        <v>2</v>
      </c>
      <c r="DO189" s="159"/>
      <c r="DP189" s="157">
        <v>20</v>
      </c>
      <c r="DQ189" s="166">
        <v>22</v>
      </c>
      <c r="DR189" s="166">
        <v>9</v>
      </c>
      <c r="DS189" s="166">
        <v>4</v>
      </c>
      <c r="DT189" s="158">
        <v>5</v>
      </c>
      <c r="DU189" s="158">
        <v>9</v>
      </c>
      <c r="DV189" s="280">
        <v>4</v>
      </c>
      <c r="DW189" s="280">
        <v>4</v>
      </c>
      <c r="DX189" s="159"/>
      <c r="DY189" s="157">
        <v>46</v>
      </c>
      <c r="DZ189" s="166">
        <v>49</v>
      </c>
      <c r="EA189" s="166">
        <v>30</v>
      </c>
      <c r="EB189" s="166">
        <v>23</v>
      </c>
      <c r="EC189" s="158">
        <v>99</v>
      </c>
      <c r="ED189" s="158">
        <v>22</v>
      </c>
      <c r="EE189" s="280">
        <v>19</v>
      </c>
      <c r="EF189" s="280">
        <v>27</v>
      </c>
      <c r="EG189" s="159"/>
      <c r="EH189" s="157">
        <v>5</v>
      </c>
      <c r="EI189" s="166">
        <v>2</v>
      </c>
      <c r="EJ189" s="166"/>
      <c r="EK189" s="166">
        <v>1</v>
      </c>
      <c r="EL189" s="158"/>
      <c r="EM189" s="158">
        <v>3</v>
      </c>
      <c r="EN189" s="280">
        <v>1</v>
      </c>
      <c r="EO189" s="280">
        <v>2</v>
      </c>
      <c r="EP189" s="159"/>
      <c r="EQ189" s="157"/>
      <c r="ER189" s="166"/>
      <c r="ES189" s="166"/>
      <c r="ET189" s="166"/>
      <c r="EU189" s="158">
        <v>1</v>
      </c>
      <c r="EV189" s="158"/>
      <c r="EW189" s="280">
        <v>3</v>
      </c>
      <c r="EX189" s="280">
        <v>3</v>
      </c>
      <c r="EY189" s="159"/>
      <c r="EZ189" s="157">
        <v>1</v>
      </c>
      <c r="FA189" s="166">
        <v>2</v>
      </c>
      <c r="FB189" s="166"/>
      <c r="FC189" s="166">
        <v>2</v>
      </c>
      <c r="FD189" s="158"/>
      <c r="FE189" s="158">
        <v>1</v>
      </c>
      <c r="FF189" s="280">
        <v>1</v>
      </c>
      <c r="FG189" s="280"/>
      <c r="FH189" s="159"/>
      <c r="FI189" s="157">
        <v>30</v>
      </c>
      <c r="FJ189" s="166">
        <v>24</v>
      </c>
      <c r="FK189" s="166">
        <v>27</v>
      </c>
      <c r="FL189" s="166">
        <v>13</v>
      </c>
      <c r="FM189" s="158">
        <v>14</v>
      </c>
      <c r="FN189" s="158">
        <v>9</v>
      </c>
      <c r="FO189" s="280">
        <v>10</v>
      </c>
      <c r="FP189" s="280">
        <v>17</v>
      </c>
      <c r="FQ189" s="159"/>
      <c r="FR189" s="157">
        <v>4</v>
      </c>
      <c r="FS189" s="166">
        <v>4</v>
      </c>
      <c r="FT189" s="166">
        <v>4</v>
      </c>
      <c r="FU189" s="166">
        <v>6</v>
      </c>
      <c r="FV189" s="158">
        <v>3</v>
      </c>
      <c r="FW189" s="158"/>
      <c r="FX189" s="280">
        <v>4</v>
      </c>
      <c r="FY189" s="280"/>
      <c r="FZ189" s="159"/>
      <c r="GA189" s="157">
        <v>2</v>
      </c>
      <c r="GB189" s="166">
        <v>5</v>
      </c>
      <c r="GC189" s="166">
        <v>1</v>
      </c>
      <c r="GD189" s="166">
        <v>4</v>
      </c>
      <c r="GE189" s="158">
        <v>1</v>
      </c>
      <c r="GF189" s="158">
        <v>2</v>
      </c>
      <c r="GG189" s="280"/>
      <c r="GH189" s="280">
        <v>1</v>
      </c>
      <c r="GI189" s="159"/>
      <c r="GJ189" s="157">
        <v>587</v>
      </c>
      <c r="GK189" s="166">
        <v>544</v>
      </c>
      <c r="GL189" s="166">
        <v>526</v>
      </c>
      <c r="GM189" s="166">
        <v>388</v>
      </c>
      <c r="GN189" s="158">
        <v>342</v>
      </c>
      <c r="GO189" s="158">
        <v>260</v>
      </c>
      <c r="GP189" s="280">
        <v>243</v>
      </c>
      <c r="GQ189" s="280">
        <v>237</v>
      </c>
      <c r="GR189" s="159"/>
      <c r="GS189" s="157">
        <v>137</v>
      </c>
      <c r="GT189" s="166">
        <v>164</v>
      </c>
      <c r="GU189" s="166">
        <v>121</v>
      </c>
      <c r="GV189" s="166">
        <v>50</v>
      </c>
      <c r="GW189" s="158">
        <v>26</v>
      </c>
      <c r="GX189" s="158">
        <v>40</v>
      </c>
      <c r="GY189" s="280">
        <v>68</v>
      </c>
      <c r="GZ189" s="280">
        <v>67</v>
      </c>
      <c r="HA189" s="159"/>
      <c r="HB189" s="157">
        <v>1</v>
      </c>
      <c r="HC189" s="166">
        <v>1</v>
      </c>
      <c r="HD189" s="166"/>
      <c r="HE189" s="166">
        <v>2</v>
      </c>
      <c r="HF189" s="158">
        <v>3</v>
      </c>
      <c r="HG189" s="158">
        <v>6</v>
      </c>
      <c r="HH189" s="280"/>
      <c r="HI189" s="280">
        <v>2</v>
      </c>
      <c r="HJ189" s="159"/>
      <c r="HK189" s="157"/>
      <c r="HL189" s="166">
        <v>1</v>
      </c>
      <c r="HM189" s="166"/>
      <c r="HN189" s="166">
        <v>2</v>
      </c>
      <c r="HO189" s="158"/>
      <c r="HP189" s="158">
        <v>1</v>
      </c>
      <c r="HQ189" s="280">
        <v>1</v>
      </c>
      <c r="HR189" s="280">
        <v>1</v>
      </c>
      <c r="HS189" s="159"/>
      <c r="HT189" s="157">
        <v>213</v>
      </c>
      <c r="HU189" s="166">
        <v>230</v>
      </c>
      <c r="HV189" s="166">
        <v>162</v>
      </c>
      <c r="HW189" s="166">
        <v>104</v>
      </c>
      <c r="HX189" s="158">
        <v>90</v>
      </c>
      <c r="HY189" s="158">
        <v>128</v>
      </c>
      <c r="HZ189" s="280">
        <v>171</v>
      </c>
      <c r="IA189" s="280">
        <v>195</v>
      </c>
      <c r="IB189" s="159"/>
      <c r="IC189" s="157">
        <v>1195</v>
      </c>
      <c r="ID189" s="166">
        <v>1401</v>
      </c>
      <c r="IE189" s="166">
        <v>938</v>
      </c>
      <c r="IF189" s="166">
        <v>842</v>
      </c>
      <c r="IG189" s="158">
        <v>529</v>
      </c>
      <c r="IH189" s="158">
        <v>538</v>
      </c>
      <c r="II189" s="280">
        <v>568</v>
      </c>
      <c r="IJ189" s="280">
        <v>588</v>
      </c>
      <c r="IK189" s="159"/>
    </row>
    <row r="190" spans="1:245" ht="13.5" thickBot="1" x14ac:dyDescent="0.25">
      <c r="A190" s="962"/>
      <c r="B190" s="189" t="s">
        <v>794</v>
      </c>
      <c r="C190" s="273">
        <v>7</v>
      </c>
      <c r="D190" s="190">
        <v>7</v>
      </c>
      <c r="E190" s="190">
        <v>11</v>
      </c>
      <c r="F190" s="190">
        <v>9</v>
      </c>
      <c r="G190" s="190">
        <v>4</v>
      </c>
      <c r="H190" s="190">
        <v>5</v>
      </c>
      <c r="I190" s="190">
        <v>5</v>
      </c>
      <c r="J190" s="190">
        <v>2</v>
      </c>
      <c r="K190" s="286"/>
      <c r="L190" s="273">
        <v>1</v>
      </c>
      <c r="M190" s="190">
        <v>2</v>
      </c>
      <c r="N190" s="190">
        <v>2</v>
      </c>
      <c r="O190" s="190">
        <v>3</v>
      </c>
      <c r="P190" s="190">
        <v>1</v>
      </c>
      <c r="Q190" s="190">
        <v>4</v>
      </c>
      <c r="R190" s="190">
        <v>1</v>
      </c>
      <c r="S190" s="190">
        <v>2</v>
      </c>
      <c r="T190" s="286"/>
      <c r="U190" s="273">
        <v>5</v>
      </c>
      <c r="V190" s="190">
        <v>2</v>
      </c>
      <c r="W190" s="190">
        <v>6</v>
      </c>
      <c r="X190" s="190">
        <v>3</v>
      </c>
      <c r="Y190" s="190">
        <v>2</v>
      </c>
      <c r="Z190" s="190">
        <v>1</v>
      </c>
      <c r="AA190" s="190">
        <v>4</v>
      </c>
      <c r="AB190" s="190"/>
      <c r="AC190" s="286"/>
      <c r="AD190" s="273">
        <v>403</v>
      </c>
      <c r="AE190" s="190">
        <v>390</v>
      </c>
      <c r="AF190" s="190">
        <v>410</v>
      </c>
      <c r="AG190" s="190">
        <v>340</v>
      </c>
      <c r="AH190" s="190">
        <v>428</v>
      </c>
      <c r="AI190" s="190">
        <v>507</v>
      </c>
      <c r="AJ190" s="190">
        <v>496</v>
      </c>
      <c r="AK190" s="190">
        <v>421</v>
      </c>
      <c r="AL190" s="286"/>
      <c r="AM190" s="273">
        <v>184</v>
      </c>
      <c r="AN190" s="190">
        <v>161</v>
      </c>
      <c r="AO190" s="190">
        <v>199</v>
      </c>
      <c r="AP190" s="190">
        <v>131</v>
      </c>
      <c r="AQ190" s="190">
        <v>143</v>
      </c>
      <c r="AR190" s="190">
        <v>141</v>
      </c>
      <c r="AS190" s="190">
        <v>126</v>
      </c>
      <c r="AT190" s="190">
        <v>124</v>
      </c>
      <c r="AU190" s="286"/>
      <c r="AV190" s="273"/>
      <c r="AW190" s="190"/>
      <c r="AX190" s="190">
        <v>4</v>
      </c>
      <c r="AY190" s="190"/>
      <c r="AZ190" s="190">
        <v>1</v>
      </c>
      <c r="BA190" s="190">
        <v>1</v>
      </c>
      <c r="BB190" s="190">
        <v>2</v>
      </c>
      <c r="BC190" s="190"/>
      <c r="BD190" s="286"/>
      <c r="BE190" s="273">
        <v>100</v>
      </c>
      <c r="BF190" s="190">
        <v>145</v>
      </c>
      <c r="BG190" s="190">
        <v>81</v>
      </c>
      <c r="BH190" s="190">
        <v>100</v>
      </c>
      <c r="BI190" s="190">
        <v>86</v>
      </c>
      <c r="BJ190" s="190">
        <v>94</v>
      </c>
      <c r="BK190" s="190">
        <v>71</v>
      </c>
      <c r="BL190" s="190">
        <v>80</v>
      </c>
      <c r="BM190" s="286"/>
      <c r="BN190" s="273"/>
      <c r="BO190" s="190"/>
      <c r="BP190" s="190"/>
      <c r="BQ190" s="190">
        <v>1</v>
      </c>
      <c r="BR190" s="190"/>
      <c r="BS190" s="190"/>
      <c r="BT190" s="190">
        <v>3</v>
      </c>
      <c r="BU190" s="190"/>
      <c r="BV190" s="286"/>
      <c r="BW190" s="273">
        <v>383</v>
      </c>
      <c r="BX190" s="190">
        <v>408</v>
      </c>
      <c r="BY190" s="190">
        <v>403</v>
      </c>
      <c r="BZ190" s="190">
        <v>369</v>
      </c>
      <c r="CA190" s="190">
        <v>382</v>
      </c>
      <c r="CB190" s="190">
        <v>371</v>
      </c>
      <c r="CC190" s="190">
        <v>410</v>
      </c>
      <c r="CD190" s="190">
        <v>399</v>
      </c>
      <c r="CE190" s="286"/>
      <c r="CF190" s="273">
        <v>21</v>
      </c>
      <c r="CG190" s="190">
        <v>24</v>
      </c>
      <c r="CH190" s="190">
        <v>23</v>
      </c>
      <c r="CI190" s="190">
        <v>18</v>
      </c>
      <c r="CJ190" s="190">
        <v>16</v>
      </c>
      <c r="CK190" s="190">
        <v>22</v>
      </c>
      <c r="CL190" s="190">
        <v>11</v>
      </c>
      <c r="CM190" s="190">
        <v>9</v>
      </c>
      <c r="CN190" s="286"/>
      <c r="CO190" s="273">
        <v>5</v>
      </c>
      <c r="CP190" s="190">
        <v>14</v>
      </c>
      <c r="CQ190" s="190">
        <v>17</v>
      </c>
      <c r="CR190" s="190">
        <v>22</v>
      </c>
      <c r="CS190" s="190">
        <v>16</v>
      </c>
      <c r="CT190" s="190">
        <v>28</v>
      </c>
      <c r="CU190" s="190">
        <v>6</v>
      </c>
      <c r="CV190" s="190">
        <v>18</v>
      </c>
      <c r="CW190" s="286"/>
      <c r="CX190" s="273">
        <v>4385</v>
      </c>
      <c r="CY190" s="190">
        <v>4457</v>
      </c>
      <c r="CZ190" s="190">
        <v>3960</v>
      </c>
      <c r="DA190" s="190">
        <v>3320</v>
      </c>
      <c r="DB190" s="190">
        <v>3286</v>
      </c>
      <c r="DC190" s="190">
        <v>2326</v>
      </c>
      <c r="DD190" s="190">
        <v>1842</v>
      </c>
      <c r="DE190" s="190">
        <v>1570</v>
      </c>
      <c r="DF190" s="286"/>
      <c r="DG190" s="273">
        <v>62</v>
      </c>
      <c r="DH190" s="190">
        <v>41</v>
      </c>
      <c r="DI190" s="190">
        <v>46</v>
      </c>
      <c r="DJ190" s="190">
        <v>52</v>
      </c>
      <c r="DK190" s="190">
        <v>29</v>
      </c>
      <c r="DL190" s="190">
        <v>16</v>
      </c>
      <c r="DM190" s="190">
        <v>8</v>
      </c>
      <c r="DN190" s="190">
        <v>8</v>
      </c>
      <c r="DO190" s="286"/>
      <c r="DP190" s="273">
        <v>192</v>
      </c>
      <c r="DQ190" s="190">
        <v>156</v>
      </c>
      <c r="DR190" s="190">
        <v>142</v>
      </c>
      <c r="DS190" s="190">
        <v>61</v>
      </c>
      <c r="DT190" s="190">
        <v>72</v>
      </c>
      <c r="DU190" s="190">
        <v>55</v>
      </c>
      <c r="DV190" s="190">
        <v>54</v>
      </c>
      <c r="DW190" s="190">
        <v>63</v>
      </c>
      <c r="DX190" s="286"/>
      <c r="DY190" s="273">
        <v>341</v>
      </c>
      <c r="DZ190" s="190">
        <v>405</v>
      </c>
      <c r="EA190" s="190">
        <v>325</v>
      </c>
      <c r="EB190" s="190">
        <v>338</v>
      </c>
      <c r="EC190" s="190">
        <v>519</v>
      </c>
      <c r="ED190" s="190">
        <v>343</v>
      </c>
      <c r="EE190" s="190">
        <v>294</v>
      </c>
      <c r="EF190" s="190">
        <v>201</v>
      </c>
      <c r="EG190" s="286"/>
      <c r="EH190" s="273">
        <v>61</v>
      </c>
      <c r="EI190" s="190">
        <v>39</v>
      </c>
      <c r="EJ190" s="190">
        <v>48</v>
      </c>
      <c r="EK190" s="190">
        <v>41</v>
      </c>
      <c r="EL190" s="190">
        <v>30</v>
      </c>
      <c r="EM190" s="190">
        <v>27</v>
      </c>
      <c r="EN190" s="190">
        <v>24</v>
      </c>
      <c r="EO190" s="190">
        <v>14</v>
      </c>
      <c r="EP190" s="286"/>
      <c r="EQ190" s="273">
        <v>6</v>
      </c>
      <c r="ER190" s="190">
        <v>8</v>
      </c>
      <c r="ES190" s="190">
        <v>7</v>
      </c>
      <c r="ET190" s="190">
        <v>5</v>
      </c>
      <c r="EU190" s="190">
        <v>4</v>
      </c>
      <c r="EV190" s="190">
        <v>69</v>
      </c>
      <c r="EW190" s="190">
        <v>29</v>
      </c>
      <c r="EX190" s="190">
        <v>66</v>
      </c>
      <c r="EY190" s="286"/>
      <c r="EZ190" s="273">
        <v>10</v>
      </c>
      <c r="FA190" s="190">
        <v>35</v>
      </c>
      <c r="FB190" s="190">
        <v>14</v>
      </c>
      <c r="FC190" s="190">
        <v>22</v>
      </c>
      <c r="FD190" s="190">
        <v>16</v>
      </c>
      <c r="FE190" s="190">
        <v>16</v>
      </c>
      <c r="FF190" s="190">
        <v>17</v>
      </c>
      <c r="FG190" s="190">
        <v>9</v>
      </c>
      <c r="FH190" s="286"/>
      <c r="FI190" s="273">
        <v>490</v>
      </c>
      <c r="FJ190" s="190">
        <v>569</v>
      </c>
      <c r="FK190" s="190">
        <v>383</v>
      </c>
      <c r="FL190" s="190">
        <v>267</v>
      </c>
      <c r="FM190" s="190">
        <v>253</v>
      </c>
      <c r="FN190" s="190">
        <v>217</v>
      </c>
      <c r="FO190" s="190">
        <v>207</v>
      </c>
      <c r="FP190" s="190">
        <v>262</v>
      </c>
      <c r="FQ190" s="286"/>
      <c r="FR190" s="273">
        <v>53</v>
      </c>
      <c r="FS190" s="190">
        <v>89</v>
      </c>
      <c r="FT190" s="190">
        <v>47</v>
      </c>
      <c r="FU190" s="190">
        <v>65</v>
      </c>
      <c r="FV190" s="190">
        <v>32</v>
      </c>
      <c r="FW190" s="190">
        <v>19</v>
      </c>
      <c r="FX190" s="190">
        <v>11</v>
      </c>
      <c r="FY190" s="190">
        <v>15</v>
      </c>
      <c r="FZ190" s="286"/>
      <c r="GA190" s="273">
        <v>44</v>
      </c>
      <c r="GB190" s="190">
        <v>43</v>
      </c>
      <c r="GC190" s="190">
        <v>46</v>
      </c>
      <c r="GD190" s="190">
        <v>34</v>
      </c>
      <c r="GE190" s="190">
        <v>47</v>
      </c>
      <c r="GF190" s="190">
        <v>31</v>
      </c>
      <c r="GG190" s="190">
        <v>37</v>
      </c>
      <c r="GH190" s="190">
        <v>28</v>
      </c>
      <c r="GI190" s="286"/>
      <c r="GJ190" s="273">
        <v>5968</v>
      </c>
      <c r="GK190" s="190">
        <v>6228</v>
      </c>
      <c r="GL190" s="190">
        <v>5450</v>
      </c>
      <c r="GM190" s="190">
        <v>4613</v>
      </c>
      <c r="GN190" s="190">
        <v>4600</v>
      </c>
      <c r="GO190" s="190">
        <v>3732</v>
      </c>
      <c r="GP190" s="190">
        <v>3169</v>
      </c>
      <c r="GQ190" s="190">
        <v>2893</v>
      </c>
      <c r="GR190" s="286"/>
      <c r="GS190" s="273">
        <v>1800</v>
      </c>
      <c r="GT190" s="190">
        <v>1987</v>
      </c>
      <c r="GU190" s="190">
        <v>1714</v>
      </c>
      <c r="GV190" s="190">
        <v>1198</v>
      </c>
      <c r="GW190" s="190">
        <v>845</v>
      </c>
      <c r="GX190" s="190">
        <v>670</v>
      </c>
      <c r="GY190" s="190">
        <v>680</v>
      </c>
      <c r="GZ190" s="190">
        <v>692</v>
      </c>
      <c r="HA190" s="286"/>
      <c r="HB190" s="273">
        <v>19</v>
      </c>
      <c r="HC190" s="190">
        <v>17</v>
      </c>
      <c r="HD190" s="190">
        <v>16</v>
      </c>
      <c r="HE190" s="190">
        <v>16</v>
      </c>
      <c r="HF190" s="190">
        <v>17</v>
      </c>
      <c r="HG190" s="190">
        <v>15</v>
      </c>
      <c r="HH190" s="190">
        <v>21</v>
      </c>
      <c r="HI190" s="190">
        <v>21</v>
      </c>
      <c r="HJ190" s="286"/>
      <c r="HK190" s="273">
        <v>22</v>
      </c>
      <c r="HL190" s="190">
        <v>17</v>
      </c>
      <c r="HM190" s="190">
        <v>15</v>
      </c>
      <c r="HN190" s="190">
        <v>15</v>
      </c>
      <c r="HO190" s="190">
        <v>7</v>
      </c>
      <c r="HP190" s="190">
        <v>13</v>
      </c>
      <c r="HQ190" s="190">
        <v>7</v>
      </c>
      <c r="HR190" s="190">
        <v>15</v>
      </c>
      <c r="HS190" s="286"/>
      <c r="HT190" s="273">
        <v>2761</v>
      </c>
      <c r="HU190" s="190">
        <v>2620</v>
      </c>
      <c r="HV190" s="190">
        <v>2290</v>
      </c>
      <c r="HW190" s="190">
        <v>1871</v>
      </c>
      <c r="HX190" s="190">
        <v>1626</v>
      </c>
      <c r="HY190" s="190">
        <v>1438</v>
      </c>
      <c r="HZ190" s="190">
        <v>1546</v>
      </c>
      <c r="IA190" s="190">
        <v>1691</v>
      </c>
      <c r="IB190" s="286"/>
      <c r="IC190" s="273">
        <v>12946</v>
      </c>
      <c r="ID190" s="190">
        <v>13064</v>
      </c>
      <c r="IE190" s="190">
        <v>12488</v>
      </c>
      <c r="IF190" s="190">
        <v>9595</v>
      </c>
      <c r="IG190" s="190">
        <v>7551</v>
      </c>
      <c r="IH190" s="190">
        <v>6758</v>
      </c>
      <c r="II190" s="190">
        <v>6299</v>
      </c>
      <c r="IJ190" s="190">
        <v>5874</v>
      </c>
      <c r="IK190" s="286"/>
    </row>
    <row r="191" spans="1:245" x14ac:dyDescent="0.2">
      <c r="A191" s="960" t="s">
        <v>611</v>
      </c>
      <c r="B191" s="146" t="s">
        <v>612</v>
      </c>
      <c r="C191" s="147">
        <v>7</v>
      </c>
      <c r="D191" s="148">
        <v>4</v>
      </c>
      <c r="E191" s="148">
        <v>3</v>
      </c>
      <c r="F191" s="148">
        <v>2</v>
      </c>
      <c r="G191" s="149">
        <v>3</v>
      </c>
      <c r="H191" s="149">
        <v>7</v>
      </c>
      <c r="I191" s="278">
        <v>4</v>
      </c>
      <c r="J191" s="278">
        <v>4</v>
      </c>
      <c r="K191" s="173"/>
      <c r="L191" s="147">
        <v>3</v>
      </c>
      <c r="M191" s="148">
        <v>2</v>
      </c>
      <c r="N191" s="148">
        <v>2</v>
      </c>
      <c r="O191" s="148">
        <v>2</v>
      </c>
      <c r="P191" s="149">
        <v>1</v>
      </c>
      <c r="Q191" s="149">
        <v>3</v>
      </c>
      <c r="R191" s="278">
        <v>2</v>
      </c>
      <c r="S191" s="278">
        <v>2</v>
      </c>
      <c r="T191" s="173"/>
      <c r="U191" s="147">
        <v>2</v>
      </c>
      <c r="V191" s="148">
        <v>2</v>
      </c>
      <c r="W191" s="148">
        <v>1</v>
      </c>
      <c r="X191" s="148"/>
      <c r="Y191" s="149">
        <v>2</v>
      </c>
      <c r="Z191" s="149">
        <v>4</v>
      </c>
      <c r="AA191" s="278">
        <v>2</v>
      </c>
      <c r="AB191" s="278">
        <v>1</v>
      </c>
      <c r="AC191" s="173"/>
      <c r="AD191" s="147">
        <v>7</v>
      </c>
      <c r="AE191" s="148">
        <v>10</v>
      </c>
      <c r="AF191" s="148">
        <v>9</v>
      </c>
      <c r="AG191" s="148">
        <v>11</v>
      </c>
      <c r="AH191" s="149">
        <v>7</v>
      </c>
      <c r="AI191" s="149">
        <v>5</v>
      </c>
      <c r="AJ191" s="278">
        <v>7</v>
      </c>
      <c r="AK191" s="278">
        <v>4</v>
      </c>
      <c r="AL191" s="173"/>
      <c r="AM191" s="147">
        <v>6</v>
      </c>
      <c r="AN191" s="148">
        <v>7</v>
      </c>
      <c r="AO191" s="148">
        <v>6</v>
      </c>
      <c r="AP191" s="148">
        <v>7</v>
      </c>
      <c r="AQ191" s="149">
        <v>5</v>
      </c>
      <c r="AR191" s="149">
        <v>3</v>
      </c>
      <c r="AS191" s="278">
        <v>4</v>
      </c>
      <c r="AT191" s="278">
        <v>2</v>
      </c>
      <c r="AU191" s="173"/>
      <c r="AV191" s="147">
        <v>1</v>
      </c>
      <c r="AW191" s="148"/>
      <c r="AX191" s="148"/>
      <c r="AY191" s="148"/>
      <c r="AZ191" s="149">
        <v>1</v>
      </c>
      <c r="BA191" s="149"/>
      <c r="BB191" s="278"/>
      <c r="BC191" s="278"/>
      <c r="BD191" s="173"/>
      <c r="BE191" s="147"/>
      <c r="BF191" s="148">
        <v>3</v>
      </c>
      <c r="BG191" s="148">
        <v>1</v>
      </c>
      <c r="BH191" s="148">
        <v>1</v>
      </c>
      <c r="BI191" s="149"/>
      <c r="BJ191" s="149"/>
      <c r="BK191" s="278">
        <v>1</v>
      </c>
      <c r="BL191" s="278">
        <v>1</v>
      </c>
      <c r="BM191" s="173"/>
      <c r="BN191" s="147">
        <v>4</v>
      </c>
      <c r="BO191" s="148">
        <v>3</v>
      </c>
      <c r="BP191" s="148">
        <v>2</v>
      </c>
      <c r="BQ191" s="148">
        <v>19</v>
      </c>
      <c r="BR191" s="149">
        <v>28</v>
      </c>
      <c r="BS191" s="149">
        <v>61</v>
      </c>
      <c r="BT191" s="278">
        <v>13</v>
      </c>
      <c r="BU191" s="278">
        <v>8</v>
      </c>
      <c r="BV191" s="173"/>
      <c r="BW191" s="147">
        <v>2</v>
      </c>
      <c r="BX191" s="148">
        <v>2</v>
      </c>
      <c r="BY191" s="148">
        <v>1</v>
      </c>
      <c r="BZ191" s="148">
        <v>2</v>
      </c>
      <c r="CA191" s="149">
        <v>4</v>
      </c>
      <c r="CB191" s="149">
        <v>2</v>
      </c>
      <c r="CC191" s="278"/>
      <c r="CD191" s="278"/>
      <c r="CE191" s="173"/>
      <c r="CF191" s="147">
        <v>2</v>
      </c>
      <c r="CG191" s="148"/>
      <c r="CH191" s="148"/>
      <c r="CI191" s="148">
        <v>1</v>
      </c>
      <c r="CJ191" s="149"/>
      <c r="CK191" s="149"/>
      <c r="CL191" s="278"/>
      <c r="CM191" s="278"/>
      <c r="CN191" s="173"/>
      <c r="CO191" s="147">
        <v>4</v>
      </c>
      <c r="CP191" s="148"/>
      <c r="CQ191" s="148"/>
      <c r="CR191" s="148">
        <v>5</v>
      </c>
      <c r="CS191" s="149"/>
      <c r="CT191" s="149"/>
      <c r="CU191" s="278">
        <v>4</v>
      </c>
      <c r="CV191" s="278"/>
      <c r="CW191" s="173"/>
      <c r="CX191" s="147">
        <v>3</v>
      </c>
      <c r="CY191" s="148">
        <v>5</v>
      </c>
      <c r="CZ191" s="148">
        <v>10</v>
      </c>
      <c r="DA191" s="148">
        <v>10</v>
      </c>
      <c r="DB191" s="149">
        <v>18</v>
      </c>
      <c r="DC191" s="149">
        <v>13</v>
      </c>
      <c r="DD191" s="278">
        <v>2</v>
      </c>
      <c r="DE191" s="278">
        <v>1</v>
      </c>
      <c r="DF191" s="173"/>
      <c r="DG191" s="147"/>
      <c r="DH191" s="148"/>
      <c r="DI191" s="148"/>
      <c r="DJ191" s="148">
        <v>2</v>
      </c>
      <c r="DK191" s="149">
        <v>2</v>
      </c>
      <c r="DL191" s="149">
        <v>2</v>
      </c>
      <c r="DM191" s="278"/>
      <c r="DN191" s="278"/>
      <c r="DO191" s="173"/>
      <c r="DP191" s="147"/>
      <c r="DQ191" s="148"/>
      <c r="DR191" s="148"/>
      <c r="DS191" s="148"/>
      <c r="DT191" s="149"/>
      <c r="DU191" s="149"/>
      <c r="DV191" s="278"/>
      <c r="DW191" s="278"/>
      <c r="DX191" s="173"/>
      <c r="DY191" s="147"/>
      <c r="DZ191" s="148">
        <v>1</v>
      </c>
      <c r="EA191" s="148">
        <v>1</v>
      </c>
      <c r="EB191" s="148"/>
      <c r="EC191" s="149"/>
      <c r="ED191" s="149">
        <v>2</v>
      </c>
      <c r="EE191" s="278"/>
      <c r="EF191" s="278"/>
      <c r="EG191" s="173"/>
      <c r="EH191" s="147">
        <v>15</v>
      </c>
      <c r="EI191" s="148">
        <v>17</v>
      </c>
      <c r="EJ191" s="148">
        <v>3</v>
      </c>
      <c r="EK191" s="148">
        <v>5</v>
      </c>
      <c r="EL191" s="149">
        <v>2</v>
      </c>
      <c r="EM191" s="149">
        <v>1</v>
      </c>
      <c r="EN191" s="278">
        <v>1</v>
      </c>
      <c r="EO191" s="278"/>
      <c r="EP191" s="173"/>
      <c r="EQ191" s="147"/>
      <c r="ER191" s="148"/>
      <c r="ES191" s="148">
        <v>3</v>
      </c>
      <c r="ET191" s="148"/>
      <c r="EU191" s="149"/>
      <c r="EV191" s="149">
        <v>1</v>
      </c>
      <c r="EW191" s="278">
        <v>1</v>
      </c>
      <c r="EX191" s="278"/>
      <c r="EY191" s="173"/>
      <c r="EZ191" s="147">
        <v>1</v>
      </c>
      <c r="FA191" s="148"/>
      <c r="FB191" s="148">
        <v>1</v>
      </c>
      <c r="FC191" s="148">
        <v>2</v>
      </c>
      <c r="FD191" s="149"/>
      <c r="FE191" s="149"/>
      <c r="FF191" s="278"/>
      <c r="FG191" s="278"/>
      <c r="FH191" s="173"/>
      <c r="FI191" s="147">
        <v>1</v>
      </c>
      <c r="FJ191" s="148">
        <v>2</v>
      </c>
      <c r="FK191" s="148">
        <v>1</v>
      </c>
      <c r="FL191" s="148"/>
      <c r="FM191" s="149">
        <v>2</v>
      </c>
      <c r="FN191" s="149"/>
      <c r="FO191" s="278"/>
      <c r="FP191" s="278"/>
      <c r="FQ191" s="173"/>
      <c r="FR191" s="147"/>
      <c r="FS191" s="148">
        <v>1</v>
      </c>
      <c r="FT191" s="148">
        <v>1</v>
      </c>
      <c r="FU191" s="148">
        <v>2</v>
      </c>
      <c r="FV191" s="149">
        <v>1</v>
      </c>
      <c r="FW191" s="149"/>
      <c r="FX191" s="278"/>
      <c r="FY191" s="278"/>
      <c r="FZ191" s="173"/>
      <c r="GA191" s="147">
        <v>1</v>
      </c>
      <c r="GB191" s="148"/>
      <c r="GC191" s="148"/>
      <c r="GD191" s="148"/>
      <c r="GE191" s="149">
        <v>4</v>
      </c>
      <c r="GF191" s="149"/>
      <c r="GG191" s="278"/>
      <c r="GH191" s="278"/>
      <c r="GI191" s="173"/>
      <c r="GJ191" s="147">
        <v>47</v>
      </c>
      <c r="GK191" s="148">
        <v>47</v>
      </c>
      <c r="GL191" s="148">
        <v>35</v>
      </c>
      <c r="GM191" s="148">
        <v>60</v>
      </c>
      <c r="GN191" s="149">
        <v>69</v>
      </c>
      <c r="GO191" s="149">
        <v>90</v>
      </c>
      <c r="GP191" s="278">
        <v>33</v>
      </c>
      <c r="GQ191" s="278">
        <v>18</v>
      </c>
      <c r="GR191" s="173"/>
      <c r="GS191" s="147">
        <v>8</v>
      </c>
      <c r="GT191" s="148">
        <v>7</v>
      </c>
      <c r="GU191" s="148">
        <v>3</v>
      </c>
      <c r="GV191" s="148">
        <v>17</v>
      </c>
      <c r="GW191" s="149">
        <v>26</v>
      </c>
      <c r="GX191" s="149">
        <v>40</v>
      </c>
      <c r="GY191" s="278">
        <v>7</v>
      </c>
      <c r="GZ191" s="278">
        <v>2</v>
      </c>
      <c r="HA191" s="173"/>
      <c r="HB191" s="147">
        <v>3</v>
      </c>
      <c r="HC191" s="148"/>
      <c r="HD191" s="148">
        <v>3</v>
      </c>
      <c r="HE191" s="148"/>
      <c r="HF191" s="149">
        <v>3</v>
      </c>
      <c r="HG191" s="149"/>
      <c r="HH191" s="278"/>
      <c r="HI191" s="278">
        <v>2</v>
      </c>
      <c r="HJ191" s="173"/>
      <c r="HK191" s="147"/>
      <c r="HL191" s="148"/>
      <c r="HM191" s="148"/>
      <c r="HN191" s="148"/>
      <c r="HO191" s="149"/>
      <c r="HP191" s="149"/>
      <c r="HQ191" s="278"/>
      <c r="HR191" s="278"/>
      <c r="HS191" s="173"/>
      <c r="HT191" s="147">
        <v>25</v>
      </c>
      <c r="HU191" s="148">
        <v>38</v>
      </c>
      <c r="HV191" s="148">
        <v>14</v>
      </c>
      <c r="HW191" s="148">
        <v>34</v>
      </c>
      <c r="HX191" s="149">
        <v>34</v>
      </c>
      <c r="HY191" s="149">
        <v>61</v>
      </c>
      <c r="HZ191" s="278">
        <v>22</v>
      </c>
      <c r="IA191" s="278">
        <v>15</v>
      </c>
      <c r="IB191" s="173"/>
      <c r="IC191" s="147">
        <v>300</v>
      </c>
      <c r="ID191" s="148">
        <v>281</v>
      </c>
      <c r="IE191" s="148">
        <v>138</v>
      </c>
      <c r="IF191" s="148">
        <v>147</v>
      </c>
      <c r="IG191" s="149">
        <v>153</v>
      </c>
      <c r="IH191" s="149">
        <v>172</v>
      </c>
      <c r="II191" s="278">
        <v>102</v>
      </c>
      <c r="IJ191" s="278">
        <v>1029</v>
      </c>
      <c r="IK191" s="173"/>
    </row>
    <row r="192" spans="1:245" x14ac:dyDescent="0.2">
      <c r="A192" s="961"/>
      <c r="B192" s="151" t="s">
        <v>766</v>
      </c>
      <c r="C192" s="152"/>
      <c r="D192" s="153"/>
      <c r="E192" s="153"/>
      <c r="F192" s="153"/>
      <c r="G192" s="154"/>
      <c r="H192" s="154"/>
      <c r="I192" s="279"/>
      <c r="J192" s="279"/>
      <c r="K192" s="155"/>
      <c r="L192" s="152"/>
      <c r="M192" s="153"/>
      <c r="N192" s="153"/>
      <c r="O192" s="153"/>
      <c r="P192" s="154"/>
      <c r="Q192" s="154"/>
      <c r="R192" s="279"/>
      <c r="S192" s="279"/>
      <c r="T192" s="155"/>
      <c r="U192" s="152"/>
      <c r="V192" s="153"/>
      <c r="W192" s="153"/>
      <c r="X192" s="153"/>
      <c r="Y192" s="154"/>
      <c r="Z192" s="154"/>
      <c r="AA192" s="279"/>
      <c r="AB192" s="279"/>
      <c r="AC192" s="155"/>
      <c r="AD192" s="152">
        <v>139</v>
      </c>
      <c r="AE192" s="153">
        <v>128</v>
      </c>
      <c r="AF192" s="153">
        <v>120</v>
      </c>
      <c r="AG192" s="153">
        <v>133</v>
      </c>
      <c r="AH192" s="154">
        <v>101</v>
      </c>
      <c r="AI192" s="154">
        <v>90</v>
      </c>
      <c r="AJ192" s="279">
        <v>67</v>
      </c>
      <c r="AK192" s="279">
        <v>73</v>
      </c>
      <c r="AL192" s="155"/>
      <c r="AM192" s="152">
        <v>52</v>
      </c>
      <c r="AN192" s="153">
        <v>57</v>
      </c>
      <c r="AO192" s="153">
        <v>44</v>
      </c>
      <c r="AP192" s="153">
        <v>44</v>
      </c>
      <c r="AQ192" s="154">
        <v>40</v>
      </c>
      <c r="AR192" s="154">
        <v>47</v>
      </c>
      <c r="AS192" s="279">
        <v>31</v>
      </c>
      <c r="AT192" s="279">
        <v>36</v>
      </c>
      <c r="AU192" s="155"/>
      <c r="AV192" s="152"/>
      <c r="AW192" s="153"/>
      <c r="AX192" s="153"/>
      <c r="AY192" s="153"/>
      <c r="AZ192" s="154"/>
      <c r="BA192" s="154"/>
      <c r="BB192" s="279"/>
      <c r="BC192" s="279"/>
      <c r="BD192" s="155"/>
      <c r="BE192" s="152">
        <v>11</v>
      </c>
      <c r="BF192" s="153">
        <v>2</v>
      </c>
      <c r="BG192" s="153">
        <v>5</v>
      </c>
      <c r="BH192" s="153">
        <v>1</v>
      </c>
      <c r="BI192" s="154">
        <v>3</v>
      </c>
      <c r="BJ192" s="154">
        <v>8</v>
      </c>
      <c r="BK192" s="279">
        <v>7</v>
      </c>
      <c r="BL192" s="279">
        <v>4</v>
      </c>
      <c r="BM192" s="155"/>
      <c r="BN192" s="152"/>
      <c r="BO192" s="153"/>
      <c r="BP192" s="153"/>
      <c r="BQ192" s="153"/>
      <c r="BR192" s="154"/>
      <c r="BS192" s="154"/>
      <c r="BT192" s="279"/>
      <c r="BU192" s="279"/>
      <c r="BV192" s="155"/>
      <c r="BW192" s="152">
        <v>152</v>
      </c>
      <c r="BX192" s="153">
        <v>144</v>
      </c>
      <c r="BY192" s="153">
        <v>131</v>
      </c>
      <c r="BZ192" s="153">
        <v>175</v>
      </c>
      <c r="CA192" s="154">
        <v>90</v>
      </c>
      <c r="CB192" s="154">
        <v>71</v>
      </c>
      <c r="CC192" s="279">
        <v>58</v>
      </c>
      <c r="CD192" s="279">
        <v>72</v>
      </c>
      <c r="CE192" s="155"/>
      <c r="CF192" s="152">
        <v>2</v>
      </c>
      <c r="CG192" s="153">
        <v>3</v>
      </c>
      <c r="CH192" s="153">
        <v>6</v>
      </c>
      <c r="CI192" s="153">
        <v>3</v>
      </c>
      <c r="CJ192" s="154">
        <v>1</v>
      </c>
      <c r="CK192" s="154">
        <v>2</v>
      </c>
      <c r="CL192" s="279">
        <v>4</v>
      </c>
      <c r="CM192" s="279">
        <v>1</v>
      </c>
      <c r="CN192" s="155"/>
      <c r="CO192" s="152">
        <v>5</v>
      </c>
      <c r="CP192" s="153">
        <v>15</v>
      </c>
      <c r="CQ192" s="153">
        <v>4</v>
      </c>
      <c r="CR192" s="153">
        <v>10</v>
      </c>
      <c r="CS192" s="154">
        <v>4</v>
      </c>
      <c r="CT192" s="154">
        <v>10</v>
      </c>
      <c r="CU192" s="279">
        <v>5</v>
      </c>
      <c r="CV192" s="279">
        <v>3</v>
      </c>
      <c r="CW192" s="155"/>
      <c r="CX192" s="152">
        <v>1330</v>
      </c>
      <c r="CY192" s="153">
        <v>1544</v>
      </c>
      <c r="CZ192" s="153">
        <v>1499</v>
      </c>
      <c r="DA192" s="153">
        <v>1051</v>
      </c>
      <c r="DB192" s="154">
        <v>762</v>
      </c>
      <c r="DC192" s="154">
        <v>837</v>
      </c>
      <c r="DD192" s="279">
        <v>1204</v>
      </c>
      <c r="DE192" s="279">
        <v>403</v>
      </c>
      <c r="DF192" s="155"/>
      <c r="DG192" s="152">
        <v>10</v>
      </c>
      <c r="DH192" s="153">
        <v>11</v>
      </c>
      <c r="DI192" s="153">
        <v>10</v>
      </c>
      <c r="DJ192" s="153">
        <v>7</v>
      </c>
      <c r="DK192" s="154">
        <v>1</v>
      </c>
      <c r="DL192" s="154">
        <v>3</v>
      </c>
      <c r="DM192" s="279"/>
      <c r="DN192" s="279"/>
      <c r="DO192" s="155"/>
      <c r="DP192" s="152">
        <v>30</v>
      </c>
      <c r="DQ192" s="153">
        <v>51</v>
      </c>
      <c r="DR192" s="153">
        <v>46</v>
      </c>
      <c r="DS192" s="153">
        <v>32</v>
      </c>
      <c r="DT192" s="154">
        <v>30</v>
      </c>
      <c r="DU192" s="154">
        <v>12</v>
      </c>
      <c r="DV192" s="279">
        <v>9</v>
      </c>
      <c r="DW192" s="279">
        <v>5</v>
      </c>
      <c r="DX192" s="155"/>
      <c r="DY192" s="152">
        <v>128</v>
      </c>
      <c r="DZ192" s="153">
        <v>135</v>
      </c>
      <c r="EA192" s="153">
        <v>144</v>
      </c>
      <c r="EB192" s="153">
        <v>177</v>
      </c>
      <c r="EC192" s="154">
        <v>145</v>
      </c>
      <c r="ED192" s="154">
        <v>162</v>
      </c>
      <c r="EE192" s="279">
        <v>48</v>
      </c>
      <c r="EF192" s="279">
        <v>17</v>
      </c>
      <c r="EG192" s="155"/>
      <c r="EH192" s="152">
        <v>9</v>
      </c>
      <c r="EI192" s="153">
        <v>12</v>
      </c>
      <c r="EJ192" s="153">
        <v>10</v>
      </c>
      <c r="EK192" s="153">
        <v>2</v>
      </c>
      <c r="EL192" s="154">
        <v>4</v>
      </c>
      <c r="EM192" s="154">
        <v>3</v>
      </c>
      <c r="EN192" s="279">
        <v>2</v>
      </c>
      <c r="EO192" s="279">
        <v>3</v>
      </c>
      <c r="EP192" s="155"/>
      <c r="EQ192" s="152">
        <v>1</v>
      </c>
      <c r="ER192" s="153">
        <v>3</v>
      </c>
      <c r="ES192" s="153">
        <v>4</v>
      </c>
      <c r="ET192" s="153">
        <v>3</v>
      </c>
      <c r="EU192" s="154">
        <v>5</v>
      </c>
      <c r="EV192" s="154">
        <v>9</v>
      </c>
      <c r="EW192" s="279">
        <v>3</v>
      </c>
      <c r="EX192" s="279">
        <v>7</v>
      </c>
      <c r="EY192" s="155"/>
      <c r="EZ192" s="152">
        <v>11</v>
      </c>
      <c r="FA192" s="153">
        <v>12</v>
      </c>
      <c r="FB192" s="153">
        <v>10</v>
      </c>
      <c r="FC192" s="153">
        <v>5</v>
      </c>
      <c r="FD192" s="154">
        <v>5</v>
      </c>
      <c r="FE192" s="154">
        <v>6</v>
      </c>
      <c r="FF192" s="279">
        <v>5</v>
      </c>
      <c r="FG192" s="279">
        <v>1</v>
      </c>
      <c r="FH192" s="155"/>
      <c r="FI192" s="152">
        <v>157</v>
      </c>
      <c r="FJ192" s="153">
        <v>162</v>
      </c>
      <c r="FK192" s="153">
        <v>118</v>
      </c>
      <c r="FL192" s="153">
        <v>55</v>
      </c>
      <c r="FM192" s="154">
        <v>47</v>
      </c>
      <c r="FN192" s="154">
        <v>63</v>
      </c>
      <c r="FO192" s="279">
        <v>39</v>
      </c>
      <c r="FP192" s="279">
        <v>42</v>
      </c>
      <c r="FQ192" s="155"/>
      <c r="FR192" s="152">
        <v>13</v>
      </c>
      <c r="FS192" s="153">
        <v>23</v>
      </c>
      <c r="FT192" s="153">
        <v>8</v>
      </c>
      <c r="FU192" s="153">
        <v>8</v>
      </c>
      <c r="FV192" s="154">
        <v>9</v>
      </c>
      <c r="FW192" s="154">
        <v>9</v>
      </c>
      <c r="FX192" s="279">
        <v>5</v>
      </c>
      <c r="FY192" s="279">
        <v>1</v>
      </c>
      <c r="FZ192" s="155"/>
      <c r="GA192" s="152">
        <v>10</v>
      </c>
      <c r="GB192" s="153">
        <v>15</v>
      </c>
      <c r="GC192" s="153">
        <v>10</v>
      </c>
      <c r="GD192" s="153">
        <v>8</v>
      </c>
      <c r="GE192" s="154">
        <v>5</v>
      </c>
      <c r="GF192" s="154">
        <v>4</v>
      </c>
      <c r="GG192" s="279">
        <v>3</v>
      </c>
      <c r="GH192" s="279">
        <v>3</v>
      </c>
      <c r="GI192" s="155"/>
      <c r="GJ192" s="152">
        <v>1840</v>
      </c>
      <c r="GK192" s="153">
        <v>2063</v>
      </c>
      <c r="GL192" s="153">
        <v>1925</v>
      </c>
      <c r="GM192" s="153">
        <v>1454</v>
      </c>
      <c r="GN192" s="154">
        <v>1036</v>
      </c>
      <c r="GO192" s="154">
        <v>1112</v>
      </c>
      <c r="GP192" s="279">
        <v>1402</v>
      </c>
      <c r="GQ192" s="279">
        <v>613</v>
      </c>
      <c r="GR192" s="155"/>
      <c r="GS192" s="152">
        <v>594</v>
      </c>
      <c r="GT192" s="153">
        <v>675</v>
      </c>
      <c r="GU192" s="153">
        <v>669</v>
      </c>
      <c r="GV192" s="153">
        <v>445</v>
      </c>
      <c r="GW192" s="154">
        <v>192</v>
      </c>
      <c r="GX192" s="154">
        <v>187</v>
      </c>
      <c r="GY192" s="279">
        <v>120</v>
      </c>
      <c r="GZ192" s="279">
        <v>111</v>
      </c>
      <c r="HA192" s="155"/>
      <c r="HB192" s="152">
        <v>18</v>
      </c>
      <c r="HC192" s="153">
        <v>10</v>
      </c>
      <c r="HD192" s="153">
        <v>8</v>
      </c>
      <c r="HE192" s="153">
        <v>9</v>
      </c>
      <c r="HF192" s="154">
        <v>2</v>
      </c>
      <c r="HG192" s="154">
        <v>4</v>
      </c>
      <c r="HH192" s="279">
        <v>7</v>
      </c>
      <c r="HI192" s="279">
        <v>4</v>
      </c>
      <c r="HJ192" s="155"/>
      <c r="HK192" s="152">
        <v>14</v>
      </c>
      <c r="HL192" s="153">
        <v>13</v>
      </c>
      <c r="HM192" s="153">
        <v>9</v>
      </c>
      <c r="HN192" s="153">
        <v>5</v>
      </c>
      <c r="HO192" s="154">
        <v>4</v>
      </c>
      <c r="HP192" s="154">
        <v>2</v>
      </c>
      <c r="HQ192" s="279">
        <v>2</v>
      </c>
      <c r="HR192" s="279">
        <v>3</v>
      </c>
      <c r="HS192" s="155"/>
      <c r="HT192" s="152">
        <v>859</v>
      </c>
      <c r="HU192" s="153">
        <v>917</v>
      </c>
      <c r="HV192" s="153">
        <v>855</v>
      </c>
      <c r="HW192" s="153">
        <v>627</v>
      </c>
      <c r="HX192" s="154">
        <v>403</v>
      </c>
      <c r="HY192" s="154">
        <v>347</v>
      </c>
      <c r="HZ192" s="279">
        <v>372</v>
      </c>
      <c r="IA192" s="279">
        <v>311</v>
      </c>
      <c r="IB192" s="155"/>
      <c r="IC192" s="152">
        <v>3346</v>
      </c>
      <c r="ID192" s="153">
        <v>4239</v>
      </c>
      <c r="IE192" s="153">
        <v>3612</v>
      </c>
      <c r="IF192" s="153">
        <v>2534</v>
      </c>
      <c r="IG192" s="154">
        <v>1712</v>
      </c>
      <c r="IH192" s="154">
        <v>1936</v>
      </c>
      <c r="II192" s="279">
        <v>23709</v>
      </c>
      <c r="IJ192" s="279">
        <v>1717</v>
      </c>
      <c r="IK192" s="155"/>
    </row>
    <row r="193" spans="1:245" x14ac:dyDescent="0.2">
      <c r="A193" s="961"/>
      <c r="B193" s="151" t="s">
        <v>628</v>
      </c>
      <c r="C193" s="152"/>
      <c r="D193" s="153"/>
      <c r="E193" s="153"/>
      <c r="F193" s="153"/>
      <c r="G193" s="154"/>
      <c r="H193" s="154"/>
      <c r="I193" s="279"/>
      <c r="J193" s="279"/>
      <c r="K193" s="155"/>
      <c r="L193" s="152"/>
      <c r="M193" s="153"/>
      <c r="N193" s="153"/>
      <c r="O193" s="153"/>
      <c r="P193" s="154"/>
      <c r="Q193" s="154"/>
      <c r="R193" s="279"/>
      <c r="S193" s="279"/>
      <c r="T193" s="155"/>
      <c r="U193" s="152"/>
      <c r="V193" s="153"/>
      <c r="W193" s="153"/>
      <c r="X193" s="153"/>
      <c r="Y193" s="154"/>
      <c r="Z193" s="154"/>
      <c r="AA193" s="279"/>
      <c r="AB193" s="279"/>
      <c r="AC193" s="155"/>
      <c r="AD193" s="152">
        <v>55</v>
      </c>
      <c r="AE193" s="153">
        <v>35</v>
      </c>
      <c r="AF193" s="153">
        <v>25</v>
      </c>
      <c r="AG193" s="153">
        <v>33</v>
      </c>
      <c r="AH193" s="154">
        <v>27</v>
      </c>
      <c r="AI193" s="154">
        <v>26</v>
      </c>
      <c r="AJ193" s="279">
        <v>23</v>
      </c>
      <c r="AK193" s="279">
        <v>14</v>
      </c>
      <c r="AL193" s="155"/>
      <c r="AM193" s="152">
        <v>21</v>
      </c>
      <c r="AN193" s="153">
        <v>17</v>
      </c>
      <c r="AO193" s="153">
        <v>9</v>
      </c>
      <c r="AP193" s="153">
        <v>12</v>
      </c>
      <c r="AQ193" s="154">
        <v>5</v>
      </c>
      <c r="AR193" s="154">
        <v>7</v>
      </c>
      <c r="AS193" s="279">
        <v>6</v>
      </c>
      <c r="AT193" s="279">
        <v>5</v>
      </c>
      <c r="AU193" s="155"/>
      <c r="AV193" s="152"/>
      <c r="AW193" s="153"/>
      <c r="AX193" s="153"/>
      <c r="AY193" s="153"/>
      <c r="AZ193" s="154"/>
      <c r="BA193" s="154"/>
      <c r="BB193" s="279"/>
      <c r="BC193" s="279"/>
      <c r="BD193" s="155"/>
      <c r="BE193" s="152">
        <v>2</v>
      </c>
      <c r="BF193" s="153">
        <v>7</v>
      </c>
      <c r="BG193" s="153">
        <v>7</v>
      </c>
      <c r="BH193" s="153">
        <v>8</v>
      </c>
      <c r="BI193" s="154">
        <v>1</v>
      </c>
      <c r="BJ193" s="154">
        <v>1</v>
      </c>
      <c r="BK193" s="279">
        <v>2</v>
      </c>
      <c r="BL193" s="279"/>
      <c r="BM193" s="155"/>
      <c r="BN193" s="152"/>
      <c r="BO193" s="153"/>
      <c r="BP193" s="153"/>
      <c r="BQ193" s="153"/>
      <c r="BR193" s="154"/>
      <c r="BS193" s="154"/>
      <c r="BT193" s="279"/>
      <c r="BU193" s="279"/>
      <c r="BV193" s="155"/>
      <c r="BW193" s="152">
        <v>45</v>
      </c>
      <c r="BX193" s="153">
        <v>26</v>
      </c>
      <c r="BY193" s="153">
        <v>25</v>
      </c>
      <c r="BZ193" s="153">
        <v>47</v>
      </c>
      <c r="CA193" s="154">
        <v>48</v>
      </c>
      <c r="CB193" s="154">
        <v>43</v>
      </c>
      <c r="CC193" s="279">
        <v>27</v>
      </c>
      <c r="CD193" s="279">
        <v>18</v>
      </c>
      <c r="CE193" s="155"/>
      <c r="CF193" s="152">
        <v>4</v>
      </c>
      <c r="CG193" s="153"/>
      <c r="CH193" s="153"/>
      <c r="CI193" s="153">
        <v>2</v>
      </c>
      <c r="CJ193" s="154">
        <v>1</v>
      </c>
      <c r="CK193" s="154"/>
      <c r="CL193" s="279"/>
      <c r="CM193" s="279"/>
      <c r="CN193" s="155"/>
      <c r="CO193" s="152"/>
      <c r="CP193" s="153"/>
      <c r="CQ193" s="153">
        <v>1</v>
      </c>
      <c r="CR193" s="153"/>
      <c r="CS193" s="154"/>
      <c r="CT193" s="154"/>
      <c r="CU193" s="279"/>
      <c r="CV193" s="279"/>
      <c r="CW193" s="155"/>
      <c r="CX193" s="152">
        <v>321</v>
      </c>
      <c r="CY193" s="153">
        <v>310</v>
      </c>
      <c r="CZ193" s="153">
        <v>262</v>
      </c>
      <c r="DA193" s="153">
        <v>197</v>
      </c>
      <c r="DB193" s="154">
        <v>220</v>
      </c>
      <c r="DC193" s="154">
        <v>143</v>
      </c>
      <c r="DD193" s="279">
        <v>117</v>
      </c>
      <c r="DE193" s="279">
        <v>81</v>
      </c>
      <c r="DF193" s="155"/>
      <c r="DG193" s="152"/>
      <c r="DH193" s="153"/>
      <c r="DI193" s="153"/>
      <c r="DJ193" s="153">
        <v>1</v>
      </c>
      <c r="DK193" s="154"/>
      <c r="DL193" s="154">
        <v>2</v>
      </c>
      <c r="DM193" s="279"/>
      <c r="DN193" s="279"/>
      <c r="DO193" s="155"/>
      <c r="DP193" s="152">
        <v>1</v>
      </c>
      <c r="DQ193" s="153">
        <v>1</v>
      </c>
      <c r="DR193" s="153">
        <v>1</v>
      </c>
      <c r="DS193" s="153">
        <v>1</v>
      </c>
      <c r="DT193" s="154">
        <v>6</v>
      </c>
      <c r="DU193" s="154">
        <v>3</v>
      </c>
      <c r="DV193" s="279"/>
      <c r="DW193" s="279">
        <v>1</v>
      </c>
      <c r="DX193" s="155"/>
      <c r="DY193" s="152">
        <v>41</v>
      </c>
      <c r="DZ193" s="153">
        <v>19</v>
      </c>
      <c r="EA193" s="153">
        <v>25</v>
      </c>
      <c r="EB193" s="153">
        <v>23</v>
      </c>
      <c r="EC193" s="154">
        <v>28</v>
      </c>
      <c r="ED193" s="154">
        <v>19</v>
      </c>
      <c r="EE193" s="279">
        <v>14</v>
      </c>
      <c r="EF193" s="279">
        <v>20</v>
      </c>
      <c r="EG193" s="155"/>
      <c r="EH193" s="152">
        <v>2</v>
      </c>
      <c r="EI193" s="153"/>
      <c r="EJ193" s="153">
        <v>1</v>
      </c>
      <c r="EK193" s="153">
        <v>2</v>
      </c>
      <c r="EL193" s="154">
        <v>1</v>
      </c>
      <c r="EM193" s="154">
        <v>1</v>
      </c>
      <c r="EN193" s="279">
        <v>1</v>
      </c>
      <c r="EO193" s="279"/>
      <c r="EP193" s="155"/>
      <c r="EQ193" s="152">
        <v>1</v>
      </c>
      <c r="ER193" s="153"/>
      <c r="ES193" s="153">
        <v>3</v>
      </c>
      <c r="ET193" s="153">
        <v>1</v>
      </c>
      <c r="EU193" s="154"/>
      <c r="EV193" s="154">
        <v>2</v>
      </c>
      <c r="EW193" s="279">
        <v>1</v>
      </c>
      <c r="EX193" s="279"/>
      <c r="EY193" s="155"/>
      <c r="EZ193" s="152">
        <v>4</v>
      </c>
      <c r="FA193" s="153">
        <v>1</v>
      </c>
      <c r="FB193" s="153"/>
      <c r="FC193" s="153"/>
      <c r="FD193" s="154"/>
      <c r="FE193" s="154"/>
      <c r="FF193" s="279"/>
      <c r="FG193" s="279"/>
      <c r="FH193" s="155"/>
      <c r="FI193" s="152">
        <v>14</v>
      </c>
      <c r="FJ193" s="153">
        <v>19</v>
      </c>
      <c r="FK193" s="153">
        <v>21</v>
      </c>
      <c r="FL193" s="153">
        <v>7</v>
      </c>
      <c r="FM193" s="154">
        <v>10</v>
      </c>
      <c r="FN193" s="154">
        <v>4</v>
      </c>
      <c r="FO193" s="279">
        <v>4</v>
      </c>
      <c r="FP193" s="279">
        <v>5</v>
      </c>
      <c r="FQ193" s="155"/>
      <c r="FR193" s="152">
        <v>1</v>
      </c>
      <c r="FS193" s="153"/>
      <c r="FT193" s="153">
        <v>9</v>
      </c>
      <c r="FU193" s="153"/>
      <c r="FV193" s="154"/>
      <c r="FW193" s="154">
        <v>3</v>
      </c>
      <c r="FX193" s="279">
        <v>1</v>
      </c>
      <c r="FY193" s="279">
        <v>1</v>
      </c>
      <c r="FZ193" s="155"/>
      <c r="GA193" s="152">
        <v>6</v>
      </c>
      <c r="GB193" s="153">
        <v>6</v>
      </c>
      <c r="GC193" s="153">
        <v>2</v>
      </c>
      <c r="GD193" s="153">
        <v>1</v>
      </c>
      <c r="GE193" s="154">
        <v>2</v>
      </c>
      <c r="GF193" s="154"/>
      <c r="GG193" s="279">
        <v>2</v>
      </c>
      <c r="GH193" s="279">
        <v>1</v>
      </c>
      <c r="GI193" s="155"/>
      <c r="GJ193" s="152">
        <v>455</v>
      </c>
      <c r="GK193" s="153">
        <v>404</v>
      </c>
      <c r="GL193" s="153">
        <v>356</v>
      </c>
      <c r="GM193" s="153">
        <v>298</v>
      </c>
      <c r="GN193" s="154">
        <v>310</v>
      </c>
      <c r="GO193" s="154">
        <v>223</v>
      </c>
      <c r="GP193" s="279">
        <v>178</v>
      </c>
      <c r="GQ193" s="279">
        <v>120</v>
      </c>
      <c r="GR193" s="155"/>
      <c r="GS193" s="152">
        <v>135</v>
      </c>
      <c r="GT193" s="153">
        <v>120</v>
      </c>
      <c r="GU193" s="153">
        <v>112</v>
      </c>
      <c r="GV193" s="153">
        <v>75</v>
      </c>
      <c r="GW193" s="154">
        <v>44</v>
      </c>
      <c r="GX193" s="154">
        <v>32</v>
      </c>
      <c r="GY193" s="279">
        <v>34</v>
      </c>
      <c r="GZ193" s="279">
        <v>29</v>
      </c>
      <c r="HA193" s="155"/>
      <c r="HB193" s="152">
        <v>1</v>
      </c>
      <c r="HC193" s="153"/>
      <c r="HD193" s="153"/>
      <c r="HE193" s="153"/>
      <c r="HF193" s="154"/>
      <c r="HG193" s="154">
        <v>1</v>
      </c>
      <c r="HH193" s="279">
        <v>1</v>
      </c>
      <c r="HI193" s="279">
        <v>1</v>
      </c>
      <c r="HJ193" s="155"/>
      <c r="HK193" s="152">
        <v>3</v>
      </c>
      <c r="HL193" s="153"/>
      <c r="HM193" s="153">
        <v>1</v>
      </c>
      <c r="HN193" s="153"/>
      <c r="HO193" s="154"/>
      <c r="HP193" s="154"/>
      <c r="HQ193" s="279"/>
      <c r="HR193" s="279">
        <v>3</v>
      </c>
      <c r="HS193" s="155"/>
      <c r="HT193" s="152">
        <v>192</v>
      </c>
      <c r="HU193" s="153">
        <v>173</v>
      </c>
      <c r="HV193" s="153">
        <v>158</v>
      </c>
      <c r="HW193" s="153">
        <v>123</v>
      </c>
      <c r="HX193" s="154">
        <v>87</v>
      </c>
      <c r="HY193" s="154">
        <v>76</v>
      </c>
      <c r="HZ193" s="279">
        <v>113</v>
      </c>
      <c r="IA193" s="279">
        <v>90</v>
      </c>
      <c r="IB193" s="155"/>
      <c r="IC193" s="152">
        <v>702</v>
      </c>
      <c r="ID193" s="153">
        <v>668</v>
      </c>
      <c r="IE193" s="153">
        <v>804</v>
      </c>
      <c r="IF193" s="153">
        <v>489</v>
      </c>
      <c r="IG193" s="154">
        <v>475</v>
      </c>
      <c r="IH193" s="154">
        <v>492</v>
      </c>
      <c r="II193" s="279">
        <v>337</v>
      </c>
      <c r="IJ193" s="279">
        <v>230</v>
      </c>
      <c r="IK193" s="155"/>
    </row>
    <row r="194" spans="1:245" x14ac:dyDescent="0.2">
      <c r="A194" s="961"/>
      <c r="B194" s="151" t="s">
        <v>767</v>
      </c>
      <c r="C194" s="152"/>
      <c r="D194" s="153"/>
      <c r="E194" s="153"/>
      <c r="F194" s="153"/>
      <c r="G194" s="154"/>
      <c r="H194" s="154"/>
      <c r="I194" s="279"/>
      <c r="J194" s="279"/>
      <c r="K194" s="155"/>
      <c r="L194" s="152"/>
      <c r="M194" s="153"/>
      <c r="N194" s="153"/>
      <c r="O194" s="153"/>
      <c r="P194" s="154"/>
      <c r="Q194" s="154"/>
      <c r="R194" s="279"/>
      <c r="S194" s="279"/>
      <c r="T194" s="155"/>
      <c r="U194" s="152"/>
      <c r="V194" s="153"/>
      <c r="W194" s="153"/>
      <c r="X194" s="153"/>
      <c r="Y194" s="154"/>
      <c r="Z194" s="154"/>
      <c r="AA194" s="279"/>
      <c r="AB194" s="279"/>
      <c r="AC194" s="155"/>
      <c r="AD194" s="152">
        <v>87</v>
      </c>
      <c r="AE194" s="153">
        <v>91</v>
      </c>
      <c r="AF194" s="153">
        <v>109</v>
      </c>
      <c r="AG194" s="153">
        <v>118</v>
      </c>
      <c r="AH194" s="154">
        <v>79</v>
      </c>
      <c r="AI194" s="154">
        <v>74</v>
      </c>
      <c r="AJ194" s="279">
        <v>72</v>
      </c>
      <c r="AK194" s="279">
        <v>69</v>
      </c>
      <c r="AL194" s="155"/>
      <c r="AM194" s="152">
        <v>45</v>
      </c>
      <c r="AN194" s="153">
        <v>54</v>
      </c>
      <c r="AO194" s="153">
        <v>55</v>
      </c>
      <c r="AP194" s="153">
        <v>52</v>
      </c>
      <c r="AQ194" s="154">
        <v>35</v>
      </c>
      <c r="AR194" s="154">
        <v>37</v>
      </c>
      <c r="AS194" s="279">
        <v>39</v>
      </c>
      <c r="AT194" s="279">
        <v>27</v>
      </c>
      <c r="AU194" s="155"/>
      <c r="AV194" s="152"/>
      <c r="AW194" s="153"/>
      <c r="AX194" s="153"/>
      <c r="AY194" s="153"/>
      <c r="AZ194" s="154"/>
      <c r="BA194" s="154"/>
      <c r="BB194" s="279"/>
      <c r="BC194" s="279"/>
      <c r="BD194" s="155"/>
      <c r="BE194" s="152">
        <v>18</v>
      </c>
      <c r="BF194" s="153">
        <v>9</v>
      </c>
      <c r="BG194" s="153">
        <v>6</v>
      </c>
      <c r="BH194" s="153">
        <v>8</v>
      </c>
      <c r="BI194" s="154">
        <v>11</v>
      </c>
      <c r="BJ194" s="154">
        <v>3</v>
      </c>
      <c r="BK194" s="279">
        <v>2</v>
      </c>
      <c r="BL194" s="279">
        <v>5</v>
      </c>
      <c r="BM194" s="155"/>
      <c r="BN194" s="152"/>
      <c r="BO194" s="153"/>
      <c r="BP194" s="153"/>
      <c r="BQ194" s="153"/>
      <c r="BR194" s="154"/>
      <c r="BS194" s="154"/>
      <c r="BT194" s="279"/>
      <c r="BU194" s="279"/>
      <c r="BV194" s="155"/>
      <c r="BW194" s="152">
        <v>56</v>
      </c>
      <c r="BX194" s="153">
        <v>53</v>
      </c>
      <c r="BY194" s="153">
        <v>75</v>
      </c>
      <c r="BZ194" s="153">
        <v>83</v>
      </c>
      <c r="CA194" s="154">
        <v>76</v>
      </c>
      <c r="CB194" s="154">
        <v>50</v>
      </c>
      <c r="CC194" s="279">
        <v>61</v>
      </c>
      <c r="CD194" s="279">
        <v>56</v>
      </c>
      <c r="CE194" s="155"/>
      <c r="CF194" s="152">
        <v>3</v>
      </c>
      <c r="CG194" s="153">
        <v>6</v>
      </c>
      <c r="CH194" s="153">
        <v>4</v>
      </c>
      <c r="CI194" s="153">
        <v>5</v>
      </c>
      <c r="CJ194" s="154">
        <v>4</v>
      </c>
      <c r="CK194" s="154">
        <v>1</v>
      </c>
      <c r="CL194" s="279">
        <v>2</v>
      </c>
      <c r="CM194" s="279"/>
      <c r="CN194" s="155"/>
      <c r="CO194" s="152">
        <v>3</v>
      </c>
      <c r="CP194" s="153">
        <v>3</v>
      </c>
      <c r="CQ194" s="153">
        <v>7</v>
      </c>
      <c r="CR194" s="153">
        <v>1</v>
      </c>
      <c r="CS194" s="154">
        <v>5</v>
      </c>
      <c r="CT194" s="154">
        <v>2</v>
      </c>
      <c r="CU194" s="279">
        <v>4</v>
      </c>
      <c r="CV194" s="279">
        <v>4</v>
      </c>
      <c r="CW194" s="155"/>
      <c r="CX194" s="152">
        <v>1382</v>
      </c>
      <c r="CY194" s="153">
        <v>1296</v>
      </c>
      <c r="CZ194" s="153">
        <v>1286</v>
      </c>
      <c r="DA194" s="153">
        <v>1204</v>
      </c>
      <c r="DB194" s="154">
        <v>887</v>
      </c>
      <c r="DC194" s="154">
        <v>812</v>
      </c>
      <c r="DD194" s="279">
        <v>477</v>
      </c>
      <c r="DE194" s="279">
        <v>487</v>
      </c>
      <c r="DF194" s="155"/>
      <c r="DG194" s="152">
        <v>9</v>
      </c>
      <c r="DH194" s="153">
        <v>5</v>
      </c>
      <c r="DI194" s="153">
        <v>2</v>
      </c>
      <c r="DJ194" s="153">
        <v>3</v>
      </c>
      <c r="DK194" s="154">
        <v>2</v>
      </c>
      <c r="DL194" s="154">
        <v>2</v>
      </c>
      <c r="DM194" s="279"/>
      <c r="DN194" s="279"/>
      <c r="DO194" s="155"/>
      <c r="DP194" s="152">
        <v>54</v>
      </c>
      <c r="DQ194" s="153">
        <v>26</v>
      </c>
      <c r="DR194" s="153">
        <v>30</v>
      </c>
      <c r="DS194" s="153">
        <v>42</v>
      </c>
      <c r="DT194" s="154">
        <v>10</v>
      </c>
      <c r="DU194" s="154">
        <v>17</v>
      </c>
      <c r="DV194" s="279">
        <v>4</v>
      </c>
      <c r="DW194" s="279">
        <v>8</v>
      </c>
      <c r="DX194" s="155"/>
      <c r="DY194" s="152">
        <v>192</v>
      </c>
      <c r="DZ194" s="153">
        <v>198</v>
      </c>
      <c r="EA194" s="153">
        <v>179</v>
      </c>
      <c r="EB194" s="153">
        <v>166</v>
      </c>
      <c r="EC194" s="154">
        <v>172</v>
      </c>
      <c r="ED194" s="154">
        <v>180</v>
      </c>
      <c r="EE194" s="279">
        <v>62</v>
      </c>
      <c r="EF194" s="279">
        <v>52</v>
      </c>
      <c r="EG194" s="155"/>
      <c r="EH194" s="152">
        <v>12</v>
      </c>
      <c r="EI194" s="153">
        <v>18</v>
      </c>
      <c r="EJ194" s="153">
        <v>17</v>
      </c>
      <c r="EK194" s="153">
        <v>14</v>
      </c>
      <c r="EL194" s="154">
        <v>8</v>
      </c>
      <c r="EM194" s="154">
        <v>5</v>
      </c>
      <c r="EN194" s="279">
        <v>2</v>
      </c>
      <c r="EO194" s="279">
        <v>3</v>
      </c>
      <c r="EP194" s="155"/>
      <c r="EQ194" s="152">
        <v>1</v>
      </c>
      <c r="ER194" s="153">
        <v>4</v>
      </c>
      <c r="ES194" s="153">
        <v>2</v>
      </c>
      <c r="ET194" s="153">
        <v>1</v>
      </c>
      <c r="EU194" s="154">
        <v>3</v>
      </c>
      <c r="EV194" s="154"/>
      <c r="EW194" s="279">
        <v>1</v>
      </c>
      <c r="EX194" s="279">
        <v>1</v>
      </c>
      <c r="EY194" s="155"/>
      <c r="EZ194" s="152">
        <v>12</v>
      </c>
      <c r="FA194" s="153">
        <v>5</v>
      </c>
      <c r="FB194" s="153">
        <v>11</v>
      </c>
      <c r="FC194" s="153">
        <v>2</v>
      </c>
      <c r="FD194" s="154">
        <v>7</v>
      </c>
      <c r="FE194" s="154">
        <v>4</v>
      </c>
      <c r="FF194" s="279"/>
      <c r="FG194" s="279"/>
      <c r="FH194" s="155"/>
      <c r="FI194" s="152">
        <v>155</v>
      </c>
      <c r="FJ194" s="153">
        <v>122</v>
      </c>
      <c r="FK194" s="153">
        <v>106</v>
      </c>
      <c r="FL194" s="153">
        <v>56</v>
      </c>
      <c r="FM194" s="154">
        <v>37</v>
      </c>
      <c r="FN194" s="154">
        <v>63</v>
      </c>
      <c r="FO194" s="279">
        <v>61</v>
      </c>
      <c r="FP194" s="279">
        <v>34</v>
      </c>
      <c r="FQ194" s="155"/>
      <c r="FR194" s="152">
        <v>12</v>
      </c>
      <c r="FS194" s="153">
        <v>20</v>
      </c>
      <c r="FT194" s="153">
        <v>12</v>
      </c>
      <c r="FU194" s="153">
        <v>8</v>
      </c>
      <c r="FV194" s="154">
        <v>4</v>
      </c>
      <c r="FW194" s="154">
        <v>2</v>
      </c>
      <c r="FX194" s="279">
        <v>3</v>
      </c>
      <c r="FY194" s="279"/>
      <c r="FZ194" s="155"/>
      <c r="GA194" s="152">
        <v>23</v>
      </c>
      <c r="GB194" s="153">
        <v>10</v>
      </c>
      <c r="GC194" s="153">
        <v>14</v>
      </c>
      <c r="GD194" s="153">
        <v>17</v>
      </c>
      <c r="GE194" s="154">
        <v>12</v>
      </c>
      <c r="GF194" s="154">
        <v>8</v>
      </c>
      <c r="GG194" s="279">
        <v>7</v>
      </c>
      <c r="GH194" s="279">
        <v>10</v>
      </c>
      <c r="GI194" s="155"/>
      <c r="GJ194" s="152">
        <v>1764</v>
      </c>
      <c r="GK194" s="153">
        <v>1637</v>
      </c>
      <c r="GL194" s="153">
        <v>1649</v>
      </c>
      <c r="GM194" s="153">
        <v>1517</v>
      </c>
      <c r="GN194" s="154">
        <v>1133</v>
      </c>
      <c r="GO194" s="154">
        <v>1024</v>
      </c>
      <c r="GP194" s="279">
        <v>692</v>
      </c>
      <c r="GQ194" s="279">
        <v>669</v>
      </c>
      <c r="GR194" s="155"/>
      <c r="GS194" s="152">
        <v>459</v>
      </c>
      <c r="GT194" s="153">
        <v>452</v>
      </c>
      <c r="GU194" s="153">
        <v>460</v>
      </c>
      <c r="GV194" s="153">
        <v>358</v>
      </c>
      <c r="GW194" s="154">
        <v>109</v>
      </c>
      <c r="GX194" s="154">
        <v>105</v>
      </c>
      <c r="GY194" s="279">
        <v>100</v>
      </c>
      <c r="GZ194" s="279">
        <v>90</v>
      </c>
      <c r="HA194" s="155"/>
      <c r="HB194" s="152">
        <v>6</v>
      </c>
      <c r="HC194" s="153">
        <v>5</v>
      </c>
      <c r="HD194" s="153">
        <v>5</v>
      </c>
      <c r="HE194" s="153">
        <v>3</v>
      </c>
      <c r="HF194" s="154">
        <v>3</v>
      </c>
      <c r="HG194" s="154">
        <v>1</v>
      </c>
      <c r="HH194" s="279">
        <v>2</v>
      </c>
      <c r="HI194" s="279">
        <v>1</v>
      </c>
      <c r="HJ194" s="155"/>
      <c r="HK194" s="152">
        <v>5</v>
      </c>
      <c r="HL194" s="153">
        <v>2</v>
      </c>
      <c r="HM194" s="153">
        <v>2</v>
      </c>
      <c r="HN194" s="153"/>
      <c r="HO194" s="154">
        <v>3</v>
      </c>
      <c r="HP194" s="154">
        <v>1</v>
      </c>
      <c r="HQ194" s="279"/>
      <c r="HR194" s="279">
        <v>1</v>
      </c>
      <c r="HS194" s="155"/>
      <c r="HT194" s="152">
        <v>694</v>
      </c>
      <c r="HU194" s="153">
        <v>650</v>
      </c>
      <c r="HV194" s="153">
        <v>624</v>
      </c>
      <c r="HW194" s="153">
        <v>550</v>
      </c>
      <c r="HX194" s="154">
        <v>368</v>
      </c>
      <c r="HY194" s="154">
        <v>285</v>
      </c>
      <c r="HZ194" s="279">
        <v>339</v>
      </c>
      <c r="IA194" s="279">
        <v>269</v>
      </c>
      <c r="IB194" s="155"/>
      <c r="IC194" s="152">
        <v>4845</v>
      </c>
      <c r="ID194" s="153">
        <v>2655</v>
      </c>
      <c r="IE194" s="153">
        <v>2715</v>
      </c>
      <c r="IF194" s="153">
        <v>2408</v>
      </c>
      <c r="IG194" s="154">
        <v>2392</v>
      </c>
      <c r="IH194" s="154">
        <v>2042</v>
      </c>
      <c r="II194" s="279">
        <v>1421</v>
      </c>
      <c r="IJ194" s="279">
        <v>1368</v>
      </c>
      <c r="IK194" s="155"/>
    </row>
    <row r="195" spans="1:245" ht="13.5" thickBot="1" x14ac:dyDescent="0.25">
      <c r="A195" s="961"/>
      <c r="B195" s="156" t="s">
        <v>768</v>
      </c>
      <c r="C195" s="157"/>
      <c r="D195" s="166"/>
      <c r="E195" s="166"/>
      <c r="F195" s="166"/>
      <c r="G195" s="158"/>
      <c r="H195" s="158"/>
      <c r="I195" s="280"/>
      <c r="J195" s="280"/>
      <c r="K195" s="159"/>
      <c r="L195" s="157"/>
      <c r="M195" s="166"/>
      <c r="N195" s="166"/>
      <c r="O195" s="166"/>
      <c r="P195" s="158"/>
      <c r="Q195" s="158"/>
      <c r="R195" s="280"/>
      <c r="S195" s="280"/>
      <c r="T195" s="159"/>
      <c r="U195" s="157"/>
      <c r="V195" s="166"/>
      <c r="W195" s="166"/>
      <c r="X195" s="166"/>
      <c r="Y195" s="158"/>
      <c r="Z195" s="158"/>
      <c r="AA195" s="280"/>
      <c r="AB195" s="280"/>
      <c r="AC195" s="159"/>
      <c r="AD195" s="157">
        <v>59</v>
      </c>
      <c r="AE195" s="166">
        <v>66</v>
      </c>
      <c r="AF195" s="166">
        <v>65</v>
      </c>
      <c r="AG195" s="166">
        <v>71</v>
      </c>
      <c r="AH195" s="158">
        <v>53</v>
      </c>
      <c r="AI195" s="158">
        <v>53</v>
      </c>
      <c r="AJ195" s="280">
        <v>51</v>
      </c>
      <c r="AK195" s="280">
        <v>39</v>
      </c>
      <c r="AL195" s="159"/>
      <c r="AM195" s="157">
        <v>28</v>
      </c>
      <c r="AN195" s="166">
        <v>27</v>
      </c>
      <c r="AO195" s="166">
        <v>24</v>
      </c>
      <c r="AP195" s="166">
        <v>22</v>
      </c>
      <c r="AQ195" s="158">
        <v>16</v>
      </c>
      <c r="AR195" s="158">
        <v>12</v>
      </c>
      <c r="AS195" s="280">
        <v>18</v>
      </c>
      <c r="AT195" s="280">
        <v>9</v>
      </c>
      <c r="AU195" s="159"/>
      <c r="AV195" s="157"/>
      <c r="AW195" s="166"/>
      <c r="AX195" s="166"/>
      <c r="AY195" s="166"/>
      <c r="AZ195" s="158"/>
      <c r="BA195" s="158"/>
      <c r="BB195" s="280"/>
      <c r="BC195" s="280"/>
      <c r="BD195" s="159"/>
      <c r="BE195" s="157">
        <v>3</v>
      </c>
      <c r="BF195" s="166">
        <v>2</v>
      </c>
      <c r="BG195" s="166">
        <v>5</v>
      </c>
      <c r="BH195" s="166">
        <v>17</v>
      </c>
      <c r="BI195" s="158">
        <v>11</v>
      </c>
      <c r="BJ195" s="158">
        <v>2</v>
      </c>
      <c r="BK195" s="280">
        <v>6</v>
      </c>
      <c r="BL195" s="280">
        <v>5</v>
      </c>
      <c r="BM195" s="159"/>
      <c r="BN195" s="157"/>
      <c r="BO195" s="166"/>
      <c r="BP195" s="166"/>
      <c r="BQ195" s="166"/>
      <c r="BR195" s="158"/>
      <c r="BS195" s="158"/>
      <c r="BT195" s="280"/>
      <c r="BU195" s="280"/>
      <c r="BV195" s="159"/>
      <c r="BW195" s="157">
        <v>49</v>
      </c>
      <c r="BX195" s="166">
        <v>75</v>
      </c>
      <c r="BY195" s="166">
        <v>83</v>
      </c>
      <c r="BZ195" s="166">
        <v>72</v>
      </c>
      <c r="CA195" s="158">
        <v>62</v>
      </c>
      <c r="CB195" s="158">
        <v>57</v>
      </c>
      <c r="CC195" s="280">
        <v>64</v>
      </c>
      <c r="CD195" s="280">
        <v>54</v>
      </c>
      <c r="CE195" s="159"/>
      <c r="CF195" s="157"/>
      <c r="CG195" s="166"/>
      <c r="CH195" s="166"/>
      <c r="CI195" s="166"/>
      <c r="CJ195" s="158"/>
      <c r="CK195" s="158"/>
      <c r="CL195" s="280"/>
      <c r="CM195" s="280">
        <v>1</v>
      </c>
      <c r="CN195" s="159"/>
      <c r="CO195" s="157">
        <v>4</v>
      </c>
      <c r="CP195" s="166"/>
      <c r="CQ195" s="166">
        <v>4</v>
      </c>
      <c r="CR195" s="166"/>
      <c r="CS195" s="158">
        <v>12</v>
      </c>
      <c r="CT195" s="158">
        <v>3</v>
      </c>
      <c r="CU195" s="280">
        <v>1</v>
      </c>
      <c r="CV195" s="280">
        <v>2</v>
      </c>
      <c r="CW195" s="159"/>
      <c r="CX195" s="157">
        <v>988</v>
      </c>
      <c r="CY195" s="166">
        <v>964</v>
      </c>
      <c r="CZ195" s="166">
        <v>814</v>
      </c>
      <c r="DA195" s="166">
        <v>971</v>
      </c>
      <c r="DB195" s="158">
        <v>945</v>
      </c>
      <c r="DC195" s="158">
        <v>539</v>
      </c>
      <c r="DD195" s="280">
        <v>540</v>
      </c>
      <c r="DE195" s="280">
        <v>445</v>
      </c>
      <c r="DF195" s="159"/>
      <c r="DG195" s="157">
        <v>6</v>
      </c>
      <c r="DH195" s="166">
        <v>7</v>
      </c>
      <c r="DI195" s="166">
        <v>9</v>
      </c>
      <c r="DJ195" s="166">
        <v>31</v>
      </c>
      <c r="DK195" s="158">
        <v>2</v>
      </c>
      <c r="DL195" s="158">
        <v>16</v>
      </c>
      <c r="DM195" s="280">
        <v>1</v>
      </c>
      <c r="DN195" s="280"/>
      <c r="DO195" s="159"/>
      <c r="DP195" s="157">
        <v>84</v>
      </c>
      <c r="DQ195" s="166">
        <v>37</v>
      </c>
      <c r="DR195" s="166">
        <v>33</v>
      </c>
      <c r="DS195" s="166">
        <v>17</v>
      </c>
      <c r="DT195" s="158">
        <v>19</v>
      </c>
      <c r="DU195" s="158">
        <v>16</v>
      </c>
      <c r="DV195" s="280">
        <v>14</v>
      </c>
      <c r="DW195" s="280">
        <v>14</v>
      </c>
      <c r="DX195" s="159"/>
      <c r="DY195" s="157">
        <v>133</v>
      </c>
      <c r="DZ195" s="166">
        <v>139</v>
      </c>
      <c r="EA195" s="166">
        <v>143</v>
      </c>
      <c r="EB195" s="166">
        <v>156</v>
      </c>
      <c r="EC195" s="158">
        <v>252</v>
      </c>
      <c r="ED195" s="158">
        <v>84</v>
      </c>
      <c r="EE195" s="280">
        <v>80</v>
      </c>
      <c r="EF195" s="280">
        <v>66</v>
      </c>
      <c r="EG195" s="159"/>
      <c r="EH195" s="157">
        <v>12</v>
      </c>
      <c r="EI195" s="166">
        <v>10</v>
      </c>
      <c r="EJ195" s="166">
        <v>1</v>
      </c>
      <c r="EK195" s="166">
        <v>4</v>
      </c>
      <c r="EL195" s="158">
        <v>4</v>
      </c>
      <c r="EM195" s="158">
        <v>3</v>
      </c>
      <c r="EN195" s="280">
        <v>2</v>
      </c>
      <c r="EO195" s="280">
        <v>1</v>
      </c>
      <c r="EP195" s="159"/>
      <c r="EQ195" s="157"/>
      <c r="ER195" s="166">
        <v>2</v>
      </c>
      <c r="ES195" s="166">
        <v>1</v>
      </c>
      <c r="ET195" s="166">
        <v>1</v>
      </c>
      <c r="EU195" s="158"/>
      <c r="EV195" s="158"/>
      <c r="EW195" s="280">
        <v>1</v>
      </c>
      <c r="EX195" s="280">
        <v>1</v>
      </c>
      <c r="EY195" s="159"/>
      <c r="EZ195" s="157">
        <v>2</v>
      </c>
      <c r="FA195" s="166">
        <v>2</v>
      </c>
      <c r="FB195" s="166">
        <v>1</v>
      </c>
      <c r="FC195" s="166">
        <v>4</v>
      </c>
      <c r="FD195" s="158">
        <v>6</v>
      </c>
      <c r="FE195" s="158"/>
      <c r="FF195" s="280">
        <v>3</v>
      </c>
      <c r="FG195" s="280"/>
      <c r="FH195" s="159"/>
      <c r="FI195" s="157">
        <v>103</v>
      </c>
      <c r="FJ195" s="166">
        <v>98</v>
      </c>
      <c r="FK195" s="166">
        <v>77</v>
      </c>
      <c r="FL195" s="166">
        <v>52</v>
      </c>
      <c r="FM195" s="158">
        <v>28</v>
      </c>
      <c r="FN195" s="158">
        <v>39</v>
      </c>
      <c r="FO195" s="280">
        <v>54</v>
      </c>
      <c r="FP195" s="280">
        <v>34</v>
      </c>
      <c r="FQ195" s="159"/>
      <c r="FR195" s="157">
        <v>8</v>
      </c>
      <c r="FS195" s="166">
        <v>5</v>
      </c>
      <c r="FT195" s="166">
        <v>3</v>
      </c>
      <c r="FU195" s="166">
        <v>13</v>
      </c>
      <c r="FV195" s="158">
        <v>2</v>
      </c>
      <c r="FW195" s="158">
        <v>2</v>
      </c>
      <c r="FX195" s="280">
        <v>1</v>
      </c>
      <c r="FY195" s="280">
        <v>1</v>
      </c>
      <c r="FZ195" s="159"/>
      <c r="GA195" s="157">
        <v>1</v>
      </c>
      <c r="GB195" s="166">
        <v>13</v>
      </c>
      <c r="GC195" s="166">
        <v>11</v>
      </c>
      <c r="GD195" s="166">
        <v>2</v>
      </c>
      <c r="GE195" s="158">
        <v>9</v>
      </c>
      <c r="GF195" s="158">
        <v>5</v>
      </c>
      <c r="GG195" s="280">
        <v>6</v>
      </c>
      <c r="GH195" s="280">
        <v>4</v>
      </c>
      <c r="GI195" s="159"/>
      <c r="GJ195" s="157">
        <v>1229</v>
      </c>
      <c r="GK195" s="166">
        <v>1237</v>
      </c>
      <c r="GL195" s="166">
        <v>1065</v>
      </c>
      <c r="GM195" s="166">
        <v>1207</v>
      </c>
      <c r="GN195" s="158">
        <v>1132</v>
      </c>
      <c r="GO195" s="158">
        <v>703</v>
      </c>
      <c r="GP195" s="280">
        <v>729</v>
      </c>
      <c r="GQ195" s="280">
        <v>587</v>
      </c>
      <c r="GR195" s="159"/>
      <c r="GS195" s="157">
        <v>378</v>
      </c>
      <c r="GT195" s="166">
        <v>388</v>
      </c>
      <c r="GU195" s="166">
        <v>338</v>
      </c>
      <c r="GV195" s="166">
        <v>263</v>
      </c>
      <c r="GW195" s="158">
        <v>129</v>
      </c>
      <c r="GX195" s="158">
        <v>109</v>
      </c>
      <c r="GY195" s="280">
        <v>120</v>
      </c>
      <c r="GZ195" s="280">
        <v>99</v>
      </c>
      <c r="HA195" s="159"/>
      <c r="HB195" s="157">
        <v>6</v>
      </c>
      <c r="HC195" s="166">
        <v>7</v>
      </c>
      <c r="HD195" s="166">
        <v>5</v>
      </c>
      <c r="HE195" s="166">
        <v>2</v>
      </c>
      <c r="HF195" s="158"/>
      <c r="HG195" s="158">
        <v>3</v>
      </c>
      <c r="HH195" s="280">
        <v>1</v>
      </c>
      <c r="HI195" s="280">
        <v>1</v>
      </c>
      <c r="HJ195" s="159"/>
      <c r="HK195" s="157">
        <v>1</v>
      </c>
      <c r="HL195" s="166">
        <v>2</v>
      </c>
      <c r="HM195" s="166">
        <v>3</v>
      </c>
      <c r="HN195" s="166">
        <v>3</v>
      </c>
      <c r="HO195" s="158">
        <v>2</v>
      </c>
      <c r="HP195" s="158">
        <v>1</v>
      </c>
      <c r="HQ195" s="280"/>
      <c r="HR195" s="280">
        <v>1</v>
      </c>
      <c r="HS195" s="159"/>
      <c r="HT195" s="157">
        <v>496</v>
      </c>
      <c r="HU195" s="166">
        <v>521</v>
      </c>
      <c r="HV195" s="166">
        <v>457</v>
      </c>
      <c r="HW195" s="166">
        <v>434</v>
      </c>
      <c r="HX195" s="158">
        <v>279</v>
      </c>
      <c r="HY195" s="158">
        <v>257</v>
      </c>
      <c r="HZ195" s="280">
        <v>307</v>
      </c>
      <c r="IA195" s="280">
        <v>278</v>
      </c>
      <c r="IB195" s="159"/>
      <c r="IC195" s="157">
        <v>2053</v>
      </c>
      <c r="ID195" s="166">
        <v>5170</v>
      </c>
      <c r="IE195" s="166">
        <v>2864</v>
      </c>
      <c r="IF195" s="166">
        <v>1840</v>
      </c>
      <c r="IG195" s="158">
        <v>1990</v>
      </c>
      <c r="IH195" s="158">
        <v>1131</v>
      </c>
      <c r="II195" s="280">
        <v>1125</v>
      </c>
      <c r="IJ195" s="280">
        <v>1089</v>
      </c>
      <c r="IK195" s="159"/>
    </row>
    <row r="196" spans="1:245" ht="13.5" thickBot="1" x14ac:dyDescent="0.25">
      <c r="A196" s="962"/>
      <c r="B196" s="289" t="s">
        <v>795</v>
      </c>
      <c r="C196" s="290">
        <v>7</v>
      </c>
      <c r="D196" s="197">
        <v>4</v>
      </c>
      <c r="E196" s="197">
        <v>3</v>
      </c>
      <c r="F196" s="197">
        <v>2</v>
      </c>
      <c r="G196" s="197">
        <v>3</v>
      </c>
      <c r="H196" s="197">
        <v>7</v>
      </c>
      <c r="I196" s="197">
        <v>4</v>
      </c>
      <c r="J196" s="197">
        <v>4</v>
      </c>
      <c r="K196" s="291"/>
      <c r="L196" s="290">
        <v>3</v>
      </c>
      <c r="M196" s="197">
        <v>2</v>
      </c>
      <c r="N196" s="197">
        <v>2</v>
      </c>
      <c r="O196" s="197">
        <v>2</v>
      </c>
      <c r="P196" s="197">
        <v>1</v>
      </c>
      <c r="Q196" s="197">
        <v>3</v>
      </c>
      <c r="R196" s="197">
        <v>2</v>
      </c>
      <c r="S196" s="197">
        <v>2</v>
      </c>
      <c r="T196" s="291"/>
      <c r="U196" s="290">
        <v>2</v>
      </c>
      <c r="V196" s="197">
        <v>2</v>
      </c>
      <c r="W196" s="197">
        <v>1</v>
      </c>
      <c r="X196" s="197"/>
      <c r="Y196" s="197">
        <v>2</v>
      </c>
      <c r="Z196" s="197">
        <v>4</v>
      </c>
      <c r="AA196" s="197">
        <v>2</v>
      </c>
      <c r="AB196" s="197">
        <v>1</v>
      </c>
      <c r="AC196" s="291"/>
      <c r="AD196" s="290">
        <v>347</v>
      </c>
      <c r="AE196" s="197">
        <v>330</v>
      </c>
      <c r="AF196" s="197">
        <v>328</v>
      </c>
      <c r="AG196" s="197">
        <v>366</v>
      </c>
      <c r="AH196" s="197">
        <v>267</v>
      </c>
      <c r="AI196" s="197">
        <v>248</v>
      </c>
      <c r="AJ196" s="197">
        <v>220</v>
      </c>
      <c r="AK196" s="197">
        <v>199</v>
      </c>
      <c r="AL196" s="291"/>
      <c r="AM196" s="290">
        <v>152</v>
      </c>
      <c r="AN196" s="197">
        <v>162</v>
      </c>
      <c r="AO196" s="197">
        <v>138</v>
      </c>
      <c r="AP196" s="197">
        <v>137</v>
      </c>
      <c r="AQ196" s="197">
        <v>101</v>
      </c>
      <c r="AR196" s="197">
        <v>106</v>
      </c>
      <c r="AS196" s="197">
        <v>98</v>
      </c>
      <c r="AT196" s="197">
        <v>79</v>
      </c>
      <c r="AU196" s="291"/>
      <c r="AV196" s="290">
        <v>1</v>
      </c>
      <c r="AW196" s="197"/>
      <c r="AX196" s="197"/>
      <c r="AY196" s="197"/>
      <c r="AZ196" s="197">
        <v>1</v>
      </c>
      <c r="BA196" s="197"/>
      <c r="BB196" s="197"/>
      <c r="BC196" s="197"/>
      <c r="BD196" s="291"/>
      <c r="BE196" s="290">
        <v>34</v>
      </c>
      <c r="BF196" s="197">
        <v>23</v>
      </c>
      <c r="BG196" s="197">
        <v>24</v>
      </c>
      <c r="BH196" s="197">
        <v>35</v>
      </c>
      <c r="BI196" s="197">
        <v>26</v>
      </c>
      <c r="BJ196" s="197">
        <v>14</v>
      </c>
      <c r="BK196" s="197">
        <v>18</v>
      </c>
      <c r="BL196" s="197">
        <v>15</v>
      </c>
      <c r="BM196" s="291"/>
      <c r="BN196" s="290">
        <v>4</v>
      </c>
      <c r="BO196" s="197">
        <v>3</v>
      </c>
      <c r="BP196" s="197">
        <v>2</v>
      </c>
      <c r="BQ196" s="197">
        <v>19</v>
      </c>
      <c r="BR196" s="197">
        <v>28</v>
      </c>
      <c r="BS196" s="197">
        <v>61</v>
      </c>
      <c r="BT196" s="197">
        <v>13</v>
      </c>
      <c r="BU196" s="197">
        <v>8</v>
      </c>
      <c r="BV196" s="291"/>
      <c r="BW196" s="290">
        <v>304</v>
      </c>
      <c r="BX196" s="197">
        <v>300</v>
      </c>
      <c r="BY196" s="197">
        <v>315</v>
      </c>
      <c r="BZ196" s="197">
        <v>379</v>
      </c>
      <c r="CA196" s="197">
        <v>280</v>
      </c>
      <c r="CB196" s="197">
        <v>223</v>
      </c>
      <c r="CC196" s="197">
        <v>210</v>
      </c>
      <c r="CD196" s="197">
        <v>200</v>
      </c>
      <c r="CE196" s="291"/>
      <c r="CF196" s="290">
        <v>11</v>
      </c>
      <c r="CG196" s="197">
        <v>9</v>
      </c>
      <c r="CH196" s="197">
        <v>10</v>
      </c>
      <c r="CI196" s="197">
        <v>11</v>
      </c>
      <c r="CJ196" s="197">
        <v>6</v>
      </c>
      <c r="CK196" s="197">
        <v>3</v>
      </c>
      <c r="CL196" s="197">
        <v>6</v>
      </c>
      <c r="CM196" s="197">
        <v>2</v>
      </c>
      <c r="CN196" s="291"/>
      <c r="CO196" s="290">
        <v>16</v>
      </c>
      <c r="CP196" s="197">
        <v>18</v>
      </c>
      <c r="CQ196" s="197">
        <v>16</v>
      </c>
      <c r="CR196" s="197">
        <v>16</v>
      </c>
      <c r="CS196" s="197">
        <v>21</v>
      </c>
      <c r="CT196" s="197">
        <v>15</v>
      </c>
      <c r="CU196" s="197">
        <v>14</v>
      </c>
      <c r="CV196" s="197">
        <v>9</v>
      </c>
      <c r="CW196" s="291"/>
      <c r="CX196" s="290">
        <v>4024</v>
      </c>
      <c r="CY196" s="197">
        <v>4119</v>
      </c>
      <c r="CZ196" s="197">
        <v>3871</v>
      </c>
      <c r="DA196" s="197">
        <v>3433</v>
      </c>
      <c r="DB196" s="197">
        <v>2832</v>
      </c>
      <c r="DC196" s="197">
        <v>2344</v>
      </c>
      <c r="DD196" s="197">
        <v>2340</v>
      </c>
      <c r="DE196" s="197">
        <v>1417</v>
      </c>
      <c r="DF196" s="291"/>
      <c r="DG196" s="290">
        <v>25</v>
      </c>
      <c r="DH196" s="197">
        <v>23</v>
      </c>
      <c r="DI196" s="197">
        <v>21</v>
      </c>
      <c r="DJ196" s="197">
        <v>44</v>
      </c>
      <c r="DK196" s="197">
        <v>7</v>
      </c>
      <c r="DL196" s="197">
        <v>25</v>
      </c>
      <c r="DM196" s="197">
        <v>1</v>
      </c>
      <c r="DN196" s="197"/>
      <c r="DO196" s="291"/>
      <c r="DP196" s="290">
        <v>169</v>
      </c>
      <c r="DQ196" s="197">
        <v>115</v>
      </c>
      <c r="DR196" s="197">
        <v>110</v>
      </c>
      <c r="DS196" s="197">
        <v>92</v>
      </c>
      <c r="DT196" s="197">
        <v>65</v>
      </c>
      <c r="DU196" s="197">
        <v>48</v>
      </c>
      <c r="DV196" s="197">
        <v>27</v>
      </c>
      <c r="DW196" s="197">
        <v>28</v>
      </c>
      <c r="DX196" s="291"/>
      <c r="DY196" s="290">
        <v>494</v>
      </c>
      <c r="DZ196" s="197">
        <v>492</v>
      </c>
      <c r="EA196" s="197">
        <v>492</v>
      </c>
      <c r="EB196" s="197">
        <v>522</v>
      </c>
      <c r="EC196" s="197">
        <v>597</v>
      </c>
      <c r="ED196" s="197">
        <v>447</v>
      </c>
      <c r="EE196" s="197">
        <v>204</v>
      </c>
      <c r="EF196" s="197">
        <v>155</v>
      </c>
      <c r="EG196" s="291"/>
      <c r="EH196" s="290">
        <v>50</v>
      </c>
      <c r="EI196" s="197">
        <v>57</v>
      </c>
      <c r="EJ196" s="197">
        <v>32</v>
      </c>
      <c r="EK196" s="197">
        <v>27</v>
      </c>
      <c r="EL196" s="197">
        <v>19</v>
      </c>
      <c r="EM196" s="197">
        <v>13</v>
      </c>
      <c r="EN196" s="197">
        <v>8</v>
      </c>
      <c r="EO196" s="197">
        <v>7</v>
      </c>
      <c r="EP196" s="291"/>
      <c r="EQ196" s="290">
        <v>3</v>
      </c>
      <c r="ER196" s="197">
        <v>9</v>
      </c>
      <c r="ES196" s="197">
        <v>13</v>
      </c>
      <c r="ET196" s="197">
        <v>6</v>
      </c>
      <c r="EU196" s="197">
        <v>8</v>
      </c>
      <c r="EV196" s="197">
        <v>12</v>
      </c>
      <c r="EW196" s="197">
        <v>7</v>
      </c>
      <c r="EX196" s="197">
        <v>9</v>
      </c>
      <c r="EY196" s="291"/>
      <c r="EZ196" s="290">
        <v>30</v>
      </c>
      <c r="FA196" s="197">
        <v>20</v>
      </c>
      <c r="FB196" s="197">
        <v>23</v>
      </c>
      <c r="FC196" s="197">
        <v>13</v>
      </c>
      <c r="FD196" s="197">
        <v>18</v>
      </c>
      <c r="FE196" s="197">
        <v>10</v>
      </c>
      <c r="FF196" s="197">
        <v>8</v>
      </c>
      <c r="FG196" s="197">
        <v>1</v>
      </c>
      <c r="FH196" s="291"/>
      <c r="FI196" s="290">
        <v>430</v>
      </c>
      <c r="FJ196" s="197">
        <v>403</v>
      </c>
      <c r="FK196" s="197">
        <v>323</v>
      </c>
      <c r="FL196" s="197">
        <v>170</v>
      </c>
      <c r="FM196" s="197">
        <v>124</v>
      </c>
      <c r="FN196" s="197">
        <v>169</v>
      </c>
      <c r="FO196" s="197">
        <v>158</v>
      </c>
      <c r="FP196" s="197">
        <v>115</v>
      </c>
      <c r="FQ196" s="291"/>
      <c r="FR196" s="290">
        <v>34</v>
      </c>
      <c r="FS196" s="197">
        <v>49</v>
      </c>
      <c r="FT196" s="197">
        <v>33</v>
      </c>
      <c r="FU196" s="197">
        <v>31</v>
      </c>
      <c r="FV196" s="197">
        <v>16</v>
      </c>
      <c r="FW196" s="197">
        <v>16</v>
      </c>
      <c r="FX196" s="197">
        <v>10</v>
      </c>
      <c r="FY196" s="197">
        <v>3</v>
      </c>
      <c r="FZ196" s="291"/>
      <c r="GA196" s="290">
        <v>41</v>
      </c>
      <c r="GB196" s="197">
        <v>44</v>
      </c>
      <c r="GC196" s="197">
        <v>37</v>
      </c>
      <c r="GD196" s="197">
        <v>28</v>
      </c>
      <c r="GE196" s="197">
        <v>32</v>
      </c>
      <c r="GF196" s="197">
        <v>17</v>
      </c>
      <c r="GG196" s="197">
        <v>18</v>
      </c>
      <c r="GH196" s="197">
        <v>18</v>
      </c>
      <c r="GI196" s="291"/>
      <c r="GJ196" s="290">
        <v>5335</v>
      </c>
      <c r="GK196" s="197">
        <v>5388</v>
      </c>
      <c r="GL196" s="197">
        <v>5030</v>
      </c>
      <c r="GM196" s="197">
        <v>4536</v>
      </c>
      <c r="GN196" s="197">
        <v>3680</v>
      </c>
      <c r="GO196" s="197">
        <v>3152</v>
      </c>
      <c r="GP196" s="197">
        <v>3034</v>
      </c>
      <c r="GQ196" s="197">
        <v>2007</v>
      </c>
      <c r="GR196" s="291"/>
      <c r="GS196" s="290">
        <v>1574</v>
      </c>
      <c r="GT196" s="197">
        <v>1642</v>
      </c>
      <c r="GU196" s="197">
        <v>1582</v>
      </c>
      <c r="GV196" s="197">
        <v>1158</v>
      </c>
      <c r="GW196" s="197">
        <v>500</v>
      </c>
      <c r="GX196" s="197">
        <v>473</v>
      </c>
      <c r="GY196" s="197">
        <v>381</v>
      </c>
      <c r="GZ196" s="197">
        <v>331</v>
      </c>
      <c r="HA196" s="291"/>
      <c r="HB196" s="290">
        <v>34</v>
      </c>
      <c r="HC196" s="197">
        <v>22</v>
      </c>
      <c r="HD196" s="197">
        <v>21</v>
      </c>
      <c r="HE196" s="197">
        <v>14</v>
      </c>
      <c r="HF196" s="197">
        <v>8</v>
      </c>
      <c r="HG196" s="197">
        <v>9</v>
      </c>
      <c r="HH196" s="197">
        <v>11</v>
      </c>
      <c r="HI196" s="197">
        <v>9</v>
      </c>
      <c r="HJ196" s="291"/>
      <c r="HK196" s="290">
        <v>23</v>
      </c>
      <c r="HL196" s="197">
        <v>17</v>
      </c>
      <c r="HM196" s="197">
        <v>15</v>
      </c>
      <c r="HN196" s="197">
        <v>8</v>
      </c>
      <c r="HO196" s="197">
        <v>9</v>
      </c>
      <c r="HP196" s="197">
        <v>4</v>
      </c>
      <c r="HQ196" s="197">
        <v>2</v>
      </c>
      <c r="HR196" s="197">
        <v>8</v>
      </c>
      <c r="HS196" s="291"/>
      <c r="HT196" s="290">
        <v>2266</v>
      </c>
      <c r="HU196" s="197">
        <v>2299</v>
      </c>
      <c r="HV196" s="197">
        <v>2108</v>
      </c>
      <c r="HW196" s="197">
        <v>1768</v>
      </c>
      <c r="HX196" s="197">
        <v>1171</v>
      </c>
      <c r="HY196" s="197">
        <v>1026</v>
      </c>
      <c r="HZ196" s="197">
        <v>1153</v>
      </c>
      <c r="IA196" s="197">
        <v>963</v>
      </c>
      <c r="IB196" s="291"/>
      <c r="IC196" s="290">
        <v>11246</v>
      </c>
      <c r="ID196" s="197">
        <v>13013</v>
      </c>
      <c r="IE196" s="197">
        <v>10133</v>
      </c>
      <c r="IF196" s="197">
        <v>7418</v>
      </c>
      <c r="IG196" s="197">
        <v>6722</v>
      </c>
      <c r="IH196" s="197">
        <v>5773</v>
      </c>
      <c r="II196" s="197">
        <v>26694</v>
      </c>
      <c r="IJ196" s="197">
        <v>5433</v>
      </c>
      <c r="IK196" s="291"/>
    </row>
    <row r="197" spans="1:245" ht="13.5" thickBot="1" x14ac:dyDescent="0.25">
      <c r="A197" s="292" t="s">
        <v>613</v>
      </c>
      <c r="B197" s="200" t="s">
        <v>614</v>
      </c>
      <c r="C197" s="293">
        <v>10</v>
      </c>
      <c r="D197" s="174">
        <v>3</v>
      </c>
      <c r="E197" s="174">
        <v>2</v>
      </c>
      <c r="F197" s="174">
        <v>8</v>
      </c>
      <c r="G197" s="175">
        <v>3</v>
      </c>
      <c r="H197" s="176">
        <v>1</v>
      </c>
      <c r="I197" s="283">
        <v>1</v>
      </c>
      <c r="J197" s="283">
        <v>5</v>
      </c>
      <c r="K197" s="177"/>
      <c r="L197" s="293">
        <v>5</v>
      </c>
      <c r="M197" s="174">
        <v>3</v>
      </c>
      <c r="N197" s="174">
        <v>1</v>
      </c>
      <c r="O197" s="174">
        <v>6</v>
      </c>
      <c r="P197" s="175">
        <v>2</v>
      </c>
      <c r="Q197" s="176">
        <v>1</v>
      </c>
      <c r="R197" s="283">
        <v>1</v>
      </c>
      <c r="S197" s="283">
        <v>5</v>
      </c>
      <c r="T197" s="177"/>
      <c r="U197" s="293">
        <v>5</v>
      </c>
      <c r="V197" s="174"/>
      <c r="W197" s="174">
        <v>1</v>
      </c>
      <c r="X197" s="174">
        <v>1</v>
      </c>
      <c r="Y197" s="175"/>
      <c r="Z197" s="176"/>
      <c r="AA197" s="283"/>
      <c r="AB197" s="283"/>
      <c r="AC197" s="177"/>
      <c r="AD197" s="293">
        <v>3</v>
      </c>
      <c r="AE197" s="174">
        <v>1</v>
      </c>
      <c r="AF197" s="174">
        <v>1</v>
      </c>
      <c r="AG197" s="174">
        <v>7</v>
      </c>
      <c r="AH197" s="175">
        <v>7</v>
      </c>
      <c r="AI197" s="176">
        <v>1</v>
      </c>
      <c r="AJ197" s="283">
        <v>9</v>
      </c>
      <c r="AK197" s="283">
        <v>68</v>
      </c>
      <c r="AL197" s="177"/>
      <c r="AM197" s="293">
        <v>2</v>
      </c>
      <c r="AN197" s="174">
        <v>1</v>
      </c>
      <c r="AO197" s="174"/>
      <c r="AP197" s="174">
        <v>7</v>
      </c>
      <c r="AQ197" s="175">
        <v>3</v>
      </c>
      <c r="AR197" s="176"/>
      <c r="AS197" s="283">
        <v>9</v>
      </c>
      <c r="AT197" s="283">
        <v>67</v>
      </c>
      <c r="AU197" s="177"/>
      <c r="AV197" s="293"/>
      <c r="AW197" s="174"/>
      <c r="AX197" s="174"/>
      <c r="AY197" s="174"/>
      <c r="AZ197" s="175"/>
      <c r="BA197" s="176"/>
      <c r="BB197" s="283"/>
      <c r="BC197" s="283"/>
      <c r="BD197" s="177"/>
      <c r="BE197" s="293"/>
      <c r="BF197" s="174"/>
      <c r="BG197" s="174">
        <v>2</v>
      </c>
      <c r="BH197" s="174"/>
      <c r="BI197" s="175">
        <v>1</v>
      </c>
      <c r="BJ197" s="176"/>
      <c r="BK197" s="283">
        <v>1</v>
      </c>
      <c r="BL197" s="283"/>
      <c r="BM197" s="177"/>
      <c r="BN197" s="293">
        <v>13</v>
      </c>
      <c r="BO197" s="174">
        <v>28</v>
      </c>
      <c r="BP197" s="174">
        <v>31</v>
      </c>
      <c r="BQ197" s="174">
        <v>9</v>
      </c>
      <c r="BR197" s="175">
        <v>27</v>
      </c>
      <c r="BS197" s="176">
        <v>22</v>
      </c>
      <c r="BT197" s="283">
        <v>30</v>
      </c>
      <c r="BU197" s="283">
        <v>34</v>
      </c>
      <c r="BV197" s="177"/>
      <c r="BW197" s="293"/>
      <c r="BX197" s="174"/>
      <c r="BY197" s="174"/>
      <c r="BZ197" s="174">
        <v>3</v>
      </c>
      <c r="CA197" s="175">
        <v>1</v>
      </c>
      <c r="CB197" s="176"/>
      <c r="CC197" s="283"/>
      <c r="CD197" s="283">
        <v>1</v>
      </c>
      <c r="CE197" s="177"/>
      <c r="CF197" s="293">
        <v>1</v>
      </c>
      <c r="CG197" s="174">
        <v>3</v>
      </c>
      <c r="CH197" s="174">
        <v>1</v>
      </c>
      <c r="CI197" s="174"/>
      <c r="CJ197" s="175">
        <v>1</v>
      </c>
      <c r="CK197" s="176">
        <v>1</v>
      </c>
      <c r="CL197" s="283"/>
      <c r="CM197" s="283"/>
      <c r="CN197" s="177"/>
      <c r="CO197" s="293">
        <v>12</v>
      </c>
      <c r="CP197" s="174">
        <v>9</v>
      </c>
      <c r="CQ197" s="174">
        <v>7</v>
      </c>
      <c r="CR197" s="174">
        <v>16</v>
      </c>
      <c r="CS197" s="175">
        <v>20</v>
      </c>
      <c r="CT197" s="176">
        <v>11</v>
      </c>
      <c r="CU197" s="283">
        <v>25</v>
      </c>
      <c r="CV197" s="283">
        <v>19</v>
      </c>
      <c r="CW197" s="177"/>
      <c r="CX197" s="293">
        <v>4</v>
      </c>
      <c r="CY197" s="174">
        <v>3</v>
      </c>
      <c r="CZ197" s="174">
        <v>5</v>
      </c>
      <c r="DA197" s="174">
        <v>27</v>
      </c>
      <c r="DB197" s="175">
        <v>10</v>
      </c>
      <c r="DC197" s="176">
        <v>6</v>
      </c>
      <c r="DD197" s="283">
        <v>7</v>
      </c>
      <c r="DE197" s="283">
        <v>38</v>
      </c>
      <c r="DF197" s="177"/>
      <c r="DG197" s="293"/>
      <c r="DH197" s="174"/>
      <c r="DI197" s="174">
        <v>2</v>
      </c>
      <c r="DJ197" s="174"/>
      <c r="DK197" s="175"/>
      <c r="DL197" s="176"/>
      <c r="DM197" s="283"/>
      <c r="DN197" s="283">
        <v>1</v>
      </c>
      <c r="DO197" s="177"/>
      <c r="DP197" s="293"/>
      <c r="DQ197" s="174"/>
      <c r="DR197" s="174"/>
      <c r="DS197" s="174">
        <v>1</v>
      </c>
      <c r="DT197" s="175"/>
      <c r="DU197" s="176">
        <v>2</v>
      </c>
      <c r="DV197" s="283"/>
      <c r="DW197" s="283"/>
      <c r="DX197" s="177"/>
      <c r="DY197" s="293"/>
      <c r="DZ197" s="174">
        <v>1</v>
      </c>
      <c r="EA197" s="174"/>
      <c r="EB197" s="174"/>
      <c r="EC197" s="175">
        <v>2</v>
      </c>
      <c r="ED197" s="176"/>
      <c r="EE197" s="283">
        <v>2</v>
      </c>
      <c r="EF197" s="283">
        <v>4</v>
      </c>
      <c r="EG197" s="177"/>
      <c r="EH197" s="293">
        <v>2</v>
      </c>
      <c r="EI197" s="174"/>
      <c r="EJ197" s="174">
        <v>9</v>
      </c>
      <c r="EK197" s="174">
        <v>12</v>
      </c>
      <c r="EL197" s="175">
        <v>3</v>
      </c>
      <c r="EM197" s="176"/>
      <c r="EN197" s="283">
        <v>9</v>
      </c>
      <c r="EO197" s="283"/>
      <c r="EP197" s="177"/>
      <c r="EQ197" s="293">
        <v>1</v>
      </c>
      <c r="ER197" s="174"/>
      <c r="ES197" s="174"/>
      <c r="ET197" s="174">
        <v>1</v>
      </c>
      <c r="EU197" s="175">
        <v>5</v>
      </c>
      <c r="EV197" s="176"/>
      <c r="EW197" s="283"/>
      <c r="EX197" s="283"/>
      <c r="EY197" s="177"/>
      <c r="EZ197" s="293">
        <v>1</v>
      </c>
      <c r="FA197" s="174">
        <v>12</v>
      </c>
      <c r="FB197" s="174">
        <v>1</v>
      </c>
      <c r="FC197" s="174"/>
      <c r="FD197" s="175">
        <v>5</v>
      </c>
      <c r="FE197" s="176">
        <v>1</v>
      </c>
      <c r="FF197" s="283">
        <v>2</v>
      </c>
      <c r="FG197" s="283">
        <v>3</v>
      </c>
      <c r="FH197" s="177"/>
      <c r="FI197" s="293">
        <v>3</v>
      </c>
      <c r="FJ197" s="174"/>
      <c r="FK197" s="174"/>
      <c r="FL197" s="174">
        <v>4</v>
      </c>
      <c r="FM197" s="175">
        <v>2</v>
      </c>
      <c r="FN197" s="176"/>
      <c r="FO197" s="283"/>
      <c r="FP197" s="283"/>
      <c r="FQ197" s="177"/>
      <c r="FR197" s="293">
        <v>1</v>
      </c>
      <c r="FS197" s="174">
        <v>6</v>
      </c>
      <c r="FT197" s="174"/>
      <c r="FU197" s="174">
        <v>3</v>
      </c>
      <c r="FV197" s="175">
        <v>4</v>
      </c>
      <c r="FW197" s="176">
        <v>1</v>
      </c>
      <c r="FX197" s="283">
        <v>1</v>
      </c>
      <c r="FY197" s="283"/>
      <c r="FZ197" s="177"/>
      <c r="GA197" s="293"/>
      <c r="GB197" s="174"/>
      <c r="GC197" s="174"/>
      <c r="GD197" s="174">
        <v>4</v>
      </c>
      <c r="GE197" s="175"/>
      <c r="GF197" s="176"/>
      <c r="GG197" s="283"/>
      <c r="GH197" s="283"/>
      <c r="GI197" s="177"/>
      <c r="GJ197" s="293">
        <v>51</v>
      </c>
      <c r="GK197" s="174">
        <v>65</v>
      </c>
      <c r="GL197" s="174">
        <v>59</v>
      </c>
      <c r="GM197" s="174">
        <v>94</v>
      </c>
      <c r="GN197" s="175">
        <v>89</v>
      </c>
      <c r="GO197" s="176">
        <v>44</v>
      </c>
      <c r="GP197" s="283">
        <v>85</v>
      </c>
      <c r="GQ197" s="283">
        <v>168</v>
      </c>
      <c r="GR197" s="177"/>
      <c r="GS197" s="293">
        <v>10</v>
      </c>
      <c r="GT197" s="174">
        <v>9</v>
      </c>
      <c r="GU197" s="174">
        <v>7</v>
      </c>
      <c r="GV197" s="174">
        <v>40</v>
      </c>
      <c r="GW197" s="175">
        <v>23</v>
      </c>
      <c r="GX197" s="176">
        <v>18</v>
      </c>
      <c r="GY197" s="283">
        <v>21</v>
      </c>
      <c r="GZ197" s="283">
        <v>52</v>
      </c>
      <c r="HA197" s="177"/>
      <c r="HB197" s="293"/>
      <c r="HC197" s="174"/>
      <c r="HD197" s="174"/>
      <c r="HE197" s="174"/>
      <c r="HF197" s="175"/>
      <c r="HG197" s="176"/>
      <c r="HH197" s="283"/>
      <c r="HI197" s="283"/>
      <c r="HJ197" s="177"/>
      <c r="HK197" s="293"/>
      <c r="HL197" s="174"/>
      <c r="HM197" s="174"/>
      <c r="HN197" s="174"/>
      <c r="HO197" s="175"/>
      <c r="HP197" s="176"/>
      <c r="HQ197" s="283"/>
      <c r="HR197" s="283"/>
      <c r="HS197" s="177"/>
      <c r="HT197" s="293">
        <v>18</v>
      </c>
      <c r="HU197" s="174">
        <v>14</v>
      </c>
      <c r="HV197" s="174">
        <v>14</v>
      </c>
      <c r="HW197" s="174">
        <v>2948</v>
      </c>
      <c r="HX197" s="175">
        <v>44</v>
      </c>
      <c r="HY197" s="176">
        <v>35</v>
      </c>
      <c r="HZ197" s="283">
        <v>30</v>
      </c>
      <c r="IA197" s="283">
        <v>81</v>
      </c>
      <c r="IB197" s="177"/>
      <c r="IC197" s="293">
        <v>722</v>
      </c>
      <c r="ID197" s="174">
        <v>259</v>
      </c>
      <c r="IE197" s="174">
        <v>548</v>
      </c>
      <c r="IF197" s="174">
        <v>3400</v>
      </c>
      <c r="IG197" s="175">
        <v>3668</v>
      </c>
      <c r="IH197" s="176">
        <v>1387</v>
      </c>
      <c r="II197" s="283">
        <v>24305</v>
      </c>
      <c r="IJ197" s="283">
        <v>1775</v>
      </c>
      <c r="IK197" s="177"/>
    </row>
    <row r="198" spans="1:245" ht="13.5" thickBot="1" x14ac:dyDescent="0.25">
      <c r="A198" s="292" t="s">
        <v>615</v>
      </c>
      <c r="B198" s="200" t="s">
        <v>615</v>
      </c>
      <c r="C198" s="293"/>
      <c r="D198" s="174"/>
      <c r="E198" s="174"/>
      <c r="F198" s="174"/>
      <c r="G198" s="175"/>
      <c r="H198" s="176"/>
      <c r="I198" s="283"/>
      <c r="J198" s="283"/>
      <c r="K198" s="177"/>
      <c r="L198" s="293"/>
      <c r="M198" s="174"/>
      <c r="N198" s="174"/>
      <c r="O198" s="174"/>
      <c r="P198" s="175"/>
      <c r="Q198" s="176"/>
      <c r="R198" s="283"/>
      <c r="S198" s="283"/>
      <c r="T198" s="177"/>
      <c r="U198" s="293"/>
      <c r="V198" s="174"/>
      <c r="W198" s="174"/>
      <c r="X198" s="174"/>
      <c r="Y198" s="175"/>
      <c r="Z198" s="176"/>
      <c r="AA198" s="283"/>
      <c r="AB198" s="283"/>
      <c r="AC198" s="177"/>
      <c r="AD198" s="293"/>
      <c r="AE198" s="174"/>
      <c r="AF198" s="174"/>
      <c r="AG198" s="174"/>
      <c r="AH198" s="175"/>
      <c r="AI198" s="176"/>
      <c r="AJ198" s="283"/>
      <c r="AK198" s="283"/>
      <c r="AL198" s="177"/>
      <c r="AM198" s="293"/>
      <c r="AN198" s="174"/>
      <c r="AO198" s="174"/>
      <c r="AP198" s="174"/>
      <c r="AQ198" s="175"/>
      <c r="AR198" s="176"/>
      <c r="AS198" s="283"/>
      <c r="AT198" s="283"/>
      <c r="AU198" s="177"/>
      <c r="AV198" s="293"/>
      <c r="AW198" s="174"/>
      <c r="AX198" s="174"/>
      <c r="AY198" s="174"/>
      <c r="AZ198" s="175"/>
      <c r="BA198" s="176"/>
      <c r="BB198" s="283"/>
      <c r="BC198" s="283"/>
      <c r="BD198" s="177"/>
      <c r="BE198" s="293"/>
      <c r="BF198" s="174"/>
      <c r="BG198" s="174"/>
      <c r="BH198" s="174"/>
      <c r="BI198" s="175"/>
      <c r="BJ198" s="176"/>
      <c r="BK198" s="283"/>
      <c r="BL198" s="283"/>
      <c r="BM198" s="177"/>
      <c r="BN198" s="293"/>
      <c r="BO198" s="174"/>
      <c r="BP198" s="174"/>
      <c r="BQ198" s="174"/>
      <c r="BR198" s="175"/>
      <c r="BS198" s="176"/>
      <c r="BT198" s="283"/>
      <c r="BU198" s="283"/>
      <c r="BV198" s="177"/>
      <c r="BW198" s="293"/>
      <c r="BX198" s="174"/>
      <c r="BY198" s="174"/>
      <c r="BZ198" s="174"/>
      <c r="CA198" s="175"/>
      <c r="CB198" s="176"/>
      <c r="CC198" s="283"/>
      <c r="CD198" s="283"/>
      <c r="CE198" s="177"/>
      <c r="CF198" s="293"/>
      <c r="CG198" s="174"/>
      <c r="CH198" s="174"/>
      <c r="CI198" s="174"/>
      <c r="CJ198" s="175"/>
      <c r="CK198" s="176"/>
      <c r="CL198" s="283"/>
      <c r="CM198" s="283"/>
      <c r="CN198" s="177"/>
      <c r="CO198" s="293"/>
      <c r="CP198" s="174"/>
      <c r="CQ198" s="174"/>
      <c r="CR198" s="174"/>
      <c r="CS198" s="175"/>
      <c r="CT198" s="176"/>
      <c r="CU198" s="283"/>
      <c r="CV198" s="283"/>
      <c r="CW198" s="177"/>
      <c r="CX198" s="293"/>
      <c r="CY198" s="174"/>
      <c r="CZ198" s="174"/>
      <c r="DA198" s="174">
        <v>2</v>
      </c>
      <c r="DB198" s="175"/>
      <c r="DC198" s="176"/>
      <c r="DD198" s="283"/>
      <c r="DE198" s="283"/>
      <c r="DF198" s="177"/>
      <c r="DG198" s="293"/>
      <c r="DH198" s="174"/>
      <c r="DI198" s="174"/>
      <c r="DJ198" s="174"/>
      <c r="DK198" s="175"/>
      <c r="DL198" s="176"/>
      <c r="DM198" s="283"/>
      <c r="DN198" s="283"/>
      <c r="DO198" s="177"/>
      <c r="DP198" s="293"/>
      <c r="DQ198" s="174"/>
      <c r="DR198" s="174"/>
      <c r="DS198" s="174"/>
      <c r="DT198" s="175"/>
      <c r="DU198" s="176"/>
      <c r="DV198" s="283"/>
      <c r="DW198" s="283"/>
      <c r="DX198" s="177"/>
      <c r="DY198" s="293"/>
      <c r="DZ198" s="174"/>
      <c r="EA198" s="174"/>
      <c r="EB198" s="174"/>
      <c r="EC198" s="175"/>
      <c r="ED198" s="176"/>
      <c r="EE198" s="283"/>
      <c r="EF198" s="283"/>
      <c r="EG198" s="177"/>
      <c r="EH198" s="293"/>
      <c r="EI198" s="174"/>
      <c r="EJ198" s="174"/>
      <c r="EK198" s="174">
        <v>11</v>
      </c>
      <c r="EL198" s="175"/>
      <c r="EM198" s="176"/>
      <c r="EN198" s="283"/>
      <c r="EO198" s="283"/>
      <c r="EP198" s="177"/>
      <c r="EQ198" s="293"/>
      <c r="ER198" s="174"/>
      <c r="ES198" s="174"/>
      <c r="ET198" s="174"/>
      <c r="EU198" s="175"/>
      <c r="EV198" s="176"/>
      <c r="EW198" s="283"/>
      <c r="EX198" s="283"/>
      <c r="EY198" s="177"/>
      <c r="EZ198" s="293"/>
      <c r="FA198" s="174"/>
      <c r="FB198" s="174"/>
      <c r="FC198" s="174"/>
      <c r="FD198" s="175"/>
      <c r="FE198" s="176"/>
      <c r="FF198" s="283"/>
      <c r="FG198" s="283"/>
      <c r="FH198" s="177"/>
      <c r="FI198" s="293"/>
      <c r="FJ198" s="174"/>
      <c r="FK198" s="174"/>
      <c r="FL198" s="174"/>
      <c r="FM198" s="175"/>
      <c r="FN198" s="176"/>
      <c r="FO198" s="283"/>
      <c r="FP198" s="283"/>
      <c r="FQ198" s="177"/>
      <c r="FR198" s="293"/>
      <c r="FS198" s="174"/>
      <c r="FT198" s="174"/>
      <c r="FU198" s="174"/>
      <c r="FV198" s="175"/>
      <c r="FW198" s="176"/>
      <c r="FX198" s="283"/>
      <c r="FY198" s="283"/>
      <c r="FZ198" s="177"/>
      <c r="GA198" s="293"/>
      <c r="GB198" s="174"/>
      <c r="GC198" s="174"/>
      <c r="GD198" s="174">
        <v>1</v>
      </c>
      <c r="GE198" s="175"/>
      <c r="GF198" s="176"/>
      <c r="GG198" s="283"/>
      <c r="GH198" s="283"/>
      <c r="GI198" s="177"/>
      <c r="GJ198" s="293"/>
      <c r="GK198" s="174"/>
      <c r="GL198" s="174"/>
      <c r="GM198" s="174">
        <v>14</v>
      </c>
      <c r="GN198" s="175"/>
      <c r="GO198" s="176"/>
      <c r="GP198" s="283"/>
      <c r="GQ198" s="283"/>
      <c r="GR198" s="177"/>
      <c r="GS198" s="293"/>
      <c r="GT198" s="174"/>
      <c r="GU198" s="174"/>
      <c r="GV198" s="174">
        <v>2</v>
      </c>
      <c r="GW198" s="175"/>
      <c r="GX198" s="176"/>
      <c r="GY198" s="283"/>
      <c r="GZ198" s="283"/>
      <c r="HA198" s="177"/>
      <c r="HB198" s="293"/>
      <c r="HC198" s="174"/>
      <c r="HD198" s="174"/>
      <c r="HE198" s="174"/>
      <c r="HF198" s="175"/>
      <c r="HG198" s="176"/>
      <c r="HH198" s="283"/>
      <c r="HI198" s="283"/>
      <c r="HJ198" s="177"/>
      <c r="HK198" s="293"/>
      <c r="HL198" s="174"/>
      <c r="HM198" s="174"/>
      <c r="HN198" s="174"/>
      <c r="HO198" s="175"/>
      <c r="HP198" s="176"/>
      <c r="HQ198" s="283"/>
      <c r="HR198" s="283"/>
      <c r="HS198" s="177"/>
      <c r="HT198" s="293"/>
      <c r="HU198" s="174"/>
      <c r="HV198" s="174"/>
      <c r="HW198" s="174">
        <v>3</v>
      </c>
      <c r="HX198" s="175"/>
      <c r="HY198" s="176"/>
      <c r="HZ198" s="283"/>
      <c r="IA198" s="283"/>
      <c r="IB198" s="177"/>
      <c r="IC198" s="293"/>
      <c r="ID198" s="174"/>
      <c r="IE198" s="174"/>
      <c r="IF198" s="174">
        <v>45</v>
      </c>
      <c r="IG198" s="175"/>
      <c r="IH198" s="176"/>
      <c r="II198" s="283"/>
      <c r="IJ198" s="283"/>
      <c r="IK198" s="177"/>
    </row>
    <row r="199" spans="1:245" ht="13.5" thickBot="1" x14ac:dyDescent="0.25">
      <c r="A199" s="292" t="s">
        <v>616</v>
      </c>
      <c r="B199" s="200" t="s">
        <v>830</v>
      </c>
      <c r="C199" s="293"/>
      <c r="D199" s="174"/>
      <c r="E199" s="174"/>
      <c r="F199" s="174"/>
      <c r="G199" s="176"/>
      <c r="H199" s="176"/>
      <c r="I199" s="283"/>
      <c r="J199" s="283"/>
      <c r="K199" s="177"/>
      <c r="L199" s="293"/>
      <c r="M199" s="174"/>
      <c r="N199" s="174"/>
      <c r="O199" s="174"/>
      <c r="P199" s="176"/>
      <c r="Q199" s="176"/>
      <c r="R199" s="283"/>
      <c r="S199" s="283"/>
      <c r="T199" s="177"/>
      <c r="U199" s="293"/>
      <c r="V199" s="174"/>
      <c r="W199" s="174"/>
      <c r="X199" s="174"/>
      <c r="Y199" s="176"/>
      <c r="Z199" s="176"/>
      <c r="AA199" s="283"/>
      <c r="AB199" s="283"/>
      <c r="AC199" s="177"/>
      <c r="AD199" s="293">
        <v>4</v>
      </c>
      <c r="AE199" s="174">
        <v>4</v>
      </c>
      <c r="AF199" s="174"/>
      <c r="AG199" s="174">
        <v>1</v>
      </c>
      <c r="AH199" s="176">
        <v>4</v>
      </c>
      <c r="AI199" s="176">
        <v>3</v>
      </c>
      <c r="AJ199" s="283">
        <v>1</v>
      </c>
      <c r="AK199" s="283">
        <v>2</v>
      </c>
      <c r="AL199" s="177"/>
      <c r="AM199" s="293">
        <v>3</v>
      </c>
      <c r="AN199" s="174"/>
      <c r="AO199" s="174"/>
      <c r="AP199" s="174"/>
      <c r="AQ199" s="176">
        <v>1</v>
      </c>
      <c r="AR199" s="176">
        <v>2</v>
      </c>
      <c r="AS199" s="283"/>
      <c r="AT199" s="283"/>
      <c r="AU199" s="177"/>
      <c r="AV199" s="293"/>
      <c r="AW199" s="174"/>
      <c r="AX199" s="174"/>
      <c r="AY199" s="174"/>
      <c r="AZ199" s="176"/>
      <c r="BA199" s="176"/>
      <c r="BB199" s="283"/>
      <c r="BC199" s="283"/>
      <c r="BD199" s="177"/>
      <c r="BE199" s="293"/>
      <c r="BF199" s="174"/>
      <c r="BG199" s="174"/>
      <c r="BH199" s="174"/>
      <c r="BI199" s="176"/>
      <c r="BJ199" s="176"/>
      <c r="BK199" s="283"/>
      <c r="BL199" s="283"/>
      <c r="BM199" s="177"/>
      <c r="BN199" s="293">
        <v>5</v>
      </c>
      <c r="BO199" s="174">
        <v>1</v>
      </c>
      <c r="BP199" s="174">
        <v>1</v>
      </c>
      <c r="BQ199" s="174"/>
      <c r="BR199" s="176">
        <v>1</v>
      </c>
      <c r="BS199" s="176">
        <v>3</v>
      </c>
      <c r="BT199" s="283">
        <v>1</v>
      </c>
      <c r="BU199" s="283">
        <v>1</v>
      </c>
      <c r="BV199" s="177"/>
      <c r="BW199" s="293">
        <v>8</v>
      </c>
      <c r="BX199" s="174">
        <v>3</v>
      </c>
      <c r="BY199" s="174">
        <v>4</v>
      </c>
      <c r="BZ199" s="174">
        <v>5</v>
      </c>
      <c r="CA199" s="176">
        <v>4</v>
      </c>
      <c r="CB199" s="176">
        <v>5</v>
      </c>
      <c r="CC199" s="283">
        <v>4</v>
      </c>
      <c r="CD199" s="283">
        <v>11</v>
      </c>
      <c r="CE199" s="177"/>
      <c r="CF199" s="293"/>
      <c r="CG199" s="174"/>
      <c r="CH199" s="174"/>
      <c r="CI199" s="174"/>
      <c r="CJ199" s="176"/>
      <c r="CK199" s="176"/>
      <c r="CL199" s="283"/>
      <c r="CM199" s="283"/>
      <c r="CN199" s="177"/>
      <c r="CO199" s="293">
        <v>1</v>
      </c>
      <c r="CP199" s="174"/>
      <c r="CQ199" s="174"/>
      <c r="CR199" s="174"/>
      <c r="CS199" s="176"/>
      <c r="CT199" s="176">
        <v>7</v>
      </c>
      <c r="CU199" s="283">
        <v>1</v>
      </c>
      <c r="CV199" s="283">
        <v>1</v>
      </c>
      <c r="CW199" s="177"/>
      <c r="CX199" s="293">
        <v>377</v>
      </c>
      <c r="CY199" s="174">
        <v>85</v>
      </c>
      <c r="CZ199" s="174">
        <v>227</v>
      </c>
      <c r="DA199" s="174">
        <v>138</v>
      </c>
      <c r="DB199" s="176">
        <v>95</v>
      </c>
      <c r="DC199" s="176">
        <v>77</v>
      </c>
      <c r="DD199" s="283">
        <v>105</v>
      </c>
      <c r="DE199" s="283">
        <v>223</v>
      </c>
      <c r="DF199" s="177"/>
      <c r="DG199" s="293">
        <v>4</v>
      </c>
      <c r="DH199" s="174"/>
      <c r="DI199" s="174"/>
      <c r="DJ199" s="174">
        <v>1</v>
      </c>
      <c r="DK199" s="176"/>
      <c r="DL199" s="176"/>
      <c r="DM199" s="283"/>
      <c r="DN199" s="283"/>
      <c r="DO199" s="177"/>
      <c r="DP199" s="293">
        <v>1</v>
      </c>
      <c r="DQ199" s="174"/>
      <c r="DR199" s="174"/>
      <c r="DS199" s="174"/>
      <c r="DT199" s="176"/>
      <c r="DU199" s="176"/>
      <c r="DV199" s="283"/>
      <c r="DW199" s="283"/>
      <c r="DX199" s="177"/>
      <c r="DY199" s="293"/>
      <c r="DZ199" s="174"/>
      <c r="EA199" s="174"/>
      <c r="EB199" s="174"/>
      <c r="EC199" s="176"/>
      <c r="ED199" s="176"/>
      <c r="EE199" s="283"/>
      <c r="EF199" s="283"/>
      <c r="EG199" s="177"/>
      <c r="EH199" s="293"/>
      <c r="EI199" s="174"/>
      <c r="EJ199" s="174">
        <v>1</v>
      </c>
      <c r="EK199" s="174"/>
      <c r="EL199" s="176"/>
      <c r="EM199" s="176"/>
      <c r="EN199" s="283"/>
      <c r="EO199" s="283"/>
      <c r="EP199" s="177"/>
      <c r="EQ199" s="293"/>
      <c r="ER199" s="174"/>
      <c r="ES199" s="174">
        <v>1</v>
      </c>
      <c r="ET199" s="174"/>
      <c r="EU199" s="176">
        <v>1</v>
      </c>
      <c r="EV199" s="176"/>
      <c r="EW199" s="283"/>
      <c r="EX199" s="283"/>
      <c r="EY199" s="177"/>
      <c r="EZ199" s="293"/>
      <c r="FA199" s="174"/>
      <c r="FB199" s="174"/>
      <c r="FC199" s="174"/>
      <c r="FD199" s="176"/>
      <c r="FE199" s="176"/>
      <c r="FF199" s="283"/>
      <c r="FG199" s="283"/>
      <c r="FH199" s="177"/>
      <c r="FI199" s="293">
        <v>11</v>
      </c>
      <c r="FJ199" s="174">
        <v>2</v>
      </c>
      <c r="FK199" s="174">
        <v>2</v>
      </c>
      <c r="FL199" s="174">
        <v>1</v>
      </c>
      <c r="FM199" s="176"/>
      <c r="FN199" s="176">
        <v>2</v>
      </c>
      <c r="FO199" s="283"/>
      <c r="FP199" s="283">
        <v>1</v>
      </c>
      <c r="FQ199" s="177"/>
      <c r="FR199" s="293">
        <v>4</v>
      </c>
      <c r="FS199" s="174">
        <v>1</v>
      </c>
      <c r="FT199" s="174">
        <v>4</v>
      </c>
      <c r="FU199" s="174">
        <v>1</v>
      </c>
      <c r="FV199" s="176">
        <v>21</v>
      </c>
      <c r="FW199" s="176"/>
      <c r="FX199" s="283"/>
      <c r="FY199" s="283"/>
      <c r="FZ199" s="177"/>
      <c r="GA199" s="293"/>
      <c r="GB199" s="174"/>
      <c r="GC199" s="174"/>
      <c r="GD199" s="174"/>
      <c r="GE199" s="176"/>
      <c r="GF199" s="176">
        <v>1</v>
      </c>
      <c r="GG199" s="283"/>
      <c r="GH199" s="283"/>
      <c r="GI199" s="177"/>
      <c r="GJ199" s="293">
        <v>410</v>
      </c>
      <c r="GK199" s="174">
        <v>96</v>
      </c>
      <c r="GL199" s="174">
        <v>240</v>
      </c>
      <c r="GM199" s="174">
        <v>146</v>
      </c>
      <c r="GN199" s="176">
        <v>126</v>
      </c>
      <c r="GO199" s="176">
        <v>98</v>
      </c>
      <c r="GP199" s="283">
        <v>112</v>
      </c>
      <c r="GQ199" s="283">
        <v>239</v>
      </c>
      <c r="GR199" s="177"/>
      <c r="GS199" s="293">
        <v>391</v>
      </c>
      <c r="GT199" s="174">
        <v>89</v>
      </c>
      <c r="GU199" s="174">
        <v>227</v>
      </c>
      <c r="GV199" s="174">
        <v>130</v>
      </c>
      <c r="GW199" s="176">
        <v>31</v>
      </c>
      <c r="GX199" s="176">
        <v>26</v>
      </c>
      <c r="GY199" s="283">
        <v>43</v>
      </c>
      <c r="GZ199" s="283">
        <v>13</v>
      </c>
      <c r="HA199" s="177"/>
      <c r="HB199" s="293"/>
      <c r="HC199" s="174"/>
      <c r="HD199" s="174"/>
      <c r="HE199" s="174"/>
      <c r="HF199" s="176"/>
      <c r="HG199" s="176">
        <v>1</v>
      </c>
      <c r="HH199" s="283"/>
      <c r="HI199" s="283">
        <v>1</v>
      </c>
      <c r="HJ199" s="177"/>
      <c r="HK199" s="293"/>
      <c r="HL199" s="174"/>
      <c r="HM199" s="174"/>
      <c r="HN199" s="174"/>
      <c r="HO199" s="176"/>
      <c r="HP199" s="176"/>
      <c r="HQ199" s="283"/>
      <c r="HR199" s="283"/>
      <c r="HS199" s="177"/>
      <c r="HT199" s="293">
        <v>575</v>
      </c>
      <c r="HU199" s="174">
        <v>93</v>
      </c>
      <c r="HV199" s="174">
        <v>236</v>
      </c>
      <c r="HW199" s="174">
        <v>190</v>
      </c>
      <c r="HX199" s="176">
        <v>92</v>
      </c>
      <c r="HY199" s="176">
        <v>59</v>
      </c>
      <c r="HZ199" s="283">
        <v>66</v>
      </c>
      <c r="IA199" s="283">
        <v>34</v>
      </c>
      <c r="IB199" s="177"/>
      <c r="IC199" s="293">
        <v>829</v>
      </c>
      <c r="ID199" s="174">
        <v>258</v>
      </c>
      <c r="IE199" s="174">
        <v>728</v>
      </c>
      <c r="IF199" s="174">
        <v>374</v>
      </c>
      <c r="IG199" s="176">
        <v>334</v>
      </c>
      <c r="IH199" s="176">
        <v>340</v>
      </c>
      <c r="II199" s="283">
        <v>422</v>
      </c>
      <c r="IJ199" s="283">
        <v>538</v>
      </c>
      <c r="IK199" s="177"/>
    </row>
    <row r="200" spans="1:245" ht="13.5" thickBot="1" x14ac:dyDescent="0.25">
      <c r="A200" s="344" t="s">
        <v>1072</v>
      </c>
      <c r="B200" s="344" t="s">
        <v>1072</v>
      </c>
      <c r="C200" s="294">
        <v>306</v>
      </c>
      <c r="D200" s="178">
        <v>323</v>
      </c>
      <c r="E200" s="178">
        <v>239</v>
      </c>
      <c r="F200" s="178">
        <v>257</v>
      </c>
      <c r="G200" s="179">
        <v>253</v>
      </c>
      <c r="H200" s="179">
        <v>202</v>
      </c>
      <c r="I200" s="284">
        <v>219</v>
      </c>
      <c r="J200" s="284">
        <v>175</v>
      </c>
      <c r="K200" s="180"/>
      <c r="L200" s="294">
        <v>130</v>
      </c>
      <c r="M200" s="178">
        <v>140</v>
      </c>
      <c r="N200" s="178">
        <v>110</v>
      </c>
      <c r="O200" s="178">
        <v>133</v>
      </c>
      <c r="P200" s="179">
        <v>126</v>
      </c>
      <c r="Q200" s="179">
        <v>96</v>
      </c>
      <c r="R200" s="284">
        <v>96</v>
      </c>
      <c r="S200" s="284">
        <v>90</v>
      </c>
      <c r="T200" s="180"/>
      <c r="U200" s="294">
        <v>140</v>
      </c>
      <c r="V200" s="178">
        <v>130</v>
      </c>
      <c r="W200" s="178">
        <v>108</v>
      </c>
      <c r="X200" s="178">
        <v>103</v>
      </c>
      <c r="Y200" s="179">
        <v>105</v>
      </c>
      <c r="Z200" s="179">
        <v>86</v>
      </c>
      <c r="AA200" s="284">
        <v>96</v>
      </c>
      <c r="AB200" s="284">
        <v>69</v>
      </c>
      <c r="AC200" s="180"/>
      <c r="AD200" s="294">
        <v>14391</v>
      </c>
      <c r="AE200" s="178">
        <v>14088</v>
      </c>
      <c r="AF200" s="178">
        <v>13846</v>
      </c>
      <c r="AG200" s="178">
        <v>13220</v>
      </c>
      <c r="AH200" s="179">
        <v>13304</v>
      </c>
      <c r="AI200" s="179">
        <v>12472</v>
      </c>
      <c r="AJ200" s="284">
        <v>11494</v>
      </c>
      <c r="AK200" s="284">
        <v>10596</v>
      </c>
      <c r="AL200" s="180"/>
      <c r="AM200" s="294">
        <v>8075</v>
      </c>
      <c r="AN200" s="178">
        <v>7010</v>
      </c>
      <c r="AO200" s="178">
        <v>6848</v>
      </c>
      <c r="AP200" s="178">
        <v>7184</v>
      </c>
      <c r="AQ200" s="179">
        <v>6518</v>
      </c>
      <c r="AR200" s="179">
        <v>6145</v>
      </c>
      <c r="AS200" s="284">
        <v>5537</v>
      </c>
      <c r="AT200" s="284">
        <v>5024</v>
      </c>
      <c r="AU200" s="180"/>
      <c r="AV200" s="294">
        <v>34</v>
      </c>
      <c r="AW200" s="178">
        <v>29</v>
      </c>
      <c r="AX200" s="178">
        <v>19</v>
      </c>
      <c r="AY200" s="178">
        <v>21</v>
      </c>
      <c r="AZ200" s="179">
        <v>22</v>
      </c>
      <c r="BA200" s="179">
        <v>14</v>
      </c>
      <c r="BB200" s="284">
        <v>23</v>
      </c>
      <c r="BC200" s="284">
        <v>21</v>
      </c>
      <c r="BD200" s="180"/>
      <c r="BE200" s="294">
        <v>1962</v>
      </c>
      <c r="BF200" s="178">
        <v>2014</v>
      </c>
      <c r="BG200" s="178">
        <v>1690</v>
      </c>
      <c r="BH200" s="178">
        <v>1567</v>
      </c>
      <c r="BI200" s="179">
        <v>1478</v>
      </c>
      <c r="BJ200" s="179">
        <v>1603</v>
      </c>
      <c r="BK200" s="284">
        <v>1415</v>
      </c>
      <c r="BL200" s="284">
        <v>1244</v>
      </c>
      <c r="BM200" s="180"/>
      <c r="BN200" s="294">
        <v>152</v>
      </c>
      <c r="BO200" s="178">
        <v>153</v>
      </c>
      <c r="BP200" s="178">
        <v>188</v>
      </c>
      <c r="BQ200" s="178">
        <v>244</v>
      </c>
      <c r="BR200" s="179">
        <v>360</v>
      </c>
      <c r="BS200" s="179">
        <v>657</v>
      </c>
      <c r="BT200" s="284">
        <v>349</v>
      </c>
      <c r="BU200" s="284">
        <v>178</v>
      </c>
      <c r="BV200" s="180"/>
      <c r="BW200" s="294">
        <v>13204</v>
      </c>
      <c r="BX200" s="178">
        <v>12674</v>
      </c>
      <c r="BY200" s="178">
        <v>12806</v>
      </c>
      <c r="BZ200" s="178">
        <v>12970</v>
      </c>
      <c r="CA200" s="179">
        <v>13533</v>
      </c>
      <c r="CB200" s="179">
        <v>12622</v>
      </c>
      <c r="CC200" s="284">
        <v>11451</v>
      </c>
      <c r="CD200" s="284">
        <v>10477</v>
      </c>
      <c r="CE200" s="180"/>
      <c r="CF200" s="294">
        <v>804</v>
      </c>
      <c r="CG200" s="178">
        <v>698</v>
      </c>
      <c r="CH200" s="178">
        <v>633</v>
      </c>
      <c r="CI200" s="178">
        <v>595</v>
      </c>
      <c r="CJ200" s="179">
        <v>546</v>
      </c>
      <c r="CK200" s="179">
        <v>498</v>
      </c>
      <c r="CL200" s="284">
        <v>401</v>
      </c>
      <c r="CM200" s="284">
        <v>345</v>
      </c>
      <c r="CN200" s="180"/>
      <c r="CO200" s="294">
        <v>699</v>
      </c>
      <c r="CP200" s="178">
        <v>639</v>
      </c>
      <c r="CQ200" s="178">
        <v>490</v>
      </c>
      <c r="CR200" s="178">
        <v>448</v>
      </c>
      <c r="CS200" s="179">
        <v>417</v>
      </c>
      <c r="CT200" s="179">
        <v>440</v>
      </c>
      <c r="CU200" s="284">
        <v>463</v>
      </c>
      <c r="CV200" s="284">
        <v>613</v>
      </c>
      <c r="CW200" s="180"/>
      <c r="CX200" s="294">
        <v>185068</v>
      </c>
      <c r="CY200" s="178">
        <v>181990</v>
      </c>
      <c r="CZ200" s="178">
        <v>184831</v>
      </c>
      <c r="DA200" s="178">
        <v>167488</v>
      </c>
      <c r="DB200" s="179">
        <v>141424</v>
      </c>
      <c r="DC200" s="179">
        <v>111326</v>
      </c>
      <c r="DD200" s="284">
        <v>92072</v>
      </c>
      <c r="DE200" s="284">
        <v>78225</v>
      </c>
      <c r="DF200" s="180"/>
      <c r="DG200" s="294">
        <v>4778</v>
      </c>
      <c r="DH200" s="178">
        <v>4951</v>
      </c>
      <c r="DI200" s="178">
        <v>5637</v>
      </c>
      <c r="DJ200" s="178">
        <v>4683</v>
      </c>
      <c r="DK200" s="179">
        <v>3796</v>
      </c>
      <c r="DL200" s="179">
        <v>2414</v>
      </c>
      <c r="DM200" s="284">
        <v>1573</v>
      </c>
      <c r="DN200" s="284">
        <v>1356</v>
      </c>
      <c r="DO200" s="180"/>
      <c r="DP200" s="294">
        <v>12116</v>
      </c>
      <c r="DQ200" s="178">
        <v>10713</v>
      </c>
      <c r="DR200" s="178">
        <v>10270</v>
      </c>
      <c r="DS200" s="178">
        <v>8215</v>
      </c>
      <c r="DT200" s="179">
        <v>6775</v>
      </c>
      <c r="DU200" s="179">
        <v>5019</v>
      </c>
      <c r="DV200" s="284">
        <v>4125</v>
      </c>
      <c r="DW200" s="284">
        <v>3296</v>
      </c>
      <c r="DX200" s="180"/>
      <c r="DY200" s="294">
        <v>21976</v>
      </c>
      <c r="DZ200" s="178">
        <v>22534</v>
      </c>
      <c r="EA200" s="178">
        <v>23738</v>
      </c>
      <c r="EB200" s="178">
        <v>23552</v>
      </c>
      <c r="EC200" s="179">
        <v>24477</v>
      </c>
      <c r="ED200" s="179">
        <v>20285</v>
      </c>
      <c r="EE200" s="284">
        <v>16573</v>
      </c>
      <c r="EF200" s="284">
        <v>12323</v>
      </c>
      <c r="EG200" s="180"/>
      <c r="EH200" s="294">
        <v>3385</v>
      </c>
      <c r="EI200" s="178">
        <v>3202</v>
      </c>
      <c r="EJ200" s="178">
        <v>3036</v>
      </c>
      <c r="EK200" s="178">
        <v>2294</v>
      </c>
      <c r="EL200" s="179">
        <v>1952</v>
      </c>
      <c r="EM200" s="179">
        <v>1440</v>
      </c>
      <c r="EN200" s="284">
        <v>1133</v>
      </c>
      <c r="EO200" s="284">
        <v>853</v>
      </c>
      <c r="EP200" s="180"/>
      <c r="EQ200" s="294">
        <v>1039</v>
      </c>
      <c r="ER200" s="178">
        <v>1482</v>
      </c>
      <c r="ES200" s="178">
        <v>1948</v>
      </c>
      <c r="ET200" s="178">
        <v>2012</v>
      </c>
      <c r="EU200" s="179">
        <v>1932</v>
      </c>
      <c r="EV200" s="179">
        <v>1923</v>
      </c>
      <c r="EW200" s="284">
        <v>1769</v>
      </c>
      <c r="EX200" s="284">
        <v>1533</v>
      </c>
      <c r="EY200" s="180"/>
      <c r="EZ200" s="294">
        <v>858</v>
      </c>
      <c r="FA200" s="178">
        <v>726</v>
      </c>
      <c r="FB200" s="178">
        <v>1014</v>
      </c>
      <c r="FC200" s="178">
        <v>639</v>
      </c>
      <c r="FD200" s="179">
        <v>528</v>
      </c>
      <c r="FE200" s="179">
        <v>385</v>
      </c>
      <c r="FF200" s="284">
        <v>331</v>
      </c>
      <c r="FG200" s="284">
        <v>249</v>
      </c>
      <c r="FH200" s="180"/>
      <c r="FI200" s="294">
        <v>17634</v>
      </c>
      <c r="FJ200" s="178">
        <v>16100</v>
      </c>
      <c r="FK200" s="178">
        <v>12590</v>
      </c>
      <c r="FL200" s="178">
        <v>9189</v>
      </c>
      <c r="FM200" s="179">
        <v>8414</v>
      </c>
      <c r="FN200" s="179">
        <v>7276</v>
      </c>
      <c r="FO200" s="284">
        <v>6873</v>
      </c>
      <c r="FP200" s="284">
        <v>6459</v>
      </c>
      <c r="FQ200" s="180"/>
      <c r="FR200" s="294">
        <v>1076</v>
      </c>
      <c r="FS200" s="178">
        <v>1080</v>
      </c>
      <c r="FT200" s="178">
        <v>780</v>
      </c>
      <c r="FU200" s="178">
        <v>796</v>
      </c>
      <c r="FV200" s="179">
        <v>762</v>
      </c>
      <c r="FW200" s="179">
        <v>708</v>
      </c>
      <c r="FX200" s="284">
        <v>429</v>
      </c>
      <c r="FY200" s="284">
        <v>380</v>
      </c>
      <c r="FZ200" s="180"/>
      <c r="GA200" s="294">
        <v>1933</v>
      </c>
      <c r="GB200" s="178">
        <v>1602</v>
      </c>
      <c r="GC200" s="178">
        <v>1322</v>
      </c>
      <c r="GD200" s="178">
        <v>1054</v>
      </c>
      <c r="GE200" s="179">
        <v>1112</v>
      </c>
      <c r="GF200" s="179">
        <v>982</v>
      </c>
      <c r="GG200" s="284">
        <v>949</v>
      </c>
      <c r="GH200" s="284">
        <v>962</v>
      </c>
      <c r="GI200" s="180"/>
      <c r="GJ200" s="294">
        <v>242511</v>
      </c>
      <c r="GK200" s="178">
        <v>236771</v>
      </c>
      <c r="GL200" s="178">
        <v>235413</v>
      </c>
      <c r="GM200" s="178">
        <v>212773</v>
      </c>
      <c r="GN200" s="179">
        <v>186015</v>
      </c>
      <c r="GO200" s="179">
        <v>152534</v>
      </c>
      <c r="GP200" s="284">
        <v>129348</v>
      </c>
      <c r="GQ200" s="284">
        <v>112289</v>
      </c>
      <c r="GR200" s="180"/>
      <c r="GS200" s="294">
        <v>90528</v>
      </c>
      <c r="GT200" s="178">
        <v>86626</v>
      </c>
      <c r="GU200" s="178">
        <v>85462</v>
      </c>
      <c r="GV200" s="178">
        <v>67316</v>
      </c>
      <c r="GW200" s="179">
        <v>41419</v>
      </c>
      <c r="GX200" s="179">
        <v>33471</v>
      </c>
      <c r="GY200" s="284">
        <v>29344</v>
      </c>
      <c r="GZ200" s="284">
        <v>25882</v>
      </c>
      <c r="HA200" s="180"/>
      <c r="HB200" s="294">
        <v>838</v>
      </c>
      <c r="HC200" s="178">
        <v>717</v>
      </c>
      <c r="HD200" s="178">
        <v>692</v>
      </c>
      <c r="HE200" s="178">
        <v>597</v>
      </c>
      <c r="HF200" s="179">
        <v>661</v>
      </c>
      <c r="HG200" s="179">
        <v>578</v>
      </c>
      <c r="HH200" s="284">
        <v>565</v>
      </c>
      <c r="HI200" s="284">
        <v>466</v>
      </c>
      <c r="HJ200" s="180"/>
      <c r="HK200" s="294">
        <v>424</v>
      </c>
      <c r="HL200" s="178">
        <v>372</v>
      </c>
      <c r="HM200" s="178">
        <v>242</v>
      </c>
      <c r="HN200" s="178">
        <v>230</v>
      </c>
      <c r="HO200" s="179">
        <v>215</v>
      </c>
      <c r="HP200" s="179">
        <v>209</v>
      </c>
      <c r="HQ200" s="284">
        <v>170</v>
      </c>
      <c r="HR200" s="284">
        <v>179</v>
      </c>
      <c r="HS200" s="180"/>
      <c r="HT200" s="294">
        <v>115110</v>
      </c>
      <c r="HU200" s="178">
        <v>106137</v>
      </c>
      <c r="HV200" s="178">
        <v>102976</v>
      </c>
      <c r="HW200" s="178">
        <v>92301</v>
      </c>
      <c r="HX200" s="179">
        <v>63917</v>
      </c>
      <c r="HY200" s="179">
        <v>55285</v>
      </c>
      <c r="HZ200" s="284">
        <v>53214</v>
      </c>
      <c r="IA200" s="284">
        <v>51166</v>
      </c>
      <c r="IB200" s="180"/>
      <c r="IC200" s="294">
        <v>428785</v>
      </c>
      <c r="ID200" s="178">
        <v>431935</v>
      </c>
      <c r="IE200" s="178">
        <v>451501</v>
      </c>
      <c r="IF200" s="178">
        <v>358810</v>
      </c>
      <c r="IG200" s="179">
        <v>309394</v>
      </c>
      <c r="IH200" s="179">
        <v>267628</v>
      </c>
      <c r="II200" s="284">
        <v>278263</v>
      </c>
      <c r="IJ200" s="284">
        <v>215713</v>
      </c>
      <c r="IK200" s="180"/>
    </row>
    <row r="202" spans="1:245" x14ac:dyDescent="0.2">
      <c r="A202" s="94" t="s">
        <v>1169</v>
      </c>
    </row>
  </sheetData>
  <mergeCells count="48">
    <mergeCell ref="A106:A114"/>
    <mergeCell ref="A115:A122"/>
    <mergeCell ref="A123:A137"/>
    <mergeCell ref="A138:A146"/>
    <mergeCell ref="A147:A156"/>
    <mergeCell ref="A28:A34"/>
    <mergeCell ref="A35:A43"/>
    <mergeCell ref="A44:A53"/>
    <mergeCell ref="A54:A65"/>
    <mergeCell ref="A66:A73"/>
    <mergeCell ref="A157:A166"/>
    <mergeCell ref="A167:A173"/>
    <mergeCell ref="A174:A181"/>
    <mergeCell ref="A182:A190"/>
    <mergeCell ref="A191:A196"/>
    <mergeCell ref="A74:A81"/>
    <mergeCell ref="A82:A88"/>
    <mergeCell ref="A89:A98"/>
    <mergeCell ref="A99:A105"/>
    <mergeCell ref="HB1:HJ1"/>
    <mergeCell ref="CO1:CW1"/>
    <mergeCell ref="C1:K1"/>
    <mergeCell ref="L1:T1"/>
    <mergeCell ref="U1:AC1"/>
    <mergeCell ref="AD1:AL1"/>
    <mergeCell ref="AM1:AU1"/>
    <mergeCell ref="A1:B2"/>
    <mergeCell ref="A3:A27"/>
    <mergeCell ref="EZ1:FH1"/>
    <mergeCell ref="FI1:FQ1"/>
    <mergeCell ref="FR1:FZ1"/>
    <mergeCell ref="HK1:HS1"/>
    <mergeCell ref="HT1:IB1"/>
    <mergeCell ref="IC1:IK1"/>
    <mergeCell ref="GJ1:GR1"/>
    <mergeCell ref="GS1:HA1"/>
    <mergeCell ref="GA1:GI1"/>
    <mergeCell ref="CX1:DF1"/>
    <mergeCell ref="DG1:DO1"/>
    <mergeCell ref="DP1:DX1"/>
    <mergeCell ref="DY1:EG1"/>
    <mergeCell ref="EH1:EP1"/>
    <mergeCell ref="EQ1:EY1"/>
    <mergeCell ref="AV1:BD1"/>
    <mergeCell ref="BE1:BM1"/>
    <mergeCell ref="BN1:BV1"/>
    <mergeCell ref="BW1:CE1"/>
    <mergeCell ref="CF1:CN1"/>
  </mergeCells>
  <pageMargins left="0.75" right="0.75" top="1" bottom="1" header="0.5" footer="0.5"/>
  <pageSetup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1"/>
  <dimension ref="A1:J202"/>
  <sheetViews>
    <sheetView workbookViewId="0">
      <selection activeCell="B3" sqref="B3:I200"/>
    </sheetView>
  </sheetViews>
  <sheetFormatPr defaultRowHeight="12.75" customHeight="1" x14ac:dyDescent="0.25"/>
  <cols>
    <col min="1" max="1" width="34" style="94" bestFit="1" customWidth="1"/>
    <col min="2" max="10" width="11.5703125" customWidth="1"/>
  </cols>
  <sheetData>
    <row r="1" spans="1:10" ht="15.75" customHeight="1" thickBot="1" x14ac:dyDescent="0.3">
      <c r="A1" s="967" t="s">
        <v>1174</v>
      </c>
      <c r="B1" s="920" t="s">
        <v>797</v>
      </c>
      <c r="C1" s="922"/>
      <c r="D1" s="922"/>
      <c r="E1" s="922"/>
      <c r="F1" s="922"/>
      <c r="G1" s="922"/>
      <c r="H1" s="922"/>
      <c r="I1" s="922"/>
      <c r="J1" s="924"/>
    </row>
    <row r="2" spans="1:10" ht="27.75" customHeight="1" thickBot="1" x14ac:dyDescent="0.3">
      <c r="A2" s="966"/>
      <c r="B2" s="624" t="s">
        <v>1084</v>
      </c>
      <c r="C2" s="625" t="s">
        <v>1085</v>
      </c>
      <c r="D2" s="625" t="s">
        <v>1086</v>
      </c>
      <c r="E2" s="625" t="s">
        <v>1087</v>
      </c>
      <c r="F2" s="625" t="s">
        <v>1088</v>
      </c>
      <c r="G2" s="625" t="s">
        <v>1089</v>
      </c>
      <c r="H2" s="625" t="s">
        <v>1090</v>
      </c>
      <c r="I2" s="625" t="s">
        <v>1091</v>
      </c>
      <c r="J2" s="626" t="s">
        <v>1154</v>
      </c>
    </row>
    <row r="3" spans="1:10" ht="12.75" customHeight="1" x14ac:dyDescent="0.25">
      <c r="A3" s="146" t="s">
        <v>574</v>
      </c>
      <c r="B3" s="201">
        <v>133.28220908575594</v>
      </c>
      <c r="C3" s="202">
        <v>87.728770808811163</v>
      </c>
      <c r="D3" s="202">
        <v>81.741503036038168</v>
      </c>
      <c r="E3" s="202">
        <v>227.33807476017202</v>
      </c>
      <c r="F3" s="202">
        <v>375.62989690721651</v>
      </c>
      <c r="G3" s="202">
        <v>388.18063818280149</v>
      </c>
      <c r="H3" s="295">
        <v>369.68253212755832</v>
      </c>
      <c r="I3" s="295">
        <v>351.05263157894734</v>
      </c>
      <c r="J3" s="203"/>
    </row>
    <row r="4" spans="1:10" ht="12.75" customHeight="1" x14ac:dyDescent="0.25">
      <c r="A4" s="151" t="s">
        <v>629</v>
      </c>
      <c r="B4" s="204">
        <v>93.073587385019707</v>
      </c>
      <c r="C4" s="205">
        <v>68.836874051593327</v>
      </c>
      <c r="D4" s="205">
        <v>77.109324758842448</v>
      </c>
      <c r="E4" s="205">
        <v>93.610207100591722</v>
      </c>
      <c r="F4" s="205">
        <v>102.29708737864078</v>
      </c>
      <c r="G4" s="205">
        <v>123.01098901098901</v>
      </c>
      <c r="H4" s="296">
        <v>113.71616766467066</v>
      </c>
      <c r="I4" s="296">
        <v>112.51435406698565</v>
      </c>
      <c r="J4" s="206"/>
    </row>
    <row r="5" spans="1:10" ht="12.75" customHeight="1" x14ac:dyDescent="0.25">
      <c r="A5" s="151" t="s">
        <v>630</v>
      </c>
      <c r="B5" s="204">
        <v>119.50998948475289</v>
      </c>
      <c r="C5" s="205">
        <v>82.177018633540371</v>
      </c>
      <c r="D5" s="205">
        <v>88.410638896707013</v>
      </c>
      <c r="E5" s="205">
        <v>61.528884069400632</v>
      </c>
      <c r="F5" s="205">
        <v>75.325788457412571</v>
      </c>
      <c r="G5" s="205">
        <v>61.473620174759432</v>
      </c>
      <c r="H5" s="296">
        <v>59.014940364092908</v>
      </c>
      <c r="I5" s="296">
        <v>56.137402413058908</v>
      </c>
      <c r="J5" s="206"/>
    </row>
    <row r="6" spans="1:10" ht="12.75" customHeight="1" x14ac:dyDescent="0.25">
      <c r="A6" s="151" t="s">
        <v>631</v>
      </c>
      <c r="B6" s="204">
        <v>114.63005008347245</v>
      </c>
      <c r="C6" s="205">
        <v>86.329643568740309</v>
      </c>
      <c r="D6" s="205">
        <v>77.901661129568112</v>
      </c>
      <c r="E6" s="205">
        <v>94.394966118102616</v>
      </c>
      <c r="F6" s="205">
        <v>115.57280772325021</v>
      </c>
      <c r="G6" s="205">
        <v>113.54073344819099</v>
      </c>
      <c r="H6" s="296">
        <v>119.72466007416564</v>
      </c>
      <c r="I6" s="296">
        <v>125.16158315177923</v>
      </c>
      <c r="J6" s="206"/>
    </row>
    <row r="7" spans="1:10" ht="12.75" customHeight="1" x14ac:dyDescent="0.25">
      <c r="A7" s="151" t="s">
        <v>632</v>
      </c>
      <c r="B7" s="204">
        <v>88.04247787610619</v>
      </c>
      <c r="C7" s="205">
        <v>83.352662721893495</v>
      </c>
      <c r="D7" s="205">
        <v>76.557230597431598</v>
      </c>
      <c r="E7" s="205">
        <v>106.51144801980197</v>
      </c>
      <c r="F7" s="205">
        <v>116.00507614213198</v>
      </c>
      <c r="G7" s="205">
        <v>131.75573192239858</v>
      </c>
      <c r="H7" s="296">
        <v>119.95158286778398</v>
      </c>
      <c r="I7" s="296">
        <v>111.48108108108109</v>
      </c>
      <c r="J7" s="206"/>
    </row>
    <row r="8" spans="1:10" ht="12.75" customHeight="1" x14ac:dyDescent="0.25">
      <c r="A8" s="151" t="s">
        <v>633</v>
      </c>
      <c r="B8" s="204">
        <v>66.829979879275655</v>
      </c>
      <c r="C8" s="205">
        <v>68.373357775740914</v>
      </c>
      <c r="D8" s="205">
        <v>80.477026164645821</v>
      </c>
      <c r="E8" s="205">
        <v>139.72104085058757</v>
      </c>
      <c r="F8" s="205">
        <v>135.44948064211519</v>
      </c>
      <c r="G8" s="205">
        <v>144.63192650014355</v>
      </c>
      <c r="H8" s="296">
        <v>124.02002427184466</v>
      </c>
      <c r="I8" s="296">
        <v>120.17104813929669</v>
      </c>
      <c r="J8" s="206"/>
    </row>
    <row r="9" spans="1:10" ht="12.75" customHeight="1" x14ac:dyDescent="0.25">
      <c r="A9" s="151" t="s">
        <v>634</v>
      </c>
      <c r="B9" s="204">
        <v>89.213592233009706</v>
      </c>
      <c r="C9" s="205">
        <v>72.412829957028848</v>
      </c>
      <c r="D9" s="205">
        <v>66.251500272776866</v>
      </c>
      <c r="E9" s="205">
        <v>96.109120000000004</v>
      </c>
      <c r="F9" s="205">
        <v>113.87823926162584</v>
      </c>
      <c r="G9" s="205">
        <v>127.09037255625231</v>
      </c>
      <c r="H9" s="296">
        <v>133.11989205859678</v>
      </c>
      <c r="I9" s="296">
        <v>112.63168724279835</v>
      </c>
      <c r="J9" s="206"/>
    </row>
    <row r="10" spans="1:10" ht="12.75" customHeight="1" x14ac:dyDescent="0.25">
      <c r="A10" s="151" t="s">
        <v>635</v>
      </c>
      <c r="B10" s="204">
        <v>96.727993955421226</v>
      </c>
      <c r="C10" s="205">
        <v>86.163746223564956</v>
      </c>
      <c r="D10" s="205">
        <v>79.31310975609756</v>
      </c>
      <c r="E10" s="205">
        <v>93.496497106305213</v>
      </c>
      <c r="F10" s="205">
        <v>127.44564047362756</v>
      </c>
      <c r="G10" s="205">
        <v>148.41411764705882</v>
      </c>
      <c r="H10" s="296">
        <v>138.42126140420467</v>
      </c>
      <c r="I10" s="296">
        <v>133.15182648401827</v>
      </c>
      <c r="J10" s="206"/>
    </row>
    <row r="11" spans="1:10" ht="12.75" customHeight="1" x14ac:dyDescent="0.25">
      <c r="A11" s="151" t="s">
        <v>636</v>
      </c>
      <c r="B11" s="204">
        <v>84.367863120699269</v>
      </c>
      <c r="C11" s="205">
        <v>73.464746140378793</v>
      </c>
      <c r="D11" s="205">
        <v>67.774238711935595</v>
      </c>
      <c r="E11" s="205">
        <v>90.82125021525745</v>
      </c>
      <c r="F11" s="205">
        <v>108.35216118477699</v>
      </c>
      <c r="G11" s="205">
        <v>137.50265900872154</v>
      </c>
      <c r="H11" s="296">
        <v>166.73904179408765</v>
      </c>
      <c r="I11" s="296">
        <v>140.15497237569062</v>
      </c>
      <c r="J11" s="206"/>
    </row>
    <row r="12" spans="1:10" ht="12.75" customHeight="1" x14ac:dyDescent="0.25">
      <c r="A12" s="151" t="s">
        <v>637</v>
      </c>
      <c r="B12" s="204">
        <v>96.220727848101262</v>
      </c>
      <c r="C12" s="205">
        <v>76.682249173098128</v>
      </c>
      <c r="D12" s="205">
        <v>73.331917905166307</v>
      </c>
      <c r="E12" s="205">
        <v>88.246279404704751</v>
      </c>
      <c r="F12" s="205">
        <v>106.58779539335926</v>
      </c>
      <c r="G12" s="205">
        <v>142.63620748883545</v>
      </c>
      <c r="H12" s="296">
        <v>127.61579132886853</v>
      </c>
      <c r="I12" s="296">
        <v>127.83002309468822</v>
      </c>
      <c r="J12" s="206"/>
    </row>
    <row r="13" spans="1:10" ht="12.75" customHeight="1" x14ac:dyDescent="0.25">
      <c r="A13" s="151" t="s">
        <v>638</v>
      </c>
      <c r="B13" s="204">
        <v>87.669717362045759</v>
      </c>
      <c r="C13" s="205">
        <v>78.049126637554579</v>
      </c>
      <c r="D13" s="205">
        <v>72.764250000000004</v>
      </c>
      <c r="E13" s="205">
        <v>86.245497881355931</v>
      </c>
      <c r="F13" s="205">
        <v>119.43063486731609</v>
      </c>
      <c r="G13" s="205">
        <v>148.40912162162161</v>
      </c>
      <c r="H13" s="296">
        <v>162.96634967081201</v>
      </c>
      <c r="I13" s="296">
        <v>169.07954138301685</v>
      </c>
      <c r="J13" s="206"/>
    </row>
    <row r="14" spans="1:10" ht="12.75" customHeight="1" x14ac:dyDescent="0.25">
      <c r="A14" s="151" t="s">
        <v>639</v>
      </c>
      <c r="B14" s="204">
        <v>111.66056166056165</v>
      </c>
      <c r="C14" s="205">
        <v>79.594253294289899</v>
      </c>
      <c r="D14" s="205">
        <v>77.548080577727106</v>
      </c>
      <c r="E14" s="205">
        <v>80.647659274903205</v>
      </c>
      <c r="F14" s="205">
        <v>91.795081967213122</v>
      </c>
      <c r="G14" s="205">
        <v>115.4517911975435</v>
      </c>
      <c r="H14" s="296">
        <v>127.71428571428571</v>
      </c>
      <c r="I14" s="296">
        <v>145.47759142150124</v>
      </c>
      <c r="J14" s="206"/>
    </row>
    <row r="15" spans="1:10" ht="12.75" customHeight="1" x14ac:dyDescent="0.25">
      <c r="A15" s="151" t="s">
        <v>640</v>
      </c>
      <c r="B15" s="204">
        <v>104.54166666666667</v>
      </c>
      <c r="C15" s="205">
        <v>76.263367463026171</v>
      </c>
      <c r="D15" s="205">
        <v>69.689750692520775</v>
      </c>
      <c r="E15" s="205">
        <v>73.820935412026728</v>
      </c>
      <c r="F15" s="205">
        <v>73.561684460260977</v>
      </c>
      <c r="G15" s="205">
        <v>125.79535558780842</v>
      </c>
      <c r="H15" s="296">
        <v>133.11325966850828</v>
      </c>
      <c r="I15" s="296">
        <v>108.78703703703704</v>
      </c>
      <c r="J15" s="206"/>
    </row>
    <row r="16" spans="1:10" ht="12.75" customHeight="1" x14ac:dyDescent="0.25">
      <c r="A16" s="151" t="s">
        <v>641</v>
      </c>
      <c r="B16" s="204">
        <v>71.425821681496274</v>
      </c>
      <c r="C16" s="205">
        <v>84.668822328114359</v>
      </c>
      <c r="D16" s="205">
        <v>83.225202965054706</v>
      </c>
      <c r="E16" s="205">
        <v>98.285631741140222</v>
      </c>
      <c r="F16" s="205">
        <v>104.78342563291139</v>
      </c>
      <c r="G16" s="205">
        <v>129.28571428571428</v>
      </c>
      <c r="H16" s="296">
        <v>137.66182266009852</v>
      </c>
      <c r="I16" s="296">
        <v>131.36887382690301</v>
      </c>
      <c r="J16" s="206"/>
    </row>
    <row r="17" spans="1:10" ht="12.75" customHeight="1" x14ac:dyDescent="0.25">
      <c r="A17" s="151" t="s">
        <v>642</v>
      </c>
      <c r="B17" s="204">
        <v>78.160922217047045</v>
      </c>
      <c r="C17" s="205">
        <v>62.174721189591075</v>
      </c>
      <c r="D17" s="205">
        <v>69.183392766174222</v>
      </c>
      <c r="E17" s="205">
        <v>79.152931854199679</v>
      </c>
      <c r="F17" s="205">
        <v>89.73744164332399</v>
      </c>
      <c r="G17" s="205">
        <v>91.836204967554266</v>
      </c>
      <c r="H17" s="296">
        <v>99.931148443954839</v>
      </c>
      <c r="I17" s="296">
        <v>105.82133006435795</v>
      </c>
      <c r="J17" s="206"/>
    </row>
    <row r="18" spans="1:10" ht="12.75" customHeight="1" x14ac:dyDescent="0.25">
      <c r="A18" s="151" t="s">
        <v>643</v>
      </c>
      <c r="B18" s="204">
        <v>74.623962655601659</v>
      </c>
      <c r="C18" s="205">
        <v>77.038902538902533</v>
      </c>
      <c r="D18" s="205">
        <v>80.965718737826251</v>
      </c>
      <c r="E18" s="205">
        <v>101.13873568095036</v>
      </c>
      <c r="F18" s="205">
        <v>127.69227166276346</v>
      </c>
      <c r="G18" s="205">
        <v>155.54983748645719</v>
      </c>
      <c r="H18" s="296">
        <v>144.51491174680461</v>
      </c>
      <c r="I18" s="296">
        <v>130.38060200668897</v>
      </c>
      <c r="J18" s="206"/>
    </row>
    <row r="19" spans="1:10" ht="12.75" customHeight="1" x14ac:dyDescent="0.25">
      <c r="A19" s="151" t="s">
        <v>644</v>
      </c>
      <c r="B19" s="204">
        <v>81.113989637305693</v>
      </c>
      <c r="C19" s="205">
        <v>64.758064516129039</v>
      </c>
      <c r="D19" s="205">
        <v>74.44736842105263</v>
      </c>
      <c r="E19" s="205">
        <v>86.806610407876235</v>
      </c>
      <c r="F19" s="205">
        <v>96.128339140534266</v>
      </c>
      <c r="G19" s="205">
        <v>105.91857883049593</v>
      </c>
      <c r="H19" s="296">
        <v>98.444052863436127</v>
      </c>
      <c r="I19" s="296">
        <v>112.59603960396039</v>
      </c>
      <c r="J19" s="206"/>
    </row>
    <row r="20" spans="1:10" ht="12.75" customHeight="1" x14ac:dyDescent="0.25">
      <c r="A20" s="151" t="s">
        <v>645</v>
      </c>
      <c r="B20" s="204">
        <v>94.959602237414543</v>
      </c>
      <c r="C20" s="205">
        <v>80.685608072225179</v>
      </c>
      <c r="D20" s="205">
        <v>93.747362869198312</v>
      </c>
      <c r="E20" s="205">
        <v>75.279015240328249</v>
      </c>
      <c r="F20" s="205">
        <v>109.0296511627907</v>
      </c>
      <c r="G20" s="205">
        <v>156.85657998423954</v>
      </c>
      <c r="H20" s="296">
        <v>186.91148325358853</v>
      </c>
      <c r="I20" s="296">
        <v>173.45986496624155</v>
      </c>
      <c r="J20" s="206"/>
    </row>
    <row r="21" spans="1:10" ht="12.75" customHeight="1" x14ac:dyDescent="0.25">
      <c r="A21" s="151" t="s">
        <v>646</v>
      </c>
      <c r="B21" s="204">
        <v>128.24137931034483</v>
      </c>
      <c r="C21" s="205">
        <v>86.184732824427485</v>
      </c>
      <c r="D21" s="205">
        <v>75.462487153134632</v>
      </c>
      <c r="E21" s="205">
        <v>74.895277867009312</v>
      </c>
      <c r="F21" s="205">
        <v>103.06725257928926</v>
      </c>
      <c r="G21" s="205">
        <v>127.14266547406082</v>
      </c>
      <c r="H21" s="296">
        <v>130.52908587257619</v>
      </c>
      <c r="I21" s="296">
        <v>149.19989047097482</v>
      </c>
      <c r="J21" s="206"/>
    </row>
    <row r="22" spans="1:10" ht="12.75" customHeight="1" x14ac:dyDescent="0.25">
      <c r="A22" s="151" t="s">
        <v>647</v>
      </c>
      <c r="B22" s="204">
        <v>111.43566470902296</v>
      </c>
      <c r="C22" s="205">
        <v>92.887482419127991</v>
      </c>
      <c r="D22" s="205">
        <v>86.616377171215888</v>
      </c>
      <c r="E22" s="205">
        <v>97.156552779194286</v>
      </c>
      <c r="F22" s="205">
        <v>117.50746268656717</v>
      </c>
      <c r="G22" s="205">
        <v>182.2411655300682</v>
      </c>
      <c r="H22" s="296">
        <v>202.13362068965517</v>
      </c>
      <c r="I22" s="296">
        <v>185.5692995529061</v>
      </c>
      <c r="J22" s="206"/>
    </row>
    <row r="23" spans="1:10" ht="12.75" customHeight="1" x14ac:dyDescent="0.25">
      <c r="A23" s="151" t="s">
        <v>648</v>
      </c>
      <c r="B23" s="204">
        <v>65.270775347912519</v>
      </c>
      <c r="C23" s="205">
        <v>60.728575880336557</v>
      </c>
      <c r="D23" s="205">
        <v>65.152317880794698</v>
      </c>
      <c r="E23" s="205">
        <v>85.282274247491642</v>
      </c>
      <c r="F23" s="205">
        <v>97.639266055045866</v>
      </c>
      <c r="G23" s="205">
        <v>135.64176006641759</v>
      </c>
      <c r="H23" s="296">
        <v>138.90655021834061</v>
      </c>
      <c r="I23" s="296">
        <v>128.34974619289341</v>
      </c>
      <c r="J23" s="206"/>
    </row>
    <row r="24" spans="1:10" ht="12.75" customHeight="1" x14ac:dyDescent="0.25">
      <c r="A24" s="151" t="s">
        <v>649</v>
      </c>
      <c r="B24" s="204">
        <v>90.241276171485538</v>
      </c>
      <c r="C24" s="205">
        <v>76.690841276419391</v>
      </c>
      <c r="D24" s="205">
        <v>80.083223828296099</v>
      </c>
      <c r="E24" s="205">
        <v>79.855241264559069</v>
      </c>
      <c r="F24" s="205">
        <v>106.82785679254536</v>
      </c>
      <c r="G24" s="205">
        <v>114.74896142433235</v>
      </c>
      <c r="H24" s="296">
        <v>122.41879278158058</v>
      </c>
      <c r="I24" s="296">
        <v>125.28265524625267</v>
      </c>
      <c r="J24" s="206"/>
    </row>
    <row r="25" spans="1:10" ht="12.75" customHeight="1" x14ac:dyDescent="0.25">
      <c r="A25" s="151" t="s">
        <v>650</v>
      </c>
      <c r="B25" s="204">
        <v>87.816822429906537</v>
      </c>
      <c r="C25" s="205">
        <v>81.769646070785839</v>
      </c>
      <c r="D25" s="205">
        <v>73.693877551020407</v>
      </c>
      <c r="E25" s="205">
        <v>73.367265469061877</v>
      </c>
      <c r="F25" s="205">
        <v>88.706722189173107</v>
      </c>
      <c r="G25" s="205">
        <v>109.53032440056417</v>
      </c>
      <c r="H25" s="296">
        <v>126.20928270042194</v>
      </c>
      <c r="I25" s="296">
        <v>132.41092211280215</v>
      </c>
      <c r="J25" s="206"/>
    </row>
    <row r="26" spans="1:10" ht="12.75" customHeight="1" thickBot="1" x14ac:dyDescent="0.3">
      <c r="A26" s="302" t="s">
        <v>651</v>
      </c>
      <c r="B26" s="207">
        <v>94.304347826086953</v>
      </c>
      <c r="C26" s="208">
        <v>90.492063492063494</v>
      </c>
      <c r="D26" s="208">
        <v>66.318181818181813</v>
      </c>
      <c r="E26" s="208">
        <v>109.62068965517241</v>
      </c>
      <c r="F26" s="208">
        <v>115</v>
      </c>
      <c r="G26" s="208">
        <v>72.230769230769226</v>
      </c>
      <c r="H26" s="297">
        <v>140.06410256410257</v>
      </c>
      <c r="I26" s="297">
        <v>115.45205479452055</v>
      </c>
      <c r="J26" s="209"/>
    </row>
    <row r="27" spans="1:10" ht="12.75" customHeight="1" thickBot="1" x14ac:dyDescent="0.3">
      <c r="A27" s="196" t="s">
        <v>786</v>
      </c>
      <c r="B27" s="303">
        <v>97.612435042408279</v>
      </c>
      <c r="C27" s="304">
        <v>78.880421930060763</v>
      </c>
      <c r="D27" s="304">
        <v>77.040854334142722</v>
      </c>
      <c r="E27" s="304">
        <v>92.391106464112184</v>
      </c>
      <c r="F27" s="304">
        <v>110.17280945757997</v>
      </c>
      <c r="G27" s="304">
        <v>127.56048773189707</v>
      </c>
      <c r="H27" s="305">
        <v>133.15515954004678</v>
      </c>
      <c r="I27" s="305">
        <v>129.78213583671669</v>
      </c>
      <c r="J27" s="306"/>
    </row>
    <row r="28" spans="1:10" ht="12.75" customHeight="1" x14ac:dyDescent="0.25">
      <c r="A28" s="160" t="s">
        <v>576</v>
      </c>
      <c r="B28" s="201">
        <v>249.19402985074626</v>
      </c>
      <c r="C28" s="202">
        <v>218.52525252525251</v>
      </c>
      <c r="D28" s="202">
        <v>238.63571428571427</v>
      </c>
      <c r="E28" s="202">
        <v>223.869918699187</v>
      </c>
      <c r="F28" s="202">
        <v>261.27972027972027</v>
      </c>
      <c r="G28" s="202">
        <v>264.35833333333335</v>
      </c>
      <c r="H28" s="295">
        <v>267.28865979381442</v>
      </c>
      <c r="I28" s="295">
        <v>183.81176470588235</v>
      </c>
      <c r="J28" s="203"/>
    </row>
    <row r="29" spans="1:10" ht="12.75" customHeight="1" x14ac:dyDescent="0.25">
      <c r="A29" s="164" t="s">
        <v>652</v>
      </c>
      <c r="B29" s="204">
        <v>95.690621631333087</v>
      </c>
      <c r="C29" s="205">
        <v>93.869299820466793</v>
      </c>
      <c r="D29" s="205">
        <v>99.156081433791542</v>
      </c>
      <c r="E29" s="205">
        <v>111.61513029949435</v>
      </c>
      <c r="F29" s="205">
        <v>119.07153696076305</v>
      </c>
      <c r="G29" s="205">
        <v>119.77961139206813</v>
      </c>
      <c r="H29" s="296">
        <v>110.41929666366096</v>
      </c>
      <c r="I29" s="296">
        <v>100.6103896103896</v>
      </c>
      <c r="J29" s="206"/>
    </row>
    <row r="30" spans="1:10" ht="12.75" customHeight="1" x14ac:dyDescent="0.25">
      <c r="A30" s="164" t="s">
        <v>653</v>
      </c>
      <c r="B30" s="204">
        <v>97</v>
      </c>
      <c r="C30" s="205">
        <v>101.62447257383967</v>
      </c>
      <c r="D30" s="205">
        <v>113.91188524590164</v>
      </c>
      <c r="E30" s="205">
        <v>133.50334448160535</v>
      </c>
      <c r="F30" s="205">
        <v>127.49723756906077</v>
      </c>
      <c r="G30" s="205">
        <v>117.16959064327486</v>
      </c>
      <c r="H30" s="296">
        <v>113.10388127853881</v>
      </c>
      <c r="I30" s="296">
        <v>88.932142857142864</v>
      </c>
      <c r="J30" s="206"/>
    </row>
    <row r="31" spans="1:10" ht="12.75" customHeight="1" x14ac:dyDescent="0.25">
      <c r="A31" s="164" t="s">
        <v>654</v>
      </c>
      <c r="B31" s="204">
        <v>124</v>
      </c>
      <c r="C31" s="205">
        <v>119.01117318435755</v>
      </c>
      <c r="D31" s="205">
        <v>124.9957805907173</v>
      </c>
      <c r="E31" s="205">
        <v>145.19976905311779</v>
      </c>
      <c r="F31" s="205">
        <v>122.91878172588832</v>
      </c>
      <c r="G31" s="205">
        <v>124.84285714285714</v>
      </c>
      <c r="H31" s="296">
        <v>90.936363636363637</v>
      </c>
      <c r="I31" s="296">
        <v>84.767985611510795</v>
      </c>
      <c r="J31" s="206"/>
    </row>
    <row r="32" spans="1:10" ht="12.75" customHeight="1" x14ac:dyDescent="0.25">
      <c r="A32" s="164" t="s">
        <v>655</v>
      </c>
      <c r="B32" s="204">
        <v>77.16286057692308</v>
      </c>
      <c r="C32" s="205">
        <v>74.922655298416572</v>
      </c>
      <c r="D32" s="205">
        <v>88.648805213613329</v>
      </c>
      <c r="E32" s="205">
        <v>86.953014878621772</v>
      </c>
      <c r="F32" s="205">
        <v>95.561837455830386</v>
      </c>
      <c r="G32" s="205">
        <v>92.248283752860416</v>
      </c>
      <c r="H32" s="296">
        <v>79.620779220779227</v>
      </c>
      <c r="I32" s="296">
        <v>94.078709677419354</v>
      </c>
      <c r="J32" s="206"/>
    </row>
    <row r="33" spans="1:10" ht="12.75" customHeight="1" thickBot="1" x14ac:dyDescent="0.3">
      <c r="A33" s="165" t="s">
        <v>656</v>
      </c>
      <c r="B33" s="213">
        <v>100.70142180094787</v>
      </c>
      <c r="C33" s="214">
        <v>105.37809187279152</v>
      </c>
      <c r="D33" s="214">
        <v>112.16814946619218</v>
      </c>
      <c r="E33" s="214">
        <v>135.39213349225267</v>
      </c>
      <c r="F33" s="214">
        <v>152.54440961337514</v>
      </c>
      <c r="G33" s="214">
        <v>127.26755447941889</v>
      </c>
      <c r="H33" s="299">
        <v>111.33529411764705</v>
      </c>
      <c r="I33" s="299">
        <v>93.206128133704738</v>
      </c>
      <c r="J33" s="215"/>
    </row>
    <row r="34" spans="1:10" s="308" customFormat="1" ht="12.75" customHeight="1" thickBot="1" x14ac:dyDescent="0.3">
      <c r="A34" s="196" t="s">
        <v>785</v>
      </c>
      <c r="B34" s="303">
        <v>99.281878591954026</v>
      </c>
      <c r="C34" s="304">
        <v>97.990598669623054</v>
      </c>
      <c r="D34" s="304">
        <v>105.24092928544984</v>
      </c>
      <c r="E34" s="304">
        <v>117.70697871439161</v>
      </c>
      <c r="F34" s="304">
        <v>123.50561797752809</v>
      </c>
      <c r="G34" s="304">
        <v>119.72790730141003</v>
      </c>
      <c r="H34" s="305">
        <v>107.8415873015873</v>
      </c>
      <c r="I34" s="305">
        <v>97.0787693298969</v>
      </c>
      <c r="J34" s="306"/>
    </row>
    <row r="35" spans="1:10" ht="12.75" customHeight="1" x14ac:dyDescent="0.25">
      <c r="A35" s="160" t="s">
        <v>578</v>
      </c>
      <c r="B35" s="201">
        <v>139.19791666666666</v>
      </c>
      <c r="C35" s="202">
        <v>92.896656534954403</v>
      </c>
      <c r="D35" s="202">
        <v>94.060737527114966</v>
      </c>
      <c r="E35" s="202">
        <v>154.39112903225808</v>
      </c>
      <c r="F35" s="202">
        <v>216.5625</v>
      </c>
      <c r="G35" s="202">
        <v>230.96491228070175</v>
      </c>
      <c r="H35" s="295">
        <v>239.58208955223881</v>
      </c>
      <c r="I35" s="295">
        <v>219.47846889952154</v>
      </c>
      <c r="J35" s="203"/>
    </row>
    <row r="36" spans="1:10" ht="12.75" customHeight="1" x14ac:dyDescent="0.25">
      <c r="A36" s="164" t="s">
        <v>657</v>
      </c>
      <c r="B36" s="204">
        <v>72.220574432138164</v>
      </c>
      <c r="C36" s="205">
        <v>76.406223358908775</v>
      </c>
      <c r="D36" s="205">
        <v>77.95685023505709</v>
      </c>
      <c r="E36" s="205">
        <v>92.689189189189193</v>
      </c>
      <c r="F36" s="205">
        <v>105.16575400168492</v>
      </c>
      <c r="G36" s="205">
        <v>106.49637004770794</v>
      </c>
      <c r="H36" s="296">
        <v>112.34056799815285</v>
      </c>
      <c r="I36" s="296">
        <v>104.39592633928571</v>
      </c>
      <c r="J36" s="206"/>
    </row>
    <row r="37" spans="1:10" ht="12.75" customHeight="1" x14ac:dyDescent="0.25">
      <c r="A37" s="164" t="s">
        <v>658</v>
      </c>
      <c r="B37" s="204">
        <v>78.414462081128747</v>
      </c>
      <c r="C37" s="205">
        <v>73.379694835680752</v>
      </c>
      <c r="D37" s="205">
        <v>85.839847991313789</v>
      </c>
      <c r="E37" s="205">
        <v>96.101273148148152</v>
      </c>
      <c r="F37" s="205">
        <v>94.449349179400116</v>
      </c>
      <c r="G37" s="205">
        <v>83.002437538086539</v>
      </c>
      <c r="H37" s="296">
        <v>64.843186372745492</v>
      </c>
      <c r="I37" s="296">
        <v>78.064663618549972</v>
      </c>
      <c r="J37" s="206"/>
    </row>
    <row r="38" spans="1:10" ht="12.75" customHeight="1" x14ac:dyDescent="0.25">
      <c r="A38" s="164" t="s">
        <v>659</v>
      </c>
      <c r="B38" s="204">
        <v>77.876127973748979</v>
      </c>
      <c r="C38" s="205">
        <v>74.965028355387517</v>
      </c>
      <c r="D38" s="205">
        <v>90.419166666666669</v>
      </c>
      <c r="E38" s="205">
        <v>104.33630686886708</v>
      </c>
      <c r="F38" s="205">
        <v>107.10572259941804</v>
      </c>
      <c r="G38" s="205">
        <v>106.25264394829613</v>
      </c>
      <c r="H38" s="296">
        <v>103.91444600280505</v>
      </c>
      <c r="I38" s="296">
        <v>105.28070175438596</v>
      </c>
      <c r="J38" s="206"/>
    </row>
    <row r="39" spans="1:10" ht="12.75" customHeight="1" x14ac:dyDescent="0.25">
      <c r="A39" s="164" t="s">
        <v>660</v>
      </c>
      <c r="B39" s="204">
        <v>81.734887737478417</v>
      </c>
      <c r="C39" s="205">
        <v>73.342990654205607</v>
      </c>
      <c r="D39" s="205">
        <v>92.269456066945608</v>
      </c>
      <c r="E39" s="205">
        <v>107.79105628373169</v>
      </c>
      <c r="F39" s="205">
        <v>117.50682730923695</v>
      </c>
      <c r="G39" s="205">
        <v>119.62605363984675</v>
      </c>
      <c r="H39" s="296">
        <v>114.21223021582733</v>
      </c>
      <c r="I39" s="296">
        <v>104.69311246730602</v>
      </c>
      <c r="J39" s="206"/>
    </row>
    <row r="40" spans="1:10" ht="12.75" customHeight="1" x14ac:dyDescent="0.25">
      <c r="A40" s="164" t="s">
        <v>769</v>
      </c>
      <c r="B40" s="204">
        <v>91.230429988974635</v>
      </c>
      <c r="C40" s="205">
        <v>93.166666666666671</v>
      </c>
      <c r="D40" s="205">
        <v>98.127336448598129</v>
      </c>
      <c r="E40" s="205">
        <v>109.18326693227091</v>
      </c>
      <c r="F40" s="205">
        <v>130.86562942008487</v>
      </c>
      <c r="G40" s="205">
        <v>124.86724386724387</v>
      </c>
      <c r="H40" s="296">
        <v>103.1079258010118</v>
      </c>
      <c r="I40" s="296">
        <v>95.967153284671539</v>
      </c>
      <c r="J40" s="206"/>
    </row>
    <row r="41" spans="1:10" ht="12.75" customHeight="1" x14ac:dyDescent="0.25">
      <c r="A41" s="164" t="s">
        <v>661</v>
      </c>
      <c r="B41" s="204">
        <v>52.697452229299365</v>
      </c>
      <c r="C41" s="205">
        <v>48.525721455457969</v>
      </c>
      <c r="D41" s="205">
        <v>53.806798866855523</v>
      </c>
      <c r="E41" s="205">
        <v>61.000589970501473</v>
      </c>
      <c r="F41" s="205">
        <v>57.983273596176822</v>
      </c>
      <c r="G41" s="205">
        <v>59.196917808219176</v>
      </c>
      <c r="H41" s="296">
        <v>47.031884057971013</v>
      </c>
      <c r="I41" s="296">
        <v>70.495823389021481</v>
      </c>
      <c r="J41" s="206"/>
    </row>
    <row r="42" spans="1:10" ht="12.75" customHeight="1" thickBot="1" x14ac:dyDescent="0.3">
      <c r="A42" s="184" t="s">
        <v>662</v>
      </c>
      <c r="B42" s="216">
        <v>79.550748752079869</v>
      </c>
      <c r="C42" s="217">
        <v>73.778461538461542</v>
      </c>
      <c r="D42" s="217">
        <v>85.156202143950992</v>
      </c>
      <c r="E42" s="217">
        <v>87.294308943089433</v>
      </c>
      <c r="F42" s="217">
        <v>102.42043551088777</v>
      </c>
      <c r="G42" s="217">
        <v>98.707641196013284</v>
      </c>
      <c r="H42" s="300">
        <v>92.703099510603593</v>
      </c>
      <c r="I42" s="300">
        <v>76.313909774436084</v>
      </c>
      <c r="J42" s="218"/>
    </row>
    <row r="43" spans="1:10" s="308" customFormat="1" ht="12.75" customHeight="1" thickBot="1" x14ac:dyDescent="0.3">
      <c r="A43" s="196" t="s">
        <v>784</v>
      </c>
      <c r="B43" s="303">
        <v>74.769151873767257</v>
      </c>
      <c r="C43" s="304">
        <v>73.289745527840765</v>
      </c>
      <c r="D43" s="304">
        <v>80.350947731188967</v>
      </c>
      <c r="E43" s="304">
        <v>93.411263199061395</v>
      </c>
      <c r="F43" s="304">
        <v>101.44721640853913</v>
      </c>
      <c r="G43" s="304">
        <v>100.77247120154713</v>
      </c>
      <c r="H43" s="305">
        <v>91.596542508769005</v>
      </c>
      <c r="I43" s="305">
        <v>95.202548154093094</v>
      </c>
      <c r="J43" s="306"/>
    </row>
    <row r="44" spans="1:10" ht="12.75" customHeight="1" x14ac:dyDescent="0.25">
      <c r="A44" s="167" t="s">
        <v>580</v>
      </c>
      <c r="B44" s="210">
        <v>214.48760330578511</v>
      </c>
      <c r="C44" s="211">
        <v>265.91666666666669</v>
      </c>
      <c r="D44" s="211">
        <v>272.44736842105266</v>
      </c>
      <c r="E44" s="211">
        <v>249.37719298245614</v>
      </c>
      <c r="F44" s="211">
        <v>320.13084112149534</v>
      </c>
      <c r="G44" s="211">
        <v>367.18124999999998</v>
      </c>
      <c r="H44" s="298">
        <v>290.46875</v>
      </c>
      <c r="I44" s="298">
        <v>257.90909090909093</v>
      </c>
      <c r="J44" s="212"/>
    </row>
    <row r="45" spans="1:10" ht="12.75" customHeight="1" x14ac:dyDescent="0.25">
      <c r="A45" s="164" t="s">
        <v>663</v>
      </c>
      <c r="B45" s="204">
        <v>74.353688324377131</v>
      </c>
      <c r="C45" s="205">
        <v>71.62821158690177</v>
      </c>
      <c r="D45" s="205">
        <v>72.309512761020883</v>
      </c>
      <c r="E45" s="205">
        <v>77.590010405827258</v>
      </c>
      <c r="F45" s="205">
        <v>95.996977025392994</v>
      </c>
      <c r="G45" s="205">
        <v>109.93612334801762</v>
      </c>
      <c r="H45" s="296">
        <v>101.62256809338521</v>
      </c>
      <c r="I45" s="296">
        <v>100.42072072072072</v>
      </c>
      <c r="J45" s="206"/>
    </row>
    <row r="46" spans="1:10" ht="12.75" customHeight="1" x14ac:dyDescent="0.25">
      <c r="A46" s="164" t="s">
        <v>664</v>
      </c>
      <c r="B46" s="204">
        <v>85.924418604651166</v>
      </c>
      <c r="C46" s="205">
        <v>108.20996441281139</v>
      </c>
      <c r="D46" s="205">
        <v>103.87220447284345</v>
      </c>
      <c r="E46" s="205">
        <v>143.52532833020638</v>
      </c>
      <c r="F46" s="205">
        <v>144.11433756805809</v>
      </c>
      <c r="G46" s="205">
        <v>141.39412997903563</v>
      </c>
      <c r="H46" s="296">
        <v>114.88246628131022</v>
      </c>
      <c r="I46" s="296">
        <v>92.473484848484844</v>
      </c>
      <c r="J46" s="206"/>
    </row>
    <row r="47" spans="1:10" ht="12.75" customHeight="1" x14ac:dyDescent="0.25">
      <c r="A47" s="164" t="s">
        <v>665</v>
      </c>
      <c r="B47" s="204">
        <v>93.448167539267018</v>
      </c>
      <c r="C47" s="205">
        <v>96.363360323886639</v>
      </c>
      <c r="D47" s="205">
        <v>99.974212034383953</v>
      </c>
      <c r="E47" s="205">
        <v>135.79162191192268</v>
      </c>
      <c r="F47" s="205">
        <v>140.9482163406214</v>
      </c>
      <c r="G47" s="205">
        <v>151.28571428571428</v>
      </c>
      <c r="H47" s="296">
        <v>123.42081447963801</v>
      </c>
      <c r="I47" s="296">
        <v>110.10222804718218</v>
      </c>
      <c r="J47" s="206"/>
    </row>
    <row r="48" spans="1:10" ht="12.75" customHeight="1" x14ac:dyDescent="0.25">
      <c r="A48" s="164" t="s">
        <v>770</v>
      </c>
      <c r="B48" s="204">
        <v>90.487898089171978</v>
      </c>
      <c r="C48" s="205">
        <v>93.347989949748737</v>
      </c>
      <c r="D48" s="205">
        <v>113.00372670807454</v>
      </c>
      <c r="E48" s="205">
        <v>135.70716112531969</v>
      </c>
      <c r="F48" s="205">
        <v>141.75357142857143</v>
      </c>
      <c r="G48" s="205">
        <v>135.62776957163959</v>
      </c>
      <c r="H48" s="296">
        <v>124.21126760563381</v>
      </c>
      <c r="I48" s="296">
        <v>127.13700787401575</v>
      </c>
      <c r="J48" s="206"/>
    </row>
    <row r="49" spans="1:10" ht="12.75" customHeight="1" x14ac:dyDescent="0.25">
      <c r="A49" s="164" t="s">
        <v>771</v>
      </c>
      <c r="B49" s="204">
        <v>85.773508594539933</v>
      </c>
      <c r="C49" s="205">
        <v>93.50833333333334</v>
      </c>
      <c r="D49" s="205">
        <v>100.39277108433735</v>
      </c>
      <c r="E49" s="205">
        <v>115.29230769230769</v>
      </c>
      <c r="F49" s="205">
        <v>124.44220430107526</v>
      </c>
      <c r="G49" s="205">
        <v>124.85538881309687</v>
      </c>
      <c r="H49" s="296">
        <v>118.7965367965368</v>
      </c>
      <c r="I49" s="296">
        <v>100.046875</v>
      </c>
      <c r="J49" s="206"/>
    </row>
    <row r="50" spans="1:10" ht="12.75" customHeight="1" x14ac:dyDescent="0.25">
      <c r="A50" s="164" t="s">
        <v>666</v>
      </c>
      <c r="B50" s="204">
        <v>97.734720416124844</v>
      </c>
      <c r="C50" s="205">
        <v>88.434447300771211</v>
      </c>
      <c r="D50" s="205">
        <v>102.59685230024213</v>
      </c>
      <c r="E50" s="205">
        <v>104.37371134020619</v>
      </c>
      <c r="F50" s="205">
        <v>120.28395061728395</v>
      </c>
      <c r="G50" s="205">
        <v>126.28888888888889</v>
      </c>
      <c r="H50" s="296">
        <v>114.17488789237669</v>
      </c>
      <c r="I50" s="296">
        <v>87.717908082408869</v>
      </c>
      <c r="J50" s="206"/>
    </row>
    <row r="51" spans="1:10" ht="12.75" customHeight="1" x14ac:dyDescent="0.25">
      <c r="A51" s="164" t="s">
        <v>772</v>
      </c>
      <c r="B51" s="204">
        <v>76.701977401129938</v>
      </c>
      <c r="C51" s="205">
        <v>66.135542168674704</v>
      </c>
      <c r="D51" s="205">
        <v>82.069321533923301</v>
      </c>
      <c r="E51" s="205">
        <v>91.71378091872792</v>
      </c>
      <c r="F51" s="205">
        <v>101.40308747855917</v>
      </c>
      <c r="G51" s="205">
        <v>117.18763326226012</v>
      </c>
      <c r="H51" s="296">
        <v>112.3293172690763</v>
      </c>
      <c r="I51" s="296">
        <v>82.039603960396036</v>
      </c>
      <c r="J51" s="206"/>
    </row>
    <row r="52" spans="1:10" ht="12.75" customHeight="1" thickBot="1" x14ac:dyDescent="0.3">
      <c r="A52" s="165" t="s">
        <v>667</v>
      </c>
      <c r="B52" s="213">
        <v>78.486891385767791</v>
      </c>
      <c r="C52" s="214">
        <v>77.876984126984127</v>
      </c>
      <c r="D52" s="214">
        <v>85.927385892116178</v>
      </c>
      <c r="E52" s="214">
        <v>100.61674008810573</v>
      </c>
      <c r="F52" s="214">
        <v>101.71621621621621</v>
      </c>
      <c r="G52" s="214">
        <v>101.83287671232877</v>
      </c>
      <c r="H52" s="299">
        <v>101.18852459016394</v>
      </c>
      <c r="I52" s="299">
        <v>89.381074168797952</v>
      </c>
      <c r="J52" s="215"/>
    </row>
    <row r="53" spans="1:10" ht="12.75" customHeight="1" thickBot="1" x14ac:dyDescent="0.3">
      <c r="A53" s="196" t="s">
        <v>783</v>
      </c>
      <c r="B53" s="222">
        <v>86.068561422413794</v>
      </c>
      <c r="C53" s="223">
        <v>88.028969513036287</v>
      </c>
      <c r="D53" s="223">
        <v>94.232711886817398</v>
      </c>
      <c r="E53" s="223">
        <v>110.1068824730242</v>
      </c>
      <c r="F53" s="223">
        <v>122.22532221379834</v>
      </c>
      <c r="G53" s="223">
        <v>132.52245325878036</v>
      </c>
      <c r="H53" s="301">
        <v>116.24484156226971</v>
      </c>
      <c r="I53" s="301">
        <v>103.32229867956109</v>
      </c>
      <c r="J53" s="224"/>
    </row>
    <row r="54" spans="1:10" ht="12.75" customHeight="1" x14ac:dyDescent="0.25">
      <c r="A54" s="160" t="s">
        <v>582</v>
      </c>
      <c r="B54" s="201">
        <v>250.8095238095238</v>
      </c>
      <c r="C54" s="202">
        <v>279.83006535947715</v>
      </c>
      <c r="D54" s="202">
        <v>285.32142857142856</v>
      </c>
      <c r="E54" s="202">
        <v>281.15897435897438</v>
      </c>
      <c r="F54" s="202">
        <v>456.83185840707966</v>
      </c>
      <c r="G54" s="202">
        <v>698.22705314009659</v>
      </c>
      <c r="H54" s="295">
        <v>993.71755725190837</v>
      </c>
      <c r="I54" s="295">
        <v>310.16042780748666</v>
      </c>
      <c r="J54" s="203"/>
    </row>
    <row r="55" spans="1:10" ht="12.75" customHeight="1" x14ac:dyDescent="0.25">
      <c r="A55" s="164" t="s">
        <v>668</v>
      </c>
      <c r="B55" s="204">
        <v>79.11252392671588</v>
      </c>
      <c r="C55" s="205">
        <v>78.984198338101081</v>
      </c>
      <c r="D55" s="205">
        <v>82.671003493554991</v>
      </c>
      <c r="E55" s="205">
        <v>94.67010451045104</v>
      </c>
      <c r="F55" s="205">
        <v>104.78286352218811</v>
      </c>
      <c r="G55" s="205">
        <v>110.11681643132221</v>
      </c>
      <c r="H55" s="296">
        <v>107.61813490600811</v>
      </c>
      <c r="I55" s="296">
        <v>103.86552848647612</v>
      </c>
      <c r="J55" s="206"/>
    </row>
    <row r="56" spans="1:10" ht="12.75" customHeight="1" x14ac:dyDescent="0.25">
      <c r="A56" s="164" t="s">
        <v>669</v>
      </c>
      <c r="B56" s="204">
        <v>81.114516129032253</v>
      </c>
      <c r="C56" s="205">
        <v>81.178461538461534</v>
      </c>
      <c r="D56" s="205">
        <v>86.001390820584149</v>
      </c>
      <c r="E56" s="205">
        <v>91.030249110320284</v>
      </c>
      <c r="F56" s="205">
        <v>93.507380073800732</v>
      </c>
      <c r="G56" s="205">
        <v>83.425490196078428</v>
      </c>
      <c r="H56" s="296">
        <v>82.29299363057325</v>
      </c>
      <c r="I56" s="296">
        <v>73.276214833759596</v>
      </c>
      <c r="J56" s="206"/>
    </row>
    <row r="57" spans="1:10" ht="12.75" customHeight="1" x14ac:dyDescent="0.25">
      <c r="A57" s="164" t="s">
        <v>670</v>
      </c>
      <c r="B57" s="204">
        <v>69.12575655682582</v>
      </c>
      <c r="C57" s="205">
        <v>72.94908616187989</v>
      </c>
      <c r="D57" s="205">
        <v>91.384615384615387</v>
      </c>
      <c r="E57" s="205">
        <v>89.957153231663042</v>
      </c>
      <c r="F57" s="205">
        <v>92.256680161943322</v>
      </c>
      <c r="G57" s="205">
        <v>94.372839506172838</v>
      </c>
      <c r="H57" s="296">
        <v>89.134390651085141</v>
      </c>
      <c r="I57" s="296">
        <v>82.114845938375353</v>
      </c>
      <c r="J57" s="206"/>
    </row>
    <row r="58" spans="1:10" ht="12.75" customHeight="1" x14ac:dyDescent="0.25">
      <c r="A58" s="164" t="s">
        <v>671</v>
      </c>
      <c r="B58" s="204">
        <v>70.598027842227381</v>
      </c>
      <c r="C58" s="205">
        <v>74.487666034155595</v>
      </c>
      <c r="D58" s="205">
        <v>77.624128686327083</v>
      </c>
      <c r="E58" s="205">
        <v>88.352941176470594</v>
      </c>
      <c r="F58" s="205">
        <v>94.153896103896102</v>
      </c>
      <c r="G58" s="205">
        <v>91.805946791862283</v>
      </c>
      <c r="H58" s="296">
        <v>80.547445255474457</v>
      </c>
      <c r="I58" s="296">
        <v>74.025515210991173</v>
      </c>
      <c r="J58" s="206"/>
    </row>
    <row r="59" spans="1:10" ht="12.75" customHeight="1" x14ac:dyDescent="0.25">
      <c r="A59" s="164" t="s">
        <v>672</v>
      </c>
      <c r="B59" s="204">
        <v>87.186635944700456</v>
      </c>
      <c r="C59" s="205">
        <v>77.125452352231605</v>
      </c>
      <c r="D59" s="205">
        <v>91.505641025641026</v>
      </c>
      <c r="E59" s="205">
        <v>101.52664859981932</v>
      </c>
      <c r="F59" s="205">
        <v>120.38613861386139</v>
      </c>
      <c r="G59" s="205">
        <v>112.03252032520325</v>
      </c>
      <c r="H59" s="296">
        <v>93.177304964539005</v>
      </c>
      <c r="I59" s="296">
        <v>89.729141475211605</v>
      </c>
      <c r="J59" s="206"/>
    </row>
    <row r="60" spans="1:10" ht="12.75" customHeight="1" x14ac:dyDescent="0.25">
      <c r="A60" s="164" t="s">
        <v>673</v>
      </c>
      <c r="B60" s="204">
        <v>80.551584077985382</v>
      </c>
      <c r="C60" s="205">
        <v>80.735642661804917</v>
      </c>
      <c r="D60" s="205">
        <v>92.490703314470494</v>
      </c>
      <c r="E60" s="205">
        <v>97.988315481986362</v>
      </c>
      <c r="F60" s="205">
        <v>104.50897571277719</v>
      </c>
      <c r="G60" s="205">
        <v>112.99503722084367</v>
      </c>
      <c r="H60" s="296">
        <v>101.58311345646437</v>
      </c>
      <c r="I60" s="296">
        <v>74.605067064083457</v>
      </c>
      <c r="J60" s="206"/>
    </row>
    <row r="61" spans="1:10" ht="12.75" customHeight="1" x14ac:dyDescent="0.25">
      <c r="A61" s="164" t="s">
        <v>674</v>
      </c>
      <c r="B61" s="204">
        <v>65.886122637159986</v>
      </c>
      <c r="C61" s="205">
        <v>69.004730368968779</v>
      </c>
      <c r="D61" s="205">
        <v>77.770799347471453</v>
      </c>
      <c r="E61" s="205">
        <v>81.364819479429045</v>
      </c>
      <c r="F61" s="205">
        <v>93.072377462207967</v>
      </c>
      <c r="G61" s="205">
        <v>98.984375</v>
      </c>
      <c r="H61" s="296">
        <v>94.641053787047198</v>
      </c>
      <c r="I61" s="296">
        <v>90.39013671875</v>
      </c>
      <c r="J61" s="206"/>
    </row>
    <row r="62" spans="1:10" ht="12.75" customHeight="1" x14ac:dyDescent="0.25">
      <c r="A62" s="164" t="s">
        <v>675</v>
      </c>
      <c r="B62" s="204">
        <v>67.396039603960389</v>
      </c>
      <c r="C62" s="205">
        <v>56.077313054499363</v>
      </c>
      <c r="D62" s="205">
        <v>67.860744297719094</v>
      </c>
      <c r="E62" s="205">
        <v>66.468027210884358</v>
      </c>
      <c r="F62" s="205">
        <v>82.565217391304344</v>
      </c>
      <c r="G62" s="205">
        <v>72.59851301115242</v>
      </c>
      <c r="H62" s="296">
        <v>85.842013888888886</v>
      </c>
      <c r="I62" s="296">
        <v>86.062962962962956</v>
      </c>
      <c r="J62" s="206"/>
    </row>
    <row r="63" spans="1:10" ht="12.75" customHeight="1" x14ac:dyDescent="0.25">
      <c r="A63" s="164" t="s">
        <v>676</v>
      </c>
      <c r="B63" s="204">
        <v>62.644701691896707</v>
      </c>
      <c r="C63" s="205">
        <v>65.546247818499126</v>
      </c>
      <c r="D63" s="205">
        <v>75.212897526501763</v>
      </c>
      <c r="E63" s="205">
        <v>80.707381370826013</v>
      </c>
      <c r="F63" s="205">
        <v>90.873487348734869</v>
      </c>
      <c r="G63" s="205">
        <v>91.652037617554853</v>
      </c>
      <c r="H63" s="296">
        <v>91.757361601884568</v>
      </c>
      <c r="I63" s="296">
        <v>78.801001251564458</v>
      </c>
      <c r="J63" s="206"/>
    </row>
    <row r="64" spans="1:10" ht="12.75" customHeight="1" thickBot="1" x14ac:dyDescent="0.3">
      <c r="A64" s="184" t="s">
        <v>677</v>
      </c>
      <c r="B64" s="216">
        <v>62.204248366013069</v>
      </c>
      <c r="C64" s="217">
        <v>63.941434846266475</v>
      </c>
      <c r="D64" s="217">
        <v>72.185694635488304</v>
      </c>
      <c r="E64" s="217">
        <v>80.958745874587464</v>
      </c>
      <c r="F64" s="217">
        <v>93.170132325141779</v>
      </c>
      <c r="G64" s="217">
        <v>73.713318284424375</v>
      </c>
      <c r="H64" s="300">
        <v>86.124015748031496</v>
      </c>
      <c r="I64" s="300">
        <v>67.867965367965368</v>
      </c>
      <c r="J64" s="218"/>
    </row>
    <row r="65" spans="1:10" ht="12.75" customHeight="1" thickBot="1" x14ac:dyDescent="0.3">
      <c r="A65" s="196" t="s">
        <v>782</v>
      </c>
      <c r="B65" s="222">
        <v>75.931141028470535</v>
      </c>
      <c r="C65" s="223">
        <v>76.267876081495956</v>
      </c>
      <c r="D65" s="223">
        <v>83.121502394756746</v>
      </c>
      <c r="E65" s="223">
        <v>91.995793435545465</v>
      </c>
      <c r="F65" s="223">
        <v>104.60176470588236</v>
      </c>
      <c r="G65" s="223">
        <v>109.65810224733868</v>
      </c>
      <c r="H65" s="301">
        <v>114.21046915725456</v>
      </c>
      <c r="I65" s="301">
        <v>93.865663743574231</v>
      </c>
      <c r="J65" s="224"/>
    </row>
    <row r="66" spans="1:10" ht="12.75" customHeight="1" x14ac:dyDescent="0.25">
      <c r="A66" s="167" t="s">
        <v>584</v>
      </c>
      <c r="B66" s="210">
        <v>107.23123123123123</v>
      </c>
      <c r="C66" s="211">
        <v>81.466666666666669</v>
      </c>
      <c r="D66" s="211">
        <v>75.720289855072465</v>
      </c>
      <c r="E66" s="211">
        <v>169.71821305841925</v>
      </c>
      <c r="F66" s="211">
        <v>126.38904899135447</v>
      </c>
      <c r="G66" s="211">
        <v>172.55248618784532</v>
      </c>
      <c r="H66" s="298">
        <v>196.81278538812785</v>
      </c>
      <c r="I66" s="298">
        <v>257.7751196172249</v>
      </c>
      <c r="J66" s="212"/>
    </row>
    <row r="67" spans="1:10" ht="12.75" customHeight="1" x14ac:dyDescent="0.25">
      <c r="A67" s="164" t="s">
        <v>678</v>
      </c>
      <c r="B67" s="204">
        <v>61.453188960781723</v>
      </c>
      <c r="C67" s="205">
        <v>68.386260961998403</v>
      </c>
      <c r="D67" s="205">
        <v>82.590970715835141</v>
      </c>
      <c r="E67" s="205">
        <v>88.067704918032788</v>
      </c>
      <c r="F67" s="205">
        <v>95.694834855938154</v>
      </c>
      <c r="G67" s="205">
        <v>94.079056635110447</v>
      </c>
      <c r="H67" s="296">
        <v>70.283559782608691</v>
      </c>
      <c r="I67" s="296">
        <v>104.31375480563861</v>
      </c>
      <c r="J67" s="206"/>
    </row>
    <row r="68" spans="1:10" ht="12.75" customHeight="1" x14ac:dyDescent="0.25">
      <c r="A68" s="164" t="s">
        <v>679</v>
      </c>
      <c r="B68" s="204">
        <v>71.712098009188367</v>
      </c>
      <c r="C68" s="205">
        <v>67.817114093959731</v>
      </c>
      <c r="D68" s="205">
        <v>95.114854517611022</v>
      </c>
      <c r="E68" s="205">
        <v>80.199630314232905</v>
      </c>
      <c r="F68" s="205">
        <v>91.449806949806955</v>
      </c>
      <c r="G68" s="205">
        <v>87.776722090261288</v>
      </c>
      <c r="H68" s="296">
        <v>86.819121447028422</v>
      </c>
      <c r="I68" s="296">
        <v>76.789325842696627</v>
      </c>
      <c r="J68" s="206"/>
    </row>
    <row r="69" spans="1:10" ht="12.75" customHeight="1" x14ac:dyDescent="0.25">
      <c r="A69" s="164" t="s">
        <v>680</v>
      </c>
      <c r="B69" s="204">
        <v>69.771752837326602</v>
      </c>
      <c r="C69" s="205">
        <v>76.283917935142284</v>
      </c>
      <c r="D69" s="205">
        <v>88.535075653370015</v>
      </c>
      <c r="E69" s="205">
        <v>90.320695102685619</v>
      </c>
      <c r="F69" s="205">
        <v>90.875205254515606</v>
      </c>
      <c r="G69" s="205">
        <v>97.53744493392071</v>
      </c>
      <c r="H69" s="296">
        <v>113.05786026200873</v>
      </c>
      <c r="I69" s="296">
        <v>87.470391061452517</v>
      </c>
      <c r="J69" s="206"/>
    </row>
    <row r="70" spans="1:10" ht="12.75" customHeight="1" x14ac:dyDescent="0.25">
      <c r="A70" s="164" t="s">
        <v>681</v>
      </c>
      <c r="B70" s="204">
        <v>72.357862122385754</v>
      </c>
      <c r="C70" s="205">
        <v>70.405545927209701</v>
      </c>
      <c r="D70" s="205">
        <v>91.111670020120727</v>
      </c>
      <c r="E70" s="205">
        <v>107.91479289940828</v>
      </c>
      <c r="F70" s="205">
        <v>101.96167664670659</v>
      </c>
      <c r="G70" s="205">
        <v>127.77355836849507</v>
      </c>
      <c r="H70" s="296">
        <v>111.06465517241379</v>
      </c>
      <c r="I70" s="296">
        <v>106.50713359273671</v>
      </c>
      <c r="J70" s="206"/>
    </row>
    <row r="71" spans="1:10" ht="12.75" customHeight="1" x14ac:dyDescent="0.25">
      <c r="A71" s="164" t="s">
        <v>682</v>
      </c>
      <c r="B71" s="204">
        <v>61.718914185639228</v>
      </c>
      <c r="C71" s="205">
        <v>66.078375826251175</v>
      </c>
      <c r="D71" s="205">
        <v>79.166041275797369</v>
      </c>
      <c r="E71" s="205">
        <v>89.694412770809578</v>
      </c>
      <c r="F71" s="205">
        <v>86.260623229461757</v>
      </c>
      <c r="G71" s="205">
        <v>104.33666191155493</v>
      </c>
      <c r="H71" s="296">
        <v>113.49410029498524</v>
      </c>
      <c r="I71" s="296">
        <v>83.675268817204298</v>
      </c>
      <c r="J71" s="206"/>
    </row>
    <row r="72" spans="1:10" ht="12.75" customHeight="1" thickBot="1" x14ac:dyDescent="0.3">
      <c r="A72" s="165" t="s">
        <v>683</v>
      </c>
      <c r="B72" s="213">
        <v>82.827586206896555</v>
      </c>
      <c r="C72" s="214">
        <v>79.566176470588232</v>
      </c>
      <c r="D72" s="214">
        <v>89.903703703703698</v>
      </c>
      <c r="E72" s="214">
        <v>114.02439024390245</v>
      </c>
      <c r="F72" s="214">
        <v>93.861027190332322</v>
      </c>
      <c r="G72" s="214">
        <v>96.236593059936908</v>
      </c>
      <c r="H72" s="299">
        <v>98.891129032258064</v>
      </c>
      <c r="I72" s="299">
        <v>98.317880794701992</v>
      </c>
      <c r="J72" s="215"/>
    </row>
    <row r="73" spans="1:10" ht="12.75" customHeight="1" thickBot="1" x14ac:dyDescent="0.3">
      <c r="A73" s="196" t="s">
        <v>781</v>
      </c>
      <c r="B73" s="222">
        <v>65.972950126796277</v>
      </c>
      <c r="C73" s="223">
        <v>70.11232682619648</v>
      </c>
      <c r="D73" s="223">
        <v>84.162446589650258</v>
      </c>
      <c r="E73" s="223">
        <v>92.770647594787889</v>
      </c>
      <c r="F73" s="223">
        <v>95.751528972737646</v>
      </c>
      <c r="G73" s="223">
        <v>100.51117466370088</v>
      </c>
      <c r="H73" s="301">
        <v>83.427646610814932</v>
      </c>
      <c r="I73" s="301">
        <v>103.98606770833334</v>
      </c>
      <c r="J73" s="224"/>
    </row>
    <row r="74" spans="1:10" ht="12.75" customHeight="1" x14ac:dyDescent="0.25">
      <c r="A74" s="160" t="s">
        <v>586</v>
      </c>
      <c r="B74" s="201">
        <v>244.66129032258064</v>
      </c>
      <c r="C74" s="202">
        <v>186.43809523809523</v>
      </c>
      <c r="D74" s="202">
        <v>215.97826086956522</v>
      </c>
      <c r="E74" s="202">
        <v>239.26966292134833</v>
      </c>
      <c r="F74" s="202">
        <v>313.46923076923076</v>
      </c>
      <c r="G74" s="202">
        <v>339.416</v>
      </c>
      <c r="H74" s="295">
        <v>237.17391304347825</v>
      </c>
      <c r="I74" s="295">
        <v>312.51851851851853</v>
      </c>
      <c r="J74" s="203"/>
    </row>
    <row r="75" spans="1:10" ht="12.75" customHeight="1" x14ac:dyDescent="0.25">
      <c r="A75" s="164" t="s">
        <v>684</v>
      </c>
      <c r="B75" s="204">
        <v>67.349167397020153</v>
      </c>
      <c r="C75" s="205">
        <v>73.511268392624331</v>
      </c>
      <c r="D75" s="205">
        <v>73.742500000000007</v>
      </c>
      <c r="E75" s="205">
        <v>84.60089264740428</v>
      </c>
      <c r="F75" s="205">
        <v>100.47294177994358</v>
      </c>
      <c r="G75" s="205">
        <v>106.76908292147172</v>
      </c>
      <c r="H75" s="296">
        <v>104.73587985634998</v>
      </c>
      <c r="I75" s="296">
        <v>107.29881543752388</v>
      </c>
      <c r="J75" s="206"/>
    </row>
    <row r="76" spans="1:10" ht="12.75" customHeight="1" x14ac:dyDescent="0.25">
      <c r="A76" s="164" t="s">
        <v>685</v>
      </c>
      <c r="B76" s="204">
        <v>84.276864728192166</v>
      </c>
      <c r="C76" s="205">
        <v>83.892166836215665</v>
      </c>
      <c r="D76" s="205">
        <v>87.601951219512202</v>
      </c>
      <c r="E76" s="205">
        <v>115.41726618705036</v>
      </c>
      <c r="F76" s="205">
        <v>121.77718832891247</v>
      </c>
      <c r="G76" s="205">
        <v>113.77331189710611</v>
      </c>
      <c r="H76" s="296">
        <v>104.05816135084427</v>
      </c>
      <c r="I76" s="296">
        <v>87.858475894245728</v>
      </c>
      <c r="J76" s="206"/>
    </row>
    <row r="77" spans="1:10" ht="12.75" customHeight="1" x14ac:dyDescent="0.25">
      <c r="A77" s="164" t="s">
        <v>0</v>
      </c>
      <c r="B77" s="204">
        <v>89.030293850348386</v>
      </c>
      <c r="C77" s="205">
        <v>84.013892529488857</v>
      </c>
      <c r="D77" s="205">
        <v>91.411367127496163</v>
      </c>
      <c r="E77" s="205">
        <v>101.36687898089173</v>
      </c>
      <c r="F77" s="205">
        <v>116.32483860006796</v>
      </c>
      <c r="G77" s="205">
        <v>98.251904975347372</v>
      </c>
      <c r="H77" s="296">
        <v>78.248107163657536</v>
      </c>
      <c r="I77" s="296">
        <v>73.819408740359904</v>
      </c>
      <c r="J77" s="206"/>
    </row>
    <row r="78" spans="1:10" ht="12.75" customHeight="1" x14ac:dyDescent="0.25">
      <c r="A78" s="164" t="s">
        <v>686</v>
      </c>
      <c r="B78" s="204">
        <v>72.132575757575751</v>
      </c>
      <c r="C78" s="205">
        <v>80.53457943925234</v>
      </c>
      <c r="D78" s="205">
        <v>90.95471698113208</v>
      </c>
      <c r="E78" s="205">
        <v>116.59427207637232</v>
      </c>
      <c r="F78" s="205">
        <v>118.12638580931264</v>
      </c>
      <c r="G78" s="205">
        <v>119.01265822784811</v>
      </c>
      <c r="H78" s="296">
        <v>96.29580573951435</v>
      </c>
      <c r="I78" s="296">
        <v>89.404705882352943</v>
      </c>
      <c r="J78" s="206"/>
    </row>
    <row r="79" spans="1:10" ht="12.75" customHeight="1" x14ac:dyDescent="0.25">
      <c r="A79" s="164" t="s">
        <v>687</v>
      </c>
      <c r="B79" s="204">
        <v>65.28217821782178</v>
      </c>
      <c r="C79" s="205">
        <v>76.808853118712278</v>
      </c>
      <c r="D79" s="205">
        <v>79.067924528301887</v>
      </c>
      <c r="E79" s="205">
        <v>105.58224016145307</v>
      </c>
      <c r="F79" s="205">
        <v>115.99624765478424</v>
      </c>
      <c r="G79" s="205">
        <v>120.88783783783784</v>
      </c>
      <c r="H79" s="296">
        <v>89.095988538681951</v>
      </c>
      <c r="I79" s="296">
        <v>74.606701940035279</v>
      </c>
      <c r="J79" s="206"/>
    </row>
    <row r="80" spans="1:10" ht="12.75" customHeight="1" thickBot="1" x14ac:dyDescent="0.3">
      <c r="A80" s="184" t="s">
        <v>688</v>
      </c>
      <c r="B80" s="216">
        <v>69.176948051948045</v>
      </c>
      <c r="C80" s="217">
        <v>73.254452926208657</v>
      </c>
      <c r="D80" s="217">
        <v>73.510077519379848</v>
      </c>
      <c r="E80" s="217">
        <v>86.816369359916052</v>
      </c>
      <c r="F80" s="217">
        <v>83.720802919708035</v>
      </c>
      <c r="G80" s="217">
        <v>96.861804222648757</v>
      </c>
      <c r="H80" s="300">
        <v>106.6969964664311</v>
      </c>
      <c r="I80" s="300">
        <v>101.58172673931266</v>
      </c>
      <c r="J80" s="218"/>
    </row>
    <row r="81" spans="1:10" ht="12.75" customHeight="1" thickBot="1" x14ac:dyDescent="0.3">
      <c r="A81" s="196" t="s">
        <v>780</v>
      </c>
      <c r="B81" s="222">
        <v>75.988023008431171</v>
      </c>
      <c r="C81" s="223">
        <v>78.816486902927579</v>
      </c>
      <c r="D81" s="223">
        <v>81.714824927722461</v>
      </c>
      <c r="E81" s="223">
        <v>96.621922680894883</v>
      </c>
      <c r="F81" s="223">
        <v>109.81178063642518</v>
      </c>
      <c r="G81" s="223">
        <v>108.97396839831761</v>
      </c>
      <c r="H81" s="301">
        <v>98.729578563995844</v>
      </c>
      <c r="I81" s="301">
        <v>95.870799209262927</v>
      </c>
      <c r="J81" s="224"/>
    </row>
    <row r="82" spans="1:10" ht="12.75" customHeight="1" x14ac:dyDescent="0.25">
      <c r="A82" s="167" t="s">
        <v>588</v>
      </c>
      <c r="B82" s="210">
        <v>184.4304932735426</v>
      </c>
      <c r="C82" s="211">
        <v>200.2439024390244</v>
      </c>
      <c r="D82" s="211">
        <v>189.01463414634145</v>
      </c>
      <c r="E82" s="211">
        <v>239.78325123152709</v>
      </c>
      <c r="F82" s="211">
        <v>225.01694915254237</v>
      </c>
      <c r="G82" s="211">
        <v>217.1081081081081</v>
      </c>
      <c r="H82" s="298">
        <v>256.79381443298968</v>
      </c>
      <c r="I82" s="298">
        <v>240.1360544217687</v>
      </c>
      <c r="J82" s="212"/>
    </row>
    <row r="83" spans="1:10" ht="12.75" customHeight="1" x14ac:dyDescent="0.25">
      <c r="A83" s="164" t="s">
        <v>689</v>
      </c>
      <c r="B83" s="204">
        <v>80.35164835164835</v>
      </c>
      <c r="C83" s="205">
        <v>84.559593800106896</v>
      </c>
      <c r="D83" s="205">
        <v>84.398942956078002</v>
      </c>
      <c r="E83" s="205">
        <v>102.83042789223455</v>
      </c>
      <c r="F83" s="205">
        <v>103.84542586750788</v>
      </c>
      <c r="G83" s="205">
        <v>123.89397477814106</v>
      </c>
      <c r="H83" s="296">
        <v>122.83222165212929</v>
      </c>
      <c r="I83" s="296">
        <v>110.53512522907758</v>
      </c>
      <c r="J83" s="206"/>
    </row>
    <row r="84" spans="1:10" ht="12.75" customHeight="1" x14ac:dyDescent="0.25">
      <c r="A84" s="164" t="s">
        <v>690</v>
      </c>
      <c r="B84" s="204">
        <v>88.740229885057474</v>
      </c>
      <c r="C84" s="205">
        <v>90.685416666666669</v>
      </c>
      <c r="D84" s="205">
        <v>103.03225806451613</v>
      </c>
      <c r="E84" s="205">
        <v>111.55376344086021</v>
      </c>
      <c r="F84" s="205">
        <v>134.90610328638499</v>
      </c>
      <c r="G84" s="205">
        <v>113.41626794258373</v>
      </c>
      <c r="H84" s="296">
        <v>98.256172839506178</v>
      </c>
      <c r="I84" s="296">
        <v>107.35897435897436</v>
      </c>
      <c r="J84" s="206"/>
    </row>
    <row r="85" spans="1:10" ht="12.75" customHeight="1" x14ac:dyDescent="0.25">
      <c r="A85" s="164" t="s">
        <v>691</v>
      </c>
      <c r="B85" s="204">
        <v>94.604895104895107</v>
      </c>
      <c r="C85" s="205">
        <v>93.181102362204726</v>
      </c>
      <c r="D85" s="205">
        <v>98.580071174377224</v>
      </c>
      <c r="E85" s="205">
        <v>95.189922480620154</v>
      </c>
      <c r="F85" s="205">
        <v>120.04961832061069</v>
      </c>
      <c r="G85" s="205">
        <v>110.18672199170125</v>
      </c>
      <c r="H85" s="296">
        <v>108.27053140096618</v>
      </c>
      <c r="I85" s="296">
        <v>83.718390804597703</v>
      </c>
      <c r="J85" s="206"/>
    </row>
    <row r="86" spans="1:10" ht="12.75" customHeight="1" x14ac:dyDescent="0.25">
      <c r="A86" s="164" t="s">
        <v>692</v>
      </c>
      <c r="B86" s="204">
        <v>91.076126359399268</v>
      </c>
      <c r="C86" s="205">
        <v>97.734439834024897</v>
      </c>
      <c r="D86" s="205">
        <v>88.744213649851631</v>
      </c>
      <c r="E86" s="205">
        <v>105.5639701663798</v>
      </c>
      <c r="F86" s="205">
        <v>106.38885824600111</v>
      </c>
      <c r="G86" s="205">
        <v>104.57511896668933</v>
      </c>
      <c r="H86" s="296">
        <v>112.96951672862454</v>
      </c>
      <c r="I86" s="296">
        <v>92.76588337684943</v>
      </c>
      <c r="J86" s="206"/>
    </row>
    <row r="87" spans="1:10" ht="12.75" customHeight="1" thickBot="1" x14ac:dyDescent="0.3">
      <c r="A87" s="165" t="s">
        <v>693</v>
      </c>
      <c r="B87" s="213">
        <v>114.18361303060217</v>
      </c>
      <c r="C87" s="214">
        <v>107.5411829740188</v>
      </c>
      <c r="D87" s="214">
        <v>111.55937193326791</v>
      </c>
      <c r="E87" s="214">
        <v>95.688852813852819</v>
      </c>
      <c r="F87" s="214">
        <v>98.951385258755877</v>
      </c>
      <c r="G87" s="214">
        <v>111.13527397260275</v>
      </c>
      <c r="H87" s="299">
        <v>110.02440633245382</v>
      </c>
      <c r="I87" s="299">
        <v>116.75476839237058</v>
      </c>
      <c r="J87" s="215"/>
    </row>
    <row r="88" spans="1:10" ht="12.75" customHeight="1" thickBot="1" x14ac:dyDescent="0.3">
      <c r="A88" s="196" t="s">
        <v>779</v>
      </c>
      <c r="B88" s="222">
        <v>91.65384615384616</v>
      </c>
      <c r="C88" s="223">
        <v>93.779856687898089</v>
      </c>
      <c r="D88" s="223">
        <v>93.950353218210367</v>
      </c>
      <c r="E88" s="223">
        <v>105.00971283783784</v>
      </c>
      <c r="F88" s="223">
        <v>108.09586504834397</v>
      </c>
      <c r="G88" s="223">
        <v>119.8203727887926</v>
      </c>
      <c r="H88" s="301">
        <v>120.47113842864778</v>
      </c>
      <c r="I88" s="301">
        <v>110.85821581851624</v>
      </c>
      <c r="J88" s="224"/>
    </row>
    <row r="89" spans="1:10" ht="12.75" customHeight="1" x14ac:dyDescent="0.25">
      <c r="A89" s="160" t="s">
        <v>590</v>
      </c>
      <c r="B89" s="201">
        <v>229.31081081081081</v>
      </c>
      <c r="C89" s="202">
        <v>193.25225225225225</v>
      </c>
      <c r="D89" s="202">
        <v>270.79812206572768</v>
      </c>
      <c r="E89" s="202">
        <v>247.65193370165747</v>
      </c>
      <c r="F89" s="202">
        <v>306.47826086956519</v>
      </c>
      <c r="G89" s="202">
        <v>243.32558139534885</v>
      </c>
      <c r="H89" s="295">
        <v>261.40740740740739</v>
      </c>
      <c r="I89" s="295">
        <v>287.69411764705882</v>
      </c>
      <c r="J89" s="203"/>
    </row>
    <row r="90" spans="1:10" ht="12.75" customHeight="1" x14ac:dyDescent="0.25">
      <c r="A90" s="164" t="s">
        <v>694</v>
      </c>
      <c r="B90" s="204">
        <v>77.882370153621068</v>
      </c>
      <c r="C90" s="205">
        <v>71.407458947954353</v>
      </c>
      <c r="D90" s="205">
        <v>76.782775800711747</v>
      </c>
      <c r="E90" s="205">
        <v>89.218394950405767</v>
      </c>
      <c r="F90" s="205">
        <v>98.917644548751866</v>
      </c>
      <c r="G90" s="205">
        <v>100.5444947209653</v>
      </c>
      <c r="H90" s="296">
        <v>102.85316129032257</v>
      </c>
      <c r="I90" s="296">
        <v>105.09972583961617</v>
      </c>
      <c r="J90" s="206"/>
    </row>
    <row r="91" spans="1:10" ht="12.75" customHeight="1" x14ac:dyDescent="0.25">
      <c r="A91" s="164" t="s">
        <v>695</v>
      </c>
      <c r="B91" s="204">
        <v>97.55715017939518</v>
      </c>
      <c r="C91" s="205">
        <v>86.131898454746135</v>
      </c>
      <c r="D91" s="205">
        <v>98.216519174041295</v>
      </c>
      <c r="E91" s="205">
        <v>114.36013986013987</v>
      </c>
      <c r="F91" s="205">
        <v>108.82023346303502</v>
      </c>
      <c r="G91" s="205">
        <v>101.82280431432974</v>
      </c>
      <c r="H91" s="296">
        <v>87.662049861495845</v>
      </c>
      <c r="I91" s="296">
        <v>97.493250259605404</v>
      </c>
      <c r="J91" s="206"/>
    </row>
    <row r="92" spans="1:10" ht="12.75" customHeight="1" x14ac:dyDescent="0.25">
      <c r="A92" s="164" t="s">
        <v>773</v>
      </c>
      <c r="B92" s="204">
        <v>66.585232903865219</v>
      </c>
      <c r="C92" s="205">
        <v>65.968717413972882</v>
      </c>
      <c r="D92" s="205">
        <v>72.893946290395988</v>
      </c>
      <c r="E92" s="205">
        <v>92.065969954278245</v>
      </c>
      <c r="F92" s="205">
        <v>97.573991031390136</v>
      </c>
      <c r="G92" s="205">
        <v>86.193763919821819</v>
      </c>
      <c r="H92" s="296">
        <v>60.111111111111114</v>
      </c>
      <c r="I92" s="296">
        <v>62.19166666666667</v>
      </c>
      <c r="J92" s="206"/>
    </row>
    <row r="93" spans="1:10" ht="12.75" customHeight="1" x14ac:dyDescent="0.25">
      <c r="A93" s="164" t="s">
        <v>696</v>
      </c>
      <c r="B93" s="204">
        <v>73.417582417582423</v>
      </c>
      <c r="C93" s="205">
        <v>71.292576419213972</v>
      </c>
      <c r="D93" s="205">
        <v>83.088732394366204</v>
      </c>
      <c r="E93" s="205">
        <v>102.09722222222223</v>
      </c>
      <c r="F93" s="205">
        <v>113.45533769063181</v>
      </c>
      <c r="G93" s="205">
        <v>96.115299334811525</v>
      </c>
      <c r="H93" s="296">
        <v>83.821505376344092</v>
      </c>
      <c r="I93" s="296">
        <v>87.388349514563103</v>
      </c>
      <c r="J93" s="206"/>
    </row>
    <row r="94" spans="1:10" ht="12.75" customHeight="1" x14ac:dyDescent="0.25">
      <c r="A94" s="164" t="s">
        <v>697</v>
      </c>
      <c r="B94" s="204">
        <v>87.94861337683524</v>
      </c>
      <c r="C94" s="205">
        <v>82.337765957446805</v>
      </c>
      <c r="D94" s="205">
        <v>95.625620655412121</v>
      </c>
      <c r="E94" s="205">
        <v>132.71650485436894</v>
      </c>
      <c r="F94" s="205">
        <v>116.98697916666667</v>
      </c>
      <c r="G94" s="205">
        <v>120.78407350689127</v>
      </c>
      <c r="H94" s="296">
        <v>81.856275303643727</v>
      </c>
      <c r="I94" s="296">
        <v>83.113585746102444</v>
      </c>
      <c r="J94" s="206"/>
    </row>
    <row r="95" spans="1:10" ht="12.75" customHeight="1" x14ac:dyDescent="0.25">
      <c r="A95" s="164" t="s">
        <v>698</v>
      </c>
      <c r="B95" s="204">
        <v>82.574354407836154</v>
      </c>
      <c r="C95" s="205">
        <v>91.736252545824854</v>
      </c>
      <c r="D95" s="205">
        <v>91.859192825112103</v>
      </c>
      <c r="E95" s="205">
        <v>114.52182347235693</v>
      </c>
      <c r="F95" s="205">
        <v>116.29930394431554</v>
      </c>
      <c r="G95" s="205">
        <v>96.480144404332137</v>
      </c>
      <c r="H95" s="296">
        <v>56.47</v>
      </c>
      <c r="I95" s="296">
        <v>41.715596330275233</v>
      </c>
      <c r="J95" s="206"/>
    </row>
    <row r="96" spans="1:10" ht="12.75" customHeight="1" x14ac:dyDescent="0.25">
      <c r="A96" s="164" t="s">
        <v>699</v>
      </c>
      <c r="B96" s="204">
        <v>64.021903323262833</v>
      </c>
      <c r="C96" s="205">
        <v>61.276889534883722</v>
      </c>
      <c r="D96" s="205">
        <v>77.759094583670176</v>
      </c>
      <c r="E96" s="205">
        <v>99.974603174603175</v>
      </c>
      <c r="F96" s="205">
        <v>104.24806201550388</v>
      </c>
      <c r="G96" s="205">
        <v>92.536376604850219</v>
      </c>
      <c r="H96" s="296">
        <v>82.110367892976583</v>
      </c>
      <c r="I96" s="296">
        <v>71.837899543378995</v>
      </c>
      <c r="J96" s="206"/>
    </row>
    <row r="97" spans="1:10" ht="12.75" customHeight="1" thickBot="1" x14ac:dyDescent="0.3">
      <c r="A97" s="184" t="s">
        <v>700</v>
      </c>
      <c r="B97" s="216">
        <v>87.128851540616253</v>
      </c>
      <c r="C97" s="217">
        <v>87.336043360433607</v>
      </c>
      <c r="D97" s="217">
        <v>81.038819875776397</v>
      </c>
      <c r="E97" s="217">
        <v>95.285953177257525</v>
      </c>
      <c r="F97" s="217">
        <v>102.78709677419354</v>
      </c>
      <c r="G97" s="217">
        <v>79.133165829145725</v>
      </c>
      <c r="H97" s="300">
        <v>78.924999999999997</v>
      </c>
      <c r="I97" s="300">
        <v>73.747035573122531</v>
      </c>
      <c r="J97" s="218"/>
    </row>
    <row r="98" spans="1:10" ht="12.75" customHeight="1" thickBot="1" x14ac:dyDescent="0.3">
      <c r="A98" s="196" t="s">
        <v>778</v>
      </c>
      <c r="B98" s="222">
        <v>81.136074766355136</v>
      </c>
      <c r="C98" s="223">
        <v>75.976447130662351</v>
      </c>
      <c r="D98" s="223">
        <v>83.935618254118538</v>
      </c>
      <c r="E98" s="223">
        <v>101.74008810572687</v>
      </c>
      <c r="F98" s="223">
        <v>108.96637346527396</v>
      </c>
      <c r="G98" s="223">
        <v>102.10824404111086</v>
      </c>
      <c r="H98" s="301">
        <v>93.745317410433685</v>
      </c>
      <c r="I98" s="301">
        <v>96.16427457098284</v>
      </c>
      <c r="J98" s="224"/>
    </row>
    <row r="99" spans="1:10" ht="12.75" customHeight="1" x14ac:dyDescent="0.25">
      <c r="A99" s="167" t="s">
        <v>592</v>
      </c>
      <c r="B99" s="210">
        <v>204.91558441558442</v>
      </c>
      <c r="C99" s="211">
        <v>233.91176470588235</v>
      </c>
      <c r="D99" s="211">
        <v>270.91525423728814</v>
      </c>
      <c r="E99" s="211">
        <v>244.6178861788618</v>
      </c>
      <c r="F99" s="211">
        <v>257.77027027027026</v>
      </c>
      <c r="G99" s="211">
        <v>341.06493506493507</v>
      </c>
      <c r="H99" s="298">
        <v>412.01063829787233</v>
      </c>
      <c r="I99" s="298">
        <v>463.89795918367349</v>
      </c>
      <c r="J99" s="212"/>
    </row>
    <row r="100" spans="1:10" ht="12.75" customHeight="1" x14ac:dyDescent="0.25">
      <c r="A100" s="164" t="s">
        <v>774</v>
      </c>
      <c r="B100" s="204">
        <v>82.296787894876559</v>
      </c>
      <c r="C100" s="205">
        <v>89.503114382785952</v>
      </c>
      <c r="D100" s="205">
        <v>91.157111181501421</v>
      </c>
      <c r="E100" s="205">
        <v>106.56921555702044</v>
      </c>
      <c r="F100" s="205">
        <v>122.59963898916968</v>
      </c>
      <c r="G100" s="205">
        <v>133.59870179457809</v>
      </c>
      <c r="H100" s="296">
        <v>136.61754385964912</v>
      </c>
      <c r="I100" s="296">
        <v>147.03257790368272</v>
      </c>
      <c r="J100" s="206"/>
    </row>
    <row r="101" spans="1:10" ht="12.75" customHeight="1" x14ac:dyDescent="0.25">
      <c r="A101" s="164" t="s">
        <v>701</v>
      </c>
      <c r="B101" s="204">
        <v>80.34482758620689</v>
      </c>
      <c r="C101" s="205">
        <v>75.070671378091873</v>
      </c>
      <c r="D101" s="205">
        <v>81.631730769230771</v>
      </c>
      <c r="E101" s="205">
        <v>108.05450041288192</v>
      </c>
      <c r="F101" s="205">
        <v>141.36495643756049</v>
      </c>
      <c r="G101" s="205">
        <v>143.65077910174153</v>
      </c>
      <c r="H101" s="296">
        <v>146.35894357743098</v>
      </c>
      <c r="I101" s="296">
        <v>152.34454756380509</v>
      </c>
      <c r="J101" s="206"/>
    </row>
    <row r="102" spans="1:10" ht="12.75" customHeight="1" x14ac:dyDescent="0.25">
      <c r="A102" s="164" t="s">
        <v>702</v>
      </c>
      <c r="B102" s="204">
        <v>82.179057591623035</v>
      </c>
      <c r="C102" s="205">
        <v>79.481707317073173</v>
      </c>
      <c r="D102" s="205">
        <v>86.174871794871791</v>
      </c>
      <c r="E102" s="205">
        <v>105.13736574335783</v>
      </c>
      <c r="F102" s="205">
        <v>107.56527249683143</v>
      </c>
      <c r="G102" s="205">
        <v>103.1018315018315</v>
      </c>
      <c r="H102" s="296">
        <v>94.423556942277685</v>
      </c>
      <c r="I102" s="296">
        <v>99.110034602076126</v>
      </c>
      <c r="J102" s="206"/>
    </row>
    <row r="103" spans="1:10" ht="12.75" customHeight="1" x14ac:dyDescent="0.25">
      <c r="A103" s="164" t="s">
        <v>703</v>
      </c>
      <c r="B103" s="204">
        <v>76.015804597701148</v>
      </c>
      <c r="C103" s="205">
        <v>68.164115646258509</v>
      </c>
      <c r="D103" s="205">
        <v>75.449438202247194</v>
      </c>
      <c r="E103" s="205">
        <v>106.40397923875433</v>
      </c>
      <c r="F103" s="205">
        <v>113.68716289104638</v>
      </c>
      <c r="G103" s="205">
        <v>102.35287221570925</v>
      </c>
      <c r="H103" s="296">
        <v>110.07228915662651</v>
      </c>
      <c r="I103" s="296">
        <v>110.35946924004826</v>
      </c>
      <c r="J103" s="206"/>
    </row>
    <row r="104" spans="1:10" ht="12.75" customHeight="1" thickBot="1" x14ac:dyDescent="0.3">
      <c r="A104" s="165" t="s">
        <v>704</v>
      </c>
      <c r="B104" s="213">
        <v>74.916799999999995</v>
      </c>
      <c r="C104" s="214">
        <v>73.08271908271908</v>
      </c>
      <c r="D104" s="214">
        <v>68.970484891075188</v>
      </c>
      <c r="E104" s="214">
        <v>77.222222222222229</v>
      </c>
      <c r="F104" s="214">
        <v>89.95706883789785</v>
      </c>
      <c r="G104" s="214">
        <v>111.07131147540984</v>
      </c>
      <c r="H104" s="299">
        <v>94.510183299388999</v>
      </c>
      <c r="I104" s="299">
        <v>94.020547945205479</v>
      </c>
      <c r="J104" s="215"/>
    </row>
    <row r="105" spans="1:10" ht="12.75" customHeight="1" thickBot="1" x14ac:dyDescent="0.3">
      <c r="A105" s="196" t="s">
        <v>777</v>
      </c>
      <c r="B105" s="222">
        <v>82.194653210221176</v>
      </c>
      <c r="C105" s="223">
        <v>82.846017109210081</v>
      </c>
      <c r="D105" s="223">
        <v>85.610476830087308</v>
      </c>
      <c r="E105" s="223">
        <v>102.70199335548173</v>
      </c>
      <c r="F105" s="223">
        <v>116.56071382387172</v>
      </c>
      <c r="G105" s="223">
        <v>124.07307958477509</v>
      </c>
      <c r="H105" s="301">
        <v>123.54744290768735</v>
      </c>
      <c r="I105" s="301">
        <v>129.2970456005138</v>
      </c>
      <c r="J105" s="224"/>
    </row>
    <row r="106" spans="1:10" ht="12.75" customHeight="1" x14ac:dyDescent="0.25">
      <c r="A106" s="160" t="s">
        <v>594</v>
      </c>
      <c r="B106" s="201">
        <v>219.57777777777778</v>
      </c>
      <c r="C106" s="202">
        <v>252.13402061855669</v>
      </c>
      <c r="D106" s="202">
        <v>153.08163265306123</v>
      </c>
      <c r="E106" s="202">
        <v>214.98</v>
      </c>
      <c r="F106" s="202">
        <v>251.8</v>
      </c>
      <c r="G106" s="202">
        <v>152.69117647058823</v>
      </c>
      <c r="H106" s="295">
        <v>212.58333333333334</v>
      </c>
      <c r="I106" s="295">
        <v>242.76923076923077</v>
      </c>
      <c r="J106" s="203"/>
    </row>
    <row r="107" spans="1:10" ht="12.75" customHeight="1" x14ac:dyDescent="0.25">
      <c r="A107" s="164" t="s">
        <v>705</v>
      </c>
      <c r="B107" s="204">
        <v>61.9357833655706</v>
      </c>
      <c r="C107" s="205">
        <v>55.011014052411696</v>
      </c>
      <c r="D107" s="205">
        <v>64.098023064250413</v>
      </c>
      <c r="E107" s="205">
        <v>83.054398148148152</v>
      </c>
      <c r="F107" s="205">
        <v>81.895584725536992</v>
      </c>
      <c r="G107" s="205">
        <v>104.3817314246762</v>
      </c>
      <c r="H107" s="296">
        <v>97.132653061224488</v>
      </c>
      <c r="I107" s="296">
        <v>91.20013850415512</v>
      </c>
      <c r="J107" s="206"/>
    </row>
    <row r="108" spans="1:10" ht="12.75" customHeight="1" x14ac:dyDescent="0.25">
      <c r="A108" s="164" t="s">
        <v>706</v>
      </c>
      <c r="B108" s="204">
        <v>57.819354838709678</v>
      </c>
      <c r="C108" s="205">
        <v>59.564979480164162</v>
      </c>
      <c r="D108" s="205">
        <v>71.479606188466946</v>
      </c>
      <c r="E108" s="205">
        <v>87.049853372434015</v>
      </c>
      <c r="F108" s="205">
        <v>89.77458396369137</v>
      </c>
      <c r="G108" s="205">
        <v>83.272893772893767</v>
      </c>
      <c r="H108" s="296">
        <v>84.560253699788589</v>
      </c>
      <c r="I108" s="296">
        <v>71.385281385281388</v>
      </c>
      <c r="J108" s="206"/>
    </row>
    <row r="109" spans="1:10" ht="12.75" customHeight="1" x14ac:dyDescent="0.25">
      <c r="A109" s="164" t="s">
        <v>707</v>
      </c>
      <c r="B109" s="204">
        <v>58.763636363636365</v>
      </c>
      <c r="C109" s="205">
        <v>58.379310344827587</v>
      </c>
      <c r="D109" s="205">
        <v>65.243744955609358</v>
      </c>
      <c r="E109" s="205">
        <v>85.520467836257311</v>
      </c>
      <c r="F109" s="205">
        <v>96.046994535519119</v>
      </c>
      <c r="G109" s="205">
        <v>115.52864583333333</v>
      </c>
      <c r="H109" s="296">
        <v>106.58398950131233</v>
      </c>
      <c r="I109" s="296">
        <v>69.530370370370363</v>
      </c>
      <c r="J109" s="206"/>
    </row>
    <row r="110" spans="1:10" ht="12.75" customHeight="1" x14ac:dyDescent="0.25">
      <c r="A110" s="164" t="s">
        <v>708</v>
      </c>
      <c r="B110" s="204">
        <v>58.260582010582013</v>
      </c>
      <c r="C110" s="205">
        <v>68.451183431952657</v>
      </c>
      <c r="D110" s="205">
        <v>67.838666666666668</v>
      </c>
      <c r="E110" s="205">
        <v>79.400000000000006</v>
      </c>
      <c r="F110" s="205">
        <v>87.879581151832454</v>
      </c>
      <c r="G110" s="205">
        <v>99.339583333333337</v>
      </c>
      <c r="H110" s="296">
        <v>95.445255474452551</v>
      </c>
      <c r="I110" s="296">
        <v>81.350267379679138</v>
      </c>
      <c r="J110" s="206"/>
    </row>
    <row r="111" spans="1:10" ht="12.75" customHeight="1" x14ac:dyDescent="0.25">
      <c r="A111" s="164" t="s">
        <v>709</v>
      </c>
      <c r="B111" s="204">
        <v>71.449938195302849</v>
      </c>
      <c r="C111" s="205">
        <v>77.259259259259252</v>
      </c>
      <c r="D111" s="205">
        <v>84.339622641509436</v>
      </c>
      <c r="E111" s="205">
        <v>94.057777777777773</v>
      </c>
      <c r="F111" s="205">
        <v>101.43033509700176</v>
      </c>
      <c r="G111" s="205">
        <v>107.35112936344969</v>
      </c>
      <c r="H111" s="296">
        <v>101.93424036281179</v>
      </c>
      <c r="I111" s="296">
        <v>81.259953161592506</v>
      </c>
      <c r="J111" s="206"/>
    </row>
    <row r="112" spans="1:10" ht="12.75" customHeight="1" x14ac:dyDescent="0.25">
      <c r="A112" s="164" t="s">
        <v>710</v>
      </c>
      <c r="B112" s="204">
        <v>62.179178082191783</v>
      </c>
      <c r="C112" s="205">
        <v>63.573226544622429</v>
      </c>
      <c r="D112" s="205">
        <v>76.189393939393938</v>
      </c>
      <c r="E112" s="205">
        <v>93.134296028880868</v>
      </c>
      <c r="F112" s="205">
        <v>94.530395136778111</v>
      </c>
      <c r="G112" s="205">
        <v>94.729591836734699</v>
      </c>
      <c r="H112" s="296">
        <v>91.034300791556731</v>
      </c>
      <c r="I112" s="296">
        <v>84.745910577971642</v>
      </c>
      <c r="J112" s="206"/>
    </row>
    <row r="113" spans="1:10" ht="12.75" customHeight="1" thickBot="1" x14ac:dyDescent="0.3">
      <c r="A113" s="184" t="s">
        <v>711</v>
      </c>
      <c r="B113" s="216">
        <v>58.663793103448278</v>
      </c>
      <c r="C113" s="217">
        <v>63.679389312977101</v>
      </c>
      <c r="D113" s="217">
        <v>67.815677966101688</v>
      </c>
      <c r="E113" s="217">
        <v>79.514018691588788</v>
      </c>
      <c r="F113" s="217">
        <v>87.08</v>
      </c>
      <c r="G113" s="217">
        <v>88.128440366972484</v>
      </c>
      <c r="H113" s="300">
        <v>96.101351351351354</v>
      </c>
      <c r="I113" s="300">
        <v>77.548387096774192</v>
      </c>
      <c r="J113" s="218"/>
    </row>
    <row r="114" spans="1:10" ht="12.75" customHeight="1" thickBot="1" x14ac:dyDescent="0.3">
      <c r="A114" s="196" t="s">
        <v>776</v>
      </c>
      <c r="B114" s="222">
        <v>63.199556541019959</v>
      </c>
      <c r="C114" s="223">
        <v>63.550834786942438</v>
      </c>
      <c r="D114" s="223">
        <v>71.013151544401538</v>
      </c>
      <c r="E114" s="223">
        <v>88.696675031367633</v>
      </c>
      <c r="F114" s="223">
        <v>93.181263400956624</v>
      </c>
      <c r="G114" s="223">
        <v>102.05835543766578</v>
      </c>
      <c r="H114" s="301">
        <v>98.126063418406801</v>
      </c>
      <c r="I114" s="301">
        <v>84.839561855670098</v>
      </c>
      <c r="J114" s="224"/>
    </row>
    <row r="115" spans="1:10" ht="12.75" customHeight="1" x14ac:dyDescent="0.25">
      <c r="A115" s="167" t="s">
        <v>596</v>
      </c>
      <c r="B115" s="210">
        <v>123.08076923076923</v>
      </c>
      <c r="C115" s="211">
        <v>115.93388429752066</v>
      </c>
      <c r="D115" s="211">
        <v>126.42248062015504</v>
      </c>
      <c r="E115" s="211">
        <v>163.29493087557603</v>
      </c>
      <c r="F115" s="211">
        <v>143.96616541353384</v>
      </c>
      <c r="G115" s="211">
        <v>131.49538461538461</v>
      </c>
      <c r="H115" s="298">
        <v>101.16666666666667</v>
      </c>
      <c r="I115" s="298">
        <v>99.345276872964163</v>
      </c>
      <c r="J115" s="212"/>
    </row>
    <row r="116" spans="1:10" ht="12.75" customHeight="1" x14ac:dyDescent="0.25">
      <c r="A116" s="164" t="s">
        <v>712</v>
      </c>
      <c r="B116" s="204">
        <v>92.125552050473189</v>
      </c>
      <c r="C116" s="205">
        <v>100.1786941580756</v>
      </c>
      <c r="D116" s="205">
        <v>108.33187772925764</v>
      </c>
      <c r="E116" s="205">
        <v>117.96814814814815</v>
      </c>
      <c r="F116" s="205">
        <v>125.77015825169555</v>
      </c>
      <c r="G116" s="205">
        <v>138.08689138576779</v>
      </c>
      <c r="H116" s="296">
        <v>108.96883116883117</v>
      </c>
      <c r="I116" s="296">
        <v>113.86088527551942</v>
      </c>
      <c r="J116" s="206"/>
    </row>
    <row r="117" spans="1:10" ht="12.75" customHeight="1" x14ac:dyDescent="0.25">
      <c r="A117" s="164" t="s">
        <v>713</v>
      </c>
      <c r="B117" s="204">
        <v>113.61435897435898</v>
      </c>
      <c r="C117" s="205">
        <v>112.93013972055888</v>
      </c>
      <c r="D117" s="205">
        <v>121.24580454096743</v>
      </c>
      <c r="E117" s="205">
        <v>131.22097759674133</v>
      </c>
      <c r="F117" s="205">
        <v>146.8967587034814</v>
      </c>
      <c r="G117" s="205">
        <v>119.59783783783784</v>
      </c>
      <c r="H117" s="296">
        <v>96.912917271407835</v>
      </c>
      <c r="I117" s="296">
        <v>92.273668639053255</v>
      </c>
      <c r="J117" s="206"/>
    </row>
    <row r="118" spans="1:10" ht="12.75" customHeight="1" x14ac:dyDescent="0.25">
      <c r="A118" s="164" t="s">
        <v>714</v>
      </c>
      <c r="B118" s="204">
        <v>106.64520202020202</v>
      </c>
      <c r="C118" s="205">
        <v>110.71769134253451</v>
      </c>
      <c r="D118" s="205">
        <v>96.161006289308176</v>
      </c>
      <c r="E118" s="205">
        <v>97.935779816513758</v>
      </c>
      <c r="F118" s="205">
        <v>114.82644628099173</v>
      </c>
      <c r="G118" s="205">
        <v>120.96296296296296</v>
      </c>
      <c r="H118" s="296">
        <v>107.36494845360825</v>
      </c>
      <c r="I118" s="296">
        <v>100.23552894211576</v>
      </c>
      <c r="J118" s="206"/>
    </row>
    <row r="119" spans="1:10" ht="12.75" customHeight="1" x14ac:dyDescent="0.25">
      <c r="A119" s="164" t="s">
        <v>715</v>
      </c>
      <c r="B119" s="204">
        <v>84.875247524752481</v>
      </c>
      <c r="C119" s="205">
        <v>100.64621676891616</v>
      </c>
      <c r="D119" s="205">
        <v>103.32516339869281</v>
      </c>
      <c r="E119" s="205">
        <v>110.02459016393442</v>
      </c>
      <c r="F119" s="205">
        <v>103.0083857442348</v>
      </c>
      <c r="G119" s="205">
        <v>76.09429280397022</v>
      </c>
      <c r="H119" s="296">
        <v>86.173553719008268</v>
      </c>
      <c r="I119" s="296">
        <v>75.551724137931032</v>
      </c>
      <c r="J119" s="206"/>
    </row>
    <row r="120" spans="1:10" ht="12.75" customHeight="1" x14ac:dyDescent="0.25">
      <c r="A120" s="164" t="s">
        <v>716</v>
      </c>
      <c r="B120" s="204">
        <v>90.567099567099561</v>
      </c>
      <c r="C120" s="205">
        <v>106.6360153256705</v>
      </c>
      <c r="D120" s="205">
        <v>104.47108843537416</v>
      </c>
      <c r="E120" s="205">
        <v>117.92933618843684</v>
      </c>
      <c r="F120" s="205">
        <v>120.01764705882353</v>
      </c>
      <c r="G120" s="205">
        <v>112.15835140997831</v>
      </c>
      <c r="H120" s="296">
        <v>83.421875</v>
      </c>
      <c r="I120" s="296">
        <v>79.902912621359221</v>
      </c>
      <c r="J120" s="206"/>
    </row>
    <row r="121" spans="1:10" ht="12.75" customHeight="1" thickBot="1" x14ac:dyDescent="0.3">
      <c r="A121" s="165" t="s">
        <v>717</v>
      </c>
      <c r="B121" s="213">
        <v>89.018372703412069</v>
      </c>
      <c r="C121" s="214">
        <v>98.720754716981133</v>
      </c>
      <c r="D121" s="214">
        <v>111.00179533213644</v>
      </c>
      <c r="E121" s="214">
        <v>119.57559198542805</v>
      </c>
      <c r="F121" s="214">
        <v>121.69230769230769</v>
      </c>
      <c r="G121" s="214">
        <v>132.92427184466018</v>
      </c>
      <c r="H121" s="299">
        <v>88.936470588235295</v>
      </c>
      <c r="I121" s="299">
        <v>100.77370689655173</v>
      </c>
      <c r="J121" s="215"/>
    </row>
    <row r="122" spans="1:10" ht="12.75" customHeight="1" thickBot="1" x14ac:dyDescent="0.3">
      <c r="A122" s="196" t="s">
        <v>787</v>
      </c>
      <c r="B122" s="222">
        <v>98.444673282156899</v>
      </c>
      <c r="C122" s="223">
        <v>105.7010125074449</v>
      </c>
      <c r="D122" s="223">
        <v>109.11076299299668</v>
      </c>
      <c r="E122" s="223">
        <v>118.91362126245848</v>
      </c>
      <c r="F122" s="223">
        <v>125.44482390608324</v>
      </c>
      <c r="G122" s="223">
        <v>122.93456924754635</v>
      </c>
      <c r="H122" s="301">
        <v>99.262048986041606</v>
      </c>
      <c r="I122" s="301">
        <v>99.019277762693463</v>
      </c>
      <c r="J122" s="224"/>
    </row>
    <row r="123" spans="1:10" ht="12.75" customHeight="1" x14ac:dyDescent="0.25">
      <c r="A123" s="160" t="s">
        <v>598</v>
      </c>
      <c r="B123" s="201">
        <v>302.29411764705884</v>
      </c>
      <c r="C123" s="202">
        <v>248.21276595744681</v>
      </c>
      <c r="D123" s="202">
        <v>303.46946564885496</v>
      </c>
      <c r="E123" s="202">
        <v>353.08421052631581</v>
      </c>
      <c r="F123" s="202">
        <v>316.491452991453</v>
      </c>
      <c r="G123" s="202">
        <v>283.69818181818181</v>
      </c>
      <c r="H123" s="295">
        <v>346.09701492537312</v>
      </c>
      <c r="I123" s="295">
        <v>345.98872180451127</v>
      </c>
      <c r="J123" s="203"/>
    </row>
    <row r="124" spans="1:10" ht="12.75" customHeight="1" x14ac:dyDescent="0.25">
      <c r="A124" s="164" t="s">
        <v>718</v>
      </c>
      <c r="B124" s="204">
        <v>92.161370407149946</v>
      </c>
      <c r="C124" s="205">
        <v>89.314980793854033</v>
      </c>
      <c r="D124" s="205">
        <v>91.900929614873831</v>
      </c>
      <c r="E124" s="205">
        <v>121.09357857373347</v>
      </c>
      <c r="F124" s="205">
        <v>115.98904583453445</v>
      </c>
      <c r="G124" s="205">
        <v>123.56057930060049</v>
      </c>
      <c r="H124" s="296">
        <v>112.84898354307842</v>
      </c>
      <c r="I124" s="296">
        <v>108.52609819121447</v>
      </c>
      <c r="J124" s="206"/>
    </row>
    <row r="125" spans="1:10" ht="12.75" customHeight="1" x14ac:dyDescent="0.25">
      <c r="A125" s="164" t="s">
        <v>719</v>
      </c>
      <c r="B125" s="204">
        <v>84.560958904109583</v>
      </c>
      <c r="C125" s="205">
        <v>83.20653188180404</v>
      </c>
      <c r="D125" s="205">
        <v>85.423253565385551</v>
      </c>
      <c r="E125" s="205">
        <v>94.548225050234421</v>
      </c>
      <c r="F125" s="205">
        <v>100.08191653786707</v>
      </c>
      <c r="G125" s="205">
        <v>96.686092715231794</v>
      </c>
      <c r="H125" s="296">
        <v>87.337874659400541</v>
      </c>
      <c r="I125" s="296">
        <v>89.792385057471265</v>
      </c>
      <c r="J125" s="206"/>
    </row>
    <row r="126" spans="1:10" ht="12.75" customHeight="1" x14ac:dyDescent="0.25">
      <c r="A126" s="164" t="s">
        <v>720</v>
      </c>
      <c r="B126" s="204">
        <v>73.544179523141651</v>
      </c>
      <c r="C126" s="205">
        <v>68.446713147410364</v>
      </c>
      <c r="D126" s="205">
        <v>72.795099061522421</v>
      </c>
      <c r="E126" s="205">
        <v>85.123975969415625</v>
      </c>
      <c r="F126" s="205">
        <v>80.829654782116577</v>
      </c>
      <c r="G126" s="205">
        <v>94.390920554854986</v>
      </c>
      <c r="H126" s="296">
        <v>89.524447421299399</v>
      </c>
      <c r="I126" s="296">
        <v>104.89442231075697</v>
      </c>
      <c r="J126" s="206"/>
    </row>
    <row r="127" spans="1:10" ht="12.75" customHeight="1" x14ac:dyDescent="0.25">
      <c r="A127" s="164" t="s">
        <v>721</v>
      </c>
      <c r="B127" s="204">
        <v>76.251639989504071</v>
      </c>
      <c r="C127" s="205">
        <v>70.000236574402649</v>
      </c>
      <c r="D127" s="205">
        <v>71.279239442847668</v>
      </c>
      <c r="E127" s="205">
        <v>89.939771283354517</v>
      </c>
      <c r="F127" s="205">
        <v>106.75720789074354</v>
      </c>
      <c r="G127" s="205">
        <v>121.89061906570451</v>
      </c>
      <c r="H127" s="296">
        <v>116.31322892369211</v>
      </c>
      <c r="I127" s="296">
        <v>119.47862648913805</v>
      </c>
      <c r="J127" s="206"/>
    </row>
    <row r="128" spans="1:10" ht="12.75" customHeight="1" x14ac:dyDescent="0.25">
      <c r="A128" s="164" t="s">
        <v>722</v>
      </c>
      <c r="B128" s="204">
        <v>85.840385645420454</v>
      </c>
      <c r="C128" s="205">
        <v>81.651849642004777</v>
      </c>
      <c r="D128" s="205">
        <v>91.275852660300131</v>
      </c>
      <c r="E128" s="205">
        <v>100.01889534883721</v>
      </c>
      <c r="F128" s="205">
        <v>102.87402313222883</v>
      </c>
      <c r="G128" s="205">
        <v>118.50698689956332</v>
      </c>
      <c r="H128" s="296">
        <v>116.89192200557103</v>
      </c>
      <c r="I128" s="296">
        <v>108.63267605633803</v>
      </c>
      <c r="J128" s="206"/>
    </row>
    <row r="129" spans="1:10" ht="12.75" customHeight="1" x14ac:dyDescent="0.25">
      <c r="A129" s="164" t="s">
        <v>723</v>
      </c>
      <c r="B129" s="204">
        <v>68.888461538461542</v>
      </c>
      <c r="C129" s="205">
        <v>68.619673855865329</v>
      </c>
      <c r="D129" s="205">
        <v>70.967989756722147</v>
      </c>
      <c r="E129" s="205">
        <v>97.621689785624213</v>
      </c>
      <c r="F129" s="205">
        <v>117.33202025886325</v>
      </c>
      <c r="G129" s="205">
        <v>127.36147038801906</v>
      </c>
      <c r="H129" s="296">
        <v>113.19295558958652</v>
      </c>
      <c r="I129" s="296">
        <v>112.33333333333333</v>
      </c>
      <c r="J129" s="206"/>
    </row>
    <row r="130" spans="1:10" ht="12.75" customHeight="1" x14ac:dyDescent="0.25">
      <c r="A130" s="164" t="s">
        <v>724</v>
      </c>
      <c r="B130" s="204">
        <v>74.036231884057969</v>
      </c>
      <c r="C130" s="205">
        <v>83.571644042232279</v>
      </c>
      <c r="D130" s="205">
        <v>85.091436865021777</v>
      </c>
      <c r="E130" s="205">
        <v>92.03346203346203</v>
      </c>
      <c r="F130" s="205">
        <v>98.71764705882353</v>
      </c>
      <c r="G130" s="205">
        <v>107.50282485875707</v>
      </c>
      <c r="H130" s="296">
        <v>88.717850287907865</v>
      </c>
      <c r="I130" s="296">
        <v>81.631465517241381</v>
      </c>
      <c r="J130" s="206"/>
    </row>
    <row r="131" spans="1:10" ht="12.75" customHeight="1" x14ac:dyDescent="0.25">
      <c r="A131" s="164" t="s">
        <v>725</v>
      </c>
      <c r="B131" s="204">
        <v>70.636142625607775</v>
      </c>
      <c r="C131" s="205">
        <v>77.992146596858632</v>
      </c>
      <c r="D131" s="205">
        <v>71.963716814159298</v>
      </c>
      <c r="E131" s="205">
        <v>92.32708528584817</v>
      </c>
      <c r="F131" s="205">
        <v>94.774609015639371</v>
      </c>
      <c r="G131" s="205">
        <v>89.940520446096656</v>
      </c>
      <c r="H131" s="296">
        <v>88.308035714285708</v>
      </c>
      <c r="I131" s="296">
        <v>80.749140893470795</v>
      </c>
      <c r="J131" s="206"/>
    </row>
    <row r="132" spans="1:10" ht="12.75" customHeight="1" x14ac:dyDescent="0.25">
      <c r="A132" s="164" t="s">
        <v>726</v>
      </c>
      <c r="B132" s="204">
        <v>90.689086859688203</v>
      </c>
      <c r="C132" s="205">
        <v>105.54615384615384</v>
      </c>
      <c r="D132" s="205">
        <v>106.71926536731634</v>
      </c>
      <c r="E132" s="205">
        <v>119.11963365769891</v>
      </c>
      <c r="F132" s="205">
        <v>127.13323850165955</v>
      </c>
      <c r="G132" s="205">
        <v>127.96862210095497</v>
      </c>
      <c r="H132" s="296">
        <v>129.21676737160121</v>
      </c>
      <c r="I132" s="296">
        <v>120.0661099512874</v>
      </c>
      <c r="J132" s="206"/>
    </row>
    <row r="133" spans="1:10" ht="12.75" customHeight="1" x14ac:dyDescent="0.25">
      <c r="A133" s="164" t="s">
        <v>727</v>
      </c>
      <c r="B133" s="204">
        <v>63.700735294117649</v>
      </c>
      <c r="C133" s="205">
        <v>63.560556165386025</v>
      </c>
      <c r="D133" s="205">
        <v>69.326375082836321</v>
      </c>
      <c r="E133" s="205">
        <v>85.879744306831796</v>
      </c>
      <c r="F133" s="205">
        <v>103.87336428872942</v>
      </c>
      <c r="G133" s="205">
        <v>104.61309233023937</v>
      </c>
      <c r="H133" s="296">
        <v>98.81558596073765</v>
      </c>
      <c r="I133" s="296">
        <v>110.22791293213828</v>
      </c>
      <c r="J133" s="206"/>
    </row>
    <row r="134" spans="1:10" ht="12.75" customHeight="1" x14ac:dyDescent="0.25">
      <c r="A134" s="164" t="s">
        <v>728</v>
      </c>
      <c r="B134" s="204">
        <v>97.483689933356715</v>
      </c>
      <c r="C134" s="205">
        <v>79.533311236327478</v>
      </c>
      <c r="D134" s="205">
        <v>83.911010558069378</v>
      </c>
      <c r="E134" s="205">
        <v>115.99563145353456</v>
      </c>
      <c r="F134" s="205">
        <v>107.57205067300079</v>
      </c>
      <c r="G134" s="205">
        <v>130.56059160305344</v>
      </c>
      <c r="H134" s="296">
        <v>105.89503042596348</v>
      </c>
      <c r="I134" s="296">
        <v>98.616893732970027</v>
      </c>
      <c r="J134" s="206"/>
    </row>
    <row r="135" spans="1:10" ht="12.75" customHeight="1" x14ac:dyDescent="0.25">
      <c r="A135" s="164" t="s">
        <v>623</v>
      </c>
      <c r="B135" s="204">
        <v>86.604383561643829</v>
      </c>
      <c r="C135" s="205">
        <v>93.08324022346369</v>
      </c>
      <c r="D135" s="205">
        <v>88.75</v>
      </c>
      <c r="E135" s="205">
        <v>104.1789757412399</v>
      </c>
      <c r="F135" s="205">
        <v>110.61869266055047</v>
      </c>
      <c r="G135" s="205">
        <v>113.10114503816794</v>
      </c>
      <c r="H135" s="296">
        <v>133.95013661202185</v>
      </c>
      <c r="I135" s="296">
        <v>127.2</v>
      </c>
      <c r="J135" s="206"/>
    </row>
    <row r="136" spans="1:10" ht="12.75" customHeight="1" thickBot="1" x14ac:dyDescent="0.3">
      <c r="A136" s="184" t="s">
        <v>729</v>
      </c>
      <c r="B136" s="216">
        <v>59.040989660265879</v>
      </c>
      <c r="C136" s="217">
        <v>59.632159373888292</v>
      </c>
      <c r="D136" s="217">
        <v>63.361555232558139</v>
      </c>
      <c r="E136" s="217">
        <v>93.74159292035398</v>
      </c>
      <c r="F136" s="217">
        <v>94.617993405558167</v>
      </c>
      <c r="G136" s="217">
        <v>100.05030487804878</v>
      </c>
      <c r="H136" s="300">
        <v>100.16412601626017</v>
      </c>
      <c r="I136" s="300">
        <v>107.23757763975155</v>
      </c>
      <c r="J136" s="218"/>
    </row>
    <row r="137" spans="1:10" ht="12.75" customHeight="1" thickBot="1" x14ac:dyDescent="0.3">
      <c r="A137" s="196" t="s">
        <v>788</v>
      </c>
      <c r="B137" s="222">
        <v>82.321804647785044</v>
      </c>
      <c r="C137" s="223">
        <v>79.803840009645242</v>
      </c>
      <c r="D137" s="223">
        <v>83.117930037261559</v>
      </c>
      <c r="E137" s="223">
        <v>102.28358258891231</v>
      </c>
      <c r="F137" s="223">
        <v>107.62208720267891</v>
      </c>
      <c r="G137" s="223">
        <v>115.61033730491694</v>
      </c>
      <c r="H137" s="301">
        <v>111.39992380589553</v>
      </c>
      <c r="I137" s="301">
        <v>111.65862341772151</v>
      </c>
      <c r="J137" s="224"/>
    </row>
    <row r="138" spans="1:10" ht="12.75" customHeight="1" x14ac:dyDescent="0.25">
      <c r="A138" s="146" t="s">
        <v>600</v>
      </c>
      <c r="B138" s="219">
        <v>179.48936170212767</v>
      </c>
      <c r="C138" s="211">
        <v>202.81102362204723</v>
      </c>
      <c r="D138" s="211">
        <v>279.19607843137254</v>
      </c>
      <c r="E138" s="211">
        <v>253.9111111111111</v>
      </c>
      <c r="F138" s="211">
        <v>198.36054421768708</v>
      </c>
      <c r="G138" s="211">
        <v>176.63106796116506</v>
      </c>
      <c r="H138" s="298">
        <v>178.45631067961165</v>
      </c>
      <c r="I138" s="298">
        <v>249.84297520661158</v>
      </c>
      <c r="J138" s="212"/>
    </row>
    <row r="139" spans="1:10" ht="12.75" customHeight="1" x14ac:dyDescent="0.25">
      <c r="A139" s="151" t="s">
        <v>730</v>
      </c>
      <c r="B139" s="220">
        <v>82.853148680428532</v>
      </c>
      <c r="C139" s="205">
        <v>82.665544675642593</v>
      </c>
      <c r="D139" s="205">
        <v>93.62858062439652</v>
      </c>
      <c r="E139" s="205">
        <v>95.567701180994234</v>
      </c>
      <c r="F139" s="205">
        <v>102.40436962750717</v>
      </c>
      <c r="G139" s="205">
        <v>113.15993472052223</v>
      </c>
      <c r="H139" s="296">
        <v>106.11413043478261</v>
      </c>
      <c r="I139" s="296">
        <v>102.85901639344263</v>
      </c>
      <c r="J139" s="206"/>
    </row>
    <row r="140" spans="1:10" ht="12.75" customHeight="1" x14ac:dyDescent="0.25">
      <c r="A140" s="151" t="s">
        <v>731</v>
      </c>
      <c r="B140" s="220">
        <v>78.015679442508713</v>
      </c>
      <c r="C140" s="205">
        <v>74.369117647058829</v>
      </c>
      <c r="D140" s="205">
        <v>78.408333333333331</v>
      </c>
      <c r="E140" s="205">
        <v>87.655477031802121</v>
      </c>
      <c r="F140" s="205">
        <v>98.035940803382658</v>
      </c>
      <c r="G140" s="205">
        <v>100.63779527559055</v>
      </c>
      <c r="H140" s="296">
        <v>84.716763005780351</v>
      </c>
      <c r="I140" s="296">
        <v>82.62326869806094</v>
      </c>
      <c r="J140" s="206"/>
    </row>
    <row r="141" spans="1:10" ht="12.75" customHeight="1" x14ac:dyDescent="0.25">
      <c r="A141" s="151" t="s">
        <v>732</v>
      </c>
      <c r="B141" s="220">
        <v>75.732645403377106</v>
      </c>
      <c r="C141" s="205">
        <v>85.6</v>
      </c>
      <c r="D141" s="205">
        <v>95.338164251207729</v>
      </c>
      <c r="E141" s="205">
        <v>105.63533834586467</v>
      </c>
      <c r="F141" s="205">
        <v>107.15349887133183</v>
      </c>
      <c r="G141" s="205">
        <v>97.299442896935929</v>
      </c>
      <c r="H141" s="296">
        <v>97.097982708933714</v>
      </c>
      <c r="I141" s="296">
        <v>106.78395061728395</v>
      </c>
      <c r="J141" s="206"/>
    </row>
    <row r="142" spans="1:10" ht="12.75" customHeight="1" x14ac:dyDescent="0.25">
      <c r="A142" s="151" t="s">
        <v>624</v>
      </c>
      <c r="B142" s="220">
        <v>92.118724559023065</v>
      </c>
      <c r="C142" s="205">
        <v>94.704280155642024</v>
      </c>
      <c r="D142" s="205">
        <v>106.40813559322034</v>
      </c>
      <c r="E142" s="205">
        <v>106.14925373134328</v>
      </c>
      <c r="F142" s="205">
        <v>93.450095969289833</v>
      </c>
      <c r="G142" s="205">
        <v>98.532663316582912</v>
      </c>
      <c r="H142" s="296">
        <v>92.023980815347727</v>
      </c>
      <c r="I142" s="296">
        <v>93.152652005174645</v>
      </c>
      <c r="J142" s="206"/>
    </row>
    <row r="143" spans="1:10" ht="12.75" customHeight="1" x14ac:dyDescent="0.25">
      <c r="A143" s="151" t="s">
        <v>733</v>
      </c>
      <c r="B143" s="220">
        <v>77.703728362183753</v>
      </c>
      <c r="C143" s="205">
        <v>75.80609418282549</v>
      </c>
      <c r="D143" s="205">
        <v>95.183406113537117</v>
      </c>
      <c r="E143" s="205">
        <v>106.72425828970331</v>
      </c>
      <c r="F143" s="205">
        <v>116.95640569395017</v>
      </c>
      <c r="G143" s="205">
        <v>105.52669902912622</v>
      </c>
      <c r="H143" s="296">
        <v>96.96106194690266</v>
      </c>
      <c r="I143" s="296">
        <v>117.7564870259481</v>
      </c>
      <c r="J143" s="206"/>
    </row>
    <row r="144" spans="1:10" ht="12.75" customHeight="1" x14ac:dyDescent="0.25">
      <c r="A144" s="151" t="s">
        <v>734</v>
      </c>
      <c r="B144" s="220">
        <v>76.573907839616993</v>
      </c>
      <c r="C144" s="205">
        <v>75.163161249203313</v>
      </c>
      <c r="D144" s="205">
        <v>77.442012507106313</v>
      </c>
      <c r="E144" s="205">
        <v>77.18407128933444</v>
      </c>
      <c r="F144" s="205">
        <v>88.783773861967688</v>
      </c>
      <c r="G144" s="205">
        <v>95.155727680391351</v>
      </c>
      <c r="H144" s="296">
        <v>97.589667458432302</v>
      </c>
      <c r="I144" s="296">
        <v>84.345332519829171</v>
      </c>
      <c r="J144" s="206"/>
    </row>
    <row r="145" spans="1:10" ht="12.75" customHeight="1" thickBot="1" x14ac:dyDescent="0.3">
      <c r="A145" s="156" t="s">
        <v>735</v>
      </c>
      <c r="B145" s="221">
        <v>43.705882352941174</v>
      </c>
      <c r="C145" s="214">
        <v>41.966666666666669</v>
      </c>
      <c r="D145" s="214">
        <v>53.208333333333336</v>
      </c>
      <c r="E145" s="214">
        <v>34.368421052631582</v>
      </c>
      <c r="F145" s="214">
        <v>133.66666666666666</v>
      </c>
      <c r="G145" s="214">
        <v>88.424242424242422</v>
      </c>
      <c r="H145" s="299">
        <v>80.714285714285708</v>
      </c>
      <c r="I145" s="299">
        <v>102.1304347826087</v>
      </c>
      <c r="J145" s="215"/>
    </row>
    <row r="146" spans="1:10" ht="12.75" customHeight="1" thickBot="1" x14ac:dyDescent="0.3">
      <c r="A146" s="196" t="s">
        <v>789</v>
      </c>
      <c r="B146" s="222">
        <v>81.369344413665743</v>
      </c>
      <c r="C146" s="223">
        <v>82.384886383653338</v>
      </c>
      <c r="D146" s="223">
        <v>91.442842160461453</v>
      </c>
      <c r="E146" s="223">
        <v>94.539545336675602</v>
      </c>
      <c r="F146" s="223">
        <v>101.09067301449903</v>
      </c>
      <c r="G146" s="223">
        <v>103.67944207087208</v>
      </c>
      <c r="H146" s="301">
        <v>99.845914013784054</v>
      </c>
      <c r="I146" s="301">
        <v>99.751028438561974</v>
      </c>
      <c r="J146" s="224"/>
    </row>
    <row r="147" spans="1:10" ht="12.75" customHeight="1" x14ac:dyDescent="0.25">
      <c r="A147" s="160" t="s">
        <v>602</v>
      </c>
      <c r="B147" s="201">
        <v>195.85779816513761</v>
      </c>
      <c r="C147" s="202">
        <v>247.7344398340249</v>
      </c>
      <c r="D147" s="202">
        <v>365.51764705882351</v>
      </c>
      <c r="E147" s="202">
        <v>304.61306532663315</v>
      </c>
      <c r="F147" s="202">
        <v>226.2627450980392</v>
      </c>
      <c r="G147" s="202">
        <v>217.71328671328672</v>
      </c>
      <c r="H147" s="295">
        <v>324.04498269896192</v>
      </c>
      <c r="I147" s="295">
        <v>298.73429951690821</v>
      </c>
      <c r="J147" s="203"/>
    </row>
    <row r="148" spans="1:10" ht="12.75" customHeight="1" x14ac:dyDescent="0.25">
      <c r="A148" s="164" t="s">
        <v>775</v>
      </c>
      <c r="B148" s="204">
        <v>84.100920110997521</v>
      </c>
      <c r="C148" s="205">
        <v>82.388510374729023</v>
      </c>
      <c r="D148" s="205">
        <v>85.153642773207991</v>
      </c>
      <c r="E148" s="205">
        <v>94.559626111864915</v>
      </c>
      <c r="F148" s="205">
        <v>91.231571972834189</v>
      </c>
      <c r="G148" s="205">
        <v>93.189661584232056</v>
      </c>
      <c r="H148" s="296">
        <v>88.142198952879582</v>
      </c>
      <c r="I148" s="296">
        <v>90.77669902912622</v>
      </c>
      <c r="J148" s="206"/>
    </row>
    <row r="149" spans="1:10" ht="12.75" customHeight="1" x14ac:dyDescent="0.25">
      <c r="A149" s="164" t="s">
        <v>736</v>
      </c>
      <c r="B149" s="204">
        <v>97.398200224971873</v>
      </c>
      <c r="C149" s="205">
        <v>105.79252577319588</v>
      </c>
      <c r="D149" s="205">
        <v>123.64393063583815</v>
      </c>
      <c r="E149" s="205">
        <v>122.26198083067092</v>
      </c>
      <c r="F149" s="205">
        <v>93.762836185819069</v>
      </c>
      <c r="G149" s="205">
        <v>94.724902216427637</v>
      </c>
      <c r="H149" s="296">
        <v>97.795163584637265</v>
      </c>
      <c r="I149" s="296">
        <v>108.91171993911721</v>
      </c>
      <c r="J149" s="206"/>
    </row>
    <row r="150" spans="1:10" ht="12.75" customHeight="1" x14ac:dyDescent="0.25">
      <c r="A150" s="164" t="s">
        <v>737</v>
      </c>
      <c r="B150" s="204">
        <v>59.682646212847558</v>
      </c>
      <c r="C150" s="205">
        <v>67.369975389663665</v>
      </c>
      <c r="D150" s="205">
        <v>72.966227347611209</v>
      </c>
      <c r="E150" s="205">
        <v>77.725991189427319</v>
      </c>
      <c r="F150" s="205">
        <v>84.289523809523814</v>
      </c>
      <c r="G150" s="205">
        <v>78.482720178372347</v>
      </c>
      <c r="H150" s="296">
        <v>78.481865284974091</v>
      </c>
      <c r="I150" s="296">
        <v>83.328070175438597</v>
      </c>
      <c r="J150" s="206"/>
    </row>
    <row r="151" spans="1:10" ht="12.75" customHeight="1" x14ac:dyDescent="0.25">
      <c r="A151" s="164" t="s">
        <v>738</v>
      </c>
      <c r="B151" s="204">
        <v>75.954597701149424</v>
      </c>
      <c r="C151" s="205">
        <v>84.896716101694921</v>
      </c>
      <c r="D151" s="205">
        <v>93.125574272588054</v>
      </c>
      <c r="E151" s="205">
        <v>111.01661891117479</v>
      </c>
      <c r="F151" s="205">
        <v>120.89943502824859</v>
      </c>
      <c r="G151" s="205">
        <v>134.12764739553521</v>
      </c>
      <c r="H151" s="296">
        <v>123.17894056847545</v>
      </c>
      <c r="I151" s="296">
        <v>116.17147080561715</v>
      </c>
      <c r="J151" s="206"/>
    </row>
    <row r="152" spans="1:10" ht="12.75" customHeight="1" x14ac:dyDescent="0.25">
      <c r="A152" s="164" t="s">
        <v>625</v>
      </c>
      <c r="B152" s="204">
        <v>75.618604651162784</v>
      </c>
      <c r="C152" s="205">
        <v>86.367816091954026</v>
      </c>
      <c r="D152" s="205">
        <v>93.363960749330957</v>
      </c>
      <c r="E152" s="205">
        <v>124.2398753894081</v>
      </c>
      <c r="F152" s="205">
        <v>88.477678571428569</v>
      </c>
      <c r="G152" s="205">
        <v>84.818287037037038</v>
      </c>
      <c r="H152" s="296">
        <v>77.15654205607477</v>
      </c>
      <c r="I152" s="296">
        <v>82.256666666666661</v>
      </c>
      <c r="J152" s="206"/>
    </row>
    <row r="153" spans="1:10" ht="12.75" customHeight="1" x14ac:dyDescent="0.25">
      <c r="A153" s="164" t="s">
        <v>739</v>
      </c>
      <c r="B153" s="204">
        <v>85.488192552225243</v>
      </c>
      <c r="C153" s="205">
        <v>87.34116899618806</v>
      </c>
      <c r="D153" s="205">
        <v>95.193749999999994</v>
      </c>
      <c r="E153" s="205">
        <v>106.77757685352623</v>
      </c>
      <c r="F153" s="205">
        <v>110.48464163822526</v>
      </c>
      <c r="G153" s="205">
        <v>111.49151103565364</v>
      </c>
      <c r="H153" s="296">
        <v>115.74481327800829</v>
      </c>
      <c r="I153" s="296">
        <v>102.94303797468355</v>
      </c>
      <c r="J153" s="206"/>
    </row>
    <row r="154" spans="1:10" ht="12.75" customHeight="1" x14ac:dyDescent="0.25">
      <c r="A154" s="164" t="s">
        <v>740</v>
      </c>
      <c r="B154" s="204">
        <v>88.989583333333329</v>
      </c>
      <c r="C154" s="205">
        <v>82.972998137802605</v>
      </c>
      <c r="D154" s="205">
        <v>103.17552182163188</v>
      </c>
      <c r="E154" s="205">
        <v>101.21558704453442</v>
      </c>
      <c r="F154" s="205">
        <v>81.806277056277054</v>
      </c>
      <c r="G154" s="205">
        <v>88.454644808743168</v>
      </c>
      <c r="H154" s="296">
        <v>87.912154031287599</v>
      </c>
      <c r="I154" s="296">
        <v>85.040540540540547</v>
      </c>
      <c r="J154" s="206"/>
    </row>
    <row r="155" spans="1:10" ht="12.75" customHeight="1" thickBot="1" x14ac:dyDescent="0.3">
      <c r="A155" s="184" t="s">
        <v>741</v>
      </c>
      <c r="B155" s="216">
        <v>54.928571428571431</v>
      </c>
      <c r="C155" s="217">
        <v>49.187275985663085</v>
      </c>
      <c r="D155" s="217">
        <v>61.88622129436326</v>
      </c>
      <c r="E155" s="217">
        <v>69.393340270551505</v>
      </c>
      <c r="F155" s="217">
        <v>87.465227817745799</v>
      </c>
      <c r="G155" s="217">
        <v>81.895281933256612</v>
      </c>
      <c r="H155" s="300">
        <v>74.504038772213249</v>
      </c>
      <c r="I155" s="300">
        <v>66.399116347569958</v>
      </c>
      <c r="J155" s="218"/>
    </row>
    <row r="156" spans="1:10" ht="12.75" customHeight="1" thickBot="1" x14ac:dyDescent="0.3">
      <c r="A156" s="196" t="s">
        <v>790</v>
      </c>
      <c r="B156" s="222">
        <v>82.525719044263667</v>
      </c>
      <c r="C156" s="223">
        <v>83.670391426517682</v>
      </c>
      <c r="D156" s="223">
        <v>91.810131308731101</v>
      </c>
      <c r="E156" s="223">
        <v>101.69846275128104</v>
      </c>
      <c r="F156" s="223">
        <v>98.037369207772798</v>
      </c>
      <c r="G156" s="223">
        <v>101.86062557497701</v>
      </c>
      <c r="H156" s="301">
        <v>99.616448005635291</v>
      </c>
      <c r="I156" s="301">
        <v>97.628156381008097</v>
      </c>
      <c r="J156" s="224"/>
    </row>
    <row r="157" spans="1:10" ht="12.75" customHeight="1" x14ac:dyDescent="0.25">
      <c r="A157" s="146" t="s">
        <v>604</v>
      </c>
      <c r="B157" s="219">
        <v>216.64705882352942</v>
      </c>
      <c r="C157" s="211">
        <v>275.93714285714287</v>
      </c>
      <c r="D157" s="211">
        <v>235.0344827586207</v>
      </c>
      <c r="E157" s="211">
        <v>263.00900900900899</v>
      </c>
      <c r="F157" s="211">
        <v>326.9818181818182</v>
      </c>
      <c r="G157" s="211">
        <v>301.33098591549293</v>
      </c>
      <c r="H157" s="298">
        <v>238.12857142857143</v>
      </c>
      <c r="I157" s="298">
        <v>252.17857142857142</v>
      </c>
      <c r="J157" s="212"/>
    </row>
    <row r="158" spans="1:10" ht="12.75" customHeight="1" x14ac:dyDescent="0.25">
      <c r="A158" s="151" t="s">
        <v>742</v>
      </c>
      <c r="B158" s="220">
        <v>69.831597606913363</v>
      </c>
      <c r="C158" s="205">
        <v>75.949406071271454</v>
      </c>
      <c r="D158" s="205">
        <v>75.692105756609791</v>
      </c>
      <c r="E158" s="205">
        <v>98.505587949465507</v>
      </c>
      <c r="F158" s="205">
        <v>115.93443080357143</v>
      </c>
      <c r="G158" s="205">
        <v>119.20343932511356</v>
      </c>
      <c r="H158" s="296">
        <v>115.65036025786878</v>
      </c>
      <c r="I158" s="296">
        <v>106.84109221128021</v>
      </c>
      <c r="J158" s="206"/>
    </row>
    <row r="159" spans="1:10" ht="12.75" customHeight="1" x14ac:dyDescent="0.25">
      <c r="A159" s="151" t="s">
        <v>743</v>
      </c>
      <c r="B159" s="220">
        <v>86.587004405286351</v>
      </c>
      <c r="C159" s="205">
        <v>85.862887782458827</v>
      </c>
      <c r="D159" s="205">
        <v>82.759902498476535</v>
      </c>
      <c r="E159" s="205">
        <v>89.177556818181813</v>
      </c>
      <c r="F159" s="205">
        <v>116.29773869346734</v>
      </c>
      <c r="G159" s="205">
        <v>103.32744924977935</v>
      </c>
      <c r="H159" s="296">
        <v>90.474762618690661</v>
      </c>
      <c r="I159" s="296">
        <v>79.920564216778018</v>
      </c>
      <c r="J159" s="206"/>
    </row>
    <row r="160" spans="1:10" ht="12.75" customHeight="1" x14ac:dyDescent="0.25">
      <c r="A160" s="151" t="s">
        <v>744</v>
      </c>
      <c r="B160" s="220">
        <v>63.341988950276246</v>
      </c>
      <c r="C160" s="205">
        <v>62.371506849315068</v>
      </c>
      <c r="D160" s="205">
        <v>60.003824091778206</v>
      </c>
      <c r="E160" s="205">
        <v>84.058471760797346</v>
      </c>
      <c r="F160" s="205">
        <v>95.731051344743278</v>
      </c>
      <c r="G160" s="205">
        <v>77.572180451127821</v>
      </c>
      <c r="H160" s="296">
        <v>77.318307905686552</v>
      </c>
      <c r="I160" s="296">
        <v>82.856261022927683</v>
      </c>
      <c r="J160" s="206"/>
    </row>
    <row r="161" spans="1:10" ht="12.75" customHeight="1" x14ac:dyDescent="0.25">
      <c r="A161" s="151" t="s">
        <v>745</v>
      </c>
      <c r="B161" s="220">
        <v>71.66327683615819</v>
      </c>
      <c r="C161" s="205">
        <v>76.692750287686991</v>
      </c>
      <c r="D161" s="205">
        <v>82.524684270952932</v>
      </c>
      <c r="E161" s="205">
        <v>97.506960556844547</v>
      </c>
      <c r="F161" s="205">
        <v>100.55542021924482</v>
      </c>
      <c r="G161" s="205">
        <v>117.24809160305344</v>
      </c>
      <c r="H161" s="296">
        <v>95.240040858018389</v>
      </c>
      <c r="I161" s="296">
        <v>85.152337858220207</v>
      </c>
      <c r="J161" s="206"/>
    </row>
    <row r="162" spans="1:10" ht="12.75" customHeight="1" x14ac:dyDescent="0.25">
      <c r="A162" s="151" t="s">
        <v>746</v>
      </c>
      <c r="B162" s="220">
        <v>72.710159362549803</v>
      </c>
      <c r="C162" s="205">
        <v>77.439684329199551</v>
      </c>
      <c r="D162" s="205">
        <v>78.293604651162795</v>
      </c>
      <c r="E162" s="205">
        <v>93.694708276797826</v>
      </c>
      <c r="F162" s="205">
        <v>103.38881118881119</v>
      </c>
      <c r="G162" s="205">
        <v>108.49917081260365</v>
      </c>
      <c r="H162" s="296">
        <v>99.225999999999999</v>
      </c>
      <c r="I162" s="296">
        <v>95.207407407407402</v>
      </c>
      <c r="J162" s="206"/>
    </row>
    <row r="163" spans="1:10" ht="12.75" customHeight="1" x14ac:dyDescent="0.25">
      <c r="A163" s="151" t="s">
        <v>747</v>
      </c>
      <c r="B163" s="220">
        <v>54.831922611850061</v>
      </c>
      <c r="C163" s="205">
        <v>55.587759815242492</v>
      </c>
      <c r="D163" s="205">
        <v>65.621686746987947</v>
      </c>
      <c r="E163" s="205">
        <v>80.835820895522389</v>
      </c>
      <c r="F163" s="205">
        <v>82.163742690058484</v>
      </c>
      <c r="G163" s="205">
        <v>79.59844054580897</v>
      </c>
      <c r="H163" s="296">
        <v>85.969387755102048</v>
      </c>
      <c r="I163" s="296">
        <v>60.497461928934008</v>
      </c>
      <c r="J163" s="206"/>
    </row>
    <row r="164" spans="1:10" ht="12.75" customHeight="1" x14ac:dyDescent="0.25">
      <c r="A164" s="151" t="s">
        <v>748</v>
      </c>
      <c r="B164" s="220">
        <v>65.647936786654967</v>
      </c>
      <c r="C164" s="205">
        <v>64.351288056206087</v>
      </c>
      <c r="D164" s="205">
        <v>64.866382373845056</v>
      </c>
      <c r="E164" s="205">
        <v>85.039518900343637</v>
      </c>
      <c r="F164" s="205">
        <v>100.27882797731569</v>
      </c>
      <c r="G164" s="205">
        <v>109.00363196125907</v>
      </c>
      <c r="H164" s="296">
        <v>95.262532981530342</v>
      </c>
      <c r="I164" s="296">
        <v>85.828967642526962</v>
      </c>
      <c r="J164" s="206"/>
    </row>
    <row r="165" spans="1:10" ht="12.75" customHeight="1" thickBot="1" x14ac:dyDescent="0.3">
      <c r="A165" s="156" t="s">
        <v>749</v>
      </c>
      <c r="B165" s="221">
        <v>68.565217391304344</v>
      </c>
      <c r="C165" s="214">
        <v>73.901785714285708</v>
      </c>
      <c r="D165" s="214">
        <v>93.902173913043484</v>
      </c>
      <c r="E165" s="214">
        <v>117.27272727272727</v>
      </c>
      <c r="F165" s="214">
        <v>127.46902654867256</v>
      </c>
      <c r="G165" s="214">
        <v>96.58064516129032</v>
      </c>
      <c r="H165" s="299">
        <v>61.766355140186917</v>
      </c>
      <c r="I165" s="299">
        <v>59.932584269662918</v>
      </c>
      <c r="J165" s="215"/>
    </row>
    <row r="166" spans="1:10" ht="12.75" customHeight="1" thickBot="1" x14ac:dyDescent="0.3">
      <c r="A166" s="196" t="s">
        <v>791</v>
      </c>
      <c r="B166" s="222">
        <v>73.146649425724505</v>
      </c>
      <c r="C166" s="223">
        <v>76.355602793805048</v>
      </c>
      <c r="D166" s="223">
        <v>75.39860511457988</v>
      </c>
      <c r="E166" s="223">
        <v>93.436155419222899</v>
      </c>
      <c r="F166" s="223">
        <v>110.26504672897197</v>
      </c>
      <c r="G166" s="223">
        <v>108.3829478269889</v>
      </c>
      <c r="H166" s="301">
        <v>99.095393994129594</v>
      </c>
      <c r="I166" s="301">
        <v>93.193118594436314</v>
      </c>
      <c r="J166" s="224"/>
    </row>
    <row r="167" spans="1:10" ht="12.75" customHeight="1" x14ac:dyDescent="0.25">
      <c r="A167" s="160" t="s">
        <v>606</v>
      </c>
      <c r="B167" s="201">
        <v>199.47619047619048</v>
      </c>
      <c r="C167" s="202">
        <v>219.07317073170731</v>
      </c>
      <c r="D167" s="202">
        <v>260.8354430379747</v>
      </c>
      <c r="E167" s="202">
        <v>205.3</v>
      </c>
      <c r="F167" s="202">
        <v>272.55555555555554</v>
      </c>
      <c r="G167" s="202">
        <v>235.65625</v>
      </c>
      <c r="H167" s="295">
        <v>239.09090909090909</v>
      </c>
      <c r="I167" s="295">
        <v>203.1358024691358</v>
      </c>
      <c r="J167" s="203"/>
    </row>
    <row r="168" spans="1:10" ht="12.75" customHeight="1" x14ac:dyDescent="0.25">
      <c r="A168" s="164" t="s">
        <v>750</v>
      </c>
      <c r="B168" s="204">
        <v>93.534164159862485</v>
      </c>
      <c r="C168" s="205">
        <v>81.739800543970986</v>
      </c>
      <c r="D168" s="205">
        <v>86.668091168091166</v>
      </c>
      <c r="E168" s="205">
        <v>93.997028231797913</v>
      </c>
      <c r="F168" s="205">
        <v>100.04399406821553</v>
      </c>
      <c r="G168" s="205">
        <v>121.31205673758865</v>
      </c>
      <c r="H168" s="296">
        <v>111.41462021701885</v>
      </c>
      <c r="I168" s="296">
        <v>106.2724496029322</v>
      </c>
      <c r="J168" s="206"/>
    </row>
    <row r="169" spans="1:10" ht="12.75" customHeight="1" x14ac:dyDescent="0.25">
      <c r="A169" s="164" t="s">
        <v>751</v>
      </c>
      <c r="B169" s="204">
        <v>74.936842105263153</v>
      </c>
      <c r="C169" s="205">
        <v>70.091482649842277</v>
      </c>
      <c r="D169" s="205">
        <v>80.03857142857143</v>
      </c>
      <c r="E169" s="205">
        <v>76.105621805792168</v>
      </c>
      <c r="F169" s="205">
        <v>84.459595959595958</v>
      </c>
      <c r="G169" s="205">
        <v>78.370588235294122</v>
      </c>
      <c r="H169" s="296">
        <v>65.867768595041326</v>
      </c>
      <c r="I169" s="296">
        <v>65.350202429149803</v>
      </c>
      <c r="J169" s="206"/>
    </row>
    <row r="170" spans="1:10" ht="12.75" customHeight="1" x14ac:dyDescent="0.25">
      <c r="A170" s="164" t="s">
        <v>752</v>
      </c>
      <c r="B170" s="204">
        <v>95.931769722814494</v>
      </c>
      <c r="C170" s="205">
        <v>105.35714285714286</v>
      </c>
      <c r="D170" s="205">
        <v>116.68151016456922</v>
      </c>
      <c r="E170" s="205">
        <v>96.004454342984417</v>
      </c>
      <c r="F170" s="205">
        <v>104.94459459459459</v>
      </c>
      <c r="G170" s="205">
        <v>110.18225039619651</v>
      </c>
      <c r="H170" s="296">
        <v>96.332116788321173</v>
      </c>
      <c r="I170" s="296">
        <v>85.529215358931552</v>
      </c>
      <c r="J170" s="206"/>
    </row>
    <row r="171" spans="1:10" ht="12.75" customHeight="1" x14ac:dyDescent="0.25">
      <c r="A171" s="164" t="s">
        <v>753</v>
      </c>
      <c r="B171" s="204">
        <v>77.625258799171846</v>
      </c>
      <c r="C171" s="205">
        <v>75.736297828335054</v>
      </c>
      <c r="D171" s="205">
        <v>92.103720405862461</v>
      </c>
      <c r="E171" s="205">
        <v>91.742293464858193</v>
      </c>
      <c r="F171" s="205">
        <v>88.255144032921805</v>
      </c>
      <c r="G171" s="205">
        <v>108.07541478129714</v>
      </c>
      <c r="H171" s="296">
        <v>95.67023172905526</v>
      </c>
      <c r="I171" s="296">
        <v>93.559663865546213</v>
      </c>
      <c r="J171" s="206"/>
    </row>
    <row r="172" spans="1:10" ht="12.75" customHeight="1" thickBot="1" x14ac:dyDescent="0.3">
      <c r="A172" s="184" t="s">
        <v>626</v>
      </c>
      <c r="B172" s="216">
        <v>92.039014373716626</v>
      </c>
      <c r="C172" s="217">
        <v>94.176093916755605</v>
      </c>
      <c r="D172" s="217">
        <v>96.63636363636364</v>
      </c>
      <c r="E172" s="217">
        <v>115.08472553699283</v>
      </c>
      <c r="F172" s="217">
        <v>117.39281828073993</v>
      </c>
      <c r="G172" s="217">
        <v>100.73587570621469</v>
      </c>
      <c r="H172" s="300">
        <v>89.590529247910865</v>
      </c>
      <c r="I172" s="300">
        <v>86.033850493653034</v>
      </c>
      <c r="J172" s="218"/>
    </row>
    <row r="173" spans="1:10" ht="12.75" customHeight="1" thickBot="1" x14ac:dyDescent="0.3">
      <c r="A173" s="196" t="s">
        <v>792</v>
      </c>
      <c r="B173" s="222">
        <v>90.637067545304774</v>
      </c>
      <c r="C173" s="223">
        <v>87.357562154696126</v>
      </c>
      <c r="D173" s="223">
        <v>96.122761258911495</v>
      </c>
      <c r="E173" s="223">
        <v>96.856404365307299</v>
      </c>
      <c r="F173" s="223">
        <v>103.12937475422729</v>
      </c>
      <c r="G173" s="223">
        <v>111.11726014969381</v>
      </c>
      <c r="H173" s="301">
        <v>100.17781007751938</v>
      </c>
      <c r="I173" s="301">
        <v>94.921749696233292</v>
      </c>
      <c r="J173" s="224"/>
    </row>
    <row r="174" spans="1:10" ht="12.75" customHeight="1" x14ac:dyDescent="0.25">
      <c r="A174" s="167" t="s">
        <v>608</v>
      </c>
      <c r="B174" s="210">
        <v>139.97014925373134</v>
      </c>
      <c r="C174" s="211">
        <v>140.38853503184714</v>
      </c>
      <c r="D174" s="211">
        <v>167.31612903225806</v>
      </c>
      <c r="E174" s="211">
        <v>210.12727272727273</v>
      </c>
      <c r="F174" s="211">
        <v>201.4375</v>
      </c>
      <c r="G174" s="211">
        <v>191.15</v>
      </c>
      <c r="H174" s="298">
        <v>232.30985915492957</v>
      </c>
      <c r="I174" s="298">
        <v>185.71428571428572</v>
      </c>
      <c r="J174" s="212"/>
    </row>
    <row r="175" spans="1:10" ht="12.75" customHeight="1" x14ac:dyDescent="0.25">
      <c r="A175" s="164" t="s">
        <v>754</v>
      </c>
      <c r="B175" s="204">
        <v>82.329392446633832</v>
      </c>
      <c r="C175" s="205">
        <v>88.220756062767478</v>
      </c>
      <c r="D175" s="205">
        <v>86.710807819992624</v>
      </c>
      <c r="E175" s="205">
        <v>91.993260320134794</v>
      </c>
      <c r="F175" s="205">
        <v>97.412085606378511</v>
      </c>
      <c r="G175" s="205">
        <v>104.84149297140087</v>
      </c>
      <c r="H175" s="296">
        <v>99.223550508069337</v>
      </c>
      <c r="I175" s="296">
        <v>97.93760732684602</v>
      </c>
      <c r="J175" s="206"/>
    </row>
    <row r="176" spans="1:10" ht="12.75" customHeight="1" x14ac:dyDescent="0.25">
      <c r="A176" s="164" t="s">
        <v>755</v>
      </c>
      <c r="B176" s="204">
        <v>82.267699115044252</v>
      </c>
      <c r="C176" s="205">
        <v>87.97911832946636</v>
      </c>
      <c r="D176" s="205">
        <v>98.459134615384613</v>
      </c>
      <c r="E176" s="205">
        <v>105.26179245283019</v>
      </c>
      <c r="F176" s="205">
        <v>120.61792452830188</v>
      </c>
      <c r="G176" s="205">
        <v>98.242902208201897</v>
      </c>
      <c r="H176" s="296">
        <v>92.408759124087595</v>
      </c>
      <c r="I176" s="296">
        <v>100.65094339622641</v>
      </c>
      <c r="J176" s="206"/>
    </row>
    <row r="177" spans="1:10" ht="12.75" customHeight="1" x14ac:dyDescent="0.25">
      <c r="A177" s="164" t="s">
        <v>756</v>
      </c>
      <c r="B177" s="204">
        <v>73.060824742268039</v>
      </c>
      <c r="C177" s="205">
        <v>80.676375404530745</v>
      </c>
      <c r="D177" s="205">
        <v>92.275784753363226</v>
      </c>
      <c r="E177" s="205">
        <v>97.183813443072708</v>
      </c>
      <c r="F177" s="205">
        <v>101.16076294277929</v>
      </c>
      <c r="G177" s="205">
        <v>108.72141706924316</v>
      </c>
      <c r="H177" s="296">
        <v>112.28938356164383</v>
      </c>
      <c r="I177" s="296">
        <v>106.68096054888508</v>
      </c>
      <c r="J177" s="206"/>
    </row>
    <row r="178" spans="1:10" ht="12.75" customHeight="1" x14ac:dyDescent="0.25">
      <c r="A178" s="164" t="s">
        <v>757</v>
      </c>
      <c r="B178" s="204">
        <v>101.98014184397164</v>
      </c>
      <c r="C178" s="205">
        <v>100.96</v>
      </c>
      <c r="D178" s="205">
        <v>107.11627906976744</v>
      </c>
      <c r="E178" s="205">
        <v>117.90544871794872</v>
      </c>
      <c r="F178" s="205">
        <v>117.35143769968052</v>
      </c>
      <c r="G178" s="205">
        <v>119.13403880070547</v>
      </c>
      <c r="H178" s="296">
        <v>134.96174863387978</v>
      </c>
      <c r="I178" s="296">
        <v>135.20557491289199</v>
      </c>
      <c r="J178" s="206"/>
    </row>
    <row r="179" spans="1:10" ht="12.75" customHeight="1" x14ac:dyDescent="0.25">
      <c r="A179" s="164" t="s">
        <v>758</v>
      </c>
      <c r="B179" s="204">
        <v>86.062176165803109</v>
      </c>
      <c r="C179" s="205">
        <v>94.65758091993186</v>
      </c>
      <c r="D179" s="205">
        <v>114.95975855130784</v>
      </c>
      <c r="E179" s="205">
        <v>93.902152641878672</v>
      </c>
      <c r="F179" s="205">
        <v>85.674528301886795</v>
      </c>
      <c r="G179" s="205">
        <v>71.347368421052636</v>
      </c>
      <c r="H179" s="296">
        <v>80.956140350877192</v>
      </c>
      <c r="I179" s="296">
        <v>85.092307692307699</v>
      </c>
      <c r="J179" s="206"/>
    </row>
    <row r="180" spans="1:10" ht="12.75" customHeight="1" thickBot="1" x14ac:dyDescent="0.3">
      <c r="A180" s="165" t="s">
        <v>759</v>
      </c>
      <c r="B180" s="213">
        <v>88.982182628062361</v>
      </c>
      <c r="C180" s="214">
        <v>93.343317972350235</v>
      </c>
      <c r="D180" s="214">
        <v>93.149456521739125</v>
      </c>
      <c r="E180" s="214">
        <v>95.622754491017957</v>
      </c>
      <c r="F180" s="214">
        <v>104.6537216828479</v>
      </c>
      <c r="G180" s="214">
        <v>115.44047619047619</v>
      </c>
      <c r="H180" s="299">
        <v>108.38157894736842</v>
      </c>
      <c r="I180" s="299">
        <v>93.927999999999997</v>
      </c>
      <c r="J180" s="215"/>
    </row>
    <row r="181" spans="1:10" ht="12.75" customHeight="1" thickBot="1" x14ac:dyDescent="0.3">
      <c r="A181" s="196" t="s">
        <v>793</v>
      </c>
      <c r="B181" s="222">
        <v>85.125039469529526</v>
      </c>
      <c r="C181" s="223">
        <v>90.913272877164061</v>
      </c>
      <c r="D181" s="223">
        <v>96.012478336221832</v>
      </c>
      <c r="E181" s="223">
        <v>99.976302389345861</v>
      </c>
      <c r="F181" s="223">
        <v>103.88130504403523</v>
      </c>
      <c r="G181" s="223">
        <v>105.67323943661972</v>
      </c>
      <c r="H181" s="301">
        <v>107.46680999731255</v>
      </c>
      <c r="I181" s="301">
        <v>105.11502590673575</v>
      </c>
      <c r="J181" s="224"/>
    </row>
    <row r="182" spans="1:10" ht="12.75" customHeight="1" x14ac:dyDescent="0.25">
      <c r="A182" s="160" t="s">
        <v>610</v>
      </c>
      <c r="B182" s="201">
        <v>244.10204081632654</v>
      </c>
      <c r="C182" s="202">
        <v>174.16279069767441</v>
      </c>
      <c r="D182" s="202">
        <v>233.04545454545453</v>
      </c>
      <c r="E182" s="202">
        <v>299.01886792452831</v>
      </c>
      <c r="F182" s="202">
        <v>294.94186046511629</v>
      </c>
      <c r="G182" s="202">
        <v>257.57317073170731</v>
      </c>
      <c r="H182" s="295">
        <v>233.93269230769232</v>
      </c>
      <c r="I182" s="295">
        <v>230.50549450549451</v>
      </c>
      <c r="J182" s="203"/>
    </row>
    <row r="183" spans="1:10" ht="12.75" customHeight="1" x14ac:dyDescent="0.25">
      <c r="A183" s="164" t="s">
        <v>760</v>
      </c>
      <c r="B183" s="204">
        <v>80.728400735294116</v>
      </c>
      <c r="C183" s="205">
        <v>76.885951270088128</v>
      </c>
      <c r="D183" s="205">
        <v>79.169861554845582</v>
      </c>
      <c r="E183" s="205">
        <v>88.389683032939715</v>
      </c>
      <c r="F183" s="205">
        <v>84.981564245810063</v>
      </c>
      <c r="G183" s="205">
        <v>93.30879712746858</v>
      </c>
      <c r="H183" s="296">
        <v>93.209190672153639</v>
      </c>
      <c r="I183" s="296">
        <v>88.47461538461539</v>
      </c>
      <c r="J183" s="206"/>
    </row>
    <row r="184" spans="1:10" ht="12.75" customHeight="1" x14ac:dyDescent="0.25">
      <c r="A184" s="164" t="s">
        <v>761</v>
      </c>
      <c r="B184" s="204">
        <v>86.450495049504951</v>
      </c>
      <c r="C184" s="205">
        <v>87.915944540727907</v>
      </c>
      <c r="D184" s="205">
        <v>92.451099317664898</v>
      </c>
      <c r="E184" s="205">
        <v>97.599254426840631</v>
      </c>
      <c r="F184" s="205">
        <v>88.358800773694384</v>
      </c>
      <c r="G184" s="205">
        <v>91.353067814854683</v>
      </c>
      <c r="H184" s="296">
        <v>84.612870275791622</v>
      </c>
      <c r="I184" s="296">
        <v>84.848034006376196</v>
      </c>
      <c r="J184" s="206"/>
    </row>
    <row r="185" spans="1:10" ht="12.75" customHeight="1" x14ac:dyDescent="0.25">
      <c r="A185" s="164" t="s">
        <v>762</v>
      </c>
      <c r="B185" s="204">
        <v>89.028169014084511</v>
      </c>
      <c r="C185" s="205">
        <v>87.0740072202166</v>
      </c>
      <c r="D185" s="205">
        <v>92.025490196078437</v>
      </c>
      <c r="E185" s="205">
        <v>101.58465286236297</v>
      </c>
      <c r="F185" s="205">
        <v>100.14536928487691</v>
      </c>
      <c r="G185" s="205">
        <v>98.600846262341321</v>
      </c>
      <c r="H185" s="296">
        <v>86.027649769585253</v>
      </c>
      <c r="I185" s="296">
        <v>75.195956454121301</v>
      </c>
      <c r="J185" s="206"/>
    </row>
    <row r="186" spans="1:10" ht="12.75" customHeight="1" x14ac:dyDescent="0.25">
      <c r="A186" s="164" t="s">
        <v>763</v>
      </c>
      <c r="B186" s="204">
        <v>104.5972027972028</v>
      </c>
      <c r="C186" s="205">
        <v>92.781292984869324</v>
      </c>
      <c r="D186" s="205">
        <v>96.585301837270336</v>
      </c>
      <c r="E186" s="205">
        <v>101.72520325203251</v>
      </c>
      <c r="F186" s="205">
        <v>92.892857142857139</v>
      </c>
      <c r="G186" s="205">
        <v>98.038655462184877</v>
      </c>
      <c r="H186" s="296">
        <v>80.821109123434709</v>
      </c>
      <c r="I186" s="296">
        <v>77.014814814814812</v>
      </c>
      <c r="J186" s="206"/>
    </row>
    <row r="187" spans="1:10" ht="12.75" customHeight="1" x14ac:dyDescent="0.25">
      <c r="A187" s="164" t="s">
        <v>764</v>
      </c>
      <c r="B187" s="204">
        <v>97.817800167926109</v>
      </c>
      <c r="C187" s="205">
        <v>75.925499231950852</v>
      </c>
      <c r="D187" s="205">
        <v>76.194346289752644</v>
      </c>
      <c r="E187" s="205">
        <v>84.699386503067487</v>
      </c>
      <c r="F187" s="205">
        <v>93.204962243797198</v>
      </c>
      <c r="G187" s="205">
        <v>87.982738780207129</v>
      </c>
      <c r="H187" s="296">
        <v>78.231812577065355</v>
      </c>
      <c r="I187" s="296">
        <v>76.986244841815676</v>
      </c>
      <c r="J187" s="206"/>
    </row>
    <row r="188" spans="1:10" ht="12.75" customHeight="1" x14ac:dyDescent="0.25">
      <c r="A188" s="164" t="s">
        <v>765</v>
      </c>
      <c r="B188" s="204">
        <v>94.177464788732394</v>
      </c>
      <c r="C188" s="205">
        <v>79.791965566714495</v>
      </c>
      <c r="D188" s="205">
        <v>80.586800573888098</v>
      </c>
      <c r="E188" s="205">
        <v>83.53457943925234</v>
      </c>
      <c r="F188" s="205">
        <v>83.225663716814154</v>
      </c>
      <c r="G188" s="205">
        <v>82.340186915887855</v>
      </c>
      <c r="H188" s="296">
        <v>68.063789868667911</v>
      </c>
      <c r="I188" s="296">
        <v>66.426807760141088</v>
      </c>
      <c r="J188" s="206"/>
    </row>
    <row r="189" spans="1:10" ht="12.75" customHeight="1" thickBot="1" x14ac:dyDescent="0.3">
      <c r="A189" s="184" t="s">
        <v>627</v>
      </c>
      <c r="B189" s="216">
        <v>81.650289017341038</v>
      </c>
      <c r="C189" s="217">
        <v>76.885964912280699</v>
      </c>
      <c r="D189" s="217">
        <v>73.564583333333331</v>
      </c>
      <c r="E189" s="217">
        <v>77.038461538461533</v>
      </c>
      <c r="F189" s="217">
        <v>80.07532467532468</v>
      </c>
      <c r="G189" s="217">
        <v>92.830357142857139</v>
      </c>
      <c r="H189" s="300">
        <v>85.913757700205338</v>
      </c>
      <c r="I189" s="300">
        <v>74.217864923747271</v>
      </c>
      <c r="J189" s="218"/>
    </row>
    <row r="190" spans="1:10" ht="12.75" customHeight="1" thickBot="1" x14ac:dyDescent="0.3">
      <c r="A190" s="196" t="s">
        <v>794</v>
      </c>
      <c r="B190" s="222">
        <v>89.876469828143172</v>
      </c>
      <c r="C190" s="223">
        <v>82.790307671992608</v>
      </c>
      <c r="D190" s="223">
        <v>86.319229267022521</v>
      </c>
      <c r="E190" s="223">
        <v>94.75023847376788</v>
      </c>
      <c r="F190" s="223">
        <v>91.869894338432431</v>
      </c>
      <c r="G190" s="223">
        <v>94.594895512161699</v>
      </c>
      <c r="H190" s="301">
        <v>87.031709064851313</v>
      </c>
      <c r="I190" s="301">
        <v>82.284168564920279</v>
      </c>
      <c r="J190" s="224"/>
    </row>
    <row r="191" spans="1:10" ht="12.75" customHeight="1" x14ac:dyDescent="0.25">
      <c r="A191" s="167" t="s">
        <v>612</v>
      </c>
      <c r="B191" s="210">
        <v>208.20098039215685</v>
      </c>
      <c r="C191" s="211">
        <v>167.89427312775331</v>
      </c>
      <c r="D191" s="211">
        <v>162.26946107784431</v>
      </c>
      <c r="E191" s="211">
        <v>200.19078947368422</v>
      </c>
      <c r="F191" s="211">
        <v>178.63478260869564</v>
      </c>
      <c r="G191" s="211">
        <v>148.72560975609755</v>
      </c>
      <c r="H191" s="298">
        <v>206.7079646017699</v>
      </c>
      <c r="I191" s="298">
        <v>200.93693693693695</v>
      </c>
      <c r="J191" s="212"/>
    </row>
    <row r="192" spans="1:10" ht="12.75" customHeight="1" x14ac:dyDescent="0.25">
      <c r="A192" s="164" t="s">
        <v>766</v>
      </c>
      <c r="B192" s="204">
        <v>114.18482560230133</v>
      </c>
      <c r="C192" s="205">
        <v>108.08073701842547</v>
      </c>
      <c r="D192" s="205">
        <v>115.28263176512203</v>
      </c>
      <c r="E192" s="205">
        <v>123.85735366453517</v>
      </c>
      <c r="F192" s="205">
        <v>121.86115214180207</v>
      </c>
      <c r="G192" s="205">
        <v>116.77727952167415</v>
      </c>
      <c r="H192" s="296">
        <v>95.328489880643488</v>
      </c>
      <c r="I192" s="296">
        <v>101.97111111111111</v>
      </c>
      <c r="J192" s="206"/>
    </row>
    <row r="193" spans="1:10" ht="12.75" customHeight="1" x14ac:dyDescent="0.25">
      <c r="A193" s="164" t="s">
        <v>628</v>
      </c>
      <c r="B193" s="204">
        <v>90.865834633385333</v>
      </c>
      <c r="C193" s="205">
        <v>94.442446043165461</v>
      </c>
      <c r="D193" s="205">
        <v>87.894265232974917</v>
      </c>
      <c r="E193" s="205">
        <v>95.844129554655865</v>
      </c>
      <c r="F193" s="205">
        <v>118.90214797136038</v>
      </c>
      <c r="G193" s="205">
        <v>102.13366336633663</v>
      </c>
      <c r="H193" s="296">
        <v>97.880886426592795</v>
      </c>
      <c r="I193" s="296">
        <v>101.00689655172414</v>
      </c>
      <c r="J193" s="206"/>
    </row>
    <row r="194" spans="1:10" ht="12.75" customHeight="1" x14ac:dyDescent="0.25">
      <c r="A194" s="164" t="s">
        <v>767</v>
      </c>
      <c r="B194" s="204">
        <v>88.86091907279382</v>
      </c>
      <c r="C194" s="205">
        <v>92.392599277978334</v>
      </c>
      <c r="D194" s="205">
        <v>98.271544715447149</v>
      </c>
      <c r="E194" s="205">
        <v>110.26846846846847</v>
      </c>
      <c r="F194" s="205">
        <v>109.81980094290205</v>
      </c>
      <c r="G194" s="205">
        <v>102.61674816625917</v>
      </c>
      <c r="H194" s="296">
        <v>101.88172043010752</v>
      </c>
      <c r="I194" s="296">
        <v>92.460863204096569</v>
      </c>
      <c r="J194" s="206"/>
    </row>
    <row r="195" spans="1:10" ht="12.75" customHeight="1" thickBot="1" x14ac:dyDescent="0.3">
      <c r="A195" s="184" t="s">
        <v>768</v>
      </c>
      <c r="B195" s="216">
        <v>78.791810841983846</v>
      </c>
      <c r="C195" s="217">
        <v>84.63486842105263</v>
      </c>
      <c r="D195" s="217">
        <v>107.54010025062657</v>
      </c>
      <c r="E195" s="217">
        <v>110.1228533685601</v>
      </c>
      <c r="F195" s="217">
        <v>107.55156353958749</v>
      </c>
      <c r="G195" s="217">
        <v>98.328295549958014</v>
      </c>
      <c r="H195" s="300">
        <v>99.411764705882348</v>
      </c>
      <c r="I195" s="300">
        <v>96.670771756978652</v>
      </c>
      <c r="J195" s="218"/>
    </row>
    <row r="196" spans="1:10" ht="12.75" customHeight="1" thickBot="1" x14ac:dyDescent="0.3">
      <c r="A196" s="196" t="s">
        <v>795</v>
      </c>
      <c r="B196" s="222">
        <v>98.912904463486385</v>
      </c>
      <c r="C196" s="223">
        <v>98.918929303278688</v>
      </c>
      <c r="D196" s="223">
        <v>107.18059936908517</v>
      </c>
      <c r="E196" s="223">
        <v>115.56213940433494</v>
      </c>
      <c r="F196" s="223">
        <v>115.30182365735318</v>
      </c>
      <c r="G196" s="223">
        <v>108.29600148093299</v>
      </c>
      <c r="H196" s="301">
        <v>100.82627621685793</v>
      </c>
      <c r="I196" s="301">
        <v>100.14270789803594</v>
      </c>
      <c r="J196" s="224"/>
    </row>
    <row r="197" spans="1:10" ht="12.75" customHeight="1" thickBot="1" x14ac:dyDescent="0.3">
      <c r="A197" s="815" t="s">
        <v>614</v>
      </c>
      <c r="B197" s="222">
        <v>361.19760479041918</v>
      </c>
      <c r="C197" s="223">
        <v>383.03896103896102</v>
      </c>
      <c r="D197" s="223">
        <v>306.05517241379312</v>
      </c>
      <c r="E197" s="223">
        <v>456.73557692307691</v>
      </c>
      <c r="F197" s="223">
        <v>409.14932126696834</v>
      </c>
      <c r="G197" s="223">
        <v>368.828125</v>
      </c>
      <c r="H197" s="301">
        <v>435.41101694915255</v>
      </c>
      <c r="I197" s="301">
        <v>502.74550128534702</v>
      </c>
      <c r="J197" s="224"/>
    </row>
    <row r="198" spans="1:10" ht="12.75" customHeight="1" thickBot="1" x14ac:dyDescent="0.3">
      <c r="A198" s="815" t="s">
        <v>615</v>
      </c>
      <c r="B198" s="222" t="s">
        <v>6</v>
      </c>
      <c r="C198" s="223" t="s">
        <v>6</v>
      </c>
      <c r="D198" s="223" t="s">
        <v>6</v>
      </c>
      <c r="E198" s="223">
        <v>530.5</v>
      </c>
      <c r="F198" s="223" t="s">
        <v>6</v>
      </c>
      <c r="G198" s="223" t="s">
        <v>6</v>
      </c>
      <c r="H198" s="301" t="s">
        <v>6</v>
      </c>
      <c r="I198" s="301" t="s">
        <v>6</v>
      </c>
      <c r="J198" s="224"/>
    </row>
    <row r="199" spans="1:10" ht="12.75" customHeight="1" thickBot="1" x14ac:dyDescent="0.3">
      <c r="A199" s="815" t="s">
        <v>830</v>
      </c>
      <c r="B199" s="222">
        <v>96.912863070539416</v>
      </c>
      <c r="C199" s="223">
        <v>145.36407766990291</v>
      </c>
      <c r="D199" s="223">
        <v>123.64008620689656</v>
      </c>
      <c r="E199" s="223">
        <v>162.25364431486881</v>
      </c>
      <c r="F199" s="223">
        <v>241.66091954022988</v>
      </c>
      <c r="G199" s="223">
        <v>253.42250000000001</v>
      </c>
      <c r="H199" s="301">
        <v>274.67863894139884</v>
      </c>
      <c r="I199" s="301">
        <v>276.90707350901528</v>
      </c>
      <c r="J199" s="224"/>
    </row>
    <row r="200" spans="1:10" ht="12.75" customHeight="1" thickBot="1" x14ac:dyDescent="0.3">
      <c r="A200" s="676" t="s">
        <v>1072</v>
      </c>
      <c r="B200" s="303">
        <v>85.601526000704311</v>
      </c>
      <c r="C200" s="304">
        <v>81.106832310228029</v>
      </c>
      <c r="D200" s="304">
        <v>84.626686202192701</v>
      </c>
      <c r="E200" s="304">
        <v>98.206991468074705</v>
      </c>
      <c r="F200" s="304">
        <v>108.17759587656955</v>
      </c>
      <c r="G200" s="304">
        <v>115.3020595453151</v>
      </c>
      <c r="H200" s="305">
        <v>112.39870142664796</v>
      </c>
      <c r="I200" s="305">
        <v>110.34411785983733</v>
      </c>
      <c r="J200" s="306"/>
    </row>
    <row r="202" spans="1:10" ht="12.75" customHeight="1" x14ac:dyDescent="0.25">
      <c r="B202" s="225"/>
      <c r="C202" s="226"/>
      <c r="D202" s="29"/>
      <c r="E202" s="29"/>
      <c r="F202" s="226"/>
      <c r="G202" s="29"/>
      <c r="H202" s="29"/>
      <c r="I202" s="29"/>
    </row>
  </sheetData>
  <mergeCells count="2">
    <mergeCell ref="B1:J1"/>
    <mergeCell ref="A1:A2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2"/>
  <dimension ref="A1:LU12"/>
  <sheetViews>
    <sheetView zoomScaleNormal="100" workbookViewId="0">
      <pane xSplit="3" ySplit="3" topLeftCell="D4" activePane="bottomRight" state="frozen"/>
      <selection activeCell="B219" sqref="B219"/>
      <selection pane="topRight" activeCell="B219" sqref="B219"/>
      <selection pane="bottomLeft" activeCell="B219" sqref="B219"/>
      <selection pane="bottomRight" activeCell="B219" sqref="B219"/>
    </sheetView>
  </sheetViews>
  <sheetFormatPr defaultColWidth="9.140625" defaultRowHeight="12.75" x14ac:dyDescent="0.2"/>
  <cols>
    <col min="1" max="1" width="39.140625" style="94" bestFit="1" customWidth="1"/>
    <col min="2" max="2" width="39.140625" style="94" hidden="1" customWidth="1"/>
    <col min="3" max="3" width="34.42578125" style="94" customWidth="1"/>
    <col min="4" max="300" width="6.7109375" style="94" customWidth="1"/>
    <col min="301" max="302" width="5.28515625" style="94" customWidth="1"/>
    <col min="303" max="303" width="5.28515625" style="439" customWidth="1"/>
    <col min="304" max="305" width="5.28515625" style="94" customWidth="1"/>
    <col min="306" max="306" width="5.28515625" style="439" customWidth="1"/>
    <col min="307" max="308" width="5.28515625" style="94" customWidth="1"/>
    <col min="309" max="309" width="5.28515625" style="439" customWidth="1"/>
    <col min="310" max="311" width="5.28515625" style="94" customWidth="1"/>
    <col min="312" max="312" width="5.28515625" style="439" customWidth="1"/>
    <col min="313" max="314" width="5.28515625" style="94" customWidth="1"/>
    <col min="315" max="315" width="5.28515625" style="439" customWidth="1"/>
    <col min="316" max="317" width="5.28515625" style="94" customWidth="1"/>
    <col min="318" max="318" width="5.28515625" style="439" customWidth="1"/>
    <col min="319" max="320" width="5.28515625" style="94" customWidth="1"/>
    <col min="321" max="321" width="5.28515625" style="439" customWidth="1"/>
    <col min="322" max="323" width="5.28515625" style="94" customWidth="1"/>
    <col min="324" max="324" width="5.28515625" style="439" customWidth="1"/>
    <col min="325" max="326" width="5.28515625" style="94" customWidth="1"/>
    <col min="327" max="327" width="5.28515625" style="439" customWidth="1"/>
    <col min="328" max="329" width="5.28515625" style="94" customWidth="1"/>
    <col min="330" max="330" width="5.28515625" style="439" customWidth="1"/>
    <col min="331" max="332" width="5.28515625" style="94" customWidth="1"/>
    <col min="333" max="333" width="5.28515625" style="439" customWidth="1"/>
    <col min="334" max="16384" width="9.140625" style="94"/>
  </cols>
  <sheetData>
    <row r="1" spans="1:333" ht="33" customHeight="1" thickBot="1" x14ac:dyDescent="0.25">
      <c r="A1" s="963" t="s">
        <v>1175</v>
      </c>
      <c r="B1" s="967"/>
      <c r="C1" s="964"/>
      <c r="D1" s="958" t="s">
        <v>5</v>
      </c>
      <c r="E1" s="958"/>
      <c r="F1" s="958"/>
      <c r="G1" s="958"/>
      <c r="H1" s="958"/>
      <c r="I1" s="958"/>
      <c r="J1" s="958"/>
      <c r="K1" s="958"/>
      <c r="L1" s="958"/>
      <c r="M1" s="958"/>
      <c r="N1" s="958"/>
      <c r="O1" s="958"/>
      <c r="P1" s="958"/>
      <c r="Q1" s="958"/>
      <c r="R1" s="958"/>
      <c r="S1" s="958"/>
      <c r="T1" s="958"/>
      <c r="U1" s="958"/>
      <c r="V1" s="958"/>
      <c r="W1" s="958"/>
      <c r="X1" s="958"/>
      <c r="Y1" s="958"/>
      <c r="Z1" s="958"/>
      <c r="AA1" s="958"/>
      <c r="AB1" s="958"/>
      <c r="AC1" s="958"/>
      <c r="AD1" s="959"/>
      <c r="AE1" s="983" t="s">
        <v>7</v>
      </c>
      <c r="AF1" s="983"/>
      <c r="AG1" s="983"/>
      <c r="AH1" s="983"/>
      <c r="AI1" s="983"/>
      <c r="AJ1" s="983"/>
      <c r="AK1" s="983"/>
      <c r="AL1" s="983"/>
      <c r="AM1" s="983"/>
      <c r="AN1" s="983"/>
      <c r="AO1" s="983"/>
      <c r="AP1" s="983"/>
      <c r="AQ1" s="983"/>
      <c r="AR1" s="983"/>
      <c r="AS1" s="983"/>
      <c r="AT1" s="983"/>
      <c r="AU1" s="983"/>
      <c r="AV1" s="983"/>
      <c r="AW1" s="983"/>
      <c r="AX1" s="983"/>
      <c r="AY1" s="983"/>
      <c r="AZ1" s="983"/>
      <c r="BA1" s="983"/>
      <c r="BB1" s="983"/>
      <c r="BC1" s="983"/>
      <c r="BD1" s="983"/>
      <c r="BE1" s="984"/>
      <c r="BF1" s="983" t="s">
        <v>564</v>
      </c>
      <c r="BG1" s="983"/>
      <c r="BH1" s="983"/>
      <c r="BI1" s="983"/>
      <c r="BJ1" s="983"/>
      <c r="BK1" s="983"/>
      <c r="BL1" s="983"/>
      <c r="BM1" s="983"/>
      <c r="BN1" s="983"/>
      <c r="BO1" s="983"/>
      <c r="BP1" s="983"/>
      <c r="BQ1" s="983"/>
      <c r="BR1" s="983"/>
      <c r="BS1" s="983"/>
      <c r="BT1" s="983"/>
      <c r="BU1" s="983"/>
      <c r="BV1" s="983"/>
      <c r="BW1" s="983"/>
      <c r="BX1" s="983"/>
      <c r="BY1" s="983"/>
      <c r="BZ1" s="983"/>
      <c r="CA1" s="983"/>
      <c r="CB1" s="983"/>
      <c r="CC1" s="983"/>
      <c r="CD1" s="983"/>
      <c r="CE1" s="983"/>
      <c r="CF1" s="984"/>
      <c r="CG1" s="958" t="s">
        <v>8</v>
      </c>
      <c r="CH1" s="958"/>
      <c r="CI1" s="958"/>
      <c r="CJ1" s="958"/>
      <c r="CK1" s="958"/>
      <c r="CL1" s="958"/>
      <c r="CM1" s="958"/>
      <c r="CN1" s="958"/>
      <c r="CO1" s="958"/>
      <c r="CP1" s="958"/>
      <c r="CQ1" s="958"/>
      <c r="CR1" s="958"/>
      <c r="CS1" s="958"/>
      <c r="CT1" s="958"/>
      <c r="CU1" s="958"/>
      <c r="CV1" s="958"/>
      <c r="CW1" s="958"/>
      <c r="CX1" s="958"/>
      <c r="CY1" s="958"/>
      <c r="CZ1" s="958"/>
      <c r="DA1" s="958"/>
      <c r="DB1" s="958"/>
      <c r="DC1" s="958"/>
      <c r="DD1" s="958"/>
      <c r="DE1" s="958"/>
      <c r="DF1" s="958"/>
      <c r="DG1" s="959"/>
      <c r="DH1" s="983" t="s">
        <v>565</v>
      </c>
      <c r="DI1" s="983"/>
      <c r="DJ1" s="983"/>
      <c r="DK1" s="983"/>
      <c r="DL1" s="983"/>
      <c r="DM1" s="983"/>
      <c r="DN1" s="983"/>
      <c r="DO1" s="983"/>
      <c r="DP1" s="983"/>
      <c r="DQ1" s="983"/>
      <c r="DR1" s="983"/>
      <c r="DS1" s="983"/>
      <c r="DT1" s="983"/>
      <c r="DU1" s="983"/>
      <c r="DV1" s="983"/>
      <c r="DW1" s="983"/>
      <c r="DX1" s="983"/>
      <c r="DY1" s="983"/>
      <c r="DZ1" s="983"/>
      <c r="EA1" s="983"/>
      <c r="EB1" s="983"/>
      <c r="EC1" s="983"/>
      <c r="ED1" s="983"/>
      <c r="EE1" s="983"/>
      <c r="EF1" s="983"/>
      <c r="EG1" s="983"/>
      <c r="EH1" s="984"/>
      <c r="EI1" s="983" t="s">
        <v>566</v>
      </c>
      <c r="EJ1" s="983"/>
      <c r="EK1" s="983"/>
      <c r="EL1" s="983"/>
      <c r="EM1" s="983"/>
      <c r="EN1" s="983"/>
      <c r="EO1" s="983"/>
      <c r="EP1" s="983"/>
      <c r="EQ1" s="983"/>
      <c r="ER1" s="983"/>
      <c r="ES1" s="983"/>
      <c r="ET1" s="983"/>
      <c r="EU1" s="983"/>
      <c r="EV1" s="983"/>
      <c r="EW1" s="983"/>
      <c r="EX1" s="983"/>
      <c r="EY1" s="983"/>
      <c r="EZ1" s="983"/>
      <c r="FA1" s="983"/>
      <c r="FB1" s="983"/>
      <c r="FC1" s="983"/>
      <c r="FD1" s="983"/>
      <c r="FE1" s="983"/>
      <c r="FF1" s="983"/>
      <c r="FG1" s="983"/>
      <c r="FH1" s="983"/>
      <c r="FI1" s="984"/>
      <c r="FJ1" s="958" t="s">
        <v>9</v>
      </c>
      <c r="FK1" s="958"/>
      <c r="FL1" s="958"/>
      <c r="FM1" s="958"/>
      <c r="FN1" s="958"/>
      <c r="FO1" s="958"/>
      <c r="FP1" s="958"/>
      <c r="FQ1" s="958"/>
      <c r="FR1" s="958"/>
      <c r="FS1" s="958"/>
      <c r="FT1" s="958"/>
      <c r="FU1" s="958"/>
      <c r="FV1" s="958"/>
      <c r="FW1" s="958"/>
      <c r="FX1" s="958"/>
      <c r="FY1" s="958"/>
      <c r="FZ1" s="958"/>
      <c r="GA1" s="958"/>
      <c r="GB1" s="958"/>
      <c r="GC1" s="958"/>
      <c r="GD1" s="958"/>
      <c r="GE1" s="958"/>
      <c r="GF1" s="958"/>
      <c r="GG1" s="958"/>
      <c r="GH1" s="958"/>
      <c r="GI1" s="958"/>
      <c r="GJ1" s="959"/>
      <c r="GK1" s="958" t="s">
        <v>10</v>
      </c>
      <c r="GL1" s="958"/>
      <c r="GM1" s="958"/>
      <c r="GN1" s="958"/>
      <c r="GO1" s="958"/>
      <c r="GP1" s="958"/>
      <c r="GQ1" s="958"/>
      <c r="GR1" s="958"/>
      <c r="GS1" s="958"/>
      <c r="GT1" s="958"/>
      <c r="GU1" s="958"/>
      <c r="GV1" s="958"/>
      <c r="GW1" s="958"/>
      <c r="GX1" s="958"/>
      <c r="GY1" s="958"/>
      <c r="GZ1" s="958"/>
      <c r="HA1" s="958"/>
      <c r="HB1" s="958"/>
      <c r="HC1" s="958"/>
      <c r="HD1" s="958"/>
      <c r="HE1" s="958"/>
      <c r="HF1" s="958"/>
      <c r="HG1" s="958"/>
      <c r="HH1" s="958"/>
      <c r="HI1" s="958"/>
      <c r="HJ1" s="958"/>
      <c r="HK1" s="959"/>
      <c r="HL1" s="958" t="s">
        <v>11</v>
      </c>
      <c r="HM1" s="958"/>
      <c r="HN1" s="958"/>
      <c r="HO1" s="958"/>
      <c r="HP1" s="958"/>
      <c r="HQ1" s="958"/>
      <c r="HR1" s="958"/>
      <c r="HS1" s="958"/>
      <c r="HT1" s="958"/>
      <c r="HU1" s="958"/>
      <c r="HV1" s="958"/>
      <c r="HW1" s="958"/>
      <c r="HX1" s="958"/>
      <c r="HY1" s="958"/>
      <c r="HZ1" s="958"/>
      <c r="IA1" s="958"/>
      <c r="IB1" s="958"/>
      <c r="IC1" s="958"/>
      <c r="ID1" s="958"/>
      <c r="IE1" s="958"/>
      <c r="IF1" s="958"/>
      <c r="IG1" s="958"/>
      <c r="IH1" s="958"/>
      <c r="II1" s="958"/>
      <c r="IJ1" s="958"/>
      <c r="IK1" s="958"/>
      <c r="IL1" s="959"/>
      <c r="IM1" s="958" t="s">
        <v>12</v>
      </c>
      <c r="IN1" s="958"/>
      <c r="IO1" s="958"/>
      <c r="IP1" s="958"/>
      <c r="IQ1" s="958"/>
      <c r="IR1" s="958"/>
      <c r="IS1" s="958"/>
      <c r="IT1" s="958"/>
      <c r="IU1" s="958"/>
      <c r="IV1" s="958"/>
      <c r="IW1" s="958"/>
      <c r="IX1" s="958"/>
      <c r="IY1" s="958"/>
      <c r="IZ1" s="958"/>
      <c r="JA1" s="958"/>
      <c r="JB1" s="958"/>
      <c r="JC1" s="958"/>
      <c r="JD1" s="958"/>
      <c r="JE1" s="958"/>
      <c r="JF1" s="958"/>
      <c r="JG1" s="958"/>
      <c r="JH1" s="958"/>
      <c r="JI1" s="958"/>
      <c r="JJ1" s="958"/>
      <c r="JK1" s="958"/>
      <c r="JL1" s="958"/>
      <c r="JM1" s="959"/>
      <c r="JN1" s="958" t="s">
        <v>617</v>
      </c>
      <c r="JO1" s="958"/>
      <c r="JP1" s="958"/>
      <c r="JQ1" s="958"/>
      <c r="JR1" s="958"/>
      <c r="JS1" s="958"/>
      <c r="JT1" s="958"/>
      <c r="JU1" s="958"/>
      <c r="JV1" s="958"/>
      <c r="JW1" s="958"/>
      <c r="JX1" s="958"/>
      <c r="JY1" s="958"/>
      <c r="JZ1" s="958"/>
      <c r="KA1" s="958"/>
      <c r="KB1" s="958"/>
      <c r="KC1" s="958"/>
      <c r="KD1" s="958"/>
      <c r="KE1" s="958"/>
      <c r="KF1" s="958"/>
      <c r="KG1" s="958"/>
      <c r="KH1" s="958"/>
      <c r="KI1" s="958"/>
      <c r="KJ1" s="958"/>
      <c r="KK1" s="958"/>
      <c r="KL1" s="958"/>
      <c r="KM1" s="958"/>
      <c r="KN1" s="959"/>
      <c r="KO1" s="974" t="s">
        <v>1158</v>
      </c>
      <c r="KP1" s="975"/>
      <c r="KQ1" s="975"/>
      <c r="KR1" s="975"/>
      <c r="KS1" s="975"/>
      <c r="KT1" s="975"/>
      <c r="KU1" s="975"/>
      <c r="KV1" s="975"/>
      <c r="KW1" s="975"/>
      <c r="KX1" s="975"/>
      <c r="KY1" s="975"/>
      <c r="KZ1" s="975"/>
      <c r="LA1" s="975"/>
      <c r="LB1" s="975"/>
      <c r="LC1" s="975"/>
      <c r="LD1" s="975"/>
      <c r="LE1" s="975"/>
      <c r="LF1" s="975"/>
      <c r="LG1" s="975"/>
      <c r="LH1" s="975"/>
      <c r="LI1" s="975"/>
      <c r="LJ1" s="975"/>
      <c r="LK1" s="975"/>
      <c r="LL1" s="975"/>
      <c r="LM1" s="975"/>
      <c r="LN1" s="975"/>
      <c r="LO1" s="975"/>
      <c r="LP1" s="975"/>
      <c r="LQ1" s="975"/>
      <c r="LR1" s="975"/>
      <c r="LS1" s="975"/>
      <c r="LT1" s="975"/>
      <c r="LU1" s="976"/>
    </row>
    <row r="2" spans="1:333" s="707" customFormat="1" ht="39.75" customHeight="1" thickBot="1" x14ac:dyDescent="0.3">
      <c r="A2" s="980"/>
      <c r="B2" s="981"/>
      <c r="C2" s="981"/>
      <c r="D2" s="968" t="s">
        <v>1197</v>
      </c>
      <c r="E2" s="969"/>
      <c r="F2" s="970"/>
      <c r="G2" s="968" t="s">
        <v>1085</v>
      </c>
      <c r="H2" s="969"/>
      <c r="I2" s="970"/>
      <c r="J2" s="968" t="s">
        <v>1086</v>
      </c>
      <c r="K2" s="969"/>
      <c r="L2" s="969"/>
      <c r="M2" s="968" t="s">
        <v>1087</v>
      </c>
      <c r="N2" s="969"/>
      <c r="O2" s="969"/>
      <c r="P2" s="968" t="s">
        <v>1088</v>
      </c>
      <c r="Q2" s="969"/>
      <c r="R2" s="969"/>
      <c r="S2" s="968" t="s">
        <v>1089</v>
      </c>
      <c r="T2" s="969"/>
      <c r="U2" s="969"/>
      <c r="V2" s="968" t="s">
        <v>1090</v>
      </c>
      <c r="W2" s="969"/>
      <c r="X2" s="969"/>
      <c r="Y2" s="968" t="s">
        <v>1091</v>
      </c>
      <c r="Z2" s="969"/>
      <c r="AA2" s="969"/>
      <c r="AB2" s="968" t="s">
        <v>1154</v>
      </c>
      <c r="AC2" s="969"/>
      <c r="AD2" s="969"/>
      <c r="AE2" s="968" t="s">
        <v>1197</v>
      </c>
      <c r="AF2" s="969"/>
      <c r="AG2" s="970"/>
      <c r="AH2" s="968" t="s">
        <v>1085</v>
      </c>
      <c r="AI2" s="969"/>
      <c r="AJ2" s="970"/>
      <c r="AK2" s="968" t="s">
        <v>1086</v>
      </c>
      <c r="AL2" s="969"/>
      <c r="AM2" s="969"/>
      <c r="AN2" s="968" t="s">
        <v>1087</v>
      </c>
      <c r="AO2" s="969"/>
      <c r="AP2" s="969"/>
      <c r="AQ2" s="968" t="s">
        <v>1088</v>
      </c>
      <c r="AR2" s="969"/>
      <c r="AS2" s="969"/>
      <c r="AT2" s="968" t="s">
        <v>1089</v>
      </c>
      <c r="AU2" s="969"/>
      <c r="AV2" s="969"/>
      <c r="AW2" s="968" t="s">
        <v>1090</v>
      </c>
      <c r="AX2" s="969"/>
      <c r="AY2" s="969"/>
      <c r="AZ2" s="968" t="s">
        <v>1091</v>
      </c>
      <c r="BA2" s="969"/>
      <c r="BB2" s="969"/>
      <c r="BC2" s="968" t="s">
        <v>1154</v>
      </c>
      <c r="BD2" s="969"/>
      <c r="BE2" s="969"/>
      <c r="BF2" s="968" t="s">
        <v>1197</v>
      </c>
      <c r="BG2" s="969"/>
      <c r="BH2" s="970"/>
      <c r="BI2" s="968" t="s">
        <v>1085</v>
      </c>
      <c r="BJ2" s="969"/>
      <c r="BK2" s="970"/>
      <c r="BL2" s="968" t="s">
        <v>1086</v>
      </c>
      <c r="BM2" s="969"/>
      <c r="BN2" s="969"/>
      <c r="BO2" s="968" t="s">
        <v>1087</v>
      </c>
      <c r="BP2" s="969"/>
      <c r="BQ2" s="969"/>
      <c r="BR2" s="968" t="s">
        <v>1088</v>
      </c>
      <c r="BS2" s="969"/>
      <c r="BT2" s="969"/>
      <c r="BU2" s="968" t="s">
        <v>1089</v>
      </c>
      <c r="BV2" s="969"/>
      <c r="BW2" s="969"/>
      <c r="BX2" s="968" t="s">
        <v>1090</v>
      </c>
      <c r="BY2" s="969"/>
      <c r="BZ2" s="969"/>
      <c r="CA2" s="968" t="s">
        <v>1091</v>
      </c>
      <c r="CB2" s="969"/>
      <c r="CC2" s="969"/>
      <c r="CD2" s="968" t="s">
        <v>1154</v>
      </c>
      <c r="CE2" s="969"/>
      <c r="CF2" s="969"/>
      <c r="CG2" s="968" t="s">
        <v>1197</v>
      </c>
      <c r="CH2" s="969"/>
      <c r="CI2" s="970"/>
      <c r="CJ2" s="968" t="s">
        <v>1085</v>
      </c>
      <c r="CK2" s="969"/>
      <c r="CL2" s="970"/>
      <c r="CM2" s="968" t="s">
        <v>1086</v>
      </c>
      <c r="CN2" s="969"/>
      <c r="CO2" s="969"/>
      <c r="CP2" s="968" t="s">
        <v>1087</v>
      </c>
      <c r="CQ2" s="969"/>
      <c r="CR2" s="969"/>
      <c r="CS2" s="968" t="s">
        <v>1088</v>
      </c>
      <c r="CT2" s="969"/>
      <c r="CU2" s="969"/>
      <c r="CV2" s="968" t="s">
        <v>1089</v>
      </c>
      <c r="CW2" s="969"/>
      <c r="CX2" s="969"/>
      <c r="CY2" s="968" t="s">
        <v>1090</v>
      </c>
      <c r="CZ2" s="969"/>
      <c r="DA2" s="969"/>
      <c r="DB2" s="968" t="s">
        <v>1091</v>
      </c>
      <c r="DC2" s="969"/>
      <c r="DD2" s="969"/>
      <c r="DE2" s="968" t="s">
        <v>1154</v>
      </c>
      <c r="DF2" s="969"/>
      <c r="DG2" s="969"/>
      <c r="DH2" s="968" t="s">
        <v>1197</v>
      </c>
      <c r="DI2" s="969"/>
      <c r="DJ2" s="970"/>
      <c r="DK2" s="968" t="s">
        <v>1085</v>
      </c>
      <c r="DL2" s="969"/>
      <c r="DM2" s="970"/>
      <c r="DN2" s="968" t="s">
        <v>1086</v>
      </c>
      <c r="DO2" s="969"/>
      <c r="DP2" s="969"/>
      <c r="DQ2" s="968" t="s">
        <v>1087</v>
      </c>
      <c r="DR2" s="969"/>
      <c r="DS2" s="969"/>
      <c r="DT2" s="968" t="s">
        <v>1088</v>
      </c>
      <c r="DU2" s="969"/>
      <c r="DV2" s="969"/>
      <c r="DW2" s="968" t="s">
        <v>1089</v>
      </c>
      <c r="DX2" s="969"/>
      <c r="DY2" s="969"/>
      <c r="DZ2" s="968" t="s">
        <v>1090</v>
      </c>
      <c r="EA2" s="969"/>
      <c r="EB2" s="969"/>
      <c r="EC2" s="968" t="s">
        <v>1091</v>
      </c>
      <c r="ED2" s="969"/>
      <c r="EE2" s="969"/>
      <c r="EF2" s="968" t="s">
        <v>1154</v>
      </c>
      <c r="EG2" s="969"/>
      <c r="EH2" s="969"/>
      <c r="EI2" s="968" t="s">
        <v>1197</v>
      </c>
      <c r="EJ2" s="969"/>
      <c r="EK2" s="970"/>
      <c r="EL2" s="968" t="s">
        <v>1085</v>
      </c>
      <c r="EM2" s="969"/>
      <c r="EN2" s="970"/>
      <c r="EO2" s="968" t="s">
        <v>1086</v>
      </c>
      <c r="EP2" s="969"/>
      <c r="EQ2" s="969"/>
      <c r="ER2" s="968" t="s">
        <v>1087</v>
      </c>
      <c r="ES2" s="969"/>
      <c r="ET2" s="969"/>
      <c r="EU2" s="968" t="s">
        <v>1088</v>
      </c>
      <c r="EV2" s="969"/>
      <c r="EW2" s="969"/>
      <c r="EX2" s="968" t="s">
        <v>1089</v>
      </c>
      <c r="EY2" s="969"/>
      <c r="EZ2" s="969"/>
      <c r="FA2" s="968" t="s">
        <v>1090</v>
      </c>
      <c r="FB2" s="969"/>
      <c r="FC2" s="969"/>
      <c r="FD2" s="968" t="s">
        <v>1091</v>
      </c>
      <c r="FE2" s="969"/>
      <c r="FF2" s="969"/>
      <c r="FG2" s="968" t="s">
        <v>1154</v>
      </c>
      <c r="FH2" s="969"/>
      <c r="FI2" s="969"/>
      <c r="FJ2" s="968" t="s">
        <v>1197</v>
      </c>
      <c r="FK2" s="969"/>
      <c r="FL2" s="970"/>
      <c r="FM2" s="968" t="s">
        <v>1085</v>
      </c>
      <c r="FN2" s="969"/>
      <c r="FO2" s="970"/>
      <c r="FP2" s="968" t="s">
        <v>1086</v>
      </c>
      <c r="FQ2" s="969"/>
      <c r="FR2" s="969"/>
      <c r="FS2" s="968" t="s">
        <v>1087</v>
      </c>
      <c r="FT2" s="969"/>
      <c r="FU2" s="969"/>
      <c r="FV2" s="968" t="s">
        <v>1088</v>
      </c>
      <c r="FW2" s="969"/>
      <c r="FX2" s="969"/>
      <c r="FY2" s="968" t="s">
        <v>1089</v>
      </c>
      <c r="FZ2" s="969"/>
      <c r="GA2" s="969"/>
      <c r="GB2" s="968" t="s">
        <v>1090</v>
      </c>
      <c r="GC2" s="969"/>
      <c r="GD2" s="969"/>
      <c r="GE2" s="968" t="s">
        <v>1091</v>
      </c>
      <c r="GF2" s="969"/>
      <c r="GG2" s="969"/>
      <c r="GH2" s="968" t="s">
        <v>1154</v>
      </c>
      <c r="GI2" s="969"/>
      <c r="GJ2" s="969"/>
      <c r="GK2" s="968" t="s">
        <v>1197</v>
      </c>
      <c r="GL2" s="969"/>
      <c r="GM2" s="970"/>
      <c r="GN2" s="968" t="s">
        <v>1085</v>
      </c>
      <c r="GO2" s="969"/>
      <c r="GP2" s="970"/>
      <c r="GQ2" s="968" t="s">
        <v>1086</v>
      </c>
      <c r="GR2" s="969"/>
      <c r="GS2" s="969"/>
      <c r="GT2" s="968" t="s">
        <v>1087</v>
      </c>
      <c r="GU2" s="969"/>
      <c r="GV2" s="969"/>
      <c r="GW2" s="968" t="s">
        <v>1088</v>
      </c>
      <c r="GX2" s="969"/>
      <c r="GY2" s="969"/>
      <c r="GZ2" s="968" t="s">
        <v>1089</v>
      </c>
      <c r="HA2" s="969"/>
      <c r="HB2" s="969"/>
      <c r="HC2" s="968" t="s">
        <v>1090</v>
      </c>
      <c r="HD2" s="969"/>
      <c r="HE2" s="969"/>
      <c r="HF2" s="968" t="s">
        <v>1091</v>
      </c>
      <c r="HG2" s="969"/>
      <c r="HH2" s="969"/>
      <c r="HI2" s="968" t="s">
        <v>1154</v>
      </c>
      <c r="HJ2" s="969"/>
      <c r="HK2" s="969"/>
      <c r="HL2" s="968" t="s">
        <v>1197</v>
      </c>
      <c r="HM2" s="969"/>
      <c r="HN2" s="970"/>
      <c r="HO2" s="968" t="s">
        <v>1085</v>
      </c>
      <c r="HP2" s="969"/>
      <c r="HQ2" s="970"/>
      <c r="HR2" s="968" t="s">
        <v>1086</v>
      </c>
      <c r="HS2" s="969"/>
      <c r="HT2" s="969"/>
      <c r="HU2" s="968" t="s">
        <v>1087</v>
      </c>
      <c r="HV2" s="969"/>
      <c r="HW2" s="969"/>
      <c r="HX2" s="968" t="s">
        <v>1088</v>
      </c>
      <c r="HY2" s="969"/>
      <c r="HZ2" s="969"/>
      <c r="IA2" s="968" t="s">
        <v>1089</v>
      </c>
      <c r="IB2" s="969"/>
      <c r="IC2" s="969"/>
      <c r="ID2" s="968" t="s">
        <v>1090</v>
      </c>
      <c r="IE2" s="969"/>
      <c r="IF2" s="969"/>
      <c r="IG2" s="968" t="s">
        <v>1091</v>
      </c>
      <c r="IH2" s="969"/>
      <c r="II2" s="969"/>
      <c r="IJ2" s="968" t="s">
        <v>1154</v>
      </c>
      <c r="IK2" s="969"/>
      <c r="IL2" s="969"/>
      <c r="IM2" s="968" t="s">
        <v>1197</v>
      </c>
      <c r="IN2" s="969"/>
      <c r="IO2" s="970"/>
      <c r="IP2" s="968" t="s">
        <v>1085</v>
      </c>
      <c r="IQ2" s="969"/>
      <c r="IR2" s="970"/>
      <c r="IS2" s="968" t="s">
        <v>1086</v>
      </c>
      <c r="IT2" s="969"/>
      <c r="IU2" s="969"/>
      <c r="IV2" s="968" t="s">
        <v>1087</v>
      </c>
      <c r="IW2" s="969"/>
      <c r="IX2" s="969"/>
      <c r="IY2" s="968" t="s">
        <v>1088</v>
      </c>
      <c r="IZ2" s="969"/>
      <c r="JA2" s="969"/>
      <c r="JB2" s="968" t="s">
        <v>1089</v>
      </c>
      <c r="JC2" s="969"/>
      <c r="JD2" s="969"/>
      <c r="JE2" s="968" t="s">
        <v>1090</v>
      </c>
      <c r="JF2" s="969"/>
      <c r="JG2" s="969"/>
      <c r="JH2" s="968" t="s">
        <v>1091</v>
      </c>
      <c r="JI2" s="969"/>
      <c r="JJ2" s="969"/>
      <c r="JK2" s="968" t="s">
        <v>1154</v>
      </c>
      <c r="JL2" s="969"/>
      <c r="JM2" s="969"/>
      <c r="JN2" s="968" t="s">
        <v>1197</v>
      </c>
      <c r="JO2" s="969"/>
      <c r="JP2" s="970"/>
      <c r="JQ2" s="968" t="s">
        <v>1085</v>
      </c>
      <c r="JR2" s="969"/>
      <c r="JS2" s="970"/>
      <c r="JT2" s="968" t="s">
        <v>1086</v>
      </c>
      <c r="JU2" s="969"/>
      <c r="JV2" s="969"/>
      <c r="JW2" s="968" t="s">
        <v>1087</v>
      </c>
      <c r="JX2" s="969"/>
      <c r="JY2" s="969"/>
      <c r="JZ2" s="968" t="s">
        <v>1088</v>
      </c>
      <c r="KA2" s="969"/>
      <c r="KB2" s="969"/>
      <c r="KC2" s="968" t="s">
        <v>1089</v>
      </c>
      <c r="KD2" s="969"/>
      <c r="KE2" s="969"/>
      <c r="KF2" s="968" t="s">
        <v>1090</v>
      </c>
      <c r="KG2" s="969"/>
      <c r="KH2" s="969"/>
      <c r="KI2" s="968" t="s">
        <v>1091</v>
      </c>
      <c r="KJ2" s="969"/>
      <c r="KK2" s="969"/>
      <c r="KL2" s="968" t="s">
        <v>1154</v>
      </c>
      <c r="KM2" s="969"/>
      <c r="KN2" s="969"/>
      <c r="KO2" s="971" t="s">
        <v>5</v>
      </c>
      <c r="KP2" s="972"/>
      <c r="KQ2" s="973"/>
      <c r="KR2" s="977" t="s">
        <v>7</v>
      </c>
      <c r="KS2" s="978"/>
      <c r="KT2" s="979"/>
      <c r="KU2" s="977" t="s">
        <v>564</v>
      </c>
      <c r="KV2" s="978"/>
      <c r="KW2" s="979"/>
      <c r="KX2" s="971" t="s">
        <v>8</v>
      </c>
      <c r="KY2" s="972"/>
      <c r="KZ2" s="973"/>
      <c r="LA2" s="977" t="s">
        <v>565</v>
      </c>
      <c r="LB2" s="978"/>
      <c r="LC2" s="979"/>
      <c r="LD2" s="977" t="s">
        <v>566</v>
      </c>
      <c r="LE2" s="978"/>
      <c r="LF2" s="979"/>
      <c r="LG2" s="971" t="s">
        <v>9</v>
      </c>
      <c r="LH2" s="972"/>
      <c r="LI2" s="973"/>
      <c r="LJ2" s="971" t="s">
        <v>10</v>
      </c>
      <c r="LK2" s="972"/>
      <c r="LL2" s="973"/>
      <c r="LM2" s="971" t="s">
        <v>11</v>
      </c>
      <c r="LN2" s="972"/>
      <c r="LO2" s="973"/>
      <c r="LP2" s="971" t="s">
        <v>12</v>
      </c>
      <c r="LQ2" s="972"/>
      <c r="LR2" s="973"/>
      <c r="LS2" s="971" t="s">
        <v>1167</v>
      </c>
      <c r="LT2" s="972"/>
      <c r="LU2" s="973"/>
    </row>
    <row r="3" spans="1:333" ht="113.25" thickBot="1" x14ac:dyDescent="0.25">
      <c r="A3" s="965"/>
      <c r="B3" s="966"/>
      <c r="C3" s="982"/>
      <c r="D3" s="181" t="s">
        <v>618</v>
      </c>
      <c r="E3" s="182" t="s">
        <v>619</v>
      </c>
      <c r="F3" s="677" t="s">
        <v>620</v>
      </c>
      <c r="G3" s="181" t="s">
        <v>618</v>
      </c>
      <c r="H3" s="182" t="s">
        <v>619</v>
      </c>
      <c r="I3" s="677" t="s">
        <v>620</v>
      </c>
      <c r="J3" s="181" t="s">
        <v>618</v>
      </c>
      <c r="K3" s="182" t="s">
        <v>619</v>
      </c>
      <c r="L3" s="677" t="s">
        <v>620</v>
      </c>
      <c r="M3" s="181" t="s">
        <v>618</v>
      </c>
      <c r="N3" s="182" t="s">
        <v>619</v>
      </c>
      <c r="O3" s="677" t="s">
        <v>620</v>
      </c>
      <c r="P3" s="181" t="s">
        <v>618</v>
      </c>
      <c r="Q3" s="182" t="s">
        <v>619</v>
      </c>
      <c r="R3" s="677" t="s">
        <v>620</v>
      </c>
      <c r="S3" s="181" t="s">
        <v>618</v>
      </c>
      <c r="T3" s="182" t="s">
        <v>619</v>
      </c>
      <c r="U3" s="677" t="s">
        <v>620</v>
      </c>
      <c r="V3" s="181" t="s">
        <v>618</v>
      </c>
      <c r="W3" s="182" t="s">
        <v>619</v>
      </c>
      <c r="X3" s="677" t="s">
        <v>620</v>
      </c>
      <c r="Y3" s="181" t="s">
        <v>618</v>
      </c>
      <c r="Z3" s="182" t="s">
        <v>619</v>
      </c>
      <c r="AA3" s="677" t="s">
        <v>620</v>
      </c>
      <c r="AB3" s="181" t="s">
        <v>618</v>
      </c>
      <c r="AC3" s="182" t="s">
        <v>619</v>
      </c>
      <c r="AD3" s="677" t="s">
        <v>620</v>
      </c>
      <c r="AE3" s="181" t="s">
        <v>618</v>
      </c>
      <c r="AF3" s="182" t="s">
        <v>619</v>
      </c>
      <c r="AG3" s="677" t="s">
        <v>620</v>
      </c>
      <c r="AH3" s="181" t="s">
        <v>618</v>
      </c>
      <c r="AI3" s="182" t="s">
        <v>619</v>
      </c>
      <c r="AJ3" s="677" t="s">
        <v>620</v>
      </c>
      <c r="AK3" s="181" t="s">
        <v>618</v>
      </c>
      <c r="AL3" s="182" t="s">
        <v>619</v>
      </c>
      <c r="AM3" s="677" t="s">
        <v>620</v>
      </c>
      <c r="AN3" s="181" t="s">
        <v>618</v>
      </c>
      <c r="AO3" s="182" t="s">
        <v>619</v>
      </c>
      <c r="AP3" s="677" t="s">
        <v>620</v>
      </c>
      <c r="AQ3" s="181" t="s">
        <v>618</v>
      </c>
      <c r="AR3" s="182" t="s">
        <v>619</v>
      </c>
      <c r="AS3" s="677" t="s">
        <v>620</v>
      </c>
      <c r="AT3" s="181" t="s">
        <v>618</v>
      </c>
      <c r="AU3" s="182" t="s">
        <v>619</v>
      </c>
      <c r="AV3" s="677" t="s">
        <v>620</v>
      </c>
      <c r="AW3" s="181" t="s">
        <v>618</v>
      </c>
      <c r="AX3" s="182" t="s">
        <v>619</v>
      </c>
      <c r="AY3" s="677" t="s">
        <v>620</v>
      </c>
      <c r="AZ3" s="181" t="s">
        <v>618</v>
      </c>
      <c r="BA3" s="182" t="s">
        <v>619</v>
      </c>
      <c r="BB3" s="677" t="s">
        <v>620</v>
      </c>
      <c r="BC3" s="181" t="s">
        <v>618</v>
      </c>
      <c r="BD3" s="182" t="s">
        <v>619</v>
      </c>
      <c r="BE3" s="677" t="s">
        <v>620</v>
      </c>
      <c r="BF3" s="181" t="s">
        <v>618</v>
      </c>
      <c r="BG3" s="182" t="s">
        <v>619</v>
      </c>
      <c r="BH3" s="677" t="s">
        <v>620</v>
      </c>
      <c r="BI3" s="181" t="s">
        <v>618</v>
      </c>
      <c r="BJ3" s="182" t="s">
        <v>619</v>
      </c>
      <c r="BK3" s="677" t="s">
        <v>620</v>
      </c>
      <c r="BL3" s="181" t="s">
        <v>618</v>
      </c>
      <c r="BM3" s="182" t="s">
        <v>619</v>
      </c>
      <c r="BN3" s="677" t="s">
        <v>620</v>
      </c>
      <c r="BO3" s="181" t="s">
        <v>618</v>
      </c>
      <c r="BP3" s="182" t="s">
        <v>619</v>
      </c>
      <c r="BQ3" s="677" t="s">
        <v>620</v>
      </c>
      <c r="BR3" s="181" t="s">
        <v>618</v>
      </c>
      <c r="BS3" s="182" t="s">
        <v>619</v>
      </c>
      <c r="BT3" s="677" t="s">
        <v>620</v>
      </c>
      <c r="BU3" s="181" t="s">
        <v>618</v>
      </c>
      <c r="BV3" s="182" t="s">
        <v>619</v>
      </c>
      <c r="BW3" s="677" t="s">
        <v>620</v>
      </c>
      <c r="BX3" s="181" t="s">
        <v>618</v>
      </c>
      <c r="BY3" s="182" t="s">
        <v>619</v>
      </c>
      <c r="BZ3" s="677" t="s">
        <v>620</v>
      </c>
      <c r="CA3" s="181" t="s">
        <v>618</v>
      </c>
      <c r="CB3" s="182" t="s">
        <v>619</v>
      </c>
      <c r="CC3" s="677" t="s">
        <v>620</v>
      </c>
      <c r="CD3" s="181" t="s">
        <v>618</v>
      </c>
      <c r="CE3" s="182" t="s">
        <v>619</v>
      </c>
      <c r="CF3" s="677" t="s">
        <v>620</v>
      </c>
      <c r="CG3" s="181" t="s">
        <v>618</v>
      </c>
      <c r="CH3" s="182" t="s">
        <v>619</v>
      </c>
      <c r="CI3" s="677" t="s">
        <v>620</v>
      </c>
      <c r="CJ3" s="181" t="s">
        <v>618</v>
      </c>
      <c r="CK3" s="182" t="s">
        <v>619</v>
      </c>
      <c r="CL3" s="677" t="s">
        <v>620</v>
      </c>
      <c r="CM3" s="181" t="s">
        <v>618</v>
      </c>
      <c r="CN3" s="182" t="s">
        <v>619</v>
      </c>
      <c r="CO3" s="677" t="s">
        <v>620</v>
      </c>
      <c r="CP3" s="181" t="s">
        <v>618</v>
      </c>
      <c r="CQ3" s="182" t="s">
        <v>619</v>
      </c>
      <c r="CR3" s="677" t="s">
        <v>620</v>
      </c>
      <c r="CS3" s="181" t="s">
        <v>618</v>
      </c>
      <c r="CT3" s="182" t="s">
        <v>619</v>
      </c>
      <c r="CU3" s="677" t="s">
        <v>620</v>
      </c>
      <c r="CV3" s="181" t="s">
        <v>618</v>
      </c>
      <c r="CW3" s="182" t="s">
        <v>619</v>
      </c>
      <c r="CX3" s="677" t="s">
        <v>620</v>
      </c>
      <c r="CY3" s="181" t="s">
        <v>618</v>
      </c>
      <c r="CZ3" s="182" t="s">
        <v>619</v>
      </c>
      <c r="DA3" s="677" t="s">
        <v>620</v>
      </c>
      <c r="DB3" s="181" t="s">
        <v>618</v>
      </c>
      <c r="DC3" s="182" t="s">
        <v>619</v>
      </c>
      <c r="DD3" s="677" t="s">
        <v>620</v>
      </c>
      <c r="DE3" s="181" t="s">
        <v>618</v>
      </c>
      <c r="DF3" s="182" t="s">
        <v>619</v>
      </c>
      <c r="DG3" s="677" t="s">
        <v>620</v>
      </c>
      <c r="DH3" s="181" t="s">
        <v>618</v>
      </c>
      <c r="DI3" s="182" t="s">
        <v>619</v>
      </c>
      <c r="DJ3" s="677" t="s">
        <v>620</v>
      </c>
      <c r="DK3" s="181" t="s">
        <v>618</v>
      </c>
      <c r="DL3" s="182" t="s">
        <v>619</v>
      </c>
      <c r="DM3" s="677" t="s">
        <v>620</v>
      </c>
      <c r="DN3" s="181" t="s">
        <v>618</v>
      </c>
      <c r="DO3" s="182" t="s">
        <v>619</v>
      </c>
      <c r="DP3" s="677" t="s">
        <v>620</v>
      </c>
      <c r="DQ3" s="181" t="s">
        <v>618</v>
      </c>
      <c r="DR3" s="182" t="s">
        <v>619</v>
      </c>
      <c r="DS3" s="677" t="s">
        <v>620</v>
      </c>
      <c r="DT3" s="181" t="s">
        <v>618</v>
      </c>
      <c r="DU3" s="182" t="s">
        <v>619</v>
      </c>
      <c r="DV3" s="677" t="s">
        <v>620</v>
      </c>
      <c r="DW3" s="181" t="s">
        <v>618</v>
      </c>
      <c r="DX3" s="182" t="s">
        <v>619</v>
      </c>
      <c r="DY3" s="677" t="s">
        <v>620</v>
      </c>
      <c r="DZ3" s="181" t="s">
        <v>618</v>
      </c>
      <c r="EA3" s="182" t="s">
        <v>619</v>
      </c>
      <c r="EB3" s="677" t="s">
        <v>620</v>
      </c>
      <c r="EC3" s="181" t="s">
        <v>618</v>
      </c>
      <c r="ED3" s="182" t="s">
        <v>619</v>
      </c>
      <c r="EE3" s="677" t="s">
        <v>620</v>
      </c>
      <c r="EF3" s="181" t="s">
        <v>618</v>
      </c>
      <c r="EG3" s="182" t="s">
        <v>619</v>
      </c>
      <c r="EH3" s="677" t="s">
        <v>620</v>
      </c>
      <c r="EI3" s="181" t="s">
        <v>618</v>
      </c>
      <c r="EJ3" s="182" t="s">
        <v>619</v>
      </c>
      <c r="EK3" s="677" t="s">
        <v>620</v>
      </c>
      <c r="EL3" s="181" t="s">
        <v>618</v>
      </c>
      <c r="EM3" s="182" t="s">
        <v>619</v>
      </c>
      <c r="EN3" s="677" t="s">
        <v>620</v>
      </c>
      <c r="EO3" s="181" t="s">
        <v>618</v>
      </c>
      <c r="EP3" s="182" t="s">
        <v>619</v>
      </c>
      <c r="EQ3" s="677" t="s">
        <v>620</v>
      </c>
      <c r="ER3" s="181" t="s">
        <v>618</v>
      </c>
      <c r="ES3" s="182" t="s">
        <v>619</v>
      </c>
      <c r="ET3" s="677" t="s">
        <v>620</v>
      </c>
      <c r="EU3" s="181" t="s">
        <v>618</v>
      </c>
      <c r="EV3" s="182" t="s">
        <v>619</v>
      </c>
      <c r="EW3" s="677" t="s">
        <v>620</v>
      </c>
      <c r="EX3" s="181" t="s">
        <v>618</v>
      </c>
      <c r="EY3" s="182" t="s">
        <v>619</v>
      </c>
      <c r="EZ3" s="677" t="s">
        <v>620</v>
      </c>
      <c r="FA3" s="181" t="s">
        <v>618</v>
      </c>
      <c r="FB3" s="182" t="s">
        <v>619</v>
      </c>
      <c r="FC3" s="677" t="s">
        <v>620</v>
      </c>
      <c r="FD3" s="181" t="s">
        <v>618</v>
      </c>
      <c r="FE3" s="182" t="s">
        <v>619</v>
      </c>
      <c r="FF3" s="677" t="s">
        <v>620</v>
      </c>
      <c r="FG3" s="181" t="s">
        <v>618</v>
      </c>
      <c r="FH3" s="182" t="s">
        <v>619</v>
      </c>
      <c r="FI3" s="677" t="s">
        <v>620</v>
      </c>
      <c r="FJ3" s="181" t="s">
        <v>618</v>
      </c>
      <c r="FK3" s="182" t="s">
        <v>619</v>
      </c>
      <c r="FL3" s="677" t="s">
        <v>620</v>
      </c>
      <c r="FM3" s="181" t="s">
        <v>618</v>
      </c>
      <c r="FN3" s="182" t="s">
        <v>619</v>
      </c>
      <c r="FO3" s="677" t="s">
        <v>620</v>
      </c>
      <c r="FP3" s="181" t="s">
        <v>618</v>
      </c>
      <c r="FQ3" s="182" t="s">
        <v>619</v>
      </c>
      <c r="FR3" s="677" t="s">
        <v>620</v>
      </c>
      <c r="FS3" s="181" t="s">
        <v>618</v>
      </c>
      <c r="FT3" s="182" t="s">
        <v>619</v>
      </c>
      <c r="FU3" s="677" t="s">
        <v>620</v>
      </c>
      <c r="FV3" s="181" t="s">
        <v>618</v>
      </c>
      <c r="FW3" s="182" t="s">
        <v>619</v>
      </c>
      <c r="FX3" s="677" t="s">
        <v>620</v>
      </c>
      <c r="FY3" s="181" t="s">
        <v>618</v>
      </c>
      <c r="FZ3" s="182" t="s">
        <v>619</v>
      </c>
      <c r="GA3" s="677" t="s">
        <v>620</v>
      </c>
      <c r="GB3" s="181" t="s">
        <v>618</v>
      </c>
      <c r="GC3" s="182" t="s">
        <v>619</v>
      </c>
      <c r="GD3" s="677" t="s">
        <v>620</v>
      </c>
      <c r="GE3" s="181" t="s">
        <v>618</v>
      </c>
      <c r="GF3" s="182" t="s">
        <v>619</v>
      </c>
      <c r="GG3" s="677" t="s">
        <v>620</v>
      </c>
      <c r="GH3" s="181" t="s">
        <v>618</v>
      </c>
      <c r="GI3" s="182" t="s">
        <v>619</v>
      </c>
      <c r="GJ3" s="677" t="s">
        <v>620</v>
      </c>
      <c r="GK3" s="181" t="s">
        <v>618</v>
      </c>
      <c r="GL3" s="182" t="s">
        <v>619</v>
      </c>
      <c r="GM3" s="677" t="s">
        <v>620</v>
      </c>
      <c r="GN3" s="181" t="s">
        <v>618</v>
      </c>
      <c r="GO3" s="182" t="s">
        <v>619</v>
      </c>
      <c r="GP3" s="677" t="s">
        <v>620</v>
      </c>
      <c r="GQ3" s="181" t="s">
        <v>618</v>
      </c>
      <c r="GR3" s="182" t="s">
        <v>619</v>
      </c>
      <c r="GS3" s="677" t="s">
        <v>620</v>
      </c>
      <c r="GT3" s="181" t="s">
        <v>618</v>
      </c>
      <c r="GU3" s="182" t="s">
        <v>619</v>
      </c>
      <c r="GV3" s="677" t="s">
        <v>620</v>
      </c>
      <c r="GW3" s="181" t="s">
        <v>618</v>
      </c>
      <c r="GX3" s="182" t="s">
        <v>619</v>
      </c>
      <c r="GY3" s="677" t="s">
        <v>620</v>
      </c>
      <c r="GZ3" s="181" t="s">
        <v>618</v>
      </c>
      <c r="HA3" s="182" t="s">
        <v>619</v>
      </c>
      <c r="HB3" s="677" t="s">
        <v>620</v>
      </c>
      <c r="HC3" s="181" t="s">
        <v>618</v>
      </c>
      <c r="HD3" s="182" t="s">
        <v>619</v>
      </c>
      <c r="HE3" s="677" t="s">
        <v>620</v>
      </c>
      <c r="HF3" s="181" t="s">
        <v>618</v>
      </c>
      <c r="HG3" s="182" t="s">
        <v>619</v>
      </c>
      <c r="HH3" s="677" t="s">
        <v>620</v>
      </c>
      <c r="HI3" s="181" t="s">
        <v>618</v>
      </c>
      <c r="HJ3" s="182" t="s">
        <v>619</v>
      </c>
      <c r="HK3" s="677" t="s">
        <v>620</v>
      </c>
      <c r="HL3" s="181" t="s">
        <v>618</v>
      </c>
      <c r="HM3" s="182" t="s">
        <v>619</v>
      </c>
      <c r="HN3" s="677" t="s">
        <v>620</v>
      </c>
      <c r="HO3" s="181" t="s">
        <v>618</v>
      </c>
      <c r="HP3" s="182" t="s">
        <v>619</v>
      </c>
      <c r="HQ3" s="677" t="s">
        <v>620</v>
      </c>
      <c r="HR3" s="181" t="s">
        <v>618</v>
      </c>
      <c r="HS3" s="182" t="s">
        <v>619</v>
      </c>
      <c r="HT3" s="677" t="s">
        <v>620</v>
      </c>
      <c r="HU3" s="181" t="s">
        <v>618</v>
      </c>
      <c r="HV3" s="182" t="s">
        <v>619</v>
      </c>
      <c r="HW3" s="677" t="s">
        <v>620</v>
      </c>
      <c r="HX3" s="181" t="s">
        <v>618</v>
      </c>
      <c r="HY3" s="182" t="s">
        <v>619</v>
      </c>
      <c r="HZ3" s="677" t="s">
        <v>620</v>
      </c>
      <c r="IA3" s="181" t="s">
        <v>618</v>
      </c>
      <c r="IB3" s="182" t="s">
        <v>619</v>
      </c>
      <c r="IC3" s="677" t="s">
        <v>620</v>
      </c>
      <c r="ID3" s="181" t="s">
        <v>618</v>
      </c>
      <c r="IE3" s="182" t="s">
        <v>619</v>
      </c>
      <c r="IF3" s="677" t="s">
        <v>620</v>
      </c>
      <c r="IG3" s="181" t="s">
        <v>618</v>
      </c>
      <c r="IH3" s="182" t="s">
        <v>619</v>
      </c>
      <c r="II3" s="677" t="s">
        <v>620</v>
      </c>
      <c r="IJ3" s="181" t="s">
        <v>618</v>
      </c>
      <c r="IK3" s="182" t="s">
        <v>619</v>
      </c>
      <c r="IL3" s="677" t="s">
        <v>620</v>
      </c>
      <c r="IM3" s="181" t="s">
        <v>618</v>
      </c>
      <c r="IN3" s="182" t="s">
        <v>619</v>
      </c>
      <c r="IO3" s="677" t="s">
        <v>620</v>
      </c>
      <c r="IP3" s="181" t="s">
        <v>618</v>
      </c>
      <c r="IQ3" s="182" t="s">
        <v>619</v>
      </c>
      <c r="IR3" s="677" t="s">
        <v>620</v>
      </c>
      <c r="IS3" s="181" t="s">
        <v>618</v>
      </c>
      <c r="IT3" s="182" t="s">
        <v>619</v>
      </c>
      <c r="IU3" s="677" t="s">
        <v>620</v>
      </c>
      <c r="IV3" s="181" t="s">
        <v>618</v>
      </c>
      <c r="IW3" s="182" t="s">
        <v>619</v>
      </c>
      <c r="IX3" s="677" t="s">
        <v>620</v>
      </c>
      <c r="IY3" s="181" t="s">
        <v>618</v>
      </c>
      <c r="IZ3" s="182" t="s">
        <v>619</v>
      </c>
      <c r="JA3" s="677" t="s">
        <v>620</v>
      </c>
      <c r="JB3" s="181" t="s">
        <v>618</v>
      </c>
      <c r="JC3" s="182" t="s">
        <v>619</v>
      </c>
      <c r="JD3" s="677" t="s">
        <v>620</v>
      </c>
      <c r="JE3" s="181" t="s">
        <v>618</v>
      </c>
      <c r="JF3" s="182" t="s">
        <v>619</v>
      </c>
      <c r="JG3" s="677" t="s">
        <v>620</v>
      </c>
      <c r="JH3" s="181" t="s">
        <v>618</v>
      </c>
      <c r="JI3" s="182" t="s">
        <v>619</v>
      </c>
      <c r="JJ3" s="677" t="s">
        <v>620</v>
      </c>
      <c r="JK3" s="181" t="s">
        <v>618</v>
      </c>
      <c r="JL3" s="182" t="s">
        <v>619</v>
      </c>
      <c r="JM3" s="677" t="s">
        <v>620</v>
      </c>
      <c r="JN3" s="181" t="s">
        <v>618</v>
      </c>
      <c r="JO3" s="182" t="s">
        <v>619</v>
      </c>
      <c r="JP3" s="677" t="s">
        <v>620</v>
      </c>
      <c r="JQ3" s="181" t="s">
        <v>618</v>
      </c>
      <c r="JR3" s="182" t="s">
        <v>619</v>
      </c>
      <c r="JS3" s="677" t="s">
        <v>620</v>
      </c>
      <c r="JT3" s="181" t="s">
        <v>618</v>
      </c>
      <c r="JU3" s="182" t="s">
        <v>619</v>
      </c>
      <c r="JV3" s="677" t="s">
        <v>620</v>
      </c>
      <c r="JW3" s="181" t="s">
        <v>618</v>
      </c>
      <c r="JX3" s="182" t="s">
        <v>619</v>
      </c>
      <c r="JY3" s="677" t="s">
        <v>620</v>
      </c>
      <c r="JZ3" s="181" t="s">
        <v>618</v>
      </c>
      <c r="KA3" s="182" t="s">
        <v>619</v>
      </c>
      <c r="KB3" s="677" t="s">
        <v>620</v>
      </c>
      <c r="KC3" s="181" t="s">
        <v>618</v>
      </c>
      <c r="KD3" s="182" t="s">
        <v>619</v>
      </c>
      <c r="KE3" s="677" t="s">
        <v>620</v>
      </c>
      <c r="KF3" s="181" t="s">
        <v>618</v>
      </c>
      <c r="KG3" s="182" t="s">
        <v>619</v>
      </c>
      <c r="KH3" s="677" t="s">
        <v>620</v>
      </c>
      <c r="KI3" s="181" t="s">
        <v>618</v>
      </c>
      <c r="KJ3" s="182" t="s">
        <v>619</v>
      </c>
      <c r="KK3" s="677" t="s">
        <v>620</v>
      </c>
      <c r="KL3" s="181" t="s">
        <v>618</v>
      </c>
      <c r="KM3" s="182" t="s">
        <v>619</v>
      </c>
      <c r="KN3" s="677" t="s">
        <v>620</v>
      </c>
      <c r="KO3" s="681" t="s">
        <v>799</v>
      </c>
      <c r="KP3" s="682" t="s">
        <v>800</v>
      </c>
      <c r="KQ3" s="683" t="s">
        <v>620</v>
      </c>
      <c r="KR3" s="681" t="s">
        <v>799</v>
      </c>
      <c r="KS3" s="682" t="s">
        <v>800</v>
      </c>
      <c r="KT3" s="683" t="s">
        <v>620</v>
      </c>
      <c r="KU3" s="681" t="s">
        <v>799</v>
      </c>
      <c r="KV3" s="682" t="s">
        <v>800</v>
      </c>
      <c r="KW3" s="683" t="s">
        <v>620</v>
      </c>
      <c r="KX3" s="681" t="s">
        <v>799</v>
      </c>
      <c r="KY3" s="682" t="s">
        <v>800</v>
      </c>
      <c r="KZ3" s="683" t="s">
        <v>620</v>
      </c>
      <c r="LA3" s="681" t="s">
        <v>799</v>
      </c>
      <c r="LB3" s="682" t="s">
        <v>800</v>
      </c>
      <c r="LC3" s="683" t="s">
        <v>620</v>
      </c>
      <c r="LD3" s="681" t="s">
        <v>799</v>
      </c>
      <c r="LE3" s="682" t="s">
        <v>800</v>
      </c>
      <c r="LF3" s="683" t="s">
        <v>620</v>
      </c>
      <c r="LG3" s="681" t="s">
        <v>799</v>
      </c>
      <c r="LH3" s="682" t="s">
        <v>800</v>
      </c>
      <c r="LI3" s="683" t="s">
        <v>620</v>
      </c>
      <c r="LJ3" s="681" t="s">
        <v>799</v>
      </c>
      <c r="LK3" s="682" t="s">
        <v>800</v>
      </c>
      <c r="LL3" s="683" t="s">
        <v>620</v>
      </c>
      <c r="LM3" s="681" t="s">
        <v>799</v>
      </c>
      <c r="LN3" s="682" t="s">
        <v>800</v>
      </c>
      <c r="LO3" s="683" t="s">
        <v>620</v>
      </c>
      <c r="LP3" s="681" t="s">
        <v>799</v>
      </c>
      <c r="LQ3" s="682" t="s">
        <v>800</v>
      </c>
      <c r="LR3" s="683" t="s">
        <v>620</v>
      </c>
      <c r="LS3" s="681" t="s">
        <v>799</v>
      </c>
      <c r="LT3" s="682" t="s">
        <v>800</v>
      </c>
      <c r="LU3" s="683" t="s">
        <v>620</v>
      </c>
    </row>
    <row r="4" spans="1:333" x14ac:dyDescent="0.2">
      <c r="A4" s="985" t="s">
        <v>607</v>
      </c>
      <c r="B4" s="743"/>
      <c r="C4" s="628" t="s">
        <v>608</v>
      </c>
      <c r="D4" s="686">
        <v>3</v>
      </c>
      <c r="E4" s="687"/>
      <c r="F4" s="688">
        <v>100</v>
      </c>
      <c r="G4" s="686">
        <v>6</v>
      </c>
      <c r="H4" s="687"/>
      <c r="I4" s="688">
        <v>100</v>
      </c>
      <c r="J4" s="686">
        <v>5</v>
      </c>
      <c r="K4" s="687"/>
      <c r="L4" s="688">
        <v>100</v>
      </c>
      <c r="M4" s="686">
        <v>6</v>
      </c>
      <c r="N4" s="687"/>
      <c r="O4" s="688">
        <v>100</v>
      </c>
      <c r="P4" s="686">
        <v>2</v>
      </c>
      <c r="Q4" s="687"/>
      <c r="R4" s="688">
        <v>100</v>
      </c>
      <c r="S4" s="686">
        <v>2</v>
      </c>
      <c r="T4" s="687"/>
      <c r="U4" s="688">
        <v>100</v>
      </c>
      <c r="V4" s="686">
        <v>6</v>
      </c>
      <c r="W4" s="687"/>
      <c r="X4" s="688">
        <v>100</v>
      </c>
      <c r="Y4" s="686">
        <v>2</v>
      </c>
      <c r="Z4" s="687"/>
      <c r="AA4" s="688">
        <v>100</v>
      </c>
      <c r="AB4" s="686">
        <v>7</v>
      </c>
      <c r="AC4" s="687">
        <v>0</v>
      </c>
      <c r="AD4" s="688">
        <v>100</v>
      </c>
      <c r="AE4" s="686">
        <v>3</v>
      </c>
      <c r="AF4" s="687"/>
      <c r="AG4" s="688">
        <v>100</v>
      </c>
      <c r="AH4" s="686">
        <v>4</v>
      </c>
      <c r="AI4" s="687"/>
      <c r="AJ4" s="688">
        <v>100</v>
      </c>
      <c r="AK4" s="686">
        <v>1</v>
      </c>
      <c r="AL4" s="687"/>
      <c r="AM4" s="688">
        <v>100</v>
      </c>
      <c r="AN4" s="686">
        <v>4</v>
      </c>
      <c r="AO4" s="687"/>
      <c r="AP4" s="688">
        <v>100</v>
      </c>
      <c r="AQ4" s="686">
        <v>1</v>
      </c>
      <c r="AR4" s="687"/>
      <c r="AS4" s="688">
        <v>100</v>
      </c>
      <c r="AT4" s="686">
        <v>2</v>
      </c>
      <c r="AU4" s="687"/>
      <c r="AV4" s="688">
        <v>100</v>
      </c>
      <c r="AW4" s="686">
        <v>2</v>
      </c>
      <c r="AX4" s="687"/>
      <c r="AY4" s="688">
        <v>100</v>
      </c>
      <c r="AZ4" s="686">
        <v>1</v>
      </c>
      <c r="BA4" s="687"/>
      <c r="BB4" s="688">
        <v>100</v>
      </c>
      <c r="BC4" s="686">
        <v>2</v>
      </c>
      <c r="BD4" s="687">
        <v>0</v>
      </c>
      <c r="BE4" s="688">
        <v>100</v>
      </c>
      <c r="BF4" s="686"/>
      <c r="BG4" s="687"/>
      <c r="BH4" s="688" t="s">
        <v>6</v>
      </c>
      <c r="BI4" s="686">
        <v>1</v>
      </c>
      <c r="BJ4" s="687"/>
      <c r="BK4" s="688">
        <v>100</v>
      </c>
      <c r="BL4" s="686">
        <v>4</v>
      </c>
      <c r="BM4" s="687"/>
      <c r="BN4" s="688">
        <v>100</v>
      </c>
      <c r="BO4" s="686">
        <v>1</v>
      </c>
      <c r="BP4" s="687"/>
      <c r="BQ4" s="688">
        <v>100</v>
      </c>
      <c r="BR4" s="686">
        <v>1</v>
      </c>
      <c r="BS4" s="687"/>
      <c r="BT4" s="688">
        <v>100</v>
      </c>
      <c r="BU4" s="686"/>
      <c r="BV4" s="687"/>
      <c r="BW4" s="688" t="s">
        <v>6</v>
      </c>
      <c r="BX4" s="686">
        <v>1</v>
      </c>
      <c r="BY4" s="687"/>
      <c r="BZ4" s="688">
        <v>100</v>
      </c>
      <c r="CA4" s="686">
        <v>1</v>
      </c>
      <c r="CB4" s="687"/>
      <c r="CC4" s="688">
        <v>100</v>
      </c>
      <c r="CD4" s="686">
        <v>4</v>
      </c>
      <c r="CE4" s="687">
        <v>0</v>
      </c>
      <c r="CF4" s="688">
        <v>100</v>
      </c>
      <c r="CG4" s="686">
        <v>6</v>
      </c>
      <c r="CH4" s="687">
        <v>2</v>
      </c>
      <c r="CI4" s="688">
        <v>75</v>
      </c>
      <c r="CJ4" s="686">
        <v>8</v>
      </c>
      <c r="CK4" s="687"/>
      <c r="CL4" s="688">
        <v>100</v>
      </c>
      <c r="CM4" s="686">
        <v>9</v>
      </c>
      <c r="CN4" s="687">
        <v>1</v>
      </c>
      <c r="CO4" s="688">
        <v>90</v>
      </c>
      <c r="CP4" s="686">
        <v>9</v>
      </c>
      <c r="CQ4" s="687"/>
      <c r="CR4" s="688">
        <v>100</v>
      </c>
      <c r="CS4" s="686">
        <v>10</v>
      </c>
      <c r="CT4" s="687"/>
      <c r="CU4" s="688">
        <v>100</v>
      </c>
      <c r="CV4" s="686">
        <v>10</v>
      </c>
      <c r="CW4" s="687">
        <v>1</v>
      </c>
      <c r="CX4" s="688">
        <v>90.9</v>
      </c>
      <c r="CY4" s="686">
        <v>6</v>
      </c>
      <c r="CZ4" s="687"/>
      <c r="DA4" s="688">
        <v>100</v>
      </c>
      <c r="DB4" s="686">
        <v>1</v>
      </c>
      <c r="DC4" s="687">
        <v>2</v>
      </c>
      <c r="DD4" s="688">
        <v>33.299999999999997</v>
      </c>
      <c r="DE4" s="686">
        <v>6</v>
      </c>
      <c r="DF4" s="687">
        <v>0</v>
      </c>
      <c r="DG4" s="688">
        <v>100</v>
      </c>
      <c r="DH4" s="686">
        <v>5</v>
      </c>
      <c r="DI4" s="687">
        <v>1</v>
      </c>
      <c r="DJ4" s="688">
        <v>83.3</v>
      </c>
      <c r="DK4" s="686">
        <v>7</v>
      </c>
      <c r="DL4" s="687"/>
      <c r="DM4" s="688">
        <v>100</v>
      </c>
      <c r="DN4" s="686">
        <v>6</v>
      </c>
      <c r="DO4" s="687">
        <v>1</v>
      </c>
      <c r="DP4" s="688">
        <v>85.7</v>
      </c>
      <c r="DQ4" s="686">
        <v>8</v>
      </c>
      <c r="DR4" s="687"/>
      <c r="DS4" s="688">
        <v>100</v>
      </c>
      <c r="DT4" s="686">
        <v>9</v>
      </c>
      <c r="DU4" s="687"/>
      <c r="DV4" s="688">
        <v>100</v>
      </c>
      <c r="DW4" s="686">
        <v>8</v>
      </c>
      <c r="DX4" s="687">
        <v>1</v>
      </c>
      <c r="DY4" s="688">
        <v>88.9</v>
      </c>
      <c r="DZ4" s="686">
        <v>6</v>
      </c>
      <c r="EA4" s="687"/>
      <c r="EB4" s="688">
        <v>100</v>
      </c>
      <c r="EC4" s="686"/>
      <c r="ED4" s="687">
        <v>2</v>
      </c>
      <c r="EE4" s="688">
        <v>0</v>
      </c>
      <c r="EF4" s="686">
        <v>6</v>
      </c>
      <c r="EG4" s="687">
        <v>0</v>
      </c>
      <c r="EH4" s="688">
        <v>100</v>
      </c>
      <c r="EI4" s="686">
        <v>1</v>
      </c>
      <c r="EJ4" s="687"/>
      <c r="EK4" s="688">
        <v>100</v>
      </c>
      <c r="EL4" s="686"/>
      <c r="EM4" s="687"/>
      <c r="EN4" s="688" t="s">
        <v>6</v>
      </c>
      <c r="EO4" s="686">
        <v>1</v>
      </c>
      <c r="EP4" s="687"/>
      <c r="EQ4" s="688">
        <v>100</v>
      </c>
      <c r="ER4" s="686"/>
      <c r="ES4" s="687"/>
      <c r="ET4" s="688" t="s">
        <v>6</v>
      </c>
      <c r="EU4" s="686">
        <v>1</v>
      </c>
      <c r="EV4" s="687"/>
      <c r="EW4" s="688">
        <v>100</v>
      </c>
      <c r="EX4" s="686">
        <v>1</v>
      </c>
      <c r="EY4" s="687"/>
      <c r="EZ4" s="688">
        <v>100</v>
      </c>
      <c r="FA4" s="686"/>
      <c r="FB4" s="687"/>
      <c r="FC4" s="688" t="s">
        <v>6</v>
      </c>
      <c r="FD4" s="686"/>
      <c r="FE4" s="687"/>
      <c r="FF4" s="688" t="s">
        <v>6</v>
      </c>
      <c r="FG4" s="686">
        <v>1</v>
      </c>
      <c r="FH4" s="687">
        <v>0</v>
      </c>
      <c r="FI4" s="688">
        <v>100</v>
      </c>
      <c r="FJ4" s="686"/>
      <c r="FK4" s="687"/>
      <c r="FL4" s="688" t="s">
        <v>6</v>
      </c>
      <c r="FM4" s="686"/>
      <c r="FN4" s="687"/>
      <c r="FO4" s="688" t="s">
        <v>6</v>
      </c>
      <c r="FP4" s="686"/>
      <c r="FQ4" s="687"/>
      <c r="FR4" s="688" t="s">
        <v>6</v>
      </c>
      <c r="FS4" s="686">
        <v>4</v>
      </c>
      <c r="FT4" s="687"/>
      <c r="FU4" s="688">
        <v>100</v>
      </c>
      <c r="FV4" s="686">
        <v>2</v>
      </c>
      <c r="FW4" s="687"/>
      <c r="FX4" s="688">
        <v>100</v>
      </c>
      <c r="FY4" s="686"/>
      <c r="FZ4" s="687"/>
      <c r="GA4" s="688" t="s">
        <v>6</v>
      </c>
      <c r="GB4" s="686">
        <v>4</v>
      </c>
      <c r="GC4" s="687"/>
      <c r="GD4" s="688">
        <v>100</v>
      </c>
      <c r="GE4" s="686">
        <v>3</v>
      </c>
      <c r="GF4" s="687"/>
      <c r="GG4" s="688">
        <v>100</v>
      </c>
      <c r="GH4" s="686">
        <v>0</v>
      </c>
      <c r="GI4" s="687">
        <v>0</v>
      </c>
      <c r="GJ4" s="688" t="s">
        <v>6</v>
      </c>
      <c r="GK4" s="686"/>
      <c r="GL4" s="687"/>
      <c r="GM4" s="688" t="s">
        <v>6</v>
      </c>
      <c r="GN4" s="686">
        <v>1</v>
      </c>
      <c r="GO4" s="687"/>
      <c r="GP4" s="688">
        <v>100</v>
      </c>
      <c r="GQ4" s="686"/>
      <c r="GR4" s="687"/>
      <c r="GS4" s="688" t="s">
        <v>6</v>
      </c>
      <c r="GT4" s="686"/>
      <c r="GU4" s="687"/>
      <c r="GV4" s="688" t="s">
        <v>6</v>
      </c>
      <c r="GW4" s="686">
        <v>3</v>
      </c>
      <c r="GX4" s="687"/>
      <c r="GY4" s="688">
        <v>100</v>
      </c>
      <c r="GZ4" s="686"/>
      <c r="HA4" s="687"/>
      <c r="HB4" s="688" t="s">
        <v>6</v>
      </c>
      <c r="HC4" s="686"/>
      <c r="HD4" s="687"/>
      <c r="HE4" s="688" t="s">
        <v>6</v>
      </c>
      <c r="HF4" s="686"/>
      <c r="HG4" s="687"/>
      <c r="HH4" s="688" t="s">
        <v>6</v>
      </c>
      <c r="HI4" s="686">
        <v>0</v>
      </c>
      <c r="HJ4" s="687">
        <v>0</v>
      </c>
      <c r="HK4" s="688" t="s">
        <v>6</v>
      </c>
      <c r="HL4" s="686">
        <v>5</v>
      </c>
      <c r="HM4" s="687">
        <v>3</v>
      </c>
      <c r="HN4" s="688">
        <v>62.5</v>
      </c>
      <c r="HO4" s="686">
        <v>3</v>
      </c>
      <c r="HP4" s="687">
        <v>14</v>
      </c>
      <c r="HQ4" s="688">
        <v>17.600000000000001</v>
      </c>
      <c r="HR4" s="686">
        <v>9</v>
      </c>
      <c r="HS4" s="687">
        <v>3</v>
      </c>
      <c r="HT4" s="688">
        <v>75</v>
      </c>
      <c r="HU4" s="686">
        <v>6</v>
      </c>
      <c r="HV4" s="687">
        <v>1</v>
      </c>
      <c r="HW4" s="688">
        <v>85.7</v>
      </c>
      <c r="HX4" s="686">
        <v>7</v>
      </c>
      <c r="HY4" s="687">
        <v>5</v>
      </c>
      <c r="HZ4" s="688">
        <v>58.3</v>
      </c>
      <c r="IA4" s="686">
        <v>5</v>
      </c>
      <c r="IB4" s="687">
        <v>1</v>
      </c>
      <c r="IC4" s="688">
        <v>83.3</v>
      </c>
      <c r="ID4" s="686">
        <v>1</v>
      </c>
      <c r="IE4" s="687">
        <v>1</v>
      </c>
      <c r="IF4" s="688">
        <v>50</v>
      </c>
      <c r="IG4" s="686">
        <v>2</v>
      </c>
      <c r="IH4" s="687">
        <v>2</v>
      </c>
      <c r="II4" s="688">
        <v>50</v>
      </c>
      <c r="IJ4" s="686">
        <v>1</v>
      </c>
      <c r="IK4" s="687">
        <v>0</v>
      </c>
      <c r="IL4" s="688">
        <v>100</v>
      </c>
      <c r="IM4" s="686"/>
      <c r="IN4" s="687">
        <v>1</v>
      </c>
      <c r="IO4" s="688">
        <v>0</v>
      </c>
      <c r="IP4" s="686"/>
      <c r="IQ4" s="687"/>
      <c r="IR4" s="688" t="s">
        <v>6</v>
      </c>
      <c r="IS4" s="686"/>
      <c r="IT4" s="687"/>
      <c r="IU4" s="688" t="s">
        <v>6</v>
      </c>
      <c r="IV4" s="686"/>
      <c r="IW4" s="687"/>
      <c r="IX4" s="688" t="s">
        <v>6</v>
      </c>
      <c r="IY4" s="686"/>
      <c r="IZ4" s="687"/>
      <c r="JA4" s="688" t="s">
        <v>6</v>
      </c>
      <c r="JB4" s="686"/>
      <c r="JC4" s="687"/>
      <c r="JD4" s="688" t="s">
        <v>6</v>
      </c>
      <c r="JE4" s="686">
        <v>1</v>
      </c>
      <c r="JF4" s="687"/>
      <c r="JG4" s="688">
        <v>100</v>
      </c>
      <c r="JH4" s="686"/>
      <c r="JI4" s="687"/>
      <c r="JJ4" s="688" t="s">
        <v>6</v>
      </c>
      <c r="JK4" s="686">
        <v>0</v>
      </c>
      <c r="JL4" s="687">
        <v>0</v>
      </c>
      <c r="JM4" s="688" t="s">
        <v>6</v>
      </c>
      <c r="JN4" s="686">
        <v>2</v>
      </c>
      <c r="JO4" s="687"/>
      <c r="JP4" s="688">
        <v>100</v>
      </c>
      <c r="JQ4" s="686">
        <v>6</v>
      </c>
      <c r="JR4" s="687"/>
      <c r="JS4" s="688">
        <v>100</v>
      </c>
      <c r="JT4" s="686">
        <v>7</v>
      </c>
      <c r="JU4" s="687"/>
      <c r="JV4" s="688">
        <v>100</v>
      </c>
      <c r="JW4" s="686">
        <v>13</v>
      </c>
      <c r="JX4" s="687"/>
      <c r="JY4" s="688">
        <v>100</v>
      </c>
      <c r="JZ4" s="686">
        <v>6</v>
      </c>
      <c r="KA4" s="687"/>
      <c r="KB4" s="688">
        <v>100</v>
      </c>
      <c r="KC4" s="686">
        <v>7</v>
      </c>
      <c r="KD4" s="687"/>
      <c r="KE4" s="688">
        <v>100</v>
      </c>
      <c r="KF4" s="686">
        <v>1</v>
      </c>
      <c r="KG4" s="687"/>
      <c r="KH4" s="688">
        <v>100</v>
      </c>
      <c r="KI4" s="686">
        <v>2</v>
      </c>
      <c r="KJ4" s="687"/>
      <c r="KK4" s="688">
        <v>100</v>
      </c>
      <c r="KL4" s="686">
        <v>7</v>
      </c>
      <c r="KM4" s="687">
        <v>0</v>
      </c>
      <c r="KN4" s="688">
        <v>100</v>
      </c>
      <c r="KO4" s="701">
        <f t="shared" ref="KO4:KP11" si="0">SUM(V4,P4,S4,Y4,AB4)</f>
        <v>19</v>
      </c>
      <c r="KP4" s="186">
        <f t="shared" si="0"/>
        <v>0</v>
      </c>
      <c r="KQ4" s="679">
        <f t="shared" ref="KQ4:KQ11" si="1">IFERROR(KO4/(KO4+KP4)*100,"-")</f>
        <v>100</v>
      </c>
      <c r="KR4" s="701">
        <f t="shared" ref="KR4:KR11" si="2">SUM(AZ4,AW4,AQ4,AT4,BC4)</f>
        <v>8</v>
      </c>
      <c r="KS4" s="186">
        <f t="shared" ref="KS4:KS11" si="3">SUM(AX4,BA4,AR4,AU4,BD4)</f>
        <v>0</v>
      </c>
      <c r="KT4" s="679">
        <f t="shared" ref="KT4:KT11" si="4">IFERROR(KR4/(KR4+KS4)*100,"-")</f>
        <v>100</v>
      </c>
      <c r="KU4" s="701">
        <f t="shared" ref="KU4:KV11" si="5">SUM(BX4,CA4,BR4,BU4,CD4)</f>
        <v>7</v>
      </c>
      <c r="KV4" s="186">
        <f t="shared" si="5"/>
        <v>0</v>
      </c>
      <c r="KW4" s="679">
        <f t="shared" ref="KW4:KW11" si="6">IFERROR(KU4/(KU4+KV4)*100,"-")</f>
        <v>100</v>
      </c>
      <c r="KX4" s="701">
        <f t="shared" ref="KX4:KY11" si="7">SUM(CY4,DB4,CS4,CV4,DE4)</f>
        <v>33</v>
      </c>
      <c r="KY4" s="186">
        <f t="shared" si="7"/>
        <v>3</v>
      </c>
      <c r="KZ4" s="679">
        <f t="shared" ref="KZ4:KZ11" si="8">IFERROR(KX4/(KX4+KY4)*100,"-")</f>
        <v>91.666666666666657</v>
      </c>
      <c r="LA4" s="701">
        <f t="shared" ref="LA4:LB11" si="9">SUM(DZ4,EC4,DT4,DW4,EF4)</f>
        <v>29</v>
      </c>
      <c r="LB4" s="186">
        <f t="shared" si="9"/>
        <v>3</v>
      </c>
      <c r="LC4" s="679">
        <f t="shared" ref="LC4:LC11" si="10">IFERROR(LA4/(LA4+LB4)*100,"-")</f>
        <v>90.625</v>
      </c>
      <c r="LD4" s="701">
        <f t="shared" ref="LD4:LE11" si="11">SUM(FA4,FD4,EU4,EX4,FG4)</f>
        <v>3</v>
      </c>
      <c r="LE4" s="186">
        <f t="shared" si="11"/>
        <v>0</v>
      </c>
      <c r="LF4" s="679">
        <f t="shared" ref="LF4:LF11" si="12">IFERROR(LD4/(LD4+LE4)*100,"-")</f>
        <v>100</v>
      </c>
      <c r="LG4" s="701">
        <f t="shared" ref="LG4:LH11" si="13">SUM(GB4,GE4,FV4,FY4,GH4)</f>
        <v>9</v>
      </c>
      <c r="LH4" s="186">
        <f t="shared" si="13"/>
        <v>0</v>
      </c>
      <c r="LI4" s="679">
        <f t="shared" ref="LI4:LI11" si="14">IFERROR(LG4/(LG4+LH4)*100,"-")</f>
        <v>100</v>
      </c>
      <c r="LJ4" s="701">
        <f t="shared" ref="LJ4:LK11" si="15">SUM(HC4,HF4,GW4,GZ4,HI4)</f>
        <v>3</v>
      </c>
      <c r="LK4" s="186">
        <f t="shared" si="15"/>
        <v>0</v>
      </c>
      <c r="LL4" s="679">
        <f t="shared" ref="LL4:LL11" si="16">IFERROR(LJ4/(LJ4+LK4)*100,"-")</f>
        <v>100</v>
      </c>
      <c r="LM4" s="701">
        <f t="shared" ref="LM4:LN11" si="17">SUM(ID4,IG4,HX4,IA4,IJ4)</f>
        <v>16</v>
      </c>
      <c r="LN4" s="186">
        <f t="shared" si="17"/>
        <v>9</v>
      </c>
      <c r="LO4" s="679">
        <f t="shared" ref="LO4:LO11" si="18">IFERROR(LM4/(LM4+LN4)*100,"-")</f>
        <v>64</v>
      </c>
      <c r="LP4" s="701">
        <f t="shared" ref="LP4:LQ11" si="19">SUM(JE4,JH4,IY4,JB4,JK4)</f>
        <v>1</v>
      </c>
      <c r="LQ4" s="186">
        <f t="shared" si="19"/>
        <v>0</v>
      </c>
      <c r="LR4" s="679">
        <f t="shared" ref="LR4:LR11" si="20">IFERROR(LP4/(LP4+LQ4)*100,"-")</f>
        <v>100</v>
      </c>
      <c r="LS4" s="702">
        <f t="shared" ref="LS4:LT11" si="21">SUM(KF4,KI4,JZ4,KC4,KL4)</f>
        <v>23</v>
      </c>
      <c r="LT4" s="703">
        <f t="shared" si="21"/>
        <v>0</v>
      </c>
      <c r="LU4" s="679">
        <f t="shared" ref="LU4:LU11" si="22">IFERROR(LS4/(LS4+LT4)*100,"-")</f>
        <v>100</v>
      </c>
    </row>
    <row r="5" spans="1:333" x14ac:dyDescent="0.2">
      <c r="A5" s="986"/>
      <c r="B5" s="741"/>
      <c r="C5" s="629" t="s">
        <v>1198</v>
      </c>
      <c r="D5" s="689"/>
      <c r="E5" s="690"/>
      <c r="F5" s="691" t="s">
        <v>6</v>
      </c>
      <c r="G5" s="689"/>
      <c r="H5" s="690"/>
      <c r="I5" s="691" t="s">
        <v>6</v>
      </c>
      <c r="J5" s="689"/>
      <c r="K5" s="690"/>
      <c r="L5" s="691" t="s">
        <v>6</v>
      </c>
      <c r="M5" s="689"/>
      <c r="N5" s="690"/>
      <c r="O5" s="691" t="s">
        <v>6</v>
      </c>
      <c r="P5" s="689"/>
      <c r="Q5" s="690"/>
      <c r="R5" s="691" t="s">
        <v>6</v>
      </c>
      <c r="S5" s="689"/>
      <c r="T5" s="690"/>
      <c r="U5" s="691" t="s">
        <v>6</v>
      </c>
      <c r="V5" s="689"/>
      <c r="W5" s="690"/>
      <c r="X5" s="691" t="s">
        <v>6</v>
      </c>
      <c r="Y5" s="689"/>
      <c r="Z5" s="690"/>
      <c r="AA5" s="691" t="s">
        <v>6</v>
      </c>
      <c r="AB5" s="689">
        <v>0</v>
      </c>
      <c r="AC5" s="690">
        <v>0</v>
      </c>
      <c r="AD5" s="691" t="s">
        <v>6</v>
      </c>
      <c r="AE5" s="689"/>
      <c r="AF5" s="690"/>
      <c r="AG5" s="691" t="s">
        <v>6</v>
      </c>
      <c r="AH5" s="689"/>
      <c r="AI5" s="690"/>
      <c r="AJ5" s="691" t="s">
        <v>6</v>
      </c>
      <c r="AK5" s="689"/>
      <c r="AL5" s="690"/>
      <c r="AM5" s="691" t="s">
        <v>6</v>
      </c>
      <c r="AN5" s="689"/>
      <c r="AO5" s="690"/>
      <c r="AP5" s="691" t="s">
        <v>6</v>
      </c>
      <c r="AQ5" s="689"/>
      <c r="AR5" s="690"/>
      <c r="AS5" s="691" t="s">
        <v>6</v>
      </c>
      <c r="AT5" s="689"/>
      <c r="AU5" s="690"/>
      <c r="AV5" s="691" t="s">
        <v>6</v>
      </c>
      <c r="AW5" s="689"/>
      <c r="AX5" s="690"/>
      <c r="AY5" s="691" t="s">
        <v>6</v>
      </c>
      <c r="AZ5" s="689"/>
      <c r="BA5" s="690"/>
      <c r="BB5" s="691" t="s">
        <v>6</v>
      </c>
      <c r="BC5" s="689">
        <v>0</v>
      </c>
      <c r="BD5" s="690">
        <v>0</v>
      </c>
      <c r="BE5" s="691" t="s">
        <v>6</v>
      </c>
      <c r="BF5" s="689"/>
      <c r="BG5" s="690"/>
      <c r="BH5" s="691" t="s">
        <v>6</v>
      </c>
      <c r="BI5" s="689"/>
      <c r="BJ5" s="690"/>
      <c r="BK5" s="691" t="s">
        <v>6</v>
      </c>
      <c r="BL5" s="689"/>
      <c r="BM5" s="690"/>
      <c r="BN5" s="691" t="s">
        <v>6</v>
      </c>
      <c r="BO5" s="689"/>
      <c r="BP5" s="690"/>
      <c r="BQ5" s="691" t="s">
        <v>6</v>
      </c>
      <c r="BR5" s="689"/>
      <c r="BS5" s="690"/>
      <c r="BT5" s="691" t="s">
        <v>6</v>
      </c>
      <c r="BU5" s="689"/>
      <c r="BV5" s="690"/>
      <c r="BW5" s="691" t="s">
        <v>6</v>
      </c>
      <c r="BX5" s="689"/>
      <c r="BY5" s="690"/>
      <c r="BZ5" s="691" t="s">
        <v>6</v>
      </c>
      <c r="CA5" s="689"/>
      <c r="CB5" s="690"/>
      <c r="CC5" s="691" t="s">
        <v>6</v>
      </c>
      <c r="CD5" s="689">
        <v>0</v>
      </c>
      <c r="CE5" s="690">
        <v>0</v>
      </c>
      <c r="CF5" s="691" t="s">
        <v>6</v>
      </c>
      <c r="CG5" s="689">
        <v>120</v>
      </c>
      <c r="CH5" s="690">
        <v>16</v>
      </c>
      <c r="CI5" s="691">
        <v>88.2</v>
      </c>
      <c r="CJ5" s="689">
        <v>141</v>
      </c>
      <c r="CK5" s="690">
        <v>20</v>
      </c>
      <c r="CL5" s="691">
        <v>87.6</v>
      </c>
      <c r="CM5" s="689">
        <v>125</v>
      </c>
      <c r="CN5" s="690">
        <v>16</v>
      </c>
      <c r="CO5" s="691">
        <v>88.7</v>
      </c>
      <c r="CP5" s="689">
        <v>110</v>
      </c>
      <c r="CQ5" s="690">
        <v>20</v>
      </c>
      <c r="CR5" s="691">
        <v>84.6</v>
      </c>
      <c r="CS5" s="689">
        <v>108</v>
      </c>
      <c r="CT5" s="690">
        <v>18</v>
      </c>
      <c r="CU5" s="691">
        <v>85.7</v>
      </c>
      <c r="CV5" s="689">
        <v>89</v>
      </c>
      <c r="CW5" s="690">
        <v>11</v>
      </c>
      <c r="CX5" s="691">
        <v>89</v>
      </c>
      <c r="CY5" s="689">
        <v>60</v>
      </c>
      <c r="CZ5" s="690">
        <v>13</v>
      </c>
      <c r="DA5" s="691">
        <v>82.2</v>
      </c>
      <c r="DB5" s="689">
        <v>53</v>
      </c>
      <c r="DC5" s="690">
        <v>16</v>
      </c>
      <c r="DD5" s="691">
        <v>76.8</v>
      </c>
      <c r="DE5" s="689">
        <v>54</v>
      </c>
      <c r="DF5" s="690">
        <v>4</v>
      </c>
      <c r="DG5" s="691">
        <v>93.1</v>
      </c>
      <c r="DH5" s="689">
        <v>46</v>
      </c>
      <c r="DI5" s="690">
        <v>14</v>
      </c>
      <c r="DJ5" s="691">
        <v>76.7</v>
      </c>
      <c r="DK5" s="689">
        <v>40</v>
      </c>
      <c r="DL5" s="690">
        <v>16</v>
      </c>
      <c r="DM5" s="691">
        <v>71.400000000000006</v>
      </c>
      <c r="DN5" s="689">
        <v>34</v>
      </c>
      <c r="DO5" s="690">
        <v>11</v>
      </c>
      <c r="DP5" s="691">
        <v>75.599999999999994</v>
      </c>
      <c r="DQ5" s="689">
        <v>43</v>
      </c>
      <c r="DR5" s="690">
        <v>16</v>
      </c>
      <c r="DS5" s="691">
        <v>72.900000000000006</v>
      </c>
      <c r="DT5" s="689">
        <v>34</v>
      </c>
      <c r="DU5" s="690">
        <v>13</v>
      </c>
      <c r="DV5" s="691">
        <v>72.3</v>
      </c>
      <c r="DW5" s="689">
        <v>34</v>
      </c>
      <c r="DX5" s="690">
        <v>11</v>
      </c>
      <c r="DY5" s="691">
        <v>75.599999999999994</v>
      </c>
      <c r="DZ5" s="689">
        <v>24</v>
      </c>
      <c r="EA5" s="690">
        <v>10</v>
      </c>
      <c r="EB5" s="691">
        <v>70.599999999999994</v>
      </c>
      <c r="EC5" s="689">
        <v>22</v>
      </c>
      <c r="ED5" s="690">
        <v>13</v>
      </c>
      <c r="EE5" s="691">
        <v>62.9</v>
      </c>
      <c r="EF5" s="689">
        <v>26</v>
      </c>
      <c r="EG5" s="690">
        <v>4</v>
      </c>
      <c r="EH5" s="691">
        <v>86.7</v>
      </c>
      <c r="EI5" s="689"/>
      <c r="EJ5" s="690"/>
      <c r="EK5" s="691" t="s">
        <v>6</v>
      </c>
      <c r="EL5" s="689"/>
      <c r="EM5" s="690"/>
      <c r="EN5" s="691" t="s">
        <v>6</v>
      </c>
      <c r="EO5" s="689"/>
      <c r="EP5" s="690"/>
      <c r="EQ5" s="691" t="s">
        <v>6</v>
      </c>
      <c r="ER5" s="689"/>
      <c r="ES5" s="690"/>
      <c r="ET5" s="691" t="s">
        <v>6</v>
      </c>
      <c r="EU5" s="689"/>
      <c r="EV5" s="690"/>
      <c r="EW5" s="691" t="s">
        <v>6</v>
      </c>
      <c r="EX5" s="689"/>
      <c r="EY5" s="690"/>
      <c r="EZ5" s="691" t="s">
        <v>6</v>
      </c>
      <c r="FA5" s="689"/>
      <c r="FB5" s="690"/>
      <c r="FC5" s="691" t="s">
        <v>6</v>
      </c>
      <c r="FD5" s="689"/>
      <c r="FE5" s="690"/>
      <c r="FF5" s="691" t="s">
        <v>6</v>
      </c>
      <c r="FG5" s="689">
        <v>0</v>
      </c>
      <c r="FH5" s="690">
        <v>0</v>
      </c>
      <c r="FI5" s="691" t="s">
        <v>6</v>
      </c>
      <c r="FJ5" s="689">
        <v>14</v>
      </c>
      <c r="FK5" s="690">
        <v>8</v>
      </c>
      <c r="FL5" s="691">
        <v>63.6</v>
      </c>
      <c r="FM5" s="689">
        <v>26</v>
      </c>
      <c r="FN5" s="690">
        <v>3</v>
      </c>
      <c r="FO5" s="691">
        <v>89.7</v>
      </c>
      <c r="FP5" s="689">
        <v>6</v>
      </c>
      <c r="FQ5" s="690">
        <v>13</v>
      </c>
      <c r="FR5" s="691">
        <v>31.6</v>
      </c>
      <c r="FS5" s="689">
        <v>1</v>
      </c>
      <c r="FT5" s="690">
        <v>2</v>
      </c>
      <c r="FU5" s="691">
        <v>33.299999999999997</v>
      </c>
      <c r="FV5" s="689">
        <v>5</v>
      </c>
      <c r="FW5" s="690">
        <v>4</v>
      </c>
      <c r="FX5" s="691">
        <v>55.6</v>
      </c>
      <c r="FY5" s="689">
        <v>1</v>
      </c>
      <c r="FZ5" s="690">
        <v>2</v>
      </c>
      <c r="GA5" s="691">
        <v>33.299999999999997</v>
      </c>
      <c r="GB5" s="689">
        <v>5</v>
      </c>
      <c r="GC5" s="690">
        <v>6</v>
      </c>
      <c r="GD5" s="691">
        <v>45.5</v>
      </c>
      <c r="GE5" s="689">
        <v>22</v>
      </c>
      <c r="GF5" s="690">
        <v>7</v>
      </c>
      <c r="GG5" s="691">
        <v>75.900000000000006</v>
      </c>
      <c r="GH5" s="689">
        <v>7</v>
      </c>
      <c r="GI5" s="690">
        <v>0</v>
      </c>
      <c r="GJ5" s="691">
        <v>100</v>
      </c>
      <c r="GK5" s="689"/>
      <c r="GL5" s="690"/>
      <c r="GM5" s="691" t="s">
        <v>6</v>
      </c>
      <c r="GN5" s="689"/>
      <c r="GO5" s="690"/>
      <c r="GP5" s="691" t="s">
        <v>6</v>
      </c>
      <c r="GQ5" s="689"/>
      <c r="GR5" s="690">
        <v>3</v>
      </c>
      <c r="GS5" s="691">
        <v>0</v>
      </c>
      <c r="GT5" s="689"/>
      <c r="GU5" s="690"/>
      <c r="GV5" s="691" t="s">
        <v>6</v>
      </c>
      <c r="GW5" s="689"/>
      <c r="GX5" s="690"/>
      <c r="GY5" s="691" t="s">
        <v>6</v>
      </c>
      <c r="GZ5" s="689"/>
      <c r="HA5" s="690"/>
      <c r="HB5" s="691" t="s">
        <v>6</v>
      </c>
      <c r="HC5" s="689">
        <v>2</v>
      </c>
      <c r="HD5" s="690"/>
      <c r="HE5" s="691">
        <v>100</v>
      </c>
      <c r="HF5" s="689"/>
      <c r="HG5" s="690"/>
      <c r="HH5" s="691" t="s">
        <v>6</v>
      </c>
      <c r="HI5" s="689">
        <v>0</v>
      </c>
      <c r="HJ5" s="690">
        <v>0</v>
      </c>
      <c r="HK5" s="691" t="s">
        <v>6</v>
      </c>
      <c r="HL5" s="689">
        <v>210</v>
      </c>
      <c r="HM5" s="690">
        <v>71</v>
      </c>
      <c r="HN5" s="691">
        <v>74.7</v>
      </c>
      <c r="HO5" s="689">
        <v>183</v>
      </c>
      <c r="HP5" s="690">
        <v>55</v>
      </c>
      <c r="HQ5" s="691">
        <v>76.900000000000006</v>
      </c>
      <c r="HR5" s="689">
        <v>212</v>
      </c>
      <c r="HS5" s="690">
        <v>79</v>
      </c>
      <c r="HT5" s="691">
        <v>72.900000000000006</v>
      </c>
      <c r="HU5" s="689">
        <v>191</v>
      </c>
      <c r="HV5" s="690">
        <v>62</v>
      </c>
      <c r="HW5" s="691">
        <v>75.5</v>
      </c>
      <c r="HX5" s="689">
        <v>196</v>
      </c>
      <c r="HY5" s="690">
        <v>56</v>
      </c>
      <c r="HZ5" s="691">
        <v>77.8</v>
      </c>
      <c r="IA5" s="689">
        <v>157</v>
      </c>
      <c r="IB5" s="690">
        <v>39</v>
      </c>
      <c r="IC5" s="691">
        <v>80.099999999999994</v>
      </c>
      <c r="ID5" s="689">
        <v>114</v>
      </c>
      <c r="IE5" s="690">
        <v>50</v>
      </c>
      <c r="IF5" s="691">
        <v>69.5</v>
      </c>
      <c r="IG5" s="689">
        <v>126</v>
      </c>
      <c r="IH5" s="690">
        <v>45</v>
      </c>
      <c r="II5" s="691">
        <v>73.7</v>
      </c>
      <c r="IJ5" s="689">
        <v>102</v>
      </c>
      <c r="IK5" s="690">
        <v>21</v>
      </c>
      <c r="IL5" s="691">
        <v>82.9</v>
      </c>
      <c r="IM5" s="689">
        <v>4</v>
      </c>
      <c r="IN5" s="690">
        <v>4</v>
      </c>
      <c r="IO5" s="691">
        <v>50</v>
      </c>
      <c r="IP5" s="689">
        <v>4</v>
      </c>
      <c r="IQ5" s="690">
        <v>5</v>
      </c>
      <c r="IR5" s="691">
        <v>44.4</v>
      </c>
      <c r="IS5" s="689">
        <v>3</v>
      </c>
      <c r="IT5" s="690">
        <v>2</v>
      </c>
      <c r="IU5" s="691">
        <v>60</v>
      </c>
      <c r="IV5" s="689">
        <v>7</v>
      </c>
      <c r="IW5" s="690">
        <v>2</v>
      </c>
      <c r="IX5" s="691">
        <v>77.8</v>
      </c>
      <c r="IY5" s="689">
        <v>2</v>
      </c>
      <c r="IZ5" s="690">
        <v>1</v>
      </c>
      <c r="JA5" s="691">
        <v>66.7</v>
      </c>
      <c r="JB5" s="689"/>
      <c r="JC5" s="690"/>
      <c r="JD5" s="691" t="s">
        <v>6</v>
      </c>
      <c r="JE5" s="689">
        <v>3</v>
      </c>
      <c r="JF5" s="690">
        <v>3</v>
      </c>
      <c r="JG5" s="691">
        <v>50</v>
      </c>
      <c r="JH5" s="689">
        <v>1</v>
      </c>
      <c r="JI5" s="690">
        <v>1</v>
      </c>
      <c r="JJ5" s="691">
        <v>50</v>
      </c>
      <c r="JK5" s="689">
        <v>2</v>
      </c>
      <c r="JL5" s="690">
        <v>0</v>
      </c>
      <c r="JM5" s="691">
        <v>100</v>
      </c>
      <c r="JN5" s="689">
        <v>11</v>
      </c>
      <c r="JO5" s="690">
        <v>1</v>
      </c>
      <c r="JP5" s="691">
        <v>91.7</v>
      </c>
      <c r="JQ5" s="689">
        <v>18</v>
      </c>
      <c r="JR5" s="690">
        <v>1</v>
      </c>
      <c r="JS5" s="691">
        <v>94.7</v>
      </c>
      <c r="JT5" s="689">
        <v>12</v>
      </c>
      <c r="JU5" s="690"/>
      <c r="JV5" s="691">
        <v>100</v>
      </c>
      <c r="JW5" s="689">
        <v>12</v>
      </c>
      <c r="JX5" s="690">
        <v>2</v>
      </c>
      <c r="JY5" s="691">
        <v>85.7</v>
      </c>
      <c r="JZ5" s="689">
        <v>12</v>
      </c>
      <c r="KA5" s="690">
        <v>1</v>
      </c>
      <c r="KB5" s="691">
        <v>92.3</v>
      </c>
      <c r="KC5" s="689">
        <v>5</v>
      </c>
      <c r="KD5" s="690">
        <v>2</v>
      </c>
      <c r="KE5" s="691">
        <v>71.400000000000006</v>
      </c>
      <c r="KF5" s="689">
        <v>2</v>
      </c>
      <c r="KG5" s="690">
        <v>2</v>
      </c>
      <c r="KH5" s="691">
        <v>50</v>
      </c>
      <c r="KI5" s="689">
        <v>8</v>
      </c>
      <c r="KJ5" s="690">
        <v>5</v>
      </c>
      <c r="KK5" s="691">
        <v>61.5</v>
      </c>
      <c r="KL5" s="689">
        <v>8</v>
      </c>
      <c r="KM5" s="690">
        <v>6</v>
      </c>
      <c r="KN5" s="691">
        <v>57.1</v>
      </c>
      <c r="KO5" s="692">
        <f t="shared" si="0"/>
        <v>0</v>
      </c>
      <c r="KP5" s="183">
        <f t="shared" si="0"/>
        <v>0</v>
      </c>
      <c r="KQ5" s="438" t="str">
        <f t="shared" si="1"/>
        <v>-</v>
      </c>
      <c r="KR5" s="692">
        <f t="shared" si="2"/>
        <v>0</v>
      </c>
      <c r="KS5" s="183">
        <f t="shared" si="3"/>
        <v>0</v>
      </c>
      <c r="KT5" s="438" t="str">
        <f t="shared" si="4"/>
        <v>-</v>
      </c>
      <c r="KU5" s="692">
        <f t="shared" si="5"/>
        <v>0</v>
      </c>
      <c r="KV5" s="183">
        <f t="shared" si="5"/>
        <v>0</v>
      </c>
      <c r="KW5" s="438" t="str">
        <f t="shared" si="6"/>
        <v>-</v>
      </c>
      <c r="KX5" s="692">
        <f t="shared" si="7"/>
        <v>364</v>
      </c>
      <c r="KY5" s="183">
        <f t="shared" si="7"/>
        <v>62</v>
      </c>
      <c r="KZ5" s="438">
        <f t="shared" si="8"/>
        <v>85.44600938967136</v>
      </c>
      <c r="LA5" s="692">
        <f t="shared" si="9"/>
        <v>140</v>
      </c>
      <c r="LB5" s="183">
        <f t="shared" si="9"/>
        <v>51</v>
      </c>
      <c r="LC5" s="438">
        <f t="shared" si="10"/>
        <v>73.298429319371721</v>
      </c>
      <c r="LD5" s="692">
        <f t="shared" si="11"/>
        <v>0</v>
      </c>
      <c r="LE5" s="183">
        <f t="shared" si="11"/>
        <v>0</v>
      </c>
      <c r="LF5" s="438" t="str">
        <f t="shared" si="12"/>
        <v>-</v>
      </c>
      <c r="LG5" s="692">
        <f t="shared" si="13"/>
        <v>40</v>
      </c>
      <c r="LH5" s="183">
        <f t="shared" si="13"/>
        <v>19</v>
      </c>
      <c r="LI5" s="438">
        <f t="shared" si="14"/>
        <v>67.796610169491515</v>
      </c>
      <c r="LJ5" s="692">
        <f t="shared" si="15"/>
        <v>2</v>
      </c>
      <c r="LK5" s="183">
        <f t="shared" si="15"/>
        <v>0</v>
      </c>
      <c r="LL5" s="438">
        <f t="shared" si="16"/>
        <v>100</v>
      </c>
      <c r="LM5" s="692">
        <f t="shared" si="17"/>
        <v>695</v>
      </c>
      <c r="LN5" s="183">
        <f t="shared" si="17"/>
        <v>211</v>
      </c>
      <c r="LO5" s="438">
        <f t="shared" si="18"/>
        <v>76.710816777041941</v>
      </c>
      <c r="LP5" s="692">
        <f t="shared" si="19"/>
        <v>8</v>
      </c>
      <c r="LQ5" s="183">
        <f t="shared" si="19"/>
        <v>5</v>
      </c>
      <c r="LR5" s="438">
        <f t="shared" si="20"/>
        <v>61.53846153846154</v>
      </c>
      <c r="LS5" s="339">
        <f t="shared" si="21"/>
        <v>35</v>
      </c>
      <c r="LT5" s="275">
        <f t="shared" si="21"/>
        <v>16</v>
      </c>
      <c r="LU5" s="438">
        <f t="shared" si="22"/>
        <v>68.627450980392155</v>
      </c>
    </row>
    <row r="6" spans="1:333" x14ac:dyDescent="0.2">
      <c r="A6" s="986"/>
      <c r="B6" s="741" t="s">
        <v>621</v>
      </c>
      <c r="C6" s="629" t="s">
        <v>1199</v>
      </c>
      <c r="D6" s="689"/>
      <c r="E6" s="690"/>
      <c r="F6" s="691" t="s">
        <v>6</v>
      </c>
      <c r="G6" s="689"/>
      <c r="H6" s="690"/>
      <c r="I6" s="691" t="s">
        <v>6</v>
      </c>
      <c r="J6" s="689"/>
      <c r="K6" s="690"/>
      <c r="L6" s="691" t="s">
        <v>6</v>
      </c>
      <c r="M6" s="689"/>
      <c r="N6" s="690"/>
      <c r="O6" s="691" t="s">
        <v>6</v>
      </c>
      <c r="P6" s="689"/>
      <c r="Q6" s="690"/>
      <c r="R6" s="691" t="s">
        <v>6</v>
      </c>
      <c r="S6" s="689"/>
      <c r="T6" s="690"/>
      <c r="U6" s="691" t="s">
        <v>6</v>
      </c>
      <c r="V6" s="689"/>
      <c r="W6" s="690"/>
      <c r="X6" s="691" t="s">
        <v>6</v>
      </c>
      <c r="Y6" s="689"/>
      <c r="Z6" s="690"/>
      <c r="AA6" s="691" t="s">
        <v>6</v>
      </c>
      <c r="AB6" s="689">
        <v>0</v>
      </c>
      <c r="AC6" s="690">
        <v>0</v>
      </c>
      <c r="AD6" s="691" t="s">
        <v>6</v>
      </c>
      <c r="AE6" s="689"/>
      <c r="AF6" s="690"/>
      <c r="AG6" s="691" t="s">
        <v>6</v>
      </c>
      <c r="AH6" s="689"/>
      <c r="AI6" s="690"/>
      <c r="AJ6" s="691" t="s">
        <v>6</v>
      </c>
      <c r="AK6" s="689"/>
      <c r="AL6" s="690"/>
      <c r="AM6" s="691" t="s">
        <v>6</v>
      </c>
      <c r="AN6" s="689"/>
      <c r="AO6" s="690"/>
      <c r="AP6" s="691" t="s">
        <v>6</v>
      </c>
      <c r="AQ6" s="689"/>
      <c r="AR6" s="690"/>
      <c r="AS6" s="691" t="s">
        <v>6</v>
      </c>
      <c r="AT6" s="689"/>
      <c r="AU6" s="690"/>
      <c r="AV6" s="691" t="s">
        <v>6</v>
      </c>
      <c r="AW6" s="689"/>
      <c r="AX6" s="690"/>
      <c r="AY6" s="691" t="s">
        <v>6</v>
      </c>
      <c r="AZ6" s="689"/>
      <c r="BA6" s="690"/>
      <c r="BB6" s="691" t="s">
        <v>6</v>
      </c>
      <c r="BC6" s="689">
        <v>0</v>
      </c>
      <c r="BD6" s="690">
        <v>0</v>
      </c>
      <c r="BE6" s="691" t="s">
        <v>6</v>
      </c>
      <c r="BF6" s="689"/>
      <c r="BG6" s="690"/>
      <c r="BH6" s="691" t="s">
        <v>6</v>
      </c>
      <c r="BI6" s="689"/>
      <c r="BJ6" s="690"/>
      <c r="BK6" s="691" t="s">
        <v>6</v>
      </c>
      <c r="BL6" s="689"/>
      <c r="BM6" s="690"/>
      <c r="BN6" s="691" t="s">
        <v>6</v>
      </c>
      <c r="BO6" s="689"/>
      <c r="BP6" s="690"/>
      <c r="BQ6" s="691" t="s">
        <v>6</v>
      </c>
      <c r="BR6" s="689"/>
      <c r="BS6" s="690"/>
      <c r="BT6" s="691" t="s">
        <v>6</v>
      </c>
      <c r="BU6" s="689"/>
      <c r="BV6" s="690"/>
      <c r="BW6" s="691" t="s">
        <v>6</v>
      </c>
      <c r="BX6" s="689"/>
      <c r="BY6" s="690"/>
      <c r="BZ6" s="691" t="s">
        <v>6</v>
      </c>
      <c r="CA6" s="689"/>
      <c r="CB6" s="690"/>
      <c r="CC6" s="691" t="s">
        <v>6</v>
      </c>
      <c r="CD6" s="689">
        <v>0</v>
      </c>
      <c r="CE6" s="690">
        <v>0</v>
      </c>
      <c r="CF6" s="691" t="s">
        <v>6</v>
      </c>
      <c r="CG6" s="689">
        <v>6</v>
      </c>
      <c r="CH6" s="690">
        <v>1</v>
      </c>
      <c r="CI6" s="691">
        <v>85.7</v>
      </c>
      <c r="CJ6" s="689">
        <v>11</v>
      </c>
      <c r="CK6" s="690">
        <v>1</v>
      </c>
      <c r="CL6" s="691">
        <v>91.7</v>
      </c>
      <c r="CM6" s="689">
        <v>10</v>
      </c>
      <c r="CN6" s="690">
        <v>2</v>
      </c>
      <c r="CO6" s="691">
        <v>83.3</v>
      </c>
      <c r="CP6" s="689">
        <v>9</v>
      </c>
      <c r="CQ6" s="690">
        <v>2</v>
      </c>
      <c r="CR6" s="691">
        <v>81.8</v>
      </c>
      <c r="CS6" s="689">
        <v>11</v>
      </c>
      <c r="CT6" s="690">
        <v>2</v>
      </c>
      <c r="CU6" s="691">
        <v>84.6</v>
      </c>
      <c r="CV6" s="689">
        <v>16</v>
      </c>
      <c r="CW6" s="690">
        <v>3</v>
      </c>
      <c r="CX6" s="691">
        <v>84.2</v>
      </c>
      <c r="CY6" s="689">
        <v>9</v>
      </c>
      <c r="CZ6" s="690">
        <v>1</v>
      </c>
      <c r="DA6" s="691">
        <v>90</v>
      </c>
      <c r="DB6" s="689">
        <v>10</v>
      </c>
      <c r="DC6" s="690">
        <v>1</v>
      </c>
      <c r="DD6" s="691">
        <v>90.9</v>
      </c>
      <c r="DE6" s="689">
        <v>9</v>
      </c>
      <c r="DF6" s="690">
        <v>0</v>
      </c>
      <c r="DG6" s="691">
        <v>100</v>
      </c>
      <c r="DH6" s="689">
        <v>5</v>
      </c>
      <c r="DI6" s="690">
        <v>1</v>
      </c>
      <c r="DJ6" s="691">
        <v>83.3</v>
      </c>
      <c r="DK6" s="689">
        <v>5</v>
      </c>
      <c r="DL6" s="690">
        <v>1</v>
      </c>
      <c r="DM6" s="691">
        <v>83.3</v>
      </c>
      <c r="DN6" s="689">
        <v>2</v>
      </c>
      <c r="DO6" s="690">
        <v>2</v>
      </c>
      <c r="DP6" s="691">
        <v>50</v>
      </c>
      <c r="DQ6" s="689">
        <v>5</v>
      </c>
      <c r="DR6" s="690">
        <v>2</v>
      </c>
      <c r="DS6" s="691">
        <v>71.400000000000006</v>
      </c>
      <c r="DT6" s="689">
        <v>4</v>
      </c>
      <c r="DU6" s="690">
        <v>2</v>
      </c>
      <c r="DV6" s="691">
        <v>66.7</v>
      </c>
      <c r="DW6" s="689">
        <v>5</v>
      </c>
      <c r="DX6" s="690">
        <v>3</v>
      </c>
      <c r="DY6" s="691">
        <v>62.5</v>
      </c>
      <c r="DZ6" s="689">
        <v>4</v>
      </c>
      <c r="EA6" s="690">
        <v>1</v>
      </c>
      <c r="EB6" s="691">
        <v>80</v>
      </c>
      <c r="EC6" s="689">
        <v>1</v>
      </c>
      <c r="ED6" s="690"/>
      <c r="EE6" s="691">
        <v>100</v>
      </c>
      <c r="EF6" s="689">
        <v>3</v>
      </c>
      <c r="EG6" s="690">
        <v>0</v>
      </c>
      <c r="EH6" s="691">
        <v>100</v>
      </c>
      <c r="EI6" s="689"/>
      <c r="EJ6" s="690"/>
      <c r="EK6" s="691" t="s">
        <v>6</v>
      </c>
      <c r="EL6" s="689"/>
      <c r="EM6" s="690"/>
      <c r="EN6" s="691" t="s">
        <v>6</v>
      </c>
      <c r="EO6" s="689"/>
      <c r="EP6" s="690"/>
      <c r="EQ6" s="691" t="s">
        <v>6</v>
      </c>
      <c r="ER6" s="689"/>
      <c r="ES6" s="690"/>
      <c r="ET6" s="691" t="s">
        <v>6</v>
      </c>
      <c r="EU6" s="689"/>
      <c r="EV6" s="690"/>
      <c r="EW6" s="691" t="s">
        <v>6</v>
      </c>
      <c r="EX6" s="689"/>
      <c r="EY6" s="690"/>
      <c r="EZ6" s="691" t="s">
        <v>6</v>
      </c>
      <c r="FA6" s="689"/>
      <c r="FB6" s="690"/>
      <c r="FC6" s="691" t="s">
        <v>6</v>
      </c>
      <c r="FD6" s="689"/>
      <c r="FE6" s="690"/>
      <c r="FF6" s="691" t="s">
        <v>6</v>
      </c>
      <c r="FG6" s="689">
        <v>0</v>
      </c>
      <c r="FH6" s="690">
        <v>0</v>
      </c>
      <c r="FI6" s="691" t="s">
        <v>6</v>
      </c>
      <c r="FJ6" s="689">
        <v>3</v>
      </c>
      <c r="FK6" s="690"/>
      <c r="FL6" s="691">
        <v>100</v>
      </c>
      <c r="FM6" s="689">
        <v>1</v>
      </c>
      <c r="FN6" s="690">
        <v>8</v>
      </c>
      <c r="FO6" s="691">
        <v>11.1</v>
      </c>
      <c r="FP6" s="689">
        <v>8</v>
      </c>
      <c r="FQ6" s="690"/>
      <c r="FR6" s="691">
        <v>100</v>
      </c>
      <c r="FS6" s="689">
        <v>1</v>
      </c>
      <c r="FT6" s="690">
        <v>1</v>
      </c>
      <c r="FU6" s="691">
        <v>50</v>
      </c>
      <c r="FV6" s="689">
        <v>5</v>
      </c>
      <c r="FW6" s="690">
        <v>5</v>
      </c>
      <c r="FX6" s="691">
        <v>50</v>
      </c>
      <c r="FY6" s="689"/>
      <c r="FZ6" s="690"/>
      <c r="GA6" s="691" t="s">
        <v>6</v>
      </c>
      <c r="GB6" s="689"/>
      <c r="GC6" s="690"/>
      <c r="GD6" s="691" t="s">
        <v>6</v>
      </c>
      <c r="GE6" s="689"/>
      <c r="GF6" s="690"/>
      <c r="GG6" s="691" t="s">
        <v>6</v>
      </c>
      <c r="GH6" s="689">
        <v>4</v>
      </c>
      <c r="GI6" s="690">
        <v>0</v>
      </c>
      <c r="GJ6" s="691">
        <v>100</v>
      </c>
      <c r="GK6" s="689"/>
      <c r="GL6" s="690"/>
      <c r="GM6" s="691" t="s">
        <v>6</v>
      </c>
      <c r="GN6" s="689"/>
      <c r="GO6" s="690"/>
      <c r="GP6" s="691" t="s">
        <v>6</v>
      </c>
      <c r="GQ6" s="689"/>
      <c r="GR6" s="690"/>
      <c r="GS6" s="691" t="s">
        <v>6</v>
      </c>
      <c r="GT6" s="689"/>
      <c r="GU6" s="690"/>
      <c r="GV6" s="691" t="s">
        <v>6</v>
      </c>
      <c r="GW6" s="689"/>
      <c r="GX6" s="690"/>
      <c r="GY6" s="691" t="s">
        <v>6</v>
      </c>
      <c r="GZ6" s="689"/>
      <c r="HA6" s="690"/>
      <c r="HB6" s="691" t="s">
        <v>6</v>
      </c>
      <c r="HC6" s="689"/>
      <c r="HD6" s="690">
        <v>1</v>
      </c>
      <c r="HE6" s="691">
        <v>0</v>
      </c>
      <c r="HF6" s="689">
        <v>1</v>
      </c>
      <c r="HG6" s="690"/>
      <c r="HH6" s="691">
        <v>100</v>
      </c>
      <c r="HI6" s="689">
        <v>0</v>
      </c>
      <c r="HJ6" s="690">
        <v>0</v>
      </c>
      <c r="HK6" s="691" t="s">
        <v>6</v>
      </c>
      <c r="HL6" s="689">
        <v>13</v>
      </c>
      <c r="HM6" s="690">
        <v>1</v>
      </c>
      <c r="HN6" s="691">
        <v>92.9</v>
      </c>
      <c r="HO6" s="689">
        <v>23</v>
      </c>
      <c r="HP6" s="690">
        <v>14</v>
      </c>
      <c r="HQ6" s="691">
        <v>62.2</v>
      </c>
      <c r="HR6" s="689">
        <v>19</v>
      </c>
      <c r="HS6" s="690">
        <v>4</v>
      </c>
      <c r="HT6" s="691">
        <v>82.6</v>
      </c>
      <c r="HU6" s="689">
        <v>22</v>
      </c>
      <c r="HV6" s="690">
        <v>11</v>
      </c>
      <c r="HW6" s="691">
        <v>66.7</v>
      </c>
      <c r="HX6" s="689">
        <v>31</v>
      </c>
      <c r="HY6" s="690">
        <v>4</v>
      </c>
      <c r="HZ6" s="691">
        <v>88.6</v>
      </c>
      <c r="IA6" s="689">
        <v>34</v>
      </c>
      <c r="IB6" s="690">
        <v>7</v>
      </c>
      <c r="IC6" s="691">
        <v>82.9</v>
      </c>
      <c r="ID6" s="689">
        <v>21</v>
      </c>
      <c r="IE6" s="690">
        <v>7</v>
      </c>
      <c r="IF6" s="691">
        <v>75</v>
      </c>
      <c r="IG6" s="689">
        <v>20</v>
      </c>
      <c r="IH6" s="690">
        <v>7</v>
      </c>
      <c r="II6" s="691">
        <v>74.099999999999994</v>
      </c>
      <c r="IJ6" s="689">
        <v>17</v>
      </c>
      <c r="IK6" s="690">
        <v>2</v>
      </c>
      <c r="IL6" s="691">
        <v>89.5</v>
      </c>
      <c r="IM6" s="689">
        <v>1</v>
      </c>
      <c r="IN6" s="690"/>
      <c r="IO6" s="691">
        <v>100</v>
      </c>
      <c r="IP6" s="689">
        <v>1</v>
      </c>
      <c r="IQ6" s="690"/>
      <c r="IR6" s="691">
        <v>100</v>
      </c>
      <c r="IS6" s="689"/>
      <c r="IT6" s="690"/>
      <c r="IU6" s="691" t="s">
        <v>6</v>
      </c>
      <c r="IV6" s="689"/>
      <c r="IW6" s="690"/>
      <c r="IX6" s="691" t="s">
        <v>6</v>
      </c>
      <c r="IY6" s="689"/>
      <c r="IZ6" s="690"/>
      <c r="JA6" s="691" t="s">
        <v>6</v>
      </c>
      <c r="JB6" s="689"/>
      <c r="JC6" s="690">
        <v>1</v>
      </c>
      <c r="JD6" s="691">
        <v>0</v>
      </c>
      <c r="JE6" s="689">
        <v>2</v>
      </c>
      <c r="JF6" s="690">
        <v>1</v>
      </c>
      <c r="JG6" s="691">
        <v>66.7</v>
      </c>
      <c r="JH6" s="689"/>
      <c r="JI6" s="690"/>
      <c r="JJ6" s="691" t="s">
        <v>6</v>
      </c>
      <c r="JK6" s="689">
        <v>0</v>
      </c>
      <c r="JL6" s="690">
        <v>0</v>
      </c>
      <c r="JM6" s="691" t="s">
        <v>6</v>
      </c>
      <c r="JN6" s="689">
        <v>1</v>
      </c>
      <c r="JO6" s="690"/>
      <c r="JP6" s="691">
        <v>100</v>
      </c>
      <c r="JQ6" s="689"/>
      <c r="JR6" s="690"/>
      <c r="JS6" s="691" t="s">
        <v>6</v>
      </c>
      <c r="JT6" s="689"/>
      <c r="JU6" s="690"/>
      <c r="JV6" s="691" t="s">
        <v>6</v>
      </c>
      <c r="JW6" s="689"/>
      <c r="JX6" s="690"/>
      <c r="JY6" s="691" t="s">
        <v>6</v>
      </c>
      <c r="JZ6" s="689">
        <v>1</v>
      </c>
      <c r="KA6" s="690"/>
      <c r="KB6" s="691">
        <v>100</v>
      </c>
      <c r="KC6" s="689"/>
      <c r="KD6" s="690"/>
      <c r="KE6" s="691" t="s">
        <v>6</v>
      </c>
      <c r="KF6" s="689"/>
      <c r="KG6" s="690"/>
      <c r="KH6" s="691" t="s">
        <v>6</v>
      </c>
      <c r="KI6" s="689"/>
      <c r="KJ6" s="690"/>
      <c r="KK6" s="691" t="s">
        <v>6</v>
      </c>
      <c r="KL6" s="689">
        <v>0</v>
      </c>
      <c r="KM6" s="690">
        <v>0</v>
      </c>
      <c r="KN6" s="691" t="s">
        <v>6</v>
      </c>
      <c r="KO6" s="692">
        <f t="shared" si="0"/>
        <v>0</v>
      </c>
      <c r="KP6" s="183">
        <f t="shared" si="0"/>
        <v>0</v>
      </c>
      <c r="KQ6" s="438" t="str">
        <f t="shared" si="1"/>
        <v>-</v>
      </c>
      <c r="KR6" s="692">
        <f>SUM(AZ6,AW6,AQ6,AT6,BC6)</f>
        <v>0</v>
      </c>
      <c r="KS6" s="183">
        <f t="shared" si="3"/>
        <v>0</v>
      </c>
      <c r="KT6" s="438" t="str">
        <f t="shared" si="4"/>
        <v>-</v>
      </c>
      <c r="KU6" s="692">
        <f t="shared" si="5"/>
        <v>0</v>
      </c>
      <c r="KV6" s="183">
        <f t="shared" si="5"/>
        <v>0</v>
      </c>
      <c r="KW6" s="438" t="str">
        <f t="shared" si="6"/>
        <v>-</v>
      </c>
      <c r="KX6" s="692">
        <f t="shared" si="7"/>
        <v>55</v>
      </c>
      <c r="KY6" s="183">
        <f t="shared" si="7"/>
        <v>7</v>
      </c>
      <c r="KZ6" s="438">
        <f t="shared" si="8"/>
        <v>88.709677419354833</v>
      </c>
      <c r="LA6" s="692">
        <f t="shared" si="9"/>
        <v>17</v>
      </c>
      <c r="LB6" s="183">
        <f t="shared" si="9"/>
        <v>6</v>
      </c>
      <c r="LC6" s="438">
        <f t="shared" si="10"/>
        <v>73.91304347826086</v>
      </c>
      <c r="LD6" s="692">
        <f t="shared" si="11"/>
        <v>0</v>
      </c>
      <c r="LE6" s="183">
        <f t="shared" si="11"/>
        <v>0</v>
      </c>
      <c r="LF6" s="438" t="str">
        <f t="shared" si="12"/>
        <v>-</v>
      </c>
      <c r="LG6" s="692">
        <f t="shared" si="13"/>
        <v>9</v>
      </c>
      <c r="LH6" s="183">
        <f t="shared" si="13"/>
        <v>5</v>
      </c>
      <c r="LI6" s="438">
        <f t="shared" si="14"/>
        <v>64.285714285714292</v>
      </c>
      <c r="LJ6" s="692">
        <f t="shared" si="15"/>
        <v>1</v>
      </c>
      <c r="LK6" s="183">
        <f t="shared" si="15"/>
        <v>1</v>
      </c>
      <c r="LL6" s="438">
        <f t="shared" si="16"/>
        <v>50</v>
      </c>
      <c r="LM6" s="692">
        <f t="shared" si="17"/>
        <v>123</v>
      </c>
      <c r="LN6" s="183">
        <f t="shared" si="17"/>
        <v>27</v>
      </c>
      <c r="LO6" s="438">
        <f t="shared" si="18"/>
        <v>82</v>
      </c>
      <c r="LP6" s="692">
        <f t="shared" si="19"/>
        <v>2</v>
      </c>
      <c r="LQ6" s="183">
        <f t="shared" si="19"/>
        <v>2</v>
      </c>
      <c r="LR6" s="438">
        <f t="shared" si="20"/>
        <v>50</v>
      </c>
      <c r="LS6" s="339">
        <f t="shared" si="21"/>
        <v>1</v>
      </c>
      <c r="LT6" s="275">
        <f t="shared" si="21"/>
        <v>0</v>
      </c>
      <c r="LU6" s="438">
        <f t="shared" si="22"/>
        <v>100</v>
      </c>
    </row>
    <row r="7" spans="1:333" x14ac:dyDescent="0.2">
      <c r="A7" s="986"/>
      <c r="B7" s="741" t="s">
        <v>621</v>
      </c>
      <c r="C7" s="629" t="s">
        <v>1200</v>
      </c>
      <c r="D7" s="689"/>
      <c r="E7" s="690"/>
      <c r="F7" s="691" t="s">
        <v>6</v>
      </c>
      <c r="G7" s="689"/>
      <c r="H7" s="690"/>
      <c r="I7" s="691" t="s">
        <v>6</v>
      </c>
      <c r="J7" s="689"/>
      <c r="K7" s="690"/>
      <c r="L7" s="691" t="s">
        <v>6</v>
      </c>
      <c r="M7" s="689"/>
      <c r="N7" s="690"/>
      <c r="O7" s="691" t="s">
        <v>6</v>
      </c>
      <c r="P7" s="689"/>
      <c r="Q7" s="690"/>
      <c r="R7" s="691" t="s">
        <v>6</v>
      </c>
      <c r="S7" s="689"/>
      <c r="T7" s="690"/>
      <c r="U7" s="691" t="s">
        <v>6</v>
      </c>
      <c r="V7" s="689"/>
      <c r="W7" s="690"/>
      <c r="X7" s="691" t="s">
        <v>6</v>
      </c>
      <c r="Y7" s="689"/>
      <c r="Z7" s="690"/>
      <c r="AA7" s="691" t="s">
        <v>6</v>
      </c>
      <c r="AB7" s="689">
        <v>0</v>
      </c>
      <c r="AC7" s="690">
        <v>0</v>
      </c>
      <c r="AD7" s="691" t="s">
        <v>6</v>
      </c>
      <c r="AE7" s="689"/>
      <c r="AF7" s="690"/>
      <c r="AG7" s="691" t="s">
        <v>6</v>
      </c>
      <c r="AH7" s="689"/>
      <c r="AI7" s="690"/>
      <c r="AJ7" s="691" t="s">
        <v>6</v>
      </c>
      <c r="AK7" s="689"/>
      <c r="AL7" s="690"/>
      <c r="AM7" s="691" t="s">
        <v>6</v>
      </c>
      <c r="AN7" s="689"/>
      <c r="AO7" s="690"/>
      <c r="AP7" s="691" t="s">
        <v>6</v>
      </c>
      <c r="AQ7" s="689"/>
      <c r="AR7" s="690"/>
      <c r="AS7" s="691" t="s">
        <v>6</v>
      </c>
      <c r="AT7" s="689"/>
      <c r="AU7" s="690"/>
      <c r="AV7" s="691" t="s">
        <v>6</v>
      </c>
      <c r="AW7" s="689"/>
      <c r="AX7" s="690"/>
      <c r="AY7" s="691" t="s">
        <v>6</v>
      </c>
      <c r="AZ7" s="689"/>
      <c r="BA7" s="690"/>
      <c r="BB7" s="691" t="s">
        <v>6</v>
      </c>
      <c r="BC7" s="689">
        <v>0</v>
      </c>
      <c r="BD7" s="690">
        <v>0</v>
      </c>
      <c r="BE7" s="691" t="s">
        <v>6</v>
      </c>
      <c r="BF7" s="689"/>
      <c r="BG7" s="690"/>
      <c r="BH7" s="691" t="s">
        <v>6</v>
      </c>
      <c r="BI7" s="689"/>
      <c r="BJ7" s="690"/>
      <c r="BK7" s="691" t="s">
        <v>6</v>
      </c>
      <c r="BL7" s="689"/>
      <c r="BM7" s="690"/>
      <c r="BN7" s="691" t="s">
        <v>6</v>
      </c>
      <c r="BO7" s="689"/>
      <c r="BP7" s="690"/>
      <c r="BQ7" s="691" t="s">
        <v>6</v>
      </c>
      <c r="BR7" s="689"/>
      <c r="BS7" s="690"/>
      <c r="BT7" s="691" t="s">
        <v>6</v>
      </c>
      <c r="BU7" s="689"/>
      <c r="BV7" s="690"/>
      <c r="BW7" s="691" t="s">
        <v>6</v>
      </c>
      <c r="BX7" s="689"/>
      <c r="BY7" s="690"/>
      <c r="BZ7" s="691" t="s">
        <v>6</v>
      </c>
      <c r="CA7" s="689"/>
      <c r="CB7" s="690"/>
      <c r="CC7" s="691" t="s">
        <v>6</v>
      </c>
      <c r="CD7" s="689">
        <v>0</v>
      </c>
      <c r="CE7" s="690">
        <v>0</v>
      </c>
      <c r="CF7" s="691" t="s">
        <v>6</v>
      </c>
      <c r="CG7" s="689">
        <v>41</v>
      </c>
      <c r="CH7" s="690">
        <v>3</v>
      </c>
      <c r="CI7" s="691">
        <v>93.2</v>
      </c>
      <c r="CJ7" s="689">
        <v>26</v>
      </c>
      <c r="CK7" s="690">
        <v>3</v>
      </c>
      <c r="CL7" s="691">
        <v>89.7</v>
      </c>
      <c r="CM7" s="689">
        <v>32</v>
      </c>
      <c r="CN7" s="690">
        <v>2</v>
      </c>
      <c r="CO7" s="691">
        <v>94.1</v>
      </c>
      <c r="CP7" s="689">
        <v>23</v>
      </c>
      <c r="CQ7" s="690">
        <v>3</v>
      </c>
      <c r="CR7" s="691">
        <v>88.5</v>
      </c>
      <c r="CS7" s="689">
        <v>22</v>
      </c>
      <c r="CT7" s="690">
        <v>3</v>
      </c>
      <c r="CU7" s="691">
        <v>88</v>
      </c>
      <c r="CV7" s="689">
        <v>18</v>
      </c>
      <c r="CW7" s="690">
        <v>1</v>
      </c>
      <c r="CX7" s="691">
        <v>94.7</v>
      </c>
      <c r="CY7" s="689">
        <v>18</v>
      </c>
      <c r="CZ7" s="690">
        <v>3</v>
      </c>
      <c r="DA7" s="691">
        <v>85.7</v>
      </c>
      <c r="DB7" s="689">
        <v>14</v>
      </c>
      <c r="DC7" s="690">
        <v>2</v>
      </c>
      <c r="DD7" s="691">
        <v>87.5</v>
      </c>
      <c r="DE7" s="689">
        <v>16</v>
      </c>
      <c r="DF7" s="690">
        <v>0</v>
      </c>
      <c r="DG7" s="691">
        <v>100</v>
      </c>
      <c r="DH7" s="689">
        <v>10</v>
      </c>
      <c r="DI7" s="690"/>
      <c r="DJ7" s="691">
        <v>100</v>
      </c>
      <c r="DK7" s="689">
        <v>9</v>
      </c>
      <c r="DL7" s="690">
        <v>3</v>
      </c>
      <c r="DM7" s="691">
        <v>75</v>
      </c>
      <c r="DN7" s="689">
        <v>10</v>
      </c>
      <c r="DO7" s="690">
        <v>1</v>
      </c>
      <c r="DP7" s="691">
        <v>90.9</v>
      </c>
      <c r="DQ7" s="689">
        <v>11</v>
      </c>
      <c r="DR7" s="690">
        <v>3</v>
      </c>
      <c r="DS7" s="691">
        <v>78.599999999999994</v>
      </c>
      <c r="DT7" s="689">
        <v>9</v>
      </c>
      <c r="DU7" s="690">
        <v>3</v>
      </c>
      <c r="DV7" s="691">
        <v>75</v>
      </c>
      <c r="DW7" s="689">
        <v>8</v>
      </c>
      <c r="DX7" s="690"/>
      <c r="DY7" s="691">
        <v>100</v>
      </c>
      <c r="DZ7" s="689">
        <v>7</v>
      </c>
      <c r="EA7" s="690">
        <v>3</v>
      </c>
      <c r="EB7" s="691">
        <v>70</v>
      </c>
      <c r="EC7" s="689">
        <v>7</v>
      </c>
      <c r="ED7" s="690">
        <v>2</v>
      </c>
      <c r="EE7" s="691">
        <v>77.8</v>
      </c>
      <c r="EF7" s="689">
        <v>6</v>
      </c>
      <c r="EG7" s="690">
        <v>0</v>
      </c>
      <c r="EH7" s="691">
        <v>100</v>
      </c>
      <c r="EI7" s="689">
        <v>1</v>
      </c>
      <c r="EJ7" s="690"/>
      <c r="EK7" s="691">
        <v>100</v>
      </c>
      <c r="EL7" s="689"/>
      <c r="EM7" s="690"/>
      <c r="EN7" s="691" t="s">
        <v>6</v>
      </c>
      <c r="EO7" s="689"/>
      <c r="EP7" s="690"/>
      <c r="EQ7" s="691" t="s">
        <v>6</v>
      </c>
      <c r="ER7" s="689"/>
      <c r="ES7" s="690"/>
      <c r="ET7" s="691" t="s">
        <v>6</v>
      </c>
      <c r="EU7" s="689"/>
      <c r="EV7" s="690"/>
      <c r="EW7" s="691" t="s">
        <v>6</v>
      </c>
      <c r="EX7" s="689"/>
      <c r="EY7" s="690"/>
      <c r="EZ7" s="691" t="s">
        <v>6</v>
      </c>
      <c r="FA7" s="689"/>
      <c r="FB7" s="690"/>
      <c r="FC7" s="691" t="s">
        <v>6</v>
      </c>
      <c r="FD7" s="689"/>
      <c r="FE7" s="690"/>
      <c r="FF7" s="691" t="s">
        <v>6</v>
      </c>
      <c r="FG7" s="689">
        <v>0</v>
      </c>
      <c r="FH7" s="690">
        <v>0</v>
      </c>
      <c r="FI7" s="691" t="s">
        <v>6</v>
      </c>
      <c r="FJ7" s="689">
        <v>9</v>
      </c>
      <c r="FK7" s="690">
        <v>1</v>
      </c>
      <c r="FL7" s="691">
        <v>90</v>
      </c>
      <c r="FM7" s="689">
        <v>9</v>
      </c>
      <c r="FN7" s="690">
        <v>2</v>
      </c>
      <c r="FO7" s="691">
        <v>81.8</v>
      </c>
      <c r="FP7" s="689">
        <v>15</v>
      </c>
      <c r="FQ7" s="690">
        <v>3</v>
      </c>
      <c r="FR7" s="691">
        <v>83.3</v>
      </c>
      <c r="FS7" s="689">
        <v>12</v>
      </c>
      <c r="FT7" s="690">
        <v>1</v>
      </c>
      <c r="FU7" s="691">
        <v>92.3</v>
      </c>
      <c r="FV7" s="689"/>
      <c r="FW7" s="690"/>
      <c r="FX7" s="691" t="s">
        <v>6</v>
      </c>
      <c r="FY7" s="689">
        <v>3</v>
      </c>
      <c r="FZ7" s="690">
        <v>1</v>
      </c>
      <c r="GA7" s="691">
        <v>75</v>
      </c>
      <c r="GB7" s="689">
        <v>7</v>
      </c>
      <c r="GC7" s="690"/>
      <c r="GD7" s="691">
        <v>100</v>
      </c>
      <c r="GE7" s="689">
        <v>10</v>
      </c>
      <c r="GF7" s="690">
        <v>2</v>
      </c>
      <c r="GG7" s="691">
        <v>83.3</v>
      </c>
      <c r="GH7" s="689">
        <v>2</v>
      </c>
      <c r="GI7" s="690">
        <v>0</v>
      </c>
      <c r="GJ7" s="691">
        <v>100</v>
      </c>
      <c r="GK7" s="689">
        <v>1</v>
      </c>
      <c r="GL7" s="690"/>
      <c r="GM7" s="691">
        <v>100</v>
      </c>
      <c r="GN7" s="689">
        <v>2</v>
      </c>
      <c r="GO7" s="690"/>
      <c r="GP7" s="691">
        <v>100</v>
      </c>
      <c r="GQ7" s="689">
        <v>2</v>
      </c>
      <c r="GR7" s="690"/>
      <c r="GS7" s="691">
        <v>100</v>
      </c>
      <c r="GT7" s="689">
        <v>13</v>
      </c>
      <c r="GU7" s="690"/>
      <c r="GV7" s="691">
        <v>100</v>
      </c>
      <c r="GW7" s="689">
        <v>6</v>
      </c>
      <c r="GX7" s="690"/>
      <c r="GY7" s="691">
        <v>100</v>
      </c>
      <c r="GZ7" s="689">
        <v>5</v>
      </c>
      <c r="HA7" s="690"/>
      <c r="HB7" s="691">
        <v>100</v>
      </c>
      <c r="HC7" s="689">
        <v>1</v>
      </c>
      <c r="HD7" s="690"/>
      <c r="HE7" s="691">
        <v>100</v>
      </c>
      <c r="HF7" s="689"/>
      <c r="HG7" s="690"/>
      <c r="HH7" s="691" t="s">
        <v>6</v>
      </c>
      <c r="HI7" s="689">
        <v>1</v>
      </c>
      <c r="HJ7" s="690">
        <v>0</v>
      </c>
      <c r="HK7" s="691">
        <v>100</v>
      </c>
      <c r="HL7" s="689">
        <v>72</v>
      </c>
      <c r="HM7" s="690">
        <v>7</v>
      </c>
      <c r="HN7" s="691">
        <v>91.1</v>
      </c>
      <c r="HO7" s="689">
        <v>55</v>
      </c>
      <c r="HP7" s="690">
        <v>6</v>
      </c>
      <c r="HQ7" s="691">
        <v>90.2</v>
      </c>
      <c r="HR7" s="689">
        <v>44</v>
      </c>
      <c r="HS7" s="690">
        <v>8</v>
      </c>
      <c r="HT7" s="691">
        <v>84.6</v>
      </c>
      <c r="HU7" s="689">
        <v>29</v>
      </c>
      <c r="HV7" s="690">
        <v>12</v>
      </c>
      <c r="HW7" s="691">
        <v>70.7</v>
      </c>
      <c r="HX7" s="689">
        <v>41</v>
      </c>
      <c r="HY7" s="690">
        <v>9</v>
      </c>
      <c r="HZ7" s="691">
        <v>82</v>
      </c>
      <c r="IA7" s="689">
        <v>45</v>
      </c>
      <c r="IB7" s="690">
        <v>9</v>
      </c>
      <c r="IC7" s="691">
        <v>83.3</v>
      </c>
      <c r="ID7" s="689">
        <v>30</v>
      </c>
      <c r="IE7" s="690">
        <v>5</v>
      </c>
      <c r="IF7" s="691">
        <v>85.7</v>
      </c>
      <c r="IG7" s="689">
        <v>26</v>
      </c>
      <c r="IH7" s="690">
        <v>5</v>
      </c>
      <c r="II7" s="691">
        <v>83.9</v>
      </c>
      <c r="IJ7" s="689">
        <v>27</v>
      </c>
      <c r="IK7" s="690">
        <v>1</v>
      </c>
      <c r="IL7" s="691">
        <v>96.4</v>
      </c>
      <c r="IM7" s="689">
        <v>1</v>
      </c>
      <c r="IN7" s="690">
        <v>2</v>
      </c>
      <c r="IO7" s="691">
        <v>33.299999999999997</v>
      </c>
      <c r="IP7" s="689"/>
      <c r="IQ7" s="690"/>
      <c r="IR7" s="691" t="s">
        <v>6</v>
      </c>
      <c r="IS7" s="689">
        <v>1</v>
      </c>
      <c r="IT7" s="690"/>
      <c r="IU7" s="691">
        <v>100</v>
      </c>
      <c r="IV7" s="689">
        <v>1</v>
      </c>
      <c r="IW7" s="690"/>
      <c r="IX7" s="691">
        <v>100</v>
      </c>
      <c r="IY7" s="689"/>
      <c r="IZ7" s="690"/>
      <c r="JA7" s="691" t="s">
        <v>6</v>
      </c>
      <c r="JB7" s="689"/>
      <c r="JC7" s="690"/>
      <c r="JD7" s="691" t="s">
        <v>6</v>
      </c>
      <c r="JE7" s="689">
        <v>1</v>
      </c>
      <c r="JF7" s="690"/>
      <c r="JG7" s="691">
        <v>100</v>
      </c>
      <c r="JH7" s="689">
        <v>1</v>
      </c>
      <c r="JI7" s="690"/>
      <c r="JJ7" s="691">
        <v>100</v>
      </c>
      <c r="JK7" s="689">
        <v>0</v>
      </c>
      <c r="JL7" s="690">
        <v>0</v>
      </c>
      <c r="JM7" s="691" t="s">
        <v>6</v>
      </c>
      <c r="JN7" s="689">
        <v>12</v>
      </c>
      <c r="JO7" s="690">
        <v>3</v>
      </c>
      <c r="JP7" s="691">
        <v>80</v>
      </c>
      <c r="JQ7" s="689">
        <v>10</v>
      </c>
      <c r="JR7" s="690">
        <v>3</v>
      </c>
      <c r="JS7" s="691">
        <v>76.900000000000006</v>
      </c>
      <c r="JT7" s="689">
        <v>3</v>
      </c>
      <c r="JU7" s="690"/>
      <c r="JV7" s="691">
        <v>100</v>
      </c>
      <c r="JW7" s="689">
        <v>5</v>
      </c>
      <c r="JX7" s="690"/>
      <c r="JY7" s="691">
        <v>100</v>
      </c>
      <c r="JZ7" s="689">
        <v>3</v>
      </c>
      <c r="KA7" s="690">
        <v>1</v>
      </c>
      <c r="KB7" s="691">
        <v>75</v>
      </c>
      <c r="KC7" s="689">
        <v>5</v>
      </c>
      <c r="KD7" s="690"/>
      <c r="KE7" s="691">
        <v>100</v>
      </c>
      <c r="KF7" s="689">
        <v>10</v>
      </c>
      <c r="KG7" s="690">
        <v>2</v>
      </c>
      <c r="KH7" s="691">
        <v>83.3</v>
      </c>
      <c r="KI7" s="689">
        <v>2</v>
      </c>
      <c r="KJ7" s="690"/>
      <c r="KK7" s="691">
        <v>100</v>
      </c>
      <c r="KL7" s="689">
        <v>9</v>
      </c>
      <c r="KM7" s="690">
        <v>0</v>
      </c>
      <c r="KN7" s="691">
        <v>100</v>
      </c>
      <c r="KO7" s="692">
        <f t="shared" si="0"/>
        <v>0</v>
      </c>
      <c r="KP7" s="183">
        <f t="shared" si="0"/>
        <v>0</v>
      </c>
      <c r="KQ7" s="438" t="str">
        <f t="shared" si="1"/>
        <v>-</v>
      </c>
      <c r="KR7" s="692">
        <f t="shared" si="2"/>
        <v>0</v>
      </c>
      <c r="KS7" s="183">
        <f t="shared" si="3"/>
        <v>0</v>
      </c>
      <c r="KT7" s="438" t="str">
        <f t="shared" si="4"/>
        <v>-</v>
      </c>
      <c r="KU7" s="692">
        <f t="shared" si="5"/>
        <v>0</v>
      </c>
      <c r="KV7" s="183">
        <f t="shared" si="5"/>
        <v>0</v>
      </c>
      <c r="KW7" s="438" t="str">
        <f t="shared" si="6"/>
        <v>-</v>
      </c>
      <c r="KX7" s="692">
        <f t="shared" si="7"/>
        <v>88</v>
      </c>
      <c r="KY7" s="183">
        <f t="shared" si="7"/>
        <v>9</v>
      </c>
      <c r="KZ7" s="438">
        <f t="shared" si="8"/>
        <v>90.721649484536087</v>
      </c>
      <c r="LA7" s="692">
        <f t="shared" si="9"/>
        <v>37</v>
      </c>
      <c r="LB7" s="183">
        <f t="shared" si="9"/>
        <v>8</v>
      </c>
      <c r="LC7" s="438">
        <f t="shared" si="10"/>
        <v>82.222222222222214</v>
      </c>
      <c r="LD7" s="692">
        <f t="shared" si="11"/>
        <v>0</v>
      </c>
      <c r="LE7" s="183">
        <f t="shared" si="11"/>
        <v>0</v>
      </c>
      <c r="LF7" s="438" t="str">
        <f t="shared" si="12"/>
        <v>-</v>
      </c>
      <c r="LG7" s="692">
        <f t="shared" si="13"/>
        <v>22</v>
      </c>
      <c r="LH7" s="183">
        <f t="shared" si="13"/>
        <v>3</v>
      </c>
      <c r="LI7" s="438">
        <f t="shared" si="14"/>
        <v>88</v>
      </c>
      <c r="LJ7" s="692">
        <f t="shared" si="15"/>
        <v>13</v>
      </c>
      <c r="LK7" s="183">
        <f t="shared" si="15"/>
        <v>0</v>
      </c>
      <c r="LL7" s="438">
        <f t="shared" si="16"/>
        <v>100</v>
      </c>
      <c r="LM7" s="692">
        <f t="shared" si="17"/>
        <v>169</v>
      </c>
      <c r="LN7" s="183">
        <f t="shared" si="17"/>
        <v>29</v>
      </c>
      <c r="LO7" s="438">
        <f t="shared" si="18"/>
        <v>85.353535353535349</v>
      </c>
      <c r="LP7" s="692">
        <f t="shared" si="19"/>
        <v>2</v>
      </c>
      <c r="LQ7" s="183">
        <f t="shared" si="19"/>
        <v>0</v>
      </c>
      <c r="LR7" s="438">
        <f t="shared" si="20"/>
        <v>100</v>
      </c>
      <c r="LS7" s="339">
        <f t="shared" si="21"/>
        <v>29</v>
      </c>
      <c r="LT7" s="275">
        <f t="shared" si="21"/>
        <v>3</v>
      </c>
      <c r="LU7" s="438">
        <f t="shared" si="22"/>
        <v>90.625</v>
      </c>
    </row>
    <row r="8" spans="1:333" x14ac:dyDescent="0.2">
      <c r="A8" s="986"/>
      <c r="B8" s="741" t="s">
        <v>621</v>
      </c>
      <c r="C8" s="629" t="s">
        <v>1201</v>
      </c>
      <c r="D8" s="689"/>
      <c r="E8" s="690"/>
      <c r="F8" s="691" t="s">
        <v>6</v>
      </c>
      <c r="G8" s="689"/>
      <c r="H8" s="690"/>
      <c r="I8" s="691" t="s">
        <v>6</v>
      </c>
      <c r="J8" s="689"/>
      <c r="K8" s="690"/>
      <c r="L8" s="691" t="s">
        <v>6</v>
      </c>
      <c r="M8" s="689"/>
      <c r="N8" s="690"/>
      <c r="O8" s="691" t="s">
        <v>6</v>
      </c>
      <c r="P8" s="689"/>
      <c r="Q8" s="690"/>
      <c r="R8" s="691" t="s">
        <v>6</v>
      </c>
      <c r="S8" s="689"/>
      <c r="T8" s="690"/>
      <c r="U8" s="691" t="s">
        <v>6</v>
      </c>
      <c r="V8" s="689"/>
      <c r="W8" s="690"/>
      <c r="X8" s="691" t="s">
        <v>6</v>
      </c>
      <c r="Y8" s="689"/>
      <c r="Z8" s="690"/>
      <c r="AA8" s="691" t="s">
        <v>6</v>
      </c>
      <c r="AB8" s="689">
        <v>0</v>
      </c>
      <c r="AC8" s="690">
        <v>0</v>
      </c>
      <c r="AD8" s="691" t="s">
        <v>6</v>
      </c>
      <c r="AE8" s="689"/>
      <c r="AF8" s="690"/>
      <c r="AG8" s="691" t="s">
        <v>6</v>
      </c>
      <c r="AH8" s="689"/>
      <c r="AI8" s="690"/>
      <c r="AJ8" s="691" t="s">
        <v>6</v>
      </c>
      <c r="AK8" s="689"/>
      <c r="AL8" s="690"/>
      <c r="AM8" s="691" t="s">
        <v>6</v>
      </c>
      <c r="AN8" s="689"/>
      <c r="AO8" s="690"/>
      <c r="AP8" s="691" t="s">
        <v>6</v>
      </c>
      <c r="AQ8" s="689"/>
      <c r="AR8" s="690"/>
      <c r="AS8" s="691" t="s">
        <v>6</v>
      </c>
      <c r="AT8" s="689"/>
      <c r="AU8" s="690"/>
      <c r="AV8" s="691" t="s">
        <v>6</v>
      </c>
      <c r="AW8" s="689"/>
      <c r="AX8" s="690"/>
      <c r="AY8" s="691" t="s">
        <v>6</v>
      </c>
      <c r="AZ8" s="689"/>
      <c r="BA8" s="690"/>
      <c r="BB8" s="691" t="s">
        <v>6</v>
      </c>
      <c r="BC8" s="689">
        <v>0</v>
      </c>
      <c r="BD8" s="690">
        <v>0</v>
      </c>
      <c r="BE8" s="691" t="s">
        <v>6</v>
      </c>
      <c r="BF8" s="689"/>
      <c r="BG8" s="690"/>
      <c r="BH8" s="691" t="s">
        <v>6</v>
      </c>
      <c r="BI8" s="689"/>
      <c r="BJ8" s="690"/>
      <c r="BK8" s="691" t="s">
        <v>6</v>
      </c>
      <c r="BL8" s="689"/>
      <c r="BM8" s="690"/>
      <c r="BN8" s="691" t="s">
        <v>6</v>
      </c>
      <c r="BO8" s="689"/>
      <c r="BP8" s="690"/>
      <c r="BQ8" s="691" t="s">
        <v>6</v>
      </c>
      <c r="BR8" s="689"/>
      <c r="BS8" s="690"/>
      <c r="BT8" s="691" t="s">
        <v>6</v>
      </c>
      <c r="BU8" s="689"/>
      <c r="BV8" s="690"/>
      <c r="BW8" s="691" t="s">
        <v>6</v>
      </c>
      <c r="BX8" s="689"/>
      <c r="BY8" s="690"/>
      <c r="BZ8" s="691" t="s">
        <v>6</v>
      </c>
      <c r="CA8" s="689"/>
      <c r="CB8" s="690"/>
      <c r="CC8" s="691" t="s">
        <v>6</v>
      </c>
      <c r="CD8" s="689">
        <v>0</v>
      </c>
      <c r="CE8" s="690">
        <v>0</v>
      </c>
      <c r="CF8" s="691" t="s">
        <v>6</v>
      </c>
      <c r="CG8" s="689">
        <v>27</v>
      </c>
      <c r="CH8" s="690">
        <v>4</v>
      </c>
      <c r="CI8" s="691">
        <v>87.1</v>
      </c>
      <c r="CJ8" s="689">
        <v>27</v>
      </c>
      <c r="CK8" s="690">
        <v>5</v>
      </c>
      <c r="CL8" s="691">
        <v>84.4</v>
      </c>
      <c r="CM8" s="689">
        <v>14</v>
      </c>
      <c r="CN8" s="690">
        <v>4</v>
      </c>
      <c r="CO8" s="691">
        <v>77.8</v>
      </c>
      <c r="CP8" s="689">
        <v>17</v>
      </c>
      <c r="CQ8" s="690">
        <v>4</v>
      </c>
      <c r="CR8" s="691">
        <v>81</v>
      </c>
      <c r="CS8" s="689">
        <v>18</v>
      </c>
      <c r="CT8" s="690">
        <v>2</v>
      </c>
      <c r="CU8" s="691">
        <v>90</v>
      </c>
      <c r="CV8" s="689">
        <v>22</v>
      </c>
      <c r="CW8" s="690">
        <v>1</v>
      </c>
      <c r="CX8" s="691">
        <v>95.7</v>
      </c>
      <c r="CY8" s="689">
        <v>26</v>
      </c>
      <c r="CZ8" s="690">
        <v>2</v>
      </c>
      <c r="DA8" s="691">
        <v>92.9</v>
      </c>
      <c r="DB8" s="689">
        <v>20</v>
      </c>
      <c r="DC8" s="690">
        <v>2</v>
      </c>
      <c r="DD8" s="691">
        <v>90.9</v>
      </c>
      <c r="DE8" s="689">
        <v>12</v>
      </c>
      <c r="DF8" s="690">
        <v>0</v>
      </c>
      <c r="DG8" s="691">
        <v>100</v>
      </c>
      <c r="DH8" s="689">
        <v>17</v>
      </c>
      <c r="DI8" s="690">
        <v>4</v>
      </c>
      <c r="DJ8" s="691">
        <v>81</v>
      </c>
      <c r="DK8" s="689">
        <v>14</v>
      </c>
      <c r="DL8" s="690">
        <v>3</v>
      </c>
      <c r="DM8" s="691">
        <v>82.4</v>
      </c>
      <c r="DN8" s="689">
        <v>7</v>
      </c>
      <c r="DO8" s="690">
        <v>4</v>
      </c>
      <c r="DP8" s="691">
        <v>63.6</v>
      </c>
      <c r="DQ8" s="689">
        <v>5</v>
      </c>
      <c r="DR8" s="690">
        <v>4</v>
      </c>
      <c r="DS8" s="691">
        <v>55.6</v>
      </c>
      <c r="DT8" s="689">
        <v>10</v>
      </c>
      <c r="DU8" s="690">
        <v>1</v>
      </c>
      <c r="DV8" s="691">
        <v>90.9</v>
      </c>
      <c r="DW8" s="689">
        <v>11</v>
      </c>
      <c r="DX8" s="690">
        <v>1</v>
      </c>
      <c r="DY8" s="691">
        <v>91.7</v>
      </c>
      <c r="DZ8" s="689">
        <v>10</v>
      </c>
      <c r="EA8" s="690">
        <v>2</v>
      </c>
      <c r="EB8" s="691">
        <v>83.3</v>
      </c>
      <c r="EC8" s="689">
        <v>13</v>
      </c>
      <c r="ED8" s="690">
        <v>2</v>
      </c>
      <c r="EE8" s="691">
        <v>86.7</v>
      </c>
      <c r="EF8" s="689">
        <v>6</v>
      </c>
      <c r="EG8" s="690">
        <v>0</v>
      </c>
      <c r="EH8" s="691">
        <v>100</v>
      </c>
      <c r="EI8" s="689"/>
      <c r="EJ8" s="690"/>
      <c r="EK8" s="691" t="s">
        <v>6</v>
      </c>
      <c r="EL8" s="689"/>
      <c r="EM8" s="690"/>
      <c r="EN8" s="691" t="s">
        <v>6</v>
      </c>
      <c r="EO8" s="689"/>
      <c r="EP8" s="690"/>
      <c r="EQ8" s="691" t="s">
        <v>6</v>
      </c>
      <c r="ER8" s="689"/>
      <c r="ES8" s="690"/>
      <c r="ET8" s="691" t="s">
        <v>6</v>
      </c>
      <c r="EU8" s="689"/>
      <c r="EV8" s="690"/>
      <c r="EW8" s="691" t="s">
        <v>6</v>
      </c>
      <c r="EX8" s="689"/>
      <c r="EY8" s="690"/>
      <c r="EZ8" s="691" t="s">
        <v>6</v>
      </c>
      <c r="FA8" s="689"/>
      <c r="FB8" s="690"/>
      <c r="FC8" s="691" t="s">
        <v>6</v>
      </c>
      <c r="FD8" s="689"/>
      <c r="FE8" s="690"/>
      <c r="FF8" s="691" t="s">
        <v>6</v>
      </c>
      <c r="FG8" s="689">
        <v>0</v>
      </c>
      <c r="FH8" s="690">
        <v>0</v>
      </c>
      <c r="FI8" s="691" t="s">
        <v>6</v>
      </c>
      <c r="FJ8" s="689">
        <v>8</v>
      </c>
      <c r="FK8" s="690">
        <v>1</v>
      </c>
      <c r="FL8" s="691">
        <v>88.9</v>
      </c>
      <c r="FM8" s="689">
        <v>13</v>
      </c>
      <c r="FN8" s="690"/>
      <c r="FO8" s="691">
        <v>100</v>
      </c>
      <c r="FP8" s="689">
        <v>2</v>
      </c>
      <c r="FQ8" s="690"/>
      <c r="FR8" s="691">
        <v>100</v>
      </c>
      <c r="FS8" s="689">
        <v>2</v>
      </c>
      <c r="FT8" s="690">
        <v>1</v>
      </c>
      <c r="FU8" s="691">
        <v>66.7</v>
      </c>
      <c r="FV8" s="689"/>
      <c r="FW8" s="690">
        <v>1</v>
      </c>
      <c r="FX8" s="691">
        <v>0</v>
      </c>
      <c r="FY8" s="689">
        <v>2</v>
      </c>
      <c r="FZ8" s="690">
        <v>1</v>
      </c>
      <c r="GA8" s="691">
        <v>66.7</v>
      </c>
      <c r="GB8" s="689">
        <v>3</v>
      </c>
      <c r="GC8" s="690">
        <v>2</v>
      </c>
      <c r="GD8" s="691">
        <v>60</v>
      </c>
      <c r="GE8" s="689">
        <v>2</v>
      </c>
      <c r="GF8" s="690">
        <v>1</v>
      </c>
      <c r="GG8" s="691">
        <v>66.7</v>
      </c>
      <c r="GH8" s="689">
        <v>3</v>
      </c>
      <c r="GI8" s="690">
        <v>0</v>
      </c>
      <c r="GJ8" s="691">
        <v>100</v>
      </c>
      <c r="GK8" s="689"/>
      <c r="GL8" s="690"/>
      <c r="GM8" s="691" t="s">
        <v>6</v>
      </c>
      <c r="GN8" s="689">
        <v>1</v>
      </c>
      <c r="GO8" s="690"/>
      <c r="GP8" s="691">
        <v>100</v>
      </c>
      <c r="GQ8" s="689"/>
      <c r="GR8" s="690"/>
      <c r="GS8" s="691" t="s">
        <v>6</v>
      </c>
      <c r="GT8" s="689"/>
      <c r="GU8" s="690"/>
      <c r="GV8" s="691" t="s">
        <v>6</v>
      </c>
      <c r="GW8" s="689"/>
      <c r="GX8" s="690"/>
      <c r="GY8" s="691" t="s">
        <v>6</v>
      </c>
      <c r="GZ8" s="689"/>
      <c r="HA8" s="690"/>
      <c r="HB8" s="691" t="s">
        <v>6</v>
      </c>
      <c r="HC8" s="689">
        <v>1</v>
      </c>
      <c r="HD8" s="690"/>
      <c r="HE8" s="691">
        <v>100</v>
      </c>
      <c r="HF8" s="689"/>
      <c r="HG8" s="690"/>
      <c r="HH8" s="691" t="s">
        <v>6</v>
      </c>
      <c r="HI8" s="689">
        <v>0</v>
      </c>
      <c r="HJ8" s="690">
        <v>0</v>
      </c>
      <c r="HK8" s="691" t="s">
        <v>6</v>
      </c>
      <c r="HL8" s="689">
        <v>38</v>
      </c>
      <c r="HM8" s="690">
        <v>14</v>
      </c>
      <c r="HN8" s="691">
        <v>73.099999999999994</v>
      </c>
      <c r="HO8" s="689">
        <v>50</v>
      </c>
      <c r="HP8" s="690">
        <v>11</v>
      </c>
      <c r="HQ8" s="691">
        <v>82</v>
      </c>
      <c r="HR8" s="689">
        <v>37</v>
      </c>
      <c r="HS8" s="690">
        <v>12</v>
      </c>
      <c r="HT8" s="691">
        <v>75.5</v>
      </c>
      <c r="HU8" s="689">
        <v>35</v>
      </c>
      <c r="HV8" s="690">
        <v>8</v>
      </c>
      <c r="HW8" s="691">
        <v>81.400000000000006</v>
      </c>
      <c r="HX8" s="689">
        <v>36</v>
      </c>
      <c r="HY8" s="690">
        <v>20</v>
      </c>
      <c r="HZ8" s="691">
        <v>64.3</v>
      </c>
      <c r="IA8" s="689">
        <v>41</v>
      </c>
      <c r="IB8" s="690">
        <v>5</v>
      </c>
      <c r="IC8" s="691">
        <v>89.1</v>
      </c>
      <c r="ID8" s="689">
        <v>42</v>
      </c>
      <c r="IE8" s="690">
        <v>11</v>
      </c>
      <c r="IF8" s="691">
        <v>79.2</v>
      </c>
      <c r="IG8" s="689">
        <v>28</v>
      </c>
      <c r="IH8" s="690">
        <v>9</v>
      </c>
      <c r="II8" s="691">
        <v>75.7</v>
      </c>
      <c r="IJ8" s="689">
        <v>18</v>
      </c>
      <c r="IK8" s="690">
        <v>4</v>
      </c>
      <c r="IL8" s="691">
        <v>81.8</v>
      </c>
      <c r="IM8" s="689">
        <v>3</v>
      </c>
      <c r="IN8" s="690">
        <v>2</v>
      </c>
      <c r="IO8" s="691">
        <v>60</v>
      </c>
      <c r="IP8" s="689">
        <v>1</v>
      </c>
      <c r="IQ8" s="690"/>
      <c r="IR8" s="691">
        <v>100</v>
      </c>
      <c r="IS8" s="689">
        <v>1</v>
      </c>
      <c r="IT8" s="690">
        <v>2</v>
      </c>
      <c r="IU8" s="691">
        <v>33.299999999999997</v>
      </c>
      <c r="IV8" s="689"/>
      <c r="IW8" s="690"/>
      <c r="IX8" s="691" t="s">
        <v>6</v>
      </c>
      <c r="IY8" s="689">
        <v>2</v>
      </c>
      <c r="IZ8" s="690"/>
      <c r="JA8" s="691">
        <v>100</v>
      </c>
      <c r="JB8" s="689">
        <v>1</v>
      </c>
      <c r="JC8" s="690"/>
      <c r="JD8" s="691">
        <v>100</v>
      </c>
      <c r="JE8" s="689">
        <v>4</v>
      </c>
      <c r="JF8" s="690"/>
      <c r="JG8" s="691">
        <v>100</v>
      </c>
      <c r="JH8" s="689">
        <v>1</v>
      </c>
      <c r="JI8" s="690">
        <v>1</v>
      </c>
      <c r="JJ8" s="691">
        <v>50</v>
      </c>
      <c r="JK8" s="689">
        <v>0</v>
      </c>
      <c r="JL8" s="690">
        <v>0</v>
      </c>
      <c r="JM8" s="691" t="s">
        <v>6</v>
      </c>
      <c r="JN8" s="689"/>
      <c r="JO8" s="690"/>
      <c r="JP8" s="691" t="s">
        <v>6</v>
      </c>
      <c r="JQ8" s="689">
        <v>3</v>
      </c>
      <c r="JR8" s="690">
        <v>3</v>
      </c>
      <c r="JS8" s="691">
        <v>50</v>
      </c>
      <c r="JT8" s="689"/>
      <c r="JU8" s="690">
        <v>3</v>
      </c>
      <c r="JV8" s="691">
        <v>0</v>
      </c>
      <c r="JW8" s="689"/>
      <c r="JX8" s="690">
        <v>1</v>
      </c>
      <c r="JY8" s="691">
        <v>0</v>
      </c>
      <c r="JZ8" s="689"/>
      <c r="KA8" s="690"/>
      <c r="KB8" s="691" t="s">
        <v>6</v>
      </c>
      <c r="KC8" s="689"/>
      <c r="KD8" s="690"/>
      <c r="KE8" s="691" t="s">
        <v>6</v>
      </c>
      <c r="KF8" s="689">
        <v>2</v>
      </c>
      <c r="KG8" s="690"/>
      <c r="KH8" s="691">
        <v>100</v>
      </c>
      <c r="KI8" s="689">
        <v>3</v>
      </c>
      <c r="KJ8" s="690"/>
      <c r="KK8" s="691">
        <v>100</v>
      </c>
      <c r="KL8" s="689">
        <v>0</v>
      </c>
      <c r="KM8" s="690">
        <v>0</v>
      </c>
      <c r="KN8" s="691" t="s">
        <v>6</v>
      </c>
      <c r="KO8" s="692">
        <f t="shared" si="0"/>
        <v>0</v>
      </c>
      <c r="KP8" s="183">
        <f t="shared" si="0"/>
        <v>0</v>
      </c>
      <c r="KQ8" s="438" t="str">
        <f t="shared" si="1"/>
        <v>-</v>
      </c>
      <c r="KR8" s="692">
        <f t="shared" si="2"/>
        <v>0</v>
      </c>
      <c r="KS8" s="183">
        <f t="shared" si="3"/>
        <v>0</v>
      </c>
      <c r="KT8" s="438" t="str">
        <f t="shared" si="4"/>
        <v>-</v>
      </c>
      <c r="KU8" s="692">
        <f t="shared" si="5"/>
        <v>0</v>
      </c>
      <c r="KV8" s="183">
        <f t="shared" si="5"/>
        <v>0</v>
      </c>
      <c r="KW8" s="438" t="str">
        <f t="shared" si="6"/>
        <v>-</v>
      </c>
      <c r="KX8" s="692">
        <f t="shared" si="7"/>
        <v>98</v>
      </c>
      <c r="KY8" s="183">
        <f t="shared" si="7"/>
        <v>7</v>
      </c>
      <c r="KZ8" s="438">
        <f t="shared" si="8"/>
        <v>93.333333333333329</v>
      </c>
      <c r="LA8" s="692">
        <f t="shared" si="9"/>
        <v>50</v>
      </c>
      <c r="LB8" s="183">
        <f t="shared" si="9"/>
        <v>6</v>
      </c>
      <c r="LC8" s="438">
        <f t="shared" si="10"/>
        <v>89.285714285714292</v>
      </c>
      <c r="LD8" s="692">
        <f t="shared" si="11"/>
        <v>0</v>
      </c>
      <c r="LE8" s="183">
        <f t="shared" si="11"/>
        <v>0</v>
      </c>
      <c r="LF8" s="438" t="str">
        <f t="shared" si="12"/>
        <v>-</v>
      </c>
      <c r="LG8" s="692">
        <f t="shared" si="13"/>
        <v>10</v>
      </c>
      <c r="LH8" s="183">
        <f t="shared" si="13"/>
        <v>5</v>
      </c>
      <c r="LI8" s="438">
        <f t="shared" si="14"/>
        <v>66.666666666666657</v>
      </c>
      <c r="LJ8" s="692">
        <f t="shared" si="15"/>
        <v>1</v>
      </c>
      <c r="LK8" s="183">
        <f t="shared" si="15"/>
        <v>0</v>
      </c>
      <c r="LL8" s="438">
        <f t="shared" si="16"/>
        <v>100</v>
      </c>
      <c r="LM8" s="692">
        <f t="shared" si="17"/>
        <v>165</v>
      </c>
      <c r="LN8" s="183">
        <f t="shared" si="17"/>
        <v>49</v>
      </c>
      <c r="LO8" s="438">
        <f t="shared" si="18"/>
        <v>77.10280373831776</v>
      </c>
      <c r="LP8" s="692">
        <f t="shared" si="19"/>
        <v>8</v>
      </c>
      <c r="LQ8" s="183">
        <f t="shared" si="19"/>
        <v>1</v>
      </c>
      <c r="LR8" s="438">
        <f t="shared" si="20"/>
        <v>88.888888888888886</v>
      </c>
      <c r="LS8" s="339">
        <f t="shared" si="21"/>
        <v>5</v>
      </c>
      <c r="LT8" s="275">
        <f t="shared" si="21"/>
        <v>0</v>
      </c>
      <c r="LU8" s="438">
        <f t="shared" si="22"/>
        <v>100</v>
      </c>
    </row>
    <row r="9" spans="1:333" x14ac:dyDescent="0.2">
      <c r="A9" s="986"/>
      <c r="B9" s="741" t="s">
        <v>621</v>
      </c>
      <c r="C9" s="629" t="s">
        <v>1202</v>
      </c>
      <c r="D9" s="689"/>
      <c r="E9" s="690"/>
      <c r="F9" s="691" t="s">
        <v>6</v>
      </c>
      <c r="G9" s="689"/>
      <c r="H9" s="690"/>
      <c r="I9" s="691" t="s">
        <v>6</v>
      </c>
      <c r="J9" s="689"/>
      <c r="K9" s="690"/>
      <c r="L9" s="691" t="s">
        <v>6</v>
      </c>
      <c r="M9" s="689"/>
      <c r="N9" s="690"/>
      <c r="O9" s="691" t="s">
        <v>6</v>
      </c>
      <c r="P9" s="689"/>
      <c r="Q9" s="690"/>
      <c r="R9" s="691" t="s">
        <v>6</v>
      </c>
      <c r="S9" s="689"/>
      <c r="T9" s="690"/>
      <c r="U9" s="691" t="s">
        <v>6</v>
      </c>
      <c r="V9" s="689"/>
      <c r="W9" s="690"/>
      <c r="X9" s="691" t="s">
        <v>6</v>
      </c>
      <c r="Y9" s="689"/>
      <c r="Z9" s="690"/>
      <c r="AA9" s="691" t="s">
        <v>6</v>
      </c>
      <c r="AB9" s="689">
        <v>0</v>
      </c>
      <c r="AC9" s="690">
        <v>0</v>
      </c>
      <c r="AD9" s="691" t="s">
        <v>6</v>
      </c>
      <c r="AE9" s="689"/>
      <c r="AF9" s="690"/>
      <c r="AG9" s="691" t="s">
        <v>6</v>
      </c>
      <c r="AH9" s="689"/>
      <c r="AI9" s="690"/>
      <c r="AJ9" s="691" t="s">
        <v>6</v>
      </c>
      <c r="AK9" s="689"/>
      <c r="AL9" s="690"/>
      <c r="AM9" s="691" t="s">
        <v>6</v>
      </c>
      <c r="AN9" s="689"/>
      <c r="AO9" s="690"/>
      <c r="AP9" s="691" t="s">
        <v>6</v>
      </c>
      <c r="AQ9" s="689"/>
      <c r="AR9" s="690"/>
      <c r="AS9" s="691" t="s">
        <v>6</v>
      </c>
      <c r="AT9" s="689"/>
      <c r="AU9" s="690"/>
      <c r="AV9" s="691" t="s">
        <v>6</v>
      </c>
      <c r="AW9" s="689"/>
      <c r="AX9" s="690"/>
      <c r="AY9" s="691" t="s">
        <v>6</v>
      </c>
      <c r="AZ9" s="689"/>
      <c r="BA9" s="690"/>
      <c r="BB9" s="691" t="s">
        <v>6</v>
      </c>
      <c r="BC9" s="689">
        <v>0</v>
      </c>
      <c r="BD9" s="690">
        <v>0</v>
      </c>
      <c r="BE9" s="691" t="s">
        <v>6</v>
      </c>
      <c r="BF9" s="689"/>
      <c r="BG9" s="690"/>
      <c r="BH9" s="691" t="s">
        <v>6</v>
      </c>
      <c r="BI9" s="689"/>
      <c r="BJ9" s="690"/>
      <c r="BK9" s="691" t="s">
        <v>6</v>
      </c>
      <c r="BL9" s="689"/>
      <c r="BM9" s="690"/>
      <c r="BN9" s="691" t="s">
        <v>6</v>
      </c>
      <c r="BO9" s="689"/>
      <c r="BP9" s="690"/>
      <c r="BQ9" s="691" t="s">
        <v>6</v>
      </c>
      <c r="BR9" s="689"/>
      <c r="BS9" s="690"/>
      <c r="BT9" s="691" t="s">
        <v>6</v>
      </c>
      <c r="BU9" s="689"/>
      <c r="BV9" s="690"/>
      <c r="BW9" s="691" t="s">
        <v>6</v>
      </c>
      <c r="BX9" s="689"/>
      <c r="BY9" s="690"/>
      <c r="BZ9" s="691" t="s">
        <v>6</v>
      </c>
      <c r="CA9" s="689"/>
      <c r="CB9" s="690"/>
      <c r="CC9" s="691" t="s">
        <v>6</v>
      </c>
      <c r="CD9" s="689">
        <v>0</v>
      </c>
      <c r="CE9" s="690">
        <v>0</v>
      </c>
      <c r="CF9" s="691" t="s">
        <v>6</v>
      </c>
      <c r="CG9" s="689">
        <v>30</v>
      </c>
      <c r="CH9" s="690">
        <v>1</v>
      </c>
      <c r="CI9" s="691">
        <v>96.8</v>
      </c>
      <c r="CJ9" s="689">
        <v>23</v>
      </c>
      <c r="CK9" s="690">
        <v>4</v>
      </c>
      <c r="CL9" s="691">
        <v>85.2</v>
      </c>
      <c r="CM9" s="689">
        <v>22</v>
      </c>
      <c r="CN9" s="690">
        <v>3</v>
      </c>
      <c r="CO9" s="691">
        <v>88</v>
      </c>
      <c r="CP9" s="689">
        <v>36</v>
      </c>
      <c r="CQ9" s="690">
        <v>1</v>
      </c>
      <c r="CR9" s="691">
        <v>97.3</v>
      </c>
      <c r="CS9" s="689">
        <v>21</v>
      </c>
      <c r="CT9" s="690"/>
      <c r="CU9" s="691">
        <v>100</v>
      </c>
      <c r="CV9" s="689">
        <v>20</v>
      </c>
      <c r="CW9" s="690">
        <v>2</v>
      </c>
      <c r="CX9" s="691">
        <v>90.9</v>
      </c>
      <c r="CY9" s="689">
        <v>23</v>
      </c>
      <c r="CZ9" s="690">
        <v>2</v>
      </c>
      <c r="DA9" s="691">
        <v>92</v>
      </c>
      <c r="DB9" s="689">
        <v>17</v>
      </c>
      <c r="DC9" s="690"/>
      <c r="DD9" s="691">
        <v>100</v>
      </c>
      <c r="DE9" s="689">
        <v>7</v>
      </c>
      <c r="DF9" s="690">
        <v>1</v>
      </c>
      <c r="DG9" s="691">
        <v>87.5</v>
      </c>
      <c r="DH9" s="689">
        <v>9</v>
      </c>
      <c r="DI9" s="690">
        <v>1</v>
      </c>
      <c r="DJ9" s="691">
        <v>90</v>
      </c>
      <c r="DK9" s="689">
        <v>9</v>
      </c>
      <c r="DL9" s="690">
        <v>3</v>
      </c>
      <c r="DM9" s="691">
        <v>75</v>
      </c>
      <c r="DN9" s="689">
        <v>5</v>
      </c>
      <c r="DO9" s="690">
        <v>2</v>
      </c>
      <c r="DP9" s="691">
        <v>71.400000000000006</v>
      </c>
      <c r="DQ9" s="689">
        <v>12</v>
      </c>
      <c r="DR9" s="690"/>
      <c r="DS9" s="691">
        <v>100</v>
      </c>
      <c r="DT9" s="689">
        <v>9</v>
      </c>
      <c r="DU9" s="690"/>
      <c r="DV9" s="691">
        <v>100</v>
      </c>
      <c r="DW9" s="689">
        <v>9</v>
      </c>
      <c r="DX9" s="690">
        <v>2</v>
      </c>
      <c r="DY9" s="691">
        <v>81.8</v>
      </c>
      <c r="DZ9" s="689">
        <v>3</v>
      </c>
      <c r="EA9" s="690">
        <v>2</v>
      </c>
      <c r="EB9" s="691">
        <v>60</v>
      </c>
      <c r="EC9" s="689">
        <v>8</v>
      </c>
      <c r="ED9" s="690"/>
      <c r="EE9" s="691">
        <v>100</v>
      </c>
      <c r="EF9" s="689">
        <v>0</v>
      </c>
      <c r="EG9" s="690">
        <v>1</v>
      </c>
      <c r="EH9" s="691">
        <v>0</v>
      </c>
      <c r="EI9" s="689"/>
      <c r="EJ9" s="690"/>
      <c r="EK9" s="691" t="s">
        <v>6</v>
      </c>
      <c r="EL9" s="689"/>
      <c r="EM9" s="690"/>
      <c r="EN9" s="691" t="s">
        <v>6</v>
      </c>
      <c r="EO9" s="689"/>
      <c r="EP9" s="690"/>
      <c r="EQ9" s="691" t="s">
        <v>6</v>
      </c>
      <c r="ER9" s="689"/>
      <c r="ES9" s="690"/>
      <c r="ET9" s="691" t="s">
        <v>6</v>
      </c>
      <c r="EU9" s="689"/>
      <c r="EV9" s="690"/>
      <c r="EW9" s="691" t="s">
        <v>6</v>
      </c>
      <c r="EX9" s="689"/>
      <c r="EY9" s="690"/>
      <c r="EZ9" s="691" t="s">
        <v>6</v>
      </c>
      <c r="FA9" s="689"/>
      <c r="FB9" s="690"/>
      <c r="FC9" s="691" t="s">
        <v>6</v>
      </c>
      <c r="FD9" s="689"/>
      <c r="FE9" s="690"/>
      <c r="FF9" s="691" t="s">
        <v>6</v>
      </c>
      <c r="FG9" s="689">
        <v>0</v>
      </c>
      <c r="FH9" s="690">
        <v>0</v>
      </c>
      <c r="FI9" s="691" t="s">
        <v>6</v>
      </c>
      <c r="FJ9" s="689">
        <v>2</v>
      </c>
      <c r="FK9" s="690">
        <v>1</v>
      </c>
      <c r="FL9" s="691">
        <v>66.7</v>
      </c>
      <c r="FM9" s="689"/>
      <c r="FN9" s="690"/>
      <c r="FO9" s="691" t="s">
        <v>6</v>
      </c>
      <c r="FP9" s="689">
        <v>1</v>
      </c>
      <c r="FQ9" s="690">
        <v>4</v>
      </c>
      <c r="FR9" s="691">
        <v>20</v>
      </c>
      <c r="FS9" s="689">
        <v>6</v>
      </c>
      <c r="FT9" s="690">
        <v>4</v>
      </c>
      <c r="FU9" s="691">
        <v>60</v>
      </c>
      <c r="FV9" s="689">
        <v>4</v>
      </c>
      <c r="FW9" s="690"/>
      <c r="FX9" s="691">
        <v>100</v>
      </c>
      <c r="FY9" s="689">
        <v>3</v>
      </c>
      <c r="FZ9" s="690">
        <v>3</v>
      </c>
      <c r="GA9" s="691">
        <v>50</v>
      </c>
      <c r="GB9" s="689">
        <v>8</v>
      </c>
      <c r="GC9" s="690"/>
      <c r="GD9" s="691">
        <v>100</v>
      </c>
      <c r="GE9" s="689"/>
      <c r="GF9" s="690"/>
      <c r="GG9" s="691" t="s">
        <v>6</v>
      </c>
      <c r="GH9" s="689">
        <v>3</v>
      </c>
      <c r="GI9" s="690">
        <v>0</v>
      </c>
      <c r="GJ9" s="691">
        <v>100</v>
      </c>
      <c r="GK9" s="689"/>
      <c r="GL9" s="690"/>
      <c r="GM9" s="691" t="s">
        <v>6</v>
      </c>
      <c r="GN9" s="689"/>
      <c r="GO9" s="690"/>
      <c r="GP9" s="691" t="s">
        <v>6</v>
      </c>
      <c r="GQ9" s="689"/>
      <c r="GR9" s="690"/>
      <c r="GS9" s="691" t="s">
        <v>6</v>
      </c>
      <c r="GT9" s="689"/>
      <c r="GU9" s="690"/>
      <c r="GV9" s="691" t="s">
        <v>6</v>
      </c>
      <c r="GW9" s="689"/>
      <c r="GX9" s="690"/>
      <c r="GY9" s="691" t="s">
        <v>6</v>
      </c>
      <c r="GZ9" s="689">
        <v>1</v>
      </c>
      <c r="HA9" s="690"/>
      <c r="HB9" s="691">
        <v>100</v>
      </c>
      <c r="HC9" s="689"/>
      <c r="HD9" s="690"/>
      <c r="HE9" s="691" t="s">
        <v>6</v>
      </c>
      <c r="HF9" s="689"/>
      <c r="HG9" s="690"/>
      <c r="HH9" s="691" t="s">
        <v>6</v>
      </c>
      <c r="HI9" s="689">
        <v>0</v>
      </c>
      <c r="HJ9" s="690">
        <v>0</v>
      </c>
      <c r="HK9" s="691" t="s">
        <v>6</v>
      </c>
      <c r="HL9" s="689">
        <v>48</v>
      </c>
      <c r="HM9" s="690">
        <v>3</v>
      </c>
      <c r="HN9" s="691">
        <v>94.1</v>
      </c>
      <c r="HO9" s="689">
        <v>46</v>
      </c>
      <c r="HP9" s="690">
        <v>7</v>
      </c>
      <c r="HQ9" s="691">
        <v>86.8</v>
      </c>
      <c r="HR9" s="689">
        <v>31</v>
      </c>
      <c r="HS9" s="690">
        <v>10</v>
      </c>
      <c r="HT9" s="691">
        <v>75.599999999999994</v>
      </c>
      <c r="HU9" s="689">
        <v>45</v>
      </c>
      <c r="HV9" s="690">
        <v>12</v>
      </c>
      <c r="HW9" s="691">
        <v>78.900000000000006</v>
      </c>
      <c r="HX9" s="689">
        <v>28</v>
      </c>
      <c r="HY9" s="690">
        <v>4</v>
      </c>
      <c r="HZ9" s="691">
        <v>87.5</v>
      </c>
      <c r="IA9" s="689">
        <v>29</v>
      </c>
      <c r="IB9" s="690">
        <v>4</v>
      </c>
      <c r="IC9" s="691">
        <v>87.9</v>
      </c>
      <c r="ID9" s="689">
        <v>35</v>
      </c>
      <c r="IE9" s="690">
        <v>7</v>
      </c>
      <c r="IF9" s="691">
        <v>83.3</v>
      </c>
      <c r="IG9" s="689">
        <v>22</v>
      </c>
      <c r="IH9" s="690">
        <v>6</v>
      </c>
      <c r="II9" s="691">
        <v>78.599999999999994</v>
      </c>
      <c r="IJ9" s="689">
        <v>18</v>
      </c>
      <c r="IK9" s="690">
        <v>1</v>
      </c>
      <c r="IL9" s="691">
        <v>94.7</v>
      </c>
      <c r="IM9" s="689"/>
      <c r="IN9" s="690"/>
      <c r="IO9" s="691" t="s">
        <v>6</v>
      </c>
      <c r="IP9" s="689"/>
      <c r="IQ9" s="690"/>
      <c r="IR9" s="691" t="s">
        <v>6</v>
      </c>
      <c r="IS9" s="689">
        <v>1</v>
      </c>
      <c r="IT9" s="690"/>
      <c r="IU9" s="691">
        <v>100</v>
      </c>
      <c r="IV9" s="689">
        <v>1</v>
      </c>
      <c r="IW9" s="690"/>
      <c r="IX9" s="691">
        <v>100</v>
      </c>
      <c r="IY9" s="689"/>
      <c r="IZ9" s="690"/>
      <c r="JA9" s="691" t="s">
        <v>6</v>
      </c>
      <c r="JB9" s="689">
        <v>1</v>
      </c>
      <c r="JC9" s="690"/>
      <c r="JD9" s="691">
        <v>100</v>
      </c>
      <c r="JE9" s="689"/>
      <c r="JF9" s="690"/>
      <c r="JG9" s="691" t="s">
        <v>6</v>
      </c>
      <c r="JH9" s="689">
        <v>1</v>
      </c>
      <c r="JI9" s="690"/>
      <c r="JJ9" s="691">
        <v>100</v>
      </c>
      <c r="JK9" s="689">
        <v>0</v>
      </c>
      <c r="JL9" s="690">
        <v>0</v>
      </c>
      <c r="JM9" s="691" t="s">
        <v>6</v>
      </c>
      <c r="JN9" s="689">
        <v>1</v>
      </c>
      <c r="JO9" s="690"/>
      <c r="JP9" s="691">
        <v>100</v>
      </c>
      <c r="JQ9" s="689"/>
      <c r="JR9" s="690"/>
      <c r="JS9" s="691" t="s">
        <v>6</v>
      </c>
      <c r="JT9" s="689"/>
      <c r="JU9" s="690">
        <v>1</v>
      </c>
      <c r="JV9" s="691">
        <v>0</v>
      </c>
      <c r="JW9" s="689">
        <v>3</v>
      </c>
      <c r="JX9" s="690">
        <v>2</v>
      </c>
      <c r="JY9" s="691">
        <v>60</v>
      </c>
      <c r="JZ9" s="689">
        <v>1</v>
      </c>
      <c r="KA9" s="690"/>
      <c r="KB9" s="691">
        <v>100</v>
      </c>
      <c r="KC9" s="689"/>
      <c r="KD9" s="690"/>
      <c r="KE9" s="691" t="s">
        <v>6</v>
      </c>
      <c r="KF9" s="689">
        <v>1</v>
      </c>
      <c r="KG9" s="690"/>
      <c r="KH9" s="691">
        <v>100</v>
      </c>
      <c r="KI9" s="689">
        <v>3</v>
      </c>
      <c r="KJ9" s="690"/>
      <c r="KK9" s="691">
        <v>100</v>
      </c>
      <c r="KL9" s="689">
        <v>6</v>
      </c>
      <c r="KM9" s="690">
        <v>0</v>
      </c>
      <c r="KN9" s="691">
        <v>100</v>
      </c>
      <c r="KO9" s="692">
        <f t="shared" si="0"/>
        <v>0</v>
      </c>
      <c r="KP9" s="183">
        <f t="shared" si="0"/>
        <v>0</v>
      </c>
      <c r="KQ9" s="438" t="str">
        <f t="shared" si="1"/>
        <v>-</v>
      </c>
      <c r="KR9" s="692">
        <f t="shared" si="2"/>
        <v>0</v>
      </c>
      <c r="KS9" s="183">
        <f t="shared" si="3"/>
        <v>0</v>
      </c>
      <c r="KT9" s="438" t="str">
        <f t="shared" si="4"/>
        <v>-</v>
      </c>
      <c r="KU9" s="692">
        <f t="shared" si="5"/>
        <v>0</v>
      </c>
      <c r="KV9" s="183">
        <f t="shared" si="5"/>
        <v>0</v>
      </c>
      <c r="KW9" s="438" t="str">
        <f t="shared" si="6"/>
        <v>-</v>
      </c>
      <c r="KX9" s="692">
        <f t="shared" si="7"/>
        <v>88</v>
      </c>
      <c r="KY9" s="183">
        <f t="shared" si="7"/>
        <v>5</v>
      </c>
      <c r="KZ9" s="438">
        <f t="shared" si="8"/>
        <v>94.623655913978496</v>
      </c>
      <c r="LA9" s="692">
        <f t="shared" si="9"/>
        <v>29</v>
      </c>
      <c r="LB9" s="183">
        <f t="shared" si="9"/>
        <v>5</v>
      </c>
      <c r="LC9" s="438">
        <f t="shared" si="10"/>
        <v>85.294117647058826</v>
      </c>
      <c r="LD9" s="692">
        <f t="shared" si="11"/>
        <v>0</v>
      </c>
      <c r="LE9" s="183">
        <f t="shared" si="11"/>
        <v>0</v>
      </c>
      <c r="LF9" s="438" t="str">
        <f t="shared" si="12"/>
        <v>-</v>
      </c>
      <c r="LG9" s="692">
        <f t="shared" si="13"/>
        <v>18</v>
      </c>
      <c r="LH9" s="183">
        <f t="shared" si="13"/>
        <v>3</v>
      </c>
      <c r="LI9" s="438">
        <f t="shared" si="14"/>
        <v>85.714285714285708</v>
      </c>
      <c r="LJ9" s="692">
        <f t="shared" si="15"/>
        <v>1</v>
      </c>
      <c r="LK9" s="183">
        <f t="shared" si="15"/>
        <v>0</v>
      </c>
      <c r="LL9" s="438">
        <f t="shared" si="16"/>
        <v>100</v>
      </c>
      <c r="LM9" s="692">
        <f t="shared" si="17"/>
        <v>132</v>
      </c>
      <c r="LN9" s="183">
        <f t="shared" si="17"/>
        <v>22</v>
      </c>
      <c r="LO9" s="438">
        <f t="shared" si="18"/>
        <v>85.714285714285708</v>
      </c>
      <c r="LP9" s="692">
        <f t="shared" si="19"/>
        <v>2</v>
      </c>
      <c r="LQ9" s="183">
        <f t="shared" si="19"/>
        <v>0</v>
      </c>
      <c r="LR9" s="438">
        <f t="shared" si="20"/>
        <v>100</v>
      </c>
      <c r="LS9" s="339">
        <f t="shared" si="21"/>
        <v>11</v>
      </c>
      <c r="LT9" s="275">
        <f t="shared" si="21"/>
        <v>0</v>
      </c>
      <c r="LU9" s="438">
        <f t="shared" si="22"/>
        <v>100</v>
      </c>
    </row>
    <row r="10" spans="1:333" ht="13.5" thickBot="1" x14ac:dyDescent="0.25">
      <c r="A10" s="986"/>
      <c r="B10" s="742" t="s">
        <v>621</v>
      </c>
      <c r="C10" s="630" t="s">
        <v>1203</v>
      </c>
      <c r="D10" s="693"/>
      <c r="E10" s="694"/>
      <c r="F10" s="695" t="s">
        <v>6</v>
      </c>
      <c r="G10" s="693"/>
      <c r="H10" s="694"/>
      <c r="I10" s="695" t="s">
        <v>6</v>
      </c>
      <c r="J10" s="693"/>
      <c r="K10" s="694"/>
      <c r="L10" s="695" t="s">
        <v>6</v>
      </c>
      <c r="M10" s="693"/>
      <c r="N10" s="694"/>
      <c r="O10" s="695" t="s">
        <v>6</v>
      </c>
      <c r="P10" s="693"/>
      <c r="Q10" s="694"/>
      <c r="R10" s="695" t="s">
        <v>6</v>
      </c>
      <c r="S10" s="693"/>
      <c r="T10" s="694"/>
      <c r="U10" s="695" t="s">
        <v>6</v>
      </c>
      <c r="V10" s="693"/>
      <c r="W10" s="694"/>
      <c r="X10" s="695" t="s">
        <v>6</v>
      </c>
      <c r="Y10" s="693"/>
      <c r="Z10" s="694"/>
      <c r="AA10" s="695" t="s">
        <v>6</v>
      </c>
      <c r="AB10" s="693">
        <v>0</v>
      </c>
      <c r="AC10" s="694">
        <v>0</v>
      </c>
      <c r="AD10" s="695" t="s">
        <v>6</v>
      </c>
      <c r="AE10" s="693"/>
      <c r="AF10" s="694"/>
      <c r="AG10" s="695" t="s">
        <v>6</v>
      </c>
      <c r="AH10" s="693"/>
      <c r="AI10" s="694"/>
      <c r="AJ10" s="695" t="s">
        <v>6</v>
      </c>
      <c r="AK10" s="693"/>
      <c r="AL10" s="694"/>
      <c r="AM10" s="695" t="s">
        <v>6</v>
      </c>
      <c r="AN10" s="693"/>
      <c r="AO10" s="694"/>
      <c r="AP10" s="695" t="s">
        <v>6</v>
      </c>
      <c r="AQ10" s="693"/>
      <c r="AR10" s="694"/>
      <c r="AS10" s="695" t="s">
        <v>6</v>
      </c>
      <c r="AT10" s="693"/>
      <c r="AU10" s="694"/>
      <c r="AV10" s="695" t="s">
        <v>6</v>
      </c>
      <c r="AW10" s="693"/>
      <c r="AX10" s="694"/>
      <c r="AY10" s="695" t="s">
        <v>6</v>
      </c>
      <c r="AZ10" s="693"/>
      <c r="BA10" s="694"/>
      <c r="BB10" s="695" t="s">
        <v>6</v>
      </c>
      <c r="BC10" s="693">
        <v>0</v>
      </c>
      <c r="BD10" s="694">
        <v>0</v>
      </c>
      <c r="BE10" s="695" t="s">
        <v>6</v>
      </c>
      <c r="BF10" s="693"/>
      <c r="BG10" s="694"/>
      <c r="BH10" s="695" t="s">
        <v>6</v>
      </c>
      <c r="BI10" s="693"/>
      <c r="BJ10" s="694"/>
      <c r="BK10" s="695" t="s">
        <v>6</v>
      </c>
      <c r="BL10" s="693"/>
      <c r="BM10" s="694"/>
      <c r="BN10" s="695" t="s">
        <v>6</v>
      </c>
      <c r="BO10" s="693"/>
      <c r="BP10" s="694"/>
      <c r="BQ10" s="695" t="s">
        <v>6</v>
      </c>
      <c r="BR10" s="693"/>
      <c r="BS10" s="694"/>
      <c r="BT10" s="695" t="s">
        <v>6</v>
      </c>
      <c r="BU10" s="693"/>
      <c r="BV10" s="694"/>
      <c r="BW10" s="695" t="s">
        <v>6</v>
      </c>
      <c r="BX10" s="693"/>
      <c r="BY10" s="694"/>
      <c r="BZ10" s="695" t="s">
        <v>6</v>
      </c>
      <c r="CA10" s="693"/>
      <c r="CB10" s="694"/>
      <c r="CC10" s="695" t="s">
        <v>6</v>
      </c>
      <c r="CD10" s="693">
        <v>0</v>
      </c>
      <c r="CE10" s="694">
        <v>0</v>
      </c>
      <c r="CF10" s="695" t="s">
        <v>6</v>
      </c>
      <c r="CG10" s="693">
        <v>48</v>
      </c>
      <c r="CH10" s="694">
        <v>4</v>
      </c>
      <c r="CI10" s="695">
        <v>92.3</v>
      </c>
      <c r="CJ10" s="693">
        <v>49</v>
      </c>
      <c r="CK10" s="694">
        <v>2</v>
      </c>
      <c r="CL10" s="695">
        <v>96.1</v>
      </c>
      <c r="CM10" s="693">
        <v>33</v>
      </c>
      <c r="CN10" s="694">
        <v>1</v>
      </c>
      <c r="CO10" s="695">
        <v>97.1</v>
      </c>
      <c r="CP10" s="693">
        <v>24</v>
      </c>
      <c r="CQ10" s="694">
        <v>2</v>
      </c>
      <c r="CR10" s="695">
        <v>92.3</v>
      </c>
      <c r="CS10" s="693">
        <v>28</v>
      </c>
      <c r="CT10" s="694">
        <v>3</v>
      </c>
      <c r="CU10" s="695">
        <v>90.3</v>
      </c>
      <c r="CV10" s="693">
        <v>21</v>
      </c>
      <c r="CW10" s="694"/>
      <c r="CX10" s="695">
        <v>100</v>
      </c>
      <c r="CY10" s="693">
        <v>27</v>
      </c>
      <c r="CZ10" s="694"/>
      <c r="DA10" s="695">
        <v>100</v>
      </c>
      <c r="DB10" s="693">
        <v>48</v>
      </c>
      <c r="DC10" s="694">
        <v>2</v>
      </c>
      <c r="DD10" s="695">
        <v>96</v>
      </c>
      <c r="DE10" s="693">
        <v>18</v>
      </c>
      <c r="DF10" s="694">
        <v>0</v>
      </c>
      <c r="DG10" s="695">
        <v>100</v>
      </c>
      <c r="DH10" s="693">
        <v>8</v>
      </c>
      <c r="DI10" s="694"/>
      <c r="DJ10" s="695">
        <v>100</v>
      </c>
      <c r="DK10" s="693">
        <v>5</v>
      </c>
      <c r="DL10" s="694">
        <v>1</v>
      </c>
      <c r="DM10" s="695">
        <v>83.3</v>
      </c>
      <c r="DN10" s="693">
        <v>4</v>
      </c>
      <c r="DO10" s="694"/>
      <c r="DP10" s="695">
        <v>100</v>
      </c>
      <c r="DQ10" s="693">
        <v>7</v>
      </c>
      <c r="DR10" s="694">
        <v>1</v>
      </c>
      <c r="DS10" s="695">
        <v>87.5</v>
      </c>
      <c r="DT10" s="693">
        <v>7</v>
      </c>
      <c r="DU10" s="694"/>
      <c r="DV10" s="695">
        <v>100</v>
      </c>
      <c r="DW10" s="693">
        <v>3</v>
      </c>
      <c r="DX10" s="694"/>
      <c r="DY10" s="695">
        <v>100</v>
      </c>
      <c r="DZ10" s="693">
        <v>3</v>
      </c>
      <c r="EA10" s="694"/>
      <c r="EB10" s="695">
        <v>100</v>
      </c>
      <c r="EC10" s="693">
        <v>9</v>
      </c>
      <c r="ED10" s="694">
        <v>1</v>
      </c>
      <c r="EE10" s="695">
        <v>90</v>
      </c>
      <c r="EF10" s="693">
        <v>1</v>
      </c>
      <c r="EG10" s="694">
        <v>0</v>
      </c>
      <c r="EH10" s="695">
        <v>100</v>
      </c>
      <c r="EI10" s="693"/>
      <c r="EJ10" s="694"/>
      <c r="EK10" s="695" t="s">
        <v>6</v>
      </c>
      <c r="EL10" s="693"/>
      <c r="EM10" s="694"/>
      <c r="EN10" s="695" t="s">
        <v>6</v>
      </c>
      <c r="EO10" s="693"/>
      <c r="EP10" s="694"/>
      <c r="EQ10" s="695" t="s">
        <v>6</v>
      </c>
      <c r="ER10" s="693"/>
      <c r="ES10" s="694"/>
      <c r="ET10" s="695" t="s">
        <v>6</v>
      </c>
      <c r="EU10" s="693"/>
      <c r="EV10" s="694"/>
      <c r="EW10" s="695" t="s">
        <v>6</v>
      </c>
      <c r="EX10" s="693"/>
      <c r="EY10" s="694"/>
      <c r="EZ10" s="695" t="s">
        <v>6</v>
      </c>
      <c r="FA10" s="693"/>
      <c r="FB10" s="694"/>
      <c r="FC10" s="695" t="s">
        <v>6</v>
      </c>
      <c r="FD10" s="693"/>
      <c r="FE10" s="694"/>
      <c r="FF10" s="695" t="s">
        <v>6</v>
      </c>
      <c r="FG10" s="693">
        <v>0</v>
      </c>
      <c r="FH10" s="694">
        <v>0</v>
      </c>
      <c r="FI10" s="695" t="s">
        <v>6</v>
      </c>
      <c r="FJ10" s="693">
        <v>10</v>
      </c>
      <c r="FK10" s="694">
        <v>4</v>
      </c>
      <c r="FL10" s="695">
        <v>71.400000000000006</v>
      </c>
      <c r="FM10" s="693">
        <v>3</v>
      </c>
      <c r="FN10" s="694"/>
      <c r="FO10" s="695">
        <v>100</v>
      </c>
      <c r="FP10" s="693">
        <v>2</v>
      </c>
      <c r="FQ10" s="694">
        <v>2</v>
      </c>
      <c r="FR10" s="695">
        <v>50</v>
      </c>
      <c r="FS10" s="693">
        <v>5</v>
      </c>
      <c r="FT10" s="694">
        <v>1</v>
      </c>
      <c r="FU10" s="695">
        <v>83.3</v>
      </c>
      <c r="FV10" s="693"/>
      <c r="FW10" s="694"/>
      <c r="FX10" s="695" t="s">
        <v>6</v>
      </c>
      <c r="FY10" s="693">
        <v>10</v>
      </c>
      <c r="FZ10" s="694"/>
      <c r="GA10" s="695">
        <v>100</v>
      </c>
      <c r="GB10" s="693"/>
      <c r="GC10" s="694"/>
      <c r="GD10" s="695" t="s">
        <v>6</v>
      </c>
      <c r="GE10" s="693">
        <v>4</v>
      </c>
      <c r="GF10" s="694"/>
      <c r="GG10" s="695">
        <v>100</v>
      </c>
      <c r="GH10" s="693">
        <v>10</v>
      </c>
      <c r="GI10" s="694">
        <v>0</v>
      </c>
      <c r="GJ10" s="695">
        <v>100</v>
      </c>
      <c r="GK10" s="693"/>
      <c r="GL10" s="694"/>
      <c r="GM10" s="695" t="s">
        <v>6</v>
      </c>
      <c r="GN10" s="693"/>
      <c r="GO10" s="694"/>
      <c r="GP10" s="695" t="s">
        <v>6</v>
      </c>
      <c r="GQ10" s="693"/>
      <c r="GR10" s="694"/>
      <c r="GS10" s="695" t="s">
        <v>6</v>
      </c>
      <c r="GT10" s="693"/>
      <c r="GU10" s="694"/>
      <c r="GV10" s="695" t="s">
        <v>6</v>
      </c>
      <c r="GW10" s="693"/>
      <c r="GX10" s="694"/>
      <c r="GY10" s="695" t="s">
        <v>6</v>
      </c>
      <c r="GZ10" s="693"/>
      <c r="HA10" s="694"/>
      <c r="HB10" s="695" t="s">
        <v>6</v>
      </c>
      <c r="HC10" s="693"/>
      <c r="HD10" s="694"/>
      <c r="HE10" s="695" t="s">
        <v>6</v>
      </c>
      <c r="HF10" s="693"/>
      <c r="HG10" s="694"/>
      <c r="HH10" s="695" t="s">
        <v>6</v>
      </c>
      <c r="HI10" s="693">
        <v>0</v>
      </c>
      <c r="HJ10" s="694">
        <v>0</v>
      </c>
      <c r="HK10" s="695" t="s">
        <v>6</v>
      </c>
      <c r="HL10" s="693">
        <v>52</v>
      </c>
      <c r="HM10" s="694">
        <v>16</v>
      </c>
      <c r="HN10" s="695">
        <v>76.5</v>
      </c>
      <c r="HO10" s="693">
        <v>48</v>
      </c>
      <c r="HP10" s="694">
        <v>17</v>
      </c>
      <c r="HQ10" s="695">
        <v>73.8</v>
      </c>
      <c r="HR10" s="693">
        <v>38</v>
      </c>
      <c r="HS10" s="694">
        <v>8</v>
      </c>
      <c r="HT10" s="695">
        <v>82.6</v>
      </c>
      <c r="HU10" s="693">
        <v>40</v>
      </c>
      <c r="HV10" s="694">
        <v>8</v>
      </c>
      <c r="HW10" s="695">
        <v>83.3</v>
      </c>
      <c r="HX10" s="693">
        <v>35</v>
      </c>
      <c r="HY10" s="694">
        <v>10</v>
      </c>
      <c r="HZ10" s="695">
        <v>77.8</v>
      </c>
      <c r="IA10" s="693">
        <v>35</v>
      </c>
      <c r="IB10" s="694">
        <v>7</v>
      </c>
      <c r="IC10" s="695">
        <v>83.3</v>
      </c>
      <c r="ID10" s="693">
        <v>35</v>
      </c>
      <c r="IE10" s="694">
        <v>7</v>
      </c>
      <c r="IF10" s="695">
        <v>83.3</v>
      </c>
      <c r="IG10" s="693">
        <v>36</v>
      </c>
      <c r="IH10" s="694">
        <v>1</v>
      </c>
      <c r="II10" s="695">
        <v>97.3</v>
      </c>
      <c r="IJ10" s="693">
        <v>35</v>
      </c>
      <c r="IK10" s="694">
        <v>1</v>
      </c>
      <c r="IL10" s="695">
        <v>97.2</v>
      </c>
      <c r="IM10" s="693">
        <v>3</v>
      </c>
      <c r="IN10" s="694"/>
      <c r="IO10" s="695">
        <v>100</v>
      </c>
      <c r="IP10" s="693">
        <v>1</v>
      </c>
      <c r="IQ10" s="694"/>
      <c r="IR10" s="695">
        <v>100</v>
      </c>
      <c r="IS10" s="693"/>
      <c r="IT10" s="694">
        <v>1</v>
      </c>
      <c r="IU10" s="695">
        <v>0</v>
      </c>
      <c r="IV10" s="693"/>
      <c r="IW10" s="694"/>
      <c r="IX10" s="695" t="s">
        <v>6</v>
      </c>
      <c r="IY10" s="693">
        <v>1</v>
      </c>
      <c r="IZ10" s="694"/>
      <c r="JA10" s="695">
        <v>100</v>
      </c>
      <c r="JB10" s="693"/>
      <c r="JC10" s="694"/>
      <c r="JD10" s="695" t="s">
        <v>6</v>
      </c>
      <c r="JE10" s="693">
        <v>1</v>
      </c>
      <c r="JF10" s="694"/>
      <c r="JG10" s="695">
        <v>100</v>
      </c>
      <c r="JH10" s="693">
        <v>1</v>
      </c>
      <c r="JI10" s="694"/>
      <c r="JJ10" s="695">
        <v>100</v>
      </c>
      <c r="JK10" s="693">
        <v>0</v>
      </c>
      <c r="JL10" s="694">
        <v>0</v>
      </c>
      <c r="JM10" s="695" t="s">
        <v>6</v>
      </c>
      <c r="JN10" s="693"/>
      <c r="JO10" s="694"/>
      <c r="JP10" s="695" t="s">
        <v>6</v>
      </c>
      <c r="JQ10" s="693">
        <v>3</v>
      </c>
      <c r="JR10" s="694"/>
      <c r="JS10" s="695">
        <v>100</v>
      </c>
      <c r="JT10" s="693"/>
      <c r="JU10" s="694"/>
      <c r="JV10" s="695" t="s">
        <v>6</v>
      </c>
      <c r="JW10" s="693"/>
      <c r="JX10" s="694"/>
      <c r="JY10" s="695" t="s">
        <v>6</v>
      </c>
      <c r="JZ10" s="693"/>
      <c r="KA10" s="694"/>
      <c r="KB10" s="695" t="s">
        <v>6</v>
      </c>
      <c r="KC10" s="693"/>
      <c r="KD10" s="694"/>
      <c r="KE10" s="695" t="s">
        <v>6</v>
      </c>
      <c r="KF10" s="693">
        <v>2</v>
      </c>
      <c r="KG10" s="694"/>
      <c r="KH10" s="695">
        <v>100</v>
      </c>
      <c r="KI10" s="693">
        <v>2</v>
      </c>
      <c r="KJ10" s="694"/>
      <c r="KK10" s="695">
        <v>100</v>
      </c>
      <c r="KL10" s="693">
        <v>1</v>
      </c>
      <c r="KM10" s="694">
        <v>0</v>
      </c>
      <c r="KN10" s="695">
        <v>100</v>
      </c>
      <c r="KO10" s="696">
        <f t="shared" si="0"/>
        <v>0</v>
      </c>
      <c r="KP10" s="185">
        <f t="shared" si="0"/>
        <v>0</v>
      </c>
      <c r="KQ10" s="678" t="str">
        <f t="shared" si="1"/>
        <v>-</v>
      </c>
      <c r="KR10" s="696">
        <f t="shared" si="2"/>
        <v>0</v>
      </c>
      <c r="KS10" s="185">
        <f t="shared" si="3"/>
        <v>0</v>
      </c>
      <c r="KT10" s="678" t="str">
        <f t="shared" si="4"/>
        <v>-</v>
      </c>
      <c r="KU10" s="696">
        <f t="shared" si="5"/>
        <v>0</v>
      </c>
      <c r="KV10" s="185">
        <f t="shared" si="5"/>
        <v>0</v>
      </c>
      <c r="KW10" s="678" t="str">
        <f t="shared" si="6"/>
        <v>-</v>
      </c>
      <c r="KX10" s="696">
        <f t="shared" si="7"/>
        <v>142</v>
      </c>
      <c r="KY10" s="185">
        <f t="shared" si="7"/>
        <v>5</v>
      </c>
      <c r="KZ10" s="678">
        <f t="shared" si="8"/>
        <v>96.598639455782305</v>
      </c>
      <c r="LA10" s="696">
        <f t="shared" si="9"/>
        <v>23</v>
      </c>
      <c r="LB10" s="185">
        <f t="shared" si="9"/>
        <v>1</v>
      </c>
      <c r="LC10" s="678">
        <f t="shared" si="10"/>
        <v>95.833333333333343</v>
      </c>
      <c r="LD10" s="696">
        <f t="shared" si="11"/>
        <v>0</v>
      </c>
      <c r="LE10" s="185">
        <f t="shared" si="11"/>
        <v>0</v>
      </c>
      <c r="LF10" s="678" t="str">
        <f t="shared" si="12"/>
        <v>-</v>
      </c>
      <c r="LG10" s="696">
        <f t="shared" si="13"/>
        <v>24</v>
      </c>
      <c r="LH10" s="185">
        <f t="shared" si="13"/>
        <v>0</v>
      </c>
      <c r="LI10" s="678">
        <f t="shared" si="14"/>
        <v>100</v>
      </c>
      <c r="LJ10" s="696">
        <f t="shared" si="15"/>
        <v>0</v>
      </c>
      <c r="LK10" s="185">
        <f t="shared" si="15"/>
        <v>0</v>
      </c>
      <c r="LL10" s="678" t="str">
        <f t="shared" si="16"/>
        <v>-</v>
      </c>
      <c r="LM10" s="696">
        <f t="shared" si="17"/>
        <v>176</v>
      </c>
      <c r="LN10" s="185">
        <f t="shared" si="17"/>
        <v>26</v>
      </c>
      <c r="LO10" s="678">
        <f t="shared" si="18"/>
        <v>87.128712871287135</v>
      </c>
      <c r="LP10" s="696">
        <f t="shared" si="19"/>
        <v>3</v>
      </c>
      <c r="LQ10" s="185">
        <f t="shared" si="19"/>
        <v>0</v>
      </c>
      <c r="LR10" s="678">
        <f t="shared" si="20"/>
        <v>100</v>
      </c>
      <c r="LS10" s="697">
        <f t="shared" si="21"/>
        <v>5</v>
      </c>
      <c r="LT10" s="343">
        <f t="shared" si="21"/>
        <v>0</v>
      </c>
      <c r="LU10" s="678">
        <f t="shared" si="22"/>
        <v>100</v>
      </c>
    </row>
    <row r="11" spans="1:333" s="134" customFormat="1" ht="13.5" thickBot="1" x14ac:dyDescent="0.25">
      <c r="A11" s="987"/>
      <c r="B11" s="744"/>
      <c r="C11" s="708" t="s">
        <v>793</v>
      </c>
      <c r="D11" s="698">
        <f>SUM(D4:D10)</f>
        <v>3</v>
      </c>
      <c r="E11" s="699">
        <f>SUM(E4:E10)</f>
        <v>0</v>
      </c>
      <c r="F11" s="700">
        <f>D11/(D11+E11)*100</f>
        <v>100</v>
      </c>
      <c r="G11" s="698">
        <f>SUM(G4:G10)</f>
        <v>6</v>
      </c>
      <c r="H11" s="699">
        <f>SUM(H4:H10)</f>
        <v>0</v>
      </c>
      <c r="I11" s="700">
        <f>G11/(G11+H11)*100</f>
        <v>100</v>
      </c>
      <c r="J11" s="698">
        <f>SUM(J4:J10)</f>
        <v>5</v>
      </c>
      <c r="K11" s="699">
        <f>SUM(K4:K10)</f>
        <v>0</v>
      </c>
      <c r="L11" s="700">
        <f>J11/(J11+K11)*100</f>
        <v>100</v>
      </c>
      <c r="M11" s="698">
        <f>SUM(M4:M10)</f>
        <v>6</v>
      </c>
      <c r="N11" s="699">
        <f>SUM(N4:N10)</f>
        <v>0</v>
      </c>
      <c r="O11" s="700">
        <f>M11/(M11+N11)*100</f>
        <v>100</v>
      </c>
      <c r="P11" s="698">
        <f>SUM(P4:P10)</f>
        <v>2</v>
      </c>
      <c r="Q11" s="699">
        <f>SUM(Q4:Q10)</f>
        <v>0</v>
      </c>
      <c r="R11" s="700">
        <f>P11/(P11+Q11)*100</f>
        <v>100</v>
      </c>
      <c r="S11" s="698">
        <f>SUM(S4:S10)</f>
        <v>2</v>
      </c>
      <c r="T11" s="699">
        <f>SUM(T4:T10)</f>
        <v>0</v>
      </c>
      <c r="U11" s="700">
        <f>S11/(S11+T11)*100</f>
        <v>100</v>
      </c>
      <c r="V11" s="698">
        <f>SUM(V4:V10)</f>
        <v>6</v>
      </c>
      <c r="W11" s="699">
        <f>SUM(W4:W10)</f>
        <v>0</v>
      </c>
      <c r="X11" s="700">
        <f>V11/(V11+W11)*100</f>
        <v>100</v>
      </c>
      <c r="Y11" s="698">
        <f>SUM(Y4:Y10)</f>
        <v>2</v>
      </c>
      <c r="Z11" s="699">
        <f>SUM(Z4:Z10)</f>
        <v>0</v>
      </c>
      <c r="AA11" s="700">
        <f>Y11/(Y11+Z11)*100</f>
        <v>100</v>
      </c>
      <c r="AB11" s="698">
        <f>SUM(AB4:AB10)</f>
        <v>7</v>
      </c>
      <c r="AC11" s="699">
        <f>SUM(AC4:AC10)</f>
        <v>0</v>
      </c>
      <c r="AD11" s="700">
        <f>AB11/(AB11+AC11)*100</f>
        <v>100</v>
      </c>
      <c r="AE11" s="698">
        <f>SUM(AE4:AE10)</f>
        <v>3</v>
      </c>
      <c r="AF11" s="699">
        <f>SUM(AF4:AF10)</f>
        <v>0</v>
      </c>
      <c r="AG11" s="700">
        <f>AE11/(AE11+AF11)*100</f>
        <v>100</v>
      </c>
      <c r="AH11" s="698">
        <f>SUM(AH4:AH10)</f>
        <v>4</v>
      </c>
      <c r="AI11" s="699">
        <f>SUM(AI4:AI10)</f>
        <v>0</v>
      </c>
      <c r="AJ11" s="700">
        <f>AH11/(AH11+AI11)*100</f>
        <v>100</v>
      </c>
      <c r="AK11" s="698">
        <f>SUM(AK4:AK10)</f>
        <v>1</v>
      </c>
      <c r="AL11" s="699">
        <f>SUM(AL4:AL10)</f>
        <v>0</v>
      </c>
      <c r="AM11" s="700">
        <f>AK11/(AK11+AL11)*100</f>
        <v>100</v>
      </c>
      <c r="AN11" s="698">
        <f>SUM(AN4:AN10)</f>
        <v>4</v>
      </c>
      <c r="AO11" s="699">
        <f>SUM(AO4:AO10)</f>
        <v>0</v>
      </c>
      <c r="AP11" s="700">
        <f>AN11/(AN11+AO11)*100</f>
        <v>100</v>
      </c>
      <c r="AQ11" s="698">
        <f>SUM(AQ4:AQ10)</f>
        <v>1</v>
      </c>
      <c r="AR11" s="699">
        <f>SUM(AR4:AR10)</f>
        <v>0</v>
      </c>
      <c r="AS11" s="700">
        <f>AQ11/(AQ11+AR11)*100</f>
        <v>100</v>
      </c>
      <c r="AT11" s="698">
        <f>SUM(AT4:AT10)</f>
        <v>2</v>
      </c>
      <c r="AU11" s="699">
        <f>SUM(AU4:AU10)</f>
        <v>0</v>
      </c>
      <c r="AV11" s="700">
        <f>AT11/(AT11+AU11)*100</f>
        <v>100</v>
      </c>
      <c r="AW11" s="698">
        <f>SUM(AW4:AW10)</f>
        <v>2</v>
      </c>
      <c r="AX11" s="699">
        <f>SUM(AX4:AX10)</f>
        <v>0</v>
      </c>
      <c r="AY11" s="700">
        <f>AW11/(AW11+AX11)*100</f>
        <v>100</v>
      </c>
      <c r="AZ11" s="698">
        <f>SUM(AZ4:AZ10)</f>
        <v>1</v>
      </c>
      <c r="BA11" s="699">
        <f>SUM(BA4:BA10)</f>
        <v>0</v>
      </c>
      <c r="BB11" s="700">
        <f>AZ11/(AZ11+BA11)*100</f>
        <v>100</v>
      </c>
      <c r="BC11" s="698">
        <f>SUM(BC4:BC10)</f>
        <v>2</v>
      </c>
      <c r="BD11" s="699">
        <f>SUM(BD4:BD10)</f>
        <v>0</v>
      </c>
      <c r="BE11" s="700">
        <f>BC11/(BC11+BD11)*100</f>
        <v>100</v>
      </c>
      <c r="BF11" s="698">
        <f>SUM(BF4:BF10)</f>
        <v>0</v>
      </c>
      <c r="BG11" s="699">
        <f>SUM(BG4:BG10)</f>
        <v>0</v>
      </c>
      <c r="BH11" s="700" t="str">
        <f>IF(BG11&lt;&gt;0,BF11/(BF11+BG11)*100,"-")</f>
        <v>-</v>
      </c>
      <c r="BI11" s="698">
        <f>SUM(BI4:BI10)</f>
        <v>1</v>
      </c>
      <c r="BJ11" s="699">
        <f>SUM(BJ4:BJ10)</f>
        <v>0</v>
      </c>
      <c r="BK11" s="700">
        <f>BI11/(BI11+BJ11)*100</f>
        <v>100</v>
      </c>
      <c r="BL11" s="698">
        <f>SUM(BL4:BL10)</f>
        <v>4</v>
      </c>
      <c r="BM11" s="699">
        <f>SUM(BM4:BM10)</f>
        <v>0</v>
      </c>
      <c r="BN11" s="700">
        <f>BL11/(BL11+BM11)*100</f>
        <v>100</v>
      </c>
      <c r="BO11" s="698">
        <f>SUM(BO4:BO10)</f>
        <v>1</v>
      </c>
      <c r="BP11" s="699">
        <f>SUM(BP4:BP10)</f>
        <v>0</v>
      </c>
      <c r="BQ11" s="700">
        <f>BO11/(BO11+BP11)*100</f>
        <v>100</v>
      </c>
      <c r="BR11" s="698">
        <f>SUM(BR4:BR10)</f>
        <v>1</v>
      </c>
      <c r="BS11" s="699">
        <f>SUM(BS4:BS10)</f>
        <v>0</v>
      </c>
      <c r="BT11" s="700">
        <f>BR11/(BR11+BS11)*100</f>
        <v>100</v>
      </c>
      <c r="BU11" s="698">
        <f>SUM(BU4:BU10)</f>
        <v>0</v>
      </c>
      <c r="BV11" s="699">
        <f>SUM(BV4:BV10)</f>
        <v>0</v>
      </c>
      <c r="BW11" s="700" t="str">
        <f>IF(BV11&lt;&gt;0,BU11/(BU11+BV11)*100,"-")</f>
        <v>-</v>
      </c>
      <c r="BX11" s="698">
        <f>SUM(BX4:BX10)</f>
        <v>1</v>
      </c>
      <c r="BY11" s="699">
        <f>SUM(BY4:BY10)</f>
        <v>0</v>
      </c>
      <c r="BZ11" s="700">
        <f>BX11/(BX11+BY11)*100</f>
        <v>100</v>
      </c>
      <c r="CA11" s="698">
        <f>SUM(CA4:CA10)</f>
        <v>1</v>
      </c>
      <c r="CB11" s="699">
        <f>SUM(CB4:CB10)</f>
        <v>0</v>
      </c>
      <c r="CC11" s="700">
        <f>CA11/(CA11+CB11)*100</f>
        <v>100</v>
      </c>
      <c r="CD11" s="698">
        <f>SUM(CD4:CD10)</f>
        <v>4</v>
      </c>
      <c r="CE11" s="699">
        <f>SUM(CE4:CE10)</f>
        <v>0</v>
      </c>
      <c r="CF11" s="700">
        <f>CD11/(CD11+CE11)*100</f>
        <v>100</v>
      </c>
      <c r="CG11" s="698">
        <f>SUM(CG4:CG10)</f>
        <v>278</v>
      </c>
      <c r="CH11" s="699">
        <f>SUM(CH4:CH10)</f>
        <v>31</v>
      </c>
      <c r="CI11" s="700">
        <f>CG11/(CG11+CH11)*100</f>
        <v>89.967637540453069</v>
      </c>
      <c r="CJ11" s="698">
        <f>SUM(CJ4:CJ10)</f>
        <v>285</v>
      </c>
      <c r="CK11" s="699">
        <f>SUM(CK4:CK10)</f>
        <v>35</v>
      </c>
      <c r="CL11" s="700">
        <f>CJ11/(CJ11+CK11)*100</f>
        <v>89.0625</v>
      </c>
      <c r="CM11" s="698">
        <f>SUM(CM4:CM10)</f>
        <v>245</v>
      </c>
      <c r="CN11" s="699">
        <f>SUM(CN4:CN10)</f>
        <v>29</v>
      </c>
      <c r="CO11" s="700">
        <f>CM11/(CM11+CN11)*100</f>
        <v>89.416058394160586</v>
      </c>
      <c r="CP11" s="698">
        <f>SUM(CP4:CP10)</f>
        <v>228</v>
      </c>
      <c r="CQ11" s="699">
        <f>SUM(CQ4:CQ10)</f>
        <v>32</v>
      </c>
      <c r="CR11" s="700">
        <f>CP11/(CP11+CQ11)*100</f>
        <v>87.692307692307693</v>
      </c>
      <c r="CS11" s="698">
        <f>SUM(CS4:CS10)</f>
        <v>218</v>
      </c>
      <c r="CT11" s="699">
        <f>SUM(CT4:CT10)</f>
        <v>28</v>
      </c>
      <c r="CU11" s="700">
        <f>CS11/(CS11+CT11)*100</f>
        <v>88.617886178861795</v>
      </c>
      <c r="CV11" s="698">
        <f>SUM(CV4:CV10)</f>
        <v>196</v>
      </c>
      <c r="CW11" s="699">
        <f>SUM(CW4:CW10)</f>
        <v>19</v>
      </c>
      <c r="CX11" s="700">
        <f>CV11/(CV11+CW11)*100</f>
        <v>91.162790697674424</v>
      </c>
      <c r="CY11" s="698">
        <f>SUM(CY4:CY10)</f>
        <v>169</v>
      </c>
      <c r="CZ11" s="699">
        <f>SUM(CZ4:CZ10)</f>
        <v>21</v>
      </c>
      <c r="DA11" s="700">
        <f>CY11/(CY11+CZ11)*100</f>
        <v>88.94736842105263</v>
      </c>
      <c r="DB11" s="698">
        <f>SUM(DB4:DB10)</f>
        <v>163</v>
      </c>
      <c r="DC11" s="699">
        <f>SUM(DC4:DC10)</f>
        <v>25</v>
      </c>
      <c r="DD11" s="700">
        <f>DB11/(DB11+DC11)*100</f>
        <v>86.702127659574472</v>
      </c>
      <c r="DE11" s="698">
        <f>SUM(DE4:DE10)</f>
        <v>122</v>
      </c>
      <c r="DF11" s="699">
        <f>SUM(DF4:DF10)</f>
        <v>5</v>
      </c>
      <c r="DG11" s="700">
        <f>DE11/(DE11+DF11)*100</f>
        <v>96.062992125984252</v>
      </c>
      <c r="DH11" s="698">
        <f>SUM(DH4:DH10)</f>
        <v>100</v>
      </c>
      <c r="DI11" s="699">
        <f>SUM(DI4:DI10)</f>
        <v>21</v>
      </c>
      <c r="DJ11" s="700">
        <f>DH11/(DH11+DI11)*100</f>
        <v>82.644628099173559</v>
      </c>
      <c r="DK11" s="698">
        <f>SUM(DK4:DK10)</f>
        <v>89</v>
      </c>
      <c r="DL11" s="699">
        <f>SUM(DL4:DL10)</f>
        <v>27</v>
      </c>
      <c r="DM11" s="700">
        <f>DK11/(DK11+DL11)*100</f>
        <v>76.724137931034491</v>
      </c>
      <c r="DN11" s="698">
        <f>SUM(DN4:DN10)</f>
        <v>68</v>
      </c>
      <c r="DO11" s="699">
        <f>SUM(DO4:DO10)</f>
        <v>21</v>
      </c>
      <c r="DP11" s="700">
        <f>DN11/(DN11+DO11)*100</f>
        <v>76.404494382022463</v>
      </c>
      <c r="DQ11" s="698">
        <f>SUM(DQ4:DQ10)</f>
        <v>91</v>
      </c>
      <c r="DR11" s="699">
        <f>SUM(DR4:DR10)</f>
        <v>26</v>
      </c>
      <c r="DS11" s="700">
        <f>DQ11/(DQ11+DR11)*100</f>
        <v>77.777777777777786</v>
      </c>
      <c r="DT11" s="698">
        <f>SUM(DT4:DT10)</f>
        <v>82</v>
      </c>
      <c r="DU11" s="699">
        <f>SUM(DU4:DU10)</f>
        <v>19</v>
      </c>
      <c r="DV11" s="700">
        <f>DT11/(DT11+DU11)*100</f>
        <v>81.188118811881196</v>
      </c>
      <c r="DW11" s="698">
        <f>SUM(DW4:DW10)</f>
        <v>78</v>
      </c>
      <c r="DX11" s="699">
        <f>SUM(DX4:DX10)</f>
        <v>18</v>
      </c>
      <c r="DY11" s="700">
        <f>DW11/(DW11+DX11)*100</f>
        <v>81.25</v>
      </c>
      <c r="DZ11" s="698">
        <f>SUM(DZ4:DZ10)</f>
        <v>57</v>
      </c>
      <c r="EA11" s="699">
        <f>SUM(EA4:EA10)</f>
        <v>18</v>
      </c>
      <c r="EB11" s="700">
        <f>DZ11/(DZ11+EA11)*100</f>
        <v>76</v>
      </c>
      <c r="EC11" s="698">
        <f>SUM(EC4:EC10)</f>
        <v>60</v>
      </c>
      <c r="ED11" s="699">
        <f>SUM(ED4:ED10)</f>
        <v>20</v>
      </c>
      <c r="EE11" s="700">
        <f>EC11/(EC11+ED11)*100</f>
        <v>75</v>
      </c>
      <c r="EF11" s="698">
        <f>SUM(EF4:EF10)</f>
        <v>48</v>
      </c>
      <c r="EG11" s="699">
        <f>SUM(EG4:EG10)</f>
        <v>5</v>
      </c>
      <c r="EH11" s="700">
        <f>EF11/(EF11+EG11)*100</f>
        <v>90.566037735849065</v>
      </c>
      <c r="EI11" s="698">
        <f>SUM(EI4:EI10)</f>
        <v>2</v>
      </c>
      <c r="EJ11" s="699">
        <f>SUM(EJ4:EJ10)</f>
        <v>0</v>
      </c>
      <c r="EK11" s="700">
        <f>EI11/(EI11+EJ11)*100</f>
        <v>100</v>
      </c>
      <c r="EL11" s="698">
        <f>SUM(EL4:EL10)</f>
        <v>0</v>
      </c>
      <c r="EM11" s="699">
        <f>SUM(EM4:EM10)</f>
        <v>0</v>
      </c>
      <c r="EN11" s="700" t="str">
        <f>IF(EM11&lt;&gt;0,EL11/(EL11+EM11)*100,"-")</f>
        <v>-</v>
      </c>
      <c r="EO11" s="698">
        <f>SUM(EO4:EO10)</f>
        <v>1</v>
      </c>
      <c r="EP11" s="699">
        <f>SUM(EP4:EP10)</f>
        <v>0</v>
      </c>
      <c r="EQ11" s="700">
        <f>EO11/(EO11+EP11)*100</f>
        <v>100</v>
      </c>
      <c r="ER11" s="698">
        <f>SUM(ER4:ER10)</f>
        <v>0</v>
      </c>
      <c r="ES11" s="699">
        <f>SUM(ES4:ES10)</f>
        <v>0</v>
      </c>
      <c r="ET11" s="700" t="str">
        <f>IF(ES11&lt;&gt;0,ER11/(ER11+ES11)*100,"-")</f>
        <v>-</v>
      </c>
      <c r="EU11" s="698">
        <f>SUM(EU4:EU10)</f>
        <v>1</v>
      </c>
      <c r="EV11" s="699">
        <f>SUM(EV4:EV10)</f>
        <v>0</v>
      </c>
      <c r="EW11" s="700">
        <f>EU11/(EU11+EV11)*100</f>
        <v>100</v>
      </c>
      <c r="EX11" s="698">
        <f>SUM(EX4:EX10)</f>
        <v>1</v>
      </c>
      <c r="EY11" s="699">
        <f>SUM(EY4:EY10)</f>
        <v>0</v>
      </c>
      <c r="EZ11" s="700">
        <f>EX11/(EX11+EY11)*100</f>
        <v>100</v>
      </c>
      <c r="FA11" s="698">
        <f>SUM(FA4:FA10)</f>
        <v>0</v>
      </c>
      <c r="FB11" s="699">
        <f>SUM(FB4:FB10)</f>
        <v>0</v>
      </c>
      <c r="FC11" s="700" t="str">
        <f>IF(FB11&lt;&gt;0,FA11/(FA11+FB11)*100,"-")</f>
        <v>-</v>
      </c>
      <c r="FD11" s="698">
        <f>SUM(FD4:FD10)</f>
        <v>0</v>
      </c>
      <c r="FE11" s="699">
        <f>SUM(FE4:FE10)</f>
        <v>0</v>
      </c>
      <c r="FF11" s="700" t="str">
        <f>IF(FE11&lt;&gt;0,FD11/(FD11+FE11)*100,"-")</f>
        <v>-</v>
      </c>
      <c r="FG11" s="698">
        <f>SUM(FG4:FG10)</f>
        <v>1</v>
      </c>
      <c r="FH11" s="699">
        <f>SUM(FH4:FH10)</f>
        <v>0</v>
      </c>
      <c r="FI11" s="700">
        <f>FG11/(FG11+FH11)*100</f>
        <v>100</v>
      </c>
      <c r="FJ11" s="698">
        <f>SUM(FJ4:FJ10)</f>
        <v>46</v>
      </c>
      <c r="FK11" s="699">
        <f>SUM(FK4:FK10)</f>
        <v>15</v>
      </c>
      <c r="FL11" s="700">
        <f>FJ11/(FJ11+FK11)*100</f>
        <v>75.409836065573771</v>
      </c>
      <c r="FM11" s="698">
        <f>SUM(FM4:FM10)</f>
        <v>52</v>
      </c>
      <c r="FN11" s="699">
        <f>SUM(FN4:FN10)</f>
        <v>13</v>
      </c>
      <c r="FO11" s="700">
        <f>FM11/(FM11+FN11)*100</f>
        <v>80</v>
      </c>
      <c r="FP11" s="698">
        <f>SUM(FP4:FP10)</f>
        <v>34</v>
      </c>
      <c r="FQ11" s="699">
        <f>SUM(FQ4:FQ10)</f>
        <v>22</v>
      </c>
      <c r="FR11" s="700">
        <f>FP11/(FP11+FQ11)*100</f>
        <v>60.714285714285708</v>
      </c>
      <c r="FS11" s="698">
        <f>SUM(FS4:FS10)</f>
        <v>31</v>
      </c>
      <c r="FT11" s="699">
        <f>SUM(FT4:FT10)</f>
        <v>10</v>
      </c>
      <c r="FU11" s="700">
        <f>FS11/(FS11+FT11)*100</f>
        <v>75.609756097560975</v>
      </c>
      <c r="FV11" s="698">
        <f>SUM(FV4:FV10)</f>
        <v>16</v>
      </c>
      <c r="FW11" s="699">
        <f>SUM(FW4:FW10)</f>
        <v>10</v>
      </c>
      <c r="FX11" s="700">
        <f>FV11/(FV11+FW11)*100</f>
        <v>61.53846153846154</v>
      </c>
      <c r="FY11" s="698">
        <f>SUM(FY4:FY10)</f>
        <v>19</v>
      </c>
      <c r="FZ11" s="699">
        <f>SUM(FZ4:FZ10)</f>
        <v>7</v>
      </c>
      <c r="GA11" s="700">
        <f>FY11/(FY11+FZ11)*100</f>
        <v>73.076923076923066</v>
      </c>
      <c r="GB11" s="698">
        <f>SUM(GB4:GB10)</f>
        <v>27</v>
      </c>
      <c r="GC11" s="699">
        <f>SUM(GC4:GC10)</f>
        <v>8</v>
      </c>
      <c r="GD11" s="700">
        <f>GB11/(GB11+GC11)*100</f>
        <v>77.142857142857153</v>
      </c>
      <c r="GE11" s="698">
        <f>SUM(GE4:GE10)</f>
        <v>41</v>
      </c>
      <c r="GF11" s="699">
        <f>SUM(GF4:GF10)</f>
        <v>10</v>
      </c>
      <c r="GG11" s="700">
        <f>GE11/(GE11+GF11)*100</f>
        <v>80.392156862745097</v>
      </c>
      <c r="GH11" s="698">
        <f>SUM(GH4:GH10)</f>
        <v>29</v>
      </c>
      <c r="GI11" s="699">
        <f>SUM(GI4:GI10)</f>
        <v>0</v>
      </c>
      <c r="GJ11" s="700">
        <f>GH11/(GH11+GI11)*100</f>
        <v>100</v>
      </c>
      <c r="GK11" s="698">
        <f>SUM(GK4:GK10)</f>
        <v>1</v>
      </c>
      <c r="GL11" s="699">
        <f>SUM(GL4:GL10)</f>
        <v>0</v>
      </c>
      <c r="GM11" s="700">
        <f>GK11/(GK11+GL11)*100</f>
        <v>100</v>
      </c>
      <c r="GN11" s="698">
        <f>SUM(GN4:GN10)</f>
        <v>4</v>
      </c>
      <c r="GO11" s="699">
        <f>SUM(GO4:GO10)</f>
        <v>0</v>
      </c>
      <c r="GP11" s="700">
        <f>GN11/(GN11+GO11)*100</f>
        <v>100</v>
      </c>
      <c r="GQ11" s="698">
        <f>SUM(GQ4:GQ10)</f>
        <v>2</v>
      </c>
      <c r="GR11" s="699">
        <f>SUM(GR4:GR10)</f>
        <v>3</v>
      </c>
      <c r="GS11" s="700">
        <f>GQ11/(GQ11+GR11)*100</f>
        <v>40</v>
      </c>
      <c r="GT11" s="698">
        <f>SUM(GT4:GT10)</f>
        <v>13</v>
      </c>
      <c r="GU11" s="699">
        <f>SUM(GU4:GU10)</f>
        <v>0</v>
      </c>
      <c r="GV11" s="700">
        <f>GT11/(GT11+GU11)*100</f>
        <v>100</v>
      </c>
      <c r="GW11" s="698">
        <f>SUM(GW4:GW10)</f>
        <v>9</v>
      </c>
      <c r="GX11" s="699">
        <f>SUM(GX4:GX10)</f>
        <v>0</v>
      </c>
      <c r="GY11" s="700">
        <f>GW11/(GW11+GX11)*100</f>
        <v>100</v>
      </c>
      <c r="GZ11" s="698">
        <f>SUM(GZ4:GZ10)</f>
        <v>6</v>
      </c>
      <c r="HA11" s="699">
        <f>SUM(HA4:HA10)</f>
        <v>0</v>
      </c>
      <c r="HB11" s="700">
        <f>GZ11/(GZ11+HA11)*100</f>
        <v>100</v>
      </c>
      <c r="HC11" s="698">
        <f>SUM(HC4:HC10)</f>
        <v>4</v>
      </c>
      <c r="HD11" s="699">
        <f>SUM(HD4:HD10)</f>
        <v>1</v>
      </c>
      <c r="HE11" s="700">
        <f>HC11/(HC11+HD11)*100</f>
        <v>80</v>
      </c>
      <c r="HF11" s="698">
        <f>SUM(HF4:HF10)</f>
        <v>1</v>
      </c>
      <c r="HG11" s="699">
        <f>SUM(HG4:HG10)</f>
        <v>0</v>
      </c>
      <c r="HH11" s="700">
        <f>HF11/(HF11+HG11)*100</f>
        <v>100</v>
      </c>
      <c r="HI11" s="698">
        <f>SUM(HI4:HI10)</f>
        <v>1</v>
      </c>
      <c r="HJ11" s="699">
        <f>SUM(HJ4:HJ10)</f>
        <v>0</v>
      </c>
      <c r="HK11" s="700">
        <f>HI11/(HI11+HJ11)*100</f>
        <v>100</v>
      </c>
      <c r="HL11" s="698">
        <f>SUM(HL4:HL10)</f>
        <v>438</v>
      </c>
      <c r="HM11" s="699">
        <f>SUM(HM4:HM10)</f>
        <v>115</v>
      </c>
      <c r="HN11" s="700">
        <f>HL11/(HL11+HM11)*100</f>
        <v>79.204339963833633</v>
      </c>
      <c r="HO11" s="698">
        <f>SUM(HO4:HO10)</f>
        <v>408</v>
      </c>
      <c r="HP11" s="699">
        <f>SUM(HP4:HP10)</f>
        <v>124</v>
      </c>
      <c r="HQ11" s="700">
        <f>HO11/(HO11+HP11)*100</f>
        <v>76.691729323308266</v>
      </c>
      <c r="HR11" s="698">
        <f>SUM(HR4:HR10)</f>
        <v>390</v>
      </c>
      <c r="HS11" s="699">
        <f>SUM(HS4:HS10)</f>
        <v>124</v>
      </c>
      <c r="HT11" s="700">
        <f>HR11/(HR11+HS11)*100</f>
        <v>75.875486381322958</v>
      </c>
      <c r="HU11" s="698">
        <f>SUM(HU4:HU10)</f>
        <v>368</v>
      </c>
      <c r="HV11" s="699">
        <f>SUM(HV4:HV10)</f>
        <v>114</v>
      </c>
      <c r="HW11" s="700">
        <f>HU11/(HU11+HV11)*100</f>
        <v>76.348547717842322</v>
      </c>
      <c r="HX11" s="698">
        <f>SUM(HX4:HX10)</f>
        <v>374</v>
      </c>
      <c r="HY11" s="699">
        <f>SUM(HY4:HY10)</f>
        <v>108</v>
      </c>
      <c r="HZ11" s="700">
        <f>HX11/(HX11+HY11)*100</f>
        <v>77.593360995850631</v>
      </c>
      <c r="IA11" s="698">
        <f>SUM(IA4:IA10)</f>
        <v>346</v>
      </c>
      <c r="IB11" s="699">
        <f>SUM(IB4:IB10)</f>
        <v>72</v>
      </c>
      <c r="IC11" s="700">
        <f>IA11/(IA11+IB11)*100</f>
        <v>82.775119617224874</v>
      </c>
      <c r="ID11" s="698">
        <f>SUM(ID4:ID10)</f>
        <v>278</v>
      </c>
      <c r="IE11" s="699">
        <f>SUM(IE4:IE10)</f>
        <v>88</v>
      </c>
      <c r="IF11" s="700">
        <f>ID11/(ID11+IE11)*100</f>
        <v>75.956284153005456</v>
      </c>
      <c r="IG11" s="698">
        <f>SUM(IG4:IG10)</f>
        <v>260</v>
      </c>
      <c r="IH11" s="699">
        <f>SUM(IH4:IH10)</f>
        <v>75</v>
      </c>
      <c r="II11" s="700">
        <f>IG11/(IG11+IH11)*100</f>
        <v>77.611940298507463</v>
      </c>
      <c r="IJ11" s="698">
        <f>SUM(IJ4:IJ10)</f>
        <v>218</v>
      </c>
      <c r="IK11" s="699">
        <f>SUM(IK4:IK10)</f>
        <v>30</v>
      </c>
      <c r="IL11" s="700">
        <f>IJ11/(IJ11+IK11)*100</f>
        <v>87.903225806451616</v>
      </c>
      <c r="IM11" s="698">
        <f>SUM(IM4:IM10)</f>
        <v>12</v>
      </c>
      <c r="IN11" s="699">
        <f>SUM(IN4:IN10)</f>
        <v>9</v>
      </c>
      <c r="IO11" s="700">
        <f>IM11/(IM11+IN11)*100</f>
        <v>57.142857142857139</v>
      </c>
      <c r="IP11" s="698">
        <f>SUM(IP4:IP10)</f>
        <v>7</v>
      </c>
      <c r="IQ11" s="699">
        <f>SUM(IQ4:IQ10)</f>
        <v>5</v>
      </c>
      <c r="IR11" s="700">
        <f>IP11/(IP11+IQ11)*100</f>
        <v>58.333333333333336</v>
      </c>
      <c r="IS11" s="698">
        <f>SUM(IS4:IS10)</f>
        <v>6</v>
      </c>
      <c r="IT11" s="699">
        <f>SUM(IT4:IT10)</f>
        <v>5</v>
      </c>
      <c r="IU11" s="700">
        <f>IS11/(IS11+IT11)*100</f>
        <v>54.54545454545454</v>
      </c>
      <c r="IV11" s="698">
        <f>SUM(IV4:IV10)</f>
        <v>9</v>
      </c>
      <c r="IW11" s="699">
        <f>SUM(IW4:IW10)</f>
        <v>2</v>
      </c>
      <c r="IX11" s="700">
        <f>IV11/(IV11+IW11)*100</f>
        <v>81.818181818181827</v>
      </c>
      <c r="IY11" s="698">
        <f>SUM(IY4:IY10)</f>
        <v>5</v>
      </c>
      <c r="IZ11" s="699">
        <f>SUM(IZ4:IZ10)</f>
        <v>1</v>
      </c>
      <c r="JA11" s="700">
        <f>IY11/(IY11+IZ11)*100</f>
        <v>83.333333333333343</v>
      </c>
      <c r="JB11" s="698">
        <f>SUM(JB4:JB10)</f>
        <v>2</v>
      </c>
      <c r="JC11" s="699">
        <f>SUM(JC4:JC10)</f>
        <v>1</v>
      </c>
      <c r="JD11" s="700">
        <f>JB11/(JB11+JC11)*100</f>
        <v>66.666666666666657</v>
      </c>
      <c r="JE11" s="698">
        <f>SUM(JE4:JE10)</f>
        <v>12</v>
      </c>
      <c r="JF11" s="699">
        <f>SUM(JF4:JF10)</f>
        <v>4</v>
      </c>
      <c r="JG11" s="700">
        <f>JE11/(JE11+JF11)*100</f>
        <v>75</v>
      </c>
      <c r="JH11" s="698">
        <f>SUM(JH4:JH10)</f>
        <v>5</v>
      </c>
      <c r="JI11" s="699">
        <f>SUM(JI4:JI10)</f>
        <v>2</v>
      </c>
      <c r="JJ11" s="700">
        <f>JH11/(JH11+JI11)*100</f>
        <v>71.428571428571431</v>
      </c>
      <c r="JK11" s="698">
        <f>SUM(JK4:JK10)</f>
        <v>2</v>
      </c>
      <c r="JL11" s="699">
        <f>SUM(JL4:JL10)</f>
        <v>0</v>
      </c>
      <c r="JM11" s="700">
        <f>JK11/(JK11+JL11)*100</f>
        <v>100</v>
      </c>
      <c r="JN11" s="698">
        <f>SUM(JN4:JN10)</f>
        <v>27</v>
      </c>
      <c r="JO11" s="699">
        <f>SUM(JO4:JO10)</f>
        <v>4</v>
      </c>
      <c r="JP11" s="700">
        <f>JN11/(JN11+JO11)*100</f>
        <v>87.096774193548384</v>
      </c>
      <c r="JQ11" s="698">
        <f>SUM(JQ4:JQ10)</f>
        <v>40</v>
      </c>
      <c r="JR11" s="699">
        <f>SUM(JR4:JR10)</f>
        <v>7</v>
      </c>
      <c r="JS11" s="700">
        <f>JQ11/(JQ11+JR11)*100</f>
        <v>85.106382978723403</v>
      </c>
      <c r="JT11" s="698">
        <f>SUM(JT4:JT10)</f>
        <v>22</v>
      </c>
      <c r="JU11" s="699">
        <f>SUM(JU4:JU10)</f>
        <v>4</v>
      </c>
      <c r="JV11" s="700">
        <f>JT11/(JT11+JU11)*100</f>
        <v>84.615384615384613</v>
      </c>
      <c r="JW11" s="698">
        <f>SUM(JW4:JW10)</f>
        <v>33</v>
      </c>
      <c r="JX11" s="699">
        <f>SUM(JX4:JX10)</f>
        <v>5</v>
      </c>
      <c r="JY11" s="700">
        <f>JW11/(JW11+JX11)*100</f>
        <v>86.842105263157904</v>
      </c>
      <c r="JZ11" s="698">
        <f>SUM(JZ4:JZ10)</f>
        <v>23</v>
      </c>
      <c r="KA11" s="699">
        <f>SUM(KA4:KA10)</f>
        <v>2</v>
      </c>
      <c r="KB11" s="700">
        <f>JZ11/(JZ11+KA11)*100</f>
        <v>92</v>
      </c>
      <c r="KC11" s="698">
        <f>SUM(KC4:KC10)</f>
        <v>17</v>
      </c>
      <c r="KD11" s="699">
        <f>SUM(KD4:KD10)</f>
        <v>2</v>
      </c>
      <c r="KE11" s="700">
        <f>KC11/(KC11+KD11)*100</f>
        <v>89.473684210526315</v>
      </c>
      <c r="KF11" s="698">
        <f>SUM(KF4:KF10)</f>
        <v>18</v>
      </c>
      <c r="KG11" s="699">
        <f>SUM(KG4:KG10)</f>
        <v>4</v>
      </c>
      <c r="KH11" s="700">
        <f>KF11/(KF11+KG11)*100</f>
        <v>81.818181818181827</v>
      </c>
      <c r="KI11" s="698">
        <f>SUM(KI4:KI10)</f>
        <v>20</v>
      </c>
      <c r="KJ11" s="699">
        <f>SUM(KJ4:KJ10)</f>
        <v>5</v>
      </c>
      <c r="KK11" s="700">
        <f>KI11/(KI11+KJ11)*100</f>
        <v>80</v>
      </c>
      <c r="KL11" s="698">
        <f>SUM(KL4:KL10)</f>
        <v>31</v>
      </c>
      <c r="KM11" s="699">
        <f>SUM(KM4:KM10)</f>
        <v>6</v>
      </c>
      <c r="KN11" s="700">
        <f>KL11/(KL11+KM11)*100</f>
        <v>83.78378378378379</v>
      </c>
      <c r="KO11" s="684">
        <f t="shared" si="0"/>
        <v>19</v>
      </c>
      <c r="KP11" s="348">
        <f t="shared" si="0"/>
        <v>0</v>
      </c>
      <c r="KQ11" s="680">
        <f t="shared" si="1"/>
        <v>100</v>
      </c>
      <c r="KR11" s="684">
        <f t="shared" si="2"/>
        <v>8</v>
      </c>
      <c r="KS11" s="348">
        <f t="shared" si="3"/>
        <v>0</v>
      </c>
      <c r="KT11" s="680">
        <f t="shared" si="4"/>
        <v>100</v>
      </c>
      <c r="KU11" s="684">
        <f t="shared" si="5"/>
        <v>7</v>
      </c>
      <c r="KV11" s="348">
        <f t="shared" si="5"/>
        <v>0</v>
      </c>
      <c r="KW11" s="680">
        <f t="shared" si="6"/>
        <v>100</v>
      </c>
      <c r="KX11" s="684">
        <f t="shared" si="7"/>
        <v>868</v>
      </c>
      <c r="KY11" s="348">
        <f t="shared" si="7"/>
        <v>98</v>
      </c>
      <c r="KZ11" s="680">
        <f t="shared" si="8"/>
        <v>89.85507246376811</v>
      </c>
      <c r="LA11" s="684">
        <f t="shared" si="9"/>
        <v>325</v>
      </c>
      <c r="LB11" s="348">
        <f t="shared" si="9"/>
        <v>80</v>
      </c>
      <c r="LC11" s="680">
        <f t="shared" si="10"/>
        <v>80.246913580246911</v>
      </c>
      <c r="LD11" s="684">
        <f t="shared" si="11"/>
        <v>3</v>
      </c>
      <c r="LE11" s="348">
        <f t="shared" si="11"/>
        <v>0</v>
      </c>
      <c r="LF11" s="680">
        <f t="shared" si="12"/>
        <v>100</v>
      </c>
      <c r="LG11" s="684">
        <f t="shared" si="13"/>
        <v>132</v>
      </c>
      <c r="LH11" s="348">
        <f t="shared" si="13"/>
        <v>35</v>
      </c>
      <c r="LI11" s="680">
        <f t="shared" si="14"/>
        <v>79.041916167664667</v>
      </c>
      <c r="LJ11" s="684">
        <f t="shared" si="15"/>
        <v>21</v>
      </c>
      <c r="LK11" s="348">
        <f t="shared" si="15"/>
        <v>1</v>
      </c>
      <c r="LL11" s="680">
        <f t="shared" si="16"/>
        <v>95.454545454545453</v>
      </c>
      <c r="LM11" s="684">
        <f t="shared" si="17"/>
        <v>1476</v>
      </c>
      <c r="LN11" s="348">
        <f t="shared" si="17"/>
        <v>373</v>
      </c>
      <c r="LO11" s="680">
        <f t="shared" si="18"/>
        <v>79.826933477555443</v>
      </c>
      <c r="LP11" s="684">
        <f t="shared" si="19"/>
        <v>26</v>
      </c>
      <c r="LQ11" s="348">
        <f t="shared" si="19"/>
        <v>8</v>
      </c>
      <c r="LR11" s="680">
        <f t="shared" si="20"/>
        <v>76.470588235294116</v>
      </c>
      <c r="LS11" s="685">
        <f t="shared" si="21"/>
        <v>109</v>
      </c>
      <c r="LT11" s="179">
        <f t="shared" si="21"/>
        <v>19</v>
      </c>
      <c r="LU11" s="680">
        <f t="shared" si="22"/>
        <v>85.15625</v>
      </c>
    </row>
    <row r="12" spans="1:333" x14ac:dyDescent="0.2"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0"/>
      <c r="Z12" s="170"/>
      <c r="AA12" s="170"/>
      <c r="AB12" s="170"/>
      <c r="AC12" s="170"/>
      <c r="AD12" s="170"/>
      <c r="AH12" s="170"/>
      <c r="AI12" s="170"/>
      <c r="AJ12" s="170"/>
      <c r="AK12" s="170"/>
      <c r="AL12" s="170"/>
      <c r="AM12" s="170"/>
      <c r="AN12" s="170"/>
      <c r="AO12" s="170"/>
      <c r="AP12" s="170"/>
      <c r="AQ12" s="170"/>
      <c r="AR12" s="170"/>
      <c r="AS12" s="170"/>
      <c r="AT12" s="170"/>
      <c r="AU12" s="170"/>
      <c r="AV12" s="170"/>
      <c r="AW12" s="170"/>
      <c r="AX12" s="170"/>
      <c r="AY12" s="170"/>
      <c r="AZ12" s="170"/>
      <c r="BA12" s="170"/>
      <c r="BB12" s="170"/>
      <c r="BC12" s="170"/>
      <c r="BD12" s="170"/>
      <c r="BE12" s="170"/>
      <c r="BI12" s="170"/>
      <c r="BJ12" s="170"/>
      <c r="BK12" s="170"/>
      <c r="BL12" s="170"/>
      <c r="BM12" s="170"/>
      <c r="BN12" s="170"/>
      <c r="BO12" s="170"/>
      <c r="BP12" s="170"/>
      <c r="BQ12" s="170"/>
      <c r="BR12" s="170"/>
      <c r="BS12" s="170"/>
      <c r="BT12" s="170"/>
      <c r="BU12" s="170"/>
      <c r="BV12" s="170"/>
      <c r="BW12" s="170"/>
      <c r="BX12" s="170"/>
      <c r="BY12" s="170"/>
      <c r="BZ12" s="170"/>
      <c r="CA12" s="170"/>
      <c r="CB12" s="170"/>
      <c r="CC12" s="170"/>
      <c r="CD12" s="170"/>
      <c r="CE12" s="170"/>
      <c r="CF12" s="170"/>
      <c r="CJ12" s="170"/>
      <c r="CK12" s="170"/>
      <c r="CL12" s="170"/>
      <c r="CM12" s="170"/>
      <c r="CN12" s="170"/>
      <c r="CO12" s="170"/>
      <c r="CP12" s="170"/>
      <c r="CQ12" s="170"/>
      <c r="CR12" s="170"/>
      <c r="CS12" s="170"/>
      <c r="CT12" s="170"/>
      <c r="CU12" s="170"/>
      <c r="CV12" s="170"/>
      <c r="CW12" s="170"/>
      <c r="CX12" s="170"/>
      <c r="CY12" s="170"/>
      <c r="CZ12" s="170"/>
      <c r="DA12" s="170"/>
      <c r="DB12" s="170"/>
      <c r="DC12" s="170"/>
      <c r="DD12" s="170"/>
      <c r="DE12" s="170"/>
      <c r="DF12" s="170"/>
      <c r="DG12" s="170"/>
      <c r="DK12" s="170"/>
      <c r="DL12" s="170"/>
      <c r="DM12" s="170"/>
      <c r="DN12" s="170"/>
      <c r="DO12" s="170"/>
      <c r="DP12" s="170"/>
      <c r="DQ12" s="170"/>
      <c r="DR12" s="170"/>
      <c r="DS12" s="170"/>
      <c r="DT12" s="170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  <c r="EE12" s="170"/>
      <c r="EF12" s="170"/>
      <c r="EG12" s="170"/>
      <c r="EH12" s="170"/>
      <c r="EL12" s="170"/>
      <c r="EM12" s="170"/>
      <c r="EN12" s="170"/>
      <c r="EO12" s="170"/>
      <c r="EP12" s="170"/>
      <c r="EQ12" s="170"/>
      <c r="ER12" s="170"/>
      <c r="ES12" s="170"/>
      <c r="ET12" s="170"/>
      <c r="EU12" s="170"/>
      <c r="EV12" s="170"/>
      <c r="EW12" s="170"/>
      <c r="EX12" s="170"/>
      <c r="EY12" s="170"/>
      <c r="EZ12" s="170"/>
      <c r="FA12" s="170"/>
      <c r="FB12" s="170"/>
      <c r="FC12" s="170"/>
      <c r="FD12" s="170"/>
      <c r="FE12" s="170"/>
      <c r="FF12" s="170"/>
      <c r="FG12" s="170"/>
      <c r="FH12" s="170"/>
      <c r="FI12" s="170"/>
      <c r="FM12" s="170"/>
      <c r="FN12" s="170"/>
      <c r="FO12" s="170"/>
      <c r="FP12" s="170"/>
      <c r="FQ12" s="170"/>
      <c r="FR12" s="170"/>
      <c r="FS12" s="170"/>
      <c r="FT12" s="170"/>
      <c r="FU12" s="170"/>
      <c r="FV12" s="170"/>
      <c r="FW12" s="170"/>
      <c r="FX12" s="170"/>
      <c r="FY12" s="170"/>
      <c r="FZ12" s="170"/>
      <c r="GA12" s="170"/>
      <c r="GB12" s="170"/>
      <c r="GC12" s="170"/>
      <c r="GD12" s="170"/>
      <c r="GE12" s="170"/>
      <c r="GF12" s="170"/>
      <c r="GG12" s="170"/>
      <c r="GH12" s="170"/>
      <c r="GI12" s="170"/>
      <c r="GJ12" s="170"/>
      <c r="GN12" s="170"/>
      <c r="GO12" s="170"/>
      <c r="GP12" s="170"/>
      <c r="GQ12" s="170"/>
      <c r="GR12" s="170"/>
      <c r="GS12" s="170"/>
      <c r="GT12" s="170"/>
      <c r="GU12" s="170"/>
      <c r="GV12" s="170"/>
      <c r="GW12" s="170"/>
      <c r="GX12" s="170"/>
      <c r="GY12" s="170"/>
      <c r="GZ12" s="170"/>
      <c r="HA12" s="170"/>
      <c r="HB12" s="170"/>
      <c r="HC12" s="170"/>
      <c r="HD12" s="170"/>
      <c r="HE12" s="170"/>
      <c r="HF12" s="170"/>
      <c r="HG12" s="170"/>
      <c r="HH12" s="170"/>
      <c r="HI12" s="170"/>
      <c r="HJ12" s="170"/>
      <c r="HK12" s="170"/>
      <c r="HO12" s="170"/>
      <c r="HP12" s="170"/>
      <c r="HQ12" s="170"/>
      <c r="HR12" s="170"/>
      <c r="HS12" s="170"/>
      <c r="HT12" s="170"/>
      <c r="HU12" s="170"/>
      <c r="HV12" s="170"/>
      <c r="HW12" s="170"/>
      <c r="HX12" s="170"/>
      <c r="HY12" s="170"/>
      <c r="HZ12" s="170"/>
      <c r="IA12" s="170"/>
      <c r="IB12" s="170"/>
      <c r="IC12" s="170"/>
      <c r="ID12" s="170"/>
      <c r="IE12" s="170"/>
      <c r="IF12" s="170"/>
      <c r="IG12" s="170"/>
      <c r="IH12" s="170"/>
      <c r="II12" s="170"/>
      <c r="IJ12" s="170"/>
      <c r="IK12" s="170"/>
      <c r="IL12" s="170"/>
      <c r="IP12" s="170"/>
      <c r="IQ12" s="170"/>
      <c r="IR12" s="170"/>
      <c r="IS12" s="170"/>
      <c r="IT12" s="170"/>
      <c r="IU12" s="170"/>
      <c r="IV12" s="170"/>
      <c r="IW12" s="170"/>
      <c r="IX12" s="170"/>
      <c r="IY12" s="170"/>
      <c r="IZ12" s="170"/>
      <c r="JA12" s="170"/>
      <c r="JB12" s="170"/>
      <c r="JC12" s="170"/>
      <c r="JD12" s="170"/>
      <c r="JE12" s="170"/>
      <c r="JF12" s="170"/>
      <c r="JG12" s="170"/>
      <c r="JH12" s="170"/>
      <c r="JI12" s="170"/>
      <c r="JJ12" s="170"/>
      <c r="JK12" s="170"/>
      <c r="JL12" s="170"/>
      <c r="JM12" s="170"/>
      <c r="JQ12" s="170"/>
      <c r="JR12" s="170"/>
      <c r="JS12" s="170"/>
      <c r="JT12" s="170"/>
      <c r="JU12" s="170"/>
      <c r="JV12" s="170"/>
      <c r="JW12" s="170"/>
      <c r="JX12" s="170"/>
      <c r="JY12" s="170"/>
      <c r="JZ12" s="170"/>
      <c r="KA12" s="170"/>
      <c r="KB12" s="170"/>
      <c r="KC12" s="170"/>
      <c r="KD12" s="170"/>
      <c r="KE12" s="170"/>
      <c r="KF12" s="170"/>
      <c r="KG12" s="170"/>
      <c r="KH12" s="170"/>
      <c r="KI12" s="170"/>
      <c r="KJ12" s="170"/>
      <c r="KK12" s="170"/>
      <c r="KL12" s="170"/>
      <c r="KM12" s="170"/>
      <c r="KN12" s="170"/>
    </row>
  </sheetData>
  <autoFilter ref="A3:KN201"/>
  <mergeCells count="124">
    <mergeCell ref="HL2:HN2"/>
    <mergeCell ref="DE2:DG2"/>
    <mergeCell ref="BL2:BN2"/>
    <mergeCell ref="BO2:BQ2"/>
    <mergeCell ref="BR2:BT2"/>
    <mergeCell ref="DH2:DJ2"/>
    <mergeCell ref="Y2:AA2"/>
    <mergeCell ref="AZ2:BB2"/>
    <mergeCell ref="CA2:CC2"/>
    <mergeCell ref="HF2:HH2"/>
    <mergeCell ref="AB2:AD2"/>
    <mergeCell ref="AE2:AG2"/>
    <mergeCell ref="AH2:AJ2"/>
    <mergeCell ref="AK2:AM2"/>
    <mergeCell ref="CJ2:CL2"/>
    <mergeCell ref="CM2:CO2"/>
    <mergeCell ref="CP2:CR2"/>
    <mergeCell ref="CS2:CU2"/>
    <mergeCell ref="CV2:CX2"/>
    <mergeCell ref="AW2:AY2"/>
    <mergeCell ref="BX2:BZ2"/>
    <mergeCell ref="GE2:GG2"/>
    <mergeCell ref="A4:A11"/>
    <mergeCell ref="EI1:FI1"/>
    <mergeCell ref="FJ1:GJ1"/>
    <mergeCell ref="GK1:HK1"/>
    <mergeCell ref="FV2:FX2"/>
    <mergeCell ref="FY2:GA2"/>
    <mergeCell ref="GH2:GJ2"/>
    <mergeCell ref="GK2:GM2"/>
    <mergeCell ref="GN2:GP2"/>
    <mergeCell ref="GQ2:GS2"/>
    <mergeCell ref="HC2:HE2"/>
    <mergeCell ref="EX2:EZ2"/>
    <mergeCell ref="FG2:FI2"/>
    <mergeCell ref="ER2:ET2"/>
    <mergeCell ref="EU2:EW2"/>
    <mergeCell ref="GT2:GV2"/>
    <mergeCell ref="GW2:GY2"/>
    <mergeCell ref="GZ2:HB2"/>
    <mergeCell ref="FP2:FR2"/>
    <mergeCell ref="FS2:FU2"/>
    <mergeCell ref="FA2:FC2"/>
    <mergeCell ref="GB2:GD2"/>
    <mergeCell ref="HI2:HK2"/>
    <mergeCell ref="FD2:FF2"/>
    <mergeCell ref="HL1:IL1"/>
    <mergeCell ref="IM1:JM1"/>
    <mergeCell ref="JN1:KN1"/>
    <mergeCell ref="A1:C3"/>
    <mergeCell ref="D1:AD1"/>
    <mergeCell ref="AE1:BE1"/>
    <mergeCell ref="BF1:CF1"/>
    <mergeCell ref="CG1:DG1"/>
    <mergeCell ref="DH1:EH1"/>
    <mergeCell ref="D2:F2"/>
    <mergeCell ref="G2:I2"/>
    <mergeCell ref="J2:L2"/>
    <mergeCell ref="M2:O2"/>
    <mergeCell ref="AN2:AP2"/>
    <mergeCell ref="AQ2:AS2"/>
    <mergeCell ref="AT2:AV2"/>
    <mergeCell ref="BC2:BE2"/>
    <mergeCell ref="BF2:BH2"/>
    <mergeCell ref="BI2:BK2"/>
    <mergeCell ref="P2:R2"/>
    <mergeCell ref="S2:U2"/>
    <mergeCell ref="V2:X2"/>
    <mergeCell ref="KL2:KN2"/>
    <mergeCell ref="JH2:JJ2"/>
    <mergeCell ref="LS2:LU2"/>
    <mergeCell ref="KO1:LU1"/>
    <mergeCell ref="KO2:KQ2"/>
    <mergeCell ref="KR2:KT2"/>
    <mergeCell ref="KU2:KW2"/>
    <mergeCell ref="KX2:KZ2"/>
    <mergeCell ref="LA2:LC2"/>
    <mergeCell ref="LD2:LF2"/>
    <mergeCell ref="LG2:LI2"/>
    <mergeCell ref="LJ2:LL2"/>
    <mergeCell ref="LM2:LO2"/>
    <mergeCell ref="LP2:LR2"/>
    <mergeCell ref="KI2:KK2"/>
    <mergeCell ref="JE2:JG2"/>
    <mergeCell ref="KF2:KH2"/>
    <mergeCell ref="HR2:HT2"/>
    <mergeCell ref="HU2:HW2"/>
    <mergeCell ref="HX2:HZ2"/>
    <mergeCell ref="IA2:IC2"/>
    <mergeCell ref="IJ2:IL2"/>
    <mergeCell ref="IM2:IO2"/>
    <mergeCell ref="JZ2:KB2"/>
    <mergeCell ref="KC2:KE2"/>
    <mergeCell ref="IP2:IR2"/>
    <mergeCell ref="IS2:IU2"/>
    <mergeCell ref="IV2:IX2"/>
    <mergeCell ref="IY2:JA2"/>
    <mergeCell ref="JB2:JD2"/>
    <mergeCell ref="JK2:JM2"/>
    <mergeCell ref="ID2:IF2"/>
    <mergeCell ref="HO2:HQ2"/>
    <mergeCell ref="JN2:JP2"/>
    <mergeCell ref="JQ2:JS2"/>
    <mergeCell ref="IG2:II2"/>
    <mergeCell ref="FJ2:FL2"/>
    <mergeCell ref="FM2:FO2"/>
    <mergeCell ref="JT2:JV2"/>
    <mergeCell ref="JW2:JY2"/>
    <mergeCell ref="BU2:BW2"/>
    <mergeCell ref="CD2:CF2"/>
    <mergeCell ref="CG2:CI2"/>
    <mergeCell ref="EF2:EH2"/>
    <mergeCell ref="EI2:EK2"/>
    <mergeCell ref="EL2:EN2"/>
    <mergeCell ref="EO2:EQ2"/>
    <mergeCell ref="CY2:DA2"/>
    <mergeCell ref="DZ2:EB2"/>
    <mergeCell ref="DK2:DM2"/>
    <mergeCell ref="DN2:DP2"/>
    <mergeCell ref="DQ2:DS2"/>
    <mergeCell ref="DT2:DV2"/>
    <mergeCell ref="DW2:DY2"/>
    <mergeCell ref="DB2:DD2"/>
    <mergeCell ref="EC2:EE2"/>
  </mergeCells>
  <pageMargins left="0.75" right="0.75" top="1" bottom="1" header="0.5" footer="0.5"/>
  <pageSetup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3"/>
  <dimension ref="A1:RO11"/>
  <sheetViews>
    <sheetView zoomScaleNormal="100" workbookViewId="0">
      <pane xSplit="3" ySplit="3" topLeftCell="D4" activePane="bottomRight" state="frozen"/>
      <selection activeCell="B219" sqref="B219"/>
      <selection pane="topRight" activeCell="B219" sqref="B219"/>
      <selection pane="bottomLeft" activeCell="B219" sqref="B219"/>
      <selection pane="bottomRight" activeCell="B219" sqref="B219"/>
    </sheetView>
  </sheetViews>
  <sheetFormatPr defaultColWidth="9.140625" defaultRowHeight="12.75" x14ac:dyDescent="0.2"/>
  <cols>
    <col min="1" max="1" width="38.140625" style="187" bestFit="1" customWidth="1"/>
    <col min="2" max="2" width="38.140625" style="187" hidden="1" customWidth="1"/>
    <col min="3" max="3" width="35.85546875" style="187" customWidth="1"/>
    <col min="4" max="437" width="6.7109375" style="187" customWidth="1"/>
    <col min="438" max="438" width="6.7109375" style="440" customWidth="1"/>
    <col min="439" max="440" width="6.7109375" style="187" customWidth="1"/>
    <col min="441" max="441" width="6.7109375" style="440" customWidth="1"/>
    <col min="442" max="443" width="6.7109375" style="187" customWidth="1"/>
    <col min="444" max="444" width="6.7109375" style="440" customWidth="1"/>
    <col min="445" max="446" width="6.7109375" style="187" customWidth="1"/>
    <col min="447" max="447" width="6.7109375" style="440" customWidth="1"/>
    <col min="448" max="449" width="6.7109375" style="187" customWidth="1"/>
    <col min="450" max="450" width="6.7109375" style="440" customWidth="1"/>
    <col min="451" max="452" width="6.7109375" style="187" customWidth="1"/>
    <col min="453" max="453" width="6.7109375" style="440" customWidth="1"/>
    <col min="454" max="455" width="6.7109375" style="187" customWidth="1"/>
    <col min="456" max="456" width="6.7109375" style="440" customWidth="1"/>
    <col min="457" max="458" width="6.7109375" style="187" customWidth="1"/>
    <col min="459" max="459" width="6.7109375" style="440" customWidth="1"/>
    <col min="460" max="461" width="6.7109375" style="187" customWidth="1"/>
    <col min="462" max="462" width="6.7109375" style="440" customWidth="1"/>
    <col min="463" max="464" width="6.7109375" style="187" customWidth="1"/>
    <col min="465" max="465" width="6.7109375" style="440" customWidth="1"/>
    <col min="466" max="467" width="6.7109375" style="187" customWidth="1"/>
    <col min="468" max="468" width="6.7109375" style="440" customWidth="1"/>
    <col min="469" max="470" width="6.7109375" style="187" customWidth="1"/>
    <col min="471" max="471" width="6.7109375" style="440" customWidth="1"/>
    <col min="472" max="473" width="6.7109375" style="187" customWidth="1"/>
    <col min="474" max="474" width="6.7109375" style="440" customWidth="1"/>
    <col min="475" max="476" width="6.7109375" style="187" customWidth="1"/>
    <col min="477" max="477" width="6.7109375" style="440" customWidth="1"/>
    <col min="478" max="479" width="6.7109375" style="187" customWidth="1"/>
    <col min="480" max="480" width="6.7109375" style="440" customWidth="1"/>
    <col min="481" max="482" width="6.7109375" style="187" customWidth="1"/>
    <col min="483" max="483" width="6.7109375" style="440" customWidth="1"/>
    <col min="484" max="16384" width="9.140625" style="187"/>
  </cols>
  <sheetData>
    <row r="1" spans="1:483" ht="37.5" customHeight="1" thickBot="1" x14ac:dyDescent="0.25">
      <c r="A1" s="991" t="s">
        <v>1175</v>
      </c>
      <c r="B1" s="992"/>
      <c r="C1" s="993"/>
      <c r="D1" s="958" t="s">
        <v>622</v>
      </c>
      <c r="E1" s="958"/>
      <c r="F1" s="958"/>
      <c r="G1" s="958"/>
      <c r="H1" s="958"/>
      <c r="I1" s="958"/>
      <c r="J1" s="958"/>
      <c r="K1" s="958"/>
      <c r="L1" s="958"/>
      <c r="M1" s="958"/>
      <c r="N1" s="958"/>
      <c r="O1" s="958"/>
      <c r="P1" s="958"/>
      <c r="Q1" s="958"/>
      <c r="R1" s="958"/>
      <c r="S1" s="958"/>
      <c r="T1" s="958"/>
      <c r="U1" s="958"/>
      <c r="V1" s="958"/>
      <c r="W1" s="958"/>
      <c r="X1" s="958"/>
      <c r="Y1" s="958"/>
      <c r="Z1" s="958"/>
      <c r="AA1" s="958"/>
      <c r="AB1" s="958"/>
      <c r="AC1" s="958"/>
      <c r="AD1" s="959"/>
      <c r="AE1" s="983" t="s">
        <v>15</v>
      </c>
      <c r="AF1" s="983"/>
      <c r="AG1" s="983"/>
      <c r="AH1" s="983"/>
      <c r="AI1" s="983"/>
      <c r="AJ1" s="983"/>
      <c r="AK1" s="983"/>
      <c r="AL1" s="983"/>
      <c r="AM1" s="983"/>
      <c r="AN1" s="983"/>
      <c r="AO1" s="983"/>
      <c r="AP1" s="983"/>
      <c r="AQ1" s="983"/>
      <c r="AR1" s="983"/>
      <c r="AS1" s="983"/>
      <c r="AT1" s="983"/>
      <c r="AU1" s="983"/>
      <c r="AV1" s="983"/>
      <c r="AW1" s="983"/>
      <c r="AX1" s="983"/>
      <c r="AY1" s="983"/>
      <c r="AZ1" s="983"/>
      <c r="BA1" s="983"/>
      <c r="BB1" s="983"/>
      <c r="BC1" s="983"/>
      <c r="BD1" s="983"/>
      <c r="BE1" s="984"/>
      <c r="BF1" s="983" t="s">
        <v>16</v>
      </c>
      <c r="BG1" s="983"/>
      <c r="BH1" s="983"/>
      <c r="BI1" s="983"/>
      <c r="BJ1" s="983"/>
      <c r="BK1" s="983"/>
      <c r="BL1" s="983"/>
      <c r="BM1" s="983"/>
      <c r="BN1" s="983"/>
      <c r="BO1" s="983"/>
      <c r="BP1" s="983"/>
      <c r="BQ1" s="983"/>
      <c r="BR1" s="983"/>
      <c r="BS1" s="983"/>
      <c r="BT1" s="983"/>
      <c r="BU1" s="983"/>
      <c r="BV1" s="983"/>
      <c r="BW1" s="983"/>
      <c r="BX1" s="983"/>
      <c r="BY1" s="983"/>
      <c r="BZ1" s="983"/>
      <c r="CA1" s="983"/>
      <c r="CB1" s="983"/>
      <c r="CC1" s="983"/>
      <c r="CD1" s="983"/>
      <c r="CE1" s="983"/>
      <c r="CF1" s="984"/>
      <c r="CG1" s="983" t="s">
        <v>568</v>
      </c>
      <c r="CH1" s="983"/>
      <c r="CI1" s="983"/>
      <c r="CJ1" s="983"/>
      <c r="CK1" s="983"/>
      <c r="CL1" s="983"/>
      <c r="CM1" s="983"/>
      <c r="CN1" s="983"/>
      <c r="CO1" s="983"/>
      <c r="CP1" s="983"/>
      <c r="CQ1" s="983"/>
      <c r="CR1" s="983"/>
      <c r="CS1" s="983"/>
      <c r="CT1" s="983"/>
      <c r="CU1" s="983"/>
      <c r="CV1" s="983"/>
      <c r="CW1" s="983"/>
      <c r="CX1" s="983"/>
      <c r="CY1" s="983"/>
      <c r="CZ1" s="983"/>
      <c r="DA1" s="983"/>
      <c r="DB1" s="983"/>
      <c r="DC1" s="983"/>
      <c r="DD1" s="983"/>
      <c r="DE1" s="983"/>
      <c r="DF1" s="983"/>
      <c r="DG1" s="984"/>
      <c r="DH1" s="958" t="s">
        <v>17</v>
      </c>
      <c r="DI1" s="958"/>
      <c r="DJ1" s="958"/>
      <c r="DK1" s="958"/>
      <c r="DL1" s="958"/>
      <c r="DM1" s="958"/>
      <c r="DN1" s="958"/>
      <c r="DO1" s="958"/>
      <c r="DP1" s="958"/>
      <c r="DQ1" s="958"/>
      <c r="DR1" s="958"/>
      <c r="DS1" s="958"/>
      <c r="DT1" s="958"/>
      <c r="DU1" s="958"/>
      <c r="DV1" s="958"/>
      <c r="DW1" s="958"/>
      <c r="DX1" s="958"/>
      <c r="DY1" s="958"/>
      <c r="DZ1" s="958"/>
      <c r="EA1" s="958"/>
      <c r="EB1" s="958"/>
      <c r="EC1" s="958"/>
      <c r="ED1" s="958"/>
      <c r="EE1" s="958"/>
      <c r="EF1" s="958"/>
      <c r="EG1" s="958"/>
      <c r="EH1" s="959"/>
      <c r="EI1" s="958" t="s">
        <v>18</v>
      </c>
      <c r="EJ1" s="958"/>
      <c r="EK1" s="958"/>
      <c r="EL1" s="958"/>
      <c r="EM1" s="958"/>
      <c r="EN1" s="958"/>
      <c r="EO1" s="958"/>
      <c r="EP1" s="958"/>
      <c r="EQ1" s="958"/>
      <c r="ER1" s="958"/>
      <c r="ES1" s="958"/>
      <c r="ET1" s="958"/>
      <c r="EU1" s="958"/>
      <c r="EV1" s="958"/>
      <c r="EW1" s="958"/>
      <c r="EX1" s="958"/>
      <c r="EY1" s="958"/>
      <c r="EZ1" s="958"/>
      <c r="FA1" s="958"/>
      <c r="FB1" s="958"/>
      <c r="FC1" s="958"/>
      <c r="FD1" s="958"/>
      <c r="FE1" s="958"/>
      <c r="FF1" s="958"/>
      <c r="FG1" s="958"/>
      <c r="FH1" s="958"/>
      <c r="FI1" s="959"/>
      <c r="FJ1" s="958" t="s">
        <v>19</v>
      </c>
      <c r="FK1" s="958"/>
      <c r="FL1" s="958"/>
      <c r="FM1" s="958"/>
      <c r="FN1" s="958"/>
      <c r="FO1" s="958"/>
      <c r="FP1" s="958"/>
      <c r="FQ1" s="958"/>
      <c r="FR1" s="958"/>
      <c r="FS1" s="958"/>
      <c r="FT1" s="958"/>
      <c r="FU1" s="958"/>
      <c r="FV1" s="958"/>
      <c r="FW1" s="958"/>
      <c r="FX1" s="958"/>
      <c r="FY1" s="958"/>
      <c r="FZ1" s="958"/>
      <c r="GA1" s="958"/>
      <c r="GB1" s="958"/>
      <c r="GC1" s="958"/>
      <c r="GD1" s="958"/>
      <c r="GE1" s="958"/>
      <c r="GF1" s="958"/>
      <c r="GG1" s="958"/>
      <c r="GH1" s="958"/>
      <c r="GI1" s="958"/>
      <c r="GJ1" s="959"/>
      <c r="GK1" s="958" t="s">
        <v>20</v>
      </c>
      <c r="GL1" s="958"/>
      <c r="GM1" s="958"/>
      <c r="GN1" s="958"/>
      <c r="GO1" s="958"/>
      <c r="GP1" s="958"/>
      <c r="GQ1" s="958"/>
      <c r="GR1" s="958"/>
      <c r="GS1" s="958"/>
      <c r="GT1" s="958"/>
      <c r="GU1" s="958"/>
      <c r="GV1" s="958"/>
      <c r="GW1" s="958"/>
      <c r="GX1" s="958"/>
      <c r="GY1" s="958"/>
      <c r="GZ1" s="958"/>
      <c r="HA1" s="958"/>
      <c r="HB1" s="958"/>
      <c r="HC1" s="958"/>
      <c r="HD1" s="958"/>
      <c r="HE1" s="958"/>
      <c r="HF1" s="958"/>
      <c r="HG1" s="958"/>
      <c r="HH1" s="958"/>
      <c r="HI1" s="958"/>
      <c r="HJ1" s="958"/>
      <c r="HK1" s="959"/>
      <c r="HL1" s="958" t="s">
        <v>21</v>
      </c>
      <c r="HM1" s="958"/>
      <c r="HN1" s="958"/>
      <c r="HO1" s="958"/>
      <c r="HP1" s="958"/>
      <c r="HQ1" s="958"/>
      <c r="HR1" s="958"/>
      <c r="HS1" s="958"/>
      <c r="HT1" s="958"/>
      <c r="HU1" s="958"/>
      <c r="HV1" s="958"/>
      <c r="HW1" s="958"/>
      <c r="HX1" s="958"/>
      <c r="HY1" s="958"/>
      <c r="HZ1" s="958"/>
      <c r="IA1" s="958"/>
      <c r="IB1" s="958"/>
      <c r="IC1" s="958"/>
      <c r="ID1" s="958"/>
      <c r="IE1" s="958"/>
      <c r="IF1" s="958"/>
      <c r="IG1" s="958"/>
      <c r="IH1" s="958"/>
      <c r="II1" s="958"/>
      <c r="IJ1" s="958"/>
      <c r="IK1" s="958"/>
      <c r="IL1" s="959"/>
      <c r="IM1" s="958" t="s">
        <v>22</v>
      </c>
      <c r="IN1" s="958"/>
      <c r="IO1" s="958"/>
      <c r="IP1" s="958"/>
      <c r="IQ1" s="958"/>
      <c r="IR1" s="958"/>
      <c r="IS1" s="958"/>
      <c r="IT1" s="958"/>
      <c r="IU1" s="958"/>
      <c r="IV1" s="958"/>
      <c r="IW1" s="958"/>
      <c r="IX1" s="958"/>
      <c r="IY1" s="958"/>
      <c r="IZ1" s="958"/>
      <c r="JA1" s="958"/>
      <c r="JB1" s="958"/>
      <c r="JC1" s="958"/>
      <c r="JD1" s="958"/>
      <c r="JE1" s="958"/>
      <c r="JF1" s="958"/>
      <c r="JG1" s="958"/>
      <c r="JH1" s="958"/>
      <c r="JI1" s="958"/>
      <c r="JJ1" s="958"/>
      <c r="JK1" s="958"/>
      <c r="JL1" s="958"/>
      <c r="JM1" s="959"/>
      <c r="JN1" s="958" t="s">
        <v>23</v>
      </c>
      <c r="JO1" s="958"/>
      <c r="JP1" s="958"/>
      <c r="JQ1" s="958"/>
      <c r="JR1" s="958"/>
      <c r="JS1" s="958"/>
      <c r="JT1" s="958"/>
      <c r="JU1" s="958"/>
      <c r="JV1" s="958"/>
      <c r="JW1" s="958"/>
      <c r="JX1" s="958"/>
      <c r="JY1" s="958"/>
      <c r="JZ1" s="958"/>
      <c r="KA1" s="958"/>
      <c r="KB1" s="958"/>
      <c r="KC1" s="958"/>
      <c r="KD1" s="958"/>
      <c r="KE1" s="958"/>
      <c r="KF1" s="958"/>
      <c r="KG1" s="958"/>
      <c r="KH1" s="958"/>
      <c r="KI1" s="958"/>
      <c r="KJ1" s="958"/>
      <c r="KK1" s="958"/>
      <c r="KL1" s="958"/>
      <c r="KM1" s="958"/>
      <c r="KN1" s="959"/>
      <c r="KO1" s="958" t="s">
        <v>570</v>
      </c>
      <c r="KP1" s="958"/>
      <c r="KQ1" s="958"/>
      <c r="KR1" s="958"/>
      <c r="KS1" s="958"/>
      <c r="KT1" s="958"/>
      <c r="KU1" s="958"/>
      <c r="KV1" s="958"/>
      <c r="KW1" s="958"/>
      <c r="KX1" s="958"/>
      <c r="KY1" s="958"/>
      <c r="KZ1" s="958"/>
      <c r="LA1" s="958"/>
      <c r="LB1" s="958"/>
      <c r="LC1" s="958"/>
      <c r="LD1" s="958"/>
      <c r="LE1" s="958"/>
      <c r="LF1" s="958"/>
      <c r="LG1" s="958"/>
      <c r="LH1" s="958"/>
      <c r="LI1" s="958"/>
      <c r="LJ1" s="958"/>
      <c r="LK1" s="958"/>
      <c r="LL1" s="958"/>
      <c r="LM1" s="958"/>
      <c r="LN1" s="958"/>
      <c r="LO1" s="959"/>
      <c r="LP1" s="958" t="s">
        <v>25</v>
      </c>
      <c r="LQ1" s="958"/>
      <c r="LR1" s="958"/>
      <c r="LS1" s="958"/>
      <c r="LT1" s="958"/>
      <c r="LU1" s="958"/>
      <c r="LV1" s="958"/>
      <c r="LW1" s="958"/>
      <c r="LX1" s="958"/>
      <c r="LY1" s="958"/>
      <c r="LZ1" s="958"/>
      <c r="MA1" s="958"/>
      <c r="MB1" s="958"/>
      <c r="MC1" s="958"/>
      <c r="MD1" s="958"/>
      <c r="ME1" s="958"/>
      <c r="MF1" s="958"/>
      <c r="MG1" s="958"/>
      <c r="MH1" s="958"/>
      <c r="MI1" s="958"/>
      <c r="MJ1" s="958"/>
      <c r="MK1" s="958"/>
      <c r="ML1" s="958"/>
      <c r="MM1" s="958"/>
      <c r="MN1" s="958"/>
      <c r="MO1" s="958"/>
      <c r="MP1" s="959"/>
      <c r="MQ1" s="958" t="s">
        <v>26</v>
      </c>
      <c r="MR1" s="958"/>
      <c r="MS1" s="958"/>
      <c r="MT1" s="958"/>
      <c r="MU1" s="958"/>
      <c r="MV1" s="958"/>
      <c r="MW1" s="958"/>
      <c r="MX1" s="958"/>
      <c r="MY1" s="958"/>
      <c r="MZ1" s="958"/>
      <c r="NA1" s="958"/>
      <c r="NB1" s="958"/>
      <c r="NC1" s="958"/>
      <c r="ND1" s="958"/>
      <c r="NE1" s="958"/>
      <c r="NF1" s="958"/>
      <c r="NG1" s="958"/>
      <c r="NH1" s="958"/>
      <c r="NI1" s="958"/>
      <c r="NJ1" s="958"/>
      <c r="NK1" s="958"/>
      <c r="NL1" s="958"/>
      <c r="NM1" s="958"/>
      <c r="NN1" s="958"/>
      <c r="NO1" s="958"/>
      <c r="NP1" s="958"/>
      <c r="NQ1" s="959"/>
      <c r="NR1" s="958" t="s">
        <v>571</v>
      </c>
      <c r="NS1" s="958"/>
      <c r="NT1" s="958"/>
      <c r="NU1" s="958"/>
      <c r="NV1" s="958"/>
      <c r="NW1" s="958"/>
      <c r="NX1" s="958"/>
      <c r="NY1" s="958"/>
      <c r="NZ1" s="958"/>
      <c r="OA1" s="958"/>
      <c r="OB1" s="958"/>
      <c r="OC1" s="958"/>
      <c r="OD1" s="958"/>
      <c r="OE1" s="958"/>
      <c r="OF1" s="958"/>
      <c r="OG1" s="958"/>
      <c r="OH1" s="958"/>
      <c r="OI1" s="958"/>
      <c r="OJ1" s="958"/>
      <c r="OK1" s="958"/>
      <c r="OL1" s="958"/>
      <c r="OM1" s="958"/>
      <c r="ON1" s="958"/>
      <c r="OO1" s="958"/>
      <c r="OP1" s="958"/>
      <c r="OQ1" s="958"/>
      <c r="OR1" s="959"/>
      <c r="OS1" s="958" t="s">
        <v>572</v>
      </c>
      <c r="OT1" s="958"/>
      <c r="OU1" s="958"/>
      <c r="OV1" s="958"/>
      <c r="OW1" s="958"/>
      <c r="OX1" s="958"/>
      <c r="OY1" s="958"/>
      <c r="OZ1" s="958"/>
      <c r="PA1" s="958"/>
      <c r="PB1" s="958"/>
      <c r="PC1" s="958"/>
      <c r="PD1" s="958"/>
      <c r="PE1" s="958"/>
      <c r="PF1" s="958"/>
      <c r="PG1" s="958"/>
      <c r="PH1" s="958"/>
      <c r="PI1" s="958"/>
      <c r="PJ1" s="958"/>
      <c r="PK1" s="958"/>
      <c r="PL1" s="958"/>
      <c r="PM1" s="958"/>
      <c r="PN1" s="958"/>
      <c r="PO1" s="958"/>
      <c r="PP1" s="958"/>
      <c r="PQ1" s="958"/>
      <c r="PR1" s="958"/>
      <c r="PS1" s="959"/>
      <c r="PT1" s="988" t="s">
        <v>1158</v>
      </c>
      <c r="PU1" s="989"/>
      <c r="PV1" s="989"/>
      <c r="PW1" s="989"/>
      <c r="PX1" s="989"/>
      <c r="PY1" s="989"/>
      <c r="PZ1" s="989"/>
      <c r="QA1" s="989"/>
      <c r="QB1" s="989"/>
      <c r="QC1" s="989"/>
      <c r="QD1" s="989"/>
      <c r="QE1" s="989"/>
      <c r="QF1" s="989"/>
      <c r="QG1" s="989"/>
      <c r="QH1" s="989"/>
      <c r="QI1" s="989"/>
      <c r="QJ1" s="989"/>
      <c r="QK1" s="989"/>
      <c r="QL1" s="989"/>
      <c r="QM1" s="989"/>
      <c r="QN1" s="989"/>
      <c r="QO1" s="989"/>
      <c r="QP1" s="989"/>
      <c r="QQ1" s="989"/>
      <c r="QR1" s="989"/>
      <c r="QS1" s="989"/>
      <c r="QT1" s="989"/>
      <c r="QU1" s="989"/>
      <c r="QV1" s="989"/>
      <c r="QW1" s="989"/>
      <c r="QX1" s="989"/>
      <c r="QY1" s="989"/>
      <c r="QZ1" s="989"/>
      <c r="RA1" s="989"/>
      <c r="RB1" s="989"/>
      <c r="RC1" s="989"/>
      <c r="RD1" s="989"/>
      <c r="RE1" s="989"/>
      <c r="RF1" s="989"/>
      <c r="RG1" s="989"/>
      <c r="RH1" s="989"/>
      <c r="RI1" s="989"/>
      <c r="RJ1" s="989"/>
      <c r="RK1" s="989"/>
      <c r="RL1" s="989"/>
      <c r="RM1" s="989"/>
      <c r="RN1" s="989"/>
      <c r="RO1" s="990"/>
    </row>
    <row r="2" spans="1:483" ht="42" customHeight="1" thickBot="1" x14ac:dyDescent="0.25">
      <c r="A2" s="994"/>
      <c r="B2" s="995"/>
      <c r="C2" s="996"/>
      <c r="D2" s="968" t="s">
        <v>1197</v>
      </c>
      <c r="E2" s="969"/>
      <c r="F2" s="970"/>
      <c r="G2" s="968" t="s">
        <v>1085</v>
      </c>
      <c r="H2" s="969"/>
      <c r="I2" s="970"/>
      <c r="J2" s="968" t="s">
        <v>1086</v>
      </c>
      <c r="K2" s="969"/>
      <c r="L2" s="969"/>
      <c r="M2" s="968" t="s">
        <v>1087</v>
      </c>
      <c r="N2" s="969"/>
      <c r="O2" s="969"/>
      <c r="P2" s="968" t="s">
        <v>1088</v>
      </c>
      <c r="Q2" s="969"/>
      <c r="R2" s="969"/>
      <c r="S2" s="968" t="s">
        <v>1089</v>
      </c>
      <c r="T2" s="969"/>
      <c r="U2" s="969"/>
      <c r="V2" s="968" t="s">
        <v>1090</v>
      </c>
      <c r="W2" s="969"/>
      <c r="X2" s="969"/>
      <c r="Y2" s="968" t="s">
        <v>1091</v>
      </c>
      <c r="Z2" s="969"/>
      <c r="AA2" s="969"/>
      <c r="AB2" s="968" t="s">
        <v>1154</v>
      </c>
      <c r="AC2" s="969"/>
      <c r="AD2" s="969"/>
      <c r="AE2" s="968" t="s">
        <v>1197</v>
      </c>
      <c r="AF2" s="969"/>
      <c r="AG2" s="970"/>
      <c r="AH2" s="968" t="s">
        <v>1085</v>
      </c>
      <c r="AI2" s="969"/>
      <c r="AJ2" s="970"/>
      <c r="AK2" s="968" t="s">
        <v>1086</v>
      </c>
      <c r="AL2" s="969"/>
      <c r="AM2" s="969"/>
      <c r="AN2" s="968" t="s">
        <v>1087</v>
      </c>
      <c r="AO2" s="969"/>
      <c r="AP2" s="969"/>
      <c r="AQ2" s="968" t="s">
        <v>1088</v>
      </c>
      <c r="AR2" s="969"/>
      <c r="AS2" s="969"/>
      <c r="AT2" s="968" t="s">
        <v>1089</v>
      </c>
      <c r="AU2" s="969"/>
      <c r="AV2" s="969"/>
      <c r="AW2" s="968" t="s">
        <v>1090</v>
      </c>
      <c r="AX2" s="969"/>
      <c r="AY2" s="969"/>
      <c r="AZ2" s="968" t="s">
        <v>1091</v>
      </c>
      <c r="BA2" s="969"/>
      <c r="BB2" s="969"/>
      <c r="BC2" s="968" t="s">
        <v>1154</v>
      </c>
      <c r="BD2" s="969"/>
      <c r="BE2" s="969"/>
      <c r="BF2" s="968" t="s">
        <v>1197</v>
      </c>
      <c r="BG2" s="969"/>
      <c r="BH2" s="970"/>
      <c r="BI2" s="968" t="s">
        <v>1085</v>
      </c>
      <c r="BJ2" s="969"/>
      <c r="BK2" s="970"/>
      <c r="BL2" s="968" t="s">
        <v>1086</v>
      </c>
      <c r="BM2" s="969"/>
      <c r="BN2" s="969"/>
      <c r="BO2" s="968" t="s">
        <v>1087</v>
      </c>
      <c r="BP2" s="969"/>
      <c r="BQ2" s="969"/>
      <c r="BR2" s="968" t="s">
        <v>1088</v>
      </c>
      <c r="BS2" s="969"/>
      <c r="BT2" s="969"/>
      <c r="BU2" s="968" t="s">
        <v>1089</v>
      </c>
      <c r="BV2" s="969"/>
      <c r="BW2" s="969"/>
      <c r="BX2" s="968" t="s">
        <v>1090</v>
      </c>
      <c r="BY2" s="969"/>
      <c r="BZ2" s="969"/>
      <c r="CA2" s="968" t="s">
        <v>1091</v>
      </c>
      <c r="CB2" s="969"/>
      <c r="CC2" s="969"/>
      <c r="CD2" s="968" t="s">
        <v>1154</v>
      </c>
      <c r="CE2" s="969"/>
      <c r="CF2" s="969"/>
      <c r="CG2" s="968" t="s">
        <v>1197</v>
      </c>
      <c r="CH2" s="969"/>
      <c r="CI2" s="970"/>
      <c r="CJ2" s="968" t="s">
        <v>1085</v>
      </c>
      <c r="CK2" s="969"/>
      <c r="CL2" s="970"/>
      <c r="CM2" s="968" t="s">
        <v>1086</v>
      </c>
      <c r="CN2" s="969"/>
      <c r="CO2" s="969"/>
      <c r="CP2" s="968" t="s">
        <v>1087</v>
      </c>
      <c r="CQ2" s="969"/>
      <c r="CR2" s="969"/>
      <c r="CS2" s="968" t="s">
        <v>1088</v>
      </c>
      <c r="CT2" s="969"/>
      <c r="CU2" s="969"/>
      <c r="CV2" s="968" t="s">
        <v>1089</v>
      </c>
      <c r="CW2" s="969"/>
      <c r="CX2" s="969"/>
      <c r="CY2" s="968" t="s">
        <v>1090</v>
      </c>
      <c r="CZ2" s="969"/>
      <c r="DA2" s="969"/>
      <c r="DB2" s="968" t="s">
        <v>1091</v>
      </c>
      <c r="DC2" s="969"/>
      <c r="DD2" s="969"/>
      <c r="DE2" s="968" t="s">
        <v>1154</v>
      </c>
      <c r="DF2" s="969"/>
      <c r="DG2" s="969"/>
      <c r="DH2" s="968" t="s">
        <v>1197</v>
      </c>
      <c r="DI2" s="969"/>
      <c r="DJ2" s="970"/>
      <c r="DK2" s="968" t="s">
        <v>1085</v>
      </c>
      <c r="DL2" s="969"/>
      <c r="DM2" s="970"/>
      <c r="DN2" s="968" t="s">
        <v>1086</v>
      </c>
      <c r="DO2" s="969"/>
      <c r="DP2" s="969"/>
      <c r="DQ2" s="968" t="s">
        <v>1087</v>
      </c>
      <c r="DR2" s="969"/>
      <c r="DS2" s="969"/>
      <c r="DT2" s="968" t="s">
        <v>1088</v>
      </c>
      <c r="DU2" s="969"/>
      <c r="DV2" s="969"/>
      <c r="DW2" s="968" t="s">
        <v>1089</v>
      </c>
      <c r="DX2" s="969"/>
      <c r="DY2" s="969"/>
      <c r="DZ2" s="968" t="s">
        <v>1090</v>
      </c>
      <c r="EA2" s="969"/>
      <c r="EB2" s="969"/>
      <c r="EC2" s="968" t="s">
        <v>1091</v>
      </c>
      <c r="ED2" s="969"/>
      <c r="EE2" s="969"/>
      <c r="EF2" s="968" t="s">
        <v>1154</v>
      </c>
      <c r="EG2" s="969"/>
      <c r="EH2" s="969"/>
      <c r="EI2" s="968" t="s">
        <v>1197</v>
      </c>
      <c r="EJ2" s="969"/>
      <c r="EK2" s="970"/>
      <c r="EL2" s="968" t="s">
        <v>1085</v>
      </c>
      <c r="EM2" s="969"/>
      <c r="EN2" s="970"/>
      <c r="EO2" s="968" t="s">
        <v>1086</v>
      </c>
      <c r="EP2" s="969"/>
      <c r="EQ2" s="969"/>
      <c r="ER2" s="968" t="s">
        <v>1087</v>
      </c>
      <c r="ES2" s="969"/>
      <c r="ET2" s="969"/>
      <c r="EU2" s="968" t="s">
        <v>1088</v>
      </c>
      <c r="EV2" s="969"/>
      <c r="EW2" s="969"/>
      <c r="EX2" s="968" t="s">
        <v>1089</v>
      </c>
      <c r="EY2" s="969"/>
      <c r="EZ2" s="969"/>
      <c r="FA2" s="968" t="s">
        <v>1090</v>
      </c>
      <c r="FB2" s="969"/>
      <c r="FC2" s="969"/>
      <c r="FD2" s="968" t="s">
        <v>1091</v>
      </c>
      <c r="FE2" s="969"/>
      <c r="FF2" s="969"/>
      <c r="FG2" s="968" t="s">
        <v>1154</v>
      </c>
      <c r="FH2" s="969"/>
      <c r="FI2" s="969"/>
      <c r="FJ2" s="968" t="s">
        <v>1197</v>
      </c>
      <c r="FK2" s="969"/>
      <c r="FL2" s="970"/>
      <c r="FM2" s="968" t="s">
        <v>1085</v>
      </c>
      <c r="FN2" s="969"/>
      <c r="FO2" s="970"/>
      <c r="FP2" s="968" t="s">
        <v>1086</v>
      </c>
      <c r="FQ2" s="969"/>
      <c r="FR2" s="969"/>
      <c r="FS2" s="968" t="s">
        <v>1087</v>
      </c>
      <c r="FT2" s="969"/>
      <c r="FU2" s="969"/>
      <c r="FV2" s="968" t="s">
        <v>1088</v>
      </c>
      <c r="FW2" s="969"/>
      <c r="FX2" s="969"/>
      <c r="FY2" s="968" t="s">
        <v>1089</v>
      </c>
      <c r="FZ2" s="969"/>
      <c r="GA2" s="969"/>
      <c r="GB2" s="968" t="s">
        <v>1090</v>
      </c>
      <c r="GC2" s="969"/>
      <c r="GD2" s="969"/>
      <c r="GE2" s="968" t="s">
        <v>1091</v>
      </c>
      <c r="GF2" s="969"/>
      <c r="GG2" s="969"/>
      <c r="GH2" s="968" t="s">
        <v>1154</v>
      </c>
      <c r="GI2" s="969"/>
      <c r="GJ2" s="969"/>
      <c r="GK2" s="968" t="s">
        <v>1197</v>
      </c>
      <c r="GL2" s="969"/>
      <c r="GM2" s="970"/>
      <c r="GN2" s="968" t="s">
        <v>1085</v>
      </c>
      <c r="GO2" s="969"/>
      <c r="GP2" s="970"/>
      <c r="GQ2" s="968" t="s">
        <v>1086</v>
      </c>
      <c r="GR2" s="969"/>
      <c r="GS2" s="969"/>
      <c r="GT2" s="968" t="s">
        <v>1087</v>
      </c>
      <c r="GU2" s="969"/>
      <c r="GV2" s="969"/>
      <c r="GW2" s="968" t="s">
        <v>1088</v>
      </c>
      <c r="GX2" s="969"/>
      <c r="GY2" s="969"/>
      <c r="GZ2" s="968" t="s">
        <v>1089</v>
      </c>
      <c r="HA2" s="969"/>
      <c r="HB2" s="969"/>
      <c r="HC2" s="968" t="s">
        <v>1090</v>
      </c>
      <c r="HD2" s="969"/>
      <c r="HE2" s="969"/>
      <c r="HF2" s="968" t="s">
        <v>1091</v>
      </c>
      <c r="HG2" s="969"/>
      <c r="HH2" s="969"/>
      <c r="HI2" s="968" t="s">
        <v>1154</v>
      </c>
      <c r="HJ2" s="969"/>
      <c r="HK2" s="969"/>
      <c r="HL2" s="968" t="s">
        <v>1197</v>
      </c>
      <c r="HM2" s="969"/>
      <c r="HN2" s="970"/>
      <c r="HO2" s="968" t="s">
        <v>1085</v>
      </c>
      <c r="HP2" s="969"/>
      <c r="HQ2" s="970"/>
      <c r="HR2" s="968" t="s">
        <v>1086</v>
      </c>
      <c r="HS2" s="969"/>
      <c r="HT2" s="969"/>
      <c r="HU2" s="968" t="s">
        <v>1087</v>
      </c>
      <c r="HV2" s="969"/>
      <c r="HW2" s="969"/>
      <c r="HX2" s="968" t="s">
        <v>1088</v>
      </c>
      <c r="HY2" s="969"/>
      <c r="HZ2" s="969"/>
      <c r="IA2" s="968" t="s">
        <v>1089</v>
      </c>
      <c r="IB2" s="969"/>
      <c r="IC2" s="969"/>
      <c r="ID2" s="968" t="s">
        <v>1090</v>
      </c>
      <c r="IE2" s="969"/>
      <c r="IF2" s="969"/>
      <c r="IG2" s="968" t="s">
        <v>1091</v>
      </c>
      <c r="IH2" s="969"/>
      <c r="II2" s="969"/>
      <c r="IJ2" s="968" t="s">
        <v>1154</v>
      </c>
      <c r="IK2" s="969"/>
      <c r="IL2" s="969"/>
      <c r="IM2" s="968" t="s">
        <v>1197</v>
      </c>
      <c r="IN2" s="969"/>
      <c r="IO2" s="970"/>
      <c r="IP2" s="968" t="s">
        <v>1085</v>
      </c>
      <c r="IQ2" s="969"/>
      <c r="IR2" s="970"/>
      <c r="IS2" s="968" t="s">
        <v>1086</v>
      </c>
      <c r="IT2" s="969"/>
      <c r="IU2" s="969"/>
      <c r="IV2" s="968" t="s">
        <v>1087</v>
      </c>
      <c r="IW2" s="969"/>
      <c r="IX2" s="969"/>
      <c r="IY2" s="968" t="s">
        <v>1088</v>
      </c>
      <c r="IZ2" s="969"/>
      <c r="JA2" s="969"/>
      <c r="JB2" s="968" t="s">
        <v>1089</v>
      </c>
      <c r="JC2" s="969"/>
      <c r="JD2" s="969"/>
      <c r="JE2" s="968" t="s">
        <v>1090</v>
      </c>
      <c r="JF2" s="969"/>
      <c r="JG2" s="969"/>
      <c r="JH2" s="968" t="s">
        <v>1091</v>
      </c>
      <c r="JI2" s="969"/>
      <c r="JJ2" s="969"/>
      <c r="JK2" s="968" t="s">
        <v>1154</v>
      </c>
      <c r="JL2" s="969"/>
      <c r="JM2" s="969"/>
      <c r="JN2" s="968" t="s">
        <v>1197</v>
      </c>
      <c r="JO2" s="969"/>
      <c r="JP2" s="970"/>
      <c r="JQ2" s="968" t="s">
        <v>1085</v>
      </c>
      <c r="JR2" s="969"/>
      <c r="JS2" s="970"/>
      <c r="JT2" s="968" t="s">
        <v>1086</v>
      </c>
      <c r="JU2" s="969"/>
      <c r="JV2" s="969"/>
      <c r="JW2" s="968" t="s">
        <v>1087</v>
      </c>
      <c r="JX2" s="969"/>
      <c r="JY2" s="969"/>
      <c r="JZ2" s="968" t="s">
        <v>1088</v>
      </c>
      <c r="KA2" s="969"/>
      <c r="KB2" s="969"/>
      <c r="KC2" s="968" t="s">
        <v>1089</v>
      </c>
      <c r="KD2" s="969"/>
      <c r="KE2" s="969"/>
      <c r="KF2" s="968" t="s">
        <v>1090</v>
      </c>
      <c r="KG2" s="969"/>
      <c r="KH2" s="969"/>
      <c r="KI2" s="968" t="s">
        <v>1091</v>
      </c>
      <c r="KJ2" s="969"/>
      <c r="KK2" s="969"/>
      <c r="KL2" s="968" t="s">
        <v>1154</v>
      </c>
      <c r="KM2" s="969"/>
      <c r="KN2" s="969"/>
      <c r="KO2" s="968" t="s">
        <v>1197</v>
      </c>
      <c r="KP2" s="969"/>
      <c r="KQ2" s="970"/>
      <c r="KR2" s="968" t="s">
        <v>1085</v>
      </c>
      <c r="KS2" s="969"/>
      <c r="KT2" s="970"/>
      <c r="KU2" s="968" t="s">
        <v>1086</v>
      </c>
      <c r="KV2" s="969"/>
      <c r="KW2" s="969"/>
      <c r="KX2" s="968" t="s">
        <v>1087</v>
      </c>
      <c r="KY2" s="969"/>
      <c r="KZ2" s="969"/>
      <c r="LA2" s="968" t="s">
        <v>1088</v>
      </c>
      <c r="LB2" s="969"/>
      <c r="LC2" s="969"/>
      <c r="LD2" s="968" t="s">
        <v>1089</v>
      </c>
      <c r="LE2" s="969"/>
      <c r="LF2" s="969"/>
      <c r="LG2" s="968" t="s">
        <v>1090</v>
      </c>
      <c r="LH2" s="969"/>
      <c r="LI2" s="969"/>
      <c r="LJ2" s="968" t="s">
        <v>1091</v>
      </c>
      <c r="LK2" s="969"/>
      <c r="LL2" s="969"/>
      <c r="LM2" s="968" t="s">
        <v>1154</v>
      </c>
      <c r="LN2" s="969"/>
      <c r="LO2" s="969"/>
      <c r="LP2" s="968" t="s">
        <v>1197</v>
      </c>
      <c r="LQ2" s="969"/>
      <c r="LR2" s="970"/>
      <c r="LS2" s="968" t="s">
        <v>1085</v>
      </c>
      <c r="LT2" s="969"/>
      <c r="LU2" s="970"/>
      <c r="LV2" s="968" t="s">
        <v>1086</v>
      </c>
      <c r="LW2" s="969"/>
      <c r="LX2" s="969"/>
      <c r="LY2" s="968" t="s">
        <v>1087</v>
      </c>
      <c r="LZ2" s="969"/>
      <c r="MA2" s="969"/>
      <c r="MB2" s="968" t="s">
        <v>1088</v>
      </c>
      <c r="MC2" s="969"/>
      <c r="MD2" s="969"/>
      <c r="ME2" s="968" t="s">
        <v>1089</v>
      </c>
      <c r="MF2" s="969"/>
      <c r="MG2" s="969"/>
      <c r="MH2" s="968" t="s">
        <v>1090</v>
      </c>
      <c r="MI2" s="969"/>
      <c r="MJ2" s="969"/>
      <c r="MK2" s="968" t="s">
        <v>1091</v>
      </c>
      <c r="ML2" s="969"/>
      <c r="MM2" s="969"/>
      <c r="MN2" s="968" t="s">
        <v>1154</v>
      </c>
      <c r="MO2" s="969"/>
      <c r="MP2" s="969"/>
      <c r="MQ2" s="968" t="s">
        <v>1197</v>
      </c>
      <c r="MR2" s="969"/>
      <c r="MS2" s="970"/>
      <c r="MT2" s="968" t="s">
        <v>1085</v>
      </c>
      <c r="MU2" s="969"/>
      <c r="MV2" s="970"/>
      <c r="MW2" s="968" t="s">
        <v>1086</v>
      </c>
      <c r="MX2" s="969"/>
      <c r="MY2" s="969"/>
      <c r="MZ2" s="968" t="s">
        <v>1087</v>
      </c>
      <c r="NA2" s="969"/>
      <c r="NB2" s="969"/>
      <c r="NC2" s="968" t="s">
        <v>1088</v>
      </c>
      <c r="ND2" s="969"/>
      <c r="NE2" s="969"/>
      <c r="NF2" s="968" t="s">
        <v>1089</v>
      </c>
      <c r="NG2" s="969"/>
      <c r="NH2" s="969"/>
      <c r="NI2" s="968" t="s">
        <v>1090</v>
      </c>
      <c r="NJ2" s="969"/>
      <c r="NK2" s="969"/>
      <c r="NL2" s="968" t="s">
        <v>1091</v>
      </c>
      <c r="NM2" s="969"/>
      <c r="NN2" s="969"/>
      <c r="NO2" s="968" t="s">
        <v>1154</v>
      </c>
      <c r="NP2" s="969"/>
      <c r="NQ2" s="969"/>
      <c r="NR2" s="968" t="s">
        <v>1197</v>
      </c>
      <c r="NS2" s="969"/>
      <c r="NT2" s="970"/>
      <c r="NU2" s="968" t="s">
        <v>1085</v>
      </c>
      <c r="NV2" s="969"/>
      <c r="NW2" s="970"/>
      <c r="NX2" s="968" t="s">
        <v>1086</v>
      </c>
      <c r="NY2" s="969"/>
      <c r="NZ2" s="969"/>
      <c r="OA2" s="968" t="s">
        <v>1087</v>
      </c>
      <c r="OB2" s="969"/>
      <c r="OC2" s="969"/>
      <c r="OD2" s="968" t="s">
        <v>1088</v>
      </c>
      <c r="OE2" s="969"/>
      <c r="OF2" s="969"/>
      <c r="OG2" s="968" t="s">
        <v>1089</v>
      </c>
      <c r="OH2" s="969"/>
      <c r="OI2" s="969"/>
      <c r="OJ2" s="968" t="s">
        <v>1090</v>
      </c>
      <c r="OK2" s="969"/>
      <c r="OL2" s="969"/>
      <c r="OM2" s="968" t="s">
        <v>1091</v>
      </c>
      <c r="ON2" s="969"/>
      <c r="OO2" s="969"/>
      <c r="OP2" s="968" t="s">
        <v>1154</v>
      </c>
      <c r="OQ2" s="969"/>
      <c r="OR2" s="969"/>
      <c r="OS2" s="968" t="s">
        <v>1197</v>
      </c>
      <c r="OT2" s="969"/>
      <c r="OU2" s="970"/>
      <c r="OV2" s="968" t="s">
        <v>1085</v>
      </c>
      <c r="OW2" s="969"/>
      <c r="OX2" s="970"/>
      <c r="OY2" s="968" t="s">
        <v>1086</v>
      </c>
      <c r="OZ2" s="969"/>
      <c r="PA2" s="969"/>
      <c r="PB2" s="968" t="s">
        <v>1087</v>
      </c>
      <c r="PC2" s="969"/>
      <c r="PD2" s="969"/>
      <c r="PE2" s="968" t="s">
        <v>1088</v>
      </c>
      <c r="PF2" s="969"/>
      <c r="PG2" s="969"/>
      <c r="PH2" s="968" t="s">
        <v>1089</v>
      </c>
      <c r="PI2" s="969"/>
      <c r="PJ2" s="969"/>
      <c r="PK2" s="968" t="s">
        <v>1090</v>
      </c>
      <c r="PL2" s="969"/>
      <c r="PM2" s="969"/>
      <c r="PN2" s="968" t="s">
        <v>1091</v>
      </c>
      <c r="PO2" s="969"/>
      <c r="PP2" s="969"/>
      <c r="PQ2" s="968" t="s">
        <v>1154</v>
      </c>
      <c r="PR2" s="969"/>
      <c r="PS2" s="969"/>
      <c r="PT2" s="971" t="s">
        <v>622</v>
      </c>
      <c r="PU2" s="972"/>
      <c r="PV2" s="973"/>
      <c r="PW2" s="977" t="s">
        <v>15</v>
      </c>
      <c r="PX2" s="978"/>
      <c r="PY2" s="979"/>
      <c r="PZ2" s="977" t="s">
        <v>801</v>
      </c>
      <c r="QA2" s="978"/>
      <c r="QB2" s="979"/>
      <c r="QC2" s="977" t="s">
        <v>568</v>
      </c>
      <c r="QD2" s="978"/>
      <c r="QE2" s="979"/>
      <c r="QF2" s="971" t="s">
        <v>17</v>
      </c>
      <c r="QG2" s="972"/>
      <c r="QH2" s="973"/>
      <c r="QI2" s="971" t="s">
        <v>18</v>
      </c>
      <c r="QJ2" s="972"/>
      <c r="QK2" s="973"/>
      <c r="QL2" s="971" t="s">
        <v>19</v>
      </c>
      <c r="QM2" s="972"/>
      <c r="QN2" s="973"/>
      <c r="QO2" s="971" t="s">
        <v>20</v>
      </c>
      <c r="QP2" s="972"/>
      <c r="QQ2" s="973"/>
      <c r="QR2" s="971" t="s">
        <v>21</v>
      </c>
      <c r="QS2" s="972"/>
      <c r="QT2" s="973"/>
      <c r="QU2" s="971" t="s">
        <v>22</v>
      </c>
      <c r="QV2" s="972"/>
      <c r="QW2" s="973"/>
      <c r="QX2" s="971" t="s">
        <v>569</v>
      </c>
      <c r="QY2" s="972"/>
      <c r="QZ2" s="973"/>
      <c r="RA2" s="971" t="s">
        <v>802</v>
      </c>
      <c r="RB2" s="972"/>
      <c r="RC2" s="973"/>
      <c r="RD2" s="971" t="s">
        <v>25</v>
      </c>
      <c r="RE2" s="972"/>
      <c r="RF2" s="973"/>
      <c r="RG2" s="971" t="s">
        <v>26</v>
      </c>
      <c r="RH2" s="972"/>
      <c r="RI2" s="973"/>
      <c r="RJ2" s="971" t="s">
        <v>571</v>
      </c>
      <c r="RK2" s="972"/>
      <c r="RL2" s="973"/>
      <c r="RM2" s="971" t="s">
        <v>572</v>
      </c>
      <c r="RN2" s="972"/>
      <c r="RO2" s="973"/>
    </row>
    <row r="3" spans="1:483" ht="87" customHeight="1" thickBot="1" x14ac:dyDescent="0.25">
      <c r="A3" s="997"/>
      <c r="B3" s="998"/>
      <c r="C3" s="999"/>
      <c r="D3" s="181" t="s">
        <v>618</v>
      </c>
      <c r="E3" s="182" t="s">
        <v>619</v>
      </c>
      <c r="F3" s="677" t="s">
        <v>620</v>
      </c>
      <c r="G3" s="181" t="s">
        <v>618</v>
      </c>
      <c r="H3" s="182" t="s">
        <v>619</v>
      </c>
      <c r="I3" s="677" t="s">
        <v>620</v>
      </c>
      <c r="J3" s="181" t="s">
        <v>618</v>
      </c>
      <c r="K3" s="182" t="s">
        <v>619</v>
      </c>
      <c r="L3" s="677" t="s">
        <v>620</v>
      </c>
      <c r="M3" s="181" t="s">
        <v>618</v>
      </c>
      <c r="N3" s="182" t="s">
        <v>619</v>
      </c>
      <c r="O3" s="677" t="s">
        <v>620</v>
      </c>
      <c r="P3" s="181" t="s">
        <v>618</v>
      </c>
      <c r="Q3" s="182" t="s">
        <v>619</v>
      </c>
      <c r="R3" s="677" t="s">
        <v>620</v>
      </c>
      <c r="S3" s="181" t="s">
        <v>618</v>
      </c>
      <c r="T3" s="182" t="s">
        <v>619</v>
      </c>
      <c r="U3" s="677" t="s">
        <v>620</v>
      </c>
      <c r="V3" s="181" t="s">
        <v>618</v>
      </c>
      <c r="W3" s="182" t="s">
        <v>619</v>
      </c>
      <c r="X3" s="677" t="s">
        <v>620</v>
      </c>
      <c r="Y3" s="181" t="s">
        <v>618</v>
      </c>
      <c r="Z3" s="182" t="s">
        <v>619</v>
      </c>
      <c r="AA3" s="677" t="s">
        <v>620</v>
      </c>
      <c r="AB3" s="181" t="s">
        <v>618</v>
      </c>
      <c r="AC3" s="182" t="s">
        <v>619</v>
      </c>
      <c r="AD3" s="677" t="s">
        <v>620</v>
      </c>
      <c r="AE3" s="181" t="s">
        <v>618</v>
      </c>
      <c r="AF3" s="182" t="s">
        <v>619</v>
      </c>
      <c r="AG3" s="677" t="s">
        <v>620</v>
      </c>
      <c r="AH3" s="181" t="s">
        <v>618</v>
      </c>
      <c r="AI3" s="182" t="s">
        <v>619</v>
      </c>
      <c r="AJ3" s="677" t="s">
        <v>620</v>
      </c>
      <c r="AK3" s="181" t="s">
        <v>618</v>
      </c>
      <c r="AL3" s="182" t="s">
        <v>619</v>
      </c>
      <c r="AM3" s="677" t="s">
        <v>620</v>
      </c>
      <c r="AN3" s="181" t="s">
        <v>618</v>
      </c>
      <c r="AO3" s="182" t="s">
        <v>619</v>
      </c>
      <c r="AP3" s="677" t="s">
        <v>620</v>
      </c>
      <c r="AQ3" s="181" t="s">
        <v>618</v>
      </c>
      <c r="AR3" s="182" t="s">
        <v>619</v>
      </c>
      <c r="AS3" s="677" t="s">
        <v>620</v>
      </c>
      <c r="AT3" s="181" t="s">
        <v>618</v>
      </c>
      <c r="AU3" s="182" t="s">
        <v>619</v>
      </c>
      <c r="AV3" s="677" t="s">
        <v>620</v>
      </c>
      <c r="AW3" s="181" t="s">
        <v>618</v>
      </c>
      <c r="AX3" s="182" t="s">
        <v>619</v>
      </c>
      <c r="AY3" s="677" t="s">
        <v>620</v>
      </c>
      <c r="AZ3" s="181" t="s">
        <v>618</v>
      </c>
      <c r="BA3" s="182" t="s">
        <v>619</v>
      </c>
      <c r="BB3" s="677" t="s">
        <v>620</v>
      </c>
      <c r="BC3" s="181" t="s">
        <v>618</v>
      </c>
      <c r="BD3" s="182" t="s">
        <v>619</v>
      </c>
      <c r="BE3" s="677" t="s">
        <v>620</v>
      </c>
      <c r="BF3" s="181" t="s">
        <v>618</v>
      </c>
      <c r="BG3" s="182" t="s">
        <v>619</v>
      </c>
      <c r="BH3" s="677" t="s">
        <v>620</v>
      </c>
      <c r="BI3" s="181" t="s">
        <v>618</v>
      </c>
      <c r="BJ3" s="182" t="s">
        <v>619</v>
      </c>
      <c r="BK3" s="677" t="s">
        <v>620</v>
      </c>
      <c r="BL3" s="181" t="s">
        <v>618</v>
      </c>
      <c r="BM3" s="182" t="s">
        <v>619</v>
      </c>
      <c r="BN3" s="677" t="s">
        <v>620</v>
      </c>
      <c r="BO3" s="181" t="s">
        <v>618</v>
      </c>
      <c r="BP3" s="182" t="s">
        <v>619</v>
      </c>
      <c r="BQ3" s="677" t="s">
        <v>620</v>
      </c>
      <c r="BR3" s="181" t="s">
        <v>618</v>
      </c>
      <c r="BS3" s="182" t="s">
        <v>619</v>
      </c>
      <c r="BT3" s="677" t="s">
        <v>620</v>
      </c>
      <c r="BU3" s="181" t="s">
        <v>618</v>
      </c>
      <c r="BV3" s="182" t="s">
        <v>619</v>
      </c>
      <c r="BW3" s="677" t="s">
        <v>620</v>
      </c>
      <c r="BX3" s="181" t="s">
        <v>618</v>
      </c>
      <c r="BY3" s="182" t="s">
        <v>619</v>
      </c>
      <c r="BZ3" s="677" t="s">
        <v>620</v>
      </c>
      <c r="CA3" s="181" t="s">
        <v>618</v>
      </c>
      <c r="CB3" s="182" t="s">
        <v>619</v>
      </c>
      <c r="CC3" s="677" t="s">
        <v>620</v>
      </c>
      <c r="CD3" s="181" t="s">
        <v>618</v>
      </c>
      <c r="CE3" s="182" t="s">
        <v>619</v>
      </c>
      <c r="CF3" s="677" t="s">
        <v>620</v>
      </c>
      <c r="CG3" s="181" t="s">
        <v>618</v>
      </c>
      <c r="CH3" s="182" t="s">
        <v>619</v>
      </c>
      <c r="CI3" s="677" t="s">
        <v>620</v>
      </c>
      <c r="CJ3" s="181" t="s">
        <v>618</v>
      </c>
      <c r="CK3" s="182" t="s">
        <v>619</v>
      </c>
      <c r="CL3" s="677" t="s">
        <v>620</v>
      </c>
      <c r="CM3" s="181" t="s">
        <v>618</v>
      </c>
      <c r="CN3" s="182" t="s">
        <v>619</v>
      </c>
      <c r="CO3" s="677" t="s">
        <v>620</v>
      </c>
      <c r="CP3" s="181" t="s">
        <v>618</v>
      </c>
      <c r="CQ3" s="182" t="s">
        <v>619</v>
      </c>
      <c r="CR3" s="677" t="s">
        <v>620</v>
      </c>
      <c r="CS3" s="181" t="s">
        <v>618</v>
      </c>
      <c r="CT3" s="182" t="s">
        <v>619</v>
      </c>
      <c r="CU3" s="677" t="s">
        <v>620</v>
      </c>
      <c r="CV3" s="181" t="s">
        <v>618</v>
      </c>
      <c r="CW3" s="182" t="s">
        <v>619</v>
      </c>
      <c r="CX3" s="677" t="s">
        <v>620</v>
      </c>
      <c r="CY3" s="181" t="s">
        <v>618</v>
      </c>
      <c r="CZ3" s="182" t="s">
        <v>619</v>
      </c>
      <c r="DA3" s="677" t="s">
        <v>620</v>
      </c>
      <c r="DB3" s="181" t="s">
        <v>618</v>
      </c>
      <c r="DC3" s="182" t="s">
        <v>619</v>
      </c>
      <c r="DD3" s="677" t="s">
        <v>620</v>
      </c>
      <c r="DE3" s="181" t="s">
        <v>618</v>
      </c>
      <c r="DF3" s="182" t="s">
        <v>619</v>
      </c>
      <c r="DG3" s="677" t="s">
        <v>620</v>
      </c>
      <c r="DH3" s="181" t="s">
        <v>618</v>
      </c>
      <c r="DI3" s="182" t="s">
        <v>619</v>
      </c>
      <c r="DJ3" s="677" t="s">
        <v>620</v>
      </c>
      <c r="DK3" s="181" t="s">
        <v>618</v>
      </c>
      <c r="DL3" s="182" t="s">
        <v>619</v>
      </c>
      <c r="DM3" s="677" t="s">
        <v>620</v>
      </c>
      <c r="DN3" s="181" t="s">
        <v>618</v>
      </c>
      <c r="DO3" s="182" t="s">
        <v>619</v>
      </c>
      <c r="DP3" s="677" t="s">
        <v>620</v>
      </c>
      <c r="DQ3" s="181" t="s">
        <v>618</v>
      </c>
      <c r="DR3" s="182" t="s">
        <v>619</v>
      </c>
      <c r="DS3" s="677" t="s">
        <v>620</v>
      </c>
      <c r="DT3" s="181" t="s">
        <v>618</v>
      </c>
      <c r="DU3" s="182" t="s">
        <v>619</v>
      </c>
      <c r="DV3" s="677" t="s">
        <v>620</v>
      </c>
      <c r="DW3" s="181" t="s">
        <v>618</v>
      </c>
      <c r="DX3" s="182" t="s">
        <v>619</v>
      </c>
      <c r="DY3" s="677" t="s">
        <v>620</v>
      </c>
      <c r="DZ3" s="181" t="s">
        <v>618</v>
      </c>
      <c r="EA3" s="182" t="s">
        <v>619</v>
      </c>
      <c r="EB3" s="677" t="s">
        <v>620</v>
      </c>
      <c r="EC3" s="181" t="s">
        <v>618</v>
      </c>
      <c r="ED3" s="182" t="s">
        <v>619</v>
      </c>
      <c r="EE3" s="677" t="s">
        <v>620</v>
      </c>
      <c r="EF3" s="181" t="s">
        <v>618</v>
      </c>
      <c r="EG3" s="182" t="s">
        <v>619</v>
      </c>
      <c r="EH3" s="677" t="s">
        <v>620</v>
      </c>
      <c r="EI3" s="181" t="s">
        <v>618</v>
      </c>
      <c r="EJ3" s="182" t="s">
        <v>619</v>
      </c>
      <c r="EK3" s="677" t="s">
        <v>620</v>
      </c>
      <c r="EL3" s="181" t="s">
        <v>618</v>
      </c>
      <c r="EM3" s="182" t="s">
        <v>619</v>
      </c>
      <c r="EN3" s="677" t="s">
        <v>620</v>
      </c>
      <c r="EO3" s="181" t="s">
        <v>618</v>
      </c>
      <c r="EP3" s="182" t="s">
        <v>619</v>
      </c>
      <c r="EQ3" s="677" t="s">
        <v>620</v>
      </c>
      <c r="ER3" s="181" t="s">
        <v>618</v>
      </c>
      <c r="ES3" s="182" t="s">
        <v>619</v>
      </c>
      <c r="ET3" s="677" t="s">
        <v>620</v>
      </c>
      <c r="EU3" s="181" t="s">
        <v>618</v>
      </c>
      <c r="EV3" s="182" t="s">
        <v>619</v>
      </c>
      <c r="EW3" s="677" t="s">
        <v>620</v>
      </c>
      <c r="EX3" s="181" t="s">
        <v>618</v>
      </c>
      <c r="EY3" s="182" t="s">
        <v>619</v>
      </c>
      <c r="EZ3" s="677" t="s">
        <v>620</v>
      </c>
      <c r="FA3" s="181" t="s">
        <v>618</v>
      </c>
      <c r="FB3" s="182" t="s">
        <v>619</v>
      </c>
      <c r="FC3" s="677" t="s">
        <v>620</v>
      </c>
      <c r="FD3" s="181" t="s">
        <v>618</v>
      </c>
      <c r="FE3" s="182" t="s">
        <v>619</v>
      </c>
      <c r="FF3" s="677" t="s">
        <v>620</v>
      </c>
      <c r="FG3" s="181" t="s">
        <v>618</v>
      </c>
      <c r="FH3" s="182" t="s">
        <v>619</v>
      </c>
      <c r="FI3" s="677" t="s">
        <v>620</v>
      </c>
      <c r="FJ3" s="181" t="s">
        <v>618</v>
      </c>
      <c r="FK3" s="182" t="s">
        <v>619</v>
      </c>
      <c r="FL3" s="677" t="s">
        <v>620</v>
      </c>
      <c r="FM3" s="181" t="s">
        <v>618</v>
      </c>
      <c r="FN3" s="182" t="s">
        <v>619</v>
      </c>
      <c r="FO3" s="677" t="s">
        <v>620</v>
      </c>
      <c r="FP3" s="181" t="s">
        <v>618</v>
      </c>
      <c r="FQ3" s="182" t="s">
        <v>619</v>
      </c>
      <c r="FR3" s="677" t="s">
        <v>620</v>
      </c>
      <c r="FS3" s="181" t="s">
        <v>618</v>
      </c>
      <c r="FT3" s="182" t="s">
        <v>619</v>
      </c>
      <c r="FU3" s="677" t="s">
        <v>620</v>
      </c>
      <c r="FV3" s="181" t="s">
        <v>618</v>
      </c>
      <c r="FW3" s="182" t="s">
        <v>619</v>
      </c>
      <c r="FX3" s="677" t="s">
        <v>620</v>
      </c>
      <c r="FY3" s="181" t="s">
        <v>618</v>
      </c>
      <c r="FZ3" s="182" t="s">
        <v>619</v>
      </c>
      <c r="GA3" s="677" t="s">
        <v>620</v>
      </c>
      <c r="GB3" s="181" t="s">
        <v>618</v>
      </c>
      <c r="GC3" s="182" t="s">
        <v>619</v>
      </c>
      <c r="GD3" s="677" t="s">
        <v>620</v>
      </c>
      <c r="GE3" s="181" t="s">
        <v>618</v>
      </c>
      <c r="GF3" s="182" t="s">
        <v>619</v>
      </c>
      <c r="GG3" s="677" t="s">
        <v>620</v>
      </c>
      <c r="GH3" s="181" t="s">
        <v>618</v>
      </c>
      <c r="GI3" s="182" t="s">
        <v>619</v>
      </c>
      <c r="GJ3" s="677" t="s">
        <v>620</v>
      </c>
      <c r="GK3" s="181" t="s">
        <v>618</v>
      </c>
      <c r="GL3" s="182" t="s">
        <v>619</v>
      </c>
      <c r="GM3" s="677" t="s">
        <v>620</v>
      </c>
      <c r="GN3" s="181" t="s">
        <v>618</v>
      </c>
      <c r="GO3" s="182" t="s">
        <v>619</v>
      </c>
      <c r="GP3" s="677" t="s">
        <v>620</v>
      </c>
      <c r="GQ3" s="181" t="s">
        <v>618</v>
      </c>
      <c r="GR3" s="182" t="s">
        <v>619</v>
      </c>
      <c r="GS3" s="677" t="s">
        <v>620</v>
      </c>
      <c r="GT3" s="181" t="s">
        <v>618</v>
      </c>
      <c r="GU3" s="182" t="s">
        <v>619</v>
      </c>
      <c r="GV3" s="677" t="s">
        <v>620</v>
      </c>
      <c r="GW3" s="181" t="s">
        <v>618</v>
      </c>
      <c r="GX3" s="182" t="s">
        <v>619</v>
      </c>
      <c r="GY3" s="677" t="s">
        <v>620</v>
      </c>
      <c r="GZ3" s="181" t="s">
        <v>618</v>
      </c>
      <c r="HA3" s="182" t="s">
        <v>619</v>
      </c>
      <c r="HB3" s="677" t="s">
        <v>620</v>
      </c>
      <c r="HC3" s="181" t="s">
        <v>618</v>
      </c>
      <c r="HD3" s="182" t="s">
        <v>619</v>
      </c>
      <c r="HE3" s="677" t="s">
        <v>620</v>
      </c>
      <c r="HF3" s="181" t="s">
        <v>618</v>
      </c>
      <c r="HG3" s="182" t="s">
        <v>619</v>
      </c>
      <c r="HH3" s="677" t="s">
        <v>620</v>
      </c>
      <c r="HI3" s="181" t="s">
        <v>618</v>
      </c>
      <c r="HJ3" s="182" t="s">
        <v>619</v>
      </c>
      <c r="HK3" s="677" t="s">
        <v>620</v>
      </c>
      <c r="HL3" s="181" t="s">
        <v>618</v>
      </c>
      <c r="HM3" s="182" t="s">
        <v>619</v>
      </c>
      <c r="HN3" s="677" t="s">
        <v>620</v>
      </c>
      <c r="HO3" s="181" t="s">
        <v>618</v>
      </c>
      <c r="HP3" s="182" t="s">
        <v>619</v>
      </c>
      <c r="HQ3" s="677" t="s">
        <v>620</v>
      </c>
      <c r="HR3" s="181" t="s">
        <v>618</v>
      </c>
      <c r="HS3" s="182" t="s">
        <v>619</v>
      </c>
      <c r="HT3" s="677" t="s">
        <v>620</v>
      </c>
      <c r="HU3" s="181" t="s">
        <v>618</v>
      </c>
      <c r="HV3" s="182" t="s">
        <v>619</v>
      </c>
      <c r="HW3" s="677" t="s">
        <v>620</v>
      </c>
      <c r="HX3" s="181" t="s">
        <v>618</v>
      </c>
      <c r="HY3" s="182" t="s">
        <v>619</v>
      </c>
      <c r="HZ3" s="677" t="s">
        <v>620</v>
      </c>
      <c r="IA3" s="181" t="s">
        <v>618</v>
      </c>
      <c r="IB3" s="182" t="s">
        <v>619</v>
      </c>
      <c r="IC3" s="677" t="s">
        <v>620</v>
      </c>
      <c r="ID3" s="181" t="s">
        <v>618</v>
      </c>
      <c r="IE3" s="182" t="s">
        <v>619</v>
      </c>
      <c r="IF3" s="677" t="s">
        <v>620</v>
      </c>
      <c r="IG3" s="181" t="s">
        <v>618</v>
      </c>
      <c r="IH3" s="182" t="s">
        <v>619</v>
      </c>
      <c r="II3" s="677" t="s">
        <v>620</v>
      </c>
      <c r="IJ3" s="181" t="s">
        <v>618</v>
      </c>
      <c r="IK3" s="182" t="s">
        <v>619</v>
      </c>
      <c r="IL3" s="677" t="s">
        <v>620</v>
      </c>
      <c r="IM3" s="181" t="s">
        <v>618</v>
      </c>
      <c r="IN3" s="182" t="s">
        <v>619</v>
      </c>
      <c r="IO3" s="677" t="s">
        <v>620</v>
      </c>
      <c r="IP3" s="181" t="s">
        <v>618</v>
      </c>
      <c r="IQ3" s="182" t="s">
        <v>619</v>
      </c>
      <c r="IR3" s="677" t="s">
        <v>620</v>
      </c>
      <c r="IS3" s="181" t="s">
        <v>618</v>
      </c>
      <c r="IT3" s="182" t="s">
        <v>619</v>
      </c>
      <c r="IU3" s="677" t="s">
        <v>620</v>
      </c>
      <c r="IV3" s="181" t="s">
        <v>618</v>
      </c>
      <c r="IW3" s="182" t="s">
        <v>619</v>
      </c>
      <c r="IX3" s="677" t="s">
        <v>620</v>
      </c>
      <c r="IY3" s="181" t="s">
        <v>618</v>
      </c>
      <c r="IZ3" s="182" t="s">
        <v>619</v>
      </c>
      <c r="JA3" s="677" t="s">
        <v>620</v>
      </c>
      <c r="JB3" s="181" t="s">
        <v>618</v>
      </c>
      <c r="JC3" s="182" t="s">
        <v>619</v>
      </c>
      <c r="JD3" s="677" t="s">
        <v>620</v>
      </c>
      <c r="JE3" s="181" t="s">
        <v>618</v>
      </c>
      <c r="JF3" s="182" t="s">
        <v>619</v>
      </c>
      <c r="JG3" s="677" t="s">
        <v>620</v>
      </c>
      <c r="JH3" s="181" t="s">
        <v>618</v>
      </c>
      <c r="JI3" s="182" t="s">
        <v>619</v>
      </c>
      <c r="JJ3" s="677" t="s">
        <v>620</v>
      </c>
      <c r="JK3" s="181" t="s">
        <v>618</v>
      </c>
      <c r="JL3" s="182" t="s">
        <v>619</v>
      </c>
      <c r="JM3" s="677" t="s">
        <v>620</v>
      </c>
      <c r="JN3" s="181" t="s">
        <v>618</v>
      </c>
      <c r="JO3" s="182" t="s">
        <v>619</v>
      </c>
      <c r="JP3" s="677" t="s">
        <v>620</v>
      </c>
      <c r="JQ3" s="181" t="s">
        <v>618</v>
      </c>
      <c r="JR3" s="182" t="s">
        <v>619</v>
      </c>
      <c r="JS3" s="677" t="s">
        <v>620</v>
      </c>
      <c r="JT3" s="181" t="s">
        <v>618</v>
      </c>
      <c r="JU3" s="182" t="s">
        <v>619</v>
      </c>
      <c r="JV3" s="677" t="s">
        <v>620</v>
      </c>
      <c r="JW3" s="181" t="s">
        <v>618</v>
      </c>
      <c r="JX3" s="182" t="s">
        <v>619</v>
      </c>
      <c r="JY3" s="677" t="s">
        <v>620</v>
      </c>
      <c r="JZ3" s="181" t="s">
        <v>618</v>
      </c>
      <c r="KA3" s="182" t="s">
        <v>619</v>
      </c>
      <c r="KB3" s="677" t="s">
        <v>620</v>
      </c>
      <c r="KC3" s="181" t="s">
        <v>618</v>
      </c>
      <c r="KD3" s="182" t="s">
        <v>619</v>
      </c>
      <c r="KE3" s="677" t="s">
        <v>620</v>
      </c>
      <c r="KF3" s="181" t="s">
        <v>618</v>
      </c>
      <c r="KG3" s="182" t="s">
        <v>619</v>
      </c>
      <c r="KH3" s="677" t="s">
        <v>620</v>
      </c>
      <c r="KI3" s="181" t="s">
        <v>618</v>
      </c>
      <c r="KJ3" s="182" t="s">
        <v>619</v>
      </c>
      <c r="KK3" s="677" t="s">
        <v>620</v>
      </c>
      <c r="KL3" s="181" t="s">
        <v>618</v>
      </c>
      <c r="KM3" s="182" t="s">
        <v>619</v>
      </c>
      <c r="KN3" s="677" t="s">
        <v>620</v>
      </c>
      <c r="KO3" s="181" t="s">
        <v>618</v>
      </c>
      <c r="KP3" s="182" t="s">
        <v>619</v>
      </c>
      <c r="KQ3" s="677" t="s">
        <v>620</v>
      </c>
      <c r="KR3" s="181" t="s">
        <v>618</v>
      </c>
      <c r="KS3" s="182" t="s">
        <v>619</v>
      </c>
      <c r="KT3" s="677" t="s">
        <v>620</v>
      </c>
      <c r="KU3" s="181" t="s">
        <v>618</v>
      </c>
      <c r="KV3" s="182" t="s">
        <v>619</v>
      </c>
      <c r="KW3" s="677" t="s">
        <v>620</v>
      </c>
      <c r="KX3" s="181" t="s">
        <v>618</v>
      </c>
      <c r="KY3" s="182" t="s">
        <v>619</v>
      </c>
      <c r="KZ3" s="677" t="s">
        <v>620</v>
      </c>
      <c r="LA3" s="181" t="s">
        <v>618</v>
      </c>
      <c r="LB3" s="182" t="s">
        <v>619</v>
      </c>
      <c r="LC3" s="677" t="s">
        <v>620</v>
      </c>
      <c r="LD3" s="181" t="s">
        <v>618</v>
      </c>
      <c r="LE3" s="182" t="s">
        <v>619</v>
      </c>
      <c r="LF3" s="677" t="s">
        <v>620</v>
      </c>
      <c r="LG3" s="181" t="s">
        <v>618</v>
      </c>
      <c r="LH3" s="182" t="s">
        <v>619</v>
      </c>
      <c r="LI3" s="677" t="s">
        <v>620</v>
      </c>
      <c r="LJ3" s="181" t="s">
        <v>618</v>
      </c>
      <c r="LK3" s="182" t="s">
        <v>619</v>
      </c>
      <c r="LL3" s="677" t="s">
        <v>620</v>
      </c>
      <c r="LM3" s="181" t="s">
        <v>618</v>
      </c>
      <c r="LN3" s="182" t="s">
        <v>619</v>
      </c>
      <c r="LO3" s="677" t="s">
        <v>620</v>
      </c>
      <c r="LP3" s="181" t="s">
        <v>618</v>
      </c>
      <c r="LQ3" s="182" t="s">
        <v>619</v>
      </c>
      <c r="LR3" s="677" t="s">
        <v>620</v>
      </c>
      <c r="LS3" s="181" t="s">
        <v>618</v>
      </c>
      <c r="LT3" s="182" t="s">
        <v>619</v>
      </c>
      <c r="LU3" s="677" t="s">
        <v>620</v>
      </c>
      <c r="LV3" s="181" t="s">
        <v>618</v>
      </c>
      <c r="LW3" s="182" t="s">
        <v>619</v>
      </c>
      <c r="LX3" s="677" t="s">
        <v>620</v>
      </c>
      <c r="LY3" s="181" t="s">
        <v>618</v>
      </c>
      <c r="LZ3" s="182" t="s">
        <v>619</v>
      </c>
      <c r="MA3" s="677" t="s">
        <v>620</v>
      </c>
      <c r="MB3" s="181" t="s">
        <v>618</v>
      </c>
      <c r="MC3" s="182" t="s">
        <v>619</v>
      </c>
      <c r="MD3" s="677" t="s">
        <v>620</v>
      </c>
      <c r="ME3" s="181" t="s">
        <v>618</v>
      </c>
      <c r="MF3" s="182" t="s">
        <v>619</v>
      </c>
      <c r="MG3" s="677" t="s">
        <v>620</v>
      </c>
      <c r="MH3" s="181" t="s">
        <v>618</v>
      </c>
      <c r="MI3" s="182" t="s">
        <v>619</v>
      </c>
      <c r="MJ3" s="677" t="s">
        <v>620</v>
      </c>
      <c r="MK3" s="181" t="s">
        <v>618</v>
      </c>
      <c r="ML3" s="182" t="s">
        <v>619</v>
      </c>
      <c r="MM3" s="677" t="s">
        <v>620</v>
      </c>
      <c r="MN3" s="181" t="s">
        <v>618</v>
      </c>
      <c r="MO3" s="182" t="s">
        <v>619</v>
      </c>
      <c r="MP3" s="677" t="s">
        <v>620</v>
      </c>
      <c r="MQ3" s="181" t="s">
        <v>618</v>
      </c>
      <c r="MR3" s="182" t="s">
        <v>619</v>
      </c>
      <c r="MS3" s="677" t="s">
        <v>620</v>
      </c>
      <c r="MT3" s="181" t="s">
        <v>618</v>
      </c>
      <c r="MU3" s="182" t="s">
        <v>619</v>
      </c>
      <c r="MV3" s="677" t="s">
        <v>620</v>
      </c>
      <c r="MW3" s="181" t="s">
        <v>618</v>
      </c>
      <c r="MX3" s="182" t="s">
        <v>619</v>
      </c>
      <c r="MY3" s="677" t="s">
        <v>620</v>
      </c>
      <c r="MZ3" s="181" t="s">
        <v>618</v>
      </c>
      <c r="NA3" s="182" t="s">
        <v>619</v>
      </c>
      <c r="NB3" s="677" t="s">
        <v>620</v>
      </c>
      <c r="NC3" s="181" t="s">
        <v>618</v>
      </c>
      <c r="ND3" s="182" t="s">
        <v>619</v>
      </c>
      <c r="NE3" s="677" t="s">
        <v>620</v>
      </c>
      <c r="NF3" s="181" t="s">
        <v>618</v>
      </c>
      <c r="NG3" s="182" t="s">
        <v>619</v>
      </c>
      <c r="NH3" s="677" t="s">
        <v>620</v>
      </c>
      <c r="NI3" s="181" t="s">
        <v>618</v>
      </c>
      <c r="NJ3" s="182" t="s">
        <v>619</v>
      </c>
      <c r="NK3" s="677" t="s">
        <v>620</v>
      </c>
      <c r="NL3" s="181" t="s">
        <v>618</v>
      </c>
      <c r="NM3" s="182" t="s">
        <v>619</v>
      </c>
      <c r="NN3" s="677" t="s">
        <v>620</v>
      </c>
      <c r="NO3" s="181" t="s">
        <v>618</v>
      </c>
      <c r="NP3" s="182" t="s">
        <v>619</v>
      </c>
      <c r="NQ3" s="677" t="s">
        <v>620</v>
      </c>
      <c r="NR3" s="181" t="s">
        <v>618</v>
      </c>
      <c r="NS3" s="182" t="s">
        <v>619</v>
      </c>
      <c r="NT3" s="677" t="s">
        <v>620</v>
      </c>
      <c r="NU3" s="181" t="s">
        <v>618</v>
      </c>
      <c r="NV3" s="182" t="s">
        <v>619</v>
      </c>
      <c r="NW3" s="677" t="s">
        <v>620</v>
      </c>
      <c r="NX3" s="181" t="s">
        <v>618</v>
      </c>
      <c r="NY3" s="182" t="s">
        <v>619</v>
      </c>
      <c r="NZ3" s="677" t="s">
        <v>620</v>
      </c>
      <c r="OA3" s="181" t="s">
        <v>618</v>
      </c>
      <c r="OB3" s="182" t="s">
        <v>619</v>
      </c>
      <c r="OC3" s="677" t="s">
        <v>620</v>
      </c>
      <c r="OD3" s="181" t="s">
        <v>618</v>
      </c>
      <c r="OE3" s="182" t="s">
        <v>619</v>
      </c>
      <c r="OF3" s="677" t="s">
        <v>620</v>
      </c>
      <c r="OG3" s="181" t="s">
        <v>618</v>
      </c>
      <c r="OH3" s="182" t="s">
        <v>619</v>
      </c>
      <c r="OI3" s="677" t="s">
        <v>620</v>
      </c>
      <c r="OJ3" s="181" t="s">
        <v>618</v>
      </c>
      <c r="OK3" s="182" t="s">
        <v>619</v>
      </c>
      <c r="OL3" s="677" t="s">
        <v>620</v>
      </c>
      <c r="OM3" s="181" t="s">
        <v>618</v>
      </c>
      <c r="ON3" s="182" t="s">
        <v>619</v>
      </c>
      <c r="OO3" s="677" t="s">
        <v>620</v>
      </c>
      <c r="OP3" s="181" t="s">
        <v>618</v>
      </c>
      <c r="OQ3" s="182" t="s">
        <v>619</v>
      </c>
      <c r="OR3" s="677" t="s">
        <v>620</v>
      </c>
      <c r="OS3" s="181" t="s">
        <v>618</v>
      </c>
      <c r="OT3" s="182" t="s">
        <v>619</v>
      </c>
      <c r="OU3" s="677" t="s">
        <v>620</v>
      </c>
      <c r="OV3" s="181" t="s">
        <v>618</v>
      </c>
      <c r="OW3" s="182" t="s">
        <v>619</v>
      </c>
      <c r="OX3" s="677" t="s">
        <v>620</v>
      </c>
      <c r="OY3" s="181" t="s">
        <v>618</v>
      </c>
      <c r="OZ3" s="182" t="s">
        <v>619</v>
      </c>
      <c r="PA3" s="677" t="s">
        <v>620</v>
      </c>
      <c r="PB3" s="181" t="s">
        <v>618</v>
      </c>
      <c r="PC3" s="182" t="s">
        <v>619</v>
      </c>
      <c r="PD3" s="677" t="s">
        <v>620</v>
      </c>
      <c r="PE3" s="181" t="s">
        <v>618</v>
      </c>
      <c r="PF3" s="182" t="s">
        <v>619</v>
      </c>
      <c r="PG3" s="677" t="s">
        <v>620</v>
      </c>
      <c r="PH3" s="181" t="s">
        <v>618</v>
      </c>
      <c r="PI3" s="182" t="s">
        <v>619</v>
      </c>
      <c r="PJ3" s="677" t="s">
        <v>620</v>
      </c>
      <c r="PK3" s="181" t="s">
        <v>618</v>
      </c>
      <c r="PL3" s="182" t="s">
        <v>619</v>
      </c>
      <c r="PM3" s="677" t="s">
        <v>620</v>
      </c>
      <c r="PN3" s="181" t="s">
        <v>618</v>
      </c>
      <c r="PO3" s="182" t="s">
        <v>619</v>
      </c>
      <c r="PP3" s="677" t="s">
        <v>620</v>
      </c>
      <c r="PQ3" s="181" t="s">
        <v>618</v>
      </c>
      <c r="PR3" s="182" t="s">
        <v>619</v>
      </c>
      <c r="PS3" s="677" t="s">
        <v>620</v>
      </c>
      <c r="PT3" s="681" t="s">
        <v>799</v>
      </c>
      <c r="PU3" s="682" t="s">
        <v>800</v>
      </c>
      <c r="PV3" s="683" t="s">
        <v>620</v>
      </c>
      <c r="PW3" s="681" t="s">
        <v>799</v>
      </c>
      <c r="PX3" s="682" t="s">
        <v>800</v>
      </c>
      <c r="PY3" s="683" t="s">
        <v>620</v>
      </c>
      <c r="PZ3" s="681" t="s">
        <v>799</v>
      </c>
      <c r="QA3" s="682" t="s">
        <v>800</v>
      </c>
      <c r="QB3" s="683" t="s">
        <v>620</v>
      </c>
      <c r="QC3" s="681" t="s">
        <v>799</v>
      </c>
      <c r="QD3" s="682" t="s">
        <v>800</v>
      </c>
      <c r="QE3" s="683" t="s">
        <v>620</v>
      </c>
      <c r="QF3" s="681" t="s">
        <v>799</v>
      </c>
      <c r="QG3" s="682" t="s">
        <v>800</v>
      </c>
      <c r="QH3" s="683" t="s">
        <v>620</v>
      </c>
      <c r="QI3" s="681" t="s">
        <v>799</v>
      </c>
      <c r="QJ3" s="682" t="s">
        <v>800</v>
      </c>
      <c r="QK3" s="683" t="s">
        <v>620</v>
      </c>
      <c r="QL3" s="681" t="s">
        <v>799</v>
      </c>
      <c r="QM3" s="682" t="s">
        <v>800</v>
      </c>
      <c r="QN3" s="683" t="s">
        <v>620</v>
      </c>
      <c r="QO3" s="681" t="s">
        <v>799</v>
      </c>
      <c r="QP3" s="682" t="s">
        <v>800</v>
      </c>
      <c r="QQ3" s="683" t="s">
        <v>620</v>
      </c>
      <c r="QR3" s="681" t="s">
        <v>799</v>
      </c>
      <c r="QS3" s="682" t="s">
        <v>800</v>
      </c>
      <c r="QT3" s="683" t="s">
        <v>620</v>
      </c>
      <c r="QU3" s="681" t="s">
        <v>799</v>
      </c>
      <c r="QV3" s="682" t="s">
        <v>800</v>
      </c>
      <c r="QW3" s="683" t="s">
        <v>620</v>
      </c>
      <c r="QX3" s="681" t="s">
        <v>799</v>
      </c>
      <c r="QY3" s="682" t="s">
        <v>800</v>
      </c>
      <c r="QZ3" s="683" t="s">
        <v>620</v>
      </c>
      <c r="RA3" s="681" t="s">
        <v>799</v>
      </c>
      <c r="RB3" s="682" t="s">
        <v>800</v>
      </c>
      <c r="RC3" s="683" t="s">
        <v>620</v>
      </c>
      <c r="RD3" s="681" t="s">
        <v>799</v>
      </c>
      <c r="RE3" s="682" t="s">
        <v>800</v>
      </c>
      <c r="RF3" s="683" t="s">
        <v>620</v>
      </c>
      <c r="RG3" s="681" t="s">
        <v>799</v>
      </c>
      <c r="RH3" s="682" t="s">
        <v>800</v>
      </c>
      <c r="RI3" s="683" t="s">
        <v>620</v>
      </c>
      <c r="RJ3" s="681" t="s">
        <v>799</v>
      </c>
      <c r="RK3" s="682" t="s">
        <v>800</v>
      </c>
      <c r="RL3" s="683" t="s">
        <v>620</v>
      </c>
      <c r="RM3" s="681" t="s">
        <v>799</v>
      </c>
      <c r="RN3" s="682" t="s">
        <v>800</v>
      </c>
      <c r="RO3" s="683" t="s">
        <v>620</v>
      </c>
    </row>
    <row r="4" spans="1:483" x14ac:dyDescent="0.2">
      <c r="A4" s="985" t="s">
        <v>607</v>
      </c>
      <c r="B4" s="743"/>
      <c r="C4" s="880" t="s">
        <v>608</v>
      </c>
      <c r="D4" s="686">
        <v>139</v>
      </c>
      <c r="E4" s="687">
        <v>35</v>
      </c>
      <c r="F4" s="688">
        <v>79.900000000000006</v>
      </c>
      <c r="G4" s="686">
        <v>5</v>
      </c>
      <c r="H4" s="687">
        <v>48</v>
      </c>
      <c r="I4" s="688">
        <v>9.4</v>
      </c>
      <c r="J4" s="686">
        <v>13</v>
      </c>
      <c r="K4" s="687">
        <v>48</v>
      </c>
      <c r="L4" s="688">
        <v>21.3</v>
      </c>
      <c r="M4" s="686">
        <v>4</v>
      </c>
      <c r="N4" s="687">
        <v>17</v>
      </c>
      <c r="O4" s="688">
        <v>19</v>
      </c>
      <c r="P4" s="686">
        <v>23</v>
      </c>
      <c r="Q4" s="687">
        <v>11</v>
      </c>
      <c r="R4" s="688">
        <v>67.599999999999994</v>
      </c>
      <c r="S4" s="686">
        <v>9</v>
      </c>
      <c r="T4" s="687">
        <v>8</v>
      </c>
      <c r="U4" s="688">
        <v>52.9</v>
      </c>
      <c r="V4" s="686">
        <v>14</v>
      </c>
      <c r="W4" s="687">
        <v>9</v>
      </c>
      <c r="X4" s="688">
        <v>60.9</v>
      </c>
      <c r="Y4" s="686">
        <v>3</v>
      </c>
      <c r="Z4" s="687">
        <v>7</v>
      </c>
      <c r="AA4" s="688">
        <v>30</v>
      </c>
      <c r="AB4" s="686">
        <v>3</v>
      </c>
      <c r="AC4" s="687">
        <v>2</v>
      </c>
      <c r="AD4" s="688">
        <v>60</v>
      </c>
      <c r="AE4" s="686"/>
      <c r="AF4" s="687"/>
      <c r="AG4" s="688" t="s">
        <v>6</v>
      </c>
      <c r="AH4" s="686"/>
      <c r="AI4" s="687"/>
      <c r="AJ4" s="688" t="s">
        <v>6</v>
      </c>
      <c r="AK4" s="686"/>
      <c r="AL4" s="687"/>
      <c r="AM4" s="688" t="s">
        <v>6</v>
      </c>
      <c r="AN4" s="686"/>
      <c r="AO4" s="687"/>
      <c r="AP4" s="688" t="s">
        <v>6</v>
      </c>
      <c r="AQ4" s="686"/>
      <c r="AR4" s="687"/>
      <c r="AS4" s="688" t="s">
        <v>6</v>
      </c>
      <c r="AT4" s="686"/>
      <c r="AU4" s="687"/>
      <c r="AV4" s="688" t="s">
        <v>6</v>
      </c>
      <c r="AW4" s="686"/>
      <c r="AX4" s="687"/>
      <c r="AY4" s="688" t="s">
        <v>6</v>
      </c>
      <c r="AZ4" s="686"/>
      <c r="BA4" s="687"/>
      <c r="BB4" s="688" t="s">
        <v>6</v>
      </c>
      <c r="BC4" s="686">
        <v>0</v>
      </c>
      <c r="BD4" s="687">
        <v>0</v>
      </c>
      <c r="BE4" s="688" t="s">
        <v>6</v>
      </c>
      <c r="BF4" s="686">
        <v>62</v>
      </c>
      <c r="BG4" s="687">
        <v>1</v>
      </c>
      <c r="BH4" s="688">
        <v>98.4</v>
      </c>
      <c r="BI4" s="686"/>
      <c r="BJ4" s="687"/>
      <c r="BK4" s="688" t="s">
        <v>6</v>
      </c>
      <c r="BL4" s="686"/>
      <c r="BM4" s="687"/>
      <c r="BN4" s="688" t="s">
        <v>6</v>
      </c>
      <c r="BO4" s="686"/>
      <c r="BP4" s="687"/>
      <c r="BQ4" s="688" t="s">
        <v>6</v>
      </c>
      <c r="BR4" s="686">
        <v>12</v>
      </c>
      <c r="BS4" s="687"/>
      <c r="BT4" s="688">
        <v>100</v>
      </c>
      <c r="BU4" s="686"/>
      <c r="BV4" s="687"/>
      <c r="BW4" s="688" t="s">
        <v>6</v>
      </c>
      <c r="BX4" s="686"/>
      <c r="BY4" s="687"/>
      <c r="BZ4" s="688" t="s">
        <v>6</v>
      </c>
      <c r="CA4" s="686"/>
      <c r="CB4" s="687"/>
      <c r="CC4" s="688" t="s">
        <v>6</v>
      </c>
      <c r="CD4" s="686">
        <v>0</v>
      </c>
      <c r="CE4" s="687">
        <v>0</v>
      </c>
      <c r="CF4" s="688" t="s">
        <v>6</v>
      </c>
      <c r="CG4" s="686"/>
      <c r="CH4" s="687"/>
      <c r="CI4" s="688" t="s">
        <v>6</v>
      </c>
      <c r="CJ4" s="686"/>
      <c r="CK4" s="687"/>
      <c r="CL4" s="688" t="s">
        <v>6</v>
      </c>
      <c r="CM4" s="686">
        <v>1</v>
      </c>
      <c r="CN4" s="687"/>
      <c r="CO4" s="688">
        <v>100</v>
      </c>
      <c r="CP4" s="686"/>
      <c r="CQ4" s="687"/>
      <c r="CR4" s="688" t="s">
        <v>6</v>
      </c>
      <c r="CS4" s="686"/>
      <c r="CT4" s="687"/>
      <c r="CU4" s="688" t="s">
        <v>6</v>
      </c>
      <c r="CV4" s="686"/>
      <c r="CW4" s="687"/>
      <c r="CX4" s="688" t="s">
        <v>6</v>
      </c>
      <c r="CY4" s="686"/>
      <c r="CZ4" s="687"/>
      <c r="DA4" s="688" t="s">
        <v>6</v>
      </c>
      <c r="DB4" s="686"/>
      <c r="DC4" s="687"/>
      <c r="DD4" s="688" t="s">
        <v>6</v>
      </c>
      <c r="DE4" s="686">
        <v>0</v>
      </c>
      <c r="DF4" s="687">
        <v>0</v>
      </c>
      <c r="DG4" s="688" t="s">
        <v>6</v>
      </c>
      <c r="DH4" s="686">
        <v>2</v>
      </c>
      <c r="DI4" s="687">
        <v>3</v>
      </c>
      <c r="DJ4" s="688">
        <v>40</v>
      </c>
      <c r="DK4" s="686">
        <v>11</v>
      </c>
      <c r="DL4" s="687">
        <v>1</v>
      </c>
      <c r="DM4" s="688">
        <v>91.7</v>
      </c>
      <c r="DN4" s="686">
        <v>2</v>
      </c>
      <c r="DO4" s="687">
        <v>2</v>
      </c>
      <c r="DP4" s="688">
        <v>50</v>
      </c>
      <c r="DQ4" s="686">
        <v>2</v>
      </c>
      <c r="DR4" s="687">
        <v>1</v>
      </c>
      <c r="DS4" s="688">
        <v>66.7</v>
      </c>
      <c r="DT4" s="686">
        <v>1</v>
      </c>
      <c r="DU4" s="687">
        <v>1</v>
      </c>
      <c r="DV4" s="688">
        <v>50</v>
      </c>
      <c r="DW4" s="686">
        <v>2</v>
      </c>
      <c r="DX4" s="687"/>
      <c r="DY4" s="688">
        <v>100</v>
      </c>
      <c r="DZ4" s="686">
        <v>2</v>
      </c>
      <c r="EA4" s="687"/>
      <c r="EB4" s="688">
        <v>100</v>
      </c>
      <c r="EC4" s="686">
        <v>1</v>
      </c>
      <c r="ED4" s="687"/>
      <c r="EE4" s="688">
        <v>100</v>
      </c>
      <c r="EF4" s="686">
        <v>0</v>
      </c>
      <c r="EG4" s="687">
        <v>0</v>
      </c>
      <c r="EH4" s="688" t="s">
        <v>6</v>
      </c>
      <c r="EI4" s="686"/>
      <c r="EJ4" s="687"/>
      <c r="EK4" s="688" t="s">
        <v>6</v>
      </c>
      <c r="EL4" s="686"/>
      <c r="EM4" s="687"/>
      <c r="EN4" s="688" t="s">
        <v>6</v>
      </c>
      <c r="EO4" s="686"/>
      <c r="EP4" s="687"/>
      <c r="EQ4" s="688" t="s">
        <v>6</v>
      </c>
      <c r="ER4" s="686"/>
      <c r="ES4" s="687"/>
      <c r="ET4" s="688" t="s">
        <v>6</v>
      </c>
      <c r="EU4" s="686"/>
      <c r="EV4" s="687"/>
      <c r="EW4" s="688" t="s">
        <v>6</v>
      </c>
      <c r="EX4" s="686"/>
      <c r="EY4" s="687"/>
      <c r="EZ4" s="688" t="s">
        <v>6</v>
      </c>
      <c r="FA4" s="686"/>
      <c r="FB4" s="687"/>
      <c r="FC4" s="688" t="s">
        <v>6</v>
      </c>
      <c r="FD4" s="686">
        <v>2</v>
      </c>
      <c r="FE4" s="687">
        <v>1</v>
      </c>
      <c r="FF4" s="688">
        <v>66.7</v>
      </c>
      <c r="FG4" s="686">
        <v>0</v>
      </c>
      <c r="FH4" s="687">
        <v>0</v>
      </c>
      <c r="FI4" s="688" t="s">
        <v>6</v>
      </c>
      <c r="FJ4" s="686">
        <v>5</v>
      </c>
      <c r="FK4" s="687"/>
      <c r="FL4" s="688">
        <v>100</v>
      </c>
      <c r="FM4" s="686">
        <v>1</v>
      </c>
      <c r="FN4" s="687"/>
      <c r="FO4" s="688">
        <v>100</v>
      </c>
      <c r="FP4" s="686">
        <v>3</v>
      </c>
      <c r="FQ4" s="687"/>
      <c r="FR4" s="688">
        <v>100</v>
      </c>
      <c r="FS4" s="686"/>
      <c r="FT4" s="687"/>
      <c r="FU4" s="688" t="s">
        <v>6</v>
      </c>
      <c r="FV4" s="686"/>
      <c r="FW4" s="687"/>
      <c r="FX4" s="688" t="s">
        <v>6</v>
      </c>
      <c r="FY4" s="686"/>
      <c r="FZ4" s="687"/>
      <c r="GA4" s="688" t="s">
        <v>6</v>
      </c>
      <c r="GB4" s="686"/>
      <c r="GC4" s="687"/>
      <c r="GD4" s="688" t="s">
        <v>6</v>
      </c>
      <c r="GE4" s="686"/>
      <c r="GF4" s="687"/>
      <c r="GG4" s="688" t="s">
        <v>6</v>
      </c>
      <c r="GH4" s="686">
        <v>0</v>
      </c>
      <c r="GI4" s="687">
        <v>0</v>
      </c>
      <c r="GJ4" s="688" t="s">
        <v>6</v>
      </c>
      <c r="GK4" s="686">
        <v>1</v>
      </c>
      <c r="GL4" s="687">
        <v>3</v>
      </c>
      <c r="GM4" s="688">
        <v>25</v>
      </c>
      <c r="GN4" s="686">
        <v>6</v>
      </c>
      <c r="GO4" s="687">
        <v>11</v>
      </c>
      <c r="GP4" s="688">
        <v>35.299999999999997</v>
      </c>
      <c r="GQ4" s="686">
        <v>1</v>
      </c>
      <c r="GR4" s="687">
        <v>8</v>
      </c>
      <c r="GS4" s="688">
        <v>11.1</v>
      </c>
      <c r="GT4" s="686">
        <v>1</v>
      </c>
      <c r="GU4" s="687">
        <v>2</v>
      </c>
      <c r="GV4" s="688">
        <v>33.299999999999997</v>
      </c>
      <c r="GW4" s="686"/>
      <c r="GX4" s="687">
        <v>6</v>
      </c>
      <c r="GY4" s="688">
        <v>0</v>
      </c>
      <c r="GZ4" s="686"/>
      <c r="HA4" s="687"/>
      <c r="HB4" s="688" t="s">
        <v>6</v>
      </c>
      <c r="HC4" s="686"/>
      <c r="HD4" s="687">
        <v>2</v>
      </c>
      <c r="HE4" s="688">
        <v>0</v>
      </c>
      <c r="HF4" s="686"/>
      <c r="HG4" s="687">
        <v>6</v>
      </c>
      <c r="HH4" s="688">
        <v>0</v>
      </c>
      <c r="HI4" s="686">
        <v>0</v>
      </c>
      <c r="HJ4" s="687">
        <v>0</v>
      </c>
      <c r="HK4" s="688" t="s">
        <v>6</v>
      </c>
      <c r="HL4" s="686">
        <v>4</v>
      </c>
      <c r="HM4" s="687">
        <v>2</v>
      </c>
      <c r="HN4" s="688">
        <v>66.7</v>
      </c>
      <c r="HO4" s="686"/>
      <c r="HP4" s="687"/>
      <c r="HQ4" s="688" t="s">
        <v>6</v>
      </c>
      <c r="HR4" s="686">
        <v>11</v>
      </c>
      <c r="HS4" s="687"/>
      <c r="HT4" s="688">
        <v>100</v>
      </c>
      <c r="HU4" s="686">
        <v>1</v>
      </c>
      <c r="HV4" s="687">
        <v>4</v>
      </c>
      <c r="HW4" s="688">
        <v>20</v>
      </c>
      <c r="HX4" s="686">
        <v>5</v>
      </c>
      <c r="HY4" s="687"/>
      <c r="HZ4" s="688">
        <v>100</v>
      </c>
      <c r="IA4" s="686">
        <v>6</v>
      </c>
      <c r="IB4" s="687"/>
      <c r="IC4" s="688">
        <v>100</v>
      </c>
      <c r="ID4" s="686"/>
      <c r="IE4" s="687"/>
      <c r="IF4" s="688" t="s">
        <v>6</v>
      </c>
      <c r="IG4" s="686">
        <v>1</v>
      </c>
      <c r="IH4" s="687"/>
      <c r="II4" s="688">
        <v>100</v>
      </c>
      <c r="IJ4" s="686">
        <v>0</v>
      </c>
      <c r="IK4" s="687">
        <v>0</v>
      </c>
      <c r="IL4" s="688" t="s">
        <v>6</v>
      </c>
      <c r="IM4" s="686"/>
      <c r="IN4" s="687"/>
      <c r="IO4" s="688" t="s">
        <v>6</v>
      </c>
      <c r="IP4" s="686"/>
      <c r="IQ4" s="687"/>
      <c r="IR4" s="688" t="s">
        <v>6</v>
      </c>
      <c r="IS4" s="686">
        <v>1</v>
      </c>
      <c r="IT4" s="687"/>
      <c r="IU4" s="688">
        <v>100</v>
      </c>
      <c r="IV4" s="686"/>
      <c r="IW4" s="687"/>
      <c r="IX4" s="688" t="s">
        <v>6</v>
      </c>
      <c r="IY4" s="686">
        <v>1</v>
      </c>
      <c r="IZ4" s="687"/>
      <c r="JA4" s="688">
        <v>100</v>
      </c>
      <c r="JB4" s="686"/>
      <c r="JC4" s="687"/>
      <c r="JD4" s="688" t="s">
        <v>6</v>
      </c>
      <c r="JE4" s="686"/>
      <c r="JF4" s="687"/>
      <c r="JG4" s="688" t="s">
        <v>6</v>
      </c>
      <c r="JH4" s="686">
        <v>1</v>
      </c>
      <c r="JI4" s="687"/>
      <c r="JJ4" s="688">
        <v>100</v>
      </c>
      <c r="JK4" s="686">
        <v>0</v>
      </c>
      <c r="JL4" s="687">
        <v>0</v>
      </c>
      <c r="JM4" s="688" t="s">
        <v>6</v>
      </c>
      <c r="JN4" s="686">
        <v>167</v>
      </c>
      <c r="JO4" s="687">
        <v>49</v>
      </c>
      <c r="JP4" s="688">
        <v>77.3</v>
      </c>
      <c r="JQ4" s="686">
        <v>47</v>
      </c>
      <c r="JR4" s="687">
        <v>74</v>
      </c>
      <c r="JS4" s="688">
        <v>38.799999999999997</v>
      </c>
      <c r="JT4" s="686">
        <v>61</v>
      </c>
      <c r="JU4" s="687">
        <v>62</v>
      </c>
      <c r="JV4" s="688">
        <v>49.6</v>
      </c>
      <c r="JW4" s="686">
        <v>46</v>
      </c>
      <c r="JX4" s="687">
        <v>25</v>
      </c>
      <c r="JY4" s="688">
        <v>64.8</v>
      </c>
      <c r="JZ4" s="686">
        <v>60</v>
      </c>
      <c r="KA4" s="687">
        <v>23</v>
      </c>
      <c r="KB4" s="688">
        <v>72.3</v>
      </c>
      <c r="KC4" s="686">
        <v>41</v>
      </c>
      <c r="KD4" s="687">
        <v>10</v>
      </c>
      <c r="KE4" s="688">
        <v>80.400000000000006</v>
      </c>
      <c r="KF4" s="686">
        <v>35</v>
      </c>
      <c r="KG4" s="687">
        <v>12</v>
      </c>
      <c r="KH4" s="688">
        <v>74.5</v>
      </c>
      <c r="KI4" s="686">
        <v>18</v>
      </c>
      <c r="KJ4" s="687">
        <v>18</v>
      </c>
      <c r="KK4" s="688">
        <v>50</v>
      </c>
      <c r="KL4" s="686">
        <v>24</v>
      </c>
      <c r="KM4" s="687">
        <v>2</v>
      </c>
      <c r="KN4" s="688">
        <v>92.3</v>
      </c>
      <c r="KO4" s="686">
        <v>138</v>
      </c>
      <c r="KP4" s="687">
        <v>31</v>
      </c>
      <c r="KQ4" s="688">
        <v>81.7</v>
      </c>
      <c r="KR4" s="686">
        <v>14</v>
      </c>
      <c r="KS4" s="687">
        <v>47</v>
      </c>
      <c r="KT4" s="688">
        <v>23</v>
      </c>
      <c r="KU4" s="686">
        <v>23</v>
      </c>
      <c r="KV4" s="687">
        <v>54</v>
      </c>
      <c r="KW4" s="688">
        <v>29.9</v>
      </c>
      <c r="KX4" s="686">
        <v>14</v>
      </c>
      <c r="KY4" s="687">
        <v>6</v>
      </c>
      <c r="KZ4" s="688">
        <v>70</v>
      </c>
      <c r="LA4" s="686">
        <v>8</v>
      </c>
      <c r="LB4" s="687">
        <v>2</v>
      </c>
      <c r="LC4" s="688">
        <v>80</v>
      </c>
      <c r="LD4" s="686">
        <v>16</v>
      </c>
      <c r="LE4" s="687"/>
      <c r="LF4" s="688">
        <v>100</v>
      </c>
      <c r="LG4" s="686">
        <v>4</v>
      </c>
      <c r="LH4" s="687">
        <v>1</v>
      </c>
      <c r="LI4" s="688">
        <v>80</v>
      </c>
      <c r="LJ4" s="686">
        <v>4</v>
      </c>
      <c r="LK4" s="687">
        <v>1</v>
      </c>
      <c r="LL4" s="688">
        <v>80</v>
      </c>
      <c r="LM4" s="686">
        <v>7</v>
      </c>
      <c r="LN4" s="687">
        <v>0</v>
      </c>
      <c r="LO4" s="688">
        <v>100</v>
      </c>
      <c r="LP4" s="686"/>
      <c r="LQ4" s="687"/>
      <c r="LR4" s="688" t="s">
        <v>6</v>
      </c>
      <c r="LS4" s="686"/>
      <c r="LT4" s="687">
        <v>2</v>
      </c>
      <c r="LU4" s="688">
        <v>0</v>
      </c>
      <c r="LV4" s="686">
        <v>1</v>
      </c>
      <c r="LW4" s="687"/>
      <c r="LX4" s="688">
        <v>100</v>
      </c>
      <c r="LY4" s="686"/>
      <c r="LZ4" s="687">
        <v>1</v>
      </c>
      <c r="MA4" s="688">
        <v>0</v>
      </c>
      <c r="MB4" s="686">
        <v>1</v>
      </c>
      <c r="MC4" s="687"/>
      <c r="MD4" s="688">
        <v>100</v>
      </c>
      <c r="ME4" s="686">
        <v>7</v>
      </c>
      <c r="MF4" s="687"/>
      <c r="MG4" s="688">
        <v>100</v>
      </c>
      <c r="MH4" s="686">
        <v>1</v>
      </c>
      <c r="MI4" s="687"/>
      <c r="MJ4" s="688">
        <v>100</v>
      </c>
      <c r="MK4" s="686"/>
      <c r="ML4" s="687"/>
      <c r="MM4" s="688" t="s">
        <v>6</v>
      </c>
      <c r="MN4" s="686">
        <v>0</v>
      </c>
      <c r="MO4" s="687">
        <v>0</v>
      </c>
      <c r="MP4" s="688" t="s">
        <v>6</v>
      </c>
      <c r="MQ4" s="686"/>
      <c r="MR4" s="687"/>
      <c r="MS4" s="688" t="s">
        <v>6</v>
      </c>
      <c r="MT4" s="686"/>
      <c r="MU4" s="687"/>
      <c r="MV4" s="688" t="s">
        <v>6</v>
      </c>
      <c r="MW4" s="686"/>
      <c r="MX4" s="687"/>
      <c r="MY4" s="688" t="s">
        <v>6</v>
      </c>
      <c r="MZ4" s="686"/>
      <c r="NA4" s="687"/>
      <c r="NB4" s="688" t="s">
        <v>6</v>
      </c>
      <c r="NC4" s="686"/>
      <c r="ND4" s="687"/>
      <c r="NE4" s="688" t="s">
        <v>6</v>
      </c>
      <c r="NF4" s="686"/>
      <c r="NG4" s="687"/>
      <c r="NH4" s="688" t="s">
        <v>6</v>
      </c>
      <c r="NI4" s="686"/>
      <c r="NJ4" s="687"/>
      <c r="NK4" s="688" t="s">
        <v>6</v>
      </c>
      <c r="NL4" s="686"/>
      <c r="NM4" s="687"/>
      <c r="NN4" s="688" t="s">
        <v>6</v>
      </c>
      <c r="NO4" s="686">
        <v>0</v>
      </c>
      <c r="NP4" s="687">
        <v>0</v>
      </c>
      <c r="NQ4" s="688" t="s">
        <v>6</v>
      </c>
      <c r="NR4" s="686">
        <v>151</v>
      </c>
      <c r="NS4" s="687">
        <v>34</v>
      </c>
      <c r="NT4" s="688">
        <v>81.599999999999994</v>
      </c>
      <c r="NU4" s="686">
        <v>23</v>
      </c>
      <c r="NV4" s="687">
        <v>55</v>
      </c>
      <c r="NW4" s="688">
        <v>29.5</v>
      </c>
      <c r="NX4" s="686">
        <v>48</v>
      </c>
      <c r="NY4" s="687">
        <v>76</v>
      </c>
      <c r="NZ4" s="688">
        <v>38.700000000000003</v>
      </c>
      <c r="OA4" s="686">
        <v>37</v>
      </c>
      <c r="OB4" s="687">
        <v>10</v>
      </c>
      <c r="OC4" s="688">
        <v>78.7</v>
      </c>
      <c r="OD4" s="686">
        <v>21</v>
      </c>
      <c r="OE4" s="687">
        <v>6</v>
      </c>
      <c r="OF4" s="688">
        <v>77.8</v>
      </c>
      <c r="OG4" s="686">
        <v>27</v>
      </c>
      <c r="OH4" s="687">
        <v>1</v>
      </c>
      <c r="OI4" s="688">
        <v>96.4</v>
      </c>
      <c r="OJ4" s="686">
        <v>12</v>
      </c>
      <c r="OK4" s="687">
        <v>2</v>
      </c>
      <c r="OL4" s="688">
        <v>85.7</v>
      </c>
      <c r="OM4" s="686">
        <v>10</v>
      </c>
      <c r="ON4" s="687">
        <v>2</v>
      </c>
      <c r="OO4" s="688">
        <v>83.3</v>
      </c>
      <c r="OP4" s="686">
        <v>17</v>
      </c>
      <c r="OQ4" s="687">
        <v>0</v>
      </c>
      <c r="OR4" s="688">
        <v>100</v>
      </c>
      <c r="OS4" s="686">
        <v>452</v>
      </c>
      <c r="OT4" s="687">
        <v>75</v>
      </c>
      <c r="OU4" s="688">
        <v>85.8</v>
      </c>
      <c r="OV4" s="686">
        <v>173</v>
      </c>
      <c r="OW4" s="687">
        <v>133</v>
      </c>
      <c r="OX4" s="688">
        <v>56.5</v>
      </c>
      <c r="OY4" s="686">
        <v>132</v>
      </c>
      <c r="OZ4" s="687">
        <v>141</v>
      </c>
      <c r="PA4" s="688">
        <v>48.4</v>
      </c>
      <c r="PB4" s="686">
        <v>165</v>
      </c>
      <c r="PC4" s="687">
        <v>37</v>
      </c>
      <c r="PD4" s="688">
        <v>81.7</v>
      </c>
      <c r="PE4" s="686">
        <v>150</v>
      </c>
      <c r="PF4" s="687">
        <v>42</v>
      </c>
      <c r="PG4" s="688">
        <v>78.099999999999994</v>
      </c>
      <c r="PH4" s="686">
        <v>90</v>
      </c>
      <c r="PI4" s="687">
        <v>12</v>
      </c>
      <c r="PJ4" s="688">
        <v>88.2</v>
      </c>
      <c r="PK4" s="686">
        <v>77</v>
      </c>
      <c r="PL4" s="687">
        <v>16</v>
      </c>
      <c r="PM4" s="688">
        <v>82.8</v>
      </c>
      <c r="PN4" s="686">
        <v>270</v>
      </c>
      <c r="PO4" s="687">
        <v>24</v>
      </c>
      <c r="PP4" s="688">
        <v>91.8</v>
      </c>
      <c r="PQ4" s="686">
        <v>58</v>
      </c>
      <c r="PR4" s="687">
        <v>6</v>
      </c>
      <c r="PS4" s="688">
        <v>90.6</v>
      </c>
      <c r="PT4" s="701">
        <f t="shared" ref="PT4:PU11" si="0">SUM(V4,Y4,P4,S4,AB4)</f>
        <v>52</v>
      </c>
      <c r="PU4" s="186">
        <f t="shared" si="0"/>
        <v>37</v>
      </c>
      <c r="PV4" s="679">
        <f t="shared" ref="PV4:PV11" si="1">IFERROR(PT4/(PT4+PU4)*100,"-")</f>
        <v>58.426966292134829</v>
      </c>
      <c r="PW4" s="701">
        <f t="shared" ref="PW4:PX11" si="2">SUM(AW4,AZ4,AQ4,AT4,BC4)</f>
        <v>0</v>
      </c>
      <c r="PX4" s="186">
        <f t="shared" si="2"/>
        <v>0</v>
      </c>
      <c r="PY4" s="679" t="str">
        <f t="shared" ref="PY4:PY11" si="3">IFERROR(PW4/(PW4+PX4)*100,"-")</f>
        <v>-</v>
      </c>
      <c r="PZ4" s="701">
        <f t="shared" ref="PZ4:QA11" si="4">SUM(BX4,CA4,BR4,BU4,CD4)</f>
        <v>12</v>
      </c>
      <c r="QA4" s="186">
        <f t="shared" si="4"/>
        <v>0</v>
      </c>
      <c r="QB4" s="679">
        <f t="shared" ref="QB4:QB11" si="5">IFERROR(PZ4/(PZ4+QA4)*100,"-")</f>
        <v>100</v>
      </c>
      <c r="QC4" s="701">
        <f t="shared" ref="QC4:QD11" si="6">SUM(CY4,DB4,CS4,CV4,DE4)</f>
        <v>0</v>
      </c>
      <c r="QD4" s="186">
        <f t="shared" si="6"/>
        <v>0</v>
      </c>
      <c r="QE4" s="679" t="str">
        <f t="shared" ref="QE4:QE11" si="7">IFERROR(QC4/(QC4+QD4)*100,"-")</f>
        <v>-</v>
      </c>
      <c r="QF4" s="701">
        <f t="shared" ref="QF4:QG11" si="8">SUM(DZ4,EC4,DT4,DW4,EF4)</f>
        <v>6</v>
      </c>
      <c r="QG4" s="186">
        <f t="shared" si="8"/>
        <v>1</v>
      </c>
      <c r="QH4" s="679">
        <f t="shared" ref="QH4:QH11" si="9">IFERROR(QF4/(QF4+QG4)*100,"-")</f>
        <v>85.714285714285708</v>
      </c>
      <c r="QI4" s="701">
        <f t="shared" ref="QI4:QJ11" si="10">SUM(FA4,FD4,EU4,EX4,FG4)</f>
        <v>2</v>
      </c>
      <c r="QJ4" s="186">
        <f t="shared" si="10"/>
        <v>1</v>
      </c>
      <c r="QK4" s="679">
        <f t="shared" ref="QK4:QK11" si="11">IFERROR(QI4/(QI4+QJ4)*100,"-")</f>
        <v>66.666666666666657</v>
      </c>
      <c r="QL4" s="701">
        <f t="shared" ref="QL4:QM11" si="12">SUM(GB4,GE4,FV4,FY4,GH4)</f>
        <v>0</v>
      </c>
      <c r="QM4" s="186">
        <f t="shared" si="12"/>
        <v>0</v>
      </c>
      <c r="QN4" s="679" t="str">
        <f t="shared" ref="QN4:QN11" si="13">IFERROR(QL4/(QL4+QM4)*100,"-")</f>
        <v>-</v>
      </c>
      <c r="QO4" s="701">
        <f t="shared" ref="QO4:QP11" si="14">SUM(HC4,HF4,GW4,GZ4,HI4)</f>
        <v>0</v>
      </c>
      <c r="QP4" s="186">
        <f t="shared" si="14"/>
        <v>14</v>
      </c>
      <c r="QQ4" s="679">
        <f t="shared" ref="QQ4:QQ11" si="15">IFERROR(QO4/(QO4+QP4)*100,"-")</f>
        <v>0</v>
      </c>
      <c r="QR4" s="701">
        <f t="shared" ref="QR4:QS11" si="16">SUM(ID4,IG4,HX4,IA4,IJ4)</f>
        <v>12</v>
      </c>
      <c r="QS4" s="186">
        <f t="shared" si="16"/>
        <v>0</v>
      </c>
      <c r="QT4" s="679">
        <f t="shared" ref="QT4:QT11" si="17">IFERROR(QR4/(QR4+QS4)*100,"-")</f>
        <v>100</v>
      </c>
      <c r="QU4" s="701">
        <f t="shared" ref="QU4:QV11" si="18">SUM(JE4,JH4,IY4,JB4,JK4)</f>
        <v>2</v>
      </c>
      <c r="QV4" s="186">
        <f t="shared" si="18"/>
        <v>0</v>
      </c>
      <c r="QW4" s="679">
        <f t="shared" ref="QW4:QW11" si="19">IFERROR(QU4/(QU4+QV4)*100,"-")</f>
        <v>100</v>
      </c>
      <c r="QX4" s="701">
        <f t="shared" ref="QX4:QY11" si="20">SUM(KF4,KI4,JZ4,KC4,KL4)</f>
        <v>178</v>
      </c>
      <c r="QY4" s="186">
        <f t="shared" si="20"/>
        <v>65</v>
      </c>
      <c r="QZ4" s="679">
        <f t="shared" ref="QZ4:QZ11" si="21">IFERROR(QX4/(QX4+QY4)*100,"-")</f>
        <v>73.251028806584358</v>
      </c>
      <c r="RA4" s="701">
        <f t="shared" ref="RA4:RB11" si="22">SUM(LG4,LJ4,LA4,LD4,LM4)</f>
        <v>39</v>
      </c>
      <c r="RB4" s="186">
        <f t="shared" si="22"/>
        <v>4</v>
      </c>
      <c r="RC4" s="679">
        <f t="shared" ref="RC4:RC11" si="23">IFERROR(RA4/(RA4+RB4)*100,"-")</f>
        <v>90.697674418604649</v>
      </c>
      <c r="RD4" s="701">
        <f t="shared" ref="RD4:RE11" si="24">SUM(MH4,MK4,MB4,ME4,MN4)</f>
        <v>9</v>
      </c>
      <c r="RE4" s="186">
        <f t="shared" si="24"/>
        <v>0</v>
      </c>
      <c r="RF4" s="679">
        <f t="shared" ref="RF4:RF11" si="25">IFERROR(RD4/(RD4+RE4)*100,"-")</f>
        <v>100</v>
      </c>
      <c r="RG4" s="701">
        <f t="shared" ref="RG4:RH11" si="26">SUM(NI4,NL4,NC4,NF4,NO4)</f>
        <v>0</v>
      </c>
      <c r="RH4" s="186">
        <f t="shared" si="26"/>
        <v>0</v>
      </c>
      <c r="RI4" s="679" t="str">
        <f t="shared" ref="RI4:RI11" si="27">IFERROR(RG4/(RG4+RH4)*100,"-")</f>
        <v>-</v>
      </c>
      <c r="RJ4" s="701">
        <f t="shared" ref="RJ4:RK11" si="28">SUM(OJ4,OM4,OD4,OG4,OP4)</f>
        <v>87</v>
      </c>
      <c r="RK4" s="186">
        <f t="shared" si="28"/>
        <v>11</v>
      </c>
      <c r="RL4" s="679">
        <f t="shared" ref="RL4:RL11" si="29">IFERROR(RJ4/(RJ4+RK4)*100,"-")</f>
        <v>88.775510204081627</v>
      </c>
      <c r="RM4" s="701">
        <f t="shared" ref="RM4:RN11" si="30">SUM(PK4,PN4,PE4,PH4,PQ4)</f>
        <v>645</v>
      </c>
      <c r="RN4" s="186">
        <f t="shared" si="30"/>
        <v>100</v>
      </c>
      <c r="RO4" s="679">
        <f t="shared" ref="RO4:RO11" si="31">IFERROR(RM4/(RM4+RN4)*100,"-")</f>
        <v>86.577181208053688</v>
      </c>
    </row>
    <row r="5" spans="1:483" x14ac:dyDescent="0.2">
      <c r="A5" s="986"/>
      <c r="B5" s="741"/>
      <c r="C5" s="881" t="s">
        <v>1198</v>
      </c>
      <c r="D5" s="689">
        <v>564</v>
      </c>
      <c r="E5" s="690">
        <v>1342</v>
      </c>
      <c r="F5" s="691">
        <v>29.6</v>
      </c>
      <c r="G5" s="689">
        <v>400</v>
      </c>
      <c r="H5" s="690">
        <v>1197</v>
      </c>
      <c r="I5" s="691">
        <v>25</v>
      </c>
      <c r="J5" s="689">
        <v>359</v>
      </c>
      <c r="K5" s="690">
        <v>1072</v>
      </c>
      <c r="L5" s="691">
        <v>25.1</v>
      </c>
      <c r="M5" s="689">
        <v>315</v>
      </c>
      <c r="N5" s="690">
        <v>745</v>
      </c>
      <c r="O5" s="691">
        <v>29.7</v>
      </c>
      <c r="P5" s="689">
        <v>471</v>
      </c>
      <c r="Q5" s="690">
        <v>773</v>
      </c>
      <c r="R5" s="691">
        <v>37.9</v>
      </c>
      <c r="S5" s="689">
        <v>362</v>
      </c>
      <c r="T5" s="690">
        <v>585</v>
      </c>
      <c r="U5" s="691">
        <v>38.200000000000003</v>
      </c>
      <c r="V5" s="689">
        <v>291</v>
      </c>
      <c r="W5" s="690">
        <v>393</v>
      </c>
      <c r="X5" s="691">
        <v>42.5</v>
      </c>
      <c r="Y5" s="689">
        <v>285</v>
      </c>
      <c r="Z5" s="690">
        <v>364</v>
      </c>
      <c r="AA5" s="691">
        <v>43.9</v>
      </c>
      <c r="AB5" s="689">
        <v>143</v>
      </c>
      <c r="AC5" s="690">
        <v>266</v>
      </c>
      <c r="AD5" s="691">
        <v>35</v>
      </c>
      <c r="AE5" s="689">
        <v>1</v>
      </c>
      <c r="AF5" s="690">
        <v>4</v>
      </c>
      <c r="AG5" s="691">
        <v>20</v>
      </c>
      <c r="AH5" s="689">
        <v>1</v>
      </c>
      <c r="AI5" s="690">
        <v>6</v>
      </c>
      <c r="AJ5" s="691">
        <v>14.3</v>
      </c>
      <c r="AK5" s="689">
        <v>4</v>
      </c>
      <c r="AL5" s="690">
        <v>3</v>
      </c>
      <c r="AM5" s="691">
        <v>57.1</v>
      </c>
      <c r="AN5" s="689"/>
      <c r="AO5" s="690">
        <v>3</v>
      </c>
      <c r="AP5" s="691">
        <v>0</v>
      </c>
      <c r="AQ5" s="689">
        <v>3</v>
      </c>
      <c r="AR5" s="690"/>
      <c r="AS5" s="691">
        <v>100</v>
      </c>
      <c r="AT5" s="689"/>
      <c r="AU5" s="690">
        <v>1</v>
      </c>
      <c r="AV5" s="691">
        <v>0</v>
      </c>
      <c r="AW5" s="689">
        <v>2</v>
      </c>
      <c r="AX5" s="690">
        <v>1</v>
      </c>
      <c r="AY5" s="691">
        <v>66.7</v>
      </c>
      <c r="AZ5" s="689">
        <v>2</v>
      </c>
      <c r="BA5" s="690"/>
      <c r="BB5" s="691">
        <v>100</v>
      </c>
      <c r="BC5" s="689">
        <v>0</v>
      </c>
      <c r="BD5" s="690">
        <v>0</v>
      </c>
      <c r="BE5" s="691" t="s">
        <v>6</v>
      </c>
      <c r="BF5" s="689">
        <v>33</v>
      </c>
      <c r="BG5" s="690">
        <v>71</v>
      </c>
      <c r="BH5" s="691">
        <v>31.7</v>
      </c>
      <c r="BI5" s="689">
        <v>5</v>
      </c>
      <c r="BJ5" s="690">
        <v>26</v>
      </c>
      <c r="BK5" s="691">
        <v>16.100000000000001</v>
      </c>
      <c r="BL5" s="689">
        <v>7</v>
      </c>
      <c r="BM5" s="690">
        <v>29</v>
      </c>
      <c r="BN5" s="691">
        <v>19.399999999999999</v>
      </c>
      <c r="BO5" s="689">
        <v>3</v>
      </c>
      <c r="BP5" s="690">
        <v>21</v>
      </c>
      <c r="BQ5" s="691">
        <v>12.5</v>
      </c>
      <c r="BR5" s="689">
        <v>23</v>
      </c>
      <c r="BS5" s="690">
        <v>7</v>
      </c>
      <c r="BT5" s="691">
        <v>76.7</v>
      </c>
      <c r="BU5" s="689">
        <v>7</v>
      </c>
      <c r="BV5" s="690">
        <v>19</v>
      </c>
      <c r="BW5" s="691">
        <v>26.9</v>
      </c>
      <c r="BX5" s="689"/>
      <c r="BY5" s="690">
        <v>8</v>
      </c>
      <c r="BZ5" s="691">
        <v>0</v>
      </c>
      <c r="CA5" s="689">
        <v>2</v>
      </c>
      <c r="CB5" s="690">
        <v>7</v>
      </c>
      <c r="CC5" s="691">
        <v>22.2</v>
      </c>
      <c r="CD5" s="689">
        <v>0</v>
      </c>
      <c r="CE5" s="690">
        <v>5</v>
      </c>
      <c r="CF5" s="691">
        <v>0</v>
      </c>
      <c r="CG5" s="689">
        <v>42</v>
      </c>
      <c r="CH5" s="690">
        <v>127</v>
      </c>
      <c r="CI5" s="691">
        <v>24.9</v>
      </c>
      <c r="CJ5" s="689">
        <v>8</v>
      </c>
      <c r="CK5" s="690">
        <v>115</v>
      </c>
      <c r="CL5" s="691">
        <v>6.5</v>
      </c>
      <c r="CM5" s="689">
        <v>16</v>
      </c>
      <c r="CN5" s="690">
        <v>99</v>
      </c>
      <c r="CO5" s="691">
        <v>13.9</v>
      </c>
      <c r="CP5" s="689">
        <v>18</v>
      </c>
      <c r="CQ5" s="690">
        <v>66</v>
      </c>
      <c r="CR5" s="691">
        <v>21.4</v>
      </c>
      <c r="CS5" s="689">
        <v>21</v>
      </c>
      <c r="CT5" s="690">
        <v>69</v>
      </c>
      <c r="CU5" s="691">
        <v>23.3</v>
      </c>
      <c r="CV5" s="689">
        <v>37</v>
      </c>
      <c r="CW5" s="690">
        <v>94</v>
      </c>
      <c r="CX5" s="691">
        <v>28.2</v>
      </c>
      <c r="CY5" s="689">
        <v>59</v>
      </c>
      <c r="CZ5" s="690">
        <v>76</v>
      </c>
      <c r="DA5" s="691">
        <v>43.7</v>
      </c>
      <c r="DB5" s="689">
        <v>26</v>
      </c>
      <c r="DC5" s="690">
        <v>41</v>
      </c>
      <c r="DD5" s="691">
        <v>38.799999999999997</v>
      </c>
      <c r="DE5" s="689">
        <v>23</v>
      </c>
      <c r="DF5" s="690">
        <v>32</v>
      </c>
      <c r="DG5" s="691">
        <v>41.8</v>
      </c>
      <c r="DH5" s="689">
        <v>29</v>
      </c>
      <c r="DI5" s="690">
        <v>11</v>
      </c>
      <c r="DJ5" s="691">
        <v>72.5</v>
      </c>
      <c r="DK5" s="689">
        <v>13</v>
      </c>
      <c r="DL5" s="690">
        <v>9</v>
      </c>
      <c r="DM5" s="691">
        <v>59.1</v>
      </c>
      <c r="DN5" s="689">
        <v>7</v>
      </c>
      <c r="DO5" s="690">
        <v>9</v>
      </c>
      <c r="DP5" s="691">
        <v>43.8</v>
      </c>
      <c r="DQ5" s="689">
        <v>5</v>
      </c>
      <c r="DR5" s="690"/>
      <c r="DS5" s="691">
        <v>100</v>
      </c>
      <c r="DT5" s="689">
        <v>6</v>
      </c>
      <c r="DU5" s="690">
        <v>4</v>
      </c>
      <c r="DV5" s="691">
        <v>60</v>
      </c>
      <c r="DW5" s="689">
        <v>6</v>
      </c>
      <c r="DX5" s="690">
        <v>2</v>
      </c>
      <c r="DY5" s="691">
        <v>75</v>
      </c>
      <c r="DZ5" s="689">
        <v>7</v>
      </c>
      <c r="EA5" s="690"/>
      <c r="EB5" s="691">
        <v>100</v>
      </c>
      <c r="EC5" s="689">
        <v>2</v>
      </c>
      <c r="ED5" s="690"/>
      <c r="EE5" s="691">
        <v>100</v>
      </c>
      <c r="EF5" s="689">
        <v>0</v>
      </c>
      <c r="EG5" s="690">
        <v>0</v>
      </c>
      <c r="EH5" s="691" t="s">
        <v>6</v>
      </c>
      <c r="EI5" s="689"/>
      <c r="EJ5" s="690"/>
      <c r="EK5" s="691" t="s">
        <v>6</v>
      </c>
      <c r="EL5" s="689">
        <v>3</v>
      </c>
      <c r="EM5" s="690">
        <v>4</v>
      </c>
      <c r="EN5" s="691">
        <v>42.9</v>
      </c>
      <c r="EO5" s="689">
        <v>4</v>
      </c>
      <c r="EP5" s="690">
        <v>3</v>
      </c>
      <c r="EQ5" s="691">
        <v>57.1</v>
      </c>
      <c r="ER5" s="689">
        <v>4</v>
      </c>
      <c r="ES5" s="690">
        <v>1</v>
      </c>
      <c r="ET5" s="691">
        <v>80</v>
      </c>
      <c r="EU5" s="689">
        <v>4</v>
      </c>
      <c r="EV5" s="690"/>
      <c r="EW5" s="691">
        <v>100</v>
      </c>
      <c r="EX5" s="689">
        <v>1</v>
      </c>
      <c r="EY5" s="690"/>
      <c r="EZ5" s="691">
        <v>100</v>
      </c>
      <c r="FA5" s="689">
        <v>22</v>
      </c>
      <c r="FB5" s="690">
        <v>1</v>
      </c>
      <c r="FC5" s="691">
        <v>95.7</v>
      </c>
      <c r="FD5" s="689">
        <v>13</v>
      </c>
      <c r="FE5" s="690">
        <v>2</v>
      </c>
      <c r="FF5" s="691">
        <v>86.7</v>
      </c>
      <c r="FG5" s="689">
        <v>1</v>
      </c>
      <c r="FH5" s="690">
        <v>0</v>
      </c>
      <c r="FI5" s="691">
        <v>100</v>
      </c>
      <c r="FJ5" s="689">
        <v>5</v>
      </c>
      <c r="FK5" s="690">
        <v>5</v>
      </c>
      <c r="FL5" s="691">
        <v>50</v>
      </c>
      <c r="FM5" s="689">
        <v>3</v>
      </c>
      <c r="FN5" s="690">
        <v>7</v>
      </c>
      <c r="FO5" s="691">
        <v>30</v>
      </c>
      <c r="FP5" s="689">
        <v>2</v>
      </c>
      <c r="FQ5" s="690">
        <v>5</v>
      </c>
      <c r="FR5" s="691">
        <v>28.6</v>
      </c>
      <c r="FS5" s="689">
        <v>1</v>
      </c>
      <c r="FT5" s="690">
        <v>1</v>
      </c>
      <c r="FU5" s="691">
        <v>50</v>
      </c>
      <c r="FV5" s="689">
        <v>4</v>
      </c>
      <c r="FW5" s="690">
        <v>3</v>
      </c>
      <c r="FX5" s="691">
        <v>57.1</v>
      </c>
      <c r="FY5" s="689">
        <v>2</v>
      </c>
      <c r="FZ5" s="690">
        <v>4</v>
      </c>
      <c r="GA5" s="691">
        <v>33.299999999999997</v>
      </c>
      <c r="GB5" s="689"/>
      <c r="GC5" s="690">
        <v>1</v>
      </c>
      <c r="GD5" s="691">
        <v>0</v>
      </c>
      <c r="GE5" s="689">
        <v>2</v>
      </c>
      <c r="GF5" s="690">
        <v>2</v>
      </c>
      <c r="GG5" s="691">
        <v>50</v>
      </c>
      <c r="GH5" s="689">
        <v>15</v>
      </c>
      <c r="GI5" s="690">
        <v>0</v>
      </c>
      <c r="GJ5" s="691">
        <v>100</v>
      </c>
      <c r="GK5" s="689">
        <v>35</v>
      </c>
      <c r="GL5" s="690">
        <v>127</v>
      </c>
      <c r="GM5" s="691">
        <v>21.6</v>
      </c>
      <c r="GN5" s="689">
        <v>38</v>
      </c>
      <c r="GO5" s="690">
        <v>93</v>
      </c>
      <c r="GP5" s="691">
        <v>29</v>
      </c>
      <c r="GQ5" s="689">
        <v>27</v>
      </c>
      <c r="GR5" s="690">
        <v>71</v>
      </c>
      <c r="GS5" s="691">
        <v>27.6</v>
      </c>
      <c r="GT5" s="689">
        <v>27</v>
      </c>
      <c r="GU5" s="690">
        <v>64</v>
      </c>
      <c r="GV5" s="691">
        <v>29.7</v>
      </c>
      <c r="GW5" s="689">
        <v>29</v>
      </c>
      <c r="GX5" s="690">
        <v>66</v>
      </c>
      <c r="GY5" s="691">
        <v>30.5</v>
      </c>
      <c r="GZ5" s="689">
        <v>22</v>
      </c>
      <c r="HA5" s="690">
        <v>58</v>
      </c>
      <c r="HB5" s="691">
        <v>27.5</v>
      </c>
      <c r="HC5" s="689">
        <v>22</v>
      </c>
      <c r="HD5" s="690">
        <v>49</v>
      </c>
      <c r="HE5" s="691">
        <v>31</v>
      </c>
      <c r="HF5" s="689">
        <v>31</v>
      </c>
      <c r="HG5" s="690">
        <v>52</v>
      </c>
      <c r="HH5" s="691">
        <v>37.299999999999997</v>
      </c>
      <c r="HI5" s="689">
        <v>8</v>
      </c>
      <c r="HJ5" s="690">
        <v>64</v>
      </c>
      <c r="HK5" s="691">
        <v>11.1</v>
      </c>
      <c r="HL5" s="689">
        <v>3</v>
      </c>
      <c r="HM5" s="690">
        <v>2</v>
      </c>
      <c r="HN5" s="691">
        <v>60</v>
      </c>
      <c r="HO5" s="689">
        <v>21</v>
      </c>
      <c r="HP5" s="690">
        <v>3</v>
      </c>
      <c r="HQ5" s="691">
        <v>87.5</v>
      </c>
      <c r="HR5" s="689">
        <v>10</v>
      </c>
      <c r="HS5" s="690">
        <v>7</v>
      </c>
      <c r="HT5" s="691">
        <v>58.8</v>
      </c>
      <c r="HU5" s="689">
        <v>5</v>
      </c>
      <c r="HV5" s="690">
        <v>1</v>
      </c>
      <c r="HW5" s="691">
        <v>83.3</v>
      </c>
      <c r="HX5" s="689">
        <v>14</v>
      </c>
      <c r="HY5" s="690">
        <v>3</v>
      </c>
      <c r="HZ5" s="691">
        <v>82.4</v>
      </c>
      <c r="IA5" s="689">
        <v>14</v>
      </c>
      <c r="IB5" s="690">
        <v>2</v>
      </c>
      <c r="IC5" s="691">
        <v>87.5</v>
      </c>
      <c r="ID5" s="689">
        <v>4</v>
      </c>
      <c r="IE5" s="690">
        <v>1</v>
      </c>
      <c r="IF5" s="691">
        <v>80</v>
      </c>
      <c r="IG5" s="689">
        <v>2</v>
      </c>
      <c r="IH5" s="690">
        <v>1</v>
      </c>
      <c r="II5" s="691">
        <v>66.7</v>
      </c>
      <c r="IJ5" s="689">
        <v>1</v>
      </c>
      <c r="IK5" s="690">
        <v>0</v>
      </c>
      <c r="IL5" s="691">
        <v>100</v>
      </c>
      <c r="IM5" s="689">
        <v>4</v>
      </c>
      <c r="IN5" s="690">
        <v>3</v>
      </c>
      <c r="IO5" s="691">
        <v>57.1</v>
      </c>
      <c r="IP5" s="689">
        <v>7</v>
      </c>
      <c r="IQ5" s="690">
        <v>2</v>
      </c>
      <c r="IR5" s="691">
        <v>77.8</v>
      </c>
      <c r="IS5" s="689">
        <v>4</v>
      </c>
      <c r="IT5" s="690">
        <v>1</v>
      </c>
      <c r="IU5" s="691">
        <v>80</v>
      </c>
      <c r="IV5" s="689">
        <v>4</v>
      </c>
      <c r="IW5" s="690">
        <v>2</v>
      </c>
      <c r="IX5" s="691">
        <v>66.7</v>
      </c>
      <c r="IY5" s="689">
        <v>8</v>
      </c>
      <c r="IZ5" s="690">
        <v>2</v>
      </c>
      <c r="JA5" s="691">
        <v>80</v>
      </c>
      <c r="JB5" s="689">
        <v>9</v>
      </c>
      <c r="JC5" s="690"/>
      <c r="JD5" s="691">
        <v>100</v>
      </c>
      <c r="JE5" s="689">
        <v>8</v>
      </c>
      <c r="JF5" s="690">
        <v>1</v>
      </c>
      <c r="JG5" s="691">
        <v>88.9</v>
      </c>
      <c r="JH5" s="689">
        <v>18</v>
      </c>
      <c r="JI5" s="690">
        <v>3</v>
      </c>
      <c r="JJ5" s="691">
        <v>85.7</v>
      </c>
      <c r="JK5" s="689">
        <v>5</v>
      </c>
      <c r="JL5" s="690">
        <v>3</v>
      </c>
      <c r="JM5" s="691">
        <v>62.5</v>
      </c>
      <c r="JN5" s="689">
        <v>999</v>
      </c>
      <c r="JO5" s="690">
        <v>1590</v>
      </c>
      <c r="JP5" s="691">
        <v>38.6</v>
      </c>
      <c r="JQ5" s="689">
        <v>857</v>
      </c>
      <c r="JR5" s="690">
        <v>1399</v>
      </c>
      <c r="JS5" s="691">
        <v>38</v>
      </c>
      <c r="JT5" s="689">
        <v>771</v>
      </c>
      <c r="JU5" s="690">
        <v>1281</v>
      </c>
      <c r="JV5" s="691">
        <v>37.6</v>
      </c>
      <c r="JW5" s="689">
        <v>682</v>
      </c>
      <c r="JX5" s="690">
        <v>902</v>
      </c>
      <c r="JY5" s="691">
        <v>43.1</v>
      </c>
      <c r="JZ5" s="689">
        <v>859</v>
      </c>
      <c r="KA5" s="690">
        <v>931</v>
      </c>
      <c r="KB5" s="691">
        <v>48</v>
      </c>
      <c r="KC5" s="689">
        <v>668</v>
      </c>
      <c r="KD5" s="690">
        <v>705</v>
      </c>
      <c r="KE5" s="691">
        <v>48.7</v>
      </c>
      <c r="KF5" s="689">
        <v>540</v>
      </c>
      <c r="KG5" s="690">
        <v>520</v>
      </c>
      <c r="KH5" s="691">
        <v>50.9</v>
      </c>
      <c r="KI5" s="689">
        <v>563</v>
      </c>
      <c r="KJ5" s="690">
        <v>498</v>
      </c>
      <c r="KK5" s="691">
        <v>53.1</v>
      </c>
      <c r="KL5" s="689">
        <v>346</v>
      </c>
      <c r="KM5" s="690">
        <v>364</v>
      </c>
      <c r="KN5" s="691">
        <v>48.7</v>
      </c>
      <c r="KO5" s="689">
        <v>339</v>
      </c>
      <c r="KP5" s="690">
        <v>443</v>
      </c>
      <c r="KQ5" s="691">
        <v>43.4</v>
      </c>
      <c r="KR5" s="689">
        <v>337</v>
      </c>
      <c r="KS5" s="690">
        <v>390</v>
      </c>
      <c r="KT5" s="691">
        <v>46.4</v>
      </c>
      <c r="KU5" s="689">
        <v>316</v>
      </c>
      <c r="KV5" s="690">
        <v>378</v>
      </c>
      <c r="KW5" s="691">
        <v>45.5</v>
      </c>
      <c r="KX5" s="689">
        <v>231</v>
      </c>
      <c r="KY5" s="690">
        <v>235</v>
      </c>
      <c r="KZ5" s="691">
        <v>49.6</v>
      </c>
      <c r="LA5" s="689">
        <v>187</v>
      </c>
      <c r="LB5" s="690">
        <v>153</v>
      </c>
      <c r="LC5" s="691">
        <v>55</v>
      </c>
      <c r="LD5" s="689">
        <v>144</v>
      </c>
      <c r="LE5" s="690">
        <v>141</v>
      </c>
      <c r="LF5" s="691">
        <v>50.5</v>
      </c>
      <c r="LG5" s="689">
        <v>162</v>
      </c>
      <c r="LH5" s="690">
        <v>94</v>
      </c>
      <c r="LI5" s="691">
        <v>63.3</v>
      </c>
      <c r="LJ5" s="689">
        <v>156</v>
      </c>
      <c r="LK5" s="690">
        <v>43</v>
      </c>
      <c r="LL5" s="691">
        <v>78.400000000000006</v>
      </c>
      <c r="LM5" s="689">
        <v>116</v>
      </c>
      <c r="LN5" s="690">
        <v>137</v>
      </c>
      <c r="LO5" s="691">
        <v>45.8</v>
      </c>
      <c r="LP5" s="689">
        <v>2</v>
      </c>
      <c r="LQ5" s="690">
        <v>7</v>
      </c>
      <c r="LR5" s="691">
        <v>22.2</v>
      </c>
      <c r="LS5" s="689">
        <v>3</v>
      </c>
      <c r="LT5" s="690">
        <v>12</v>
      </c>
      <c r="LU5" s="691">
        <v>20</v>
      </c>
      <c r="LV5" s="689">
        <v>2</v>
      </c>
      <c r="LW5" s="690">
        <v>14</v>
      </c>
      <c r="LX5" s="691">
        <v>12.5</v>
      </c>
      <c r="LY5" s="689">
        <v>5</v>
      </c>
      <c r="LZ5" s="690">
        <v>3</v>
      </c>
      <c r="MA5" s="691">
        <v>62.5</v>
      </c>
      <c r="MB5" s="689">
        <v>5</v>
      </c>
      <c r="MC5" s="690">
        <v>7</v>
      </c>
      <c r="MD5" s="691">
        <v>41.7</v>
      </c>
      <c r="ME5" s="689">
        <v>5</v>
      </c>
      <c r="MF5" s="690">
        <v>5</v>
      </c>
      <c r="MG5" s="691">
        <v>50</v>
      </c>
      <c r="MH5" s="689">
        <v>6</v>
      </c>
      <c r="MI5" s="690">
        <v>5</v>
      </c>
      <c r="MJ5" s="691">
        <v>54.5</v>
      </c>
      <c r="MK5" s="689">
        <v>5</v>
      </c>
      <c r="ML5" s="690">
        <v>2</v>
      </c>
      <c r="MM5" s="691">
        <v>71.400000000000006</v>
      </c>
      <c r="MN5" s="689">
        <v>1</v>
      </c>
      <c r="MO5" s="690">
        <v>1</v>
      </c>
      <c r="MP5" s="691">
        <v>50</v>
      </c>
      <c r="MQ5" s="689">
        <v>1</v>
      </c>
      <c r="MR5" s="690">
        <v>2</v>
      </c>
      <c r="MS5" s="691">
        <v>33.299999999999997</v>
      </c>
      <c r="MT5" s="689">
        <v>4</v>
      </c>
      <c r="MU5" s="690">
        <v>8</v>
      </c>
      <c r="MV5" s="691">
        <v>33.299999999999997</v>
      </c>
      <c r="MW5" s="689">
        <v>2</v>
      </c>
      <c r="MX5" s="690">
        <v>1</v>
      </c>
      <c r="MY5" s="691">
        <v>66.7</v>
      </c>
      <c r="MZ5" s="689">
        <v>3</v>
      </c>
      <c r="NA5" s="690">
        <v>2</v>
      </c>
      <c r="NB5" s="691">
        <v>60</v>
      </c>
      <c r="NC5" s="689">
        <v>2</v>
      </c>
      <c r="ND5" s="690">
        <v>1</v>
      </c>
      <c r="NE5" s="691">
        <v>66.7</v>
      </c>
      <c r="NF5" s="689">
        <v>3</v>
      </c>
      <c r="NG5" s="690">
        <v>1</v>
      </c>
      <c r="NH5" s="691">
        <v>75</v>
      </c>
      <c r="NI5" s="689">
        <v>3</v>
      </c>
      <c r="NJ5" s="690">
        <v>1</v>
      </c>
      <c r="NK5" s="691">
        <v>75</v>
      </c>
      <c r="NL5" s="689">
        <v>4</v>
      </c>
      <c r="NM5" s="690">
        <v>1</v>
      </c>
      <c r="NN5" s="691">
        <v>80</v>
      </c>
      <c r="NO5" s="689">
        <v>4</v>
      </c>
      <c r="NP5" s="690">
        <v>1</v>
      </c>
      <c r="NQ5" s="691">
        <v>80</v>
      </c>
      <c r="NR5" s="689">
        <v>551</v>
      </c>
      <c r="NS5" s="690">
        <v>502</v>
      </c>
      <c r="NT5" s="691">
        <v>52.3</v>
      </c>
      <c r="NU5" s="689">
        <v>564</v>
      </c>
      <c r="NV5" s="690">
        <v>451</v>
      </c>
      <c r="NW5" s="691">
        <v>55.6</v>
      </c>
      <c r="NX5" s="689">
        <v>510</v>
      </c>
      <c r="NY5" s="690">
        <v>466</v>
      </c>
      <c r="NZ5" s="691">
        <v>52.3</v>
      </c>
      <c r="OA5" s="689">
        <v>522</v>
      </c>
      <c r="OB5" s="690">
        <v>307</v>
      </c>
      <c r="OC5" s="691">
        <v>63</v>
      </c>
      <c r="OD5" s="689">
        <v>472</v>
      </c>
      <c r="OE5" s="690">
        <v>189</v>
      </c>
      <c r="OF5" s="691">
        <v>71.400000000000006</v>
      </c>
      <c r="OG5" s="689">
        <v>418</v>
      </c>
      <c r="OH5" s="690">
        <v>179</v>
      </c>
      <c r="OI5" s="691">
        <v>70</v>
      </c>
      <c r="OJ5" s="689">
        <v>394</v>
      </c>
      <c r="OK5" s="690">
        <v>126</v>
      </c>
      <c r="OL5" s="691">
        <v>75.8</v>
      </c>
      <c r="OM5" s="689">
        <v>462</v>
      </c>
      <c r="ON5" s="690">
        <v>95</v>
      </c>
      <c r="OO5" s="691">
        <v>82.9</v>
      </c>
      <c r="OP5" s="689">
        <v>370</v>
      </c>
      <c r="OQ5" s="690">
        <v>175</v>
      </c>
      <c r="OR5" s="691">
        <v>67.900000000000006</v>
      </c>
      <c r="OS5" s="689">
        <v>1997</v>
      </c>
      <c r="OT5" s="690">
        <v>1993</v>
      </c>
      <c r="OU5" s="691">
        <v>50.1</v>
      </c>
      <c r="OV5" s="689">
        <v>1691</v>
      </c>
      <c r="OW5" s="690">
        <v>2502</v>
      </c>
      <c r="OX5" s="691">
        <v>40.299999999999997</v>
      </c>
      <c r="OY5" s="689">
        <v>1580</v>
      </c>
      <c r="OZ5" s="690">
        <v>2274</v>
      </c>
      <c r="PA5" s="691">
        <v>41</v>
      </c>
      <c r="PB5" s="689">
        <v>1543</v>
      </c>
      <c r="PC5" s="690">
        <v>1251</v>
      </c>
      <c r="PD5" s="691">
        <v>55.2</v>
      </c>
      <c r="PE5" s="689">
        <v>1682</v>
      </c>
      <c r="PF5" s="690">
        <v>1211</v>
      </c>
      <c r="PG5" s="691">
        <v>58.1</v>
      </c>
      <c r="PH5" s="689">
        <v>2121</v>
      </c>
      <c r="PI5" s="690">
        <v>937</v>
      </c>
      <c r="PJ5" s="691">
        <v>69.400000000000006</v>
      </c>
      <c r="PK5" s="689">
        <v>1338</v>
      </c>
      <c r="PL5" s="690">
        <v>798</v>
      </c>
      <c r="PM5" s="691">
        <v>62.6</v>
      </c>
      <c r="PN5" s="689">
        <v>1522</v>
      </c>
      <c r="PO5" s="690">
        <v>753</v>
      </c>
      <c r="PP5" s="691">
        <v>66.900000000000006</v>
      </c>
      <c r="PQ5" s="689">
        <v>1402</v>
      </c>
      <c r="PR5" s="690">
        <v>668</v>
      </c>
      <c r="PS5" s="691">
        <v>67.7</v>
      </c>
      <c r="PT5" s="692">
        <f t="shared" si="0"/>
        <v>1552</v>
      </c>
      <c r="PU5" s="183">
        <f t="shared" si="0"/>
        <v>2381</v>
      </c>
      <c r="PV5" s="438">
        <f t="shared" si="1"/>
        <v>39.460971268751585</v>
      </c>
      <c r="PW5" s="692">
        <f t="shared" si="2"/>
        <v>7</v>
      </c>
      <c r="PX5" s="183">
        <f t="shared" si="2"/>
        <v>2</v>
      </c>
      <c r="PY5" s="438">
        <f t="shared" si="3"/>
        <v>77.777777777777786</v>
      </c>
      <c r="PZ5" s="692">
        <f t="shared" si="4"/>
        <v>32</v>
      </c>
      <c r="QA5" s="183">
        <f t="shared" si="4"/>
        <v>46</v>
      </c>
      <c r="QB5" s="438">
        <f t="shared" si="5"/>
        <v>41.025641025641022</v>
      </c>
      <c r="QC5" s="692">
        <f t="shared" si="6"/>
        <v>166</v>
      </c>
      <c r="QD5" s="183">
        <f t="shared" si="6"/>
        <v>312</v>
      </c>
      <c r="QE5" s="438">
        <f t="shared" si="7"/>
        <v>34.728033472803347</v>
      </c>
      <c r="QF5" s="692">
        <f t="shared" si="8"/>
        <v>21</v>
      </c>
      <c r="QG5" s="183">
        <f t="shared" si="8"/>
        <v>6</v>
      </c>
      <c r="QH5" s="438">
        <f t="shared" si="9"/>
        <v>77.777777777777786</v>
      </c>
      <c r="QI5" s="692">
        <f t="shared" si="10"/>
        <v>41</v>
      </c>
      <c r="QJ5" s="183">
        <f t="shared" si="10"/>
        <v>3</v>
      </c>
      <c r="QK5" s="438">
        <f t="shared" si="11"/>
        <v>93.181818181818173</v>
      </c>
      <c r="QL5" s="692">
        <f t="shared" si="12"/>
        <v>23</v>
      </c>
      <c r="QM5" s="183">
        <f t="shared" si="12"/>
        <v>10</v>
      </c>
      <c r="QN5" s="438">
        <f t="shared" si="13"/>
        <v>69.696969696969703</v>
      </c>
      <c r="QO5" s="692">
        <f t="shared" si="14"/>
        <v>112</v>
      </c>
      <c r="QP5" s="183">
        <f t="shared" si="14"/>
        <v>289</v>
      </c>
      <c r="QQ5" s="438">
        <f t="shared" si="15"/>
        <v>27.93017456359102</v>
      </c>
      <c r="QR5" s="692">
        <f t="shared" si="16"/>
        <v>35</v>
      </c>
      <c r="QS5" s="183">
        <f t="shared" si="16"/>
        <v>7</v>
      </c>
      <c r="QT5" s="438">
        <f t="shared" si="17"/>
        <v>83.333333333333343</v>
      </c>
      <c r="QU5" s="692">
        <f t="shared" si="18"/>
        <v>48</v>
      </c>
      <c r="QV5" s="183">
        <f t="shared" si="18"/>
        <v>9</v>
      </c>
      <c r="QW5" s="438">
        <f t="shared" si="19"/>
        <v>84.210526315789465</v>
      </c>
      <c r="QX5" s="692">
        <f t="shared" si="20"/>
        <v>2976</v>
      </c>
      <c r="QY5" s="183">
        <f t="shared" si="20"/>
        <v>3018</v>
      </c>
      <c r="QZ5" s="438">
        <f t="shared" si="21"/>
        <v>49.649649649649653</v>
      </c>
      <c r="RA5" s="692">
        <f t="shared" si="22"/>
        <v>765</v>
      </c>
      <c r="RB5" s="183">
        <f t="shared" si="22"/>
        <v>568</v>
      </c>
      <c r="RC5" s="438">
        <f t="shared" si="23"/>
        <v>57.389347336834206</v>
      </c>
      <c r="RD5" s="692">
        <f t="shared" si="24"/>
        <v>22</v>
      </c>
      <c r="RE5" s="183">
        <f t="shared" si="24"/>
        <v>20</v>
      </c>
      <c r="RF5" s="438">
        <f t="shared" si="25"/>
        <v>52.380952380952387</v>
      </c>
      <c r="RG5" s="692">
        <f t="shared" si="26"/>
        <v>16</v>
      </c>
      <c r="RH5" s="183">
        <f t="shared" si="26"/>
        <v>5</v>
      </c>
      <c r="RI5" s="438">
        <f t="shared" si="27"/>
        <v>76.19047619047619</v>
      </c>
      <c r="RJ5" s="692">
        <f t="shared" si="28"/>
        <v>2116</v>
      </c>
      <c r="RK5" s="183">
        <f t="shared" si="28"/>
        <v>764</v>
      </c>
      <c r="RL5" s="438">
        <f t="shared" si="29"/>
        <v>73.472222222222229</v>
      </c>
      <c r="RM5" s="692">
        <f t="shared" si="30"/>
        <v>8065</v>
      </c>
      <c r="RN5" s="183">
        <f t="shared" si="30"/>
        <v>4367</v>
      </c>
      <c r="RO5" s="438">
        <f t="shared" si="31"/>
        <v>64.872908622908625</v>
      </c>
    </row>
    <row r="6" spans="1:483" x14ac:dyDescent="0.2">
      <c r="A6" s="986"/>
      <c r="B6" s="741" t="s">
        <v>621</v>
      </c>
      <c r="C6" s="881" t="s">
        <v>1199</v>
      </c>
      <c r="D6" s="689">
        <v>107</v>
      </c>
      <c r="E6" s="690">
        <v>202</v>
      </c>
      <c r="F6" s="691">
        <v>34.6</v>
      </c>
      <c r="G6" s="689">
        <v>96</v>
      </c>
      <c r="H6" s="690">
        <v>127</v>
      </c>
      <c r="I6" s="691">
        <v>43</v>
      </c>
      <c r="J6" s="689">
        <v>74</v>
      </c>
      <c r="K6" s="690">
        <v>150</v>
      </c>
      <c r="L6" s="691">
        <v>33</v>
      </c>
      <c r="M6" s="689">
        <v>95</v>
      </c>
      <c r="N6" s="690">
        <v>123</v>
      </c>
      <c r="O6" s="691">
        <v>43.6</v>
      </c>
      <c r="P6" s="689">
        <v>41</v>
      </c>
      <c r="Q6" s="690">
        <v>149</v>
      </c>
      <c r="R6" s="691">
        <v>21.6</v>
      </c>
      <c r="S6" s="689">
        <v>92</v>
      </c>
      <c r="T6" s="690">
        <v>89</v>
      </c>
      <c r="U6" s="691">
        <v>50.8</v>
      </c>
      <c r="V6" s="689">
        <v>38</v>
      </c>
      <c r="W6" s="690">
        <v>54</v>
      </c>
      <c r="X6" s="691">
        <v>41.3</v>
      </c>
      <c r="Y6" s="689">
        <v>78</v>
      </c>
      <c r="Z6" s="690">
        <v>60</v>
      </c>
      <c r="AA6" s="691">
        <v>56.5</v>
      </c>
      <c r="AB6" s="689">
        <v>58</v>
      </c>
      <c r="AC6" s="690">
        <v>31</v>
      </c>
      <c r="AD6" s="691">
        <v>65.2</v>
      </c>
      <c r="AE6" s="689">
        <v>2</v>
      </c>
      <c r="AF6" s="690"/>
      <c r="AG6" s="691">
        <v>100</v>
      </c>
      <c r="AH6" s="689">
        <v>2</v>
      </c>
      <c r="AI6" s="690"/>
      <c r="AJ6" s="691">
        <v>100</v>
      </c>
      <c r="AK6" s="689">
        <v>1</v>
      </c>
      <c r="AL6" s="690"/>
      <c r="AM6" s="691">
        <v>100</v>
      </c>
      <c r="AN6" s="689"/>
      <c r="AO6" s="690"/>
      <c r="AP6" s="691" t="s">
        <v>6</v>
      </c>
      <c r="AQ6" s="689"/>
      <c r="AR6" s="690">
        <v>1</v>
      </c>
      <c r="AS6" s="691">
        <v>0</v>
      </c>
      <c r="AT6" s="689">
        <v>5</v>
      </c>
      <c r="AU6" s="690">
        <v>1</v>
      </c>
      <c r="AV6" s="691">
        <v>83.3</v>
      </c>
      <c r="AW6" s="689"/>
      <c r="AX6" s="690"/>
      <c r="AY6" s="691" t="s">
        <v>6</v>
      </c>
      <c r="AZ6" s="689">
        <v>6</v>
      </c>
      <c r="BA6" s="690"/>
      <c r="BB6" s="691">
        <v>100</v>
      </c>
      <c r="BC6" s="689">
        <v>2</v>
      </c>
      <c r="BD6" s="690">
        <v>0</v>
      </c>
      <c r="BE6" s="691">
        <v>100</v>
      </c>
      <c r="BF6" s="689"/>
      <c r="BG6" s="690">
        <v>6</v>
      </c>
      <c r="BH6" s="691">
        <v>0</v>
      </c>
      <c r="BI6" s="689"/>
      <c r="BJ6" s="690">
        <v>2</v>
      </c>
      <c r="BK6" s="691">
        <v>0</v>
      </c>
      <c r="BL6" s="689"/>
      <c r="BM6" s="690">
        <v>2</v>
      </c>
      <c r="BN6" s="691">
        <v>0</v>
      </c>
      <c r="BO6" s="689"/>
      <c r="BP6" s="690">
        <v>5</v>
      </c>
      <c r="BQ6" s="691">
        <v>0</v>
      </c>
      <c r="BR6" s="689">
        <v>1</v>
      </c>
      <c r="BS6" s="690">
        <v>9</v>
      </c>
      <c r="BT6" s="691">
        <v>10</v>
      </c>
      <c r="BU6" s="689">
        <v>2</v>
      </c>
      <c r="BV6" s="690">
        <v>2</v>
      </c>
      <c r="BW6" s="691">
        <v>50</v>
      </c>
      <c r="BX6" s="689">
        <v>1</v>
      </c>
      <c r="BY6" s="690">
        <v>1</v>
      </c>
      <c r="BZ6" s="691">
        <v>50</v>
      </c>
      <c r="CA6" s="689"/>
      <c r="CB6" s="690">
        <v>1</v>
      </c>
      <c r="CC6" s="691">
        <v>0</v>
      </c>
      <c r="CD6" s="689">
        <v>1</v>
      </c>
      <c r="CE6" s="690">
        <v>2</v>
      </c>
      <c r="CF6" s="691">
        <v>33.299999999999997</v>
      </c>
      <c r="CG6" s="689">
        <v>18</v>
      </c>
      <c r="CH6" s="690">
        <v>34</v>
      </c>
      <c r="CI6" s="691">
        <v>34.6</v>
      </c>
      <c r="CJ6" s="689">
        <v>9</v>
      </c>
      <c r="CK6" s="690">
        <v>13</v>
      </c>
      <c r="CL6" s="691">
        <v>40.9</v>
      </c>
      <c r="CM6" s="689">
        <v>2</v>
      </c>
      <c r="CN6" s="690">
        <v>27</v>
      </c>
      <c r="CO6" s="691">
        <v>6.9</v>
      </c>
      <c r="CP6" s="689">
        <v>11</v>
      </c>
      <c r="CQ6" s="690">
        <v>18</v>
      </c>
      <c r="CR6" s="691">
        <v>37.9</v>
      </c>
      <c r="CS6" s="689">
        <v>8</v>
      </c>
      <c r="CT6" s="690">
        <v>20</v>
      </c>
      <c r="CU6" s="691">
        <v>28.6</v>
      </c>
      <c r="CV6" s="689">
        <v>20</v>
      </c>
      <c r="CW6" s="690">
        <v>17</v>
      </c>
      <c r="CX6" s="691">
        <v>54.1</v>
      </c>
      <c r="CY6" s="689">
        <v>5</v>
      </c>
      <c r="CZ6" s="690">
        <v>9</v>
      </c>
      <c r="DA6" s="691">
        <v>35.700000000000003</v>
      </c>
      <c r="DB6" s="689">
        <v>7</v>
      </c>
      <c r="DC6" s="690">
        <v>9</v>
      </c>
      <c r="DD6" s="691">
        <v>43.8</v>
      </c>
      <c r="DE6" s="689">
        <v>8</v>
      </c>
      <c r="DF6" s="690">
        <v>9</v>
      </c>
      <c r="DG6" s="691">
        <v>47.1</v>
      </c>
      <c r="DH6" s="689">
        <v>7</v>
      </c>
      <c r="DI6" s="690">
        <v>1</v>
      </c>
      <c r="DJ6" s="691">
        <v>87.5</v>
      </c>
      <c r="DK6" s="689"/>
      <c r="DL6" s="690">
        <v>1</v>
      </c>
      <c r="DM6" s="691">
        <v>0</v>
      </c>
      <c r="DN6" s="689">
        <v>1</v>
      </c>
      <c r="DO6" s="690"/>
      <c r="DP6" s="691">
        <v>100</v>
      </c>
      <c r="DQ6" s="689">
        <v>2</v>
      </c>
      <c r="DR6" s="690"/>
      <c r="DS6" s="691">
        <v>100</v>
      </c>
      <c r="DT6" s="689">
        <v>2</v>
      </c>
      <c r="DU6" s="690"/>
      <c r="DV6" s="691">
        <v>100</v>
      </c>
      <c r="DW6" s="689">
        <v>1</v>
      </c>
      <c r="DX6" s="690"/>
      <c r="DY6" s="691">
        <v>100</v>
      </c>
      <c r="DZ6" s="689"/>
      <c r="EA6" s="690"/>
      <c r="EB6" s="691" t="s">
        <v>6</v>
      </c>
      <c r="EC6" s="689">
        <v>1</v>
      </c>
      <c r="ED6" s="690"/>
      <c r="EE6" s="691">
        <v>100</v>
      </c>
      <c r="EF6" s="689">
        <v>0</v>
      </c>
      <c r="EG6" s="690">
        <v>0</v>
      </c>
      <c r="EH6" s="691" t="s">
        <v>6</v>
      </c>
      <c r="EI6" s="689">
        <v>1</v>
      </c>
      <c r="EJ6" s="690"/>
      <c r="EK6" s="691">
        <v>100</v>
      </c>
      <c r="EL6" s="689">
        <v>2</v>
      </c>
      <c r="EM6" s="690"/>
      <c r="EN6" s="691">
        <v>100</v>
      </c>
      <c r="EO6" s="689"/>
      <c r="EP6" s="690"/>
      <c r="EQ6" s="691" t="s">
        <v>6</v>
      </c>
      <c r="ER6" s="689"/>
      <c r="ES6" s="690"/>
      <c r="ET6" s="691" t="s">
        <v>6</v>
      </c>
      <c r="EU6" s="689"/>
      <c r="EV6" s="690">
        <v>1</v>
      </c>
      <c r="EW6" s="691">
        <v>0</v>
      </c>
      <c r="EX6" s="689">
        <v>1</v>
      </c>
      <c r="EY6" s="690"/>
      <c r="EZ6" s="691">
        <v>100</v>
      </c>
      <c r="FA6" s="689"/>
      <c r="FB6" s="690">
        <v>3</v>
      </c>
      <c r="FC6" s="691">
        <v>0</v>
      </c>
      <c r="FD6" s="689">
        <v>1</v>
      </c>
      <c r="FE6" s="690"/>
      <c r="FF6" s="691">
        <v>100</v>
      </c>
      <c r="FG6" s="689">
        <v>0</v>
      </c>
      <c r="FH6" s="690">
        <v>0</v>
      </c>
      <c r="FI6" s="691" t="s">
        <v>6</v>
      </c>
      <c r="FJ6" s="689"/>
      <c r="FK6" s="690"/>
      <c r="FL6" s="691" t="s">
        <v>6</v>
      </c>
      <c r="FM6" s="689"/>
      <c r="FN6" s="690"/>
      <c r="FO6" s="691" t="s">
        <v>6</v>
      </c>
      <c r="FP6" s="689">
        <v>1</v>
      </c>
      <c r="FQ6" s="690"/>
      <c r="FR6" s="691">
        <v>100</v>
      </c>
      <c r="FS6" s="689"/>
      <c r="FT6" s="690"/>
      <c r="FU6" s="691" t="s">
        <v>6</v>
      </c>
      <c r="FV6" s="689"/>
      <c r="FW6" s="690">
        <v>2</v>
      </c>
      <c r="FX6" s="691">
        <v>0</v>
      </c>
      <c r="FY6" s="689">
        <v>2</v>
      </c>
      <c r="FZ6" s="690">
        <v>1</v>
      </c>
      <c r="GA6" s="691">
        <v>66.7</v>
      </c>
      <c r="GB6" s="689">
        <v>1</v>
      </c>
      <c r="GC6" s="690"/>
      <c r="GD6" s="691">
        <v>100</v>
      </c>
      <c r="GE6" s="689"/>
      <c r="GF6" s="690"/>
      <c r="GG6" s="691" t="s">
        <v>6</v>
      </c>
      <c r="GH6" s="689">
        <v>0</v>
      </c>
      <c r="GI6" s="690">
        <v>0</v>
      </c>
      <c r="GJ6" s="691" t="s">
        <v>6</v>
      </c>
      <c r="GK6" s="689">
        <v>4</v>
      </c>
      <c r="GL6" s="690">
        <v>5</v>
      </c>
      <c r="GM6" s="691">
        <v>44.4</v>
      </c>
      <c r="GN6" s="689">
        <v>9</v>
      </c>
      <c r="GO6" s="690">
        <v>21</v>
      </c>
      <c r="GP6" s="691">
        <v>30</v>
      </c>
      <c r="GQ6" s="689">
        <v>8</v>
      </c>
      <c r="GR6" s="690">
        <v>10</v>
      </c>
      <c r="GS6" s="691">
        <v>44.4</v>
      </c>
      <c r="GT6" s="689">
        <v>4</v>
      </c>
      <c r="GU6" s="690">
        <v>6</v>
      </c>
      <c r="GV6" s="691">
        <v>40</v>
      </c>
      <c r="GW6" s="689">
        <v>5</v>
      </c>
      <c r="GX6" s="690">
        <v>13</v>
      </c>
      <c r="GY6" s="691">
        <v>27.8</v>
      </c>
      <c r="GZ6" s="689">
        <v>29</v>
      </c>
      <c r="HA6" s="690">
        <v>10</v>
      </c>
      <c r="HB6" s="691">
        <v>74.400000000000006</v>
      </c>
      <c r="HC6" s="689">
        <v>4</v>
      </c>
      <c r="HD6" s="690">
        <v>3</v>
      </c>
      <c r="HE6" s="691">
        <v>57.1</v>
      </c>
      <c r="HF6" s="689">
        <v>5</v>
      </c>
      <c r="HG6" s="690">
        <v>3</v>
      </c>
      <c r="HH6" s="691">
        <v>62.5</v>
      </c>
      <c r="HI6" s="689">
        <v>6</v>
      </c>
      <c r="HJ6" s="690">
        <v>3</v>
      </c>
      <c r="HK6" s="691">
        <v>66.7</v>
      </c>
      <c r="HL6" s="689">
        <v>1</v>
      </c>
      <c r="HM6" s="690"/>
      <c r="HN6" s="691">
        <v>100</v>
      </c>
      <c r="HO6" s="689">
        <v>1</v>
      </c>
      <c r="HP6" s="690">
        <v>1</v>
      </c>
      <c r="HQ6" s="691">
        <v>50</v>
      </c>
      <c r="HR6" s="689">
        <v>2</v>
      </c>
      <c r="HS6" s="690">
        <v>1</v>
      </c>
      <c r="HT6" s="691">
        <v>66.7</v>
      </c>
      <c r="HU6" s="689">
        <v>2</v>
      </c>
      <c r="HV6" s="690"/>
      <c r="HW6" s="691">
        <v>100</v>
      </c>
      <c r="HX6" s="689">
        <v>1</v>
      </c>
      <c r="HY6" s="690"/>
      <c r="HZ6" s="691">
        <v>100</v>
      </c>
      <c r="IA6" s="689"/>
      <c r="IB6" s="690"/>
      <c r="IC6" s="691" t="s">
        <v>6</v>
      </c>
      <c r="ID6" s="689"/>
      <c r="IE6" s="690"/>
      <c r="IF6" s="691" t="s">
        <v>6</v>
      </c>
      <c r="IG6" s="689"/>
      <c r="IH6" s="690"/>
      <c r="II6" s="691" t="s">
        <v>6</v>
      </c>
      <c r="IJ6" s="689">
        <v>0</v>
      </c>
      <c r="IK6" s="690">
        <v>0</v>
      </c>
      <c r="IL6" s="691" t="s">
        <v>6</v>
      </c>
      <c r="IM6" s="689">
        <v>1</v>
      </c>
      <c r="IN6" s="690"/>
      <c r="IO6" s="691">
        <v>100</v>
      </c>
      <c r="IP6" s="689">
        <v>5</v>
      </c>
      <c r="IQ6" s="690"/>
      <c r="IR6" s="691">
        <v>100</v>
      </c>
      <c r="IS6" s="689"/>
      <c r="IT6" s="690"/>
      <c r="IU6" s="691" t="s">
        <v>6</v>
      </c>
      <c r="IV6" s="689">
        <v>2</v>
      </c>
      <c r="IW6" s="690"/>
      <c r="IX6" s="691">
        <v>100</v>
      </c>
      <c r="IY6" s="689">
        <v>2</v>
      </c>
      <c r="IZ6" s="690">
        <v>1</v>
      </c>
      <c r="JA6" s="691">
        <v>66.7</v>
      </c>
      <c r="JB6" s="689">
        <v>3</v>
      </c>
      <c r="JC6" s="690">
        <v>1</v>
      </c>
      <c r="JD6" s="691">
        <v>75</v>
      </c>
      <c r="JE6" s="689">
        <v>4</v>
      </c>
      <c r="JF6" s="690"/>
      <c r="JG6" s="691">
        <v>100</v>
      </c>
      <c r="JH6" s="689">
        <v>4</v>
      </c>
      <c r="JI6" s="690"/>
      <c r="JJ6" s="691">
        <v>100</v>
      </c>
      <c r="JK6" s="689">
        <v>2</v>
      </c>
      <c r="JL6" s="690">
        <v>0</v>
      </c>
      <c r="JM6" s="691">
        <v>100</v>
      </c>
      <c r="JN6" s="689">
        <v>145</v>
      </c>
      <c r="JO6" s="690">
        <v>210</v>
      </c>
      <c r="JP6" s="691">
        <v>40.799999999999997</v>
      </c>
      <c r="JQ6" s="689">
        <v>149</v>
      </c>
      <c r="JR6" s="690">
        <v>173</v>
      </c>
      <c r="JS6" s="691">
        <v>46.3</v>
      </c>
      <c r="JT6" s="689">
        <v>123</v>
      </c>
      <c r="JU6" s="690">
        <v>167</v>
      </c>
      <c r="JV6" s="691">
        <v>42.4</v>
      </c>
      <c r="JW6" s="689">
        <v>137</v>
      </c>
      <c r="JX6" s="690">
        <v>143</v>
      </c>
      <c r="JY6" s="691">
        <v>48.9</v>
      </c>
      <c r="JZ6" s="689">
        <v>99</v>
      </c>
      <c r="KA6" s="690">
        <v>177</v>
      </c>
      <c r="KB6" s="691">
        <v>35.9</v>
      </c>
      <c r="KC6" s="689">
        <v>178</v>
      </c>
      <c r="KD6" s="690">
        <v>112</v>
      </c>
      <c r="KE6" s="691">
        <v>61.4</v>
      </c>
      <c r="KF6" s="689">
        <v>79</v>
      </c>
      <c r="KG6" s="690">
        <v>70</v>
      </c>
      <c r="KH6" s="691">
        <v>53</v>
      </c>
      <c r="KI6" s="689">
        <v>120</v>
      </c>
      <c r="KJ6" s="690">
        <v>71</v>
      </c>
      <c r="KK6" s="691">
        <v>62.8</v>
      </c>
      <c r="KL6" s="689">
        <v>96</v>
      </c>
      <c r="KM6" s="690">
        <v>36</v>
      </c>
      <c r="KN6" s="691">
        <v>72.7</v>
      </c>
      <c r="KO6" s="689">
        <v>36</v>
      </c>
      <c r="KP6" s="690">
        <v>39</v>
      </c>
      <c r="KQ6" s="691">
        <v>48</v>
      </c>
      <c r="KR6" s="689">
        <v>39</v>
      </c>
      <c r="KS6" s="690">
        <v>42</v>
      </c>
      <c r="KT6" s="691">
        <v>48.1</v>
      </c>
      <c r="KU6" s="689">
        <v>29</v>
      </c>
      <c r="KV6" s="690">
        <v>42</v>
      </c>
      <c r="KW6" s="691">
        <v>40.799999999999997</v>
      </c>
      <c r="KX6" s="689">
        <v>37</v>
      </c>
      <c r="KY6" s="690">
        <v>37</v>
      </c>
      <c r="KZ6" s="691">
        <v>50</v>
      </c>
      <c r="LA6" s="689">
        <v>28</v>
      </c>
      <c r="LB6" s="690">
        <v>14</v>
      </c>
      <c r="LC6" s="691">
        <v>66.7</v>
      </c>
      <c r="LD6" s="689">
        <v>41</v>
      </c>
      <c r="LE6" s="690">
        <v>14</v>
      </c>
      <c r="LF6" s="691">
        <v>74.5</v>
      </c>
      <c r="LG6" s="689">
        <v>23</v>
      </c>
      <c r="LH6" s="690">
        <v>16</v>
      </c>
      <c r="LI6" s="691">
        <v>59</v>
      </c>
      <c r="LJ6" s="689">
        <v>63</v>
      </c>
      <c r="LK6" s="690">
        <v>11</v>
      </c>
      <c r="LL6" s="691">
        <v>85.1</v>
      </c>
      <c r="LM6" s="689">
        <v>35</v>
      </c>
      <c r="LN6" s="690">
        <v>8</v>
      </c>
      <c r="LO6" s="691">
        <v>81.400000000000006</v>
      </c>
      <c r="LP6" s="689"/>
      <c r="LQ6" s="690"/>
      <c r="LR6" s="691" t="s">
        <v>6</v>
      </c>
      <c r="LS6" s="689"/>
      <c r="LT6" s="690"/>
      <c r="LU6" s="691" t="s">
        <v>6</v>
      </c>
      <c r="LV6" s="689"/>
      <c r="LW6" s="690"/>
      <c r="LX6" s="691" t="s">
        <v>6</v>
      </c>
      <c r="LY6" s="689"/>
      <c r="LZ6" s="690"/>
      <c r="MA6" s="691" t="s">
        <v>6</v>
      </c>
      <c r="MB6" s="689"/>
      <c r="MC6" s="690"/>
      <c r="MD6" s="691" t="s">
        <v>6</v>
      </c>
      <c r="ME6" s="689"/>
      <c r="MF6" s="690"/>
      <c r="MG6" s="691" t="s">
        <v>6</v>
      </c>
      <c r="MH6" s="689"/>
      <c r="MI6" s="690"/>
      <c r="MJ6" s="691" t="s">
        <v>6</v>
      </c>
      <c r="MK6" s="689"/>
      <c r="ML6" s="690"/>
      <c r="MM6" s="691" t="s">
        <v>6</v>
      </c>
      <c r="MN6" s="689">
        <v>0</v>
      </c>
      <c r="MO6" s="690">
        <v>0</v>
      </c>
      <c r="MP6" s="691" t="s">
        <v>6</v>
      </c>
      <c r="MQ6" s="689"/>
      <c r="MR6" s="690"/>
      <c r="MS6" s="691" t="s">
        <v>6</v>
      </c>
      <c r="MT6" s="689"/>
      <c r="MU6" s="690"/>
      <c r="MV6" s="691" t="s">
        <v>6</v>
      </c>
      <c r="MW6" s="689"/>
      <c r="MX6" s="690"/>
      <c r="MY6" s="691" t="s">
        <v>6</v>
      </c>
      <c r="MZ6" s="689"/>
      <c r="NA6" s="690"/>
      <c r="NB6" s="691" t="s">
        <v>6</v>
      </c>
      <c r="NC6" s="689"/>
      <c r="ND6" s="690"/>
      <c r="NE6" s="691" t="s">
        <v>6</v>
      </c>
      <c r="NF6" s="689"/>
      <c r="NG6" s="690"/>
      <c r="NH6" s="691" t="s">
        <v>6</v>
      </c>
      <c r="NI6" s="689"/>
      <c r="NJ6" s="690"/>
      <c r="NK6" s="691" t="s">
        <v>6</v>
      </c>
      <c r="NL6" s="689"/>
      <c r="NM6" s="690"/>
      <c r="NN6" s="691" t="s">
        <v>6</v>
      </c>
      <c r="NO6" s="689">
        <v>1</v>
      </c>
      <c r="NP6" s="690">
        <v>0</v>
      </c>
      <c r="NQ6" s="691">
        <v>100</v>
      </c>
      <c r="NR6" s="689">
        <v>64</v>
      </c>
      <c r="NS6" s="690">
        <v>41</v>
      </c>
      <c r="NT6" s="691">
        <v>61</v>
      </c>
      <c r="NU6" s="689">
        <v>63</v>
      </c>
      <c r="NV6" s="690">
        <v>46</v>
      </c>
      <c r="NW6" s="691">
        <v>57.8</v>
      </c>
      <c r="NX6" s="689">
        <v>48</v>
      </c>
      <c r="NY6" s="690">
        <v>43</v>
      </c>
      <c r="NZ6" s="691">
        <v>52.7</v>
      </c>
      <c r="OA6" s="689">
        <v>61</v>
      </c>
      <c r="OB6" s="690">
        <v>40</v>
      </c>
      <c r="OC6" s="691">
        <v>60.4</v>
      </c>
      <c r="OD6" s="689">
        <v>50</v>
      </c>
      <c r="OE6" s="690">
        <v>16</v>
      </c>
      <c r="OF6" s="691">
        <v>75.8</v>
      </c>
      <c r="OG6" s="689">
        <v>65</v>
      </c>
      <c r="OH6" s="690">
        <v>14</v>
      </c>
      <c r="OI6" s="691">
        <v>82.3</v>
      </c>
      <c r="OJ6" s="689">
        <v>60</v>
      </c>
      <c r="OK6" s="690">
        <v>16</v>
      </c>
      <c r="OL6" s="691">
        <v>78.900000000000006</v>
      </c>
      <c r="OM6" s="689">
        <v>104</v>
      </c>
      <c r="ON6" s="690">
        <v>12</v>
      </c>
      <c r="OO6" s="691">
        <v>89.7</v>
      </c>
      <c r="OP6" s="689">
        <v>79</v>
      </c>
      <c r="OQ6" s="690">
        <v>8</v>
      </c>
      <c r="OR6" s="691">
        <v>90.8</v>
      </c>
      <c r="OS6" s="689">
        <v>292</v>
      </c>
      <c r="OT6" s="690">
        <v>278</v>
      </c>
      <c r="OU6" s="691">
        <v>51.2</v>
      </c>
      <c r="OV6" s="689">
        <v>269</v>
      </c>
      <c r="OW6" s="690">
        <v>236</v>
      </c>
      <c r="OX6" s="691">
        <v>53.3</v>
      </c>
      <c r="OY6" s="689">
        <v>248</v>
      </c>
      <c r="OZ6" s="690">
        <v>228</v>
      </c>
      <c r="PA6" s="691">
        <v>52.1</v>
      </c>
      <c r="PB6" s="689">
        <v>267</v>
      </c>
      <c r="PC6" s="690">
        <v>179</v>
      </c>
      <c r="PD6" s="691">
        <v>59.9</v>
      </c>
      <c r="PE6" s="689">
        <v>269</v>
      </c>
      <c r="PF6" s="690">
        <v>209</v>
      </c>
      <c r="PG6" s="691">
        <v>56.3</v>
      </c>
      <c r="PH6" s="689">
        <v>297</v>
      </c>
      <c r="PI6" s="690">
        <v>125</v>
      </c>
      <c r="PJ6" s="691">
        <v>70.400000000000006</v>
      </c>
      <c r="PK6" s="689">
        <v>233</v>
      </c>
      <c r="PL6" s="690">
        <v>92</v>
      </c>
      <c r="PM6" s="691">
        <v>71.7</v>
      </c>
      <c r="PN6" s="689">
        <v>282</v>
      </c>
      <c r="PO6" s="690">
        <v>86</v>
      </c>
      <c r="PP6" s="691">
        <v>76.599999999999994</v>
      </c>
      <c r="PQ6" s="689">
        <v>235</v>
      </c>
      <c r="PR6" s="690">
        <v>47</v>
      </c>
      <c r="PS6" s="691">
        <v>83.3</v>
      </c>
      <c r="PT6" s="692">
        <f t="shared" si="0"/>
        <v>307</v>
      </c>
      <c r="PU6" s="183">
        <f t="shared" si="0"/>
        <v>383</v>
      </c>
      <c r="PV6" s="438">
        <f t="shared" si="1"/>
        <v>44.492753623188406</v>
      </c>
      <c r="PW6" s="692">
        <f t="shared" si="2"/>
        <v>13</v>
      </c>
      <c r="PX6" s="183">
        <f t="shared" si="2"/>
        <v>2</v>
      </c>
      <c r="PY6" s="438">
        <f t="shared" si="3"/>
        <v>86.666666666666671</v>
      </c>
      <c r="PZ6" s="692">
        <f t="shared" si="4"/>
        <v>5</v>
      </c>
      <c r="QA6" s="183">
        <f t="shared" si="4"/>
        <v>15</v>
      </c>
      <c r="QB6" s="438">
        <f t="shared" si="5"/>
        <v>25</v>
      </c>
      <c r="QC6" s="692">
        <f t="shared" si="6"/>
        <v>48</v>
      </c>
      <c r="QD6" s="183">
        <f t="shared" si="6"/>
        <v>64</v>
      </c>
      <c r="QE6" s="438">
        <f t="shared" si="7"/>
        <v>42.857142857142854</v>
      </c>
      <c r="QF6" s="692">
        <f t="shared" si="8"/>
        <v>4</v>
      </c>
      <c r="QG6" s="183">
        <f t="shared" si="8"/>
        <v>0</v>
      </c>
      <c r="QH6" s="438">
        <f t="shared" si="9"/>
        <v>100</v>
      </c>
      <c r="QI6" s="692">
        <f t="shared" si="10"/>
        <v>2</v>
      </c>
      <c r="QJ6" s="183">
        <f t="shared" si="10"/>
        <v>4</v>
      </c>
      <c r="QK6" s="438">
        <f t="shared" si="11"/>
        <v>33.333333333333329</v>
      </c>
      <c r="QL6" s="692">
        <f t="shared" si="12"/>
        <v>3</v>
      </c>
      <c r="QM6" s="183">
        <f t="shared" si="12"/>
        <v>3</v>
      </c>
      <c r="QN6" s="438">
        <f t="shared" si="13"/>
        <v>50</v>
      </c>
      <c r="QO6" s="692">
        <f t="shared" si="14"/>
        <v>49</v>
      </c>
      <c r="QP6" s="183">
        <f t="shared" si="14"/>
        <v>32</v>
      </c>
      <c r="QQ6" s="438">
        <f t="shared" si="15"/>
        <v>60.493827160493829</v>
      </c>
      <c r="QR6" s="692">
        <f t="shared" si="16"/>
        <v>1</v>
      </c>
      <c r="QS6" s="183">
        <f t="shared" si="16"/>
        <v>0</v>
      </c>
      <c r="QT6" s="438">
        <f t="shared" si="17"/>
        <v>100</v>
      </c>
      <c r="QU6" s="692">
        <f t="shared" si="18"/>
        <v>15</v>
      </c>
      <c r="QV6" s="183">
        <f t="shared" si="18"/>
        <v>2</v>
      </c>
      <c r="QW6" s="438">
        <f t="shared" si="19"/>
        <v>88.235294117647058</v>
      </c>
      <c r="QX6" s="692">
        <f t="shared" si="20"/>
        <v>572</v>
      </c>
      <c r="QY6" s="183">
        <f t="shared" si="20"/>
        <v>466</v>
      </c>
      <c r="QZ6" s="438">
        <f t="shared" si="21"/>
        <v>55.105973025048172</v>
      </c>
      <c r="RA6" s="692">
        <f t="shared" si="22"/>
        <v>190</v>
      </c>
      <c r="RB6" s="183">
        <f t="shared" si="22"/>
        <v>63</v>
      </c>
      <c r="RC6" s="438">
        <f t="shared" si="23"/>
        <v>75.098814229249015</v>
      </c>
      <c r="RD6" s="692">
        <f t="shared" si="24"/>
        <v>0</v>
      </c>
      <c r="RE6" s="183">
        <f t="shared" si="24"/>
        <v>0</v>
      </c>
      <c r="RF6" s="438" t="str">
        <f t="shared" si="25"/>
        <v>-</v>
      </c>
      <c r="RG6" s="692">
        <f t="shared" si="26"/>
        <v>1</v>
      </c>
      <c r="RH6" s="183">
        <f t="shared" si="26"/>
        <v>0</v>
      </c>
      <c r="RI6" s="438">
        <f t="shared" si="27"/>
        <v>100</v>
      </c>
      <c r="RJ6" s="692">
        <f t="shared" si="28"/>
        <v>358</v>
      </c>
      <c r="RK6" s="183">
        <f t="shared" si="28"/>
        <v>66</v>
      </c>
      <c r="RL6" s="438">
        <f t="shared" si="29"/>
        <v>84.433962264150935</v>
      </c>
      <c r="RM6" s="692">
        <f t="shared" si="30"/>
        <v>1316</v>
      </c>
      <c r="RN6" s="183">
        <f t="shared" si="30"/>
        <v>559</v>
      </c>
      <c r="RO6" s="438">
        <f t="shared" si="31"/>
        <v>70.186666666666667</v>
      </c>
    </row>
    <row r="7" spans="1:483" x14ac:dyDescent="0.2">
      <c r="A7" s="986"/>
      <c r="B7" s="741" t="s">
        <v>621</v>
      </c>
      <c r="C7" s="881" t="s">
        <v>1200</v>
      </c>
      <c r="D7" s="689">
        <v>118</v>
      </c>
      <c r="E7" s="690">
        <v>293</v>
      </c>
      <c r="F7" s="691">
        <v>28.7</v>
      </c>
      <c r="G7" s="689">
        <v>135</v>
      </c>
      <c r="H7" s="690">
        <v>333</v>
      </c>
      <c r="I7" s="691">
        <v>28.8</v>
      </c>
      <c r="J7" s="689">
        <v>199</v>
      </c>
      <c r="K7" s="690">
        <v>305</v>
      </c>
      <c r="L7" s="691">
        <v>39.5</v>
      </c>
      <c r="M7" s="689">
        <v>58</v>
      </c>
      <c r="N7" s="690">
        <v>193</v>
      </c>
      <c r="O7" s="691">
        <v>23.1</v>
      </c>
      <c r="P7" s="689">
        <v>53</v>
      </c>
      <c r="Q7" s="690">
        <v>163</v>
      </c>
      <c r="R7" s="691">
        <v>24.5</v>
      </c>
      <c r="S7" s="689">
        <v>51</v>
      </c>
      <c r="T7" s="690">
        <v>131</v>
      </c>
      <c r="U7" s="691">
        <v>28</v>
      </c>
      <c r="V7" s="689">
        <v>66</v>
      </c>
      <c r="W7" s="690">
        <v>122</v>
      </c>
      <c r="X7" s="691">
        <v>35.1</v>
      </c>
      <c r="Y7" s="689">
        <v>56</v>
      </c>
      <c r="Z7" s="690">
        <v>85</v>
      </c>
      <c r="AA7" s="691">
        <v>39.700000000000003</v>
      </c>
      <c r="AB7" s="689">
        <v>48</v>
      </c>
      <c r="AC7" s="690">
        <v>70</v>
      </c>
      <c r="AD7" s="691">
        <v>40.700000000000003</v>
      </c>
      <c r="AE7" s="689"/>
      <c r="AF7" s="690">
        <v>1</v>
      </c>
      <c r="AG7" s="691">
        <v>0</v>
      </c>
      <c r="AH7" s="689">
        <v>22</v>
      </c>
      <c r="AI7" s="690">
        <v>1</v>
      </c>
      <c r="AJ7" s="691">
        <v>95.7</v>
      </c>
      <c r="AK7" s="689">
        <v>2</v>
      </c>
      <c r="AL7" s="690">
        <v>1</v>
      </c>
      <c r="AM7" s="691">
        <v>66.7</v>
      </c>
      <c r="AN7" s="689"/>
      <c r="AO7" s="690"/>
      <c r="AP7" s="691" t="s">
        <v>6</v>
      </c>
      <c r="AQ7" s="689"/>
      <c r="AR7" s="690">
        <v>1</v>
      </c>
      <c r="AS7" s="691">
        <v>0</v>
      </c>
      <c r="AT7" s="689"/>
      <c r="AU7" s="690">
        <v>1</v>
      </c>
      <c r="AV7" s="691">
        <v>0</v>
      </c>
      <c r="AW7" s="689"/>
      <c r="AX7" s="690"/>
      <c r="AY7" s="691" t="s">
        <v>6</v>
      </c>
      <c r="AZ7" s="689">
        <v>1</v>
      </c>
      <c r="BA7" s="690"/>
      <c r="BB7" s="691">
        <v>100</v>
      </c>
      <c r="BC7" s="689">
        <v>0</v>
      </c>
      <c r="BD7" s="690">
        <v>0</v>
      </c>
      <c r="BE7" s="691" t="s">
        <v>6</v>
      </c>
      <c r="BF7" s="689">
        <v>1</v>
      </c>
      <c r="BG7" s="690">
        <v>10</v>
      </c>
      <c r="BH7" s="691">
        <v>9.1</v>
      </c>
      <c r="BI7" s="689">
        <v>4</v>
      </c>
      <c r="BJ7" s="690">
        <v>19</v>
      </c>
      <c r="BK7" s="691">
        <v>17.399999999999999</v>
      </c>
      <c r="BL7" s="689">
        <v>22</v>
      </c>
      <c r="BM7" s="690">
        <v>14</v>
      </c>
      <c r="BN7" s="691">
        <v>61.1</v>
      </c>
      <c r="BO7" s="689"/>
      <c r="BP7" s="690">
        <v>3</v>
      </c>
      <c r="BQ7" s="691">
        <v>0</v>
      </c>
      <c r="BR7" s="689"/>
      <c r="BS7" s="690">
        <v>11</v>
      </c>
      <c r="BT7" s="691">
        <v>0</v>
      </c>
      <c r="BU7" s="689">
        <v>3</v>
      </c>
      <c r="BV7" s="690">
        <v>3</v>
      </c>
      <c r="BW7" s="691">
        <v>50</v>
      </c>
      <c r="BX7" s="689"/>
      <c r="BY7" s="690">
        <v>1</v>
      </c>
      <c r="BZ7" s="691">
        <v>0</v>
      </c>
      <c r="CA7" s="689">
        <v>3</v>
      </c>
      <c r="CB7" s="690"/>
      <c r="CC7" s="691">
        <v>100</v>
      </c>
      <c r="CD7" s="689">
        <v>0</v>
      </c>
      <c r="CE7" s="690">
        <v>2</v>
      </c>
      <c r="CF7" s="691">
        <v>0</v>
      </c>
      <c r="CG7" s="689">
        <v>3</v>
      </c>
      <c r="CH7" s="690">
        <v>42</v>
      </c>
      <c r="CI7" s="691">
        <v>6.7</v>
      </c>
      <c r="CJ7" s="689">
        <v>12</v>
      </c>
      <c r="CK7" s="690">
        <v>35</v>
      </c>
      <c r="CL7" s="691">
        <v>25.5</v>
      </c>
      <c r="CM7" s="689">
        <v>40</v>
      </c>
      <c r="CN7" s="690">
        <v>27</v>
      </c>
      <c r="CO7" s="691">
        <v>59.7</v>
      </c>
      <c r="CP7" s="689">
        <v>8</v>
      </c>
      <c r="CQ7" s="690">
        <v>18</v>
      </c>
      <c r="CR7" s="691">
        <v>30.8</v>
      </c>
      <c r="CS7" s="689">
        <v>5</v>
      </c>
      <c r="CT7" s="690">
        <v>28</v>
      </c>
      <c r="CU7" s="691">
        <v>15.2</v>
      </c>
      <c r="CV7" s="689">
        <v>1</v>
      </c>
      <c r="CW7" s="690">
        <v>22</v>
      </c>
      <c r="CX7" s="691">
        <v>4.3</v>
      </c>
      <c r="CY7" s="689">
        <v>4</v>
      </c>
      <c r="CZ7" s="690">
        <v>7</v>
      </c>
      <c r="DA7" s="691">
        <v>36.4</v>
      </c>
      <c r="DB7" s="689">
        <v>7</v>
      </c>
      <c r="DC7" s="690">
        <v>4</v>
      </c>
      <c r="DD7" s="691">
        <v>63.6</v>
      </c>
      <c r="DE7" s="689">
        <v>3</v>
      </c>
      <c r="DF7" s="690">
        <v>4</v>
      </c>
      <c r="DG7" s="691">
        <v>42.9</v>
      </c>
      <c r="DH7" s="689">
        <v>2</v>
      </c>
      <c r="DI7" s="690">
        <v>1</v>
      </c>
      <c r="DJ7" s="691">
        <v>66.7</v>
      </c>
      <c r="DK7" s="689">
        <v>2</v>
      </c>
      <c r="DL7" s="690"/>
      <c r="DM7" s="691">
        <v>100</v>
      </c>
      <c r="DN7" s="689">
        <v>5</v>
      </c>
      <c r="DO7" s="690">
        <v>1</v>
      </c>
      <c r="DP7" s="691">
        <v>83.3</v>
      </c>
      <c r="DQ7" s="689">
        <v>2</v>
      </c>
      <c r="DR7" s="690">
        <v>2</v>
      </c>
      <c r="DS7" s="691">
        <v>50</v>
      </c>
      <c r="DT7" s="689">
        <v>1</v>
      </c>
      <c r="DU7" s="690"/>
      <c r="DV7" s="691">
        <v>100</v>
      </c>
      <c r="DW7" s="689"/>
      <c r="DX7" s="690"/>
      <c r="DY7" s="691" t="s">
        <v>6</v>
      </c>
      <c r="DZ7" s="689"/>
      <c r="EA7" s="690"/>
      <c r="EB7" s="691" t="s">
        <v>6</v>
      </c>
      <c r="EC7" s="689"/>
      <c r="ED7" s="690"/>
      <c r="EE7" s="691" t="s">
        <v>6</v>
      </c>
      <c r="EF7" s="689">
        <v>0</v>
      </c>
      <c r="EG7" s="690">
        <v>0</v>
      </c>
      <c r="EH7" s="691" t="s">
        <v>6</v>
      </c>
      <c r="EI7" s="689">
        <v>1</v>
      </c>
      <c r="EJ7" s="690"/>
      <c r="EK7" s="691">
        <v>100</v>
      </c>
      <c r="EL7" s="689"/>
      <c r="EM7" s="690"/>
      <c r="EN7" s="691" t="s">
        <v>6</v>
      </c>
      <c r="EO7" s="689"/>
      <c r="EP7" s="690"/>
      <c r="EQ7" s="691" t="s">
        <v>6</v>
      </c>
      <c r="ER7" s="689"/>
      <c r="ES7" s="690">
        <v>1</v>
      </c>
      <c r="ET7" s="691">
        <v>0</v>
      </c>
      <c r="EU7" s="689"/>
      <c r="EV7" s="690"/>
      <c r="EW7" s="691" t="s">
        <v>6</v>
      </c>
      <c r="EX7" s="689"/>
      <c r="EY7" s="690"/>
      <c r="EZ7" s="691" t="s">
        <v>6</v>
      </c>
      <c r="FA7" s="689">
        <v>7</v>
      </c>
      <c r="FB7" s="690"/>
      <c r="FC7" s="691">
        <v>100</v>
      </c>
      <c r="FD7" s="689"/>
      <c r="FE7" s="690"/>
      <c r="FF7" s="691" t="s">
        <v>6</v>
      </c>
      <c r="FG7" s="689">
        <v>0</v>
      </c>
      <c r="FH7" s="690">
        <v>0</v>
      </c>
      <c r="FI7" s="691" t="s">
        <v>6</v>
      </c>
      <c r="FJ7" s="689">
        <v>1</v>
      </c>
      <c r="FK7" s="690">
        <v>2</v>
      </c>
      <c r="FL7" s="691">
        <v>33.299999999999997</v>
      </c>
      <c r="FM7" s="689">
        <v>2</v>
      </c>
      <c r="FN7" s="690"/>
      <c r="FO7" s="691">
        <v>100</v>
      </c>
      <c r="FP7" s="689"/>
      <c r="FQ7" s="690"/>
      <c r="FR7" s="691" t="s">
        <v>6</v>
      </c>
      <c r="FS7" s="689"/>
      <c r="FT7" s="690"/>
      <c r="FU7" s="691" t="s">
        <v>6</v>
      </c>
      <c r="FV7" s="689">
        <v>3</v>
      </c>
      <c r="FW7" s="690"/>
      <c r="FX7" s="691">
        <v>100</v>
      </c>
      <c r="FY7" s="689"/>
      <c r="FZ7" s="690"/>
      <c r="GA7" s="691" t="s">
        <v>6</v>
      </c>
      <c r="GB7" s="689">
        <v>4</v>
      </c>
      <c r="GC7" s="690">
        <v>2</v>
      </c>
      <c r="GD7" s="691">
        <v>66.7</v>
      </c>
      <c r="GE7" s="689">
        <v>1</v>
      </c>
      <c r="GF7" s="690"/>
      <c r="GG7" s="691">
        <v>100</v>
      </c>
      <c r="GH7" s="689">
        <v>0</v>
      </c>
      <c r="GI7" s="690">
        <v>0</v>
      </c>
      <c r="GJ7" s="691" t="s">
        <v>6</v>
      </c>
      <c r="GK7" s="689">
        <v>17</v>
      </c>
      <c r="GL7" s="690">
        <v>39</v>
      </c>
      <c r="GM7" s="691">
        <v>30.4</v>
      </c>
      <c r="GN7" s="689">
        <v>13</v>
      </c>
      <c r="GO7" s="690">
        <v>42</v>
      </c>
      <c r="GP7" s="691">
        <v>23.6</v>
      </c>
      <c r="GQ7" s="689">
        <v>9</v>
      </c>
      <c r="GR7" s="690">
        <v>31</v>
      </c>
      <c r="GS7" s="691">
        <v>22.5</v>
      </c>
      <c r="GT7" s="689">
        <v>7</v>
      </c>
      <c r="GU7" s="690">
        <v>13</v>
      </c>
      <c r="GV7" s="691">
        <v>35</v>
      </c>
      <c r="GW7" s="689">
        <v>3</v>
      </c>
      <c r="GX7" s="690">
        <v>19</v>
      </c>
      <c r="GY7" s="691">
        <v>13.6</v>
      </c>
      <c r="GZ7" s="689">
        <v>3</v>
      </c>
      <c r="HA7" s="690">
        <v>11</v>
      </c>
      <c r="HB7" s="691">
        <v>21.4</v>
      </c>
      <c r="HC7" s="689">
        <v>4</v>
      </c>
      <c r="HD7" s="690">
        <v>9</v>
      </c>
      <c r="HE7" s="691">
        <v>30.8</v>
      </c>
      <c r="HF7" s="689">
        <v>3</v>
      </c>
      <c r="HG7" s="690">
        <v>17</v>
      </c>
      <c r="HH7" s="691">
        <v>15</v>
      </c>
      <c r="HI7" s="689">
        <v>6</v>
      </c>
      <c r="HJ7" s="690">
        <v>9</v>
      </c>
      <c r="HK7" s="691">
        <v>40</v>
      </c>
      <c r="HL7" s="689">
        <v>4</v>
      </c>
      <c r="HM7" s="690"/>
      <c r="HN7" s="691">
        <v>100</v>
      </c>
      <c r="HO7" s="689">
        <v>3</v>
      </c>
      <c r="HP7" s="690"/>
      <c r="HQ7" s="691">
        <v>100</v>
      </c>
      <c r="HR7" s="689">
        <v>2</v>
      </c>
      <c r="HS7" s="690"/>
      <c r="HT7" s="691">
        <v>100</v>
      </c>
      <c r="HU7" s="689">
        <v>8</v>
      </c>
      <c r="HV7" s="690">
        <v>1</v>
      </c>
      <c r="HW7" s="691">
        <v>88.9</v>
      </c>
      <c r="HX7" s="689">
        <v>3</v>
      </c>
      <c r="HY7" s="690">
        <v>2</v>
      </c>
      <c r="HZ7" s="691">
        <v>60</v>
      </c>
      <c r="IA7" s="689">
        <v>3</v>
      </c>
      <c r="IB7" s="690"/>
      <c r="IC7" s="691">
        <v>100</v>
      </c>
      <c r="ID7" s="689">
        <v>1</v>
      </c>
      <c r="IE7" s="690">
        <v>1</v>
      </c>
      <c r="IF7" s="691">
        <v>50</v>
      </c>
      <c r="IG7" s="689">
        <v>3</v>
      </c>
      <c r="IH7" s="690"/>
      <c r="II7" s="691">
        <v>100</v>
      </c>
      <c r="IJ7" s="689">
        <v>0</v>
      </c>
      <c r="IK7" s="690">
        <v>0</v>
      </c>
      <c r="IL7" s="691" t="s">
        <v>6</v>
      </c>
      <c r="IM7" s="689">
        <v>2</v>
      </c>
      <c r="IN7" s="690"/>
      <c r="IO7" s="691">
        <v>100</v>
      </c>
      <c r="IP7" s="689">
        <v>5</v>
      </c>
      <c r="IQ7" s="690"/>
      <c r="IR7" s="691">
        <v>100</v>
      </c>
      <c r="IS7" s="689">
        <v>3</v>
      </c>
      <c r="IT7" s="690">
        <v>2</v>
      </c>
      <c r="IU7" s="691">
        <v>60</v>
      </c>
      <c r="IV7" s="689">
        <v>3</v>
      </c>
      <c r="IW7" s="690">
        <v>3</v>
      </c>
      <c r="IX7" s="691">
        <v>50</v>
      </c>
      <c r="IY7" s="689"/>
      <c r="IZ7" s="690">
        <v>3</v>
      </c>
      <c r="JA7" s="691">
        <v>0</v>
      </c>
      <c r="JB7" s="689">
        <v>2</v>
      </c>
      <c r="JC7" s="690"/>
      <c r="JD7" s="691">
        <v>100</v>
      </c>
      <c r="JE7" s="689">
        <v>5</v>
      </c>
      <c r="JF7" s="690"/>
      <c r="JG7" s="691">
        <v>100</v>
      </c>
      <c r="JH7" s="689">
        <v>4</v>
      </c>
      <c r="JI7" s="690"/>
      <c r="JJ7" s="691">
        <v>100</v>
      </c>
      <c r="JK7" s="689">
        <v>4</v>
      </c>
      <c r="JL7" s="690">
        <v>0</v>
      </c>
      <c r="JM7" s="691">
        <v>100</v>
      </c>
      <c r="JN7" s="689">
        <v>281</v>
      </c>
      <c r="JO7" s="690">
        <v>351</v>
      </c>
      <c r="JP7" s="691">
        <v>44.5</v>
      </c>
      <c r="JQ7" s="689">
        <v>262</v>
      </c>
      <c r="JR7" s="690">
        <v>389</v>
      </c>
      <c r="JS7" s="691">
        <v>40.200000000000003</v>
      </c>
      <c r="JT7" s="689">
        <v>315</v>
      </c>
      <c r="JU7" s="690">
        <v>352</v>
      </c>
      <c r="JV7" s="691">
        <v>47.2</v>
      </c>
      <c r="JW7" s="689">
        <v>161</v>
      </c>
      <c r="JX7" s="690">
        <v>229</v>
      </c>
      <c r="JY7" s="691">
        <v>41.3</v>
      </c>
      <c r="JZ7" s="689">
        <v>135</v>
      </c>
      <c r="KA7" s="690">
        <v>200</v>
      </c>
      <c r="KB7" s="691">
        <v>40.299999999999997</v>
      </c>
      <c r="KC7" s="689">
        <v>135</v>
      </c>
      <c r="KD7" s="690">
        <v>153</v>
      </c>
      <c r="KE7" s="691">
        <v>46.9</v>
      </c>
      <c r="KF7" s="689">
        <v>154</v>
      </c>
      <c r="KG7" s="690">
        <v>144</v>
      </c>
      <c r="KH7" s="691">
        <v>51.7</v>
      </c>
      <c r="KI7" s="689">
        <v>120</v>
      </c>
      <c r="KJ7" s="690">
        <v>111</v>
      </c>
      <c r="KK7" s="691">
        <v>51.9</v>
      </c>
      <c r="KL7" s="689">
        <v>113</v>
      </c>
      <c r="KM7" s="690">
        <v>80</v>
      </c>
      <c r="KN7" s="691">
        <v>58.5</v>
      </c>
      <c r="KO7" s="689">
        <v>87</v>
      </c>
      <c r="KP7" s="690">
        <v>78</v>
      </c>
      <c r="KQ7" s="691">
        <v>52.7</v>
      </c>
      <c r="KR7" s="689">
        <v>73</v>
      </c>
      <c r="KS7" s="690">
        <v>101</v>
      </c>
      <c r="KT7" s="691">
        <v>42</v>
      </c>
      <c r="KU7" s="689">
        <v>74</v>
      </c>
      <c r="KV7" s="690">
        <v>125</v>
      </c>
      <c r="KW7" s="691">
        <v>37.200000000000003</v>
      </c>
      <c r="KX7" s="689">
        <v>41</v>
      </c>
      <c r="KY7" s="690">
        <v>57</v>
      </c>
      <c r="KZ7" s="691">
        <v>41.8</v>
      </c>
      <c r="LA7" s="689">
        <v>38</v>
      </c>
      <c r="LB7" s="690">
        <v>31</v>
      </c>
      <c r="LC7" s="691">
        <v>55.1</v>
      </c>
      <c r="LD7" s="689">
        <v>33</v>
      </c>
      <c r="LE7" s="690">
        <v>15</v>
      </c>
      <c r="LF7" s="691">
        <v>68.8</v>
      </c>
      <c r="LG7" s="689">
        <v>51</v>
      </c>
      <c r="LH7" s="690">
        <v>14</v>
      </c>
      <c r="LI7" s="691">
        <v>78.5</v>
      </c>
      <c r="LJ7" s="689">
        <v>47</v>
      </c>
      <c r="LK7" s="690">
        <v>11</v>
      </c>
      <c r="LL7" s="691">
        <v>81</v>
      </c>
      <c r="LM7" s="689">
        <v>69</v>
      </c>
      <c r="LN7" s="690">
        <v>14</v>
      </c>
      <c r="LO7" s="691">
        <v>83.1</v>
      </c>
      <c r="LP7" s="689">
        <v>2</v>
      </c>
      <c r="LQ7" s="690">
        <v>5</v>
      </c>
      <c r="LR7" s="691">
        <v>28.6</v>
      </c>
      <c r="LS7" s="689"/>
      <c r="LT7" s="690">
        <v>1</v>
      </c>
      <c r="LU7" s="691">
        <v>0</v>
      </c>
      <c r="LV7" s="689"/>
      <c r="LW7" s="690">
        <v>2</v>
      </c>
      <c r="LX7" s="691">
        <v>0</v>
      </c>
      <c r="LY7" s="689">
        <v>2</v>
      </c>
      <c r="LZ7" s="690">
        <v>2</v>
      </c>
      <c r="MA7" s="691">
        <v>50</v>
      </c>
      <c r="MB7" s="689"/>
      <c r="MC7" s="690">
        <v>3</v>
      </c>
      <c r="MD7" s="691">
        <v>0</v>
      </c>
      <c r="ME7" s="689">
        <v>2</v>
      </c>
      <c r="MF7" s="690">
        <v>1</v>
      </c>
      <c r="MG7" s="691">
        <v>66.7</v>
      </c>
      <c r="MH7" s="689">
        <v>2</v>
      </c>
      <c r="MI7" s="690"/>
      <c r="MJ7" s="691">
        <v>100</v>
      </c>
      <c r="MK7" s="689">
        <v>1</v>
      </c>
      <c r="ML7" s="690"/>
      <c r="MM7" s="691">
        <v>100</v>
      </c>
      <c r="MN7" s="689">
        <v>1</v>
      </c>
      <c r="MO7" s="690">
        <v>0</v>
      </c>
      <c r="MP7" s="691">
        <v>100</v>
      </c>
      <c r="MQ7" s="689"/>
      <c r="MR7" s="690">
        <v>2</v>
      </c>
      <c r="MS7" s="691">
        <v>0</v>
      </c>
      <c r="MT7" s="689">
        <v>2</v>
      </c>
      <c r="MU7" s="690">
        <v>7</v>
      </c>
      <c r="MV7" s="691">
        <v>22.2</v>
      </c>
      <c r="MW7" s="689">
        <v>1</v>
      </c>
      <c r="MX7" s="690">
        <v>2</v>
      </c>
      <c r="MY7" s="691">
        <v>33.299999999999997</v>
      </c>
      <c r="MZ7" s="689">
        <v>1</v>
      </c>
      <c r="NA7" s="690">
        <v>1</v>
      </c>
      <c r="NB7" s="691">
        <v>50</v>
      </c>
      <c r="NC7" s="689">
        <v>1</v>
      </c>
      <c r="ND7" s="690">
        <v>1</v>
      </c>
      <c r="NE7" s="691">
        <v>50</v>
      </c>
      <c r="NF7" s="689"/>
      <c r="NG7" s="690">
        <v>1</v>
      </c>
      <c r="NH7" s="691">
        <v>0</v>
      </c>
      <c r="NI7" s="689">
        <v>2</v>
      </c>
      <c r="NJ7" s="690"/>
      <c r="NK7" s="691">
        <v>100</v>
      </c>
      <c r="NL7" s="689">
        <v>1</v>
      </c>
      <c r="NM7" s="690"/>
      <c r="NN7" s="691">
        <v>100</v>
      </c>
      <c r="NO7" s="689">
        <v>2</v>
      </c>
      <c r="NP7" s="690">
        <v>0</v>
      </c>
      <c r="NQ7" s="691">
        <v>100</v>
      </c>
      <c r="NR7" s="689">
        <v>199</v>
      </c>
      <c r="NS7" s="690">
        <v>94</v>
      </c>
      <c r="NT7" s="691">
        <v>67.900000000000006</v>
      </c>
      <c r="NU7" s="689">
        <v>162</v>
      </c>
      <c r="NV7" s="690">
        <v>125</v>
      </c>
      <c r="NW7" s="691">
        <v>56.4</v>
      </c>
      <c r="NX7" s="689">
        <v>134</v>
      </c>
      <c r="NY7" s="690">
        <v>148</v>
      </c>
      <c r="NZ7" s="691">
        <v>47.5</v>
      </c>
      <c r="OA7" s="689">
        <v>133</v>
      </c>
      <c r="OB7" s="690">
        <v>66</v>
      </c>
      <c r="OC7" s="691">
        <v>66.8</v>
      </c>
      <c r="OD7" s="689">
        <v>110</v>
      </c>
      <c r="OE7" s="690">
        <v>43</v>
      </c>
      <c r="OF7" s="691">
        <v>71.900000000000006</v>
      </c>
      <c r="OG7" s="689">
        <v>100</v>
      </c>
      <c r="OH7" s="690">
        <v>20</v>
      </c>
      <c r="OI7" s="691">
        <v>83.3</v>
      </c>
      <c r="OJ7" s="689">
        <v>142</v>
      </c>
      <c r="OK7" s="690">
        <v>21</v>
      </c>
      <c r="OL7" s="691">
        <v>87.1</v>
      </c>
      <c r="OM7" s="689">
        <v>164</v>
      </c>
      <c r="ON7" s="690">
        <v>24</v>
      </c>
      <c r="OO7" s="691">
        <v>87.2</v>
      </c>
      <c r="OP7" s="689">
        <v>173</v>
      </c>
      <c r="OQ7" s="690">
        <v>17</v>
      </c>
      <c r="OR7" s="691">
        <v>91.1</v>
      </c>
      <c r="OS7" s="689">
        <v>615</v>
      </c>
      <c r="OT7" s="690">
        <v>465</v>
      </c>
      <c r="OU7" s="691">
        <v>56.9</v>
      </c>
      <c r="OV7" s="689">
        <v>586</v>
      </c>
      <c r="OW7" s="690">
        <v>544</v>
      </c>
      <c r="OX7" s="691">
        <v>51.9</v>
      </c>
      <c r="OY7" s="689">
        <v>628</v>
      </c>
      <c r="OZ7" s="690">
        <v>497</v>
      </c>
      <c r="PA7" s="691">
        <v>55.8</v>
      </c>
      <c r="PB7" s="689">
        <v>451</v>
      </c>
      <c r="PC7" s="690">
        <v>319</v>
      </c>
      <c r="PD7" s="691">
        <v>58.6</v>
      </c>
      <c r="PE7" s="689">
        <v>426</v>
      </c>
      <c r="PF7" s="690">
        <v>294</v>
      </c>
      <c r="PG7" s="691">
        <v>59.2</v>
      </c>
      <c r="PH7" s="689">
        <v>406</v>
      </c>
      <c r="PI7" s="690">
        <v>212</v>
      </c>
      <c r="PJ7" s="691">
        <v>65.7</v>
      </c>
      <c r="PK7" s="689">
        <v>401</v>
      </c>
      <c r="PL7" s="690">
        <v>192</v>
      </c>
      <c r="PM7" s="691">
        <v>67.599999999999994</v>
      </c>
      <c r="PN7" s="689">
        <v>569</v>
      </c>
      <c r="PO7" s="690">
        <v>165</v>
      </c>
      <c r="PP7" s="691">
        <v>77.5</v>
      </c>
      <c r="PQ7" s="689">
        <v>432</v>
      </c>
      <c r="PR7" s="690">
        <v>111</v>
      </c>
      <c r="PS7" s="691">
        <v>79.599999999999994</v>
      </c>
      <c r="PT7" s="692">
        <f t="shared" si="0"/>
        <v>274</v>
      </c>
      <c r="PU7" s="183">
        <f t="shared" si="0"/>
        <v>571</v>
      </c>
      <c r="PV7" s="438">
        <f t="shared" si="1"/>
        <v>32.426035502958577</v>
      </c>
      <c r="PW7" s="692">
        <f t="shared" si="2"/>
        <v>1</v>
      </c>
      <c r="PX7" s="183">
        <f t="shared" si="2"/>
        <v>2</v>
      </c>
      <c r="PY7" s="438">
        <f t="shared" si="3"/>
        <v>33.333333333333329</v>
      </c>
      <c r="PZ7" s="692">
        <f t="shared" si="4"/>
        <v>6</v>
      </c>
      <c r="QA7" s="183">
        <f t="shared" si="4"/>
        <v>17</v>
      </c>
      <c r="QB7" s="438">
        <f t="shared" si="5"/>
        <v>26.086956521739129</v>
      </c>
      <c r="QC7" s="692">
        <f t="shared" si="6"/>
        <v>20</v>
      </c>
      <c r="QD7" s="183">
        <f t="shared" si="6"/>
        <v>65</v>
      </c>
      <c r="QE7" s="438">
        <f t="shared" si="7"/>
        <v>23.52941176470588</v>
      </c>
      <c r="QF7" s="692">
        <f t="shared" si="8"/>
        <v>1</v>
      </c>
      <c r="QG7" s="183">
        <f t="shared" si="8"/>
        <v>0</v>
      </c>
      <c r="QH7" s="438">
        <f t="shared" si="9"/>
        <v>100</v>
      </c>
      <c r="QI7" s="692">
        <f t="shared" si="10"/>
        <v>7</v>
      </c>
      <c r="QJ7" s="183">
        <f t="shared" si="10"/>
        <v>0</v>
      </c>
      <c r="QK7" s="438">
        <f t="shared" si="11"/>
        <v>100</v>
      </c>
      <c r="QL7" s="692">
        <f t="shared" si="12"/>
        <v>8</v>
      </c>
      <c r="QM7" s="183">
        <f t="shared" si="12"/>
        <v>2</v>
      </c>
      <c r="QN7" s="438">
        <f t="shared" si="13"/>
        <v>80</v>
      </c>
      <c r="QO7" s="692">
        <f t="shared" si="14"/>
        <v>19</v>
      </c>
      <c r="QP7" s="183">
        <f t="shared" si="14"/>
        <v>65</v>
      </c>
      <c r="QQ7" s="438">
        <f t="shared" si="15"/>
        <v>22.61904761904762</v>
      </c>
      <c r="QR7" s="692">
        <f t="shared" si="16"/>
        <v>10</v>
      </c>
      <c r="QS7" s="183">
        <f t="shared" si="16"/>
        <v>3</v>
      </c>
      <c r="QT7" s="438">
        <f t="shared" si="17"/>
        <v>76.923076923076934</v>
      </c>
      <c r="QU7" s="692">
        <f t="shared" si="18"/>
        <v>15</v>
      </c>
      <c r="QV7" s="183">
        <f t="shared" si="18"/>
        <v>3</v>
      </c>
      <c r="QW7" s="438">
        <f t="shared" si="19"/>
        <v>83.333333333333343</v>
      </c>
      <c r="QX7" s="692">
        <f t="shared" si="20"/>
        <v>657</v>
      </c>
      <c r="QY7" s="183">
        <f t="shared" si="20"/>
        <v>688</v>
      </c>
      <c r="QZ7" s="438">
        <f t="shared" si="21"/>
        <v>48.847583643122675</v>
      </c>
      <c r="RA7" s="692">
        <f t="shared" si="22"/>
        <v>238</v>
      </c>
      <c r="RB7" s="183">
        <f t="shared" si="22"/>
        <v>85</v>
      </c>
      <c r="RC7" s="438">
        <f t="shared" si="23"/>
        <v>73.68421052631578</v>
      </c>
      <c r="RD7" s="692">
        <f t="shared" si="24"/>
        <v>6</v>
      </c>
      <c r="RE7" s="183">
        <f t="shared" si="24"/>
        <v>4</v>
      </c>
      <c r="RF7" s="438">
        <f t="shared" si="25"/>
        <v>60</v>
      </c>
      <c r="RG7" s="692">
        <f t="shared" si="26"/>
        <v>6</v>
      </c>
      <c r="RH7" s="183">
        <f t="shared" si="26"/>
        <v>2</v>
      </c>
      <c r="RI7" s="438">
        <f t="shared" si="27"/>
        <v>75</v>
      </c>
      <c r="RJ7" s="692">
        <f t="shared" si="28"/>
        <v>689</v>
      </c>
      <c r="RK7" s="183">
        <f t="shared" si="28"/>
        <v>125</v>
      </c>
      <c r="RL7" s="438">
        <f t="shared" si="29"/>
        <v>84.643734643734646</v>
      </c>
      <c r="RM7" s="692">
        <f t="shared" si="30"/>
        <v>2234</v>
      </c>
      <c r="RN7" s="183">
        <f t="shared" si="30"/>
        <v>974</v>
      </c>
      <c r="RO7" s="438">
        <f t="shared" si="31"/>
        <v>69.638403990024926</v>
      </c>
    </row>
    <row r="8" spans="1:483" x14ac:dyDescent="0.2">
      <c r="A8" s="986"/>
      <c r="B8" s="741" t="s">
        <v>621</v>
      </c>
      <c r="C8" s="881" t="s">
        <v>1201</v>
      </c>
      <c r="D8" s="689">
        <v>164</v>
      </c>
      <c r="E8" s="690">
        <v>207</v>
      </c>
      <c r="F8" s="691">
        <v>44.2</v>
      </c>
      <c r="G8" s="689">
        <v>74</v>
      </c>
      <c r="H8" s="690">
        <v>202</v>
      </c>
      <c r="I8" s="691">
        <v>26.8</v>
      </c>
      <c r="J8" s="689">
        <v>129</v>
      </c>
      <c r="K8" s="690">
        <v>214</v>
      </c>
      <c r="L8" s="691">
        <v>37.6</v>
      </c>
      <c r="M8" s="689">
        <v>91</v>
      </c>
      <c r="N8" s="690">
        <v>184</v>
      </c>
      <c r="O8" s="691">
        <v>33.1</v>
      </c>
      <c r="P8" s="689">
        <v>100</v>
      </c>
      <c r="Q8" s="690">
        <v>197</v>
      </c>
      <c r="R8" s="691">
        <v>33.700000000000003</v>
      </c>
      <c r="S8" s="689">
        <v>91</v>
      </c>
      <c r="T8" s="690">
        <v>148</v>
      </c>
      <c r="U8" s="691">
        <v>38.1</v>
      </c>
      <c r="V8" s="689">
        <v>70</v>
      </c>
      <c r="W8" s="690">
        <v>129</v>
      </c>
      <c r="X8" s="691">
        <v>35.200000000000003</v>
      </c>
      <c r="Y8" s="689">
        <v>115</v>
      </c>
      <c r="Z8" s="690">
        <v>115</v>
      </c>
      <c r="AA8" s="691">
        <v>50</v>
      </c>
      <c r="AB8" s="689">
        <v>70</v>
      </c>
      <c r="AC8" s="690">
        <v>60</v>
      </c>
      <c r="AD8" s="691">
        <v>53.8</v>
      </c>
      <c r="AE8" s="689"/>
      <c r="AF8" s="690"/>
      <c r="AG8" s="691" t="s">
        <v>6</v>
      </c>
      <c r="AH8" s="689"/>
      <c r="AI8" s="690"/>
      <c r="AJ8" s="691" t="s">
        <v>6</v>
      </c>
      <c r="AK8" s="689">
        <v>5</v>
      </c>
      <c r="AL8" s="690"/>
      <c r="AM8" s="691">
        <v>100</v>
      </c>
      <c r="AN8" s="689">
        <v>1</v>
      </c>
      <c r="AO8" s="690">
        <v>2</v>
      </c>
      <c r="AP8" s="691">
        <v>33.299999999999997</v>
      </c>
      <c r="AQ8" s="689">
        <v>3</v>
      </c>
      <c r="AR8" s="690"/>
      <c r="AS8" s="691">
        <v>100</v>
      </c>
      <c r="AT8" s="689"/>
      <c r="AU8" s="690">
        <v>2</v>
      </c>
      <c r="AV8" s="691">
        <v>0</v>
      </c>
      <c r="AW8" s="689"/>
      <c r="AX8" s="690"/>
      <c r="AY8" s="691" t="s">
        <v>6</v>
      </c>
      <c r="AZ8" s="689">
        <v>1</v>
      </c>
      <c r="BA8" s="690"/>
      <c r="BB8" s="691">
        <v>100</v>
      </c>
      <c r="BC8" s="689">
        <v>1</v>
      </c>
      <c r="BD8" s="690">
        <v>0</v>
      </c>
      <c r="BE8" s="691">
        <v>100</v>
      </c>
      <c r="BF8" s="689">
        <v>3</v>
      </c>
      <c r="BG8" s="690">
        <v>4</v>
      </c>
      <c r="BH8" s="691">
        <v>42.9</v>
      </c>
      <c r="BI8" s="689"/>
      <c r="BJ8" s="690">
        <v>18</v>
      </c>
      <c r="BK8" s="691">
        <v>0</v>
      </c>
      <c r="BL8" s="689"/>
      <c r="BM8" s="690">
        <v>9</v>
      </c>
      <c r="BN8" s="691">
        <v>0</v>
      </c>
      <c r="BO8" s="689">
        <v>1</v>
      </c>
      <c r="BP8" s="690">
        <v>6</v>
      </c>
      <c r="BQ8" s="691">
        <v>14.3</v>
      </c>
      <c r="BR8" s="689">
        <v>2</v>
      </c>
      <c r="BS8" s="690">
        <v>2</v>
      </c>
      <c r="BT8" s="691">
        <v>50</v>
      </c>
      <c r="BU8" s="689">
        <v>3</v>
      </c>
      <c r="BV8" s="690">
        <v>4</v>
      </c>
      <c r="BW8" s="691">
        <v>42.9</v>
      </c>
      <c r="BX8" s="689"/>
      <c r="BY8" s="690">
        <v>2</v>
      </c>
      <c r="BZ8" s="691">
        <v>0</v>
      </c>
      <c r="CA8" s="689">
        <v>2</v>
      </c>
      <c r="CB8" s="690">
        <v>3</v>
      </c>
      <c r="CC8" s="691">
        <v>40</v>
      </c>
      <c r="CD8" s="689">
        <v>1</v>
      </c>
      <c r="CE8" s="690">
        <v>1</v>
      </c>
      <c r="CF8" s="691">
        <v>50</v>
      </c>
      <c r="CG8" s="689">
        <v>8</v>
      </c>
      <c r="CH8" s="690">
        <v>26</v>
      </c>
      <c r="CI8" s="691">
        <v>23.5</v>
      </c>
      <c r="CJ8" s="689">
        <v>4</v>
      </c>
      <c r="CK8" s="690">
        <v>24</v>
      </c>
      <c r="CL8" s="691">
        <v>14.3</v>
      </c>
      <c r="CM8" s="689">
        <v>11</v>
      </c>
      <c r="CN8" s="690">
        <v>31</v>
      </c>
      <c r="CO8" s="691">
        <v>26.2</v>
      </c>
      <c r="CP8" s="689">
        <v>13</v>
      </c>
      <c r="CQ8" s="690">
        <v>23</v>
      </c>
      <c r="CR8" s="691">
        <v>36.1</v>
      </c>
      <c r="CS8" s="689">
        <v>17</v>
      </c>
      <c r="CT8" s="690">
        <v>19</v>
      </c>
      <c r="CU8" s="691">
        <v>47.2</v>
      </c>
      <c r="CV8" s="689">
        <v>9</v>
      </c>
      <c r="CW8" s="690">
        <v>21</v>
      </c>
      <c r="CX8" s="691">
        <v>30</v>
      </c>
      <c r="CY8" s="689">
        <v>4</v>
      </c>
      <c r="CZ8" s="690">
        <v>20</v>
      </c>
      <c r="DA8" s="691">
        <v>16.7</v>
      </c>
      <c r="DB8" s="689">
        <v>18</v>
      </c>
      <c r="DC8" s="690">
        <v>12</v>
      </c>
      <c r="DD8" s="691">
        <v>60</v>
      </c>
      <c r="DE8" s="689">
        <v>5</v>
      </c>
      <c r="DF8" s="690">
        <v>2</v>
      </c>
      <c r="DG8" s="691">
        <v>71.400000000000006</v>
      </c>
      <c r="DH8" s="689">
        <v>2</v>
      </c>
      <c r="DI8" s="690"/>
      <c r="DJ8" s="691">
        <v>100</v>
      </c>
      <c r="DK8" s="689">
        <v>2</v>
      </c>
      <c r="DL8" s="690"/>
      <c r="DM8" s="691">
        <v>100</v>
      </c>
      <c r="DN8" s="689">
        <v>1</v>
      </c>
      <c r="DO8" s="690">
        <v>2</v>
      </c>
      <c r="DP8" s="691">
        <v>33.299999999999997</v>
      </c>
      <c r="DQ8" s="689"/>
      <c r="DR8" s="690">
        <v>1</v>
      </c>
      <c r="DS8" s="691">
        <v>0</v>
      </c>
      <c r="DT8" s="689">
        <v>4</v>
      </c>
      <c r="DU8" s="690">
        <v>2</v>
      </c>
      <c r="DV8" s="691">
        <v>66.7</v>
      </c>
      <c r="DW8" s="689"/>
      <c r="DX8" s="690"/>
      <c r="DY8" s="691" t="s">
        <v>6</v>
      </c>
      <c r="DZ8" s="689"/>
      <c r="EA8" s="690"/>
      <c r="EB8" s="691" t="s">
        <v>6</v>
      </c>
      <c r="EC8" s="689">
        <v>1</v>
      </c>
      <c r="ED8" s="690"/>
      <c r="EE8" s="691">
        <v>100</v>
      </c>
      <c r="EF8" s="689">
        <v>0</v>
      </c>
      <c r="EG8" s="690">
        <v>0</v>
      </c>
      <c r="EH8" s="691" t="s">
        <v>6</v>
      </c>
      <c r="EI8" s="689">
        <v>1</v>
      </c>
      <c r="EJ8" s="690">
        <v>1</v>
      </c>
      <c r="EK8" s="691">
        <v>50</v>
      </c>
      <c r="EL8" s="689">
        <v>1</v>
      </c>
      <c r="EM8" s="690">
        <v>1</v>
      </c>
      <c r="EN8" s="691">
        <v>50</v>
      </c>
      <c r="EO8" s="689">
        <v>2</v>
      </c>
      <c r="EP8" s="690"/>
      <c r="EQ8" s="691">
        <v>100</v>
      </c>
      <c r="ER8" s="689"/>
      <c r="ES8" s="690"/>
      <c r="ET8" s="691" t="s">
        <v>6</v>
      </c>
      <c r="EU8" s="689"/>
      <c r="EV8" s="690"/>
      <c r="EW8" s="691" t="s">
        <v>6</v>
      </c>
      <c r="EX8" s="689">
        <v>1</v>
      </c>
      <c r="EY8" s="690"/>
      <c r="EZ8" s="691">
        <v>100</v>
      </c>
      <c r="FA8" s="689">
        <v>1</v>
      </c>
      <c r="FB8" s="690"/>
      <c r="FC8" s="691">
        <v>100</v>
      </c>
      <c r="FD8" s="689">
        <v>5</v>
      </c>
      <c r="FE8" s="690"/>
      <c r="FF8" s="691">
        <v>100</v>
      </c>
      <c r="FG8" s="689">
        <v>1</v>
      </c>
      <c r="FH8" s="690">
        <v>1</v>
      </c>
      <c r="FI8" s="691">
        <v>50</v>
      </c>
      <c r="FJ8" s="689"/>
      <c r="FK8" s="690">
        <v>1</v>
      </c>
      <c r="FL8" s="691">
        <v>0</v>
      </c>
      <c r="FM8" s="689">
        <v>2</v>
      </c>
      <c r="FN8" s="690"/>
      <c r="FO8" s="691">
        <v>100</v>
      </c>
      <c r="FP8" s="689">
        <v>4</v>
      </c>
      <c r="FQ8" s="690">
        <v>1</v>
      </c>
      <c r="FR8" s="691">
        <v>80</v>
      </c>
      <c r="FS8" s="689"/>
      <c r="FT8" s="690">
        <v>1</v>
      </c>
      <c r="FU8" s="691">
        <v>0</v>
      </c>
      <c r="FV8" s="689">
        <v>2</v>
      </c>
      <c r="FW8" s="690"/>
      <c r="FX8" s="691">
        <v>100</v>
      </c>
      <c r="FY8" s="689"/>
      <c r="FZ8" s="690"/>
      <c r="GA8" s="691" t="s">
        <v>6</v>
      </c>
      <c r="GB8" s="689"/>
      <c r="GC8" s="690"/>
      <c r="GD8" s="691" t="s">
        <v>6</v>
      </c>
      <c r="GE8" s="689"/>
      <c r="GF8" s="690"/>
      <c r="GG8" s="691" t="s">
        <v>6</v>
      </c>
      <c r="GH8" s="689">
        <v>1</v>
      </c>
      <c r="GI8" s="690">
        <v>0</v>
      </c>
      <c r="GJ8" s="691">
        <v>100</v>
      </c>
      <c r="GK8" s="689">
        <v>10</v>
      </c>
      <c r="GL8" s="690">
        <v>20</v>
      </c>
      <c r="GM8" s="691">
        <v>33.299999999999997</v>
      </c>
      <c r="GN8" s="689">
        <v>7</v>
      </c>
      <c r="GO8" s="690">
        <v>16</v>
      </c>
      <c r="GP8" s="691">
        <v>30.4</v>
      </c>
      <c r="GQ8" s="689">
        <v>3</v>
      </c>
      <c r="GR8" s="690">
        <v>11</v>
      </c>
      <c r="GS8" s="691">
        <v>21.4</v>
      </c>
      <c r="GT8" s="689"/>
      <c r="GU8" s="690">
        <v>13</v>
      </c>
      <c r="GV8" s="691">
        <v>0</v>
      </c>
      <c r="GW8" s="689">
        <v>3</v>
      </c>
      <c r="GX8" s="690">
        <v>11</v>
      </c>
      <c r="GY8" s="691">
        <v>21.4</v>
      </c>
      <c r="GZ8" s="689">
        <v>2</v>
      </c>
      <c r="HA8" s="690">
        <v>5</v>
      </c>
      <c r="HB8" s="691">
        <v>28.6</v>
      </c>
      <c r="HC8" s="689">
        <v>3</v>
      </c>
      <c r="HD8" s="690">
        <v>4</v>
      </c>
      <c r="HE8" s="691">
        <v>42.9</v>
      </c>
      <c r="HF8" s="689">
        <v>7</v>
      </c>
      <c r="HG8" s="690">
        <v>2</v>
      </c>
      <c r="HH8" s="691">
        <v>77.8</v>
      </c>
      <c r="HI8" s="689">
        <v>4</v>
      </c>
      <c r="HJ8" s="690">
        <v>6</v>
      </c>
      <c r="HK8" s="691">
        <v>40</v>
      </c>
      <c r="HL8" s="689">
        <v>4</v>
      </c>
      <c r="HM8" s="690"/>
      <c r="HN8" s="691">
        <v>100</v>
      </c>
      <c r="HO8" s="689">
        <v>1</v>
      </c>
      <c r="HP8" s="690"/>
      <c r="HQ8" s="691">
        <v>100</v>
      </c>
      <c r="HR8" s="689">
        <v>2</v>
      </c>
      <c r="HS8" s="690"/>
      <c r="HT8" s="691">
        <v>100</v>
      </c>
      <c r="HU8" s="689">
        <v>7</v>
      </c>
      <c r="HV8" s="690">
        <v>1</v>
      </c>
      <c r="HW8" s="691">
        <v>87.5</v>
      </c>
      <c r="HX8" s="689">
        <v>2</v>
      </c>
      <c r="HY8" s="690"/>
      <c r="HZ8" s="691">
        <v>100</v>
      </c>
      <c r="IA8" s="689">
        <v>4</v>
      </c>
      <c r="IB8" s="690">
        <v>1</v>
      </c>
      <c r="IC8" s="691">
        <v>80</v>
      </c>
      <c r="ID8" s="689">
        <v>3</v>
      </c>
      <c r="IE8" s="690"/>
      <c r="IF8" s="691">
        <v>100</v>
      </c>
      <c r="IG8" s="689">
        <v>3</v>
      </c>
      <c r="IH8" s="690"/>
      <c r="II8" s="691">
        <v>100</v>
      </c>
      <c r="IJ8" s="689">
        <v>1</v>
      </c>
      <c r="IK8" s="690">
        <v>0</v>
      </c>
      <c r="IL8" s="691">
        <v>100</v>
      </c>
      <c r="IM8" s="689">
        <v>1</v>
      </c>
      <c r="IN8" s="690"/>
      <c r="IO8" s="691">
        <v>100</v>
      </c>
      <c r="IP8" s="689">
        <v>3</v>
      </c>
      <c r="IQ8" s="690"/>
      <c r="IR8" s="691">
        <v>100</v>
      </c>
      <c r="IS8" s="689">
        <v>2</v>
      </c>
      <c r="IT8" s="690"/>
      <c r="IU8" s="691">
        <v>100</v>
      </c>
      <c r="IV8" s="689">
        <v>3</v>
      </c>
      <c r="IW8" s="690">
        <v>1</v>
      </c>
      <c r="IX8" s="691">
        <v>75</v>
      </c>
      <c r="IY8" s="689">
        <v>6</v>
      </c>
      <c r="IZ8" s="690">
        <v>1</v>
      </c>
      <c r="JA8" s="691">
        <v>85.7</v>
      </c>
      <c r="JB8" s="689">
        <v>5</v>
      </c>
      <c r="JC8" s="690"/>
      <c r="JD8" s="691">
        <v>100</v>
      </c>
      <c r="JE8" s="689">
        <v>3</v>
      </c>
      <c r="JF8" s="690">
        <v>2</v>
      </c>
      <c r="JG8" s="691">
        <v>60</v>
      </c>
      <c r="JH8" s="689">
        <v>12</v>
      </c>
      <c r="JI8" s="690"/>
      <c r="JJ8" s="691">
        <v>100</v>
      </c>
      <c r="JK8" s="689">
        <v>4</v>
      </c>
      <c r="JL8" s="690">
        <v>0</v>
      </c>
      <c r="JM8" s="691">
        <v>100</v>
      </c>
      <c r="JN8" s="689">
        <v>258</v>
      </c>
      <c r="JO8" s="690">
        <v>250</v>
      </c>
      <c r="JP8" s="691">
        <v>50.8</v>
      </c>
      <c r="JQ8" s="689">
        <v>185</v>
      </c>
      <c r="JR8" s="690">
        <v>238</v>
      </c>
      <c r="JS8" s="691">
        <v>43.7</v>
      </c>
      <c r="JT8" s="689">
        <v>197</v>
      </c>
      <c r="JU8" s="690">
        <v>249</v>
      </c>
      <c r="JV8" s="691">
        <v>44.2</v>
      </c>
      <c r="JW8" s="689">
        <v>155</v>
      </c>
      <c r="JX8" s="690">
        <v>215</v>
      </c>
      <c r="JY8" s="691">
        <v>41.9</v>
      </c>
      <c r="JZ8" s="689">
        <v>173</v>
      </c>
      <c r="KA8" s="690">
        <v>234</v>
      </c>
      <c r="KB8" s="691">
        <v>42.5</v>
      </c>
      <c r="KC8" s="689">
        <v>169</v>
      </c>
      <c r="KD8" s="690">
        <v>161</v>
      </c>
      <c r="KE8" s="691">
        <v>51.2</v>
      </c>
      <c r="KF8" s="689">
        <v>158</v>
      </c>
      <c r="KG8" s="690">
        <v>150</v>
      </c>
      <c r="KH8" s="691">
        <v>51.3</v>
      </c>
      <c r="KI8" s="689">
        <v>197</v>
      </c>
      <c r="KJ8" s="690">
        <v>130</v>
      </c>
      <c r="KK8" s="691">
        <v>60.2</v>
      </c>
      <c r="KL8" s="689">
        <v>114</v>
      </c>
      <c r="KM8" s="690">
        <v>71</v>
      </c>
      <c r="KN8" s="691">
        <v>61.6</v>
      </c>
      <c r="KO8" s="689">
        <v>97</v>
      </c>
      <c r="KP8" s="690">
        <v>64</v>
      </c>
      <c r="KQ8" s="691">
        <v>60.2</v>
      </c>
      <c r="KR8" s="689">
        <v>64</v>
      </c>
      <c r="KS8" s="690">
        <v>75</v>
      </c>
      <c r="KT8" s="691">
        <v>46</v>
      </c>
      <c r="KU8" s="689">
        <v>56</v>
      </c>
      <c r="KV8" s="690">
        <v>75</v>
      </c>
      <c r="KW8" s="691">
        <v>42.7</v>
      </c>
      <c r="KX8" s="689">
        <v>50</v>
      </c>
      <c r="KY8" s="690">
        <v>52</v>
      </c>
      <c r="KZ8" s="691">
        <v>49</v>
      </c>
      <c r="LA8" s="689">
        <v>47</v>
      </c>
      <c r="LB8" s="690">
        <v>35</v>
      </c>
      <c r="LC8" s="691">
        <v>57.3</v>
      </c>
      <c r="LD8" s="689">
        <v>55</v>
      </c>
      <c r="LE8" s="690">
        <v>23</v>
      </c>
      <c r="LF8" s="691">
        <v>70.5</v>
      </c>
      <c r="LG8" s="689">
        <v>43</v>
      </c>
      <c r="LH8" s="690">
        <v>16</v>
      </c>
      <c r="LI8" s="691">
        <v>72.900000000000006</v>
      </c>
      <c r="LJ8" s="689">
        <v>71</v>
      </c>
      <c r="LK8" s="690">
        <v>11</v>
      </c>
      <c r="LL8" s="691">
        <v>86.6</v>
      </c>
      <c r="LM8" s="689">
        <v>34</v>
      </c>
      <c r="LN8" s="690">
        <v>19</v>
      </c>
      <c r="LO8" s="691">
        <v>64.2</v>
      </c>
      <c r="LP8" s="689">
        <v>4</v>
      </c>
      <c r="LQ8" s="690">
        <v>1</v>
      </c>
      <c r="LR8" s="691">
        <v>80</v>
      </c>
      <c r="LS8" s="689">
        <v>1</v>
      </c>
      <c r="LT8" s="690">
        <v>2</v>
      </c>
      <c r="LU8" s="691">
        <v>33.299999999999997</v>
      </c>
      <c r="LV8" s="689">
        <v>2</v>
      </c>
      <c r="LW8" s="690">
        <v>3</v>
      </c>
      <c r="LX8" s="691">
        <v>40</v>
      </c>
      <c r="LY8" s="689"/>
      <c r="LZ8" s="690">
        <v>2</v>
      </c>
      <c r="MA8" s="691">
        <v>0</v>
      </c>
      <c r="MB8" s="689"/>
      <c r="MC8" s="690"/>
      <c r="MD8" s="691" t="s">
        <v>6</v>
      </c>
      <c r="ME8" s="689">
        <v>2</v>
      </c>
      <c r="MF8" s="690"/>
      <c r="MG8" s="691">
        <v>100</v>
      </c>
      <c r="MH8" s="689">
        <v>1</v>
      </c>
      <c r="MI8" s="690">
        <v>1</v>
      </c>
      <c r="MJ8" s="691">
        <v>50</v>
      </c>
      <c r="MK8" s="689"/>
      <c r="ML8" s="690"/>
      <c r="MM8" s="691" t="s">
        <v>6</v>
      </c>
      <c r="MN8" s="689">
        <v>2</v>
      </c>
      <c r="MO8" s="690">
        <v>0</v>
      </c>
      <c r="MP8" s="691">
        <v>100</v>
      </c>
      <c r="MQ8" s="689"/>
      <c r="MR8" s="690"/>
      <c r="MS8" s="691" t="s">
        <v>6</v>
      </c>
      <c r="MT8" s="689"/>
      <c r="MU8" s="690"/>
      <c r="MV8" s="691" t="s">
        <v>6</v>
      </c>
      <c r="MW8" s="689"/>
      <c r="MX8" s="690">
        <v>2</v>
      </c>
      <c r="MY8" s="691">
        <v>0</v>
      </c>
      <c r="MZ8" s="689"/>
      <c r="NA8" s="690">
        <v>2</v>
      </c>
      <c r="NB8" s="691">
        <v>0</v>
      </c>
      <c r="NC8" s="689">
        <v>1</v>
      </c>
      <c r="ND8" s="690">
        <v>1</v>
      </c>
      <c r="NE8" s="691">
        <v>50</v>
      </c>
      <c r="NF8" s="689">
        <v>1</v>
      </c>
      <c r="NG8" s="690"/>
      <c r="NH8" s="691">
        <v>100</v>
      </c>
      <c r="NI8" s="689"/>
      <c r="NJ8" s="690"/>
      <c r="NK8" s="691" t="s">
        <v>6</v>
      </c>
      <c r="NL8" s="689">
        <v>1</v>
      </c>
      <c r="NM8" s="690"/>
      <c r="NN8" s="691">
        <v>100</v>
      </c>
      <c r="NO8" s="689">
        <v>0</v>
      </c>
      <c r="NP8" s="690">
        <v>0</v>
      </c>
      <c r="NQ8" s="691" t="s">
        <v>6</v>
      </c>
      <c r="NR8" s="689">
        <v>176</v>
      </c>
      <c r="NS8" s="690">
        <v>89</v>
      </c>
      <c r="NT8" s="691">
        <v>66.400000000000006</v>
      </c>
      <c r="NU8" s="689">
        <v>166</v>
      </c>
      <c r="NV8" s="690">
        <v>96</v>
      </c>
      <c r="NW8" s="691">
        <v>63.4</v>
      </c>
      <c r="NX8" s="689">
        <v>107</v>
      </c>
      <c r="NY8" s="690">
        <v>100</v>
      </c>
      <c r="NZ8" s="691">
        <v>51.7</v>
      </c>
      <c r="OA8" s="689">
        <v>127</v>
      </c>
      <c r="OB8" s="690">
        <v>76</v>
      </c>
      <c r="OC8" s="691">
        <v>62.6</v>
      </c>
      <c r="OD8" s="689">
        <v>133</v>
      </c>
      <c r="OE8" s="690">
        <v>49</v>
      </c>
      <c r="OF8" s="691">
        <v>73.099999999999994</v>
      </c>
      <c r="OG8" s="689">
        <v>154</v>
      </c>
      <c r="OH8" s="690">
        <v>37</v>
      </c>
      <c r="OI8" s="691">
        <v>80.599999999999994</v>
      </c>
      <c r="OJ8" s="689">
        <v>135</v>
      </c>
      <c r="OK8" s="690">
        <v>28</v>
      </c>
      <c r="OL8" s="691">
        <v>82.8</v>
      </c>
      <c r="OM8" s="689">
        <v>158</v>
      </c>
      <c r="ON8" s="690">
        <v>30</v>
      </c>
      <c r="OO8" s="691">
        <v>84</v>
      </c>
      <c r="OP8" s="689">
        <v>152</v>
      </c>
      <c r="OQ8" s="690">
        <v>37</v>
      </c>
      <c r="OR8" s="691">
        <v>80.400000000000006</v>
      </c>
      <c r="OS8" s="689">
        <v>462</v>
      </c>
      <c r="OT8" s="690">
        <v>365</v>
      </c>
      <c r="OU8" s="691">
        <v>55.9</v>
      </c>
      <c r="OV8" s="689">
        <v>509</v>
      </c>
      <c r="OW8" s="690">
        <v>420</v>
      </c>
      <c r="OX8" s="691">
        <v>54.8</v>
      </c>
      <c r="OY8" s="689">
        <v>368</v>
      </c>
      <c r="OZ8" s="690">
        <v>454</v>
      </c>
      <c r="PA8" s="691">
        <v>44.8</v>
      </c>
      <c r="PB8" s="689">
        <v>489</v>
      </c>
      <c r="PC8" s="690">
        <v>299</v>
      </c>
      <c r="PD8" s="691">
        <v>62.1</v>
      </c>
      <c r="PE8" s="689">
        <v>401</v>
      </c>
      <c r="PF8" s="690">
        <v>288</v>
      </c>
      <c r="PG8" s="691">
        <v>58.2</v>
      </c>
      <c r="PH8" s="689">
        <v>519</v>
      </c>
      <c r="PI8" s="690">
        <v>217</v>
      </c>
      <c r="PJ8" s="691">
        <v>70.5</v>
      </c>
      <c r="PK8" s="689">
        <v>370</v>
      </c>
      <c r="PL8" s="690">
        <v>210</v>
      </c>
      <c r="PM8" s="691">
        <v>63.8</v>
      </c>
      <c r="PN8" s="689">
        <v>429</v>
      </c>
      <c r="PO8" s="690">
        <v>194</v>
      </c>
      <c r="PP8" s="691">
        <v>68.900000000000006</v>
      </c>
      <c r="PQ8" s="689">
        <v>566</v>
      </c>
      <c r="PR8" s="690">
        <v>116</v>
      </c>
      <c r="PS8" s="691">
        <v>83</v>
      </c>
      <c r="PT8" s="692">
        <f t="shared" si="0"/>
        <v>446</v>
      </c>
      <c r="PU8" s="183">
        <f t="shared" si="0"/>
        <v>649</v>
      </c>
      <c r="PV8" s="438">
        <f t="shared" si="1"/>
        <v>40.730593607305934</v>
      </c>
      <c r="PW8" s="692">
        <f t="shared" si="2"/>
        <v>5</v>
      </c>
      <c r="PX8" s="183">
        <f t="shared" si="2"/>
        <v>2</v>
      </c>
      <c r="PY8" s="438">
        <f t="shared" si="3"/>
        <v>71.428571428571431</v>
      </c>
      <c r="PZ8" s="692">
        <f t="shared" si="4"/>
        <v>8</v>
      </c>
      <c r="QA8" s="183">
        <f t="shared" si="4"/>
        <v>12</v>
      </c>
      <c r="QB8" s="438">
        <f t="shared" si="5"/>
        <v>40</v>
      </c>
      <c r="QC8" s="692">
        <f t="shared" si="6"/>
        <v>53</v>
      </c>
      <c r="QD8" s="183">
        <f t="shared" si="6"/>
        <v>74</v>
      </c>
      <c r="QE8" s="438">
        <f t="shared" si="7"/>
        <v>41.732283464566926</v>
      </c>
      <c r="QF8" s="692">
        <f t="shared" si="8"/>
        <v>5</v>
      </c>
      <c r="QG8" s="183">
        <f t="shared" si="8"/>
        <v>2</v>
      </c>
      <c r="QH8" s="438">
        <f t="shared" si="9"/>
        <v>71.428571428571431</v>
      </c>
      <c r="QI8" s="692">
        <f t="shared" si="10"/>
        <v>8</v>
      </c>
      <c r="QJ8" s="183">
        <f t="shared" si="10"/>
        <v>1</v>
      </c>
      <c r="QK8" s="438">
        <f t="shared" si="11"/>
        <v>88.888888888888886</v>
      </c>
      <c r="QL8" s="692">
        <f t="shared" si="12"/>
        <v>3</v>
      </c>
      <c r="QM8" s="183">
        <f t="shared" si="12"/>
        <v>0</v>
      </c>
      <c r="QN8" s="438">
        <f t="shared" si="13"/>
        <v>100</v>
      </c>
      <c r="QO8" s="692">
        <f t="shared" si="14"/>
        <v>19</v>
      </c>
      <c r="QP8" s="183">
        <f t="shared" si="14"/>
        <v>28</v>
      </c>
      <c r="QQ8" s="438">
        <f t="shared" si="15"/>
        <v>40.425531914893611</v>
      </c>
      <c r="QR8" s="692">
        <f t="shared" si="16"/>
        <v>13</v>
      </c>
      <c r="QS8" s="183">
        <f t="shared" si="16"/>
        <v>1</v>
      </c>
      <c r="QT8" s="438">
        <f t="shared" si="17"/>
        <v>92.857142857142861</v>
      </c>
      <c r="QU8" s="692">
        <f t="shared" si="18"/>
        <v>30</v>
      </c>
      <c r="QV8" s="183">
        <f t="shared" si="18"/>
        <v>3</v>
      </c>
      <c r="QW8" s="438">
        <f t="shared" si="19"/>
        <v>90.909090909090907</v>
      </c>
      <c r="QX8" s="692">
        <f t="shared" si="20"/>
        <v>811</v>
      </c>
      <c r="QY8" s="183">
        <f t="shared" si="20"/>
        <v>746</v>
      </c>
      <c r="QZ8" s="438">
        <f t="shared" si="21"/>
        <v>52.08734746307001</v>
      </c>
      <c r="RA8" s="692">
        <f t="shared" si="22"/>
        <v>250</v>
      </c>
      <c r="RB8" s="183">
        <f t="shared" si="22"/>
        <v>104</v>
      </c>
      <c r="RC8" s="438">
        <f t="shared" si="23"/>
        <v>70.621468926553675</v>
      </c>
      <c r="RD8" s="692">
        <f t="shared" si="24"/>
        <v>5</v>
      </c>
      <c r="RE8" s="183">
        <f t="shared" si="24"/>
        <v>1</v>
      </c>
      <c r="RF8" s="438">
        <f t="shared" si="25"/>
        <v>83.333333333333343</v>
      </c>
      <c r="RG8" s="692">
        <f t="shared" si="26"/>
        <v>3</v>
      </c>
      <c r="RH8" s="183">
        <f t="shared" si="26"/>
        <v>1</v>
      </c>
      <c r="RI8" s="438">
        <f t="shared" si="27"/>
        <v>75</v>
      </c>
      <c r="RJ8" s="692">
        <f t="shared" si="28"/>
        <v>732</v>
      </c>
      <c r="RK8" s="183">
        <f t="shared" si="28"/>
        <v>181</v>
      </c>
      <c r="RL8" s="438">
        <f t="shared" si="29"/>
        <v>80.17524644030668</v>
      </c>
      <c r="RM8" s="692">
        <f t="shared" si="30"/>
        <v>2285</v>
      </c>
      <c r="RN8" s="183">
        <f t="shared" si="30"/>
        <v>1025</v>
      </c>
      <c r="RO8" s="438">
        <f t="shared" si="31"/>
        <v>69.033232628398792</v>
      </c>
    </row>
    <row r="9" spans="1:483" x14ac:dyDescent="0.2">
      <c r="A9" s="986"/>
      <c r="B9" s="741" t="s">
        <v>621</v>
      </c>
      <c r="C9" s="881" t="s">
        <v>1202</v>
      </c>
      <c r="D9" s="689">
        <v>86</v>
      </c>
      <c r="E9" s="690">
        <v>223</v>
      </c>
      <c r="F9" s="691">
        <v>27.8</v>
      </c>
      <c r="G9" s="689">
        <v>69</v>
      </c>
      <c r="H9" s="690">
        <v>222</v>
      </c>
      <c r="I9" s="691">
        <v>23.7</v>
      </c>
      <c r="J9" s="689">
        <v>57</v>
      </c>
      <c r="K9" s="690">
        <v>146</v>
      </c>
      <c r="L9" s="691">
        <v>28.1</v>
      </c>
      <c r="M9" s="689">
        <v>170</v>
      </c>
      <c r="N9" s="690">
        <v>146</v>
      </c>
      <c r="O9" s="691">
        <v>53.8</v>
      </c>
      <c r="P9" s="689">
        <v>44</v>
      </c>
      <c r="Q9" s="690">
        <v>124</v>
      </c>
      <c r="R9" s="691">
        <v>26.2</v>
      </c>
      <c r="S9" s="689">
        <v>75</v>
      </c>
      <c r="T9" s="690">
        <v>116</v>
      </c>
      <c r="U9" s="691">
        <v>39.299999999999997</v>
      </c>
      <c r="V9" s="689">
        <v>63</v>
      </c>
      <c r="W9" s="690">
        <v>75</v>
      </c>
      <c r="X9" s="691">
        <v>45.7</v>
      </c>
      <c r="Y9" s="689">
        <v>50</v>
      </c>
      <c r="Z9" s="690">
        <v>79</v>
      </c>
      <c r="AA9" s="691">
        <v>38.799999999999997</v>
      </c>
      <c r="AB9" s="689">
        <v>47</v>
      </c>
      <c r="AC9" s="690">
        <v>37</v>
      </c>
      <c r="AD9" s="691">
        <v>56</v>
      </c>
      <c r="AE9" s="689"/>
      <c r="AF9" s="690">
        <v>1</v>
      </c>
      <c r="AG9" s="691">
        <v>0</v>
      </c>
      <c r="AH9" s="689"/>
      <c r="AI9" s="690">
        <v>4</v>
      </c>
      <c r="AJ9" s="691">
        <v>0</v>
      </c>
      <c r="AK9" s="689"/>
      <c r="AL9" s="690">
        <v>1</v>
      </c>
      <c r="AM9" s="691">
        <v>0</v>
      </c>
      <c r="AN9" s="689"/>
      <c r="AO9" s="690">
        <v>1</v>
      </c>
      <c r="AP9" s="691">
        <v>0</v>
      </c>
      <c r="AQ9" s="689"/>
      <c r="AR9" s="690">
        <v>1</v>
      </c>
      <c r="AS9" s="691">
        <v>0</v>
      </c>
      <c r="AT9" s="689"/>
      <c r="AU9" s="690">
        <v>2</v>
      </c>
      <c r="AV9" s="691">
        <v>0</v>
      </c>
      <c r="AW9" s="689">
        <v>1</v>
      </c>
      <c r="AX9" s="690"/>
      <c r="AY9" s="691">
        <v>100</v>
      </c>
      <c r="AZ9" s="689"/>
      <c r="BA9" s="690"/>
      <c r="BB9" s="691" t="s">
        <v>6</v>
      </c>
      <c r="BC9" s="689">
        <v>0</v>
      </c>
      <c r="BD9" s="690">
        <v>0</v>
      </c>
      <c r="BE9" s="691" t="s">
        <v>6</v>
      </c>
      <c r="BF9" s="689">
        <v>1</v>
      </c>
      <c r="BG9" s="690">
        <v>15</v>
      </c>
      <c r="BH9" s="691">
        <v>6.3</v>
      </c>
      <c r="BI9" s="689"/>
      <c r="BJ9" s="690">
        <v>14</v>
      </c>
      <c r="BK9" s="691">
        <v>0</v>
      </c>
      <c r="BL9" s="689"/>
      <c r="BM9" s="690">
        <v>7</v>
      </c>
      <c r="BN9" s="691">
        <v>0</v>
      </c>
      <c r="BO9" s="689"/>
      <c r="BP9" s="690">
        <v>4</v>
      </c>
      <c r="BQ9" s="691">
        <v>0</v>
      </c>
      <c r="BR9" s="689"/>
      <c r="BS9" s="690">
        <v>1</v>
      </c>
      <c r="BT9" s="691">
        <v>0</v>
      </c>
      <c r="BU9" s="689"/>
      <c r="BV9" s="690">
        <v>1</v>
      </c>
      <c r="BW9" s="691">
        <v>0</v>
      </c>
      <c r="BX9" s="689"/>
      <c r="BY9" s="690">
        <v>3</v>
      </c>
      <c r="BZ9" s="691">
        <v>0</v>
      </c>
      <c r="CA9" s="689"/>
      <c r="CB9" s="690">
        <v>2</v>
      </c>
      <c r="CC9" s="691">
        <v>0</v>
      </c>
      <c r="CD9" s="689">
        <v>1</v>
      </c>
      <c r="CE9" s="690">
        <v>3</v>
      </c>
      <c r="CF9" s="691">
        <v>25</v>
      </c>
      <c r="CG9" s="689">
        <v>4</v>
      </c>
      <c r="CH9" s="690">
        <v>26</v>
      </c>
      <c r="CI9" s="691">
        <v>13.3</v>
      </c>
      <c r="CJ9" s="689">
        <v>1</v>
      </c>
      <c r="CK9" s="690">
        <v>22</v>
      </c>
      <c r="CL9" s="691">
        <v>4.3</v>
      </c>
      <c r="CM9" s="689">
        <v>12</v>
      </c>
      <c r="CN9" s="690">
        <v>9</v>
      </c>
      <c r="CO9" s="691">
        <v>57.1</v>
      </c>
      <c r="CP9" s="689">
        <v>40</v>
      </c>
      <c r="CQ9" s="690">
        <v>11</v>
      </c>
      <c r="CR9" s="691">
        <v>78.400000000000006</v>
      </c>
      <c r="CS9" s="689">
        <v>1</v>
      </c>
      <c r="CT9" s="690">
        <v>17</v>
      </c>
      <c r="CU9" s="691">
        <v>5.6</v>
      </c>
      <c r="CV9" s="689">
        <v>9</v>
      </c>
      <c r="CW9" s="690">
        <v>12</v>
      </c>
      <c r="CX9" s="691">
        <v>42.9</v>
      </c>
      <c r="CY9" s="689">
        <v>12</v>
      </c>
      <c r="CZ9" s="690">
        <v>14</v>
      </c>
      <c r="DA9" s="691">
        <v>46.2</v>
      </c>
      <c r="DB9" s="689">
        <v>13</v>
      </c>
      <c r="DC9" s="690">
        <v>10</v>
      </c>
      <c r="DD9" s="691">
        <v>56.5</v>
      </c>
      <c r="DE9" s="689">
        <v>3</v>
      </c>
      <c r="DF9" s="690">
        <v>3</v>
      </c>
      <c r="DG9" s="691">
        <v>50</v>
      </c>
      <c r="DH9" s="689">
        <v>1</v>
      </c>
      <c r="DI9" s="690">
        <v>2</v>
      </c>
      <c r="DJ9" s="691">
        <v>33.299999999999997</v>
      </c>
      <c r="DK9" s="689">
        <v>1</v>
      </c>
      <c r="DL9" s="690"/>
      <c r="DM9" s="691">
        <v>100</v>
      </c>
      <c r="DN9" s="689">
        <v>1</v>
      </c>
      <c r="DO9" s="690"/>
      <c r="DP9" s="691">
        <v>100</v>
      </c>
      <c r="DQ9" s="689">
        <v>3</v>
      </c>
      <c r="DR9" s="690">
        <v>1</v>
      </c>
      <c r="DS9" s="691">
        <v>75</v>
      </c>
      <c r="DT9" s="689"/>
      <c r="DU9" s="690">
        <v>2</v>
      </c>
      <c r="DV9" s="691">
        <v>0</v>
      </c>
      <c r="DW9" s="689"/>
      <c r="DX9" s="690">
        <v>1</v>
      </c>
      <c r="DY9" s="691">
        <v>0</v>
      </c>
      <c r="DZ9" s="689"/>
      <c r="EA9" s="690"/>
      <c r="EB9" s="691" t="s">
        <v>6</v>
      </c>
      <c r="EC9" s="689"/>
      <c r="ED9" s="690"/>
      <c r="EE9" s="691" t="s">
        <v>6</v>
      </c>
      <c r="EF9" s="689">
        <v>0</v>
      </c>
      <c r="EG9" s="690">
        <v>0</v>
      </c>
      <c r="EH9" s="691" t="s">
        <v>6</v>
      </c>
      <c r="EI9" s="689"/>
      <c r="EJ9" s="690"/>
      <c r="EK9" s="691" t="s">
        <v>6</v>
      </c>
      <c r="EL9" s="689"/>
      <c r="EM9" s="690"/>
      <c r="EN9" s="691" t="s">
        <v>6</v>
      </c>
      <c r="EO9" s="689"/>
      <c r="EP9" s="690"/>
      <c r="EQ9" s="691" t="s">
        <v>6</v>
      </c>
      <c r="ER9" s="689"/>
      <c r="ES9" s="690"/>
      <c r="ET9" s="691" t="s">
        <v>6</v>
      </c>
      <c r="EU9" s="689">
        <v>2</v>
      </c>
      <c r="EV9" s="690">
        <v>1</v>
      </c>
      <c r="EW9" s="691">
        <v>66.7</v>
      </c>
      <c r="EX9" s="689"/>
      <c r="EY9" s="690">
        <v>1</v>
      </c>
      <c r="EZ9" s="691">
        <v>0</v>
      </c>
      <c r="FA9" s="689"/>
      <c r="FB9" s="690"/>
      <c r="FC9" s="691" t="s">
        <v>6</v>
      </c>
      <c r="FD9" s="689"/>
      <c r="FE9" s="690"/>
      <c r="FF9" s="691" t="s">
        <v>6</v>
      </c>
      <c r="FG9" s="689">
        <v>1</v>
      </c>
      <c r="FH9" s="690">
        <v>0</v>
      </c>
      <c r="FI9" s="691">
        <v>100</v>
      </c>
      <c r="FJ9" s="689"/>
      <c r="FK9" s="690"/>
      <c r="FL9" s="691" t="s">
        <v>6</v>
      </c>
      <c r="FM9" s="689">
        <v>1</v>
      </c>
      <c r="FN9" s="690"/>
      <c r="FO9" s="691">
        <v>100</v>
      </c>
      <c r="FP9" s="689">
        <v>2</v>
      </c>
      <c r="FQ9" s="690"/>
      <c r="FR9" s="691">
        <v>100</v>
      </c>
      <c r="FS9" s="689"/>
      <c r="FT9" s="690">
        <v>1</v>
      </c>
      <c r="FU9" s="691">
        <v>0</v>
      </c>
      <c r="FV9" s="689"/>
      <c r="FW9" s="690"/>
      <c r="FX9" s="691" t="s">
        <v>6</v>
      </c>
      <c r="FY9" s="689"/>
      <c r="FZ9" s="690"/>
      <c r="GA9" s="691" t="s">
        <v>6</v>
      </c>
      <c r="GB9" s="689"/>
      <c r="GC9" s="690">
        <v>1</v>
      </c>
      <c r="GD9" s="691">
        <v>0</v>
      </c>
      <c r="GE9" s="689">
        <v>1</v>
      </c>
      <c r="GF9" s="690"/>
      <c r="GG9" s="691">
        <v>100</v>
      </c>
      <c r="GH9" s="689">
        <v>0</v>
      </c>
      <c r="GI9" s="690">
        <v>0</v>
      </c>
      <c r="GJ9" s="691" t="s">
        <v>6</v>
      </c>
      <c r="GK9" s="689">
        <v>6</v>
      </c>
      <c r="GL9" s="690">
        <v>24</v>
      </c>
      <c r="GM9" s="691">
        <v>20</v>
      </c>
      <c r="GN9" s="689">
        <v>15</v>
      </c>
      <c r="GO9" s="690">
        <v>19</v>
      </c>
      <c r="GP9" s="691">
        <v>44.1</v>
      </c>
      <c r="GQ9" s="689">
        <v>10</v>
      </c>
      <c r="GR9" s="690">
        <v>16</v>
      </c>
      <c r="GS9" s="691">
        <v>38.5</v>
      </c>
      <c r="GT9" s="689">
        <v>12</v>
      </c>
      <c r="GU9" s="690">
        <v>11</v>
      </c>
      <c r="GV9" s="691">
        <v>52.2</v>
      </c>
      <c r="GW9" s="689">
        <v>3</v>
      </c>
      <c r="GX9" s="690">
        <v>6</v>
      </c>
      <c r="GY9" s="691">
        <v>33.299999999999997</v>
      </c>
      <c r="GZ9" s="689">
        <v>7</v>
      </c>
      <c r="HA9" s="690">
        <v>7</v>
      </c>
      <c r="HB9" s="691">
        <v>50</v>
      </c>
      <c r="HC9" s="689">
        <v>2</v>
      </c>
      <c r="HD9" s="690">
        <v>9</v>
      </c>
      <c r="HE9" s="691">
        <v>18.2</v>
      </c>
      <c r="HF9" s="689">
        <v>2</v>
      </c>
      <c r="HG9" s="690">
        <v>8</v>
      </c>
      <c r="HH9" s="691">
        <v>20</v>
      </c>
      <c r="HI9" s="689">
        <v>2</v>
      </c>
      <c r="HJ9" s="690">
        <v>5</v>
      </c>
      <c r="HK9" s="691">
        <v>28.6</v>
      </c>
      <c r="HL9" s="689">
        <v>4</v>
      </c>
      <c r="HM9" s="690"/>
      <c r="HN9" s="691">
        <v>100</v>
      </c>
      <c r="HO9" s="689">
        <v>1</v>
      </c>
      <c r="HP9" s="690"/>
      <c r="HQ9" s="691">
        <v>100</v>
      </c>
      <c r="HR9" s="689">
        <v>1</v>
      </c>
      <c r="HS9" s="690"/>
      <c r="HT9" s="691">
        <v>100</v>
      </c>
      <c r="HU9" s="689">
        <v>4</v>
      </c>
      <c r="HV9" s="690"/>
      <c r="HW9" s="691">
        <v>100</v>
      </c>
      <c r="HX9" s="689">
        <v>2</v>
      </c>
      <c r="HY9" s="690"/>
      <c r="HZ9" s="691">
        <v>100</v>
      </c>
      <c r="IA9" s="689">
        <v>2</v>
      </c>
      <c r="IB9" s="690"/>
      <c r="IC9" s="691">
        <v>100</v>
      </c>
      <c r="ID9" s="689">
        <v>1</v>
      </c>
      <c r="IE9" s="690"/>
      <c r="IF9" s="691">
        <v>100</v>
      </c>
      <c r="IG9" s="689">
        <v>2</v>
      </c>
      <c r="IH9" s="690"/>
      <c r="II9" s="691">
        <v>100</v>
      </c>
      <c r="IJ9" s="689">
        <v>0</v>
      </c>
      <c r="IK9" s="690">
        <v>0</v>
      </c>
      <c r="IL9" s="691" t="s">
        <v>6</v>
      </c>
      <c r="IM9" s="689">
        <v>5</v>
      </c>
      <c r="IN9" s="690">
        <v>3</v>
      </c>
      <c r="IO9" s="691">
        <v>62.5</v>
      </c>
      <c r="IP9" s="689">
        <v>2</v>
      </c>
      <c r="IQ9" s="690"/>
      <c r="IR9" s="691">
        <v>100</v>
      </c>
      <c r="IS9" s="689">
        <v>4</v>
      </c>
      <c r="IT9" s="690"/>
      <c r="IU9" s="691">
        <v>100</v>
      </c>
      <c r="IV9" s="689"/>
      <c r="IW9" s="690"/>
      <c r="IX9" s="691" t="s">
        <v>6</v>
      </c>
      <c r="IY9" s="689">
        <v>4</v>
      </c>
      <c r="IZ9" s="690"/>
      <c r="JA9" s="691">
        <v>100</v>
      </c>
      <c r="JB9" s="689">
        <v>1</v>
      </c>
      <c r="JC9" s="690"/>
      <c r="JD9" s="691">
        <v>100</v>
      </c>
      <c r="JE9" s="689">
        <v>2</v>
      </c>
      <c r="JF9" s="690"/>
      <c r="JG9" s="691">
        <v>100</v>
      </c>
      <c r="JH9" s="689"/>
      <c r="JI9" s="690"/>
      <c r="JJ9" s="691" t="s">
        <v>6</v>
      </c>
      <c r="JK9" s="689">
        <v>0</v>
      </c>
      <c r="JL9" s="690">
        <v>0</v>
      </c>
      <c r="JM9" s="691" t="s">
        <v>6</v>
      </c>
      <c r="JN9" s="689">
        <v>183</v>
      </c>
      <c r="JO9" s="690">
        <v>257</v>
      </c>
      <c r="JP9" s="691">
        <v>41.6</v>
      </c>
      <c r="JQ9" s="689">
        <v>158</v>
      </c>
      <c r="JR9" s="690">
        <v>252</v>
      </c>
      <c r="JS9" s="691">
        <v>38.5</v>
      </c>
      <c r="JT9" s="689">
        <v>130</v>
      </c>
      <c r="JU9" s="690">
        <v>180</v>
      </c>
      <c r="JV9" s="691">
        <v>41.9</v>
      </c>
      <c r="JW9" s="689">
        <v>280</v>
      </c>
      <c r="JX9" s="690">
        <v>178</v>
      </c>
      <c r="JY9" s="691">
        <v>61.1</v>
      </c>
      <c r="JZ9" s="689">
        <v>109</v>
      </c>
      <c r="KA9" s="690">
        <v>137</v>
      </c>
      <c r="KB9" s="691">
        <v>44.3</v>
      </c>
      <c r="KC9" s="689">
        <v>139</v>
      </c>
      <c r="KD9" s="690">
        <v>134</v>
      </c>
      <c r="KE9" s="691">
        <v>50.9</v>
      </c>
      <c r="KF9" s="689">
        <v>135</v>
      </c>
      <c r="KG9" s="690">
        <v>94</v>
      </c>
      <c r="KH9" s="691">
        <v>59</v>
      </c>
      <c r="KI9" s="689">
        <v>98</v>
      </c>
      <c r="KJ9" s="690">
        <v>93</v>
      </c>
      <c r="KK9" s="691">
        <v>51.3</v>
      </c>
      <c r="KL9" s="689">
        <v>84</v>
      </c>
      <c r="KM9" s="690">
        <v>44</v>
      </c>
      <c r="KN9" s="691">
        <v>65.599999999999994</v>
      </c>
      <c r="KO9" s="689">
        <v>55</v>
      </c>
      <c r="KP9" s="690">
        <v>68</v>
      </c>
      <c r="KQ9" s="691">
        <v>44.7</v>
      </c>
      <c r="KR9" s="689">
        <v>47</v>
      </c>
      <c r="KS9" s="690">
        <v>64</v>
      </c>
      <c r="KT9" s="691">
        <v>42.3</v>
      </c>
      <c r="KU9" s="689">
        <v>42</v>
      </c>
      <c r="KV9" s="690">
        <v>50</v>
      </c>
      <c r="KW9" s="691">
        <v>45.7</v>
      </c>
      <c r="KX9" s="689">
        <v>50</v>
      </c>
      <c r="KY9" s="690">
        <v>50</v>
      </c>
      <c r="KZ9" s="691">
        <v>50</v>
      </c>
      <c r="LA9" s="689">
        <v>15</v>
      </c>
      <c r="LB9" s="690">
        <v>21</v>
      </c>
      <c r="LC9" s="691">
        <v>41.7</v>
      </c>
      <c r="LD9" s="689">
        <v>51</v>
      </c>
      <c r="LE9" s="690">
        <v>22</v>
      </c>
      <c r="LF9" s="691">
        <v>69.900000000000006</v>
      </c>
      <c r="LG9" s="689">
        <v>52</v>
      </c>
      <c r="LH9" s="690">
        <v>14</v>
      </c>
      <c r="LI9" s="691">
        <v>78.8</v>
      </c>
      <c r="LJ9" s="689">
        <v>20</v>
      </c>
      <c r="LK9" s="690">
        <v>6</v>
      </c>
      <c r="LL9" s="691">
        <v>76.900000000000006</v>
      </c>
      <c r="LM9" s="689">
        <v>48</v>
      </c>
      <c r="LN9" s="690">
        <v>10</v>
      </c>
      <c r="LO9" s="691">
        <v>82.8</v>
      </c>
      <c r="LP9" s="689"/>
      <c r="LQ9" s="690"/>
      <c r="LR9" s="691" t="s">
        <v>6</v>
      </c>
      <c r="LS9" s="689"/>
      <c r="LT9" s="690"/>
      <c r="LU9" s="691" t="s">
        <v>6</v>
      </c>
      <c r="LV9" s="689"/>
      <c r="LW9" s="690"/>
      <c r="LX9" s="691" t="s">
        <v>6</v>
      </c>
      <c r="LY9" s="689"/>
      <c r="LZ9" s="690"/>
      <c r="MA9" s="691" t="s">
        <v>6</v>
      </c>
      <c r="MB9" s="689"/>
      <c r="MC9" s="690"/>
      <c r="MD9" s="691" t="s">
        <v>6</v>
      </c>
      <c r="ME9" s="689"/>
      <c r="MF9" s="690"/>
      <c r="MG9" s="691" t="s">
        <v>6</v>
      </c>
      <c r="MH9" s="689"/>
      <c r="MI9" s="690"/>
      <c r="MJ9" s="691" t="s">
        <v>6</v>
      </c>
      <c r="MK9" s="689"/>
      <c r="ML9" s="690"/>
      <c r="MM9" s="691" t="s">
        <v>6</v>
      </c>
      <c r="MN9" s="689">
        <v>0</v>
      </c>
      <c r="MO9" s="690">
        <v>0</v>
      </c>
      <c r="MP9" s="691" t="s">
        <v>6</v>
      </c>
      <c r="MQ9" s="689"/>
      <c r="MR9" s="690"/>
      <c r="MS9" s="691" t="s">
        <v>6</v>
      </c>
      <c r="MT9" s="689"/>
      <c r="MU9" s="690"/>
      <c r="MV9" s="691" t="s">
        <v>6</v>
      </c>
      <c r="MW9" s="689"/>
      <c r="MX9" s="690"/>
      <c r="MY9" s="691" t="s">
        <v>6</v>
      </c>
      <c r="MZ9" s="689"/>
      <c r="NA9" s="690"/>
      <c r="NB9" s="691" t="s">
        <v>6</v>
      </c>
      <c r="NC9" s="689"/>
      <c r="ND9" s="690"/>
      <c r="NE9" s="691" t="s">
        <v>6</v>
      </c>
      <c r="NF9" s="689"/>
      <c r="NG9" s="690"/>
      <c r="NH9" s="691" t="s">
        <v>6</v>
      </c>
      <c r="NI9" s="689"/>
      <c r="NJ9" s="690"/>
      <c r="NK9" s="691" t="s">
        <v>6</v>
      </c>
      <c r="NL9" s="689"/>
      <c r="NM9" s="690"/>
      <c r="NN9" s="691" t="s">
        <v>6</v>
      </c>
      <c r="NO9" s="689">
        <v>0</v>
      </c>
      <c r="NP9" s="690">
        <v>0</v>
      </c>
      <c r="NQ9" s="691" t="s">
        <v>6</v>
      </c>
      <c r="NR9" s="689">
        <v>87</v>
      </c>
      <c r="NS9" s="690">
        <v>68</v>
      </c>
      <c r="NT9" s="691">
        <v>56.1</v>
      </c>
      <c r="NU9" s="689">
        <v>77</v>
      </c>
      <c r="NV9" s="690">
        <v>66</v>
      </c>
      <c r="NW9" s="691">
        <v>53.8</v>
      </c>
      <c r="NX9" s="689">
        <v>64</v>
      </c>
      <c r="NY9" s="690">
        <v>52</v>
      </c>
      <c r="NZ9" s="691">
        <v>55.2</v>
      </c>
      <c r="OA9" s="689">
        <v>86</v>
      </c>
      <c r="OB9" s="690">
        <v>51</v>
      </c>
      <c r="OC9" s="691">
        <v>62.8</v>
      </c>
      <c r="OD9" s="689">
        <v>40</v>
      </c>
      <c r="OE9" s="690">
        <v>21</v>
      </c>
      <c r="OF9" s="691">
        <v>65.599999999999994</v>
      </c>
      <c r="OG9" s="689">
        <v>81</v>
      </c>
      <c r="OH9" s="690">
        <v>25</v>
      </c>
      <c r="OI9" s="691">
        <v>76.400000000000006</v>
      </c>
      <c r="OJ9" s="689">
        <v>81</v>
      </c>
      <c r="OK9" s="690">
        <v>14</v>
      </c>
      <c r="OL9" s="691">
        <v>85.3</v>
      </c>
      <c r="OM9" s="689">
        <v>45</v>
      </c>
      <c r="ON9" s="690">
        <v>6</v>
      </c>
      <c r="OO9" s="691">
        <v>88.2</v>
      </c>
      <c r="OP9" s="689">
        <v>96</v>
      </c>
      <c r="OQ9" s="690">
        <v>11</v>
      </c>
      <c r="OR9" s="691">
        <v>89.7</v>
      </c>
      <c r="OS9" s="689">
        <v>331</v>
      </c>
      <c r="OT9" s="690">
        <v>289</v>
      </c>
      <c r="OU9" s="691">
        <v>53.4</v>
      </c>
      <c r="OV9" s="689">
        <v>300</v>
      </c>
      <c r="OW9" s="690">
        <v>389</v>
      </c>
      <c r="OX9" s="691">
        <v>43.5</v>
      </c>
      <c r="OY9" s="689">
        <v>321</v>
      </c>
      <c r="OZ9" s="690">
        <v>267</v>
      </c>
      <c r="PA9" s="691">
        <v>54.6</v>
      </c>
      <c r="PB9" s="689">
        <v>447</v>
      </c>
      <c r="PC9" s="690">
        <v>216</v>
      </c>
      <c r="PD9" s="691">
        <v>67.400000000000006</v>
      </c>
      <c r="PE9" s="689">
        <v>279</v>
      </c>
      <c r="PF9" s="690">
        <v>161</v>
      </c>
      <c r="PG9" s="691">
        <v>63.4</v>
      </c>
      <c r="PH9" s="689">
        <v>240</v>
      </c>
      <c r="PI9" s="690">
        <v>158</v>
      </c>
      <c r="PJ9" s="691">
        <v>60.3</v>
      </c>
      <c r="PK9" s="689">
        <v>355</v>
      </c>
      <c r="PL9" s="690">
        <v>120</v>
      </c>
      <c r="PM9" s="691">
        <v>74.7</v>
      </c>
      <c r="PN9" s="689">
        <v>177</v>
      </c>
      <c r="PO9" s="690">
        <v>123</v>
      </c>
      <c r="PP9" s="691">
        <v>59</v>
      </c>
      <c r="PQ9" s="689">
        <v>270</v>
      </c>
      <c r="PR9" s="690">
        <v>59</v>
      </c>
      <c r="PS9" s="691">
        <v>82.1</v>
      </c>
      <c r="PT9" s="692">
        <f t="shared" si="0"/>
        <v>279</v>
      </c>
      <c r="PU9" s="183">
        <f t="shared" si="0"/>
        <v>431</v>
      </c>
      <c r="PV9" s="438">
        <f t="shared" si="1"/>
        <v>39.29577464788732</v>
      </c>
      <c r="PW9" s="692">
        <f t="shared" si="2"/>
        <v>1</v>
      </c>
      <c r="PX9" s="183">
        <f t="shared" si="2"/>
        <v>3</v>
      </c>
      <c r="PY9" s="438">
        <f t="shared" si="3"/>
        <v>25</v>
      </c>
      <c r="PZ9" s="692">
        <f t="shared" si="4"/>
        <v>1</v>
      </c>
      <c r="QA9" s="183">
        <f t="shared" si="4"/>
        <v>10</v>
      </c>
      <c r="QB9" s="438">
        <f t="shared" si="5"/>
        <v>9.0909090909090917</v>
      </c>
      <c r="QC9" s="692">
        <f t="shared" si="6"/>
        <v>38</v>
      </c>
      <c r="QD9" s="183">
        <f t="shared" si="6"/>
        <v>56</v>
      </c>
      <c r="QE9" s="438">
        <f t="shared" si="7"/>
        <v>40.425531914893611</v>
      </c>
      <c r="QF9" s="692">
        <f t="shared" si="8"/>
        <v>0</v>
      </c>
      <c r="QG9" s="183">
        <f t="shared" si="8"/>
        <v>3</v>
      </c>
      <c r="QH9" s="438">
        <f t="shared" si="9"/>
        <v>0</v>
      </c>
      <c r="QI9" s="692">
        <f t="shared" si="10"/>
        <v>3</v>
      </c>
      <c r="QJ9" s="183">
        <f t="shared" si="10"/>
        <v>2</v>
      </c>
      <c r="QK9" s="438">
        <f t="shared" si="11"/>
        <v>60</v>
      </c>
      <c r="QL9" s="692">
        <f t="shared" si="12"/>
        <v>1</v>
      </c>
      <c r="QM9" s="183">
        <f t="shared" si="12"/>
        <v>1</v>
      </c>
      <c r="QN9" s="438">
        <f t="shared" si="13"/>
        <v>50</v>
      </c>
      <c r="QO9" s="692">
        <f t="shared" si="14"/>
        <v>16</v>
      </c>
      <c r="QP9" s="183">
        <f t="shared" si="14"/>
        <v>35</v>
      </c>
      <c r="QQ9" s="438">
        <f t="shared" si="15"/>
        <v>31.372549019607842</v>
      </c>
      <c r="QR9" s="692">
        <f t="shared" si="16"/>
        <v>7</v>
      </c>
      <c r="QS9" s="183">
        <f t="shared" si="16"/>
        <v>0</v>
      </c>
      <c r="QT9" s="438">
        <f t="shared" si="17"/>
        <v>100</v>
      </c>
      <c r="QU9" s="692">
        <f t="shared" si="18"/>
        <v>7</v>
      </c>
      <c r="QV9" s="183">
        <f t="shared" si="18"/>
        <v>0</v>
      </c>
      <c r="QW9" s="438">
        <f t="shared" si="19"/>
        <v>100</v>
      </c>
      <c r="QX9" s="692">
        <f t="shared" si="20"/>
        <v>565</v>
      </c>
      <c r="QY9" s="183">
        <f t="shared" si="20"/>
        <v>502</v>
      </c>
      <c r="QZ9" s="438">
        <f t="shared" si="21"/>
        <v>52.952202436738517</v>
      </c>
      <c r="RA9" s="692">
        <f t="shared" si="22"/>
        <v>186</v>
      </c>
      <c r="RB9" s="183">
        <f t="shared" si="22"/>
        <v>73</v>
      </c>
      <c r="RC9" s="438">
        <f t="shared" si="23"/>
        <v>71.814671814671811</v>
      </c>
      <c r="RD9" s="692">
        <f t="shared" si="24"/>
        <v>0</v>
      </c>
      <c r="RE9" s="183">
        <f t="shared" si="24"/>
        <v>0</v>
      </c>
      <c r="RF9" s="438" t="str">
        <f t="shared" si="25"/>
        <v>-</v>
      </c>
      <c r="RG9" s="692">
        <f t="shared" si="26"/>
        <v>0</v>
      </c>
      <c r="RH9" s="183">
        <f t="shared" si="26"/>
        <v>0</v>
      </c>
      <c r="RI9" s="438" t="str">
        <f t="shared" si="27"/>
        <v>-</v>
      </c>
      <c r="RJ9" s="692">
        <f t="shared" si="28"/>
        <v>343</v>
      </c>
      <c r="RK9" s="183">
        <f t="shared" si="28"/>
        <v>77</v>
      </c>
      <c r="RL9" s="438">
        <f t="shared" si="29"/>
        <v>81.666666666666671</v>
      </c>
      <c r="RM9" s="692">
        <f t="shared" si="30"/>
        <v>1321</v>
      </c>
      <c r="RN9" s="183">
        <f t="shared" si="30"/>
        <v>621</v>
      </c>
      <c r="RO9" s="438">
        <f t="shared" si="31"/>
        <v>68.022657054582908</v>
      </c>
    </row>
    <row r="10" spans="1:483" ht="13.5" thickBot="1" x14ac:dyDescent="0.25">
      <c r="A10" s="986"/>
      <c r="B10" s="742" t="s">
        <v>621</v>
      </c>
      <c r="C10" s="882" t="s">
        <v>1203</v>
      </c>
      <c r="D10" s="704">
        <v>46</v>
      </c>
      <c r="E10" s="705">
        <v>176</v>
      </c>
      <c r="F10" s="706">
        <v>20.7</v>
      </c>
      <c r="G10" s="693">
        <v>40</v>
      </c>
      <c r="H10" s="694">
        <v>166</v>
      </c>
      <c r="I10" s="695">
        <v>19.399999999999999</v>
      </c>
      <c r="J10" s="693">
        <v>42</v>
      </c>
      <c r="K10" s="694">
        <v>136</v>
      </c>
      <c r="L10" s="695">
        <v>23.6</v>
      </c>
      <c r="M10" s="693">
        <v>55</v>
      </c>
      <c r="N10" s="694">
        <v>136</v>
      </c>
      <c r="O10" s="695">
        <v>28.8</v>
      </c>
      <c r="P10" s="693">
        <v>39</v>
      </c>
      <c r="Q10" s="694">
        <v>101</v>
      </c>
      <c r="R10" s="695">
        <v>27.9</v>
      </c>
      <c r="S10" s="693">
        <v>39</v>
      </c>
      <c r="T10" s="694">
        <v>84</v>
      </c>
      <c r="U10" s="695">
        <v>31.7</v>
      </c>
      <c r="V10" s="693">
        <v>33</v>
      </c>
      <c r="W10" s="694">
        <v>47</v>
      </c>
      <c r="X10" s="695">
        <v>41.3</v>
      </c>
      <c r="Y10" s="693">
        <v>42</v>
      </c>
      <c r="Z10" s="694">
        <v>35</v>
      </c>
      <c r="AA10" s="695">
        <v>54.5</v>
      </c>
      <c r="AB10" s="693">
        <v>48</v>
      </c>
      <c r="AC10" s="694">
        <v>45</v>
      </c>
      <c r="AD10" s="695">
        <v>51.6</v>
      </c>
      <c r="AE10" s="693"/>
      <c r="AF10" s="694">
        <v>1</v>
      </c>
      <c r="AG10" s="695">
        <v>0</v>
      </c>
      <c r="AH10" s="693"/>
      <c r="AI10" s="694"/>
      <c r="AJ10" s="695" t="s">
        <v>6</v>
      </c>
      <c r="AK10" s="693"/>
      <c r="AL10" s="694"/>
      <c r="AM10" s="695" t="s">
        <v>6</v>
      </c>
      <c r="AN10" s="693"/>
      <c r="AO10" s="694"/>
      <c r="AP10" s="695" t="s">
        <v>6</v>
      </c>
      <c r="AQ10" s="693">
        <v>1</v>
      </c>
      <c r="AR10" s="694"/>
      <c r="AS10" s="695">
        <v>100</v>
      </c>
      <c r="AT10" s="693"/>
      <c r="AU10" s="694"/>
      <c r="AV10" s="695" t="s">
        <v>6</v>
      </c>
      <c r="AW10" s="693"/>
      <c r="AX10" s="694"/>
      <c r="AY10" s="695" t="s">
        <v>6</v>
      </c>
      <c r="AZ10" s="693">
        <v>1</v>
      </c>
      <c r="BA10" s="694"/>
      <c r="BB10" s="695">
        <v>100</v>
      </c>
      <c r="BC10" s="693">
        <v>0</v>
      </c>
      <c r="BD10" s="694">
        <v>0</v>
      </c>
      <c r="BE10" s="695" t="s">
        <v>6</v>
      </c>
      <c r="BF10" s="693"/>
      <c r="BG10" s="694">
        <v>4</v>
      </c>
      <c r="BH10" s="695">
        <v>0</v>
      </c>
      <c r="BI10" s="693"/>
      <c r="BJ10" s="694">
        <v>4</v>
      </c>
      <c r="BK10" s="695">
        <v>0</v>
      </c>
      <c r="BL10" s="693"/>
      <c r="BM10" s="694">
        <v>1</v>
      </c>
      <c r="BN10" s="695">
        <v>0</v>
      </c>
      <c r="BO10" s="693"/>
      <c r="BP10" s="694">
        <v>4</v>
      </c>
      <c r="BQ10" s="695">
        <v>0</v>
      </c>
      <c r="BR10" s="693"/>
      <c r="BS10" s="694">
        <v>4</v>
      </c>
      <c r="BT10" s="695">
        <v>0</v>
      </c>
      <c r="BU10" s="693"/>
      <c r="BV10" s="694">
        <v>1</v>
      </c>
      <c r="BW10" s="695">
        <v>0</v>
      </c>
      <c r="BX10" s="693">
        <v>1</v>
      </c>
      <c r="BY10" s="694"/>
      <c r="BZ10" s="695">
        <v>100</v>
      </c>
      <c r="CA10" s="693"/>
      <c r="CB10" s="694"/>
      <c r="CC10" s="695" t="s">
        <v>6</v>
      </c>
      <c r="CD10" s="693">
        <v>0</v>
      </c>
      <c r="CE10" s="694">
        <v>0</v>
      </c>
      <c r="CF10" s="695" t="s">
        <v>6</v>
      </c>
      <c r="CG10" s="693">
        <v>8</v>
      </c>
      <c r="CH10" s="694">
        <v>39</v>
      </c>
      <c r="CI10" s="695">
        <v>17</v>
      </c>
      <c r="CJ10" s="693">
        <v>4</v>
      </c>
      <c r="CK10" s="694">
        <v>30</v>
      </c>
      <c r="CL10" s="695">
        <v>11.8</v>
      </c>
      <c r="CM10" s="693">
        <v>7</v>
      </c>
      <c r="CN10" s="694">
        <v>40</v>
      </c>
      <c r="CO10" s="695">
        <v>14.9</v>
      </c>
      <c r="CP10" s="693">
        <v>3</v>
      </c>
      <c r="CQ10" s="694">
        <v>32</v>
      </c>
      <c r="CR10" s="695">
        <v>8.6</v>
      </c>
      <c r="CS10" s="693">
        <v>7</v>
      </c>
      <c r="CT10" s="694">
        <v>21</v>
      </c>
      <c r="CU10" s="695">
        <v>25</v>
      </c>
      <c r="CV10" s="693">
        <v>10</v>
      </c>
      <c r="CW10" s="694">
        <v>20</v>
      </c>
      <c r="CX10" s="695">
        <v>33.299999999999997</v>
      </c>
      <c r="CY10" s="693">
        <v>11</v>
      </c>
      <c r="CZ10" s="694">
        <v>18</v>
      </c>
      <c r="DA10" s="695">
        <v>37.9</v>
      </c>
      <c r="DB10" s="693">
        <v>14</v>
      </c>
      <c r="DC10" s="694">
        <v>11</v>
      </c>
      <c r="DD10" s="695">
        <v>56</v>
      </c>
      <c r="DE10" s="693">
        <v>14</v>
      </c>
      <c r="DF10" s="694">
        <v>9</v>
      </c>
      <c r="DG10" s="695">
        <v>60.9</v>
      </c>
      <c r="DH10" s="693">
        <v>1</v>
      </c>
      <c r="DI10" s="694">
        <v>1</v>
      </c>
      <c r="DJ10" s="695">
        <v>50</v>
      </c>
      <c r="DK10" s="693">
        <v>2</v>
      </c>
      <c r="DL10" s="694"/>
      <c r="DM10" s="695">
        <v>100</v>
      </c>
      <c r="DN10" s="693"/>
      <c r="DO10" s="694">
        <v>1</v>
      </c>
      <c r="DP10" s="695">
        <v>0</v>
      </c>
      <c r="DQ10" s="693"/>
      <c r="DR10" s="694"/>
      <c r="DS10" s="695" t="s">
        <v>6</v>
      </c>
      <c r="DT10" s="693"/>
      <c r="DU10" s="694"/>
      <c r="DV10" s="695" t="s">
        <v>6</v>
      </c>
      <c r="DW10" s="693"/>
      <c r="DX10" s="694"/>
      <c r="DY10" s="695" t="s">
        <v>6</v>
      </c>
      <c r="DZ10" s="693"/>
      <c r="EA10" s="694"/>
      <c r="EB10" s="695" t="s">
        <v>6</v>
      </c>
      <c r="EC10" s="693"/>
      <c r="ED10" s="694"/>
      <c r="EE10" s="695" t="s">
        <v>6</v>
      </c>
      <c r="EF10" s="693">
        <v>0</v>
      </c>
      <c r="EG10" s="694">
        <v>0</v>
      </c>
      <c r="EH10" s="695" t="s">
        <v>6</v>
      </c>
      <c r="EI10" s="693"/>
      <c r="EJ10" s="694"/>
      <c r="EK10" s="695" t="s">
        <v>6</v>
      </c>
      <c r="EL10" s="693"/>
      <c r="EM10" s="694"/>
      <c r="EN10" s="695" t="s">
        <v>6</v>
      </c>
      <c r="EO10" s="693"/>
      <c r="EP10" s="694"/>
      <c r="EQ10" s="695" t="s">
        <v>6</v>
      </c>
      <c r="ER10" s="693"/>
      <c r="ES10" s="694"/>
      <c r="ET10" s="695" t="s">
        <v>6</v>
      </c>
      <c r="EU10" s="693"/>
      <c r="EV10" s="694">
        <v>1</v>
      </c>
      <c r="EW10" s="695">
        <v>0</v>
      </c>
      <c r="EX10" s="693"/>
      <c r="EY10" s="694"/>
      <c r="EZ10" s="695" t="s">
        <v>6</v>
      </c>
      <c r="FA10" s="693">
        <v>1</v>
      </c>
      <c r="FB10" s="694">
        <v>1</v>
      </c>
      <c r="FC10" s="695">
        <v>50</v>
      </c>
      <c r="FD10" s="693">
        <v>1</v>
      </c>
      <c r="FE10" s="694"/>
      <c r="FF10" s="695">
        <v>100</v>
      </c>
      <c r="FG10" s="693">
        <v>0</v>
      </c>
      <c r="FH10" s="694">
        <v>0</v>
      </c>
      <c r="FI10" s="695" t="s">
        <v>6</v>
      </c>
      <c r="FJ10" s="693">
        <v>2</v>
      </c>
      <c r="FK10" s="694">
        <v>1</v>
      </c>
      <c r="FL10" s="695">
        <v>66.7</v>
      </c>
      <c r="FM10" s="693">
        <v>1</v>
      </c>
      <c r="FN10" s="694"/>
      <c r="FO10" s="695">
        <v>100</v>
      </c>
      <c r="FP10" s="693"/>
      <c r="FQ10" s="694"/>
      <c r="FR10" s="695" t="s">
        <v>6</v>
      </c>
      <c r="FS10" s="693">
        <v>1</v>
      </c>
      <c r="FT10" s="694"/>
      <c r="FU10" s="695">
        <v>100</v>
      </c>
      <c r="FV10" s="693"/>
      <c r="FW10" s="694"/>
      <c r="FX10" s="695" t="s">
        <v>6</v>
      </c>
      <c r="FY10" s="693"/>
      <c r="FZ10" s="694"/>
      <c r="GA10" s="695" t="s">
        <v>6</v>
      </c>
      <c r="GB10" s="693"/>
      <c r="GC10" s="694"/>
      <c r="GD10" s="695" t="s">
        <v>6</v>
      </c>
      <c r="GE10" s="693">
        <v>1</v>
      </c>
      <c r="GF10" s="694">
        <v>1</v>
      </c>
      <c r="GG10" s="695">
        <v>50</v>
      </c>
      <c r="GH10" s="693">
        <v>0</v>
      </c>
      <c r="GI10" s="694">
        <v>0</v>
      </c>
      <c r="GJ10" s="695" t="s">
        <v>6</v>
      </c>
      <c r="GK10" s="693">
        <v>10</v>
      </c>
      <c r="GL10" s="694">
        <v>9</v>
      </c>
      <c r="GM10" s="695">
        <v>52.6</v>
      </c>
      <c r="GN10" s="693">
        <v>4</v>
      </c>
      <c r="GO10" s="694">
        <v>11</v>
      </c>
      <c r="GP10" s="695">
        <v>26.7</v>
      </c>
      <c r="GQ10" s="693">
        <v>1</v>
      </c>
      <c r="GR10" s="694">
        <v>8</v>
      </c>
      <c r="GS10" s="695">
        <v>11.1</v>
      </c>
      <c r="GT10" s="693">
        <v>10</v>
      </c>
      <c r="GU10" s="694">
        <v>1</v>
      </c>
      <c r="GV10" s="695">
        <v>90.9</v>
      </c>
      <c r="GW10" s="693"/>
      <c r="GX10" s="694">
        <v>3</v>
      </c>
      <c r="GY10" s="695">
        <v>0</v>
      </c>
      <c r="GZ10" s="693">
        <v>1</v>
      </c>
      <c r="HA10" s="694"/>
      <c r="HB10" s="695">
        <v>100</v>
      </c>
      <c r="HC10" s="693">
        <v>2</v>
      </c>
      <c r="HD10" s="694">
        <v>4</v>
      </c>
      <c r="HE10" s="695">
        <v>33.299999999999997</v>
      </c>
      <c r="HF10" s="693"/>
      <c r="HG10" s="694">
        <v>2</v>
      </c>
      <c r="HH10" s="695">
        <v>0</v>
      </c>
      <c r="HI10" s="693">
        <v>3</v>
      </c>
      <c r="HJ10" s="694">
        <v>1</v>
      </c>
      <c r="HK10" s="695">
        <v>75</v>
      </c>
      <c r="HL10" s="693">
        <v>4</v>
      </c>
      <c r="HM10" s="694"/>
      <c r="HN10" s="695">
        <v>100</v>
      </c>
      <c r="HO10" s="693">
        <v>1</v>
      </c>
      <c r="HP10" s="694"/>
      <c r="HQ10" s="695">
        <v>100</v>
      </c>
      <c r="HR10" s="693">
        <v>1</v>
      </c>
      <c r="HS10" s="694"/>
      <c r="HT10" s="695">
        <v>100</v>
      </c>
      <c r="HU10" s="693"/>
      <c r="HV10" s="694"/>
      <c r="HW10" s="695" t="s">
        <v>6</v>
      </c>
      <c r="HX10" s="693">
        <v>1</v>
      </c>
      <c r="HY10" s="694"/>
      <c r="HZ10" s="695">
        <v>100</v>
      </c>
      <c r="IA10" s="693"/>
      <c r="IB10" s="694"/>
      <c r="IC10" s="695" t="s">
        <v>6</v>
      </c>
      <c r="ID10" s="693"/>
      <c r="IE10" s="694"/>
      <c r="IF10" s="695" t="s">
        <v>6</v>
      </c>
      <c r="IG10" s="693"/>
      <c r="IH10" s="694"/>
      <c r="II10" s="695" t="s">
        <v>6</v>
      </c>
      <c r="IJ10" s="693">
        <v>0</v>
      </c>
      <c r="IK10" s="694">
        <v>0</v>
      </c>
      <c r="IL10" s="695" t="s">
        <v>6</v>
      </c>
      <c r="IM10" s="693">
        <v>2</v>
      </c>
      <c r="IN10" s="694"/>
      <c r="IO10" s="695">
        <v>100</v>
      </c>
      <c r="IP10" s="693">
        <v>2</v>
      </c>
      <c r="IQ10" s="694"/>
      <c r="IR10" s="695">
        <v>100</v>
      </c>
      <c r="IS10" s="693"/>
      <c r="IT10" s="694"/>
      <c r="IU10" s="695" t="s">
        <v>6</v>
      </c>
      <c r="IV10" s="693">
        <v>1</v>
      </c>
      <c r="IW10" s="694"/>
      <c r="IX10" s="695">
        <v>100</v>
      </c>
      <c r="IY10" s="693">
        <v>5</v>
      </c>
      <c r="IZ10" s="694"/>
      <c r="JA10" s="695">
        <v>100</v>
      </c>
      <c r="JB10" s="693"/>
      <c r="JC10" s="694"/>
      <c r="JD10" s="695" t="s">
        <v>6</v>
      </c>
      <c r="JE10" s="693">
        <v>1</v>
      </c>
      <c r="JF10" s="694"/>
      <c r="JG10" s="695">
        <v>100</v>
      </c>
      <c r="JH10" s="693">
        <v>3</v>
      </c>
      <c r="JI10" s="694"/>
      <c r="JJ10" s="695">
        <v>100</v>
      </c>
      <c r="JK10" s="693">
        <v>0</v>
      </c>
      <c r="JL10" s="694">
        <v>1</v>
      </c>
      <c r="JM10" s="695">
        <v>0</v>
      </c>
      <c r="JN10" s="693">
        <v>178</v>
      </c>
      <c r="JO10" s="694">
        <v>211</v>
      </c>
      <c r="JP10" s="695">
        <v>45.8</v>
      </c>
      <c r="JQ10" s="693">
        <v>154</v>
      </c>
      <c r="JR10" s="694">
        <v>196</v>
      </c>
      <c r="JS10" s="695">
        <v>44</v>
      </c>
      <c r="JT10" s="693">
        <v>117</v>
      </c>
      <c r="JU10" s="694">
        <v>157</v>
      </c>
      <c r="JV10" s="695">
        <v>42.7</v>
      </c>
      <c r="JW10" s="693">
        <v>136</v>
      </c>
      <c r="JX10" s="694">
        <v>148</v>
      </c>
      <c r="JY10" s="695">
        <v>47.9</v>
      </c>
      <c r="JZ10" s="693">
        <v>109</v>
      </c>
      <c r="KA10" s="694">
        <v>118</v>
      </c>
      <c r="KB10" s="695">
        <v>48</v>
      </c>
      <c r="KC10" s="693">
        <v>106</v>
      </c>
      <c r="KD10" s="694">
        <v>91</v>
      </c>
      <c r="KE10" s="695">
        <v>53.8</v>
      </c>
      <c r="KF10" s="693">
        <v>102</v>
      </c>
      <c r="KG10" s="694">
        <v>59</v>
      </c>
      <c r="KH10" s="695">
        <v>63.4</v>
      </c>
      <c r="KI10" s="693">
        <v>138</v>
      </c>
      <c r="KJ10" s="694">
        <v>41</v>
      </c>
      <c r="KK10" s="695">
        <v>77.099999999999994</v>
      </c>
      <c r="KL10" s="693">
        <v>115</v>
      </c>
      <c r="KM10" s="694">
        <v>48</v>
      </c>
      <c r="KN10" s="695">
        <v>70.599999999999994</v>
      </c>
      <c r="KO10" s="693">
        <v>71</v>
      </c>
      <c r="KP10" s="694">
        <v>51</v>
      </c>
      <c r="KQ10" s="695">
        <v>58.2</v>
      </c>
      <c r="KR10" s="693">
        <v>61</v>
      </c>
      <c r="KS10" s="694">
        <v>47</v>
      </c>
      <c r="KT10" s="695">
        <v>56.5</v>
      </c>
      <c r="KU10" s="693">
        <v>45</v>
      </c>
      <c r="KV10" s="694">
        <v>33</v>
      </c>
      <c r="KW10" s="695">
        <v>57.7</v>
      </c>
      <c r="KX10" s="693">
        <v>47</v>
      </c>
      <c r="KY10" s="694">
        <v>18</v>
      </c>
      <c r="KZ10" s="695">
        <v>72.3</v>
      </c>
      <c r="LA10" s="693">
        <v>25</v>
      </c>
      <c r="LB10" s="694">
        <v>13</v>
      </c>
      <c r="LC10" s="695">
        <v>65.8</v>
      </c>
      <c r="LD10" s="693">
        <v>29</v>
      </c>
      <c r="LE10" s="694">
        <v>3</v>
      </c>
      <c r="LF10" s="695">
        <v>90.6</v>
      </c>
      <c r="LG10" s="693">
        <v>28</v>
      </c>
      <c r="LH10" s="694">
        <v>5</v>
      </c>
      <c r="LI10" s="695">
        <v>84.8</v>
      </c>
      <c r="LJ10" s="693">
        <v>55</v>
      </c>
      <c r="LK10" s="694">
        <v>1</v>
      </c>
      <c r="LL10" s="695">
        <v>98.2</v>
      </c>
      <c r="LM10" s="693">
        <v>29</v>
      </c>
      <c r="LN10" s="694">
        <v>9</v>
      </c>
      <c r="LO10" s="695">
        <v>76.3</v>
      </c>
      <c r="LP10" s="693"/>
      <c r="LQ10" s="694"/>
      <c r="LR10" s="695" t="s">
        <v>6</v>
      </c>
      <c r="LS10" s="693"/>
      <c r="LT10" s="694"/>
      <c r="LU10" s="695" t="s">
        <v>6</v>
      </c>
      <c r="LV10" s="693"/>
      <c r="LW10" s="694"/>
      <c r="LX10" s="695" t="s">
        <v>6</v>
      </c>
      <c r="LY10" s="693"/>
      <c r="LZ10" s="694"/>
      <c r="MA10" s="695" t="s">
        <v>6</v>
      </c>
      <c r="MB10" s="693"/>
      <c r="MC10" s="694"/>
      <c r="MD10" s="695" t="s">
        <v>6</v>
      </c>
      <c r="ME10" s="693"/>
      <c r="MF10" s="694"/>
      <c r="MG10" s="695" t="s">
        <v>6</v>
      </c>
      <c r="MH10" s="693"/>
      <c r="MI10" s="694"/>
      <c r="MJ10" s="695" t="s">
        <v>6</v>
      </c>
      <c r="MK10" s="693"/>
      <c r="ML10" s="694"/>
      <c r="MM10" s="695" t="s">
        <v>6</v>
      </c>
      <c r="MN10" s="693">
        <v>0</v>
      </c>
      <c r="MO10" s="694">
        <v>0</v>
      </c>
      <c r="MP10" s="695" t="s">
        <v>6</v>
      </c>
      <c r="MQ10" s="693"/>
      <c r="MR10" s="694"/>
      <c r="MS10" s="695" t="s">
        <v>6</v>
      </c>
      <c r="MT10" s="693"/>
      <c r="MU10" s="694"/>
      <c r="MV10" s="695" t="s">
        <v>6</v>
      </c>
      <c r="MW10" s="693"/>
      <c r="MX10" s="694"/>
      <c r="MY10" s="695" t="s">
        <v>6</v>
      </c>
      <c r="MZ10" s="693"/>
      <c r="NA10" s="694"/>
      <c r="NB10" s="695" t="s">
        <v>6</v>
      </c>
      <c r="NC10" s="693"/>
      <c r="ND10" s="694"/>
      <c r="NE10" s="695" t="s">
        <v>6</v>
      </c>
      <c r="NF10" s="693"/>
      <c r="NG10" s="694"/>
      <c r="NH10" s="695" t="s">
        <v>6</v>
      </c>
      <c r="NI10" s="693"/>
      <c r="NJ10" s="694"/>
      <c r="NK10" s="695" t="s">
        <v>6</v>
      </c>
      <c r="NL10" s="693"/>
      <c r="NM10" s="694"/>
      <c r="NN10" s="695" t="s">
        <v>6</v>
      </c>
      <c r="NO10" s="693">
        <v>0</v>
      </c>
      <c r="NP10" s="694">
        <v>0</v>
      </c>
      <c r="NQ10" s="695" t="s">
        <v>6</v>
      </c>
      <c r="NR10" s="693">
        <v>82</v>
      </c>
      <c r="NS10" s="694">
        <v>54</v>
      </c>
      <c r="NT10" s="695">
        <v>60.3</v>
      </c>
      <c r="NU10" s="693">
        <v>85</v>
      </c>
      <c r="NV10" s="694">
        <v>51</v>
      </c>
      <c r="NW10" s="695">
        <v>62.5</v>
      </c>
      <c r="NX10" s="693">
        <v>71</v>
      </c>
      <c r="NY10" s="694">
        <v>37</v>
      </c>
      <c r="NZ10" s="695">
        <v>65.7</v>
      </c>
      <c r="OA10" s="693">
        <v>58</v>
      </c>
      <c r="OB10" s="694">
        <v>20</v>
      </c>
      <c r="OC10" s="695">
        <v>74.400000000000006</v>
      </c>
      <c r="OD10" s="693">
        <v>51</v>
      </c>
      <c r="OE10" s="694">
        <v>13</v>
      </c>
      <c r="OF10" s="695">
        <v>79.7</v>
      </c>
      <c r="OG10" s="693">
        <v>44</v>
      </c>
      <c r="OH10" s="694">
        <v>3</v>
      </c>
      <c r="OI10" s="695">
        <v>93.6</v>
      </c>
      <c r="OJ10" s="693">
        <v>48</v>
      </c>
      <c r="OK10" s="694">
        <v>5</v>
      </c>
      <c r="OL10" s="695">
        <v>90.6</v>
      </c>
      <c r="OM10" s="693">
        <v>82</v>
      </c>
      <c r="ON10" s="694">
        <v>1</v>
      </c>
      <c r="OO10" s="695">
        <v>98.8</v>
      </c>
      <c r="OP10" s="693">
        <v>50</v>
      </c>
      <c r="OQ10" s="694">
        <v>9</v>
      </c>
      <c r="OR10" s="695">
        <v>84.7</v>
      </c>
      <c r="OS10" s="693">
        <v>262</v>
      </c>
      <c r="OT10" s="694">
        <v>233</v>
      </c>
      <c r="OU10" s="695">
        <v>52.9</v>
      </c>
      <c r="OV10" s="693">
        <v>524</v>
      </c>
      <c r="OW10" s="694">
        <v>279</v>
      </c>
      <c r="OX10" s="695">
        <v>65.3</v>
      </c>
      <c r="OY10" s="693">
        <v>183</v>
      </c>
      <c r="OZ10" s="694">
        <v>185</v>
      </c>
      <c r="PA10" s="695">
        <v>49.7</v>
      </c>
      <c r="PB10" s="693">
        <v>196</v>
      </c>
      <c r="PC10" s="694">
        <v>167</v>
      </c>
      <c r="PD10" s="695">
        <v>54</v>
      </c>
      <c r="PE10" s="693">
        <v>171</v>
      </c>
      <c r="PF10" s="694">
        <v>130</v>
      </c>
      <c r="PG10" s="695">
        <v>56.8</v>
      </c>
      <c r="PH10" s="693">
        <v>163</v>
      </c>
      <c r="PI10" s="694">
        <v>100</v>
      </c>
      <c r="PJ10" s="695">
        <v>62</v>
      </c>
      <c r="PK10" s="693">
        <v>341</v>
      </c>
      <c r="PL10" s="694">
        <v>71</v>
      </c>
      <c r="PM10" s="695">
        <v>82.8</v>
      </c>
      <c r="PN10" s="693">
        <v>214</v>
      </c>
      <c r="PO10" s="694">
        <v>55</v>
      </c>
      <c r="PP10" s="695">
        <v>79.599999999999994</v>
      </c>
      <c r="PQ10" s="693">
        <v>175</v>
      </c>
      <c r="PR10" s="694">
        <v>58</v>
      </c>
      <c r="PS10" s="695">
        <v>75.099999999999994</v>
      </c>
      <c r="PT10" s="696">
        <f t="shared" si="0"/>
        <v>201</v>
      </c>
      <c r="PU10" s="185">
        <f t="shared" si="0"/>
        <v>312</v>
      </c>
      <c r="PV10" s="678">
        <f t="shared" si="1"/>
        <v>39.1812865497076</v>
      </c>
      <c r="PW10" s="696">
        <f t="shared" si="2"/>
        <v>2</v>
      </c>
      <c r="PX10" s="185">
        <f t="shared" si="2"/>
        <v>0</v>
      </c>
      <c r="PY10" s="678">
        <f t="shared" si="3"/>
        <v>100</v>
      </c>
      <c r="PZ10" s="696">
        <f t="shared" si="4"/>
        <v>1</v>
      </c>
      <c r="QA10" s="185">
        <f t="shared" si="4"/>
        <v>5</v>
      </c>
      <c r="QB10" s="678">
        <f t="shared" si="5"/>
        <v>16.666666666666664</v>
      </c>
      <c r="QC10" s="696">
        <f t="shared" si="6"/>
        <v>56</v>
      </c>
      <c r="QD10" s="185">
        <f t="shared" si="6"/>
        <v>79</v>
      </c>
      <c r="QE10" s="678">
        <f t="shared" si="7"/>
        <v>41.481481481481481</v>
      </c>
      <c r="QF10" s="696">
        <f t="shared" si="8"/>
        <v>0</v>
      </c>
      <c r="QG10" s="185">
        <f t="shared" si="8"/>
        <v>0</v>
      </c>
      <c r="QH10" s="678" t="str">
        <f t="shared" si="9"/>
        <v>-</v>
      </c>
      <c r="QI10" s="696">
        <f t="shared" si="10"/>
        <v>2</v>
      </c>
      <c r="QJ10" s="185">
        <f t="shared" si="10"/>
        <v>2</v>
      </c>
      <c r="QK10" s="678">
        <f t="shared" si="11"/>
        <v>50</v>
      </c>
      <c r="QL10" s="696">
        <f t="shared" si="12"/>
        <v>1</v>
      </c>
      <c r="QM10" s="185">
        <f t="shared" si="12"/>
        <v>1</v>
      </c>
      <c r="QN10" s="678">
        <f t="shared" si="13"/>
        <v>50</v>
      </c>
      <c r="QO10" s="696">
        <f t="shared" si="14"/>
        <v>6</v>
      </c>
      <c r="QP10" s="185">
        <f t="shared" si="14"/>
        <v>10</v>
      </c>
      <c r="QQ10" s="678">
        <f t="shared" si="15"/>
        <v>37.5</v>
      </c>
      <c r="QR10" s="696">
        <f t="shared" si="16"/>
        <v>1</v>
      </c>
      <c r="QS10" s="185">
        <f t="shared" si="16"/>
        <v>0</v>
      </c>
      <c r="QT10" s="678">
        <f t="shared" si="17"/>
        <v>100</v>
      </c>
      <c r="QU10" s="696">
        <f t="shared" si="18"/>
        <v>9</v>
      </c>
      <c r="QV10" s="185">
        <f t="shared" si="18"/>
        <v>1</v>
      </c>
      <c r="QW10" s="678">
        <f t="shared" si="19"/>
        <v>90</v>
      </c>
      <c r="QX10" s="696">
        <f t="shared" si="20"/>
        <v>570</v>
      </c>
      <c r="QY10" s="185">
        <f t="shared" si="20"/>
        <v>357</v>
      </c>
      <c r="QZ10" s="678">
        <f t="shared" si="21"/>
        <v>61.488673139158578</v>
      </c>
      <c r="RA10" s="696">
        <f t="shared" si="22"/>
        <v>166</v>
      </c>
      <c r="RB10" s="185">
        <f t="shared" si="22"/>
        <v>31</v>
      </c>
      <c r="RC10" s="678">
        <f t="shared" si="23"/>
        <v>84.263959390862937</v>
      </c>
      <c r="RD10" s="696">
        <f t="shared" si="24"/>
        <v>0</v>
      </c>
      <c r="RE10" s="185">
        <f t="shared" si="24"/>
        <v>0</v>
      </c>
      <c r="RF10" s="678" t="str">
        <f t="shared" si="25"/>
        <v>-</v>
      </c>
      <c r="RG10" s="696">
        <f t="shared" si="26"/>
        <v>0</v>
      </c>
      <c r="RH10" s="185">
        <f t="shared" si="26"/>
        <v>0</v>
      </c>
      <c r="RI10" s="678" t="str">
        <f t="shared" si="27"/>
        <v>-</v>
      </c>
      <c r="RJ10" s="696">
        <f t="shared" si="28"/>
        <v>275</v>
      </c>
      <c r="RK10" s="185">
        <f t="shared" si="28"/>
        <v>31</v>
      </c>
      <c r="RL10" s="678">
        <f t="shared" si="29"/>
        <v>89.869281045751634</v>
      </c>
      <c r="RM10" s="696">
        <f t="shared" si="30"/>
        <v>1064</v>
      </c>
      <c r="RN10" s="185">
        <f t="shared" si="30"/>
        <v>414</v>
      </c>
      <c r="RO10" s="678">
        <f t="shared" si="31"/>
        <v>71.989174560216512</v>
      </c>
    </row>
    <row r="11" spans="1:483" ht="13.5" thickBot="1" x14ac:dyDescent="0.25">
      <c r="A11" s="987"/>
      <c r="B11" s="744"/>
      <c r="C11" s="883" t="s">
        <v>793</v>
      </c>
      <c r="D11" s="698">
        <f>SUM(D4:D10)</f>
        <v>1224</v>
      </c>
      <c r="E11" s="699">
        <f>SUM(E4:E10)</f>
        <v>2478</v>
      </c>
      <c r="F11" s="700">
        <f>D11/(D11+E11)*100</f>
        <v>33.063209076175042</v>
      </c>
      <c r="G11" s="698">
        <f t="shared" ref="G11:H11" si="32">SUM(G4:G10)</f>
        <v>819</v>
      </c>
      <c r="H11" s="699">
        <f t="shared" si="32"/>
        <v>2295</v>
      </c>
      <c r="I11" s="700">
        <f t="shared" ref="I11" si="33">G11/(G11+H11)*100</f>
        <v>26.300578034682083</v>
      </c>
      <c r="J11" s="698">
        <f t="shared" ref="J11:K11" si="34">SUM(J4:J10)</f>
        <v>873</v>
      </c>
      <c r="K11" s="699">
        <f t="shared" si="34"/>
        <v>2071</v>
      </c>
      <c r="L11" s="700">
        <f t="shared" ref="L11" si="35">J11/(J11+K11)*100</f>
        <v>29.653532608695656</v>
      </c>
      <c r="M11" s="698">
        <f t="shared" ref="M11:N11" si="36">SUM(M4:M10)</f>
        <v>788</v>
      </c>
      <c r="N11" s="699">
        <f t="shared" si="36"/>
        <v>1544</v>
      </c>
      <c r="O11" s="700">
        <f t="shared" ref="O11" si="37">M11/(M11+N11)*100</f>
        <v>33.79073756432247</v>
      </c>
      <c r="P11" s="698">
        <f t="shared" ref="P11:Q11" si="38">SUM(P4:P10)</f>
        <v>771</v>
      </c>
      <c r="Q11" s="699">
        <f t="shared" si="38"/>
        <v>1518</v>
      </c>
      <c r="R11" s="700">
        <f t="shared" ref="R11" si="39">P11/(P11+Q11)*100</f>
        <v>33.682830930537357</v>
      </c>
      <c r="S11" s="698">
        <f t="shared" ref="S11:T11" si="40">SUM(S4:S10)</f>
        <v>719</v>
      </c>
      <c r="T11" s="699">
        <f t="shared" si="40"/>
        <v>1161</v>
      </c>
      <c r="U11" s="700">
        <f t="shared" ref="U11" si="41">S11/(S11+T11)*100</f>
        <v>38.244680851063826</v>
      </c>
      <c r="V11" s="698">
        <f t="shared" ref="V11:W11" si="42">SUM(V4:V10)</f>
        <v>575</v>
      </c>
      <c r="W11" s="699">
        <f t="shared" si="42"/>
        <v>829</v>
      </c>
      <c r="X11" s="700">
        <f t="shared" ref="X11" si="43">V11/(V11+W11)*100</f>
        <v>40.954415954415957</v>
      </c>
      <c r="Y11" s="698">
        <f t="shared" ref="Y11:Z11" si="44">SUM(Y4:Y10)</f>
        <v>629</v>
      </c>
      <c r="Z11" s="699">
        <f t="shared" si="44"/>
        <v>745</v>
      </c>
      <c r="AA11" s="700">
        <f t="shared" ref="AA11" si="45">Y11/(Y11+Z11)*100</f>
        <v>45.778748180494908</v>
      </c>
      <c r="AB11" s="698">
        <f t="shared" ref="AB11:AC11" si="46">SUM(AB4:AB10)</f>
        <v>417</v>
      </c>
      <c r="AC11" s="699">
        <f t="shared" si="46"/>
        <v>511</v>
      </c>
      <c r="AD11" s="700">
        <f t="shared" ref="AD11" si="47">AB11/(AB11+AC11)*100</f>
        <v>44.935344827586206</v>
      </c>
      <c r="AE11" s="698">
        <f t="shared" ref="AE11:AF11" si="48">SUM(AE4:AE10)</f>
        <v>3</v>
      </c>
      <c r="AF11" s="699">
        <f t="shared" si="48"/>
        <v>7</v>
      </c>
      <c r="AG11" s="700">
        <f t="shared" ref="AG11" si="49">AE11/(AE11+AF11)*100</f>
        <v>30</v>
      </c>
      <c r="AH11" s="698">
        <f t="shared" ref="AH11:AI11" si="50">SUM(AH4:AH10)</f>
        <v>25</v>
      </c>
      <c r="AI11" s="699">
        <f t="shared" si="50"/>
        <v>11</v>
      </c>
      <c r="AJ11" s="700">
        <f t="shared" ref="AJ11" si="51">AH11/(AH11+AI11)*100</f>
        <v>69.444444444444443</v>
      </c>
      <c r="AK11" s="698">
        <f t="shared" ref="AK11:AL11" si="52">SUM(AK4:AK10)</f>
        <v>12</v>
      </c>
      <c r="AL11" s="699">
        <f t="shared" si="52"/>
        <v>5</v>
      </c>
      <c r="AM11" s="700">
        <f t="shared" ref="AM11" si="53">AK11/(AK11+AL11)*100</f>
        <v>70.588235294117652</v>
      </c>
      <c r="AN11" s="698">
        <f t="shared" ref="AN11:AO11" si="54">SUM(AN4:AN10)</f>
        <v>1</v>
      </c>
      <c r="AO11" s="699">
        <f t="shared" si="54"/>
        <v>6</v>
      </c>
      <c r="AP11" s="700">
        <f t="shared" ref="AP11" si="55">AN11/(AN11+AO11)*100</f>
        <v>14.285714285714285</v>
      </c>
      <c r="AQ11" s="698">
        <f t="shared" ref="AQ11:AR11" si="56">SUM(AQ4:AQ10)</f>
        <v>7</v>
      </c>
      <c r="AR11" s="699">
        <f t="shared" si="56"/>
        <v>3</v>
      </c>
      <c r="AS11" s="700">
        <f t="shared" ref="AS11" si="57">AQ11/(AQ11+AR11)*100</f>
        <v>70</v>
      </c>
      <c r="AT11" s="698">
        <f t="shared" ref="AT11:AU11" si="58">SUM(AT4:AT10)</f>
        <v>5</v>
      </c>
      <c r="AU11" s="699">
        <f t="shared" si="58"/>
        <v>7</v>
      </c>
      <c r="AV11" s="700">
        <f t="shared" ref="AV11" si="59">AT11/(AT11+AU11)*100</f>
        <v>41.666666666666671</v>
      </c>
      <c r="AW11" s="698">
        <f t="shared" ref="AW11:AX11" si="60">SUM(AW4:AW10)</f>
        <v>3</v>
      </c>
      <c r="AX11" s="699">
        <f t="shared" si="60"/>
        <v>1</v>
      </c>
      <c r="AY11" s="700">
        <f t="shared" ref="AY11" si="61">AW11/(AW11+AX11)*100</f>
        <v>75</v>
      </c>
      <c r="AZ11" s="698">
        <f t="shared" ref="AZ11:BA11" si="62">SUM(AZ4:AZ10)</f>
        <v>11</v>
      </c>
      <c r="BA11" s="699">
        <f t="shared" si="62"/>
        <v>0</v>
      </c>
      <c r="BB11" s="700">
        <f t="shared" ref="BB11" si="63">AZ11/(AZ11+BA11)*100</f>
        <v>100</v>
      </c>
      <c r="BC11" s="698">
        <f t="shared" ref="BC11:BD11" si="64">SUM(BC4:BC10)</f>
        <v>3</v>
      </c>
      <c r="BD11" s="699">
        <f t="shared" si="64"/>
        <v>0</v>
      </c>
      <c r="BE11" s="700">
        <f t="shared" ref="BE11" si="65">BC11/(BC11+BD11)*100</f>
        <v>100</v>
      </c>
      <c r="BF11" s="698">
        <f t="shared" ref="BF11:BG11" si="66">SUM(BF4:BF10)</f>
        <v>100</v>
      </c>
      <c r="BG11" s="699">
        <f t="shared" si="66"/>
        <v>111</v>
      </c>
      <c r="BH11" s="700">
        <f t="shared" ref="BH11" si="67">BF11/(BF11+BG11)*100</f>
        <v>47.393364928909953</v>
      </c>
      <c r="BI11" s="698">
        <f t="shared" ref="BI11:BJ11" si="68">SUM(BI4:BI10)</f>
        <v>9</v>
      </c>
      <c r="BJ11" s="699">
        <f t="shared" si="68"/>
        <v>83</v>
      </c>
      <c r="BK11" s="700">
        <f t="shared" ref="BK11" si="69">BI11/(BI11+BJ11)*100</f>
        <v>9.7826086956521738</v>
      </c>
      <c r="BL11" s="698">
        <f t="shared" ref="BL11:BM11" si="70">SUM(BL4:BL10)</f>
        <v>29</v>
      </c>
      <c r="BM11" s="699">
        <f t="shared" si="70"/>
        <v>62</v>
      </c>
      <c r="BN11" s="700">
        <f t="shared" ref="BN11" si="71">BL11/(BL11+BM11)*100</f>
        <v>31.868131868131865</v>
      </c>
      <c r="BO11" s="698">
        <f t="shared" ref="BO11:BP11" si="72">SUM(BO4:BO10)</f>
        <v>4</v>
      </c>
      <c r="BP11" s="699">
        <f t="shared" si="72"/>
        <v>43</v>
      </c>
      <c r="BQ11" s="700">
        <f t="shared" ref="BQ11" si="73">BO11/(BO11+BP11)*100</f>
        <v>8.5106382978723403</v>
      </c>
      <c r="BR11" s="698">
        <f t="shared" ref="BR11:BS11" si="74">SUM(BR4:BR10)</f>
        <v>38</v>
      </c>
      <c r="BS11" s="699">
        <f t="shared" si="74"/>
        <v>34</v>
      </c>
      <c r="BT11" s="700">
        <f t="shared" ref="BT11" si="75">BR11/(BR11+BS11)*100</f>
        <v>52.777777777777779</v>
      </c>
      <c r="BU11" s="698">
        <f t="shared" ref="BU11:BV11" si="76">SUM(BU4:BU10)</f>
        <v>15</v>
      </c>
      <c r="BV11" s="699">
        <f t="shared" si="76"/>
        <v>30</v>
      </c>
      <c r="BW11" s="700">
        <f t="shared" ref="BW11" si="77">BU11/(BU11+BV11)*100</f>
        <v>33.333333333333329</v>
      </c>
      <c r="BX11" s="698">
        <f t="shared" ref="BX11:BY11" si="78">SUM(BX4:BX10)</f>
        <v>2</v>
      </c>
      <c r="BY11" s="699">
        <f t="shared" si="78"/>
        <v>15</v>
      </c>
      <c r="BZ11" s="700">
        <f t="shared" ref="BZ11" si="79">BX11/(BX11+BY11)*100</f>
        <v>11.76470588235294</v>
      </c>
      <c r="CA11" s="698">
        <f t="shared" ref="CA11:CB11" si="80">SUM(CA4:CA10)</f>
        <v>7</v>
      </c>
      <c r="CB11" s="699">
        <f t="shared" si="80"/>
        <v>13</v>
      </c>
      <c r="CC11" s="700">
        <f t="shared" ref="CC11" si="81">CA11/(CA11+CB11)*100</f>
        <v>35</v>
      </c>
      <c r="CD11" s="698">
        <f t="shared" ref="CD11:CE11" si="82">SUM(CD4:CD10)</f>
        <v>3</v>
      </c>
      <c r="CE11" s="699">
        <f t="shared" si="82"/>
        <v>13</v>
      </c>
      <c r="CF11" s="700">
        <f t="shared" ref="CF11" si="83">CD11/(CD11+CE11)*100</f>
        <v>18.75</v>
      </c>
      <c r="CG11" s="698">
        <f t="shared" ref="CG11:CH11" si="84">SUM(CG4:CG10)</f>
        <v>83</v>
      </c>
      <c r="CH11" s="699">
        <f t="shared" si="84"/>
        <v>294</v>
      </c>
      <c r="CI11" s="700">
        <f t="shared" ref="CI11" si="85">CG11/(CG11+CH11)*100</f>
        <v>22.015915119363395</v>
      </c>
      <c r="CJ11" s="698">
        <f t="shared" ref="CJ11:CK11" si="86">SUM(CJ4:CJ10)</f>
        <v>38</v>
      </c>
      <c r="CK11" s="699">
        <f t="shared" si="86"/>
        <v>239</v>
      </c>
      <c r="CL11" s="700">
        <f t="shared" ref="CL11" si="87">CJ11/(CJ11+CK11)*100</f>
        <v>13.718411552346572</v>
      </c>
      <c r="CM11" s="698">
        <f t="shared" ref="CM11:CN11" si="88">SUM(CM4:CM10)</f>
        <v>89</v>
      </c>
      <c r="CN11" s="699">
        <f t="shared" si="88"/>
        <v>233</v>
      </c>
      <c r="CO11" s="700">
        <f t="shared" ref="CO11" si="89">CM11/(CM11+CN11)*100</f>
        <v>27.639751552795033</v>
      </c>
      <c r="CP11" s="698">
        <f t="shared" ref="CP11:CQ11" si="90">SUM(CP4:CP10)</f>
        <v>93</v>
      </c>
      <c r="CQ11" s="699">
        <f t="shared" si="90"/>
        <v>168</v>
      </c>
      <c r="CR11" s="700">
        <f t="shared" ref="CR11" si="91">CP11/(CP11+CQ11)*100</f>
        <v>35.632183908045981</v>
      </c>
      <c r="CS11" s="698">
        <f t="shared" ref="CS11:CT11" si="92">SUM(CS4:CS10)</f>
        <v>59</v>
      </c>
      <c r="CT11" s="699">
        <f t="shared" si="92"/>
        <v>174</v>
      </c>
      <c r="CU11" s="700">
        <f t="shared" ref="CU11" si="93">CS11/(CS11+CT11)*100</f>
        <v>25.321888412017167</v>
      </c>
      <c r="CV11" s="698">
        <f t="shared" ref="CV11:CW11" si="94">SUM(CV4:CV10)</f>
        <v>86</v>
      </c>
      <c r="CW11" s="699">
        <f t="shared" si="94"/>
        <v>186</v>
      </c>
      <c r="CX11" s="700">
        <f t="shared" ref="CX11" si="95">CV11/(CV11+CW11)*100</f>
        <v>31.617647058823529</v>
      </c>
      <c r="CY11" s="698">
        <f t="shared" ref="CY11:CZ11" si="96">SUM(CY4:CY10)</f>
        <v>95</v>
      </c>
      <c r="CZ11" s="699">
        <f t="shared" si="96"/>
        <v>144</v>
      </c>
      <c r="DA11" s="700">
        <f t="shared" ref="DA11" si="97">CY11/(CY11+CZ11)*100</f>
        <v>39.748953974895393</v>
      </c>
      <c r="DB11" s="698">
        <f t="shared" ref="DB11:DC11" si="98">SUM(DB4:DB10)</f>
        <v>85</v>
      </c>
      <c r="DC11" s="699">
        <f t="shared" si="98"/>
        <v>87</v>
      </c>
      <c r="DD11" s="700">
        <f t="shared" ref="DD11" si="99">DB11/(DB11+DC11)*100</f>
        <v>49.418604651162788</v>
      </c>
      <c r="DE11" s="698">
        <f t="shared" ref="DE11:DF11" si="100">SUM(DE4:DE10)</f>
        <v>56</v>
      </c>
      <c r="DF11" s="699">
        <f t="shared" si="100"/>
        <v>59</v>
      </c>
      <c r="DG11" s="700">
        <f t="shared" ref="DG11" si="101">DE11/(DE11+DF11)*100</f>
        <v>48.695652173913047</v>
      </c>
      <c r="DH11" s="698">
        <f t="shared" ref="DH11:DI11" si="102">SUM(DH4:DH10)</f>
        <v>44</v>
      </c>
      <c r="DI11" s="699">
        <f t="shared" si="102"/>
        <v>19</v>
      </c>
      <c r="DJ11" s="700">
        <f t="shared" ref="DJ11" si="103">DH11/(DH11+DI11)*100</f>
        <v>69.841269841269835</v>
      </c>
      <c r="DK11" s="698">
        <f t="shared" ref="DK11:DL11" si="104">SUM(DK4:DK10)</f>
        <v>31</v>
      </c>
      <c r="DL11" s="699">
        <f t="shared" si="104"/>
        <v>11</v>
      </c>
      <c r="DM11" s="700">
        <f t="shared" ref="DM11" si="105">DK11/(DK11+DL11)*100</f>
        <v>73.80952380952381</v>
      </c>
      <c r="DN11" s="698">
        <f t="shared" ref="DN11:DO11" si="106">SUM(DN4:DN10)</f>
        <v>17</v>
      </c>
      <c r="DO11" s="699">
        <f t="shared" si="106"/>
        <v>15</v>
      </c>
      <c r="DP11" s="700">
        <f t="shared" ref="DP11" si="107">DN11/(DN11+DO11)*100</f>
        <v>53.125</v>
      </c>
      <c r="DQ11" s="698">
        <f t="shared" ref="DQ11:DR11" si="108">SUM(DQ4:DQ10)</f>
        <v>14</v>
      </c>
      <c r="DR11" s="699">
        <f t="shared" si="108"/>
        <v>5</v>
      </c>
      <c r="DS11" s="700">
        <f t="shared" ref="DS11" si="109">DQ11/(DQ11+DR11)*100</f>
        <v>73.68421052631578</v>
      </c>
      <c r="DT11" s="698">
        <f t="shared" ref="DT11:DU11" si="110">SUM(DT4:DT10)</f>
        <v>14</v>
      </c>
      <c r="DU11" s="699">
        <f t="shared" si="110"/>
        <v>9</v>
      </c>
      <c r="DV11" s="700">
        <f t="shared" ref="DV11" si="111">DT11/(DT11+DU11)*100</f>
        <v>60.869565217391312</v>
      </c>
      <c r="DW11" s="698">
        <f t="shared" ref="DW11:DX11" si="112">SUM(DW4:DW10)</f>
        <v>9</v>
      </c>
      <c r="DX11" s="699">
        <f t="shared" si="112"/>
        <v>3</v>
      </c>
      <c r="DY11" s="700">
        <f t="shared" ref="DY11" si="113">DW11/(DW11+DX11)*100</f>
        <v>75</v>
      </c>
      <c r="DZ11" s="698">
        <f t="shared" ref="DZ11:EA11" si="114">SUM(DZ4:DZ10)</f>
        <v>9</v>
      </c>
      <c r="EA11" s="699">
        <f t="shared" si="114"/>
        <v>0</v>
      </c>
      <c r="EB11" s="700">
        <f t="shared" ref="EB11" si="115">DZ11/(DZ11+EA11)*100</f>
        <v>100</v>
      </c>
      <c r="EC11" s="698">
        <f t="shared" ref="EC11:ED11" si="116">SUM(EC4:EC10)</f>
        <v>5</v>
      </c>
      <c r="ED11" s="699">
        <f t="shared" si="116"/>
        <v>0</v>
      </c>
      <c r="EE11" s="700">
        <f t="shared" ref="EE11" si="117">EC11/(EC11+ED11)*100</f>
        <v>100</v>
      </c>
      <c r="EF11" s="698">
        <f t="shared" ref="EF11:EG11" si="118">SUM(EF4:EF10)</f>
        <v>0</v>
      </c>
      <c r="EG11" s="699">
        <f t="shared" si="118"/>
        <v>0</v>
      </c>
      <c r="EH11" s="700" t="str">
        <f>IF(EG11&lt;&gt;0,EF11/(EF11+EG11)*100,"-")</f>
        <v>-</v>
      </c>
      <c r="EI11" s="698">
        <f t="shared" ref="EI11:EJ11" si="119">SUM(EI4:EI10)</f>
        <v>3</v>
      </c>
      <c r="EJ11" s="699">
        <f t="shared" si="119"/>
        <v>1</v>
      </c>
      <c r="EK11" s="700">
        <f t="shared" ref="EK11" si="120">EI11/(EI11+EJ11)*100</f>
        <v>75</v>
      </c>
      <c r="EL11" s="698">
        <f t="shared" ref="EL11:EM11" si="121">SUM(EL4:EL10)</f>
        <v>6</v>
      </c>
      <c r="EM11" s="699">
        <f t="shared" si="121"/>
        <v>5</v>
      </c>
      <c r="EN11" s="700">
        <f t="shared" ref="EN11" si="122">EL11/(EL11+EM11)*100</f>
        <v>54.54545454545454</v>
      </c>
      <c r="EO11" s="698">
        <f t="shared" ref="EO11:EP11" si="123">SUM(EO4:EO10)</f>
        <v>6</v>
      </c>
      <c r="EP11" s="699">
        <f t="shared" si="123"/>
        <v>3</v>
      </c>
      <c r="EQ11" s="700">
        <f t="shared" ref="EQ11" si="124">EO11/(EO11+EP11)*100</f>
        <v>66.666666666666657</v>
      </c>
      <c r="ER11" s="698">
        <f t="shared" ref="ER11:ES11" si="125">SUM(ER4:ER10)</f>
        <v>4</v>
      </c>
      <c r="ES11" s="699">
        <f t="shared" si="125"/>
        <v>2</v>
      </c>
      <c r="ET11" s="700">
        <f t="shared" ref="ET11" si="126">ER11/(ER11+ES11)*100</f>
        <v>66.666666666666657</v>
      </c>
      <c r="EU11" s="698">
        <f t="shared" ref="EU11:EV11" si="127">SUM(EU4:EU10)</f>
        <v>6</v>
      </c>
      <c r="EV11" s="699">
        <f t="shared" si="127"/>
        <v>3</v>
      </c>
      <c r="EW11" s="700">
        <f t="shared" ref="EW11" si="128">EU11/(EU11+EV11)*100</f>
        <v>66.666666666666657</v>
      </c>
      <c r="EX11" s="698">
        <f t="shared" ref="EX11:EY11" si="129">SUM(EX4:EX10)</f>
        <v>3</v>
      </c>
      <c r="EY11" s="699">
        <f t="shared" si="129"/>
        <v>1</v>
      </c>
      <c r="EZ11" s="700">
        <f t="shared" ref="EZ11" si="130">EX11/(EX11+EY11)*100</f>
        <v>75</v>
      </c>
      <c r="FA11" s="698">
        <f t="shared" ref="FA11:FB11" si="131">SUM(FA4:FA10)</f>
        <v>31</v>
      </c>
      <c r="FB11" s="699">
        <f t="shared" si="131"/>
        <v>5</v>
      </c>
      <c r="FC11" s="700">
        <f t="shared" ref="FC11" si="132">FA11/(FA11+FB11)*100</f>
        <v>86.111111111111114</v>
      </c>
      <c r="FD11" s="698">
        <f t="shared" ref="FD11:FE11" si="133">SUM(FD4:FD10)</f>
        <v>22</v>
      </c>
      <c r="FE11" s="699">
        <f t="shared" si="133"/>
        <v>3</v>
      </c>
      <c r="FF11" s="700">
        <f t="shared" ref="FF11" si="134">FD11/(FD11+FE11)*100</f>
        <v>88</v>
      </c>
      <c r="FG11" s="698">
        <f t="shared" ref="FG11:FH11" si="135">SUM(FG4:FG10)</f>
        <v>3</v>
      </c>
      <c r="FH11" s="699">
        <f t="shared" si="135"/>
        <v>1</v>
      </c>
      <c r="FI11" s="700">
        <f t="shared" ref="FI11" si="136">FG11/(FG11+FH11)*100</f>
        <v>75</v>
      </c>
      <c r="FJ11" s="698">
        <f t="shared" ref="FJ11:FK11" si="137">SUM(FJ4:FJ10)</f>
        <v>13</v>
      </c>
      <c r="FK11" s="699">
        <f t="shared" si="137"/>
        <v>9</v>
      </c>
      <c r="FL11" s="700">
        <f t="shared" ref="FL11" si="138">FJ11/(FJ11+FK11)*100</f>
        <v>59.090909090909093</v>
      </c>
      <c r="FM11" s="698">
        <f t="shared" ref="FM11:FN11" si="139">SUM(FM4:FM10)</f>
        <v>10</v>
      </c>
      <c r="FN11" s="699">
        <f t="shared" si="139"/>
        <v>7</v>
      </c>
      <c r="FO11" s="700">
        <f t="shared" ref="FO11" si="140">FM11/(FM11+FN11)*100</f>
        <v>58.82352941176471</v>
      </c>
      <c r="FP11" s="698">
        <f t="shared" ref="FP11:FQ11" si="141">SUM(FP4:FP10)</f>
        <v>12</v>
      </c>
      <c r="FQ11" s="699">
        <f t="shared" si="141"/>
        <v>6</v>
      </c>
      <c r="FR11" s="700">
        <f t="shared" ref="FR11" si="142">FP11/(FP11+FQ11)*100</f>
        <v>66.666666666666657</v>
      </c>
      <c r="FS11" s="698">
        <f t="shared" ref="FS11:FT11" si="143">SUM(FS4:FS10)</f>
        <v>2</v>
      </c>
      <c r="FT11" s="699">
        <f t="shared" si="143"/>
        <v>3</v>
      </c>
      <c r="FU11" s="700">
        <f t="shared" ref="FU11" si="144">FS11/(FS11+FT11)*100</f>
        <v>40</v>
      </c>
      <c r="FV11" s="698">
        <f t="shared" ref="FV11:FW11" si="145">SUM(FV4:FV10)</f>
        <v>9</v>
      </c>
      <c r="FW11" s="699">
        <f t="shared" si="145"/>
        <v>5</v>
      </c>
      <c r="FX11" s="700">
        <f t="shared" ref="FX11" si="146">FV11/(FV11+FW11)*100</f>
        <v>64.285714285714292</v>
      </c>
      <c r="FY11" s="698">
        <f t="shared" ref="FY11:FZ11" si="147">SUM(FY4:FY10)</f>
        <v>4</v>
      </c>
      <c r="FZ11" s="699">
        <f t="shared" si="147"/>
        <v>5</v>
      </c>
      <c r="GA11" s="700">
        <f t="shared" ref="GA11" si="148">FY11/(FY11+FZ11)*100</f>
        <v>44.444444444444443</v>
      </c>
      <c r="GB11" s="698">
        <f t="shared" ref="GB11:GC11" si="149">SUM(GB4:GB10)</f>
        <v>5</v>
      </c>
      <c r="GC11" s="699">
        <f t="shared" si="149"/>
        <v>4</v>
      </c>
      <c r="GD11" s="700">
        <f t="shared" ref="GD11" si="150">GB11/(GB11+GC11)*100</f>
        <v>55.555555555555557</v>
      </c>
      <c r="GE11" s="698">
        <f t="shared" ref="GE11:GF11" si="151">SUM(GE4:GE10)</f>
        <v>5</v>
      </c>
      <c r="GF11" s="699">
        <f t="shared" si="151"/>
        <v>3</v>
      </c>
      <c r="GG11" s="700">
        <f t="shared" ref="GG11" si="152">GE11/(GE11+GF11)*100</f>
        <v>62.5</v>
      </c>
      <c r="GH11" s="698">
        <f t="shared" ref="GH11:GI11" si="153">SUM(GH4:GH10)</f>
        <v>16</v>
      </c>
      <c r="GI11" s="699">
        <f t="shared" si="153"/>
        <v>0</v>
      </c>
      <c r="GJ11" s="700">
        <f t="shared" ref="GJ11" si="154">GH11/(GH11+GI11)*100</f>
        <v>100</v>
      </c>
      <c r="GK11" s="698">
        <f t="shared" ref="GK11:GL11" si="155">SUM(GK4:GK10)</f>
        <v>83</v>
      </c>
      <c r="GL11" s="699">
        <f t="shared" si="155"/>
        <v>227</v>
      </c>
      <c r="GM11" s="700">
        <f t="shared" ref="GM11" si="156">GK11/(GK11+GL11)*100</f>
        <v>26.7741935483871</v>
      </c>
      <c r="GN11" s="698">
        <f t="shared" ref="GN11:GO11" si="157">SUM(GN4:GN10)</f>
        <v>92</v>
      </c>
      <c r="GO11" s="699">
        <f t="shared" si="157"/>
        <v>213</v>
      </c>
      <c r="GP11" s="700">
        <f t="shared" ref="GP11" si="158">GN11/(GN11+GO11)*100</f>
        <v>30.16393442622951</v>
      </c>
      <c r="GQ11" s="698">
        <f t="shared" ref="GQ11:GR11" si="159">SUM(GQ4:GQ10)</f>
        <v>59</v>
      </c>
      <c r="GR11" s="699">
        <f t="shared" si="159"/>
        <v>155</v>
      </c>
      <c r="GS11" s="700">
        <f t="shared" ref="GS11" si="160">GQ11/(GQ11+GR11)*100</f>
        <v>27.570093457943923</v>
      </c>
      <c r="GT11" s="698">
        <f t="shared" ref="GT11:GU11" si="161">SUM(GT4:GT10)</f>
        <v>61</v>
      </c>
      <c r="GU11" s="699">
        <f t="shared" si="161"/>
        <v>110</v>
      </c>
      <c r="GV11" s="700">
        <f t="shared" ref="GV11" si="162">GT11/(GT11+GU11)*100</f>
        <v>35.672514619883039</v>
      </c>
      <c r="GW11" s="698">
        <f t="shared" ref="GW11:GX11" si="163">SUM(GW4:GW10)</f>
        <v>43</v>
      </c>
      <c r="GX11" s="699">
        <f t="shared" si="163"/>
        <v>124</v>
      </c>
      <c r="GY11" s="700">
        <f t="shared" ref="GY11" si="164">GW11/(GW11+GX11)*100</f>
        <v>25.748502994011975</v>
      </c>
      <c r="GZ11" s="698">
        <f t="shared" ref="GZ11:HA11" si="165">SUM(GZ4:GZ10)</f>
        <v>64</v>
      </c>
      <c r="HA11" s="699">
        <f t="shared" si="165"/>
        <v>91</v>
      </c>
      <c r="HB11" s="700">
        <f t="shared" ref="HB11" si="166">GZ11/(GZ11+HA11)*100</f>
        <v>41.29032258064516</v>
      </c>
      <c r="HC11" s="698">
        <f t="shared" ref="HC11:HD11" si="167">SUM(HC4:HC10)</f>
        <v>37</v>
      </c>
      <c r="HD11" s="699">
        <f t="shared" si="167"/>
        <v>80</v>
      </c>
      <c r="HE11" s="700">
        <f t="shared" ref="HE11" si="168">HC11/(HC11+HD11)*100</f>
        <v>31.623931623931622</v>
      </c>
      <c r="HF11" s="698">
        <f t="shared" ref="HF11:HG11" si="169">SUM(HF4:HF10)</f>
        <v>48</v>
      </c>
      <c r="HG11" s="699">
        <f t="shared" si="169"/>
        <v>90</v>
      </c>
      <c r="HH11" s="700">
        <f t="shared" ref="HH11" si="170">HF11/(HF11+HG11)*100</f>
        <v>34.782608695652172</v>
      </c>
      <c r="HI11" s="698">
        <f t="shared" ref="HI11:HJ11" si="171">SUM(HI4:HI10)</f>
        <v>29</v>
      </c>
      <c r="HJ11" s="699">
        <f t="shared" si="171"/>
        <v>88</v>
      </c>
      <c r="HK11" s="700">
        <f t="shared" ref="HK11" si="172">HI11/(HI11+HJ11)*100</f>
        <v>24.786324786324787</v>
      </c>
      <c r="HL11" s="698">
        <f t="shared" ref="HL11:HM11" si="173">SUM(HL4:HL10)</f>
        <v>24</v>
      </c>
      <c r="HM11" s="699">
        <f t="shared" si="173"/>
        <v>4</v>
      </c>
      <c r="HN11" s="700">
        <f t="shared" ref="HN11" si="174">HL11/(HL11+HM11)*100</f>
        <v>85.714285714285708</v>
      </c>
      <c r="HO11" s="698">
        <f t="shared" ref="HO11:HP11" si="175">SUM(HO4:HO10)</f>
        <v>28</v>
      </c>
      <c r="HP11" s="699">
        <f t="shared" si="175"/>
        <v>4</v>
      </c>
      <c r="HQ11" s="700">
        <f t="shared" ref="HQ11" si="176">HO11/(HO11+HP11)*100</f>
        <v>87.5</v>
      </c>
      <c r="HR11" s="698">
        <f t="shared" ref="HR11:HS11" si="177">SUM(HR4:HR10)</f>
        <v>29</v>
      </c>
      <c r="HS11" s="699">
        <f t="shared" si="177"/>
        <v>8</v>
      </c>
      <c r="HT11" s="700">
        <f t="shared" ref="HT11" si="178">HR11/(HR11+HS11)*100</f>
        <v>78.378378378378372</v>
      </c>
      <c r="HU11" s="698">
        <f t="shared" ref="HU11:HV11" si="179">SUM(HU4:HU10)</f>
        <v>27</v>
      </c>
      <c r="HV11" s="699">
        <f t="shared" si="179"/>
        <v>7</v>
      </c>
      <c r="HW11" s="700">
        <f t="shared" ref="HW11" si="180">HU11/(HU11+HV11)*100</f>
        <v>79.411764705882348</v>
      </c>
      <c r="HX11" s="698">
        <f t="shared" ref="HX11:HY11" si="181">SUM(HX4:HX10)</f>
        <v>28</v>
      </c>
      <c r="HY11" s="699">
        <f t="shared" si="181"/>
        <v>5</v>
      </c>
      <c r="HZ11" s="700">
        <f t="shared" ref="HZ11" si="182">HX11/(HX11+HY11)*100</f>
        <v>84.848484848484844</v>
      </c>
      <c r="IA11" s="698">
        <f t="shared" ref="IA11:IB11" si="183">SUM(IA4:IA10)</f>
        <v>29</v>
      </c>
      <c r="IB11" s="699">
        <f t="shared" si="183"/>
        <v>3</v>
      </c>
      <c r="IC11" s="700">
        <f t="shared" ref="IC11" si="184">IA11/(IA11+IB11)*100</f>
        <v>90.625</v>
      </c>
      <c r="ID11" s="698">
        <f t="shared" ref="ID11:IE11" si="185">SUM(ID4:ID10)</f>
        <v>9</v>
      </c>
      <c r="IE11" s="699">
        <f t="shared" si="185"/>
        <v>2</v>
      </c>
      <c r="IF11" s="700">
        <f t="shared" ref="IF11" si="186">ID11/(ID11+IE11)*100</f>
        <v>81.818181818181827</v>
      </c>
      <c r="IG11" s="698">
        <f t="shared" ref="IG11:IH11" si="187">SUM(IG4:IG10)</f>
        <v>11</v>
      </c>
      <c r="IH11" s="699">
        <f t="shared" si="187"/>
        <v>1</v>
      </c>
      <c r="II11" s="700">
        <f t="shared" ref="II11" si="188">IG11/(IG11+IH11)*100</f>
        <v>91.666666666666657</v>
      </c>
      <c r="IJ11" s="698">
        <f t="shared" ref="IJ11:IK11" si="189">SUM(IJ4:IJ10)</f>
        <v>2</v>
      </c>
      <c r="IK11" s="699">
        <f t="shared" si="189"/>
        <v>0</v>
      </c>
      <c r="IL11" s="700">
        <f t="shared" ref="IL11" si="190">IJ11/(IJ11+IK11)*100</f>
        <v>100</v>
      </c>
      <c r="IM11" s="698">
        <f t="shared" ref="IM11:IN11" si="191">SUM(IM4:IM10)</f>
        <v>15</v>
      </c>
      <c r="IN11" s="699">
        <f t="shared" si="191"/>
        <v>6</v>
      </c>
      <c r="IO11" s="700">
        <f t="shared" ref="IO11" si="192">IM11/(IM11+IN11)*100</f>
        <v>71.428571428571431</v>
      </c>
      <c r="IP11" s="698">
        <f t="shared" ref="IP11:IQ11" si="193">SUM(IP4:IP10)</f>
        <v>24</v>
      </c>
      <c r="IQ11" s="699">
        <f t="shared" si="193"/>
        <v>2</v>
      </c>
      <c r="IR11" s="700">
        <f t="shared" ref="IR11" si="194">IP11/(IP11+IQ11)*100</f>
        <v>92.307692307692307</v>
      </c>
      <c r="IS11" s="698">
        <f t="shared" ref="IS11:IT11" si="195">SUM(IS4:IS10)</f>
        <v>14</v>
      </c>
      <c r="IT11" s="699">
        <f t="shared" si="195"/>
        <v>3</v>
      </c>
      <c r="IU11" s="700">
        <f t="shared" ref="IU11" si="196">IS11/(IS11+IT11)*100</f>
        <v>82.35294117647058</v>
      </c>
      <c r="IV11" s="698">
        <f t="shared" ref="IV11:IW11" si="197">SUM(IV4:IV10)</f>
        <v>13</v>
      </c>
      <c r="IW11" s="699">
        <f t="shared" si="197"/>
        <v>6</v>
      </c>
      <c r="IX11" s="700">
        <f t="shared" ref="IX11" si="198">IV11/(IV11+IW11)*100</f>
        <v>68.421052631578945</v>
      </c>
      <c r="IY11" s="698">
        <f t="shared" ref="IY11:IZ11" si="199">SUM(IY4:IY10)</f>
        <v>26</v>
      </c>
      <c r="IZ11" s="699">
        <f t="shared" si="199"/>
        <v>7</v>
      </c>
      <c r="JA11" s="700">
        <f t="shared" ref="JA11" si="200">IY11/(IY11+IZ11)*100</f>
        <v>78.787878787878782</v>
      </c>
      <c r="JB11" s="698">
        <f t="shared" ref="JB11:JC11" si="201">SUM(JB4:JB10)</f>
        <v>20</v>
      </c>
      <c r="JC11" s="699">
        <f t="shared" si="201"/>
        <v>1</v>
      </c>
      <c r="JD11" s="700">
        <f t="shared" ref="JD11" si="202">JB11/(JB11+JC11)*100</f>
        <v>95.238095238095227</v>
      </c>
      <c r="JE11" s="698">
        <f t="shared" ref="JE11:JF11" si="203">SUM(JE4:JE10)</f>
        <v>23</v>
      </c>
      <c r="JF11" s="699">
        <f t="shared" si="203"/>
        <v>3</v>
      </c>
      <c r="JG11" s="700">
        <f t="shared" ref="JG11" si="204">JE11/(JE11+JF11)*100</f>
        <v>88.461538461538453</v>
      </c>
      <c r="JH11" s="698">
        <f t="shared" ref="JH11:JI11" si="205">SUM(JH4:JH10)</f>
        <v>42</v>
      </c>
      <c r="JI11" s="699">
        <f t="shared" si="205"/>
        <v>3</v>
      </c>
      <c r="JJ11" s="700">
        <f t="shared" ref="JJ11" si="206">JH11/(JH11+JI11)*100</f>
        <v>93.333333333333329</v>
      </c>
      <c r="JK11" s="698">
        <f t="shared" ref="JK11:JL11" si="207">SUM(JK4:JK10)</f>
        <v>15</v>
      </c>
      <c r="JL11" s="699">
        <f t="shared" si="207"/>
        <v>4</v>
      </c>
      <c r="JM11" s="700">
        <f t="shared" ref="JM11" si="208">JK11/(JK11+JL11)*100</f>
        <v>78.94736842105263</v>
      </c>
      <c r="JN11" s="698">
        <f t="shared" ref="JN11:JO11" si="209">SUM(JN4:JN10)</f>
        <v>2211</v>
      </c>
      <c r="JO11" s="699">
        <f t="shared" si="209"/>
        <v>2918</v>
      </c>
      <c r="JP11" s="700">
        <f t="shared" ref="JP11" si="210">JN11/(JN11+JO11)*100</f>
        <v>43.107818288165333</v>
      </c>
      <c r="JQ11" s="698">
        <f t="shared" ref="JQ11:JR11" si="211">SUM(JQ4:JQ10)</f>
        <v>1812</v>
      </c>
      <c r="JR11" s="699">
        <f t="shared" si="211"/>
        <v>2721</v>
      </c>
      <c r="JS11" s="700">
        <f t="shared" ref="JS11" si="212">JQ11/(JQ11+JR11)*100</f>
        <v>39.973527465254797</v>
      </c>
      <c r="JT11" s="698">
        <f t="shared" ref="JT11:JU11" si="213">SUM(JT4:JT10)</f>
        <v>1714</v>
      </c>
      <c r="JU11" s="699">
        <f t="shared" si="213"/>
        <v>2448</v>
      </c>
      <c r="JV11" s="700">
        <f t="shared" ref="JV11" si="214">JT11/(JT11+JU11)*100</f>
        <v>41.182123978856318</v>
      </c>
      <c r="JW11" s="698">
        <f t="shared" ref="JW11:JX11" si="215">SUM(JW4:JW10)</f>
        <v>1597</v>
      </c>
      <c r="JX11" s="699">
        <f t="shared" si="215"/>
        <v>1840</v>
      </c>
      <c r="JY11" s="700">
        <f t="shared" ref="JY11" si="216">JW11/(JW11+JX11)*100</f>
        <v>46.464940354960724</v>
      </c>
      <c r="JZ11" s="698">
        <f t="shared" ref="JZ11:KA11" si="217">SUM(JZ4:JZ10)</f>
        <v>1544</v>
      </c>
      <c r="KA11" s="699">
        <f t="shared" si="217"/>
        <v>1820</v>
      </c>
      <c r="KB11" s="700">
        <f t="shared" ref="KB11" si="218">JZ11/(JZ11+KA11)*100</f>
        <v>45.897740784780019</v>
      </c>
      <c r="KC11" s="698">
        <f t="shared" ref="KC11:KD11" si="219">SUM(KC4:KC10)</f>
        <v>1436</v>
      </c>
      <c r="KD11" s="699">
        <f t="shared" si="219"/>
        <v>1366</v>
      </c>
      <c r="KE11" s="700">
        <f t="shared" ref="KE11" si="220">KC11/(KC11+KD11)*100</f>
        <v>51.249107780157033</v>
      </c>
      <c r="KF11" s="698">
        <f t="shared" ref="KF11:KG11" si="221">SUM(KF4:KF10)</f>
        <v>1203</v>
      </c>
      <c r="KG11" s="699">
        <f t="shared" si="221"/>
        <v>1049</v>
      </c>
      <c r="KH11" s="700">
        <f t="shared" ref="KH11" si="222">KF11/(KF11+KG11)*100</f>
        <v>53.419182948490231</v>
      </c>
      <c r="KI11" s="698">
        <f t="shared" ref="KI11:KJ11" si="223">SUM(KI4:KI10)</f>
        <v>1254</v>
      </c>
      <c r="KJ11" s="699">
        <f t="shared" si="223"/>
        <v>962</v>
      </c>
      <c r="KK11" s="700">
        <f t="shared" ref="KK11" si="224">KI11/(KI11+KJ11)*100</f>
        <v>56.588447653429611</v>
      </c>
      <c r="KL11" s="698">
        <f t="shared" ref="KL11:KM11" si="225">SUM(KL4:KL10)</f>
        <v>892</v>
      </c>
      <c r="KM11" s="699">
        <f t="shared" si="225"/>
        <v>645</v>
      </c>
      <c r="KN11" s="700">
        <f t="shared" ref="KN11" si="226">KL11/(KL11+KM11)*100</f>
        <v>58.035133376707869</v>
      </c>
      <c r="KO11" s="698">
        <f t="shared" ref="KO11:KP11" si="227">SUM(KO4:KO10)</f>
        <v>823</v>
      </c>
      <c r="KP11" s="699">
        <f t="shared" si="227"/>
        <v>774</v>
      </c>
      <c r="KQ11" s="700">
        <f t="shared" ref="KQ11" si="228">KO11/(KO11+KP11)*100</f>
        <v>51.534126487163434</v>
      </c>
      <c r="KR11" s="698">
        <f t="shared" ref="KR11:KS11" si="229">SUM(KR4:KR10)</f>
        <v>635</v>
      </c>
      <c r="KS11" s="699">
        <f t="shared" si="229"/>
        <v>766</v>
      </c>
      <c r="KT11" s="700">
        <f t="shared" ref="KT11" si="230">KR11/(KR11+KS11)*100</f>
        <v>45.324768022840829</v>
      </c>
      <c r="KU11" s="698">
        <f t="shared" ref="KU11:KV11" si="231">SUM(KU4:KU10)</f>
        <v>585</v>
      </c>
      <c r="KV11" s="699">
        <f t="shared" si="231"/>
        <v>757</v>
      </c>
      <c r="KW11" s="700">
        <f t="shared" ref="KW11" si="232">KU11/(KU11+KV11)*100</f>
        <v>43.591654247391951</v>
      </c>
      <c r="KX11" s="698">
        <f t="shared" ref="KX11:KY11" si="233">SUM(KX4:KX10)</f>
        <v>470</v>
      </c>
      <c r="KY11" s="699">
        <f t="shared" si="233"/>
        <v>455</v>
      </c>
      <c r="KZ11" s="700">
        <f t="shared" ref="KZ11" si="234">KX11/(KX11+KY11)*100</f>
        <v>50.810810810810814</v>
      </c>
      <c r="LA11" s="698">
        <f t="shared" ref="LA11:LB11" si="235">SUM(LA4:LA10)</f>
        <v>348</v>
      </c>
      <c r="LB11" s="699">
        <f t="shared" si="235"/>
        <v>269</v>
      </c>
      <c r="LC11" s="700">
        <f t="shared" ref="LC11" si="236">LA11/(LA11+LB11)*100</f>
        <v>56.401944894651535</v>
      </c>
      <c r="LD11" s="698">
        <f t="shared" ref="LD11:LE11" si="237">SUM(LD4:LD10)</f>
        <v>369</v>
      </c>
      <c r="LE11" s="699">
        <f t="shared" si="237"/>
        <v>218</v>
      </c>
      <c r="LF11" s="700">
        <f t="shared" ref="LF11" si="238">LD11/(LD11+LE11)*100</f>
        <v>62.862010221465084</v>
      </c>
      <c r="LG11" s="698">
        <f t="shared" ref="LG11:LH11" si="239">SUM(LG4:LG10)</f>
        <v>363</v>
      </c>
      <c r="LH11" s="699">
        <f t="shared" si="239"/>
        <v>160</v>
      </c>
      <c r="LI11" s="700">
        <f t="shared" ref="LI11" si="240">LG11/(LG11+LH11)*100</f>
        <v>69.407265774378587</v>
      </c>
      <c r="LJ11" s="698">
        <f t="shared" ref="LJ11:LK11" si="241">SUM(LJ4:LJ10)</f>
        <v>416</v>
      </c>
      <c r="LK11" s="699">
        <f t="shared" si="241"/>
        <v>84</v>
      </c>
      <c r="LL11" s="700">
        <f t="shared" ref="LL11" si="242">LJ11/(LJ11+LK11)*100</f>
        <v>83.2</v>
      </c>
      <c r="LM11" s="698">
        <f t="shared" ref="LM11:LN11" si="243">SUM(LM4:LM10)</f>
        <v>338</v>
      </c>
      <c r="LN11" s="699">
        <f t="shared" si="243"/>
        <v>197</v>
      </c>
      <c r="LO11" s="700">
        <f t="shared" ref="LO11" si="244">LM11/(LM11+LN11)*100</f>
        <v>63.177570093457945</v>
      </c>
      <c r="LP11" s="698">
        <f t="shared" ref="LP11:LQ11" si="245">SUM(LP4:LP10)</f>
        <v>8</v>
      </c>
      <c r="LQ11" s="699">
        <f t="shared" si="245"/>
        <v>13</v>
      </c>
      <c r="LR11" s="700">
        <f t="shared" ref="LR11" si="246">LP11/(LP11+LQ11)*100</f>
        <v>38.095238095238095</v>
      </c>
      <c r="LS11" s="698">
        <f t="shared" ref="LS11:LT11" si="247">SUM(LS4:LS10)</f>
        <v>4</v>
      </c>
      <c r="LT11" s="699">
        <f t="shared" si="247"/>
        <v>17</v>
      </c>
      <c r="LU11" s="700">
        <f t="shared" ref="LU11" si="248">LS11/(LS11+LT11)*100</f>
        <v>19.047619047619047</v>
      </c>
      <c r="LV11" s="698">
        <f t="shared" ref="LV11:LW11" si="249">SUM(LV4:LV10)</f>
        <v>5</v>
      </c>
      <c r="LW11" s="699">
        <f t="shared" si="249"/>
        <v>19</v>
      </c>
      <c r="LX11" s="700">
        <f t="shared" ref="LX11" si="250">LV11/(LV11+LW11)*100</f>
        <v>20.833333333333336</v>
      </c>
      <c r="LY11" s="698">
        <f t="shared" ref="LY11:LZ11" si="251">SUM(LY4:LY10)</f>
        <v>7</v>
      </c>
      <c r="LZ11" s="699">
        <f t="shared" si="251"/>
        <v>8</v>
      </c>
      <c r="MA11" s="700">
        <f t="shared" ref="MA11" si="252">LY11/(LY11+LZ11)*100</f>
        <v>46.666666666666664</v>
      </c>
      <c r="MB11" s="698">
        <f t="shared" ref="MB11:MC11" si="253">SUM(MB4:MB10)</f>
        <v>6</v>
      </c>
      <c r="MC11" s="699">
        <f t="shared" si="253"/>
        <v>10</v>
      </c>
      <c r="MD11" s="700">
        <f t="shared" ref="MD11" si="254">MB11/(MB11+MC11)*100</f>
        <v>37.5</v>
      </c>
      <c r="ME11" s="698">
        <f t="shared" ref="ME11:MF11" si="255">SUM(ME4:ME10)</f>
        <v>16</v>
      </c>
      <c r="MF11" s="699">
        <f t="shared" si="255"/>
        <v>6</v>
      </c>
      <c r="MG11" s="700">
        <f t="shared" ref="MG11" si="256">ME11/(ME11+MF11)*100</f>
        <v>72.727272727272734</v>
      </c>
      <c r="MH11" s="698">
        <f t="shared" ref="MH11:MI11" si="257">SUM(MH4:MH10)</f>
        <v>10</v>
      </c>
      <c r="MI11" s="699">
        <f t="shared" si="257"/>
        <v>6</v>
      </c>
      <c r="MJ11" s="700">
        <f t="shared" ref="MJ11" si="258">MH11/(MH11+MI11)*100</f>
        <v>62.5</v>
      </c>
      <c r="MK11" s="698">
        <f t="shared" ref="MK11:ML11" si="259">SUM(MK4:MK10)</f>
        <v>6</v>
      </c>
      <c r="ML11" s="699">
        <f t="shared" si="259"/>
        <v>2</v>
      </c>
      <c r="MM11" s="700">
        <f t="shared" ref="MM11" si="260">MK11/(MK11+ML11)*100</f>
        <v>75</v>
      </c>
      <c r="MN11" s="698">
        <f t="shared" ref="MN11:MO11" si="261">SUM(MN4:MN10)</f>
        <v>4</v>
      </c>
      <c r="MO11" s="699">
        <f t="shared" si="261"/>
        <v>1</v>
      </c>
      <c r="MP11" s="700">
        <f t="shared" ref="MP11" si="262">MN11/(MN11+MO11)*100</f>
        <v>80</v>
      </c>
      <c r="MQ11" s="698">
        <f t="shared" ref="MQ11:MR11" si="263">SUM(MQ4:MQ10)</f>
        <v>1</v>
      </c>
      <c r="MR11" s="699">
        <f t="shared" si="263"/>
        <v>4</v>
      </c>
      <c r="MS11" s="700">
        <f t="shared" ref="MS11" si="264">MQ11/(MQ11+MR11)*100</f>
        <v>20</v>
      </c>
      <c r="MT11" s="698">
        <f t="shared" ref="MT11:MU11" si="265">SUM(MT4:MT10)</f>
        <v>6</v>
      </c>
      <c r="MU11" s="699">
        <f t="shared" si="265"/>
        <v>15</v>
      </c>
      <c r="MV11" s="700">
        <f t="shared" ref="MV11" si="266">MT11/(MT11+MU11)*100</f>
        <v>28.571428571428569</v>
      </c>
      <c r="MW11" s="698">
        <f t="shared" ref="MW11:MX11" si="267">SUM(MW4:MW10)</f>
        <v>3</v>
      </c>
      <c r="MX11" s="699">
        <f t="shared" si="267"/>
        <v>5</v>
      </c>
      <c r="MY11" s="700">
        <f t="shared" ref="MY11" si="268">MW11/(MW11+MX11)*100</f>
        <v>37.5</v>
      </c>
      <c r="MZ11" s="698">
        <f t="shared" ref="MZ11:NA11" si="269">SUM(MZ4:MZ10)</f>
        <v>4</v>
      </c>
      <c r="NA11" s="699">
        <f t="shared" si="269"/>
        <v>5</v>
      </c>
      <c r="NB11" s="700">
        <f t="shared" ref="NB11" si="270">MZ11/(MZ11+NA11)*100</f>
        <v>44.444444444444443</v>
      </c>
      <c r="NC11" s="698">
        <f t="shared" ref="NC11:ND11" si="271">SUM(NC4:NC10)</f>
        <v>4</v>
      </c>
      <c r="ND11" s="699">
        <f t="shared" si="271"/>
        <v>3</v>
      </c>
      <c r="NE11" s="700">
        <f t="shared" ref="NE11" si="272">NC11/(NC11+ND11)*100</f>
        <v>57.142857142857139</v>
      </c>
      <c r="NF11" s="698">
        <f t="shared" ref="NF11:NG11" si="273">SUM(NF4:NF10)</f>
        <v>4</v>
      </c>
      <c r="NG11" s="699">
        <f t="shared" si="273"/>
        <v>2</v>
      </c>
      <c r="NH11" s="700">
        <f t="shared" ref="NH11" si="274">NF11/(NF11+NG11)*100</f>
        <v>66.666666666666657</v>
      </c>
      <c r="NI11" s="698">
        <f t="shared" ref="NI11:NJ11" si="275">SUM(NI4:NI10)</f>
        <v>5</v>
      </c>
      <c r="NJ11" s="699">
        <f t="shared" si="275"/>
        <v>1</v>
      </c>
      <c r="NK11" s="700">
        <f t="shared" ref="NK11" si="276">NI11/(NI11+NJ11)*100</f>
        <v>83.333333333333343</v>
      </c>
      <c r="NL11" s="698">
        <f t="shared" ref="NL11:NM11" si="277">SUM(NL4:NL10)</f>
        <v>6</v>
      </c>
      <c r="NM11" s="699">
        <f t="shared" si="277"/>
        <v>1</v>
      </c>
      <c r="NN11" s="700">
        <f t="shared" ref="NN11" si="278">NL11/(NL11+NM11)*100</f>
        <v>85.714285714285708</v>
      </c>
      <c r="NO11" s="698">
        <f t="shared" ref="NO11:NP11" si="279">SUM(NO4:NO10)</f>
        <v>7</v>
      </c>
      <c r="NP11" s="699">
        <f t="shared" si="279"/>
        <v>1</v>
      </c>
      <c r="NQ11" s="700">
        <f t="shared" ref="NQ11" si="280">NO11/(NO11+NP11)*100</f>
        <v>87.5</v>
      </c>
      <c r="NR11" s="698">
        <f t="shared" ref="NR11:NS11" si="281">SUM(NR4:NR10)</f>
        <v>1310</v>
      </c>
      <c r="NS11" s="699">
        <f t="shared" si="281"/>
        <v>882</v>
      </c>
      <c r="NT11" s="700">
        <f t="shared" ref="NT11" si="282">NR11/(NR11+NS11)*100</f>
        <v>59.762773722627735</v>
      </c>
      <c r="NU11" s="698">
        <f t="shared" ref="NU11:NV11" si="283">SUM(NU4:NU10)</f>
        <v>1140</v>
      </c>
      <c r="NV11" s="699">
        <f t="shared" si="283"/>
        <v>890</v>
      </c>
      <c r="NW11" s="700">
        <f t="shared" ref="NW11" si="284">NU11/(NU11+NV11)*100</f>
        <v>56.157635467980292</v>
      </c>
      <c r="NX11" s="698">
        <f t="shared" ref="NX11:NY11" si="285">SUM(NX4:NX10)</f>
        <v>982</v>
      </c>
      <c r="NY11" s="699">
        <f t="shared" si="285"/>
        <v>922</v>
      </c>
      <c r="NZ11" s="700">
        <f t="shared" ref="NZ11" si="286">NX11/(NX11+NY11)*100</f>
        <v>51.575630252100844</v>
      </c>
      <c r="OA11" s="698">
        <f t="shared" ref="OA11:OB11" si="287">SUM(OA4:OA10)</f>
        <v>1024</v>
      </c>
      <c r="OB11" s="699">
        <f t="shared" si="287"/>
        <v>570</v>
      </c>
      <c r="OC11" s="700">
        <f t="shared" ref="OC11" si="288">OA11/(OA11+OB11)*100</f>
        <v>64.240903387703881</v>
      </c>
      <c r="OD11" s="698">
        <f t="shared" ref="OD11:OE11" si="289">SUM(OD4:OD10)</f>
        <v>877</v>
      </c>
      <c r="OE11" s="699">
        <f t="shared" si="289"/>
        <v>337</v>
      </c>
      <c r="OF11" s="700">
        <f t="shared" ref="OF11" si="290">OD11/(OD11+OE11)*100</f>
        <v>72.240527182866558</v>
      </c>
      <c r="OG11" s="698">
        <f t="shared" ref="OG11:OH11" si="291">SUM(OG4:OG10)</f>
        <v>889</v>
      </c>
      <c r="OH11" s="699">
        <f t="shared" si="291"/>
        <v>279</v>
      </c>
      <c r="OI11" s="700">
        <f t="shared" ref="OI11" si="292">OG11/(OG11+OH11)*100</f>
        <v>76.113013698630141</v>
      </c>
      <c r="OJ11" s="698">
        <f t="shared" ref="OJ11:OK11" si="293">SUM(OJ4:OJ10)</f>
        <v>872</v>
      </c>
      <c r="OK11" s="699">
        <f t="shared" si="293"/>
        <v>212</v>
      </c>
      <c r="OL11" s="700">
        <f t="shared" ref="OL11" si="294">OJ11/(OJ11+OK11)*100</f>
        <v>80.442804428044283</v>
      </c>
      <c r="OM11" s="698">
        <f t="shared" ref="OM11:ON11" si="295">SUM(OM4:OM10)</f>
        <v>1025</v>
      </c>
      <c r="ON11" s="699">
        <f t="shared" si="295"/>
        <v>170</v>
      </c>
      <c r="OO11" s="700">
        <f t="shared" ref="OO11" si="296">OM11/(OM11+ON11)*100</f>
        <v>85.774058577405853</v>
      </c>
      <c r="OP11" s="698">
        <f t="shared" ref="OP11:OQ11" si="297">SUM(OP4:OP10)</f>
        <v>937</v>
      </c>
      <c r="OQ11" s="699">
        <f t="shared" si="297"/>
        <v>257</v>
      </c>
      <c r="OR11" s="700">
        <f t="shared" ref="OR11" si="298">OP11/(OP11+OQ11)*100</f>
        <v>78.475711892797321</v>
      </c>
      <c r="OS11" s="698">
        <f t="shared" ref="OS11:OT11" si="299">SUM(OS4:OS10)</f>
        <v>4411</v>
      </c>
      <c r="OT11" s="699">
        <f t="shared" si="299"/>
        <v>3698</v>
      </c>
      <c r="OU11" s="700">
        <f t="shared" ref="OU11" si="300">OS11/(OS11+OT11)*100</f>
        <v>54.396349734862504</v>
      </c>
      <c r="OV11" s="698">
        <f t="shared" ref="OV11:OW11" si="301">SUM(OV4:OV10)</f>
        <v>4052</v>
      </c>
      <c r="OW11" s="699">
        <f t="shared" si="301"/>
        <v>4503</v>
      </c>
      <c r="OX11" s="700">
        <f t="shared" ref="OX11" si="302">OV11/(OV11+OW11)*100</f>
        <v>47.364114552893042</v>
      </c>
      <c r="OY11" s="698">
        <f t="shared" ref="OY11:OZ11" si="303">SUM(OY4:OY10)</f>
        <v>3460</v>
      </c>
      <c r="OZ11" s="699">
        <f t="shared" si="303"/>
        <v>4046</v>
      </c>
      <c r="PA11" s="700">
        <f t="shared" ref="PA11" si="304">OY11/(OY11+OZ11)*100</f>
        <v>46.096456168398618</v>
      </c>
      <c r="PB11" s="698">
        <f t="shared" ref="PB11:PC11" si="305">SUM(PB4:PB10)</f>
        <v>3558</v>
      </c>
      <c r="PC11" s="699">
        <f t="shared" si="305"/>
        <v>2468</v>
      </c>
      <c r="PD11" s="700">
        <f t="shared" ref="PD11" si="306">PB11/(PB11+PC11)*100</f>
        <v>59.044142051111848</v>
      </c>
      <c r="PE11" s="698">
        <f t="shared" ref="PE11:PF11" si="307">SUM(PE4:PE10)</f>
        <v>3378</v>
      </c>
      <c r="PF11" s="699">
        <f t="shared" si="307"/>
        <v>2335</v>
      </c>
      <c r="PG11" s="700">
        <f t="shared" ref="PG11" si="308">PE11/(PE11+PF11)*100</f>
        <v>59.128303868370381</v>
      </c>
      <c r="PH11" s="698">
        <f t="shared" ref="PH11:PI11" si="309">SUM(PH4:PH10)</f>
        <v>3836</v>
      </c>
      <c r="PI11" s="699">
        <f t="shared" si="309"/>
        <v>1761</v>
      </c>
      <c r="PJ11" s="700">
        <f t="shared" ref="PJ11" si="310">PH11/(PH11+PI11)*100</f>
        <v>68.53671609790959</v>
      </c>
      <c r="PK11" s="698">
        <f t="shared" ref="PK11:PL11" si="311">SUM(PK4:PK10)</f>
        <v>3115</v>
      </c>
      <c r="PL11" s="699">
        <f t="shared" si="311"/>
        <v>1499</v>
      </c>
      <c r="PM11" s="700">
        <f t="shared" ref="PM11" si="312">PK11/(PK11+PL11)*100</f>
        <v>67.511920242739492</v>
      </c>
      <c r="PN11" s="698">
        <f t="shared" ref="PN11:PO11" si="313">SUM(PN4:PN10)</f>
        <v>3463</v>
      </c>
      <c r="PO11" s="699">
        <f t="shared" si="313"/>
        <v>1400</v>
      </c>
      <c r="PP11" s="700">
        <f t="shared" ref="PP11" si="314">PN11/(PN11+PO11)*100</f>
        <v>71.211186510384536</v>
      </c>
      <c r="PQ11" s="698">
        <f t="shared" ref="PQ11:PR11" si="315">SUM(PQ4:PQ10)</f>
        <v>3138</v>
      </c>
      <c r="PR11" s="699">
        <f t="shared" si="315"/>
        <v>1065</v>
      </c>
      <c r="PS11" s="700">
        <f t="shared" ref="PS11" si="316">PQ11/(PQ11+PR11)*100</f>
        <v>74.660956459671667</v>
      </c>
      <c r="PT11" s="684">
        <f t="shared" si="0"/>
        <v>3111</v>
      </c>
      <c r="PU11" s="348">
        <f t="shared" si="0"/>
        <v>4764</v>
      </c>
      <c r="PV11" s="680">
        <f t="shared" si="1"/>
        <v>39.504761904761907</v>
      </c>
      <c r="PW11" s="684">
        <f t="shared" si="2"/>
        <v>29</v>
      </c>
      <c r="PX11" s="348">
        <f t="shared" si="2"/>
        <v>11</v>
      </c>
      <c r="PY11" s="680">
        <f t="shared" si="3"/>
        <v>72.5</v>
      </c>
      <c r="PZ11" s="684">
        <f t="shared" si="4"/>
        <v>65</v>
      </c>
      <c r="QA11" s="348">
        <f t="shared" si="4"/>
        <v>105</v>
      </c>
      <c r="QB11" s="680">
        <f t="shared" si="5"/>
        <v>38.235294117647058</v>
      </c>
      <c r="QC11" s="684">
        <f t="shared" si="6"/>
        <v>381</v>
      </c>
      <c r="QD11" s="348">
        <f t="shared" si="6"/>
        <v>650</v>
      </c>
      <c r="QE11" s="680">
        <f t="shared" si="7"/>
        <v>36.954413191076625</v>
      </c>
      <c r="QF11" s="684">
        <f t="shared" si="8"/>
        <v>37</v>
      </c>
      <c r="QG11" s="348">
        <f t="shared" si="8"/>
        <v>12</v>
      </c>
      <c r="QH11" s="680">
        <f t="shared" si="9"/>
        <v>75.510204081632651</v>
      </c>
      <c r="QI11" s="684">
        <f t="shared" si="10"/>
        <v>65</v>
      </c>
      <c r="QJ11" s="348">
        <f t="shared" si="10"/>
        <v>13</v>
      </c>
      <c r="QK11" s="680">
        <f t="shared" si="11"/>
        <v>83.333333333333343</v>
      </c>
      <c r="QL11" s="684">
        <f t="shared" si="12"/>
        <v>39</v>
      </c>
      <c r="QM11" s="348">
        <f t="shared" si="12"/>
        <v>17</v>
      </c>
      <c r="QN11" s="680">
        <f t="shared" si="13"/>
        <v>69.642857142857139</v>
      </c>
      <c r="QO11" s="684">
        <f t="shared" si="14"/>
        <v>221</v>
      </c>
      <c r="QP11" s="348">
        <f t="shared" si="14"/>
        <v>473</v>
      </c>
      <c r="QQ11" s="680">
        <f t="shared" si="15"/>
        <v>31.84438040345821</v>
      </c>
      <c r="QR11" s="684">
        <f t="shared" si="16"/>
        <v>79</v>
      </c>
      <c r="QS11" s="348">
        <f t="shared" si="16"/>
        <v>11</v>
      </c>
      <c r="QT11" s="680">
        <f t="shared" si="17"/>
        <v>87.777777777777771</v>
      </c>
      <c r="QU11" s="684">
        <f t="shared" si="18"/>
        <v>126</v>
      </c>
      <c r="QV11" s="348">
        <f t="shared" si="18"/>
        <v>18</v>
      </c>
      <c r="QW11" s="680">
        <f t="shared" si="19"/>
        <v>87.5</v>
      </c>
      <c r="QX11" s="684">
        <f t="shared" si="20"/>
        <v>6329</v>
      </c>
      <c r="QY11" s="348">
        <f t="shared" si="20"/>
        <v>5842</v>
      </c>
      <c r="QZ11" s="680">
        <f t="shared" si="21"/>
        <v>52.000657300139672</v>
      </c>
      <c r="RA11" s="684">
        <f t="shared" si="22"/>
        <v>1834</v>
      </c>
      <c r="RB11" s="348">
        <f t="shared" si="22"/>
        <v>928</v>
      </c>
      <c r="RC11" s="680">
        <f t="shared" si="23"/>
        <v>66.401158580738596</v>
      </c>
      <c r="RD11" s="684">
        <f t="shared" si="24"/>
        <v>42</v>
      </c>
      <c r="RE11" s="348">
        <f t="shared" si="24"/>
        <v>25</v>
      </c>
      <c r="RF11" s="680">
        <f t="shared" si="25"/>
        <v>62.68656716417911</v>
      </c>
      <c r="RG11" s="684">
        <f t="shared" si="26"/>
        <v>26</v>
      </c>
      <c r="RH11" s="348">
        <f t="shared" si="26"/>
        <v>8</v>
      </c>
      <c r="RI11" s="680">
        <f t="shared" si="27"/>
        <v>76.470588235294116</v>
      </c>
      <c r="RJ11" s="684">
        <f t="shared" si="28"/>
        <v>4600</v>
      </c>
      <c r="RK11" s="348">
        <f t="shared" si="28"/>
        <v>1255</v>
      </c>
      <c r="RL11" s="680">
        <f t="shared" si="29"/>
        <v>78.565328778821524</v>
      </c>
      <c r="RM11" s="684">
        <f t="shared" si="30"/>
        <v>16930</v>
      </c>
      <c r="RN11" s="348">
        <f t="shared" si="30"/>
        <v>8060</v>
      </c>
      <c r="RO11" s="680">
        <f t="shared" si="31"/>
        <v>67.747098839535809</v>
      </c>
    </row>
  </sheetData>
  <autoFilter ref="A3:PU201"/>
  <mergeCells count="179">
    <mergeCell ref="A4:A11"/>
    <mergeCell ref="OM2:OO2"/>
    <mergeCell ref="PN2:PP2"/>
    <mergeCell ref="Y2:AA2"/>
    <mergeCell ref="AZ2:BB2"/>
    <mergeCell ref="CA2:CC2"/>
    <mergeCell ref="DB2:DD2"/>
    <mergeCell ref="EC2:EE2"/>
    <mergeCell ref="FD2:FF2"/>
    <mergeCell ref="GE2:GG2"/>
    <mergeCell ref="HF2:HH2"/>
    <mergeCell ref="IG2:II2"/>
    <mergeCell ref="OJ2:OL2"/>
    <mergeCell ref="PK2:PM2"/>
    <mergeCell ref="BX2:BZ2"/>
    <mergeCell ref="CY2:DA2"/>
    <mergeCell ref="DZ2:EB2"/>
    <mergeCell ref="FA2:FC2"/>
    <mergeCell ref="GB2:GD2"/>
    <mergeCell ref="HC2:HE2"/>
    <mergeCell ref="ID2:IF2"/>
    <mergeCell ref="JE2:JG2"/>
    <mergeCell ref="KF2:KH2"/>
    <mergeCell ref="MW2:MY2"/>
    <mergeCell ref="MZ2:NB2"/>
    <mergeCell ref="NC2:NE2"/>
    <mergeCell ref="NF2:NH2"/>
    <mergeCell ref="NO2:NQ2"/>
    <mergeCell ref="NR2:NT2"/>
    <mergeCell ref="LY2:MA2"/>
    <mergeCell ref="MB2:MD2"/>
    <mergeCell ref="ME2:MG2"/>
    <mergeCell ref="MN2:MP2"/>
    <mergeCell ref="MQ2:MS2"/>
    <mergeCell ref="MT2:MV2"/>
    <mergeCell ref="MH2:MJ2"/>
    <mergeCell ref="NI2:NK2"/>
    <mergeCell ref="MK2:MM2"/>
    <mergeCell ref="NL2:NN2"/>
    <mergeCell ref="PQ2:PS2"/>
    <mergeCell ref="OS2:OU2"/>
    <mergeCell ref="OV2:OX2"/>
    <mergeCell ref="OY2:PA2"/>
    <mergeCell ref="PB2:PD2"/>
    <mergeCell ref="PE2:PG2"/>
    <mergeCell ref="PH2:PJ2"/>
    <mergeCell ref="NU2:NW2"/>
    <mergeCell ref="NX2:NZ2"/>
    <mergeCell ref="OA2:OC2"/>
    <mergeCell ref="OD2:OF2"/>
    <mergeCell ref="OG2:OI2"/>
    <mergeCell ref="OP2:OR2"/>
    <mergeCell ref="LA2:LC2"/>
    <mergeCell ref="LD2:LF2"/>
    <mergeCell ref="LM2:LO2"/>
    <mergeCell ref="LP2:LR2"/>
    <mergeCell ref="LS2:LU2"/>
    <mergeCell ref="LV2:LX2"/>
    <mergeCell ref="KC2:KE2"/>
    <mergeCell ref="KL2:KN2"/>
    <mergeCell ref="KO2:KQ2"/>
    <mergeCell ref="KR2:KT2"/>
    <mergeCell ref="KU2:KW2"/>
    <mergeCell ref="KX2:KZ2"/>
    <mergeCell ref="LG2:LI2"/>
    <mergeCell ref="KI2:KK2"/>
    <mergeCell ref="LJ2:LL2"/>
    <mergeCell ref="JK2:JM2"/>
    <mergeCell ref="JN2:JP2"/>
    <mergeCell ref="JQ2:JS2"/>
    <mergeCell ref="JT2:JV2"/>
    <mergeCell ref="JW2:JY2"/>
    <mergeCell ref="JZ2:KB2"/>
    <mergeCell ref="IS2:IU2"/>
    <mergeCell ref="IV2:IX2"/>
    <mergeCell ref="IY2:JA2"/>
    <mergeCell ref="JB2:JD2"/>
    <mergeCell ref="JH2:JJ2"/>
    <mergeCell ref="HO2:HQ2"/>
    <mergeCell ref="HR2:HT2"/>
    <mergeCell ref="HU2:HW2"/>
    <mergeCell ref="HX2:HZ2"/>
    <mergeCell ref="IA2:IC2"/>
    <mergeCell ref="IJ2:IL2"/>
    <mergeCell ref="HL2:HN2"/>
    <mergeCell ref="FS2:FU2"/>
    <mergeCell ref="FV2:FX2"/>
    <mergeCell ref="FY2:GA2"/>
    <mergeCell ref="GH2:GJ2"/>
    <mergeCell ref="GK2:GM2"/>
    <mergeCell ref="GN2:GP2"/>
    <mergeCell ref="A1:C3"/>
    <mergeCell ref="D1:AD1"/>
    <mergeCell ref="AE1:BE1"/>
    <mergeCell ref="BF1:CF1"/>
    <mergeCell ref="CG1:DG1"/>
    <mergeCell ref="DH1:EH1"/>
    <mergeCell ref="S2:U2"/>
    <mergeCell ref="AB2:AD2"/>
    <mergeCell ref="AE2:AG2"/>
    <mergeCell ref="AH2:AJ2"/>
    <mergeCell ref="CM2:CO2"/>
    <mergeCell ref="CP2:CR2"/>
    <mergeCell ref="CS2:CU2"/>
    <mergeCell ref="CV2:CX2"/>
    <mergeCell ref="BI2:BK2"/>
    <mergeCell ref="BL2:BN2"/>
    <mergeCell ref="BO2:BQ2"/>
    <mergeCell ref="D2:F2"/>
    <mergeCell ref="G2:I2"/>
    <mergeCell ref="J2:L2"/>
    <mergeCell ref="M2:O2"/>
    <mergeCell ref="P2:R2"/>
    <mergeCell ref="AK2:AM2"/>
    <mergeCell ref="AN2:AP2"/>
    <mergeCell ref="V2:X2"/>
    <mergeCell ref="AW2:AY2"/>
    <mergeCell ref="QU2:QW2"/>
    <mergeCell ref="FM2:FO2"/>
    <mergeCell ref="FP2:FR2"/>
    <mergeCell ref="KO1:LO1"/>
    <mergeCell ref="LP1:MP1"/>
    <mergeCell ref="MQ1:NQ1"/>
    <mergeCell ref="CG2:CI2"/>
    <mergeCell ref="CJ2:CL2"/>
    <mergeCell ref="IM2:IO2"/>
    <mergeCell ref="IP2:IR2"/>
    <mergeCell ref="NR1:OR1"/>
    <mergeCell ref="OS1:PS1"/>
    <mergeCell ref="EI1:FI1"/>
    <mergeCell ref="FJ1:GJ1"/>
    <mergeCell ref="GK1:HK1"/>
    <mergeCell ref="HL1:IL1"/>
    <mergeCell ref="IM1:JM1"/>
    <mergeCell ref="JN1:KN1"/>
    <mergeCell ref="AQ2:AS2"/>
    <mergeCell ref="AT2:AV2"/>
    <mergeCell ref="BC2:BE2"/>
    <mergeCell ref="EU2:EW2"/>
    <mergeCell ref="ER2:ET2"/>
    <mergeCell ref="GQ2:GS2"/>
    <mergeCell ref="GT2:GV2"/>
    <mergeCell ref="GW2:GY2"/>
    <mergeCell ref="GZ2:HB2"/>
    <mergeCell ref="HI2:HK2"/>
    <mergeCell ref="BR2:BT2"/>
    <mergeCell ref="DE2:DG2"/>
    <mergeCell ref="BU2:BW2"/>
    <mergeCell ref="CD2:CF2"/>
    <mergeCell ref="DW2:DY2"/>
    <mergeCell ref="EF2:EH2"/>
    <mergeCell ref="EX2:EZ2"/>
    <mergeCell ref="FG2:FI2"/>
    <mergeCell ref="FJ2:FL2"/>
    <mergeCell ref="BF2:BH2"/>
    <mergeCell ref="DH2:DJ2"/>
    <mergeCell ref="DK2:DM2"/>
    <mergeCell ref="DN2:DP2"/>
    <mergeCell ref="DQ2:DS2"/>
    <mergeCell ref="DT2:DV2"/>
    <mergeCell ref="EI2:EK2"/>
    <mergeCell ref="EL2:EN2"/>
    <mergeCell ref="EO2:EQ2"/>
    <mergeCell ref="RD2:RF2"/>
    <mergeCell ref="RG2:RI2"/>
    <mergeCell ref="RJ2:RL2"/>
    <mergeCell ref="RM2:RO2"/>
    <mergeCell ref="PT1:RO1"/>
    <mergeCell ref="PT2:PV2"/>
    <mergeCell ref="PW2:PY2"/>
    <mergeCell ref="PZ2:QB2"/>
    <mergeCell ref="QC2:QE2"/>
    <mergeCell ref="QF2:QH2"/>
    <mergeCell ref="QI2:QK2"/>
    <mergeCell ref="QL2:QN2"/>
    <mergeCell ref="QO2:QQ2"/>
    <mergeCell ref="QR2:QT2"/>
    <mergeCell ref="QX2:QZ2"/>
    <mergeCell ref="RA2:RC2"/>
  </mergeCells>
  <pageMargins left="0.75" right="0.75" top="1" bottom="1" header="0.5" footer="0.5"/>
  <pageSetup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6">
    <tabColor rgb="FFC00000"/>
  </sheetPr>
  <dimension ref="A1:LO200"/>
  <sheetViews>
    <sheetView workbookViewId="0">
      <pane xSplit="3" ySplit="3" topLeftCell="D4" activePane="bottomRight" state="frozen"/>
      <selection activeCell="G206" sqref="G206"/>
      <selection pane="topRight" activeCell="G206" sqref="G206"/>
      <selection pane="bottomLeft" activeCell="G206" sqref="G206"/>
      <selection pane="bottomRight" activeCell="LD4" sqref="LD4:LL200"/>
    </sheetView>
  </sheetViews>
  <sheetFormatPr defaultColWidth="5" defaultRowHeight="12.75" x14ac:dyDescent="0.2"/>
  <cols>
    <col min="1" max="1" width="38.140625" style="245" bestFit="1" customWidth="1"/>
    <col min="2" max="2" width="38.140625" style="245" hidden="1" customWidth="1"/>
    <col min="3" max="3" width="36.42578125" style="245" customWidth="1"/>
    <col min="4" max="5" width="3.28515625" style="245" bestFit="1" customWidth="1"/>
    <col min="6" max="6" width="5.42578125" style="245" bestFit="1" customWidth="1"/>
    <col min="7" max="8" width="3.28515625" style="317" bestFit="1" customWidth="1"/>
    <col min="9" max="9" width="5.42578125" style="245" bestFit="1" customWidth="1"/>
    <col min="10" max="11" width="3.28515625" style="245" bestFit="1" customWidth="1"/>
    <col min="12" max="12" width="5.42578125" style="245" bestFit="1" customWidth="1"/>
    <col min="13" max="14" width="3.28515625" style="245" bestFit="1" customWidth="1"/>
    <col min="15" max="15" width="5.42578125" style="245" bestFit="1" customWidth="1"/>
    <col min="16" max="17" width="3.28515625" style="245" bestFit="1" customWidth="1"/>
    <col min="18" max="18" width="5.42578125" style="245" customWidth="1"/>
    <col min="19" max="20" width="3.28515625" style="317" bestFit="1" customWidth="1"/>
    <col min="21" max="21" width="5.42578125" style="245" bestFit="1" customWidth="1"/>
    <col min="22" max="23" width="3.28515625" style="245" bestFit="1" customWidth="1"/>
    <col min="24" max="24" width="5.42578125" style="245" bestFit="1" customWidth="1"/>
    <col min="25" max="26" width="3.28515625" style="245" bestFit="1" customWidth="1"/>
    <col min="27" max="27" width="5.42578125" style="245" bestFit="1" customWidth="1"/>
    <col min="28" max="29" width="3.28515625" style="245" bestFit="1" customWidth="1"/>
    <col min="30" max="30" width="5.42578125" style="245" bestFit="1" customWidth="1"/>
    <col min="31" max="32" width="3.28515625" style="317" bestFit="1" customWidth="1"/>
    <col min="33" max="33" width="5.42578125" style="245" bestFit="1" customWidth="1"/>
    <col min="34" max="35" width="3.28515625" style="245" bestFit="1" customWidth="1"/>
    <col min="36" max="36" width="5.42578125" style="245" bestFit="1" customWidth="1"/>
    <col min="37" max="38" width="3.28515625" style="245" bestFit="1" customWidth="1"/>
    <col min="39" max="39" width="5.42578125" style="245" bestFit="1" customWidth="1"/>
    <col min="40" max="41" width="4" style="245" bestFit="1" customWidth="1"/>
    <col min="42" max="42" width="5.42578125" style="245" bestFit="1" customWidth="1"/>
    <col min="43" max="44" width="4" style="317" bestFit="1" customWidth="1"/>
    <col min="45" max="45" width="5.42578125" style="245" bestFit="1" customWidth="1"/>
    <col min="46" max="47" width="4" style="245" bestFit="1" customWidth="1"/>
    <col min="48" max="48" width="5.42578125" style="245" bestFit="1" customWidth="1"/>
    <col min="49" max="49" width="4" style="245" bestFit="1" customWidth="1"/>
    <col min="50" max="50" width="3.28515625" style="245" bestFit="1" customWidth="1"/>
    <col min="51" max="51" width="5.42578125" style="245" bestFit="1" customWidth="1"/>
    <col min="52" max="53" width="4" style="245" bestFit="1" customWidth="1"/>
    <col min="54" max="54" width="5.42578125" style="245" bestFit="1" customWidth="1"/>
    <col min="55" max="56" width="4" style="317" bestFit="1" customWidth="1"/>
    <col min="57" max="57" width="5.42578125" style="245" bestFit="1" customWidth="1"/>
    <col min="58" max="59" width="4" style="245" bestFit="1" customWidth="1"/>
    <col min="60" max="60" width="5.42578125" style="245" bestFit="1" customWidth="1"/>
    <col min="61" max="61" width="4" style="245" bestFit="1" customWidth="1"/>
    <col min="62" max="62" width="3.28515625" style="245" bestFit="1" customWidth="1"/>
    <col min="63" max="63" width="5.42578125" style="245" bestFit="1" customWidth="1"/>
    <col min="64" max="65" width="3.28515625" style="245" customWidth="1"/>
    <col min="66" max="66" width="3.28515625" style="245" bestFit="1" customWidth="1"/>
    <col min="67" max="68" width="3.28515625" style="317" bestFit="1" customWidth="1"/>
    <col min="69" max="69" width="5.42578125" style="245" customWidth="1"/>
    <col min="70" max="71" width="3.28515625" style="245" bestFit="1" customWidth="1"/>
    <col min="72" max="72" width="5.42578125" style="245" customWidth="1"/>
    <col min="73" max="74" width="3.28515625" style="245" customWidth="1"/>
    <col min="75" max="75" width="5.42578125" style="245" bestFit="1" customWidth="1"/>
    <col min="76" max="77" width="3.28515625" style="245" customWidth="1"/>
    <col min="78" max="78" width="5.42578125" style="245" bestFit="1" customWidth="1"/>
    <col min="79" max="80" width="3.28515625" style="317" bestFit="1" customWidth="1"/>
    <col min="81" max="81" width="5.42578125" style="245" bestFit="1" customWidth="1"/>
    <col min="82" max="84" width="3.28515625" style="245" bestFit="1" customWidth="1"/>
    <col min="85" max="86" width="3.28515625" style="245" customWidth="1"/>
    <col min="87" max="87" width="5.42578125" style="245" bestFit="1" customWidth="1"/>
    <col min="88" max="89" width="3.28515625" style="245" customWidth="1"/>
    <col min="90" max="90" width="5.42578125" style="245" bestFit="1" customWidth="1"/>
    <col min="91" max="92" width="3.28515625" style="317" bestFit="1" customWidth="1"/>
    <col min="93" max="93" width="5.42578125" style="245" bestFit="1" customWidth="1"/>
    <col min="94" max="95" width="3.28515625" style="245" bestFit="1" customWidth="1"/>
    <col min="96" max="96" width="5.42578125" style="245" bestFit="1" customWidth="1"/>
    <col min="97" max="98" width="3.28515625" style="245" customWidth="1"/>
    <col min="99" max="99" width="5.42578125" style="245" bestFit="1" customWidth="1"/>
    <col min="100" max="101" width="4" style="245" bestFit="1" customWidth="1"/>
    <col min="102" max="102" width="5.42578125" style="245" bestFit="1" customWidth="1"/>
    <col min="103" max="104" width="4" style="317" bestFit="1" customWidth="1"/>
    <col min="105" max="105" width="5.42578125" style="245" bestFit="1" customWidth="1"/>
    <col min="106" max="107" width="4" style="245" bestFit="1" customWidth="1"/>
    <col min="108" max="108" width="5.42578125" style="245" bestFit="1" customWidth="1"/>
    <col min="109" max="110" width="4" style="245" bestFit="1" customWidth="1"/>
    <col min="111" max="111" width="5.42578125" style="245" bestFit="1" customWidth="1"/>
    <col min="112" max="113" width="3.28515625" style="245" bestFit="1" customWidth="1"/>
    <col min="114" max="114" width="5.42578125" style="245" bestFit="1" customWidth="1"/>
    <col min="115" max="116" width="3.28515625" style="317" bestFit="1" customWidth="1"/>
    <col min="117" max="117" width="5.42578125" style="245" bestFit="1" customWidth="1"/>
    <col min="118" max="119" width="3.28515625" style="245" bestFit="1" customWidth="1"/>
    <col min="120" max="120" width="5.42578125" style="245" bestFit="1" customWidth="1"/>
    <col min="121" max="122" width="3.28515625" style="245" bestFit="1" customWidth="1"/>
    <col min="123" max="123" width="5.42578125" style="245" bestFit="1" customWidth="1"/>
    <col min="124" max="125" width="3.28515625" style="245" bestFit="1" customWidth="1"/>
    <col min="126" max="126" width="5.42578125" style="245" bestFit="1" customWidth="1"/>
    <col min="127" max="128" width="3.28515625" style="317" bestFit="1" customWidth="1"/>
    <col min="129" max="129" width="5.42578125" style="245" bestFit="1" customWidth="1"/>
    <col min="130" max="131" width="3.28515625" style="245" bestFit="1" customWidth="1"/>
    <col min="132" max="132" width="5.42578125" style="245" bestFit="1" customWidth="1"/>
    <col min="133" max="134" width="3.28515625" style="245" bestFit="1" customWidth="1"/>
    <col min="135" max="135" width="5.42578125" style="245" bestFit="1" customWidth="1"/>
    <col min="136" max="136" width="5" style="245" bestFit="1" customWidth="1"/>
    <col min="137" max="137" width="6" style="245" bestFit="1" customWidth="1"/>
    <col min="138" max="138" width="4.85546875" style="245" bestFit="1" customWidth="1"/>
    <col min="139" max="139" width="5" style="317" bestFit="1" customWidth="1"/>
    <col min="140" max="140" width="6" style="317" bestFit="1" customWidth="1"/>
    <col min="141" max="141" width="4.85546875" style="245" customWidth="1"/>
    <col min="142" max="143" width="5" style="245" bestFit="1" customWidth="1"/>
    <col min="144" max="144" width="4.85546875" style="245" customWidth="1"/>
    <col min="145" max="146" width="5" style="245" bestFit="1" customWidth="1"/>
    <col min="147" max="147" width="4.85546875" style="245" bestFit="1" customWidth="1"/>
    <col min="148" max="148" width="3.28515625" style="245" bestFit="1" customWidth="1"/>
    <col min="149" max="149" width="4" style="245" bestFit="1" customWidth="1"/>
    <col min="150" max="150" width="5.42578125" style="245" bestFit="1" customWidth="1"/>
    <col min="151" max="151" width="3.28515625" style="317" bestFit="1" customWidth="1"/>
    <col min="152" max="152" width="4" style="317" bestFit="1" customWidth="1"/>
    <col min="153" max="153" width="5.42578125" style="245" bestFit="1" customWidth="1"/>
    <col min="154" max="154" width="3.28515625" style="245" bestFit="1" customWidth="1"/>
    <col min="155" max="155" width="4" style="245" bestFit="1" customWidth="1"/>
    <col min="156" max="156" width="5.42578125" style="245" bestFit="1" customWidth="1"/>
    <col min="157" max="157" width="3.28515625" style="245" bestFit="1" customWidth="1"/>
    <col min="158" max="158" width="4" style="245" bestFit="1" customWidth="1"/>
    <col min="159" max="159" width="5.42578125" style="245" bestFit="1" customWidth="1"/>
    <col min="160" max="160" width="3.28515625" style="245" bestFit="1" customWidth="1"/>
    <col min="161" max="161" width="4" style="245" bestFit="1" customWidth="1"/>
    <col min="162" max="162" width="4.85546875" style="245" bestFit="1" customWidth="1"/>
    <col min="163" max="164" width="4" style="317" bestFit="1" customWidth="1"/>
    <col min="165" max="165" width="4.85546875" style="245" customWidth="1"/>
    <col min="166" max="166" width="3.28515625" style="245" bestFit="1" customWidth="1"/>
    <col min="167" max="167" width="4" style="245" bestFit="1" customWidth="1"/>
    <col min="168" max="168" width="4.85546875" style="245" customWidth="1"/>
    <col min="169" max="169" width="3.28515625" style="245" bestFit="1" customWidth="1"/>
    <col min="170" max="170" width="4" style="245" bestFit="1" customWidth="1"/>
    <col min="171" max="171" width="5.42578125" style="245" bestFit="1" customWidth="1"/>
    <col min="172" max="172" width="4" style="245" bestFit="1" customWidth="1"/>
    <col min="173" max="173" width="5" style="245" bestFit="1" customWidth="1"/>
    <col min="174" max="174" width="4.85546875" style="245" bestFit="1" customWidth="1"/>
    <col min="175" max="175" width="4" style="317" bestFit="1" customWidth="1"/>
    <col min="176" max="176" width="5" style="317" bestFit="1" customWidth="1"/>
    <col min="177" max="177" width="4.85546875" style="245" customWidth="1"/>
    <col min="178" max="178" width="4" style="245" bestFit="1" customWidth="1"/>
    <col min="179" max="179" width="5" style="245" bestFit="1" customWidth="1"/>
    <col min="180" max="180" width="4.85546875" style="245" customWidth="1"/>
    <col min="181" max="181" width="4" style="245" bestFit="1" customWidth="1"/>
    <col min="182" max="182" width="5" style="245"/>
    <col min="183" max="183" width="4.85546875" style="245" bestFit="1" customWidth="1"/>
    <col min="184" max="185" width="3.28515625" style="245" bestFit="1" customWidth="1"/>
    <col min="186" max="186" width="5.42578125" style="245" bestFit="1" customWidth="1"/>
    <col min="187" max="188" width="3.28515625" style="317" bestFit="1" customWidth="1"/>
    <col min="189" max="189" width="5.42578125" style="245" bestFit="1" customWidth="1"/>
    <col min="190" max="191" width="3.28515625" style="245" bestFit="1" customWidth="1"/>
    <col min="192" max="192" width="5.42578125" style="245" bestFit="1" customWidth="1"/>
    <col min="193" max="194" width="3.28515625" style="245" bestFit="1" customWidth="1"/>
    <col min="195" max="195" width="5.42578125" style="245" bestFit="1" customWidth="1"/>
    <col min="196" max="196" width="3.28515625" style="245" bestFit="1" customWidth="1"/>
    <col min="197" max="197" width="4" style="245" bestFit="1" customWidth="1"/>
    <col min="198" max="198" width="5.42578125" style="245" bestFit="1" customWidth="1"/>
    <col min="199" max="199" width="3.28515625" style="317" bestFit="1" customWidth="1"/>
    <col min="200" max="200" width="4" style="317" bestFit="1" customWidth="1"/>
    <col min="201" max="201" width="5.42578125" style="245" bestFit="1" customWidth="1"/>
    <col min="202" max="202" width="3.28515625" style="245" bestFit="1" customWidth="1"/>
    <col min="203" max="203" width="4" style="245" bestFit="1" customWidth="1"/>
    <col min="204" max="204" width="5.42578125" style="245" bestFit="1" customWidth="1"/>
    <col min="205" max="206" width="3.28515625" style="245" bestFit="1" customWidth="1"/>
    <col min="207" max="207" width="5.42578125" style="245" bestFit="1" customWidth="1"/>
    <col min="208" max="209" width="3.28515625" style="245" bestFit="1" customWidth="1"/>
    <col min="210" max="210" width="5.42578125" style="245" bestFit="1" customWidth="1"/>
    <col min="211" max="212" width="3.28515625" style="317" bestFit="1" customWidth="1"/>
    <col min="213" max="213" width="5.42578125" style="245" bestFit="1" customWidth="1"/>
    <col min="214" max="215" width="3.28515625" style="245" bestFit="1" customWidth="1"/>
    <col min="216" max="216" width="5.42578125" style="245" bestFit="1" customWidth="1"/>
    <col min="217" max="218" width="3.28515625" style="245" bestFit="1" customWidth="1"/>
    <col min="219" max="219" width="5.42578125" style="245" bestFit="1" customWidth="1"/>
    <col min="220" max="221" width="4" style="245" bestFit="1" customWidth="1"/>
    <col min="222" max="222" width="4.85546875" style="245" bestFit="1" customWidth="1"/>
    <col min="223" max="224" width="4" style="317" bestFit="1" customWidth="1"/>
    <col min="225" max="225" width="5.42578125" style="245" bestFit="1" customWidth="1"/>
    <col min="226" max="227" width="4" style="245" bestFit="1" customWidth="1"/>
    <col min="228" max="228" width="4.85546875" style="245" customWidth="1"/>
    <col min="229" max="230" width="4" style="245" bestFit="1" customWidth="1"/>
    <col min="231" max="231" width="4.85546875" style="245" bestFit="1" customWidth="1"/>
    <col min="232" max="233" width="3.28515625" style="245" bestFit="1" customWidth="1"/>
    <col min="234" max="234" width="5.42578125" style="245" bestFit="1" customWidth="1"/>
    <col min="235" max="236" width="3.28515625" style="317" bestFit="1" customWidth="1"/>
    <col min="237" max="237" width="5.42578125" style="245" bestFit="1" customWidth="1"/>
    <col min="238" max="239" width="3.28515625" style="245" bestFit="1" customWidth="1"/>
    <col min="240" max="240" width="5.42578125" style="245" bestFit="1" customWidth="1"/>
    <col min="241" max="242" width="3.28515625" style="245" bestFit="1" customWidth="1"/>
    <col min="243" max="243" width="5.42578125" style="245" bestFit="1" customWidth="1"/>
    <col min="244" max="245" width="3.28515625" style="245" bestFit="1" customWidth="1"/>
    <col min="246" max="246" width="5.42578125" style="245" bestFit="1" customWidth="1"/>
    <col min="247" max="248" width="3.28515625" style="317" bestFit="1" customWidth="1"/>
    <col min="249" max="249" width="5.42578125" style="245" bestFit="1" customWidth="1"/>
    <col min="250" max="251" width="3.28515625" style="245" bestFit="1" customWidth="1"/>
    <col min="252" max="252" width="5.42578125" style="245" bestFit="1" customWidth="1"/>
    <col min="253" max="254" width="3.28515625" style="245" bestFit="1" customWidth="1"/>
    <col min="255" max="255" width="5.42578125" style="245" bestFit="1" customWidth="1"/>
    <col min="256" max="256" width="5" style="245" bestFit="1" customWidth="1"/>
    <col min="257" max="257" width="6" style="245" bestFit="1" customWidth="1"/>
    <col min="258" max="258" width="4.85546875" style="245" bestFit="1" customWidth="1"/>
    <col min="259" max="259" width="5" style="317" bestFit="1" customWidth="1"/>
    <col min="260" max="260" width="6" style="317" bestFit="1" customWidth="1"/>
    <col min="261" max="261" width="5.42578125" style="245" bestFit="1" customWidth="1"/>
    <col min="262" max="262" width="5" style="245" bestFit="1" customWidth="1"/>
    <col min="263" max="263" width="6" style="245" bestFit="1" customWidth="1"/>
    <col min="264" max="264" width="5.42578125" style="245" bestFit="1" customWidth="1"/>
    <col min="265" max="266" width="5" style="245" bestFit="1" customWidth="1"/>
    <col min="267" max="267" width="5.42578125" style="245" bestFit="1" customWidth="1"/>
    <col min="268" max="268" width="4" style="245" bestFit="1" customWidth="1"/>
    <col min="269" max="269" width="5" style="245" bestFit="1" customWidth="1"/>
    <col min="270" max="270" width="5.42578125" style="245" bestFit="1" customWidth="1"/>
    <col min="271" max="271" width="4" style="317" bestFit="1" customWidth="1"/>
    <col min="272" max="272" width="5" style="317" bestFit="1" customWidth="1"/>
    <col min="273" max="273" width="4.85546875" style="245" customWidth="1"/>
    <col min="274" max="275" width="5" style="245" bestFit="1" customWidth="1"/>
    <col min="276" max="276" width="5.42578125" style="245" bestFit="1" customWidth="1"/>
    <col min="277" max="277" width="5" style="245"/>
    <col min="278" max="278" width="5" style="245" bestFit="1" customWidth="1"/>
    <col min="279" max="279" width="4.85546875" style="245" bestFit="1" customWidth="1"/>
    <col min="280" max="281" width="3.28515625" style="245" bestFit="1" customWidth="1"/>
    <col min="282" max="282" width="5.42578125" style="245" bestFit="1" customWidth="1"/>
    <col min="283" max="284" width="3.28515625" style="317" bestFit="1" customWidth="1"/>
    <col min="285" max="285" width="5.42578125" style="245" bestFit="1" customWidth="1"/>
    <col min="286" max="287" width="3.28515625" style="245" bestFit="1" customWidth="1"/>
    <col min="288" max="288" width="5.42578125" style="245" bestFit="1" customWidth="1"/>
    <col min="289" max="290" width="3.28515625" style="245" bestFit="1" customWidth="1"/>
    <col min="291" max="291" width="5.42578125" style="245" bestFit="1" customWidth="1"/>
    <col min="292" max="293" width="3.28515625" style="245" bestFit="1" customWidth="1"/>
    <col min="294" max="294" width="5.42578125" style="245" bestFit="1" customWidth="1"/>
    <col min="295" max="296" width="3.28515625" style="317" bestFit="1" customWidth="1"/>
    <col min="297" max="297" width="5.42578125" style="245" bestFit="1" customWidth="1"/>
    <col min="298" max="299" width="3.28515625" style="245" bestFit="1" customWidth="1"/>
    <col min="300" max="300" width="5.42578125" style="245" bestFit="1" customWidth="1"/>
    <col min="301" max="302" width="3.28515625" style="245" bestFit="1" customWidth="1"/>
    <col min="303" max="303" width="5.42578125" style="245" bestFit="1" customWidth="1"/>
    <col min="304" max="305" width="5" style="245" bestFit="1" customWidth="1"/>
    <col min="306" max="306" width="5.42578125" style="245" bestFit="1" customWidth="1"/>
    <col min="307" max="308" width="5" style="317" bestFit="1" customWidth="1"/>
    <col min="309" max="309" width="4.85546875" style="245" customWidth="1"/>
    <col min="310" max="311" width="5" style="245" bestFit="1" customWidth="1"/>
    <col min="312" max="312" width="4.85546875" style="245" customWidth="1"/>
    <col min="313" max="313" width="5" style="245"/>
    <col min="314" max="314" width="5" style="245" bestFit="1" customWidth="1"/>
    <col min="315" max="315" width="5.42578125" style="245" bestFit="1" customWidth="1"/>
    <col min="316" max="317" width="6" style="245" bestFit="1" customWidth="1"/>
    <col min="318" max="318" width="4.85546875" style="245" bestFit="1" customWidth="1"/>
    <col min="319" max="319" width="6" style="317" bestFit="1" customWidth="1"/>
    <col min="320" max="320" width="6" style="317" customWidth="1"/>
    <col min="321" max="321" width="4.85546875" style="245" customWidth="1"/>
    <col min="322" max="323" width="6" style="245" bestFit="1" customWidth="1"/>
    <col min="324" max="324" width="4.85546875" style="245" customWidth="1"/>
    <col min="325" max="326" width="6" style="245" bestFit="1" customWidth="1"/>
    <col min="327" max="327" width="4.85546875" style="245" bestFit="1" customWidth="1"/>
    <col min="328" max="16384" width="5" style="245"/>
  </cols>
  <sheetData>
    <row r="1" spans="1:327" s="250" customFormat="1" ht="94.5" customHeight="1" thickBot="1" x14ac:dyDescent="0.3">
      <c r="A1" s="1003" t="s">
        <v>1176</v>
      </c>
      <c r="B1" s="1004"/>
      <c r="C1" s="1005"/>
      <c r="D1" s="1003" t="s">
        <v>5</v>
      </c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5"/>
      <c r="P1" s="1012" t="s">
        <v>7</v>
      </c>
      <c r="Q1" s="1013"/>
      <c r="R1" s="1013"/>
      <c r="S1" s="1013"/>
      <c r="T1" s="1013"/>
      <c r="U1" s="1013"/>
      <c r="V1" s="1013"/>
      <c r="W1" s="1013"/>
      <c r="X1" s="1013"/>
      <c r="Y1" s="1013"/>
      <c r="Z1" s="1013"/>
      <c r="AA1" s="1014"/>
      <c r="AB1" s="1012" t="s">
        <v>564</v>
      </c>
      <c r="AC1" s="1013"/>
      <c r="AD1" s="1013"/>
      <c r="AE1" s="1013"/>
      <c r="AF1" s="1013"/>
      <c r="AG1" s="1013"/>
      <c r="AH1" s="1013"/>
      <c r="AI1" s="1013"/>
      <c r="AJ1" s="1013"/>
      <c r="AK1" s="1013"/>
      <c r="AL1" s="1013"/>
      <c r="AM1" s="1014"/>
      <c r="AN1" s="1003" t="s">
        <v>8</v>
      </c>
      <c r="AO1" s="1004"/>
      <c r="AP1" s="1004"/>
      <c r="AQ1" s="1004"/>
      <c r="AR1" s="1004"/>
      <c r="AS1" s="1004"/>
      <c r="AT1" s="1004"/>
      <c r="AU1" s="1004"/>
      <c r="AV1" s="1004"/>
      <c r="AW1" s="1004"/>
      <c r="AX1" s="1004"/>
      <c r="AY1" s="1005"/>
      <c r="AZ1" s="1012" t="s">
        <v>565</v>
      </c>
      <c r="BA1" s="1013"/>
      <c r="BB1" s="1013"/>
      <c r="BC1" s="1013"/>
      <c r="BD1" s="1013"/>
      <c r="BE1" s="1013"/>
      <c r="BF1" s="1013"/>
      <c r="BG1" s="1013"/>
      <c r="BH1" s="1013"/>
      <c r="BI1" s="1013"/>
      <c r="BJ1" s="1013"/>
      <c r="BK1" s="1014"/>
      <c r="BL1" s="1012" t="s">
        <v>566</v>
      </c>
      <c r="BM1" s="1013"/>
      <c r="BN1" s="1013"/>
      <c r="BO1" s="1013"/>
      <c r="BP1" s="1013"/>
      <c r="BQ1" s="1013"/>
      <c r="BR1" s="1013"/>
      <c r="BS1" s="1013"/>
      <c r="BT1" s="1013"/>
      <c r="BU1" s="1013"/>
      <c r="BV1" s="1013"/>
      <c r="BW1" s="1014"/>
      <c r="BX1" s="1003" t="s">
        <v>9</v>
      </c>
      <c r="BY1" s="1004"/>
      <c r="BZ1" s="1004"/>
      <c r="CA1" s="1004"/>
      <c r="CB1" s="1004"/>
      <c r="CC1" s="1004"/>
      <c r="CD1" s="1004"/>
      <c r="CE1" s="1004"/>
      <c r="CF1" s="1004"/>
      <c r="CG1" s="1004"/>
      <c r="CH1" s="1004"/>
      <c r="CI1" s="1005"/>
      <c r="CJ1" s="1003" t="s">
        <v>10</v>
      </c>
      <c r="CK1" s="1004"/>
      <c r="CL1" s="1004"/>
      <c r="CM1" s="1004"/>
      <c r="CN1" s="1004"/>
      <c r="CO1" s="1004"/>
      <c r="CP1" s="1004"/>
      <c r="CQ1" s="1004"/>
      <c r="CR1" s="1004"/>
      <c r="CS1" s="1004"/>
      <c r="CT1" s="1004"/>
      <c r="CU1" s="1005"/>
      <c r="CV1" s="1003" t="s">
        <v>11</v>
      </c>
      <c r="CW1" s="1004"/>
      <c r="CX1" s="1004"/>
      <c r="CY1" s="1004"/>
      <c r="CZ1" s="1004"/>
      <c r="DA1" s="1004"/>
      <c r="DB1" s="1004"/>
      <c r="DC1" s="1004"/>
      <c r="DD1" s="1004"/>
      <c r="DE1" s="1004"/>
      <c r="DF1" s="1004"/>
      <c r="DG1" s="1005"/>
      <c r="DH1" s="1003" t="s">
        <v>12</v>
      </c>
      <c r="DI1" s="1004"/>
      <c r="DJ1" s="1004"/>
      <c r="DK1" s="1004"/>
      <c r="DL1" s="1004"/>
      <c r="DM1" s="1004"/>
      <c r="DN1" s="1004"/>
      <c r="DO1" s="1004"/>
      <c r="DP1" s="1004"/>
      <c r="DQ1" s="1004"/>
      <c r="DR1" s="1004"/>
      <c r="DS1" s="1005"/>
      <c r="DT1" s="1003" t="s">
        <v>617</v>
      </c>
      <c r="DU1" s="1004"/>
      <c r="DV1" s="1004"/>
      <c r="DW1" s="1004"/>
      <c r="DX1" s="1004"/>
      <c r="DY1" s="1004"/>
      <c r="DZ1" s="1004"/>
      <c r="EA1" s="1004"/>
      <c r="EB1" s="1004"/>
      <c r="EC1" s="1004"/>
      <c r="ED1" s="1004"/>
      <c r="EE1" s="1005"/>
      <c r="EF1" s="1003" t="s">
        <v>622</v>
      </c>
      <c r="EG1" s="1004"/>
      <c r="EH1" s="1004"/>
      <c r="EI1" s="1004"/>
      <c r="EJ1" s="1004"/>
      <c r="EK1" s="1004"/>
      <c r="EL1" s="1004"/>
      <c r="EM1" s="1004"/>
      <c r="EN1" s="1004"/>
      <c r="EO1" s="1004"/>
      <c r="EP1" s="1004"/>
      <c r="EQ1" s="1005"/>
      <c r="ER1" s="1012" t="s">
        <v>15</v>
      </c>
      <c r="ES1" s="1013"/>
      <c r="ET1" s="1013"/>
      <c r="EU1" s="1013"/>
      <c r="EV1" s="1013"/>
      <c r="EW1" s="1013"/>
      <c r="EX1" s="1013"/>
      <c r="EY1" s="1013"/>
      <c r="EZ1" s="1013"/>
      <c r="FA1" s="1013"/>
      <c r="FB1" s="1013"/>
      <c r="FC1" s="1014"/>
      <c r="FD1" s="1012" t="s">
        <v>801</v>
      </c>
      <c r="FE1" s="1013"/>
      <c r="FF1" s="1013"/>
      <c r="FG1" s="1013"/>
      <c r="FH1" s="1013"/>
      <c r="FI1" s="1013"/>
      <c r="FJ1" s="1013"/>
      <c r="FK1" s="1013"/>
      <c r="FL1" s="1013"/>
      <c r="FM1" s="1013"/>
      <c r="FN1" s="1013"/>
      <c r="FO1" s="1014"/>
      <c r="FP1" s="1012" t="s">
        <v>568</v>
      </c>
      <c r="FQ1" s="1013"/>
      <c r="FR1" s="1013"/>
      <c r="FS1" s="1013"/>
      <c r="FT1" s="1013"/>
      <c r="FU1" s="1013"/>
      <c r="FV1" s="1013"/>
      <c r="FW1" s="1013"/>
      <c r="FX1" s="1013"/>
      <c r="FY1" s="1013"/>
      <c r="FZ1" s="1013"/>
      <c r="GA1" s="1014"/>
      <c r="GB1" s="1003" t="s">
        <v>17</v>
      </c>
      <c r="GC1" s="1004"/>
      <c r="GD1" s="1004"/>
      <c r="GE1" s="1004"/>
      <c r="GF1" s="1004"/>
      <c r="GG1" s="1004"/>
      <c r="GH1" s="1004"/>
      <c r="GI1" s="1004"/>
      <c r="GJ1" s="1004"/>
      <c r="GK1" s="1004"/>
      <c r="GL1" s="1004"/>
      <c r="GM1" s="1005"/>
      <c r="GN1" s="1003" t="s">
        <v>18</v>
      </c>
      <c r="GO1" s="1004"/>
      <c r="GP1" s="1004"/>
      <c r="GQ1" s="1004"/>
      <c r="GR1" s="1004"/>
      <c r="GS1" s="1004"/>
      <c r="GT1" s="1004"/>
      <c r="GU1" s="1004"/>
      <c r="GV1" s="1004"/>
      <c r="GW1" s="1004"/>
      <c r="GX1" s="1004"/>
      <c r="GY1" s="1005"/>
      <c r="GZ1" s="1003" t="s">
        <v>19</v>
      </c>
      <c r="HA1" s="1004"/>
      <c r="HB1" s="1004"/>
      <c r="HC1" s="1004"/>
      <c r="HD1" s="1004"/>
      <c r="HE1" s="1004"/>
      <c r="HF1" s="1004"/>
      <c r="HG1" s="1004"/>
      <c r="HH1" s="1004"/>
      <c r="HI1" s="1004"/>
      <c r="HJ1" s="1004"/>
      <c r="HK1" s="1005"/>
      <c r="HL1" s="1003" t="s">
        <v>20</v>
      </c>
      <c r="HM1" s="1004"/>
      <c r="HN1" s="1004"/>
      <c r="HO1" s="1004"/>
      <c r="HP1" s="1004"/>
      <c r="HQ1" s="1004"/>
      <c r="HR1" s="1004"/>
      <c r="HS1" s="1004"/>
      <c r="HT1" s="1004"/>
      <c r="HU1" s="1004"/>
      <c r="HV1" s="1004"/>
      <c r="HW1" s="1005"/>
      <c r="HX1" s="1003" t="s">
        <v>21</v>
      </c>
      <c r="HY1" s="1004"/>
      <c r="HZ1" s="1004"/>
      <c r="IA1" s="1004"/>
      <c r="IB1" s="1004"/>
      <c r="IC1" s="1004"/>
      <c r="ID1" s="1004"/>
      <c r="IE1" s="1004"/>
      <c r="IF1" s="1004"/>
      <c r="IG1" s="1004"/>
      <c r="IH1" s="1004"/>
      <c r="II1" s="1005"/>
      <c r="IJ1" s="1003" t="s">
        <v>22</v>
      </c>
      <c r="IK1" s="1004"/>
      <c r="IL1" s="1004"/>
      <c r="IM1" s="1004"/>
      <c r="IN1" s="1004"/>
      <c r="IO1" s="1004"/>
      <c r="IP1" s="1004"/>
      <c r="IQ1" s="1004"/>
      <c r="IR1" s="1004"/>
      <c r="IS1" s="1004"/>
      <c r="IT1" s="1004"/>
      <c r="IU1" s="1005"/>
      <c r="IV1" s="1003" t="s">
        <v>569</v>
      </c>
      <c r="IW1" s="1004"/>
      <c r="IX1" s="1004"/>
      <c r="IY1" s="1004"/>
      <c r="IZ1" s="1004"/>
      <c r="JA1" s="1004"/>
      <c r="JB1" s="1004"/>
      <c r="JC1" s="1004"/>
      <c r="JD1" s="1004"/>
      <c r="JE1" s="1004"/>
      <c r="JF1" s="1004"/>
      <c r="JG1" s="1005"/>
      <c r="JH1" s="1003" t="s">
        <v>570</v>
      </c>
      <c r="JI1" s="1004"/>
      <c r="JJ1" s="1004"/>
      <c r="JK1" s="1004"/>
      <c r="JL1" s="1004"/>
      <c r="JM1" s="1004"/>
      <c r="JN1" s="1004"/>
      <c r="JO1" s="1004"/>
      <c r="JP1" s="1004"/>
      <c r="JQ1" s="1004"/>
      <c r="JR1" s="1004"/>
      <c r="JS1" s="1005"/>
      <c r="JT1" s="1003" t="s">
        <v>25</v>
      </c>
      <c r="JU1" s="1004"/>
      <c r="JV1" s="1004"/>
      <c r="JW1" s="1004"/>
      <c r="JX1" s="1004"/>
      <c r="JY1" s="1004"/>
      <c r="JZ1" s="1004"/>
      <c r="KA1" s="1004"/>
      <c r="KB1" s="1004"/>
      <c r="KC1" s="1004"/>
      <c r="KD1" s="1004"/>
      <c r="KE1" s="1005"/>
      <c r="KF1" s="1003" t="s">
        <v>26</v>
      </c>
      <c r="KG1" s="1004"/>
      <c r="KH1" s="1004"/>
      <c r="KI1" s="1004"/>
      <c r="KJ1" s="1004"/>
      <c r="KK1" s="1004"/>
      <c r="KL1" s="1004"/>
      <c r="KM1" s="1004"/>
      <c r="KN1" s="1004"/>
      <c r="KO1" s="1004"/>
      <c r="KP1" s="1004"/>
      <c r="KQ1" s="1005"/>
      <c r="KR1" s="1003" t="s">
        <v>571</v>
      </c>
      <c r="KS1" s="1004"/>
      <c r="KT1" s="1004"/>
      <c r="KU1" s="1004"/>
      <c r="KV1" s="1004"/>
      <c r="KW1" s="1004"/>
      <c r="KX1" s="1004"/>
      <c r="KY1" s="1004"/>
      <c r="KZ1" s="1004"/>
      <c r="LA1" s="1004"/>
      <c r="LB1" s="1004"/>
      <c r="LC1" s="1005"/>
      <c r="LD1" s="1003" t="s">
        <v>572</v>
      </c>
      <c r="LE1" s="1004"/>
      <c r="LF1" s="1004"/>
      <c r="LG1" s="1004"/>
      <c r="LH1" s="1004"/>
      <c r="LI1" s="1004"/>
      <c r="LJ1" s="1004"/>
      <c r="LK1" s="1004"/>
      <c r="LL1" s="1004"/>
      <c r="LM1" s="1004"/>
      <c r="LN1" s="1004"/>
      <c r="LO1" s="1005"/>
    </row>
    <row r="2" spans="1:327" s="250" customFormat="1" ht="12.75" customHeight="1" thickBot="1" x14ac:dyDescent="0.3">
      <c r="A2" s="1006"/>
      <c r="B2" s="1007"/>
      <c r="C2" s="1008"/>
      <c r="D2" s="971" t="s">
        <v>1089</v>
      </c>
      <c r="E2" s="972"/>
      <c r="F2" s="973"/>
      <c r="G2" s="971" t="s">
        <v>1090</v>
      </c>
      <c r="H2" s="972"/>
      <c r="I2" s="973"/>
      <c r="J2" s="971" t="s">
        <v>1091</v>
      </c>
      <c r="K2" s="972"/>
      <c r="L2" s="973"/>
      <c r="M2" s="971" t="s">
        <v>1154</v>
      </c>
      <c r="N2" s="972"/>
      <c r="O2" s="973"/>
      <c r="P2" s="971" t="s">
        <v>1089</v>
      </c>
      <c r="Q2" s="972"/>
      <c r="R2" s="973"/>
      <c r="S2" s="971" t="s">
        <v>1090</v>
      </c>
      <c r="T2" s="972"/>
      <c r="U2" s="973"/>
      <c r="V2" s="971" t="s">
        <v>1091</v>
      </c>
      <c r="W2" s="972"/>
      <c r="X2" s="973"/>
      <c r="Y2" s="971" t="s">
        <v>1154</v>
      </c>
      <c r="Z2" s="972"/>
      <c r="AA2" s="973"/>
      <c r="AB2" s="971" t="s">
        <v>1089</v>
      </c>
      <c r="AC2" s="972"/>
      <c r="AD2" s="973"/>
      <c r="AE2" s="971" t="s">
        <v>1090</v>
      </c>
      <c r="AF2" s="972"/>
      <c r="AG2" s="973"/>
      <c r="AH2" s="971" t="s">
        <v>1091</v>
      </c>
      <c r="AI2" s="972"/>
      <c r="AJ2" s="973"/>
      <c r="AK2" s="971" t="s">
        <v>1154</v>
      </c>
      <c r="AL2" s="972"/>
      <c r="AM2" s="973"/>
      <c r="AN2" s="971" t="s">
        <v>1089</v>
      </c>
      <c r="AO2" s="972"/>
      <c r="AP2" s="973"/>
      <c r="AQ2" s="971" t="s">
        <v>1090</v>
      </c>
      <c r="AR2" s="972"/>
      <c r="AS2" s="973"/>
      <c r="AT2" s="971" t="s">
        <v>1091</v>
      </c>
      <c r="AU2" s="972"/>
      <c r="AV2" s="973"/>
      <c r="AW2" s="971" t="s">
        <v>1154</v>
      </c>
      <c r="AX2" s="972"/>
      <c r="AY2" s="973"/>
      <c r="AZ2" s="971" t="s">
        <v>1089</v>
      </c>
      <c r="BA2" s="972"/>
      <c r="BB2" s="973"/>
      <c r="BC2" s="971" t="s">
        <v>1090</v>
      </c>
      <c r="BD2" s="972"/>
      <c r="BE2" s="973"/>
      <c r="BF2" s="971" t="s">
        <v>1091</v>
      </c>
      <c r="BG2" s="972"/>
      <c r="BH2" s="973"/>
      <c r="BI2" s="971" t="s">
        <v>1154</v>
      </c>
      <c r="BJ2" s="972"/>
      <c r="BK2" s="973"/>
      <c r="BL2" s="971" t="s">
        <v>1089</v>
      </c>
      <c r="BM2" s="972"/>
      <c r="BN2" s="973"/>
      <c r="BO2" s="971" t="s">
        <v>1090</v>
      </c>
      <c r="BP2" s="972"/>
      <c r="BQ2" s="973"/>
      <c r="BR2" s="971" t="s">
        <v>1091</v>
      </c>
      <c r="BS2" s="972"/>
      <c r="BT2" s="973"/>
      <c r="BU2" s="971" t="s">
        <v>1154</v>
      </c>
      <c r="BV2" s="972"/>
      <c r="BW2" s="973"/>
      <c r="BX2" s="971" t="s">
        <v>1089</v>
      </c>
      <c r="BY2" s="972"/>
      <c r="BZ2" s="973"/>
      <c r="CA2" s="971" t="s">
        <v>1090</v>
      </c>
      <c r="CB2" s="972"/>
      <c r="CC2" s="973"/>
      <c r="CD2" s="971" t="s">
        <v>1091</v>
      </c>
      <c r="CE2" s="972"/>
      <c r="CF2" s="973"/>
      <c r="CG2" s="971" t="s">
        <v>1154</v>
      </c>
      <c r="CH2" s="972"/>
      <c r="CI2" s="973"/>
      <c r="CJ2" s="971" t="s">
        <v>1089</v>
      </c>
      <c r="CK2" s="972"/>
      <c r="CL2" s="973"/>
      <c r="CM2" s="971" t="s">
        <v>1090</v>
      </c>
      <c r="CN2" s="972"/>
      <c r="CO2" s="973"/>
      <c r="CP2" s="971" t="s">
        <v>1091</v>
      </c>
      <c r="CQ2" s="972"/>
      <c r="CR2" s="973"/>
      <c r="CS2" s="971" t="s">
        <v>1154</v>
      </c>
      <c r="CT2" s="972"/>
      <c r="CU2" s="973"/>
      <c r="CV2" s="971" t="s">
        <v>1089</v>
      </c>
      <c r="CW2" s="972"/>
      <c r="CX2" s="973"/>
      <c r="CY2" s="971" t="s">
        <v>1090</v>
      </c>
      <c r="CZ2" s="972"/>
      <c r="DA2" s="973"/>
      <c r="DB2" s="971" t="s">
        <v>1091</v>
      </c>
      <c r="DC2" s="972"/>
      <c r="DD2" s="973"/>
      <c r="DE2" s="971" t="s">
        <v>1154</v>
      </c>
      <c r="DF2" s="972"/>
      <c r="DG2" s="973"/>
      <c r="DH2" s="971" t="s">
        <v>1089</v>
      </c>
      <c r="DI2" s="972"/>
      <c r="DJ2" s="973"/>
      <c r="DK2" s="971" t="s">
        <v>1090</v>
      </c>
      <c r="DL2" s="972"/>
      <c r="DM2" s="973"/>
      <c r="DN2" s="971" t="s">
        <v>1091</v>
      </c>
      <c r="DO2" s="972"/>
      <c r="DP2" s="973"/>
      <c r="DQ2" s="971" t="s">
        <v>1154</v>
      </c>
      <c r="DR2" s="972"/>
      <c r="DS2" s="973"/>
      <c r="DT2" s="971" t="s">
        <v>1089</v>
      </c>
      <c r="DU2" s="972"/>
      <c r="DV2" s="973"/>
      <c r="DW2" s="971" t="s">
        <v>1090</v>
      </c>
      <c r="DX2" s="972"/>
      <c r="DY2" s="973"/>
      <c r="DZ2" s="971" t="s">
        <v>1091</v>
      </c>
      <c r="EA2" s="972"/>
      <c r="EB2" s="973"/>
      <c r="EC2" s="971" t="s">
        <v>1154</v>
      </c>
      <c r="ED2" s="972"/>
      <c r="EE2" s="973"/>
      <c r="EF2" s="971" t="s">
        <v>1089</v>
      </c>
      <c r="EG2" s="972"/>
      <c r="EH2" s="973"/>
      <c r="EI2" s="971" t="s">
        <v>1090</v>
      </c>
      <c r="EJ2" s="972"/>
      <c r="EK2" s="973"/>
      <c r="EL2" s="971" t="s">
        <v>1091</v>
      </c>
      <c r="EM2" s="972"/>
      <c r="EN2" s="973"/>
      <c r="EO2" s="971" t="s">
        <v>1154</v>
      </c>
      <c r="EP2" s="972"/>
      <c r="EQ2" s="973"/>
      <c r="ER2" s="971" t="s">
        <v>1089</v>
      </c>
      <c r="ES2" s="972"/>
      <c r="ET2" s="973"/>
      <c r="EU2" s="971" t="s">
        <v>1090</v>
      </c>
      <c r="EV2" s="972"/>
      <c r="EW2" s="973"/>
      <c r="EX2" s="971" t="s">
        <v>1091</v>
      </c>
      <c r="EY2" s="972"/>
      <c r="EZ2" s="973"/>
      <c r="FA2" s="971" t="s">
        <v>1154</v>
      </c>
      <c r="FB2" s="972"/>
      <c r="FC2" s="973"/>
      <c r="FD2" s="971" t="s">
        <v>1089</v>
      </c>
      <c r="FE2" s="972"/>
      <c r="FF2" s="973"/>
      <c r="FG2" s="971" t="s">
        <v>1090</v>
      </c>
      <c r="FH2" s="972"/>
      <c r="FI2" s="973"/>
      <c r="FJ2" s="971" t="s">
        <v>1091</v>
      </c>
      <c r="FK2" s="972"/>
      <c r="FL2" s="973"/>
      <c r="FM2" s="971" t="s">
        <v>1154</v>
      </c>
      <c r="FN2" s="972"/>
      <c r="FO2" s="973"/>
      <c r="FP2" s="971" t="s">
        <v>1089</v>
      </c>
      <c r="FQ2" s="972"/>
      <c r="FR2" s="973"/>
      <c r="FS2" s="971" t="s">
        <v>1090</v>
      </c>
      <c r="FT2" s="972"/>
      <c r="FU2" s="973"/>
      <c r="FV2" s="971" t="s">
        <v>1091</v>
      </c>
      <c r="FW2" s="972"/>
      <c r="FX2" s="973"/>
      <c r="FY2" s="971" t="s">
        <v>1154</v>
      </c>
      <c r="FZ2" s="972"/>
      <c r="GA2" s="973"/>
      <c r="GB2" s="971" t="s">
        <v>1089</v>
      </c>
      <c r="GC2" s="972"/>
      <c r="GD2" s="973"/>
      <c r="GE2" s="971" t="s">
        <v>1090</v>
      </c>
      <c r="GF2" s="972"/>
      <c r="GG2" s="973"/>
      <c r="GH2" s="971" t="s">
        <v>1091</v>
      </c>
      <c r="GI2" s="972"/>
      <c r="GJ2" s="973"/>
      <c r="GK2" s="971" t="s">
        <v>1154</v>
      </c>
      <c r="GL2" s="972"/>
      <c r="GM2" s="973"/>
      <c r="GN2" s="971" t="s">
        <v>1089</v>
      </c>
      <c r="GO2" s="972"/>
      <c r="GP2" s="973"/>
      <c r="GQ2" s="971" t="s">
        <v>1090</v>
      </c>
      <c r="GR2" s="972"/>
      <c r="GS2" s="973"/>
      <c r="GT2" s="971" t="s">
        <v>1091</v>
      </c>
      <c r="GU2" s="972"/>
      <c r="GV2" s="973"/>
      <c r="GW2" s="971" t="s">
        <v>1154</v>
      </c>
      <c r="GX2" s="972"/>
      <c r="GY2" s="973"/>
      <c r="GZ2" s="971" t="s">
        <v>1089</v>
      </c>
      <c r="HA2" s="972"/>
      <c r="HB2" s="973"/>
      <c r="HC2" s="971" t="s">
        <v>1090</v>
      </c>
      <c r="HD2" s="972"/>
      <c r="HE2" s="973"/>
      <c r="HF2" s="971" t="s">
        <v>1091</v>
      </c>
      <c r="HG2" s="972"/>
      <c r="HH2" s="973"/>
      <c r="HI2" s="971" t="s">
        <v>1154</v>
      </c>
      <c r="HJ2" s="972"/>
      <c r="HK2" s="973"/>
      <c r="HL2" s="971" t="s">
        <v>1089</v>
      </c>
      <c r="HM2" s="972"/>
      <c r="HN2" s="973"/>
      <c r="HO2" s="971" t="s">
        <v>1090</v>
      </c>
      <c r="HP2" s="972"/>
      <c r="HQ2" s="973"/>
      <c r="HR2" s="971" t="s">
        <v>1091</v>
      </c>
      <c r="HS2" s="972"/>
      <c r="HT2" s="973"/>
      <c r="HU2" s="971" t="s">
        <v>1154</v>
      </c>
      <c r="HV2" s="972"/>
      <c r="HW2" s="973"/>
      <c r="HX2" s="971" t="s">
        <v>1089</v>
      </c>
      <c r="HY2" s="972"/>
      <c r="HZ2" s="973"/>
      <c r="IA2" s="971" t="s">
        <v>1090</v>
      </c>
      <c r="IB2" s="972"/>
      <c r="IC2" s="973"/>
      <c r="ID2" s="971" t="s">
        <v>1091</v>
      </c>
      <c r="IE2" s="972"/>
      <c r="IF2" s="973"/>
      <c r="IG2" s="971" t="s">
        <v>1154</v>
      </c>
      <c r="IH2" s="972"/>
      <c r="II2" s="973"/>
      <c r="IJ2" s="971" t="s">
        <v>1089</v>
      </c>
      <c r="IK2" s="972"/>
      <c r="IL2" s="973"/>
      <c r="IM2" s="971" t="s">
        <v>1090</v>
      </c>
      <c r="IN2" s="972"/>
      <c r="IO2" s="973"/>
      <c r="IP2" s="971" t="s">
        <v>1091</v>
      </c>
      <c r="IQ2" s="972"/>
      <c r="IR2" s="973"/>
      <c r="IS2" s="971" t="s">
        <v>1154</v>
      </c>
      <c r="IT2" s="972"/>
      <c r="IU2" s="973"/>
      <c r="IV2" s="971" t="s">
        <v>1089</v>
      </c>
      <c r="IW2" s="972"/>
      <c r="IX2" s="973"/>
      <c r="IY2" s="971" t="s">
        <v>1090</v>
      </c>
      <c r="IZ2" s="972"/>
      <c r="JA2" s="973"/>
      <c r="JB2" s="971" t="s">
        <v>1091</v>
      </c>
      <c r="JC2" s="972"/>
      <c r="JD2" s="973"/>
      <c r="JE2" s="971" t="s">
        <v>1154</v>
      </c>
      <c r="JF2" s="972"/>
      <c r="JG2" s="973"/>
      <c r="JH2" s="971" t="s">
        <v>1089</v>
      </c>
      <c r="JI2" s="972"/>
      <c r="JJ2" s="973"/>
      <c r="JK2" s="971" t="s">
        <v>1090</v>
      </c>
      <c r="JL2" s="972"/>
      <c r="JM2" s="973"/>
      <c r="JN2" s="971" t="s">
        <v>1091</v>
      </c>
      <c r="JO2" s="972"/>
      <c r="JP2" s="973"/>
      <c r="JQ2" s="971" t="s">
        <v>1154</v>
      </c>
      <c r="JR2" s="972"/>
      <c r="JS2" s="973"/>
      <c r="JT2" s="971" t="s">
        <v>1089</v>
      </c>
      <c r="JU2" s="972"/>
      <c r="JV2" s="973"/>
      <c r="JW2" s="971" t="s">
        <v>1090</v>
      </c>
      <c r="JX2" s="972"/>
      <c r="JY2" s="973"/>
      <c r="JZ2" s="971" t="s">
        <v>1091</v>
      </c>
      <c r="KA2" s="972"/>
      <c r="KB2" s="973"/>
      <c r="KC2" s="971" t="s">
        <v>1154</v>
      </c>
      <c r="KD2" s="972"/>
      <c r="KE2" s="973"/>
      <c r="KF2" s="971" t="s">
        <v>1089</v>
      </c>
      <c r="KG2" s="972"/>
      <c r="KH2" s="973"/>
      <c r="KI2" s="971" t="s">
        <v>1090</v>
      </c>
      <c r="KJ2" s="972"/>
      <c r="KK2" s="973"/>
      <c r="KL2" s="971" t="s">
        <v>1091</v>
      </c>
      <c r="KM2" s="972"/>
      <c r="KN2" s="973"/>
      <c r="KO2" s="971" t="s">
        <v>1154</v>
      </c>
      <c r="KP2" s="972"/>
      <c r="KQ2" s="973"/>
      <c r="KR2" s="971" t="s">
        <v>1089</v>
      </c>
      <c r="KS2" s="972"/>
      <c r="KT2" s="973"/>
      <c r="KU2" s="971" t="s">
        <v>1090</v>
      </c>
      <c r="KV2" s="972"/>
      <c r="KW2" s="973"/>
      <c r="KX2" s="971" t="s">
        <v>1091</v>
      </c>
      <c r="KY2" s="972"/>
      <c r="KZ2" s="973"/>
      <c r="LA2" s="971" t="s">
        <v>1154</v>
      </c>
      <c r="LB2" s="972"/>
      <c r="LC2" s="973"/>
      <c r="LD2" s="971" t="s">
        <v>1089</v>
      </c>
      <c r="LE2" s="972"/>
      <c r="LF2" s="973"/>
      <c r="LG2" s="971" t="s">
        <v>1090</v>
      </c>
      <c r="LH2" s="972"/>
      <c r="LI2" s="973"/>
      <c r="LJ2" s="971" t="s">
        <v>1091</v>
      </c>
      <c r="LK2" s="972"/>
      <c r="LL2" s="973"/>
      <c r="LM2" s="971" t="s">
        <v>1154</v>
      </c>
      <c r="LN2" s="972"/>
      <c r="LO2" s="973"/>
    </row>
    <row r="3" spans="1:327" s="254" customFormat="1" ht="130.5" thickBot="1" x14ac:dyDescent="0.3">
      <c r="A3" s="1009"/>
      <c r="B3" s="1010"/>
      <c r="C3" s="1011"/>
      <c r="D3" s="251" t="s">
        <v>799</v>
      </c>
      <c r="E3" s="252" t="s">
        <v>800</v>
      </c>
      <c r="F3" s="253" t="s">
        <v>3</v>
      </c>
      <c r="G3" s="251" t="s">
        <v>799</v>
      </c>
      <c r="H3" s="252" t="s">
        <v>800</v>
      </c>
      <c r="I3" s="253" t="s">
        <v>3</v>
      </c>
      <c r="J3" s="251" t="s">
        <v>799</v>
      </c>
      <c r="K3" s="252" t="s">
        <v>800</v>
      </c>
      <c r="L3" s="253" t="s">
        <v>3</v>
      </c>
      <c r="M3" s="251" t="s">
        <v>799</v>
      </c>
      <c r="N3" s="252" t="s">
        <v>800</v>
      </c>
      <c r="O3" s="253" t="s">
        <v>3</v>
      </c>
      <c r="P3" s="251" t="s">
        <v>799</v>
      </c>
      <c r="Q3" s="252" t="s">
        <v>800</v>
      </c>
      <c r="R3" s="253" t="s">
        <v>3</v>
      </c>
      <c r="S3" s="251" t="s">
        <v>799</v>
      </c>
      <c r="T3" s="252" t="s">
        <v>800</v>
      </c>
      <c r="U3" s="253" t="s">
        <v>3</v>
      </c>
      <c r="V3" s="251" t="s">
        <v>799</v>
      </c>
      <c r="W3" s="252" t="s">
        <v>800</v>
      </c>
      <c r="X3" s="253" t="s">
        <v>3</v>
      </c>
      <c r="Y3" s="251" t="s">
        <v>799</v>
      </c>
      <c r="Z3" s="252" t="s">
        <v>800</v>
      </c>
      <c r="AA3" s="253" t="s">
        <v>3</v>
      </c>
      <c r="AB3" s="251" t="s">
        <v>799</v>
      </c>
      <c r="AC3" s="252" t="s">
        <v>800</v>
      </c>
      <c r="AD3" s="253" t="s">
        <v>3</v>
      </c>
      <c r="AE3" s="251" t="s">
        <v>799</v>
      </c>
      <c r="AF3" s="252" t="s">
        <v>800</v>
      </c>
      <c r="AG3" s="253" t="s">
        <v>3</v>
      </c>
      <c r="AH3" s="251" t="s">
        <v>799</v>
      </c>
      <c r="AI3" s="252" t="s">
        <v>800</v>
      </c>
      <c r="AJ3" s="253" t="s">
        <v>3</v>
      </c>
      <c r="AK3" s="251" t="s">
        <v>799</v>
      </c>
      <c r="AL3" s="252" t="s">
        <v>800</v>
      </c>
      <c r="AM3" s="253" t="s">
        <v>3</v>
      </c>
      <c r="AN3" s="251" t="s">
        <v>799</v>
      </c>
      <c r="AO3" s="252" t="s">
        <v>800</v>
      </c>
      <c r="AP3" s="253" t="s">
        <v>3</v>
      </c>
      <c r="AQ3" s="251" t="s">
        <v>799</v>
      </c>
      <c r="AR3" s="252" t="s">
        <v>800</v>
      </c>
      <c r="AS3" s="253" t="s">
        <v>3</v>
      </c>
      <c r="AT3" s="251" t="s">
        <v>799</v>
      </c>
      <c r="AU3" s="252" t="s">
        <v>800</v>
      </c>
      <c r="AV3" s="253" t="s">
        <v>3</v>
      </c>
      <c r="AW3" s="251" t="s">
        <v>799</v>
      </c>
      <c r="AX3" s="252" t="s">
        <v>800</v>
      </c>
      <c r="AY3" s="253" t="s">
        <v>3</v>
      </c>
      <c r="AZ3" s="251" t="s">
        <v>799</v>
      </c>
      <c r="BA3" s="252" t="s">
        <v>800</v>
      </c>
      <c r="BB3" s="253" t="s">
        <v>3</v>
      </c>
      <c r="BC3" s="251" t="s">
        <v>799</v>
      </c>
      <c r="BD3" s="252" t="s">
        <v>800</v>
      </c>
      <c r="BE3" s="253" t="s">
        <v>3</v>
      </c>
      <c r="BF3" s="251" t="s">
        <v>799</v>
      </c>
      <c r="BG3" s="252" t="s">
        <v>800</v>
      </c>
      <c r="BH3" s="253" t="s">
        <v>3</v>
      </c>
      <c r="BI3" s="251" t="s">
        <v>799</v>
      </c>
      <c r="BJ3" s="252" t="s">
        <v>800</v>
      </c>
      <c r="BK3" s="253" t="s">
        <v>3</v>
      </c>
      <c r="BL3" s="251" t="s">
        <v>799</v>
      </c>
      <c r="BM3" s="252" t="s">
        <v>800</v>
      </c>
      <c r="BN3" s="253" t="s">
        <v>3</v>
      </c>
      <c r="BO3" s="251" t="s">
        <v>799</v>
      </c>
      <c r="BP3" s="252" t="s">
        <v>800</v>
      </c>
      <c r="BQ3" s="253" t="s">
        <v>3</v>
      </c>
      <c r="BR3" s="251" t="s">
        <v>799</v>
      </c>
      <c r="BS3" s="252" t="s">
        <v>800</v>
      </c>
      <c r="BT3" s="253" t="s">
        <v>3</v>
      </c>
      <c r="BU3" s="251" t="s">
        <v>799</v>
      </c>
      <c r="BV3" s="252" t="s">
        <v>800</v>
      </c>
      <c r="BW3" s="253" t="s">
        <v>3</v>
      </c>
      <c r="BX3" s="251" t="s">
        <v>799</v>
      </c>
      <c r="BY3" s="252" t="s">
        <v>800</v>
      </c>
      <c r="BZ3" s="253" t="s">
        <v>3</v>
      </c>
      <c r="CA3" s="251" t="s">
        <v>799</v>
      </c>
      <c r="CB3" s="252" t="s">
        <v>800</v>
      </c>
      <c r="CC3" s="253" t="s">
        <v>3</v>
      </c>
      <c r="CD3" s="251" t="s">
        <v>799</v>
      </c>
      <c r="CE3" s="252" t="s">
        <v>800</v>
      </c>
      <c r="CF3" s="253" t="s">
        <v>3</v>
      </c>
      <c r="CG3" s="251" t="s">
        <v>799</v>
      </c>
      <c r="CH3" s="252" t="s">
        <v>800</v>
      </c>
      <c r="CI3" s="253" t="s">
        <v>3</v>
      </c>
      <c r="CJ3" s="251" t="s">
        <v>799</v>
      </c>
      <c r="CK3" s="252" t="s">
        <v>800</v>
      </c>
      <c r="CL3" s="253" t="s">
        <v>3</v>
      </c>
      <c r="CM3" s="251" t="s">
        <v>799</v>
      </c>
      <c r="CN3" s="252" t="s">
        <v>800</v>
      </c>
      <c r="CO3" s="253" t="s">
        <v>3</v>
      </c>
      <c r="CP3" s="251" t="s">
        <v>799</v>
      </c>
      <c r="CQ3" s="252" t="s">
        <v>800</v>
      </c>
      <c r="CR3" s="253" t="s">
        <v>3</v>
      </c>
      <c r="CS3" s="251" t="s">
        <v>799</v>
      </c>
      <c r="CT3" s="252" t="s">
        <v>800</v>
      </c>
      <c r="CU3" s="253" t="s">
        <v>3</v>
      </c>
      <c r="CV3" s="251" t="s">
        <v>799</v>
      </c>
      <c r="CW3" s="252" t="s">
        <v>800</v>
      </c>
      <c r="CX3" s="253" t="s">
        <v>3</v>
      </c>
      <c r="CY3" s="251" t="s">
        <v>799</v>
      </c>
      <c r="CZ3" s="252" t="s">
        <v>800</v>
      </c>
      <c r="DA3" s="253" t="s">
        <v>3</v>
      </c>
      <c r="DB3" s="251" t="s">
        <v>799</v>
      </c>
      <c r="DC3" s="252" t="s">
        <v>800</v>
      </c>
      <c r="DD3" s="253" t="s">
        <v>3</v>
      </c>
      <c r="DE3" s="251" t="s">
        <v>799</v>
      </c>
      <c r="DF3" s="252" t="s">
        <v>800</v>
      </c>
      <c r="DG3" s="253" t="s">
        <v>3</v>
      </c>
      <c r="DH3" s="251" t="s">
        <v>799</v>
      </c>
      <c r="DI3" s="252" t="s">
        <v>800</v>
      </c>
      <c r="DJ3" s="253" t="s">
        <v>3</v>
      </c>
      <c r="DK3" s="251" t="s">
        <v>799</v>
      </c>
      <c r="DL3" s="252" t="s">
        <v>800</v>
      </c>
      <c r="DM3" s="253" t="s">
        <v>3</v>
      </c>
      <c r="DN3" s="251" t="s">
        <v>799</v>
      </c>
      <c r="DO3" s="252" t="s">
        <v>800</v>
      </c>
      <c r="DP3" s="253" t="s">
        <v>3</v>
      </c>
      <c r="DQ3" s="251" t="s">
        <v>799</v>
      </c>
      <c r="DR3" s="252" t="s">
        <v>800</v>
      </c>
      <c r="DS3" s="253" t="s">
        <v>3</v>
      </c>
      <c r="DT3" s="251" t="s">
        <v>799</v>
      </c>
      <c r="DU3" s="252" t="s">
        <v>800</v>
      </c>
      <c r="DV3" s="253" t="s">
        <v>3</v>
      </c>
      <c r="DW3" s="251" t="s">
        <v>799</v>
      </c>
      <c r="DX3" s="252" t="s">
        <v>800</v>
      </c>
      <c r="DY3" s="253" t="s">
        <v>3</v>
      </c>
      <c r="DZ3" s="251" t="s">
        <v>799</v>
      </c>
      <c r="EA3" s="252" t="s">
        <v>800</v>
      </c>
      <c r="EB3" s="253" t="s">
        <v>3</v>
      </c>
      <c r="EC3" s="251" t="s">
        <v>799</v>
      </c>
      <c r="ED3" s="252" t="s">
        <v>800</v>
      </c>
      <c r="EE3" s="253" t="s">
        <v>3</v>
      </c>
      <c r="EF3" s="251" t="s">
        <v>799</v>
      </c>
      <c r="EG3" s="252" t="s">
        <v>800</v>
      </c>
      <c r="EH3" s="253" t="s">
        <v>3</v>
      </c>
      <c r="EI3" s="251" t="s">
        <v>799</v>
      </c>
      <c r="EJ3" s="252" t="s">
        <v>800</v>
      </c>
      <c r="EK3" s="253" t="s">
        <v>3</v>
      </c>
      <c r="EL3" s="251" t="s">
        <v>799</v>
      </c>
      <c r="EM3" s="252" t="s">
        <v>800</v>
      </c>
      <c r="EN3" s="253" t="s">
        <v>3</v>
      </c>
      <c r="EO3" s="251" t="s">
        <v>799</v>
      </c>
      <c r="EP3" s="252" t="s">
        <v>800</v>
      </c>
      <c r="EQ3" s="253" t="s">
        <v>3</v>
      </c>
      <c r="ER3" s="251" t="s">
        <v>799</v>
      </c>
      <c r="ES3" s="252" t="s">
        <v>800</v>
      </c>
      <c r="ET3" s="253" t="s">
        <v>3</v>
      </c>
      <c r="EU3" s="251" t="s">
        <v>799</v>
      </c>
      <c r="EV3" s="252" t="s">
        <v>800</v>
      </c>
      <c r="EW3" s="253" t="s">
        <v>3</v>
      </c>
      <c r="EX3" s="251" t="s">
        <v>799</v>
      </c>
      <c r="EY3" s="252" t="s">
        <v>800</v>
      </c>
      <c r="EZ3" s="253" t="s">
        <v>3</v>
      </c>
      <c r="FA3" s="251" t="s">
        <v>799</v>
      </c>
      <c r="FB3" s="252" t="s">
        <v>800</v>
      </c>
      <c r="FC3" s="253" t="s">
        <v>3</v>
      </c>
      <c r="FD3" s="251" t="s">
        <v>799</v>
      </c>
      <c r="FE3" s="252" t="s">
        <v>800</v>
      </c>
      <c r="FF3" s="253" t="s">
        <v>3</v>
      </c>
      <c r="FG3" s="251" t="s">
        <v>799</v>
      </c>
      <c r="FH3" s="252" t="s">
        <v>800</v>
      </c>
      <c r="FI3" s="253" t="s">
        <v>3</v>
      </c>
      <c r="FJ3" s="251" t="s">
        <v>799</v>
      </c>
      <c r="FK3" s="252" t="s">
        <v>800</v>
      </c>
      <c r="FL3" s="253" t="s">
        <v>3</v>
      </c>
      <c r="FM3" s="251" t="s">
        <v>799</v>
      </c>
      <c r="FN3" s="252" t="s">
        <v>800</v>
      </c>
      <c r="FO3" s="253" t="s">
        <v>3</v>
      </c>
      <c r="FP3" s="251" t="s">
        <v>799</v>
      </c>
      <c r="FQ3" s="252" t="s">
        <v>800</v>
      </c>
      <c r="FR3" s="253" t="s">
        <v>3</v>
      </c>
      <c r="FS3" s="251" t="s">
        <v>799</v>
      </c>
      <c r="FT3" s="252" t="s">
        <v>800</v>
      </c>
      <c r="FU3" s="253" t="s">
        <v>3</v>
      </c>
      <c r="FV3" s="251" t="s">
        <v>799</v>
      </c>
      <c r="FW3" s="252" t="s">
        <v>800</v>
      </c>
      <c r="FX3" s="253" t="s">
        <v>3</v>
      </c>
      <c r="FY3" s="251" t="s">
        <v>799</v>
      </c>
      <c r="FZ3" s="252" t="s">
        <v>800</v>
      </c>
      <c r="GA3" s="253" t="s">
        <v>3</v>
      </c>
      <c r="GB3" s="251" t="s">
        <v>799</v>
      </c>
      <c r="GC3" s="252" t="s">
        <v>800</v>
      </c>
      <c r="GD3" s="253" t="s">
        <v>3</v>
      </c>
      <c r="GE3" s="251" t="s">
        <v>799</v>
      </c>
      <c r="GF3" s="252" t="s">
        <v>800</v>
      </c>
      <c r="GG3" s="253" t="s">
        <v>3</v>
      </c>
      <c r="GH3" s="251" t="s">
        <v>799</v>
      </c>
      <c r="GI3" s="252" t="s">
        <v>800</v>
      </c>
      <c r="GJ3" s="253" t="s">
        <v>3</v>
      </c>
      <c r="GK3" s="251" t="s">
        <v>799</v>
      </c>
      <c r="GL3" s="252" t="s">
        <v>800</v>
      </c>
      <c r="GM3" s="253" t="s">
        <v>3</v>
      </c>
      <c r="GN3" s="251" t="s">
        <v>799</v>
      </c>
      <c r="GO3" s="252" t="s">
        <v>800</v>
      </c>
      <c r="GP3" s="253" t="s">
        <v>3</v>
      </c>
      <c r="GQ3" s="251" t="s">
        <v>799</v>
      </c>
      <c r="GR3" s="252" t="s">
        <v>800</v>
      </c>
      <c r="GS3" s="253" t="s">
        <v>3</v>
      </c>
      <c r="GT3" s="251" t="s">
        <v>799</v>
      </c>
      <c r="GU3" s="252" t="s">
        <v>800</v>
      </c>
      <c r="GV3" s="253" t="s">
        <v>3</v>
      </c>
      <c r="GW3" s="251" t="s">
        <v>799</v>
      </c>
      <c r="GX3" s="252" t="s">
        <v>800</v>
      </c>
      <c r="GY3" s="253" t="s">
        <v>3</v>
      </c>
      <c r="GZ3" s="251" t="s">
        <v>799</v>
      </c>
      <c r="HA3" s="252" t="s">
        <v>800</v>
      </c>
      <c r="HB3" s="253" t="s">
        <v>3</v>
      </c>
      <c r="HC3" s="251" t="s">
        <v>799</v>
      </c>
      <c r="HD3" s="252" t="s">
        <v>800</v>
      </c>
      <c r="HE3" s="253" t="s">
        <v>3</v>
      </c>
      <c r="HF3" s="251" t="s">
        <v>799</v>
      </c>
      <c r="HG3" s="252" t="s">
        <v>800</v>
      </c>
      <c r="HH3" s="253" t="s">
        <v>3</v>
      </c>
      <c r="HI3" s="251" t="s">
        <v>799</v>
      </c>
      <c r="HJ3" s="252" t="s">
        <v>800</v>
      </c>
      <c r="HK3" s="253" t="s">
        <v>3</v>
      </c>
      <c r="HL3" s="251" t="s">
        <v>799</v>
      </c>
      <c r="HM3" s="252" t="s">
        <v>800</v>
      </c>
      <c r="HN3" s="253" t="s">
        <v>3</v>
      </c>
      <c r="HO3" s="251" t="s">
        <v>799</v>
      </c>
      <c r="HP3" s="252" t="s">
        <v>800</v>
      </c>
      <c r="HQ3" s="253" t="s">
        <v>3</v>
      </c>
      <c r="HR3" s="251" t="s">
        <v>799</v>
      </c>
      <c r="HS3" s="252" t="s">
        <v>800</v>
      </c>
      <c r="HT3" s="253" t="s">
        <v>3</v>
      </c>
      <c r="HU3" s="251" t="s">
        <v>799</v>
      </c>
      <c r="HV3" s="252" t="s">
        <v>800</v>
      </c>
      <c r="HW3" s="253" t="s">
        <v>3</v>
      </c>
      <c r="HX3" s="251" t="s">
        <v>799</v>
      </c>
      <c r="HY3" s="252" t="s">
        <v>800</v>
      </c>
      <c r="HZ3" s="253" t="s">
        <v>3</v>
      </c>
      <c r="IA3" s="251" t="s">
        <v>799</v>
      </c>
      <c r="IB3" s="252" t="s">
        <v>800</v>
      </c>
      <c r="IC3" s="253" t="s">
        <v>3</v>
      </c>
      <c r="ID3" s="251" t="s">
        <v>799</v>
      </c>
      <c r="IE3" s="252" t="s">
        <v>800</v>
      </c>
      <c r="IF3" s="253" t="s">
        <v>3</v>
      </c>
      <c r="IG3" s="251" t="s">
        <v>799</v>
      </c>
      <c r="IH3" s="252" t="s">
        <v>800</v>
      </c>
      <c r="II3" s="253" t="s">
        <v>3</v>
      </c>
      <c r="IJ3" s="251" t="s">
        <v>799</v>
      </c>
      <c r="IK3" s="252" t="s">
        <v>800</v>
      </c>
      <c r="IL3" s="253" t="s">
        <v>3</v>
      </c>
      <c r="IM3" s="251" t="s">
        <v>799</v>
      </c>
      <c r="IN3" s="252" t="s">
        <v>800</v>
      </c>
      <c r="IO3" s="253" t="s">
        <v>3</v>
      </c>
      <c r="IP3" s="251" t="s">
        <v>799</v>
      </c>
      <c r="IQ3" s="252" t="s">
        <v>800</v>
      </c>
      <c r="IR3" s="253" t="s">
        <v>3</v>
      </c>
      <c r="IS3" s="251" t="s">
        <v>799</v>
      </c>
      <c r="IT3" s="252" t="s">
        <v>800</v>
      </c>
      <c r="IU3" s="253" t="s">
        <v>3</v>
      </c>
      <c r="IV3" s="251" t="s">
        <v>799</v>
      </c>
      <c r="IW3" s="252" t="s">
        <v>800</v>
      </c>
      <c r="IX3" s="253" t="s">
        <v>3</v>
      </c>
      <c r="IY3" s="251" t="s">
        <v>799</v>
      </c>
      <c r="IZ3" s="252" t="s">
        <v>800</v>
      </c>
      <c r="JA3" s="253" t="s">
        <v>3</v>
      </c>
      <c r="JB3" s="251" t="s">
        <v>799</v>
      </c>
      <c r="JC3" s="252" t="s">
        <v>800</v>
      </c>
      <c r="JD3" s="253" t="s">
        <v>3</v>
      </c>
      <c r="JE3" s="251" t="s">
        <v>799</v>
      </c>
      <c r="JF3" s="252" t="s">
        <v>800</v>
      </c>
      <c r="JG3" s="253" t="s">
        <v>3</v>
      </c>
      <c r="JH3" s="251" t="s">
        <v>799</v>
      </c>
      <c r="JI3" s="252" t="s">
        <v>800</v>
      </c>
      <c r="JJ3" s="253" t="s">
        <v>3</v>
      </c>
      <c r="JK3" s="251" t="s">
        <v>799</v>
      </c>
      <c r="JL3" s="252" t="s">
        <v>800</v>
      </c>
      <c r="JM3" s="253" t="s">
        <v>3</v>
      </c>
      <c r="JN3" s="251" t="s">
        <v>799</v>
      </c>
      <c r="JO3" s="252" t="s">
        <v>800</v>
      </c>
      <c r="JP3" s="253" t="s">
        <v>3</v>
      </c>
      <c r="JQ3" s="251" t="s">
        <v>799</v>
      </c>
      <c r="JR3" s="252" t="s">
        <v>800</v>
      </c>
      <c r="JS3" s="253" t="s">
        <v>3</v>
      </c>
      <c r="JT3" s="251" t="s">
        <v>799</v>
      </c>
      <c r="JU3" s="252" t="s">
        <v>800</v>
      </c>
      <c r="JV3" s="253" t="s">
        <v>3</v>
      </c>
      <c r="JW3" s="251" t="s">
        <v>799</v>
      </c>
      <c r="JX3" s="252" t="s">
        <v>800</v>
      </c>
      <c r="JY3" s="253" t="s">
        <v>3</v>
      </c>
      <c r="JZ3" s="251" t="s">
        <v>799</v>
      </c>
      <c r="KA3" s="252" t="s">
        <v>800</v>
      </c>
      <c r="KB3" s="253" t="s">
        <v>3</v>
      </c>
      <c r="KC3" s="251" t="s">
        <v>799</v>
      </c>
      <c r="KD3" s="252" t="s">
        <v>800</v>
      </c>
      <c r="KE3" s="253" t="s">
        <v>3</v>
      </c>
      <c r="KF3" s="251" t="s">
        <v>799</v>
      </c>
      <c r="KG3" s="252" t="s">
        <v>800</v>
      </c>
      <c r="KH3" s="253" t="s">
        <v>3</v>
      </c>
      <c r="KI3" s="251" t="s">
        <v>799</v>
      </c>
      <c r="KJ3" s="252" t="s">
        <v>800</v>
      </c>
      <c r="KK3" s="253" t="s">
        <v>3</v>
      </c>
      <c r="KL3" s="251" t="s">
        <v>799</v>
      </c>
      <c r="KM3" s="252" t="s">
        <v>800</v>
      </c>
      <c r="KN3" s="253" t="s">
        <v>3</v>
      </c>
      <c r="KO3" s="251" t="s">
        <v>799</v>
      </c>
      <c r="KP3" s="252" t="s">
        <v>800</v>
      </c>
      <c r="KQ3" s="253" t="s">
        <v>3</v>
      </c>
      <c r="KR3" s="251" t="s">
        <v>799</v>
      </c>
      <c r="KS3" s="252" t="s">
        <v>800</v>
      </c>
      <c r="KT3" s="253" t="s">
        <v>3</v>
      </c>
      <c r="KU3" s="251" t="s">
        <v>799</v>
      </c>
      <c r="KV3" s="252" t="s">
        <v>800</v>
      </c>
      <c r="KW3" s="253" t="s">
        <v>3</v>
      </c>
      <c r="KX3" s="251" t="s">
        <v>799</v>
      </c>
      <c r="KY3" s="252" t="s">
        <v>800</v>
      </c>
      <c r="KZ3" s="253" t="s">
        <v>3</v>
      </c>
      <c r="LA3" s="251" t="s">
        <v>799</v>
      </c>
      <c r="LB3" s="252" t="s">
        <v>800</v>
      </c>
      <c r="LC3" s="253" t="s">
        <v>3</v>
      </c>
      <c r="LD3" s="251" t="s">
        <v>799</v>
      </c>
      <c r="LE3" s="252" t="s">
        <v>800</v>
      </c>
      <c r="LF3" s="253" t="s">
        <v>3</v>
      </c>
      <c r="LG3" s="251" t="s">
        <v>799</v>
      </c>
      <c r="LH3" s="252" t="s">
        <v>800</v>
      </c>
      <c r="LI3" s="253" t="s">
        <v>3</v>
      </c>
      <c r="LJ3" s="251" t="s">
        <v>799</v>
      </c>
      <c r="LK3" s="252" t="s">
        <v>800</v>
      </c>
      <c r="LL3" s="253" t="s">
        <v>3</v>
      </c>
      <c r="LM3" s="251" t="s">
        <v>799</v>
      </c>
      <c r="LN3" s="252" t="s">
        <v>800</v>
      </c>
      <c r="LO3" s="253" t="s">
        <v>3</v>
      </c>
    </row>
    <row r="4" spans="1:327" x14ac:dyDescent="0.2">
      <c r="A4" s="1000" t="s">
        <v>573</v>
      </c>
      <c r="B4" s="746"/>
      <c r="C4" s="146" t="s">
        <v>574</v>
      </c>
      <c r="D4" s="441">
        <v>7</v>
      </c>
      <c r="E4" s="442"/>
      <c r="F4" s="443">
        <v>100</v>
      </c>
      <c r="G4" s="441">
        <v>13</v>
      </c>
      <c r="H4" s="442"/>
      <c r="I4" s="443">
        <v>100</v>
      </c>
      <c r="J4" s="441">
        <v>14</v>
      </c>
      <c r="K4" s="442"/>
      <c r="L4" s="443">
        <v>100</v>
      </c>
      <c r="M4" s="441"/>
      <c r="N4" s="442"/>
      <c r="O4" s="443"/>
      <c r="P4" s="441">
        <v>4</v>
      </c>
      <c r="Q4" s="442"/>
      <c r="R4" s="443">
        <v>100</v>
      </c>
      <c r="S4" s="441">
        <v>9</v>
      </c>
      <c r="T4" s="442"/>
      <c r="U4" s="443">
        <v>100</v>
      </c>
      <c r="V4" s="441">
        <v>6</v>
      </c>
      <c r="W4" s="442"/>
      <c r="X4" s="443">
        <v>100</v>
      </c>
      <c r="Y4" s="441"/>
      <c r="Z4" s="442"/>
      <c r="AA4" s="443"/>
      <c r="AB4" s="441">
        <v>3</v>
      </c>
      <c r="AC4" s="442"/>
      <c r="AD4" s="443">
        <v>100</v>
      </c>
      <c r="AE4" s="441">
        <v>3</v>
      </c>
      <c r="AF4" s="442"/>
      <c r="AG4" s="443">
        <v>100</v>
      </c>
      <c r="AH4" s="441">
        <v>6</v>
      </c>
      <c r="AI4" s="442"/>
      <c r="AJ4" s="443">
        <v>100</v>
      </c>
      <c r="AK4" s="441"/>
      <c r="AL4" s="442"/>
      <c r="AM4" s="443"/>
      <c r="AN4" s="441">
        <v>32</v>
      </c>
      <c r="AO4" s="442">
        <v>6</v>
      </c>
      <c r="AP4" s="443">
        <v>84.2</v>
      </c>
      <c r="AQ4" s="441">
        <v>24</v>
      </c>
      <c r="AR4" s="442">
        <v>13</v>
      </c>
      <c r="AS4" s="443">
        <v>64.900000000000006</v>
      </c>
      <c r="AT4" s="441">
        <v>35</v>
      </c>
      <c r="AU4" s="442">
        <v>10</v>
      </c>
      <c r="AV4" s="443">
        <v>77.8</v>
      </c>
      <c r="AW4" s="441"/>
      <c r="AX4" s="442"/>
      <c r="AY4" s="443"/>
      <c r="AZ4" s="441">
        <v>28</v>
      </c>
      <c r="BA4" s="442">
        <v>6</v>
      </c>
      <c r="BB4" s="443">
        <v>82.4</v>
      </c>
      <c r="BC4" s="441">
        <v>22</v>
      </c>
      <c r="BD4" s="442">
        <v>13</v>
      </c>
      <c r="BE4" s="443">
        <v>62.9</v>
      </c>
      <c r="BF4" s="441">
        <v>29</v>
      </c>
      <c r="BG4" s="442">
        <v>10</v>
      </c>
      <c r="BH4" s="443">
        <v>74.400000000000006</v>
      </c>
      <c r="BI4" s="441"/>
      <c r="BJ4" s="442"/>
      <c r="BK4" s="443"/>
      <c r="BL4" s="441"/>
      <c r="BM4" s="442"/>
      <c r="BN4" s="443" t="s">
        <v>6</v>
      </c>
      <c r="BO4" s="441">
        <v>4</v>
      </c>
      <c r="BP4" s="442"/>
      <c r="BQ4" s="443">
        <v>100</v>
      </c>
      <c r="BR4" s="441">
        <v>1</v>
      </c>
      <c r="BS4" s="442">
        <v>2</v>
      </c>
      <c r="BT4" s="443">
        <v>33.299999999999997</v>
      </c>
      <c r="BU4" s="441"/>
      <c r="BV4" s="442"/>
      <c r="BW4" s="443"/>
      <c r="BX4" s="441">
        <v>2</v>
      </c>
      <c r="BY4" s="442"/>
      <c r="BZ4" s="443">
        <v>100</v>
      </c>
      <c r="CA4" s="441"/>
      <c r="CB4" s="442"/>
      <c r="CC4" s="443" t="s">
        <v>6</v>
      </c>
      <c r="CD4" s="441"/>
      <c r="CE4" s="442"/>
      <c r="CF4" s="443" t="s">
        <v>6</v>
      </c>
      <c r="CG4" s="441"/>
      <c r="CH4" s="442"/>
      <c r="CI4" s="443"/>
      <c r="CJ4" s="441">
        <v>4</v>
      </c>
      <c r="CK4" s="442">
        <v>11</v>
      </c>
      <c r="CL4" s="443">
        <v>26.7</v>
      </c>
      <c r="CM4" s="441">
        <v>5</v>
      </c>
      <c r="CN4" s="442">
        <v>4</v>
      </c>
      <c r="CO4" s="443">
        <v>55.6</v>
      </c>
      <c r="CP4" s="441">
        <v>7</v>
      </c>
      <c r="CQ4" s="442">
        <v>4</v>
      </c>
      <c r="CR4" s="443">
        <v>63.6</v>
      </c>
      <c r="CS4" s="441"/>
      <c r="CT4" s="442"/>
      <c r="CU4" s="443"/>
      <c r="CV4" s="441">
        <v>10</v>
      </c>
      <c r="CW4" s="442"/>
      <c r="CX4" s="443">
        <v>100</v>
      </c>
      <c r="CY4" s="441">
        <v>10</v>
      </c>
      <c r="CZ4" s="442">
        <v>6</v>
      </c>
      <c r="DA4" s="443">
        <v>62.5</v>
      </c>
      <c r="DB4" s="441">
        <v>7</v>
      </c>
      <c r="DC4" s="442">
        <v>2</v>
      </c>
      <c r="DD4" s="443">
        <v>77.8</v>
      </c>
      <c r="DE4" s="441"/>
      <c r="DF4" s="442"/>
      <c r="DG4" s="443"/>
      <c r="DH4" s="441">
        <v>1</v>
      </c>
      <c r="DI4" s="442">
        <v>1</v>
      </c>
      <c r="DJ4" s="443">
        <v>50</v>
      </c>
      <c r="DK4" s="441">
        <v>1</v>
      </c>
      <c r="DL4" s="442">
        <v>1</v>
      </c>
      <c r="DM4" s="443">
        <v>50</v>
      </c>
      <c r="DN4" s="441">
        <v>1</v>
      </c>
      <c r="DO4" s="442"/>
      <c r="DP4" s="443">
        <v>100</v>
      </c>
      <c r="DQ4" s="441"/>
      <c r="DR4" s="442"/>
      <c r="DS4" s="443"/>
      <c r="DT4" s="441">
        <v>10</v>
      </c>
      <c r="DU4" s="442">
        <v>1</v>
      </c>
      <c r="DV4" s="443">
        <v>90.9</v>
      </c>
      <c r="DW4" s="441">
        <v>13</v>
      </c>
      <c r="DX4" s="442">
        <v>1</v>
      </c>
      <c r="DY4" s="443">
        <v>92.9</v>
      </c>
      <c r="DZ4" s="441">
        <v>7</v>
      </c>
      <c r="EA4" s="442">
        <v>1</v>
      </c>
      <c r="EB4" s="443">
        <v>87.5</v>
      </c>
      <c r="EC4" s="441"/>
      <c r="ED4" s="442"/>
      <c r="EE4" s="443"/>
      <c r="EF4" s="441">
        <v>24</v>
      </c>
      <c r="EG4" s="442">
        <v>11</v>
      </c>
      <c r="EH4" s="443">
        <v>68.599999999999994</v>
      </c>
      <c r="EI4" s="441">
        <v>13</v>
      </c>
      <c r="EJ4" s="442">
        <v>57</v>
      </c>
      <c r="EK4" s="443">
        <v>18.600000000000001</v>
      </c>
      <c r="EL4" s="441">
        <v>25</v>
      </c>
      <c r="EM4" s="442">
        <v>9</v>
      </c>
      <c r="EN4" s="443">
        <v>73.5</v>
      </c>
      <c r="EO4" s="441"/>
      <c r="EP4" s="442"/>
      <c r="EQ4" s="443"/>
      <c r="ER4" s="441">
        <v>2</v>
      </c>
      <c r="ES4" s="442">
        <v>7</v>
      </c>
      <c r="ET4" s="443">
        <v>22.2</v>
      </c>
      <c r="EU4" s="441">
        <v>1</v>
      </c>
      <c r="EV4" s="442">
        <v>10</v>
      </c>
      <c r="EW4" s="443">
        <v>9.1</v>
      </c>
      <c r="EX4" s="441">
        <v>4</v>
      </c>
      <c r="EY4" s="442">
        <v>5</v>
      </c>
      <c r="EZ4" s="443">
        <v>44.4</v>
      </c>
      <c r="FA4" s="441"/>
      <c r="FB4" s="442"/>
      <c r="FC4" s="443"/>
      <c r="FD4" s="441"/>
      <c r="FE4" s="442">
        <v>1</v>
      </c>
      <c r="FF4" s="443">
        <v>0</v>
      </c>
      <c r="FG4" s="441"/>
      <c r="FH4" s="442">
        <v>7</v>
      </c>
      <c r="FI4" s="443">
        <v>0</v>
      </c>
      <c r="FJ4" s="441"/>
      <c r="FK4" s="442">
        <v>1</v>
      </c>
      <c r="FL4" s="443">
        <v>0</v>
      </c>
      <c r="FM4" s="441"/>
      <c r="FN4" s="442"/>
      <c r="FO4" s="443"/>
      <c r="FP4" s="441">
        <v>1</v>
      </c>
      <c r="FQ4" s="442">
        <v>1</v>
      </c>
      <c r="FR4" s="443">
        <v>50</v>
      </c>
      <c r="FS4" s="441">
        <v>1</v>
      </c>
      <c r="FT4" s="442">
        <v>21</v>
      </c>
      <c r="FU4" s="443">
        <v>4.5</v>
      </c>
      <c r="FV4" s="441"/>
      <c r="FW4" s="442">
        <v>2</v>
      </c>
      <c r="FX4" s="443">
        <v>0</v>
      </c>
      <c r="FY4" s="441"/>
      <c r="FZ4" s="442"/>
      <c r="GA4" s="443"/>
      <c r="GB4" s="441">
        <v>83</v>
      </c>
      <c r="GC4" s="442">
        <v>4</v>
      </c>
      <c r="GD4" s="443">
        <v>95.4</v>
      </c>
      <c r="GE4" s="441">
        <v>25</v>
      </c>
      <c r="GF4" s="442">
        <v>11</v>
      </c>
      <c r="GG4" s="443">
        <v>69.400000000000006</v>
      </c>
      <c r="GH4" s="441">
        <v>10</v>
      </c>
      <c r="GI4" s="442">
        <v>4</v>
      </c>
      <c r="GJ4" s="443">
        <v>71.400000000000006</v>
      </c>
      <c r="GK4" s="441"/>
      <c r="GL4" s="442"/>
      <c r="GM4" s="443"/>
      <c r="GN4" s="441">
        <v>2</v>
      </c>
      <c r="GO4" s="442"/>
      <c r="GP4" s="443">
        <v>100</v>
      </c>
      <c r="GQ4" s="441">
        <v>2</v>
      </c>
      <c r="GR4" s="442"/>
      <c r="GS4" s="443">
        <v>100</v>
      </c>
      <c r="GT4" s="441">
        <v>2</v>
      </c>
      <c r="GU4" s="442"/>
      <c r="GV4" s="443">
        <v>100</v>
      </c>
      <c r="GW4" s="441"/>
      <c r="GX4" s="442"/>
      <c r="GY4" s="443"/>
      <c r="GZ4" s="441"/>
      <c r="HA4" s="442"/>
      <c r="HB4" s="443" t="s">
        <v>6</v>
      </c>
      <c r="HC4" s="441"/>
      <c r="HD4" s="442">
        <v>3</v>
      </c>
      <c r="HE4" s="443">
        <v>0</v>
      </c>
      <c r="HF4" s="441">
        <v>3</v>
      </c>
      <c r="HG4" s="442">
        <v>3</v>
      </c>
      <c r="HH4" s="443">
        <v>50</v>
      </c>
      <c r="HI4" s="441"/>
      <c r="HJ4" s="442"/>
      <c r="HK4" s="443"/>
      <c r="HL4" s="441">
        <v>3</v>
      </c>
      <c r="HM4" s="442"/>
      <c r="HN4" s="443">
        <v>100</v>
      </c>
      <c r="HO4" s="441">
        <v>6</v>
      </c>
      <c r="HP4" s="442">
        <v>1</v>
      </c>
      <c r="HQ4" s="443">
        <v>85.7</v>
      </c>
      <c r="HR4" s="441">
        <v>3</v>
      </c>
      <c r="HS4" s="442">
        <v>3</v>
      </c>
      <c r="HT4" s="443">
        <v>50</v>
      </c>
      <c r="HU4" s="441"/>
      <c r="HV4" s="442"/>
      <c r="HW4" s="443"/>
      <c r="HX4" s="441">
        <v>3</v>
      </c>
      <c r="HY4" s="442">
        <v>1</v>
      </c>
      <c r="HZ4" s="443">
        <v>75</v>
      </c>
      <c r="IA4" s="441">
        <v>10</v>
      </c>
      <c r="IB4" s="442">
        <v>3</v>
      </c>
      <c r="IC4" s="443">
        <v>76.900000000000006</v>
      </c>
      <c r="ID4" s="441">
        <v>3</v>
      </c>
      <c r="IE4" s="442"/>
      <c r="IF4" s="443">
        <v>100</v>
      </c>
      <c r="IG4" s="441"/>
      <c r="IH4" s="442"/>
      <c r="II4" s="443"/>
      <c r="IJ4" s="441"/>
      <c r="IK4" s="442"/>
      <c r="IL4" s="443" t="s">
        <v>6</v>
      </c>
      <c r="IM4" s="441">
        <v>2</v>
      </c>
      <c r="IN4" s="442"/>
      <c r="IO4" s="443">
        <v>100</v>
      </c>
      <c r="IP4" s="441"/>
      <c r="IQ4" s="442"/>
      <c r="IR4" s="443" t="s">
        <v>6</v>
      </c>
      <c r="IS4" s="441"/>
      <c r="IT4" s="442"/>
      <c r="IU4" s="443"/>
      <c r="IV4" s="441">
        <v>181</v>
      </c>
      <c r="IW4" s="442">
        <v>35</v>
      </c>
      <c r="IX4" s="443">
        <v>83.8</v>
      </c>
      <c r="IY4" s="441">
        <v>124</v>
      </c>
      <c r="IZ4" s="442">
        <v>100</v>
      </c>
      <c r="JA4" s="443">
        <v>55.4</v>
      </c>
      <c r="JB4" s="441">
        <v>117</v>
      </c>
      <c r="JC4" s="442">
        <v>36</v>
      </c>
      <c r="JD4" s="443">
        <v>76.5</v>
      </c>
      <c r="JE4" s="441"/>
      <c r="JF4" s="442"/>
      <c r="JG4" s="443"/>
      <c r="JH4" s="441">
        <v>26</v>
      </c>
      <c r="JI4" s="442">
        <v>19</v>
      </c>
      <c r="JJ4" s="443">
        <v>57.8</v>
      </c>
      <c r="JK4" s="441">
        <v>45</v>
      </c>
      <c r="JL4" s="442">
        <v>38</v>
      </c>
      <c r="JM4" s="443">
        <v>54.2</v>
      </c>
      <c r="JN4" s="441">
        <v>45</v>
      </c>
      <c r="JO4" s="442">
        <v>16</v>
      </c>
      <c r="JP4" s="443">
        <v>73.8</v>
      </c>
      <c r="JQ4" s="441"/>
      <c r="JR4" s="442"/>
      <c r="JS4" s="443"/>
      <c r="JT4" s="441">
        <v>17</v>
      </c>
      <c r="JU4" s="442">
        <v>14</v>
      </c>
      <c r="JV4" s="443">
        <v>54.8</v>
      </c>
      <c r="JW4" s="441">
        <v>36</v>
      </c>
      <c r="JX4" s="442">
        <v>5</v>
      </c>
      <c r="JY4" s="443">
        <v>87.8</v>
      </c>
      <c r="JZ4" s="441">
        <v>24</v>
      </c>
      <c r="KA4" s="442">
        <v>5</v>
      </c>
      <c r="KB4" s="443">
        <v>82.8</v>
      </c>
      <c r="KC4" s="441"/>
      <c r="KD4" s="442"/>
      <c r="KE4" s="443"/>
      <c r="KF4" s="441">
        <v>6</v>
      </c>
      <c r="KG4" s="442">
        <v>5</v>
      </c>
      <c r="KH4" s="443">
        <v>54.5</v>
      </c>
      <c r="KI4" s="441">
        <v>5</v>
      </c>
      <c r="KJ4" s="442">
        <v>1</v>
      </c>
      <c r="KK4" s="443">
        <v>83.3</v>
      </c>
      <c r="KL4" s="441">
        <v>14</v>
      </c>
      <c r="KM4" s="442">
        <v>4</v>
      </c>
      <c r="KN4" s="443">
        <v>77.8</v>
      </c>
      <c r="KO4" s="441"/>
      <c r="KP4" s="442"/>
      <c r="KQ4" s="443"/>
      <c r="KR4" s="441">
        <v>78</v>
      </c>
      <c r="KS4" s="442">
        <v>161</v>
      </c>
      <c r="KT4" s="443">
        <v>32.6</v>
      </c>
      <c r="KU4" s="441">
        <v>125</v>
      </c>
      <c r="KV4" s="442">
        <v>166</v>
      </c>
      <c r="KW4" s="443">
        <v>43</v>
      </c>
      <c r="KX4" s="441">
        <v>151</v>
      </c>
      <c r="KY4" s="442">
        <v>112</v>
      </c>
      <c r="KZ4" s="443">
        <v>57.4</v>
      </c>
      <c r="LA4" s="441"/>
      <c r="LB4" s="442"/>
      <c r="LC4" s="443"/>
      <c r="LD4" s="441">
        <v>436</v>
      </c>
      <c r="LE4" s="442">
        <v>220</v>
      </c>
      <c r="LF4" s="443">
        <v>66.5</v>
      </c>
      <c r="LG4" s="441">
        <v>470</v>
      </c>
      <c r="LH4" s="442">
        <v>289</v>
      </c>
      <c r="LI4" s="443">
        <v>61.9</v>
      </c>
      <c r="LJ4" s="441">
        <v>2663</v>
      </c>
      <c r="LK4" s="442">
        <v>215</v>
      </c>
      <c r="LL4" s="443">
        <v>92.5</v>
      </c>
      <c r="LM4" s="441"/>
      <c r="LN4" s="442"/>
      <c r="LO4" s="443"/>
    </row>
    <row r="5" spans="1:327" x14ac:dyDescent="0.2">
      <c r="A5" s="1001"/>
      <c r="B5" s="747"/>
      <c r="C5" s="151" t="s">
        <v>629</v>
      </c>
      <c r="D5" s="377"/>
      <c r="E5" s="373"/>
      <c r="F5" s="444" t="s">
        <v>6</v>
      </c>
      <c r="G5" s="377"/>
      <c r="H5" s="373"/>
      <c r="I5" s="444" t="s">
        <v>6</v>
      </c>
      <c r="J5" s="377"/>
      <c r="K5" s="373"/>
      <c r="L5" s="444" t="s">
        <v>6</v>
      </c>
      <c r="M5" s="377"/>
      <c r="N5" s="373"/>
      <c r="O5" s="444"/>
      <c r="P5" s="377"/>
      <c r="Q5" s="373"/>
      <c r="R5" s="444" t="s">
        <v>6</v>
      </c>
      <c r="S5" s="377"/>
      <c r="T5" s="373"/>
      <c r="U5" s="444" t="s">
        <v>6</v>
      </c>
      <c r="V5" s="377"/>
      <c r="W5" s="373"/>
      <c r="X5" s="444" t="s">
        <v>6</v>
      </c>
      <c r="Y5" s="377"/>
      <c r="Z5" s="373"/>
      <c r="AA5" s="444"/>
      <c r="AB5" s="377"/>
      <c r="AC5" s="373"/>
      <c r="AD5" s="444" t="s">
        <v>6</v>
      </c>
      <c r="AE5" s="377"/>
      <c r="AF5" s="373"/>
      <c r="AG5" s="444" t="s">
        <v>6</v>
      </c>
      <c r="AH5" s="377"/>
      <c r="AI5" s="373"/>
      <c r="AJ5" s="444" t="s">
        <v>6</v>
      </c>
      <c r="AK5" s="377"/>
      <c r="AL5" s="373"/>
      <c r="AM5" s="444"/>
      <c r="AN5" s="377">
        <v>1</v>
      </c>
      <c r="AO5" s="373">
        <v>5</v>
      </c>
      <c r="AP5" s="444">
        <v>16.7</v>
      </c>
      <c r="AQ5" s="377">
        <v>4</v>
      </c>
      <c r="AR5" s="373">
        <v>3</v>
      </c>
      <c r="AS5" s="444">
        <v>57.1</v>
      </c>
      <c r="AT5" s="377">
        <v>11</v>
      </c>
      <c r="AU5" s="373">
        <v>4</v>
      </c>
      <c r="AV5" s="444">
        <v>73.3</v>
      </c>
      <c r="AW5" s="377"/>
      <c r="AX5" s="373"/>
      <c r="AY5" s="444"/>
      <c r="AZ5" s="377">
        <v>1</v>
      </c>
      <c r="BA5" s="373">
        <v>4</v>
      </c>
      <c r="BB5" s="444">
        <v>20</v>
      </c>
      <c r="BC5" s="377">
        <v>3</v>
      </c>
      <c r="BD5" s="373">
        <v>3</v>
      </c>
      <c r="BE5" s="444">
        <v>50</v>
      </c>
      <c r="BF5" s="377">
        <v>4</v>
      </c>
      <c r="BG5" s="373">
        <v>4</v>
      </c>
      <c r="BH5" s="444">
        <v>50</v>
      </c>
      <c r="BI5" s="377"/>
      <c r="BJ5" s="373"/>
      <c r="BK5" s="444"/>
      <c r="BL5" s="377"/>
      <c r="BM5" s="373"/>
      <c r="BN5" s="444" t="s">
        <v>6</v>
      </c>
      <c r="BO5" s="377"/>
      <c r="BP5" s="373"/>
      <c r="BQ5" s="444" t="s">
        <v>6</v>
      </c>
      <c r="BR5" s="377"/>
      <c r="BS5" s="373"/>
      <c r="BT5" s="444" t="s">
        <v>6</v>
      </c>
      <c r="BU5" s="377"/>
      <c r="BV5" s="373"/>
      <c r="BW5" s="444"/>
      <c r="BX5" s="377"/>
      <c r="BY5" s="373"/>
      <c r="BZ5" s="444" t="s">
        <v>6</v>
      </c>
      <c r="CA5" s="377"/>
      <c r="CB5" s="373"/>
      <c r="CC5" s="444" t="s">
        <v>6</v>
      </c>
      <c r="CD5" s="377"/>
      <c r="CE5" s="373"/>
      <c r="CF5" s="444" t="s">
        <v>6</v>
      </c>
      <c r="CG5" s="377"/>
      <c r="CH5" s="373"/>
      <c r="CI5" s="444"/>
      <c r="CJ5" s="377"/>
      <c r="CK5" s="373"/>
      <c r="CL5" s="444" t="s">
        <v>6</v>
      </c>
      <c r="CM5" s="377"/>
      <c r="CN5" s="373"/>
      <c r="CO5" s="444" t="s">
        <v>6</v>
      </c>
      <c r="CP5" s="377"/>
      <c r="CQ5" s="373"/>
      <c r="CR5" s="444" t="s">
        <v>6</v>
      </c>
      <c r="CS5" s="377"/>
      <c r="CT5" s="373"/>
      <c r="CU5" s="444"/>
      <c r="CV5" s="377">
        <v>3</v>
      </c>
      <c r="CW5" s="373">
        <v>9</v>
      </c>
      <c r="CX5" s="444">
        <v>25</v>
      </c>
      <c r="CY5" s="377">
        <v>5</v>
      </c>
      <c r="CZ5" s="373">
        <v>7</v>
      </c>
      <c r="DA5" s="444">
        <v>41.7</v>
      </c>
      <c r="DB5" s="377">
        <v>19</v>
      </c>
      <c r="DC5" s="373">
        <v>2</v>
      </c>
      <c r="DD5" s="444">
        <v>90.5</v>
      </c>
      <c r="DE5" s="377"/>
      <c r="DF5" s="373"/>
      <c r="DG5" s="444"/>
      <c r="DH5" s="377"/>
      <c r="DI5" s="373"/>
      <c r="DJ5" s="444" t="s">
        <v>6</v>
      </c>
      <c r="DK5" s="377"/>
      <c r="DL5" s="373"/>
      <c r="DM5" s="444" t="s">
        <v>6</v>
      </c>
      <c r="DN5" s="377"/>
      <c r="DO5" s="373">
        <v>2</v>
      </c>
      <c r="DP5" s="444">
        <v>0</v>
      </c>
      <c r="DQ5" s="377"/>
      <c r="DR5" s="373"/>
      <c r="DS5" s="444"/>
      <c r="DT5" s="377">
        <v>1</v>
      </c>
      <c r="DU5" s="373"/>
      <c r="DV5" s="444">
        <v>100</v>
      </c>
      <c r="DW5" s="377"/>
      <c r="DX5" s="373"/>
      <c r="DY5" s="444" t="s">
        <v>6</v>
      </c>
      <c r="DZ5" s="377"/>
      <c r="EA5" s="373"/>
      <c r="EB5" s="444" t="s">
        <v>6</v>
      </c>
      <c r="EC5" s="377"/>
      <c r="ED5" s="373"/>
      <c r="EE5" s="444"/>
      <c r="EF5" s="377">
        <v>13</v>
      </c>
      <c r="EG5" s="373">
        <v>423</v>
      </c>
      <c r="EH5" s="444">
        <v>3</v>
      </c>
      <c r="EI5" s="377">
        <v>30</v>
      </c>
      <c r="EJ5" s="373">
        <v>345</v>
      </c>
      <c r="EK5" s="444">
        <v>8</v>
      </c>
      <c r="EL5" s="377">
        <v>31</v>
      </c>
      <c r="EM5" s="373">
        <v>254</v>
      </c>
      <c r="EN5" s="444">
        <v>10.9</v>
      </c>
      <c r="EO5" s="377"/>
      <c r="EP5" s="373"/>
      <c r="EQ5" s="444"/>
      <c r="ER5" s="377">
        <v>1</v>
      </c>
      <c r="ES5" s="373">
        <v>61</v>
      </c>
      <c r="ET5" s="444">
        <v>1.6</v>
      </c>
      <c r="EU5" s="377">
        <v>5</v>
      </c>
      <c r="EV5" s="373">
        <v>30</v>
      </c>
      <c r="EW5" s="444">
        <v>14.3</v>
      </c>
      <c r="EX5" s="377">
        <v>1</v>
      </c>
      <c r="EY5" s="373">
        <v>31</v>
      </c>
      <c r="EZ5" s="444">
        <v>3.1</v>
      </c>
      <c r="FA5" s="377"/>
      <c r="FB5" s="373"/>
      <c r="FC5" s="444"/>
      <c r="FD5" s="377">
        <v>2</v>
      </c>
      <c r="FE5" s="373">
        <v>59</v>
      </c>
      <c r="FF5" s="444">
        <v>3.3</v>
      </c>
      <c r="FG5" s="377">
        <v>4</v>
      </c>
      <c r="FH5" s="373">
        <v>56</v>
      </c>
      <c r="FI5" s="444">
        <v>6.7</v>
      </c>
      <c r="FJ5" s="377">
        <v>1</v>
      </c>
      <c r="FK5" s="373">
        <v>21</v>
      </c>
      <c r="FL5" s="444">
        <v>4.5</v>
      </c>
      <c r="FM5" s="377"/>
      <c r="FN5" s="373"/>
      <c r="FO5" s="444"/>
      <c r="FP5" s="377">
        <v>1</v>
      </c>
      <c r="FQ5" s="373">
        <v>100</v>
      </c>
      <c r="FR5" s="444">
        <v>1</v>
      </c>
      <c r="FS5" s="377">
        <v>10</v>
      </c>
      <c r="FT5" s="373">
        <v>77</v>
      </c>
      <c r="FU5" s="444">
        <v>11.5</v>
      </c>
      <c r="FV5" s="377">
        <v>3</v>
      </c>
      <c r="FW5" s="373">
        <v>53</v>
      </c>
      <c r="FX5" s="444">
        <v>5.4</v>
      </c>
      <c r="FY5" s="377"/>
      <c r="FZ5" s="373"/>
      <c r="GA5" s="444"/>
      <c r="GB5" s="377">
        <v>4</v>
      </c>
      <c r="GC5" s="373">
        <v>2</v>
      </c>
      <c r="GD5" s="444">
        <v>66.7</v>
      </c>
      <c r="GE5" s="377">
        <v>1</v>
      </c>
      <c r="GF5" s="373">
        <v>2</v>
      </c>
      <c r="GG5" s="444">
        <v>33.299999999999997</v>
      </c>
      <c r="GH5" s="377">
        <v>1</v>
      </c>
      <c r="GI5" s="373"/>
      <c r="GJ5" s="444">
        <v>100</v>
      </c>
      <c r="GK5" s="377"/>
      <c r="GL5" s="373"/>
      <c r="GM5" s="444"/>
      <c r="GN5" s="377"/>
      <c r="GO5" s="373">
        <v>8</v>
      </c>
      <c r="GP5" s="444">
        <v>0</v>
      </c>
      <c r="GQ5" s="377">
        <v>1</v>
      </c>
      <c r="GR5" s="373">
        <v>10</v>
      </c>
      <c r="GS5" s="444">
        <v>9.1</v>
      </c>
      <c r="GT5" s="377">
        <v>1</v>
      </c>
      <c r="GU5" s="373">
        <v>12</v>
      </c>
      <c r="GV5" s="444">
        <v>7.7</v>
      </c>
      <c r="GW5" s="377"/>
      <c r="GX5" s="373"/>
      <c r="GY5" s="444"/>
      <c r="GZ5" s="377"/>
      <c r="HA5" s="373"/>
      <c r="HB5" s="444" t="s">
        <v>6</v>
      </c>
      <c r="HC5" s="377"/>
      <c r="HD5" s="373"/>
      <c r="HE5" s="444" t="s">
        <v>6</v>
      </c>
      <c r="HF5" s="377"/>
      <c r="HG5" s="373"/>
      <c r="HH5" s="444" t="s">
        <v>6</v>
      </c>
      <c r="HI5" s="377"/>
      <c r="HJ5" s="373"/>
      <c r="HK5" s="444"/>
      <c r="HL5" s="377">
        <v>2</v>
      </c>
      <c r="HM5" s="373">
        <v>37</v>
      </c>
      <c r="HN5" s="444">
        <v>5.0999999999999996</v>
      </c>
      <c r="HO5" s="377">
        <v>1</v>
      </c>
      <c r="HP5" s="373">
        <v>47</v>
      </c>
      <c r="HQ5" s="444">
        <v>2.1</v>
      </c>
      <c r="HR5" s="377">
        <v>3</v>
      </c>
      <c r="HS5" s="373">
        <v>48</v>
      </c>
      <c r="HT5" s="444">
        <v>5.9</v>
      </c>
      <c r="HU5" s="377"/>
      <c r="HV5" s="373"/>
      <c r="HW5" s="444"/>
      <c r="HX5" s="377"/>
      <c r="HY5" s="373"/>
      <c r="HZ5" s="444" t="s">
        <v>6</v>
      </c>
      <c r="IA5" s="377"/>
      <c r="IB5" s="373"/>
      <c r="IC5" s="444" t="s">
        <v>6</v>
      </c>
      <c r="ID5" s="377">
        <v>1</v>
      </c>
      <c r="IE5" s="373"/>
      <c r="IF5" s="444">
        <v>100</v>
      </c>
      <c r="IG5" s="377"/>
      <c r="IH5" s="373"/>
      <c r="II5" s="444"/>
      <c r="IJ5" s="377"/>
      <c r="IK5" s="373"/>
      <c r="IL5" s="444" t="s">
        <v>6</v>
      </c>
      <c r="IM5" s="377"/>
      <c r="IN5" s="373"/>
      <c r="IO5" s="444" t="s">
        <v>6</v>
      </c>
      <c r="IP5" s="377"/>
      <c r="IQ5" s="373"/>
      <c r="IR5" s="444" t="s">
        <v>6</v>
      </c>
      <c r="IS5" s="377"/>
      <c r="IT5" s="373"/>
      <c r="IU5" s="444"/>
      <c r="IV5" s="377">
        <v>24</v>
      </c>
      <c r="IW5" s="373">
        <v>484</v>
      </c>
      <c r="IX5" s="444">
        <v>4.7</v>
      </c>
      <c r="IY5" s="377">
        <v>42</v>
      </c>
      <c r="IZ5" s="373">
        <v>414</v>
      </c>
      <c r="JA5" s="444">
        <v>9.1999999999999993</v>
      </c>
      <c r="JB5" s="377">
        <v>67</v>
      </c>
      <c r="JC5" s="373">
        <v>322</v>
      </c>
      <c r="JD5" s="444">
        <v>17.2</v>
      </c>
      <c r="JE5" s="377"/>
      <c r="JF5" s="373"/>
      <c r="JG5" s="444"/>
      <c r="JH5" s="377">
        <v>11</v>
      </c>
      <c r="JI5" s="373">
        <v>198</v>
      </c>
      <c r="JJ5" s="444">
        <v>5.3</v>
      </c>
      <c r="JK5" s="377">
        <v>14</v>
      </c>
      <c r="JL5" s="373">
        <v>164</v>
      </c>
      <c r="JM5" s="444">
        <v>7.9</v>
      </c>
      <c r="JN5" s="377">
        <v>23</v>
      </c>
      <c r="JO5" s="373">
        <v>113</v>
      </c>
      <c r="JP5" s="444">
        <v>16.899999999999999</v>
      </c>
      <c r="JQ5" s="377"/>
      <c r="JR5" s="373"/>
      <c r="JS5" s="444"/>
      <c r="JT5" s="377">
        <v>1</v>
      </c>
      <c r="JU5" s="373">
        <v>4</v>
      </c>
      <c r="JV5" s="444">
        <v>20</v>
      </c>
      <c r="JW5" s="377"/>
      <c r="JX5" s="373"/>
      <c r="JY5" s="444" t="s">
        <v>6</v>
      </c>
      <c r="JZ5" s="377"/>
      <c r="KA5" s="373">
        <v>1</v>
      </c>
      <c r="KB5" s="444">
        <v>0</v>
      </c>
      <c r="KC5" s="377"/>
      <c r="KD5" s="373"/>
      <c r="KE5" s="444"/>
      <c r="KF5" s="377"/>
      <c r="KG5" s="373"/>
      <c r="KH5" s="444" t="s">
        <v>6</v>
      </c>
      <c r="KI5" s="377"/>
      <c r="KJ5" s="373"/>
      <c r="KK5" s="444" t="s">
        <v>6</v>
      </c>
      <c r="KL5" s="377"/>
      <c r="KM5" s="373"/>
      <c r="KN5" s="444" t="s">
        <v>6</v>
      </c>
      <c r="KO5" s="377"/>
      <c r="KP5" s="373"/>
      <c r="KQ5" s="444"/>
      <c r="KR5" s="377">
        <v>13</v>
      </c>
      <c r="KS5" s="373">
        <v>202</v>
      </c>
      <c r="KT5" s="444">
        <v>6</v>
      </c>
      <c r="KU5" s="377">
        <v>17</v>
      </c>
      <c r="KV5" s="373">
        <v>165</v>
      </c>
      <c r="KW5" s="444">
        <v>9.3000000000000007</v>
      </c>
      <c r="KX5" s="377">
        <v>26</v>
      </c>
      <c r="KY5" s="373">
        <v>115</v>
      </c>
      <c r="KZ5" s="444">
        <v>18.399999999999999</v>
      </c>
      <c r="LA5" s="377"/>
      <c r="LB5" s="373"/>
      <c r="LC5" s="444"/>
      <c r="LD5" s="377">
        <v>43</v>
      </c>
      <c r="LE5" s="373">
        <v>557</v>
      </c>
      <c r="LF5" s="444">
        <v>7.2</v>
      </c>
      <c r="LG5" s="377">
        <v>99</v>
      </c>
      <c r="LH5" s="373">
        <v>471</v>
      </c>
      <c r="LI5" s="444">
        <v>17.399999999999999</v>
      </c>
      <c r="LJ5" s="377">
        <v>93</v>
      </c>
      <c r="LK5" s="373">
        <v>406</v>
      </c>
      <c r="LL5" s="444">
        <v>18.600000000000001</v>
      </c>
      <c r="LM5" s="377"/>
      <c r="LN5" s="373"/>
      <c r="LO5" s="444"/>
    </row>
    <row r="6" spans="1:327" x14ac:dyDescent="0.2">
      <c r="A6" s="1001"/>
      <c r="B6" s="747"/>
      <c r="C6" s="151" t="s">
        <v>630</v>
      </c>
      <c r="D6" s="377"/>
      <c r="E6" s="373"/>
      <c r="F6" s="444" t="s">
        <v>6</v>
      </c>
      <c r="G6" s="377"/>
      <c r="H6" s="373"/>
      <c r="I6" s="444" t="s">
        <v>6</v>
      </c>
      <c r="J6" s="377"/>
      <c r="K6" s="373"/>
      <c r="L6" s="444" t="s">
        <v>6</v>
      </c>
      <c r="M6" s="377"/>
      <c r="N6" s="373"/>
      <c r="O6" s="444"/>
      <c r="P6" s="377"/>
      <c r="Q6" s="373"/>
      <c r="R6" s="444" t="s">
        <v>6</v>
      </c>
      <c r="S6" s="377"/>
      <c r="T6" s="373"/>
      <c r="U6" s="444" t="s">
        <v>6</v>
      </c>
      <c r="V6" s="377"/>
      <c r="W6" s="373"/>
      <c r="X6" s="444" t="s">
        <v>6</v>
      </c>
      <c r="Y6" s="377"/>
      <c r="Z6" s="373"/>
      <c r="AA6" s="444"/>
      <c r="AB6" s="377"/>
      <c r="AC6" s="373"/>
      <c r="AD6" s="444" t="s">
        <v>6</v>
      </c>
      <c r="AE6" s="377"/>
      <c r="AF6" s="373"/>
      <c r="AG6" s="444" t="s">
        <v>6</v>
      </c>
      <c r="AH6" s="377"/>
      <c r="AI6" s="373"/>
      <c r="AJ6" s="444" t="s">
        <v>6</v>
      </c>
      <c r="AK6" s="377"/>
      <c r="AL6" s="373"/>
      <c r="AM6" s="444"/>
      <c r="AN6" s="377">
        <v>21</v>
      </c>
      <c r="AO6" s="373">
        <v>9</v>
      </c>
      <c r="AP6" s="444">
        <v>70</v>
      </c>
      <c r="AQ6" s="377">
        <v>11</v>
      </c>
      <c r="AR6" s="373">
        <v>5</v>
      </c>
      <c r="AS6" s="444">
        <v>68.8</v>
      </c>
      <c r="AT6" s="377">
        <v>17</v>
      </c>
      <c r="AU6" s="373">
        <v>7</v>
      </c>
      <c r="AV6" s="444">
        <v>70.8</v>
      </c>
      <c r="AW6" s="377"/>
      <c r="AX6" s="373"/>
      <c r="AY6" s="444"/>
      <c r="AZ6" s="377">
        <v>10</v>
      </c>
      <c r="BA6" s="373">
        <v>7</v>
      </c>
      <c r="BB6" s="444">
        <v>58.8</v>
      </c>
      <c r="BC6" s="377">
        <v>4</v>
      </c>
      <c r="BD6" s="373">
        <v>3</v>
      </c>
      <c r="BE6" s="444">
        <v>57.1</v>
      </c>
      <c r="BF6" s="377">
        <v>7</v>
      </c>
      <c r="BG6" s="373">
        <v>5</v>
      </c>
      <c r="BH6" s="444">
        <v>58.3</v>
      </c>
      <c r="BI6" s="377"/>
      <c r="BJ6" s="373"/>
      <c r="BK6" s="444"/>
      <c r="BL6" s="377"/>
      <c r="BM6" s="373"/>
      <c r="BN6" s="444" t="s">
        <v>6</v>
      </c>
      <c r="BO6" s="377"/>
      <c r="BP6" s="373"/>
      <c r="BQ6" s="444" t="s">
        <v>6</v>
      </c>
      <c r="BR6" s="377"/>
      <c r="BS6" s="373"/>
      <c r="BT6" s="444" t="s">
        <v>6</v>
      </c>
      <c r="BU6" s="377"/>
      <c r="BV6" s="373"/>
      <c r="BW6" s="444"/>
      <c r="BX6" s="377"/>
      <c r="BY6" s="373"/>
      <c r="BZ6" s="444" t="s">
        <v>6</v>
      </c>
      <c r="CA6" s="377">
        <v>1</v>
      </c>
      <c r="CB6" s="373"/>
      <c r="CC6" s="444">
        <v>100</v>
      </c>
      <c r="CD6" s="377"/>
      <c r="CE6" s="373"/>
      <c r="CF6" s="444" t="s">
        <v>6</v>
      </c>
      <c r="CG6" s="377"/>
      <c r="CH6" s="373"/>
      <c r="CI6" s="444"/>
      <c r="CJ6" s="377"/>
      <c r="CK6" s="373"/>
      <c r="CL6" s="444" t="s">
        <v>6</v>
      </c>
      <c r="CM6" s="377"/>
      <c r="CN6" s="373"/>
      <c r="CO6" s="444" t="s">
        <v>6</v>
      </c>
      <c r="CP6" s="377"/>
      <c r="CQ6" s="373"/>
      <c r="CR6" s="444" t="s">
        <v>6</v>
      </c>
      <c r="CS6" s="377"/>
      <c r="CT6" s="373"/>
      <c r="CU6" s="444"/>
      <c r="CV6" s="377">
        <v>43</v>
      </c>
      <c r="CW6" s="373">
        <v>29</v>
      </c>
      <c r="CX6" s="444">
        <v>59.7</v>
      </c>
      <c r="CY6" s="377">
        <v>28</v>
      </c>
      <c r="CZ6" s="373">
        <v>14</v>
      </c>
      <c r="DA6" s="444">
        <v>66.7</v>
      </c>
      <c r="DB6" s="377">
        <v>28</v>
      </c>
      <c r="DC6" s="373">
        <v>16</v>
      </c>
      <c r="DD6" s="444">
        <v>63.6</v>
      </c>
      <c r="DE6" s="377"/>
      <c r="DF6" s="373"/>
      <c r="DG6" s="444"/>
      <c r="DH6" s="377">
        <v>2</v>
      </c>
      <c r="DI6" s="373"/>
      <c r="DJ6" s="444">
        <v>100</v>
      </c>
      <c r="DK6" s="377"/>
      <c r="DL6" s="373"/>
      <c r="DM6" s="444" t="s">
        <v>6</v>
      </c>
      <c r="DN6" s="377">
        <v>1</v>
      </c>
      <c r="DO6" s="373"/>
      <c r="DP6" s="444">
        <v>100</v>
      </c>
      <c r="DQ6" s="377"/>
      <c r="DR6" s="373"/>
      <c r="DS6" s="444"/>
      <c r="DT6" s="377">
        <v>1</v>
      </c>
      <c r="DU6" s="373"/>
      <c r="DV6" s="444">
        <v>100</v>
      </c>
      <c r="DW6" s="377"/>
      <c r="DX6" s="373"/>
      <c r="DY6" s="444" t="s">
        <v>6</v>
      </c>
      <c r="DZ6" s="377">
        <v>1</v>
      </c>
      <c r="EA6" s="373"/>
      <c r="EB6" s="444">
        <v>100</v>
      </c>
      <c r="EC6" s="377"/>
      <c r="ED6" s="373"/>
      <c r="EE6" s="444"/>
      <c r="EF6" s="377">
        <v>226</v>
      </c>
      <c r="EG6" s="373">
        <v>7428</v>
      </c>
      <c r="EH6" s="444">
        <v>3</v>
      </c>
      <c r="EI6" s="377">
        <v>360</v>
      </c>
      <c r="EJ6" s="373">
        <v>6436</v>
      </c>
      <c r="EK6" s="444">
        <v>5.3</v>
      </c>
      <c r="EL6" s="377">
        <v>370</v>
      </c>
      <c r="EM6" s="373">
        <v>5463</v>
      </c>
      <c r="EN6" s="444">
        <v>6.3</v>
      </c>
      <c r="EO6" s="377"/>
      <c r="EP6" s="373"/>
      <c r="EQ6" s="444"/>
      <c r="ER6" s="377">
        <v>28</v>
      </c>
      <c r="ES6" s="373">
        <v>200</v>
      </c>
      <c r="ET6" s="444">
        <v>12.3</v>
      </c>
      <c r="EU6" s="377">
        <v>59</v>
      </c>
      <c r="EV6" s="373">
        <v>134</v>
      </c>
      <c r="EW6" s="444">
        <v>30.6</v>
      </c>
      <c r="EX6" s="377">
        <v>4</v>
      </c>
      <c r="EY6" s="373">
        <v>85</v>
      </c>
      <c r="EZ6" s="444">
        <v>4.5</v>
      </c>
      <c r="FA6" s="377"/>
      <c r="FB6" s="373"/>
      <c r="FC6" s="444"/>
      <c r="FD6" s="377">
        <v>9</v>
      </c>
      <c r="FE6" s="373">
        <v>148</v>
      </c>
      <c r="FF6" s="444">
        <v>5.7</v>
      </c>
      <c r="FG6" s="377">
        <v>40</v>
      </c>
      <c r="FH6" s="373">
        <v>143</v>
      </c>
      <c r="FI6" s="444">
        <v>21.9</v>
      </c>
      <c r="FJ6" s="377">
        <v>37</v>
      </c>
      <c r="FK6" s="373">
        <v>91</v>
      </c>
      <c r="FL6" s="444">
        <v>28.9</v>
      </c>
      <c r="FM6" s="377"/>
      <c r="FN6" s="373"/>
      <c r="FO6" s="444"/>
      <c r="FP6" s="377">
        <v>42</v>
      </c>
      <c r="FQ6" s="373">
        <v>472</v>
      </c>
      <c r="FR6" s="444">
        <v>8.1999999999999993</v>
      </c>
      <c r="FS6" s="377">
        <v>65</v>
      </c>
      <c r="FT6" s="373">
        <v>293</v>
      </c>
      <c r="FU6" s="444">
        <v>18.2</v>
      </c>
      <c r="FV6" s="377">
        <v>60</v>
      </c>
      <c r="FW6" s="373">
        <v>275</v>
      </c>
      <c r="FX6" s="444">
        <v>17.899999999999999</v>
      </c>
      <c r="FY6" s="377"/>
      <c r="FZ6" s="373"/>
      <c r="GA6" s="444"/>
      <c r="GB6" s="377">
        <v>9</v>
      </c>
      <c r="GC6" s="373">
        <v>9</v>
      </c>
      <c r="GD6" s="444">
        <v>50</v>
      </c>
      <c r="GE6" s="377">
        <v>6</v>
      </c>
      <c r="GF6" s="373"/>
      <c r="GG6" s="444">
        <v>100</v>
      </c>
      <c r="GH6" s="377">
        <v>3</v>
      </c>
      <c r="GI6" s="373">
        <v>5</v>
      </c>
      <c r="GJ6" s="444">
        <v>37.5</v>
      </c>
      <c r="GK6" s="377"/>
      <c r="GL6" s="373"/>
      <c r="GM6" s="444"/>
      <c r="GN6" s="377">
        <v>8</v>
      </c>
      <c r="GO6" s="373">
        <v>74</v>
      </c>
      <c r="GP6" s="444">
        <v>9.8000000000000007</v>
      </c>
      <c r="GQ6" s="377">
        <v>13</v>
      </c>
      <c r="GR6" s="373">
        <v>67</v>
      </c>
      <c r="GS6" s="444">
        <v>16.3</v>
      </c>
      <c r="GT6" s="377">
        <v>9</v>
      </c>
      <c r="GU6" s="373">
        <v>33</v>
      </c>
      <c r="GV6" s="444">
        <v>21.4</v>
      </c>
      <c r="GW6" s="377"/>
      <c r="GX6" s="373"/>
      <c r="GY6" s="444"/>
      <c r="GZ6" s="377"/>
      <c r="HA6" s="373">
        <v>2</v>
      </c>
      <c r="HB6" s="444">
        <v>0</v>
      </c>
      <c r="HC6" s="377"/>
      <c r="HD6" s="373"/>
      <c r="HE6" s="444" t="s">
        <v>6</v>
      </c>
      <c r="HF6" s="377">
        <v>1</v>
      </c>
      <c r="HG6" s="373"/>
      <c r="HH6" s="444">
        <v>100</v>
      </c>
      <c r="HI6" s="377"/>
      <c r="HJ6" s="373"/>
      <c r="HK6" s="444"/>
      <c r="HL6" s="377">
        <v>26</v>
      </c>
      <c r="HM6" s="373">
        <v>137</v>
      </c>
      <c r="HN6" s="444">
        <v>16</v>
      </c>
      <c r="HO6" s="377">
        <v>13</v>
      </c>
      <c r="HP6" s="373">
        <v>118</v>
      </c>
      <c r="HQ6" s="444">
        <v>9.9</v>
      </c>
      <c r="HR6" s="377">
        <v>10</v>
      </c>
      <c r="HS6" s="373">
        <v>81</v>
      </c>
      <c r="HT6" s="444">
        <v>11</v>
      </c>
      <c r="HU6" s="377"/>
      <c r="HV6" s="373"/>
      <c r="HW6" s="444"/>
      <c r="HX6" s="377">
        <v>2</v>
      </c>
      <c r="HY6" s="373"/>
      <c r="HZ6" s="444">
        <v>100</v>
      </c>
      <c r="IA6" s="377">
        <v>4</v>
      </c>
      <c r="IB6" s="373"/>
      <c r="IC6" s="444">
        <v>100</v>
      </c>
      <c r="ID6" s="377">
        <v>5</v>
      </c>
      <c r="IE6" s="373"/>
      <c r="IF6" s="444">
        <v>100</v>
      </c>
      <c r="IG6" s="377"/>
      <c r="IH6" s="373"/>
      <c r="II6" s="444"/>
      <c r="IJ6" s="377"/>
      <c r="IK6" s="373">
        <v>23</v>
      </c>
      <c r="IL6" s="444">
        <v>0</v>
      </c>
      <c r="IM6" s="377">
        <v>1</v>
      </c>
      <c r="IN6" s="373">
        <v>1</v>
      </c>
      <c r="IO6" s="444">
        <v>50</v>
      </c>
      <c r="IP6" s="377">
        <v>1</v>
      </c>
      <c r="IQ6" s="373">
        <v>1</v>
      </c>
      <c r="IR6" s="444">
        <v>50</v>
      </c>
      <c r="IS6" s="377"/>
      <c r="IT6" s="373"/>
      <c r="IU6" s="444"/>
      <c r="IV6" s="377">
        <v>338</v>
      </c>
      <c r="IW6" s="373">
        <v>7711</v>
      </c>
      <c r="IX6" s="444">
        <v>4.2</v>
      </c>
      <c r="IY6" s="377">
        <v>437</v>
      </c>
      <c r="IZ6" s="373">
        <v>6641</v>
      </c>
      <c r="JA6" s="444">
        <v>6.2</v>
      </c>
      <c r="JB6" s="377">
        <v>446</v>
      </c>
      <c r="JC6" s="373">
        <v>5606</v>
      </c>
      <c r="JD6" s="444">
        <v>7.4</v>
      </c>
      <c r="JE6" s="377"/>
      <c r="JF6" s="373"/>
      <c r="JG6" s="444"/>
      <c r="JH6" s="377">
        <v>113</v>
      </c>
      <c r="JI6" s="373">
        <v>1695</v>
      </c>
      <c r="JJ6" s="444">
        <v>6.3</v>
      </c>
      <c r="JK6" s="377">
        <v>153</v>
      </c>
      <c r="JL6" s="373">
        <v>1417</v>
      </c>
      <c r="JM6" s="444">
        <v>9.6999999999999993</v>
      </c>
      <c r="JN6" s="377">
        <v>136</v>
      </c>
      <c r="JO6" s="373">
        <v>1084</v>
      </c>
      <c r="JP6" s="444">
        <v>11.1</v>
      </c>
      <c r="JQ6" s="377"/>
      <c r="JR6" s="373"/>
      <c r="JS6" s="444"/>
      <c r="JT6" s="377"/>
      <c r="JU6" s="373">
        <v>12</v>
      </c>
      <c r="JV6" s="444">
        <v>0</v>
      </c>
      <c r="JW6" s="377"/>
      <c r="JX6" s="373">
        <v>3</v>
      </c>
      <c r="JY6" s="444">
        <v>0</v>
      </c>
      <c r="JZ6" s="377"/>
      <c r="KA6" s="373">
        <v>5</v>
      </c>
      <c r="KB6" s="444">
        <v>0</v>
      </c>
      <c r="KC6" s="377"/>
      <c r="KD6" s="373"/>
      <c r="KE6" s="444"/>
      <c r="KF6" s="377"/>
      <c r="KG6" s="373"/>
      <c r="KH6" s="444" t="s">
        <v>6</v>
      </c>
      <c r="KI6" s="377"/>
      <c r="KJ6" s="373"/>
      <c r="KK6" s="444" t="s">
        <v>6</v>
      </c>
      <c r="KL6" s="377"/>
      <c r="KM6" s="373"/>
      <c r="KN6" s="444" t="s">
        <v>6</v>
      </c>
      <c r="KO6" s="377"/>
      <c r="KP6" s="373"/>
      <c r="KQ6" s="444"/>
      <c r="KR6" s="377">
        <v>120</v>
      </c>
      <c r="KS6" s="373">
        <v>1707</v>
      </c>
      <c r="KT6" s="444">
        <v>6.6</v>
      </c>
      <c r="KU6" s="377">
        <v>158</v>
      </c>
      <c r="KV6" s="373">
        <v>1421</v>
      </c>
      <c r="KW6" s="444">
        <v>10</v>
      </c>
      <c r="KX6" s="377">
        <v>146</v>
      </c>
      <c r="KY6" s="373">
        <v>1093</v>
      </c>
      <c r="KZ6" s="444">
        <v>11.8</v>
      </c>
      <c r="LA6" s="377"/>
      <c r="LB6" s="373"/>
      <c r="LC6" s="444"/>
      <c r="LD6" s="377">
        <v>743</v>
      </c>
      <c r="LE6" s="373">
        <v>8000</v>
      </c>
      <c r="LF6" s="444">
        <v>8.5</v>
      </c>
      <c r="LG6" s="377">
        <v>855</v>
      </c>
      <c r="LH6" s="373">
        <v>7051</v>
      </c>
      <c r="LI6" s="444">
        <v>10.8</v>
      </c>
      <c r="LJ6" s="377">
        <v>720</v>
      </c>
      <c r="LK6" s="373">
        <v>5998</v>
      </c>
      <c r="LL6" s="444">
        <v>10.7</v>
      </c>
      <c r="LM6" s="377"/>
      <c r="LN6" s="373"/>
      <c r="LO6" s="444"/>
    </row>
    <row r="7" spans="1:327" x14ac:dyDescent="0.2">
      <c r="A7" s="1001"/>
      <c r="B7" s="747"/>
      <c r="C7" s="151" t="s">
        <v>631</v>
      </c>
      <c r="D7" s="377"/>
      <c r="E7" s="373"/>
      <c r="F7" s="444" t="s">
        <v>6</v>
      </c>
      <c r="G7" s="377"/>
      <c r="H7" s="373"/>
      <c r="I7" s="444" t="s">
        <v>6</v>
      </c>
      <c r="J7" s="377"/>
      <c r="K7" s="373"/>
      <c r="L7" s="444" t="s">
        <v>6</v>
      </c>
      <c r="M7" s="377"/>
      <c r="N7" s="373"/>
      <c r="O7" s="444"/>
      <c r="P7" s="377"/>
      <c r="Q7" s="373"/>
      <c r="R7" s="444" t="s">
        <v>6</v>
      </c>
      <c r="S7" s="377"/>
      <c r="T7" s="373"/>
      <c r="U7" s="444" t="s">
        <v>6</v>
      </c>
      <c r="V7" s="377"/>
      <c r="W7" s="373"/>
      <c r="X7" s="444" t="s">
        <v>6</v>
      </c>
      <c r="Y7" s="377"/>
      <c r="Z7" s="373"/>
      <c r="AA7" s="444"/>
      <c r="AB7" s="377"/>
      <c r="AC7" s="373"/>
      <c r="AD7" s="444" t="s">
        <v>6</v>
      </c>
      <c r="AE7" s="377"/>
      <c r="AF7" s="373"/>
      <c r="AG7" s="444" t="s">
        <v>6</v>
      </c>
      <c r="AH7" s="377"/>
      <c r="AI7" s="373"/>
      <c r="AJ7" s="444" t="s">
        <v>6</v>
      </c>
      <c r="AK7" s="377"/>
      <c r="AL7" s="373"/>
      <c r="AM7" s="444"/>
      <c r="AN7" s="377">
        <v>13</v>
      </c>
      <c r="AO7" s="373">
        <v>13</v>
      </c>
      <c r="AP7" s="444">
        <v>50</v>
      </c>
      <c r="AQ7" s="377">
        <v>12</v>
      </c>
      <c r="AR7" s="373">
        <v>8</v>
      </c>
      <c r="AS7" s="444">
        <v>60</v>
      </c>
      <c r="AT7" s="377">
        <v>13</v>
      </c>
      <c r="AU7" s="373">
        <v>8</v>
      </c>
      <c r="AV7" s="444">
        <v>61.9</v>
      </c>
      <c r="AW7" s="377"/>
      <c r="AX7" s="373"/>
      <c r="AY7" s="444"/>
      <c r="AZ7" s="377">
        <v>8</v>
      </c>
      <c r="BA7" s="373">
        <v>13</v>
      </c>
      <c r="BB7" s="444">
        <v>38.1</v>
      </c>
      <c r="BC7" s="377">
        <v>10</v>
      </c>
      <c r="BD7" s="373">
        <v>8</v>
      </c>
      <c r="BE7" s="444">
        <v>55.6</v>
      </c>
      <c r="BF7" s="377">
        <v>4</v>
      </c>
      <c r="BG7" s="373">
        <v>7</v>
      </c>
      <c r="BH7" s="444">
        <v>36.4</v>
      </c>
      <c r="BI7" s="377"/>
      <c r="BJ7" s="373"/>
      <c r="BK7" s="444"/>
      <c r="BL7" s="377"/>
      <c r="BM7" s="373"/>
      <c r="BN7" s="444" t="s">
        <v>6</v>
      </c>
      <c r="BO7" s="377"/>
      <c r="BP7" s="373"/>
      <c r="BQ7" s="444" t="s">
        <v>6</v>
      </c>
      <c r="BR7" s="377"/>
      <c r="BS7" s="373"/>
      <c r="BT7" s="444" t="s">
        <v>6</v>
      </c>
      <c r="BU7" s="377"/>
      <c r="BV7" s="373"/>
      <c r="BW7" s="444"/>
      <c r="BX7" s="377"/>
      <c r="BY7" s="373"/>
      <c r="BZ7" s="444" t="s">
        <v>6</v>
      </c>
      <c r="CA7" s="377"/>
      <c r="CB7" s="373"/>
      <c r="CC7" s="444" t="s">
        <v>6</v>
      </c>
      <c r="CD7" s="377"/>
      <c r="CE7" s="373"/>
      <c r="CF7" s="444" t="s">
        <v>6</v>
      </c>
      <c r="CG7" s="377"/>
      <c r="CH7" s="373"/>
      <c r="CI7" s="444"/>
      <c r="CJ7" s="377"/>
      <c r="CK7" s="373"/>
      <c r="CL7" s="444" t="s">
        <v>6</v>
      </c>
      <c r="CM7" s="377"/>
      <c r="CN7" s="373"/>
      <c r="CO7" s="444" t="s">
        <v>6</v>
      </c>
      <c r="CP7" s="377"/>
      <c r="CQ7" s="373"/>
      <c r="CR7" s="444" t="s">
        <v>6</v>
      </c>
      <c r="CS7" s="377"/>
      <c r="CT7" s="373"/>
      <c r="CU7" s="444"/>
      <c r="CV7" s="377">
        <v>15</v>
      </c>
      <c r="CW7" s="373">
        <v>23</v>
      </c>
      <c r="CX7" s="444">
        <v>39.5</v>
      </c>
      <c r="CY7" s="377">
        <v>9</v>
      </c>
      <c r="CZ7" s="373">
        <v>11</v>
      </c>
      <c r="DA7" s="444">
        <v>45</v>
      </c>
      <c r="DB7" s="377">
        <v>19</v>
      </c>
      <c r="DC7" s="373">
        <v>16</v>
      </c>
      <c r="DD7" s="444">
        <v>54.3</v>
      </c>
      <c r="DE7" s="377"/>
      <c r="DF7" s="373"/>
      <c r="DG7" s="444"/>
      <c r="DH7" s="377">
        <v>3</v>
      </c>
      <c r="DI7" s="373"/>
      <c r="DJ7" s="444">
        <v>100</v>
      </c>
      <c r="DK7" s="377">
        <v>3</v>
      </c>
      <c r="DL7" s="373">
        <v>1</v>
      </c>
      <c r="DM7" s="444">
        <v>75</v>
      </c>
      <c r="DN7" s="377"/>
      <c r="DO7" s="373"/>
      <c r="DP7" s="444" t="s">
        <v>6</v>
      </c>
      <c r="DQ7" s="377"/>
      <c r="DR7" s="373"/>
      <c r="DS7" s="444"/>
      <c r="DT7" s="377"/>
      <c r="DU7" s="373">
        <v>1</v>
      </c>
      <c r="DV7" s="444">
        <v>0</v>
      </c>
      <c r="DW7" s="377">
        <v>2</v>
      </c>
      <c r="DX7" s="373"/>
      <c r="DY7" s="444">
        <v>100</v>
      </c>
      <c r="DZ7" s="377">
        <v>4</v>
      </c>
      <c r="EA7" s="373"/>
      <c r="EB7" s="444">
        <v>100</v>
      </c>
      <c r="EC7" s="377"/>
      <c r="ED7" s="373"/>
      <c r="EE7" s="444"/>
      <c r="EF7" s="377">
        <v>140</v>
      </c>
      <c r="EG7" s="373">
        <v>1549</v>
      </c>
      <c r="EH7" s="444">
        <v>8.3000000000000007</v>
      </c>
      <c r="EI7" s="377">
        <v>121</v>
      </c>
      <c r="EJ7" s="373">
        <v>996</v>
      </c>
      <c r="EK7" s="444">
        <v>10.8</v>
      </c>
      <c r="EL7" s="377">
        <v>137</v>
      </c>
      <c r="EM7" s="373">
        <v>812</v>
      </c>
      <c r="EN7" s="444">
        <v>14.4</v>
      </c>
      <c r="EO7" s="377"/>
      <c r="EP7" s="373"/>
      <c r="EQ7" s="444"/>
      <c r="ER7" s="377">
        <v>16</v>
      </c>
      <c r="ES7" s="373">
        <v>185</v>
      </c>
      <c r="ET7" s="444">
        <v>8</v>
      </c>
      <c r="EU7" s="377">
        <v>3</v>
      </c>
      <c r="EV7" s="373">
        <v>62</v>
      </c>
      <c r="EW7" s="444">
        <v>4.5999999999999996</v>
      </c>
      <c r="EX7" s="377">
        <v>4</v>
      </c>
      <c r="EY7" s="373">
        <v>44</v>
      </c>
      <c r="EZ7" s="444">
        <v>8.3000000000000007</v>
      </c>
      <c r="FA7" s="377"/>
      <c r="FB7" s="373"/>
      <c r="FC7" s="444"/>
      <c r="FD7" s="377">
        <v>6</v>
      </c>
      <c r="FE7" s="373">
        <v>159</v>
      </c>
      <c r="FF7" s="444">
        <v>3.6</v>
      </c>
      <c r="FG7" s="377">
        <v>17</v>
      </c>
      <c r="FH7" s="373">
        <v>106</v>
      </c>
      <c r="FI7" s="444">
        <v>13.8</v>
      </c>
      <c r="FJ7" s="377">
        <v>15</v>
      </c>
      <c r="FK7" s="373">
        <v>78</v>
      </c>
      <c r="FL7" s="444">
        <v>16.100000000000001</v>
      </c>
      <c r="FM7" s="377"/>
      <c r="FN7" s="373"/>
      <c r="FO7" s="444"/>
      <c r="FP7" s="377">
        <v>19</v>
      </c>
      <c r="FQ7" s="373">
        <v>282</v>
      </c>
      <c r="FR7" s="444">
        <v>6.3</v>
      </c>
      <c r="FS7" s="377">
        <v>29</v>
      </c>
      <c r="FT7" s="373">
        <v>195</v>
      </c>
      <c r="FU7" s="444">
        <v>12.9</v>
      </c>
      <c r="FV7" s="377">
        <v>15</v>
      </c>
      <c r="FW7" s="373">
        <v>158</v>
      </c>
      <c r="FX7" s="444">
        <v>8.6999999999999993</v>
      </c>
      <c r="FY7" s="377"/>
      <c r="FZ7" s="373"/>
      <c r="GA7" s="444"/>
      <c r="GB7" s="377">
        <v>4</v>
      </c>
      <c r="GC7" s="373">
        <v>6</v>
      </c>
      <c r="GD7" s="444">
        <v>40</v>
      </c>
      <c r="GE7" s="377">
        <v>7</v>
      </c>
      <c r="GF7" s="373">
        <v>1</v>
      </c>
      <c r="GG7" s="444">
        <v>87.5</v>
      </c>
      <c r="GH7" s="377">
        <v>3</v>
      </c>
      <c r="GI7" s="373">
        <v>2</v>
      </c>
      <c r="GJ7" s="444">
        <v>60</v>
      </c>
      <c r="GK7" s="377"/>
      <c r="GL7" s="373"/>
      <c r="GM7" s="444"/>
      <c r="GN7" s="377"/>
      <c r="GO7" s="373">
        <v>49</v>
      </c>
      <c r="GP7" s="444">
        <v>0</v>
      </c>
      <c r="GQ7" s="377">
        <v>4</v>
      </c>
      <c r="GR7" s="373">
        <v>50</v>
      </c>
      <c r="GS7" s="444">
        <v>7.4</v>
      </c>
      <c r="GT7" s="377">
        <v>3</v>
      </c>
      <c r="GU7" s="373">
        <v>49</v>
      </c>
      <c r="GV7" s="444">
        <v>5.8</v>
      </c>
      <c r="GW7" s="377"/>
      <c r="GX7" s="373"/>
      <c r="GY7" s="444"/>
      <c r="GZ7" s="377"/>
      <c r="HA7" s="373">
        <v>1</v>
      </c>
      <c r="HB7" s="444">
        <v>0</v>
      </c>
      <c r="HC7" s="377">
        <v>1</v>
      </c>
      <c r="HD7" s="373"/>
      <c r="HE7" s="444">
        <v>100</v>
      </c>
      <c r="HF7" s="377"/>
      <c r="HG7" s="373"/>
      <c r="HH7" s="444" t="s">
        <v>6</v>
      </c>
      <c r="HI7" s="377"/>
      <c r="HJ7" s="373"/>
      <c r="HK7" s="444"/>
      <c r="HL7" s="377">
        <v>8</v>
      </c>
      <c r="HM7" s="373">
        <v>122</v>
      </c>
      <c r="HN7" s="444">
        <v>6.2</v>
      </c>
      <c r="HO7" s="377">
        <v>3</v>
      </c>
      <c r="HP7" s="373">
        <v>114</v>
      </c>
      <c r="HQ7" s="444">
        <v>2.6</v>
      </c>
      <c r="HR7" s="377">
        <v>7</v>
      </c>
      <c r="HS7" s="373">
        <v>88</v>
      </c>
      <c r="HT7" s="444">
        <v>7.4</v>
      </c>
      <c r="HU7" s="377"/>
      <c r="HV7" s="373"/>
      <c r="HW7" s="444"/>
      <c r="HX7" s="377">
        <v>2</v>
      </c>
      <c r="HY7" s="373"/>
      <c r="HZ7" s="444">
        <v>100</v>
      </c>
      <c r="IA7" s="377">
        <v>2</v>
      </c>
      <c r="IB7" s="373"/>
      <c r="IC7" s="444">
        <v>100</v>
      </c>
      <c r="ID7" s="377">
        <v>2</v>
      </c>
      <c r="IE7" s="373">
        <v>1</v>
      </c>
      <c r="IF7" s="444">
        <v>66.7</v>
      </c>
      <c r="IG7" s="377"/>
      <c r="IH7" s="373"/>
      <c r="II7" s="444"/>
      <c r="IJ7" s="377">
        <v>2</v>
      </c>
      <c r="IK7" s="373">
        <v>12</v>
      </c>
      <c r="IL7" s="444">
        <v>14.3</v>
      </c>
      <c r="IM7" s="377"/>
      <c r="IN7" s="373">
        <v>14</v>
      </c>
      <c r="IO7" s="444">
        <v>0</v>
      </c>
      <c r="IP7" s="377">
        <v>2</v>
      </c>
      <c r="IQ7" s="373">
        <v>7</v>
      </c>
      <c r="IR7" s="444">
        <v>22.2</v>
      </c>
      <c r="IS7" s="377"/>
      <c r="IT7" s="373"/>
      <c r="IU7" s="444"/>
      <c r="IV7" s="377">
        <v>187</v>
      </c>
      <c r="IW7" s="373">
        <v>1776</v>
      </c>
      <c r="IX7" s="444">
        <v>9.5</v>
      </c>
      <c r="IY7" s="377">
        <v>164</v>
      </c>
      <c r="IZ7" s="373">
        <v>1195</v>
      </c>
      <c r="JA7" s="444">
        <v>12.1</v>
      </c>
      <c r="JB7" s="377">
        <v>190</v>
      </c>
      <c r="JC7" s="373">
        <v>983</v>
      </c>
      <c r="JD7" s="444">
        <v>16.2</v>
      </c>
      <c r="JE7" s="377"/>
      <c r="JF7" s="373"/>
      <c r="JG7" s="444"/>
      <c r="JH7" s="377">
        <v>39</v>
      </c>
      <c r="JI7" s="373">
        <v>397</v>
      </c>
      <c r="JJ7" s="444">
        <v>8.9</v>
      </c>
      <c r="JK7" s="377">
        <v>25</v>
      </c>
      <c r="JL7" s="373">
        <v>194</v>
      </c>
      <c r="JM7" s="444">
        <v>11.4</v>
      </c>
      <c r="JN7" s="377">
        <v>54</v>
      </c>
      <c r="JO7" s="373">
        <v>254</v>
      </c>
      <c r="JP7" s="444">
        <v>17.5</v>
      </c>
      <c r="JQ7" s="377"/>
      <c r="JR7" s="373"/>
      <c r="JS7" s="444"/>
      <c r="JT7" s="377">
        <v>1</v>
      </c>
      <c r="JU7" s="373">
        <v>5</v>
      </c>
      <c r="JV7" s="444">
        <v>16.7</v>
      </c>
      <c r="JW7" s="377">
        <v>3</v>
      </c>
      <c r="JX7" s="373">
        <v>3</v>
      </c>
      <c r="JY7" s="444">
        <v>50</v>
      </c>
      <c r="JZ7" s="377"/>
      <c r="KA7" s="373">
        <v>5</v>
      </c>
      <c r="KB7" s="444">
        <v>0</v>
      </c>
      <c r="KC7" s="377"/>
      <c r="KD7" s="373"/>
      <c r="KE7" s="444"/>
      <c r="KF7" s="377"/>
      <c r="KG7" s="373"/>
      <c r="KH7" s="444" t="s">
        <v>6</v>
      </c>
      <c r="KI7" s="377"/>
      <c r="KJ7" s="373"/>
      <c r="KK7" s="444" t="s">
        <v>6</v>
      </c>
      <c r="KL7" s="377"/>
      <c r="KM7" s="373"/>
      <c r="KN7" s="444" t="s">
        <v>6</v>
      </c>
      <c r="KO7" s="377"/>
      <c r="KP7" s="373"/>
      <c r="KQ7" s="444"/>
      <c r="KR7" s="377">
        <v>56</v>
      </c>
      <c r="KS7" s="373">
        <v>410</v>
      </c>
      <c r="KT7" s="444">
        <v>12</v>
      </c>
      <c r="KU7" s="377">
        <v>30</v>
      </c>
      <c r="KV7" s="373">
        <v>200</v>
      </c>
      <c r="KW7" s="444">
        <v>13</v>
      </c>
      <c r="KX7" s="377">
        <v>57</v>
      </c>
      <c r="KY7" s="373">
        <v>263</v>
      </c>
      <c r="KZ7" s="444">
        <v>17.8</v>
      </c>
      <c r="LA7" s="377"/>
      <c r="LB7" s="373"/>
      <c r="LC7" s="444"/>
      <c r="LD7" s="377">
        <v>300</v>
      </c>
      <c r="LE7" s="373">
        <v>2215</v>
      </c>
      <c r="LF7" s="444">
        <v>11.9</v>
      </c>
      <c r="LG7" s="377">
        <v>338</v>
      </c>
      <c r="LH7" s="373">
        <v>1629</v>
      </c>
      <c r="LI7" s="444">
        <v>17.2</v>
      </c>
      <c r="LJ7" s="377">
        <v>298</v>
      </c>
      <c r="LK7" s="373">
        <v>1310</v>
      </c>
      <c r="LL7" s="444">
        <v>18.5</v>
      </c>
      <c r="LM7" s="377"/>
      <c r="LN7" s="373"/>
      <c r="LO7" s="444"/>
    </row>
    <row r="8" spans="1:327" x14ac:dyDescent="0.2">
      <c r="A8" s="1001"/>
      <c r="B8" s="747"/>
      <c r="C8" s="151" t="s">
        <v>632</v>
      </c>
      <c r="D8" s="377"/>
      <c r="E8" s="373"/>
      <c r="F8" s="444" t="s">
        <v>6</v>
      </c>
      <c r="G8" s="377"/>
      <c r="H8" s="373"/>
      <c r="I8" s="444" t="s">
        <v>6</v>
      </c>
      <c r="J8" s="377"/>
      <c r="K8" s="373"/>
      <c r="L8" s="444" t="s">
        <v>6</v>
      </c>
      <c r="M8" s="377"/>
      <c r="N8" s="373"/>
      <c r="O8" s="444"/>
      <c r="P8" s="377"/>
      <c r="Q8" s="373"/>
      <c r="R8" s="444" t="s">
        <v>6</v>
      </c>
      <c r="S8" s="377"/>
      <c r="T8" s="373"/>
      <c r="U8" s="444" t="s">
        <v>6</v>
      </c>
      <c r="V8" s="377"/>
      <c r="W8" s="373"/>
      <c r="X8" s="444" t="s">
        <v>6</v>
      </c>
      <c r="Y8" s="377"/>
      <c r="Z8" s="373"/>
      <c r="AA8" s="444"/>
      <c r="AB8" s="377"/>
      <c r="AC8" s="373"/>
      <c r="AD8" s="444" t="s">
        <v>6</v>
      </c>
      <c r="AE8" s="377"/>
      <c r="AF8" s="373"/>
      <c r="AG8" s="444" t="s">
        <v>6</v>
      </c>
      <c r="AH8" s="377"/>
      <c r="AI8" s="373"/>
      <c r="AJ8" s="444" t="s">
        <v>6</v>
      </c>
      <c r="AK8" s="377"/>
      <c r="AL8" s="373"/>
      <c r="AM8" s="444"/>
      <c r="AN8" s="377">
        <v>29</v>
      </c>
      <c r="AO8" s="373">
        <v>11</v>
      </c>
      <c r="AP8" s="444">
        <v>72.5</v>
      </c>
      <c r="AQ8" s="377">
        <v>28</v>
      </c>
      <c r="AR8" s="373">
        <v>24</v>
      </c>
      <c r="AS8" s="444">
        <v>53.8</v>
      </c>
      <c r="AT8" s="377">
        <v>45</v>
      </c>
      <c r="AU8" s="373">
        <v>9</v>
      </c>
      <c r="AV8" s="444">
        <v>83.3</v>
      </c>
      <c r="AW8" s="377"/>
      <c r="AX8" s="373"/>
      <c r="AY8" s="444"/>
      <c r="AZ8" s="377">
        <v>20</v>
      </c>
      <c r="BA8" s="373">
        <v>11</v>
      </c>
      <c r="BB8" s="444">
        <v>64.5</v>
      </c>
      <c r="BC8" s="377">
        <v>16</v>
      </c>
      <c r="BD8" s="373">
        <v>20</v>
      </c>
      <c r="BE8" s="444">
        <v>44.4</v>
      </c>
      <c r="BF8" s="377">
        <v>28</v>
      </c>
      <c r="BG8" s="373">
        <v>7</v>
      </c>
      <c r="BH8" s="444">
        <v>80</v>
      </c>
      <c r="BI8" s="377"/>
      <c r="BJ8" s="373"/>
      <c r="BK8" s="444"/>
      <c r="BL8" s="377"/>
      <c r="BM8" s="373"/>
      <c r="BN8" s="444" t="s">
        <v>6</v>
      </c>
      <c r="BO8" s="377"/>
      <c r="BP8" s="373"/>
      <c r="BQ8" s="444" t="s">
        <v>6</v>
      </c>
      <c r="BR8" s="377"/>
      <c r="BS8" s="373"/>
      <c r="BT8" s="444" t="s">
        <v>6</v>
      </c>
      <c r="BU8" s="377"/>
      <c r="BV8" s="373"/>
      <c r="BW8" s="444"/>
      <c r="BX8" s="377">
        <v>1</v>
      </c>
      <c r="BY8" s="373"/>
      <c r="BZ8" s="444">
        <v>100</v>
      </c>
      <c r="CA8" s="377"/>
      <c r="CB8" s="373"/>
      <c r="CC8" s="444" t="s">
        <v>6</v>
      </c>
      <c r="CD8" s="377">
        <v>1</v>
      </c>
      <c r="CE8" s="373">
        <v>1</v>
      </c>
      <c r="CF8" s="444">
        <v>50</v>
      </c>
      <c r="CG8" s="377"/>
      <c r="CH8" s="373"/>
      <c r="CI8" s="444"/>
      <c r="CJ8" s="377"/>
      <c r="CK8" s="373"/>
      <c r="CL8" s="444" t="s">
        <v>6</v>
      </c>
      <c r="CM8" s="377"/>
      <c r="CN8" s="373"/>
      <c r="CO8" s="444" t="s">
        <v>6</v>
      </c>
      <c r="CP8" s="377"/>
      <c r="CQ8" s="373"/>
      <c r="CR8" s="444" t="s">
        <v>6</v>
      </c>
      <c r="CS8" s="377"/>
      <c r="CT8" s="373"/>
      <c r="CU8" s="444"/>
      <c r="CV8" s="377">
        <v>25</v>
      </c>
      <c r="CW8" s="373">
        <v>22</v>
      </c>
      <c r="CX8" s="444">
        <v>53.2</v>
      </c>
      <c r="CY8" s="377">
        <v>38</v>
      </c>
      <c r="CZ8" s="373">
        <v>17</v>
      </c>
      <c r="DA8" s="444">
        <v>69.099999999999994</v>
      </c>
      <c r="DB8" s="377">
        <v>100</v>
      </c>
      <c r="DC8" s="373">
        <v>16</v>
      </c>
      <c r="DD8" s="444">
        <v>86.2</v>
      </c>
      <c r="DE8" s="377"/>
      <c r="DF8" s="373"/>
      <c r="DG8" s="444"/>
      <c r="DH8" s="377">
        <v>2</v>
      </c>
      <c r="DI8" s="373"/>
      <c r="DJ8" s="444">
        <v>100</v>
      </c>
      <c r="DK8" s="377">
        <v>4</v>
      </c>
      <c r="DL8" s="373"/>
      <c r="DM8" s="444">
        <v>100</v>
      </c>
      <c r="DN8" s="377">
        <v>3</v>
      </c>
      <c r="DO8" s="373">
        <v>1</v>
      </c>
      <c r="DP8" s="444">
        <v>75</v>
      </c>
      <c r="DQ8" s="377"/>
      <c r="DR8" s="373"/>
      <c r="DS8" s="444"/>
      <c r="DT8" s="377">
        <v>1</v>
      </c>
      <c r="DU8" s="373"/>
      <c r="DV8" s="444">
        <v>100</v>
      </c>
      <c r="DW8" s="377">
        <v>4</v>
      </c>
      <c r="DX8" s="373">
        <v>1</v>
      </c>
      <c r="DY8" s="444">
        <v>80</v>
      </c>
      <c r="DZ8" s="377">
        <v>4</v>
      </c>
      <c r="EA8" s="373"/>
      <c r="EB8" s="444">
        <v>100</v>
      </c>
      <c r="EC8" s="377"/>
      <c r="ED8" s="373"/>
      <c r="EE8" s="444"/>
      <c r="EF8" s="377">
        <v>50</v>
      </c>
      <c r="EG8" s="373">
        <v>609</v>
      </c>
      <c r="EH8" s="444">
        <v>7.6</v>
      </c>
      <c r="EI8" s="377">
        <v>106</v>
      </c>
      <c r="EJ8" s="373">
        <v>523</v>
      </c>
      <c r="EK8" s="444">
        <v>16.899999999999999</v>
      </c>
      <c r="EL8" s="377">
        <v>561</v>
      </c>
      <c r="EM8" s="373">
        <v>362</v>
      </c>
      <c r="EN8" s="444">
        <v>60.8</v>
      </c>
      <c r="EO8" s="377"/>
      <c r="EP8" s="373"/>
      <c r="EQ8" s="444"/>
      <c r="ER8" s="377">
        <v>1</v>
      </c>
      <c r="ES8" s="373">
        <v>53</v>
      </c>
      <c r="ET8" s="444">
        <v>1.9</v>
      </c>
      <c r="EU8" s="377">
        <v>1</v>
      </c>
      <c r="EV8" s="373">
        <v>40</v>
      </c>
      <c r="EW8" s="444">
        <v>2.4</v>
      </c>
      <c r="EX8" s="377">
        <v>2</v>
      </c>
      <c r="EY8" s="373">
        <v>23</v>
      </c>
      <c r="EZ8" s="444">
        <v>8</v>
      </c>
      <c r="FA8" s="377"/>
      <c r="FB8" s="373"/>
      <c r="FC8" s="444"/>
      <c r="FD8" s="377"/>
      <c r="FE8" s="373">
        <v>39</v>
      </c>
      <c r="FF8" s="444">
        <v>0</v>
      </c>
      <c r="FG8" s="377">
        <v>6</v>
      </c>
      <c r="FH8" s="373">
        <v>33</v>
      </c>
      <c r="FI8" s="444">
        <v>15.4</v>
      </c>
      <c r="FJ8" s="377">
        <v>10</v>
      </c>
      <c r="FK8" s="373">
        <v>14</v>
      </c>
      <c r="FL8" s="444">
        <v>41.7</v>
      </c>
      <c r="FM8" s="377"/>
      <c r="FN8" s="373"/>
      <c r="FO8" s="444"/>
      <c r="FP8" s="377">
        <v>23</v>
      </c>
      <c r="FQ8" s="373">
        <v>115</v>
      </c>
      <c r="FR8" s="444">
        <v>16.7</v>
      </c>
      <c r="FS8" s="377">
        <v>7</v>
      </c>
      <c r="FT8" s="373">
        <v>142</v>
      </c>
      <c r="FU8" s="444">
        <v>4.7</v>
      </c>
      <c r="FV8" s="377">
        <v>9</v>
      </c>
      <c r="FW8" s="373">
        <v>78</v>
      </c>
      <c r="FX8" s="444">
        <v>10.3</v>
      </c>
      <c r="FY8" s="377"/>
      <c r="FZ8" s="373"/>
      <c r="GA8" s="444"/>
      <c r="GB8" s="377">
        <v>1</v>
      </c>
      <c r="GC8" s="373">
        <v>3</v>
      </c>
      <c r="GD8" s="444">
        <v>25</v>
      </c>
      <c r="GE8" s="377">
        <v>5</v>
      </c>
      <c r="GF8" s="373">
        <v>4</v>
      </c>
      <c r="GG8" s="444">
        <v>55.6</v>
      </c>
      <c r="GH8" s="377"/>
      <c r="GI8" s="373"/>
      <c r="GJ8" s="444" t="s">
        <v>6</v>
      </c>
      <c r="GK8" s="377"/>
      <c r="GL8" s="373"/>
      <c r="GM8" s="444"/>
      <c r="GN8" s="377"/>
      <c r="GO8" s="373">
        <v>3</v>
      </c>
      <c r="GP8" s="444">
        <v>0</v>
      </c>
      <c r="GQ8" s="377">
        <v>7</v>
      </c>
      <c r="GR8" s="373">
        <v>8</v>
      </c>
      <c r="GS8" s="444">
        <v>46.7</v>
      </c>
      <c r="GT8" s="377">
        <v>3</v>
      </c>
      <c r="GU8" s="373">
        <v>2</v>
      </c>
      <c r="GV8" s="444">
        <v>60</v>
      </c>
      <c r="GW8" s="377"/>
      <c r="GX8" s="373"/>
      <c r="GY8" s="444"/>
      <c r="GZ8" s="377"/>
      <c r="HA8" s="373"/>
      <c r="HB8" s="444" t="s">
        <v>6</v>
      </c>
      <c r="HC8" s="377"/>
      <c r="HD8" s="373">
        <v>1</v>
      </c>
      <c r="HE8" s="444">
        <v>0</v>
      </c>
      <c r="HF8" s="377">
        <v>1</v>
      </c>
      <c r="HG8" s="373"/>
      <c r="HH8" s="444">
        <v>100</v>
      </c>
      <c r="HI8" s="377"/>
      <c r="HJ8" s="373"/>
      <c r="HK8" s="444"/>
      <c r="HL8" s="377">
        <v>8</v>
      </c>
      <c r="HM8" s="373">
        <v>59</v>
      </c>
      <c r="HN8" s="444">
        <v>11.9</v>
      </c>
      <c r="HO8" s="377">
        <v>10</v>
      </c>
      <c r="HP8" s="373">
        <v>90</v>
      </c>
      <c r="HQ8" s="444">
        <v>10</v>
      </c>
      <c r="HR8" s="377">
        <v>30</v>
      </c>
      <c r="HS8" s="373">
        <v>66</v>
      </c>
      <c r="HT8" s="444">
        <v>31.3</v>
      </c>
      <c r="HU8" s="377"/>
      <c r="HV8" s="373"/>
      <c r="HW8" s="444"/>
      <c r="HX8" s="377">
        <v>3</v>
      </c>
      <c r="HY8" s="373">
        <v>1</v>
      </c>
      <c r="HZ8" s="444">
        <v>75</v>
      </c>
      <c r="IA8" s="377"/>
      <c r="IB8" s="373">
        <v>1</v>
      </c>
      <c r="IC8" s="444">
        <v>0</v>
      </c>
      <c r="ID8" s="377"/>
      <c r="IE8" s="373"/>
      <c r="IF8" s="444" t="s">
        <v>6</v>
      </c>
      <c r="IG8" s="377"/>
      <c r="IH8" s="373"/>
      <c r="II8" s="444"/>
      <c r="IJ8" s="377">
        <v>5</v>
      </c>
      <c r="IK8" s="373">
        <v>2</v>
      </c>
      <c r="IL8" s="444">
        <v>71.400000000000006</v>
      </c>
      <c r="IM8" s="377">
        <v>1</v>
      </c>
      <c r="IN8" s="373">
        <v>1</v>
      </c>
      <c r="IO8" s="444">
        <v>50</v>
      </c>
      <c r="IP8" s="377">
        <v>3</v>
      </c>
      <c r="IQ8" s="373">
        <v>1</v>
      </c>
      <c r="IR8" s="444">
        <v>75</v>
      </c>
      <c r="IS8" s="377"/>
      <c r="IT8" s="373"/>
      <c r="IU8" s="444"/>
      <c r="IV8" s="377">
        <v>125</v>
      </c>
      <c r="IW8" s="373">
        <v>710</v>
      </c>
      <c r="IX8" s="444">
        <v>15</v>
      </c>
      <c r="IY8" s="377">
        <v>203</v>
      </c>
      <c r="IZ8" s="373">
        <v>670</v>
      </c>
      <c r="JA8" s="444">
        <v>23.3</v>
      </c>
      <c r="JB8" s="377">
        <v>751</v>
      </c>
      <c r="JC8" s="373">
        <v>458</v>
      </c>
      <c r="JD8" s="444">
        <v>62.1</v>
      </c>
      <c r="JE8" s="377"/>
      <c r="JF8" s="373"/>
      <c r="JG8" s="444"/>
      <c r="JH8" s="377">
        <v>32</v>
      </c>
      <c r="JI8" s="373">
        <v>250</v>
      </c>
      <c r="JJ8" s="444">
        <v>11.3</v>
      </c>
      <c r="JK8" s="377">
        <v>66</v>
      </c>
      <c r="JL8" s="373">
        <v>220</v>
      </c>
      <c r="JM8" s="444">
        <v>23.1</v>
      </c>
      <c r="JN8" s="377">
        <v>121</v>
      </c>
      <c r="JO8" s="373">
        <v>150</v>
      </c>
      <c r="JP8" s="444">
        <v>44.6</v>
      </c>
      <c r="JQ8" s="377"/>
      <c r="JR8" s="373"/>
      <c r="JS8" s="444"/>
      <c r="JT8" s="377">
        <v>1</v>
      </c>
      <c r="JU8" s="373">
        <v>6</v>
      </c>
      <c r="JV8" s="444">
        <v>14.3</v>
      </c>
      <c r="JW8" s="377">
        <v>1</v>
      </c>
      <c r="JX8" s="373">
        <v>2</v>
      </c>
      <c r="JY8" s="444">
        <v>33.299999999999997</v>
      </c>
      <c r="JZ8" s="377"/>
      <c r="KA8" s="373">
        <v>4</v>
      </c>
      <c r="KB8" s="444">
        <v>0</v>
      </c>
      <c r="KC8" s="377"/>
      <c r="KD8" s="373"/>
      <c r="KE8" s="444"/>
      <c r="KF8" s="377"/>
      <c r="KG8" s="373"/>
      <c r="KH8" s="444" t="s">
        <v>6</v>
      </c>
      <c r="KI8" s="377"/>
      <c r="KJ8" s="373"/>
      <c r="KK8" s="444" t="s">
        <v>6</v>
      </c>
      <c r="KL8" s="377"/>
      <c r="KM8" s="373"/>
      <c r="KN8" s="444" t="s">
        <v>6</v>
      </c>
      <c r="KO8" s="377"/>
      <c r="KP8" s="373"/>
      <c r="KQ8" s="444"/>
      <c r="KR8" s="377">
        <v>51</v>
      </c>
      <c r="KS8" s="373">
        <v>261</v>
      </c>
      <c r="KT8" s="444">
        <v>16.3</v>
      </c>
      <c r="KU8" s="377">
        <v>85</v>
      </c>
      <c r="KV8" s="373">
        <v>229</v>
      </c>
      <c r="KW8" s="444">
        <v>27.1</v>
      </c>
      <c r="KX8" s="377">
        <v>158</v>
      </c>
      <c r="KY8" s="373">
        <v>158</v>
      </c>
      <c r="KZ8" s="444">
        <v>50</v>
      </c>
      <c r="LA8" s="377"/>
      <c r="LB8" s="373"/>
      <c r="LC8" s="444"/>
      <c r="LD8" s="377">
        <v>270</v>
      </c>
      <c r="LE8" s="373">
        <v>925</v>
      </c>
      <c r="LF8" s="444">
        <v>22.6</v>
      </c>
      <c r="LG8" s="377">
        <v>438</v>
      </c>
      <c r="LH8" s="373">
        <v>898</v>
      </c>
      <c r="LI8" s="444">
        <v>32.799999999999997</v>
      </c>
      <c r="LJ8" s="377">
        <v>917</v>
      </c>
      <c r="LK8" s="373">
        <v>692</v>
      </c>
      <c r="LL8" s="444">
        <v>57</v>
      </c>
      <c r="LM8" s="377"/>
      <c r="LN8" s="373"/>
      <c r="LO8" s="444"/>
    </row>
    <row r="9" spans="1:327" x14ac:dyDescent="0.2">
      <c r="A9" s="1001"/>
      <c r="B9" s="747"/>
      <c r="C9" s="151" t="s">
        <v>633</v>
      </c>
      <c r="D9" s="377"/>
      <c r="E9" s="373"/>
      <c r="F9" s="444" t="s">
        <v>6</v>
      </c>
      <c r="G9" s="377"/>
      <c r="H9" s="373"/>
      <c r="I9" s="444" t="s">
        <v>6</v>
      </c>
      <c r="J9" s="377"/>
      <c r="K9" s="373"/>
      <c r="L9" s="444" t="s">
        <v>6</v>
      </c>
      <c r="M9" s="377"/>
      <c r="N9" s="373"/>
      <c r="O9" s="444"/>
      <c r="P9" s="377"/>
      <c r="Q9" s="373"/>
      <c r="R9" s="444" t="s">
        <v>6</v>
      </c>
      <c r="S9" s="377"/>
      <c r="T9" s="373"/>
      <c r="U9" s="444" t="s">
        <v>6</v>
      </c>
      <c r="V9" s="377"/>
      <c r="W9" s="373"/>
      <c r="X9" s="444" t="s">
        <v>6</v>
      </c>
      <c r="Y9" s="377"/>
      <c r="Z9" s="373"/>
      <c r="AA9" s="444"/>
      <c r="AB9" s="377"/>
      <c r="AC9" s="373"/>
      <c r="AD9" s="444" t="s">
        <v>6</v>
      </c>
      <c r="AE9" s="377"/>
      <c r="AF9" s="373"/>
      <c r="AG9" s="444" t="s">
        <v>6</v>
      </c>
      <c r="AH9" s="377"/>
      <c r="AI9" s="373"/>
      <c r="AJ9" s="444" t="s">
        <v>6</v>
      </c>
      <c r="AK9" s="377"/>
      <c r="AL9" s="373"/>
      <c r="AM9" s="444"/>
      <c r="AN9" s="377">
        <v>17</v>
      </c>
      <c r="AO9" s="373">
        <v>52</v>
      </c>
      <c r="AP9" s="444">
        <v>24.6</v>
      </c>
      <c r="AQ9" s="377">
        <v>15</v>
      </c>
      <c r="AR9" s="373">
        <v>40</v>
      </c>
      <c r="AS9" s="444">
        <v>27.3</v>
      </c>
      <c r="AT9" s="377">
        <v>45</v>
      </c>
      <c r="AU9" s="373">
        <v>38</v>
      </c>
      <c r="AV9" s="444">
        <v>54.2</v>
      </c>
      <c r="AW9" s="377"/>
      <c r="AX9" s="373"/>
      <c r="AY9" s="444"/>
      <c r="AZ9" s="377">
        <v>12</v>
      </c>
      <c r="BA9" s="373">
        <v>48</v>
      </c>
      <c r="BB9" s="444">
        <v>20</v>
      </c>
      <c r="BC9" s="377">
        <v>8</v>
      </c>
      <c r="BD9" s="373">
        <v>38</v>
      </c>
      <c r="BE9" s="444">
        <v>17.399999999999999</v>
      </c>
      <c r="BF9" s="377">
        <v>31</v>
      </c>
      <c r="BG9" s="373">
        <v>37</v>
      </c>
      <c r="BH9" s="444">
        <v>45.6</v>
      </c>
      <c r="BI9" s="377"/>
      <c r="BJ9" s="373"/>
      <c r="BK9" s="444"/>
      <c r="BL9" s="377"/>
      <c r="BM9" s="373"/>
      <c r="BN9" s="444" t="s">
        <v>6</v>
      </c>
      <c r="BO9" s="377"/>
      <c r="BP9" s="373"/>
      <c r="BQ9" s="444" t="s">
        <v>6</v>
      </c>
      <c r="BR9" s="377"/>
      <c r="BS9" s="373"/>
      <c r="BT9" s="444" t="s">
        <v>6</v>
      </c>
      <c r="BU9" s="377"/>
      <c r="BV9" s="373"/>
      <c r="BW9" s="444"/>
      <c r="BX9" s="377"/>
      <c r="BY9" s="373"/>
      <c r="BZ9" s="444" t="s">
        <v>6</v>
      </c>
      <c r="CA9" s="377"/>
      <c r="CB9" s="373"/>
      <c r="CC9" s="444" t="s">
        <v>6</v>
      </c>
      <c r="CD9" s="377"/>
      <c r="CE9" s="373"/>
      <c r="CF9" s="444" t="s">
        <v>6</v>
      </c>
      <c r="CG9" s="377"/>
      <c r="CH9" s="373"/>
      <c r="CI9" s="444"/>
      <c r="CJ9" s="377"/>
      <c r="CK9" s="373"/>
      <c r="CL9" s="444" t="s">
        <v>6</v>
      </c>
      <c r="CM9" s="377"/>
      <c r="CN9" s="373"/>
      <c r="CO9" s="444" t="s">
        <v>6</v>
      </c>
      <c r="CP9" s="377"/>
      <c r="CQ9" s="373"/>
      <c r="CR9" s="444" t="s">
        <v>6</v>
      </c>
      <c r="CS9" s="377"/>
      <c r="CT9" s="373"/>
      <c r="CU9" s="444"/>
      <c r="CV9" s="377">
        <v>26</v>
      </c>
      <c r="CW9" s="373">
        <v>71</v>
      </c>
      <c r="CX9" s="444">
        <v>26.8</v>
      </c>
      <c r="CY9" s="377">
        <v>28</v>
      </c>
      <c r="CZ9" s="373">
        <v>70</v>
      </c>
      <c r="DA9" s="444">
        <v>28.6</v>
      </c>
      <c r="DB9" s="377">
        <v>70</v>
      </c>
      <c r="DC9" s="373">
        <v>56</v>
      </c>
      <c r="DD9" s="444">
        <v>55.6</v>
      </c>
      <c r="DE9" s="377"/>
      <c r="DF9" s="373"/>
      <c r="DG9" s="444"/>
      <c r="DH9" s="377">
        <v>1</v>
      </c>
      <c r="DI9" s="373">
        <v>1</v>
      </c>
      <c r="DJ9" s="444">
        <v>50</v>
      </c>
      <c r="DK9" s="377"/>
      <c r="DL9" s="373"/>
      <c r="DM9" s="444" t="s">
        <v>6</v>
      </c>
      <c r="DN9" s="377">
        <v>2</v>
      </c>
      <c r="DO9" s="373">
        <v>5</v>
      </c>
      <c r="DP9" s="444">
        <v>28.6</v>
      </c>
      <c r="DQ9" s="377"/>
      <c r="DR9" s="373"/>
      <c r="DS9" s="444"/>
      <c r="DT9" s="377"/>
      <c r="DU9" s="373"/>
      <c r="DV9" s="444" t="s">
        <v>6</v>
      </c>
      <c r="DW9" s="377"/>
      <c r="DX9" s="373"/>
      <c r="DY9" s="444" t="s">
        <v>6</v>
      </c>
      <c r="DZ9" s="377">
        <v>2</v>
      </c>
      <c r="EA9" s="373">
        <v>1</v>
      </c>
      <c r="EB9" s="444">
        <v>66.7</v>
      </c>
      <c r="EC9" s="377"/>
      <c r="ED9" s="373"/>
      <c r="EE9" s="444"/>
      <c r="EF9" s="377">
        <v>80</v>
      </c>
      <c r="EG9" s="373">
        <v>1255</v>
      </c>
      <c r="EH9" s="444">
        <v>6</v>
      </c>
      <c r="EI9" s="377">
        <v>100</v>
      </c>
      <c r="EJ9" s="373">
        <v>1148</v>
      </c>
      <c r="EK9" s="444">
        <v>8</v>
      </c>
      <c r="EL9" s="377">
        <v>129</v>
      </c>
      <c r="EM9" s="373">
        <v>1030</v>
      </c>
      <c r="EN9" s="444">
        <v>11.1</v>
      </c>
      <c r="EO9" s="377"/>
      <c r="EP9" s="373"/>
      <c r="EQ9" s="444"/>
      <c r="ER9" s="377"/>
      <c r="ES9" s="373">
        <v>10</v>
      </c>
      <c r="ET9" s="444">
        <v>0</v>
      </c>
      <c r="EU9" s="377">
        <v>2</v>
      </c>
      <c r="EV9" s="373">
        <v>5</v>
      </c>
      <c r="EW9" s="444">
        <v>28.6</v>
      </c>
      <c r="EX9" s="377">
        <v>1</v>
      </c>
      <c r="EY9" s="373">
        <v>1</v>
      </c>
      <c r="EZ9" s="444">
        <v>50</v>
      </c>
      <c r="FA9" s="377"/>
      <c r="FB9" s="373"/>
      <c r="FC9" s="444"/>
      <c r="FD9" s="377">
        <v>9</v>
      </c>
      <c r="FE9" s="373">
        <v>110</v>
      </c>
      <c r="FF9" s="444">
        <v>7.6</v>
      </c>
      <c r="FG9" s="377">
        <v>2</v>
      </c>
      <c r="FH9" s="373">
        <v>129</v>
      </c>
      <c r="FI9" s="444">
        <v>1.5</v>
      </c>
      <c r="FJ9" s="377">
        <v>7</v>
      </c>
      <c r="FK9" s="373">
        <v>78</v>
      </c>
      <c r="FL9" s="444">
        <v>8.1999999999999993</v>
      </c>
      <c r="FM9" s="377"/>
      <c r="FN9" s="373"/>
      <c r="FO9" s="444"/>
      <c r="FP9" s="377">
        <v>5</v>
      </c>
      <c r="FQ9" s="373">
        <v>168</v>
      </c>
      <c r="FR9" s="444">
        <v>2.9</v>
      </c>
      <c r="FS9" s="377">
        <v>10</v>
      </c>
      <c r="FT9" s="373">
        <v>110</v>
      </c>
      <c r="FU9" s="444">
        <v>8.3000000000000007</v>
      </c>
      <c r="FV9" s="377">
        <v>19</v>
      </c>
      <c r="FW9" s="373">
        <v>103</v>
      </c>
      <c r="FX9" s="444">
        <v>15.6</v>
      </c>
      <c r="FY9" s="377"/>
      <c r="FZ9" s="373"/>
      <c r="GA9" s="444"/>
      <c r="GB9" s="377">
        <v>9</v>
      </c>
      <c r="GC9" s="373">
        <v>13</v>
      </c>
      <c r="GD9" s="444">
        <v>40.9</v>
      </c>
      <c r="GE9" s="377">
        <v>9</v>
      </c>
      <c r="GF9" s="373">
        <v>5</v>
      </c>
      <c r="GG9" s="444">
        <v>64.3</v>
      </c>
      <c r="GH9" s="377">
        <v>12</v>
      </c>
      <c r="GI9" s="373">
        <v>1</v>
      </c>
      <c r="GJ9" s="444">
        <v>92.3</v>
      </c>
      <c r="GK9" s="377"/>
      <c r="GL9" s="373"/>
      <c r="GM9" s="444"/>
      <c r="GN9" s="377">
        <v>3</v>
      </c>
      <c r="GO9" s="373">
        <v>112</v>
      </c>
      <c r="GP9" s="444">
        <v>2.6</v>
      </c>
      <c r="GQ9" s="377">
        <v>4</v>
      </c>
      <c r="GR9" s="373">
        <v>83</v>
      </c>
      <c r="GS9" s="444">
        <v>4.5999999999999996</v>
      </c>
      <c r="GT9" s="377">
        <v>9</v>
      </c>
      <c r="GU9" s="373">
        <v>34</v>
      </c>
      <c r="GV9" s="444">
        <v>20.9</v>
      </c>
      <c r="GW9" s="377"/>
      <c r="GX9" s="373"/>
      <c r="GY9" s="444"/>
      <c r="GZ9" s="377"/>
      <c r="HA9" s="373">
        <v>5</v>
      </c>
      <c r="HB9" s="444">
        <v>0</v>
      </c>
      <c r="HC9" s="377"/>
      <c r="HD9" s="373">
        <v>1</v>
      </c>
      <c r="HE9" s="444">
        <v>0</v>
      </c>
      <c r="HF9" s="377"/>
      <c r="HG9" s="373"/>
      <c r="HH9" s="444" t="s">
        <v>6</v>
      </c>
      <c r="HI9" s="377"/>
      <c r="HJ9" s="373"/>
      <c r="HK9" s="444"/>
      <c r="HL9" s="377">
        <v>7</v>
      </c>
      <c r="HM9" s="373">
        <v>90</v>
      </c>
      <c r="HN9" s="444">
        <v>7.2</v>
      </c>
      <c r="HO9" s="377">
        <v>12</v>
      </c>
      <c r="HP9" s="373">
        <v>112</v>
      </c>
      <c r="HQ9" s="444">
        <v>9.6999999999999993</v>
      </c>
      <c r="HR9" s="377">
        <v>12</v>
      </c>
      <c r="HS9" s="373">
        <v>95</v>
      </c>
      <c r="HT9" s="444">
        <v>11.2</v>
      </c>
      <c r="HU9" s="377"/>
      <c r="HV9" s="373"/>
      <c r="HW9" s="444"/>
      <c r="HX9" s="377"/>
      <c r="HY9" s="373">
        <v>1</v>
      </c>
      <c r="HZ9" s="444">
        <v>0</v>
      </c>
      <c r="IA9" s="377">
        <v>2</v>
      </c>
      <c r="IB9" s="373"/>
      <c r="IC9" s="444">
        <v>100</v>
      </c>
      <c r="ID9" s="377"/>
      <c r="IE9" s="373"/>
      <c r="IF9" s="444" t="s">
        <v>6</v>
      </c>
      <c r="IG9" s="377"/>
      <c r="IH9" s="373"/>
      <c r="II9" s="444"/>
      <c r="IJ9" s="377"/>
      <c r="IK9" s="373">
        <v>2</v>
      </c>
      <c r="IL9" s="444">
        <v>0</v>
      </c>
      <c r="IM9" s="377"/>
      <c r="IN9" s="373">
        <v>1</v>
      </c>
      <c r="IO9" s="444">
        <v>0</v>
      </c>
      <c r="IP9" s="377"/>
      <c r="IQ9" s="373"/>
      <c r="IR9" s="444" t="s">
        <v>6</v>
      </c>
      <c r="IS9" s="377"/>
      <c r="IT9" s="373"/>
      <c r="IU9" s="444"/>
      <c r="IV9" s="377">
        <v>143</v>
      </c>
      <c r="IW9" s="373">
        <v>1602</v>
      </c>
      <c r="IX9" s="444">
        <v>8.1999999999999993</v>
      </c>
      <c r="IY9" s="377">
        <v>170</v>
      </c>
      <c r="IZ9" s="373">
        <v>1460</v>
      </c>
      <c r="JA9" s="444">
        <v>10.4</v>
      </c>
      <c r="JB9" s="377">
        <v>281</v>
      </c>
      <c r="JC9" s="373">
        <v>1260</v>
      </c>
      <c r="JD9" s="444">
        <v>18.2</v>
      </c>
      <c r="JE9" s="377"/>
      <c r="JF9" s="373"/>
      <c r="JG9" s="444"/>
      <c r="JH9" s="377">
        <v>61</v>
      </c>
      <c r="JI9" s="373">
        <v>225</v>
      </c>
      <c r="JJ9" s="444">
        <v>21.3</v>
      </c>
      <c r="JK9" s="377">
        <v>55</v>
      </c>
      <c r="JL9" s="373">
        <v>260</v>
      </c>
      <c r="JM9" s="444">
        <v>17.5</v>
      </c>
      <c r="JN9" s="377">
        <v>119</v>
      </c>
      <c r="JO9" s="373">
        <v>338</v>
      </c>
      <c r="JP9" s="444">
        <v>26</v>
      </c>
      <c r="JQ9" s="377"/>
      <c r="JR9" s="373"/>
      <c r="JS9" s="444"/>
      <c r="JT9" s="377"/>
      <c r="JU9" s="373">
        <v>6</v>
      </c>
      <c r="JV9" s="444">
        <v>0</v>
      </c>
      <c r="JW9" s="377">
        <v>1</v>
      </c>
      <c r="JX9" s="373">
        <v>3</v>
      </c>
      <c r="JY9" s="444">
        <v>25</v>
      </c>
      <c r="JZ9" s="377"/>
      <c r="KA9" s="373">
        <v>1</v>
      </c>
      <c r="KB9" s="444">
        <v>0</v>
      </c>
      <c r="KC9" s="377"/>
      <c r="KD9" s="373"/>
      <c r="KE9" s="444"/>
      <c r="KF9" s="377"/>
      <c r="KG9" s="373"/>
      <c r="KH9" s="444" t="s">
        <v>6</v>
      </c>
      <c r="KI9" s="377"/>
      <c r="KJ9" s="373"/>
      <c r="KK9" s="444" t="s">
        <v>6</v>
      </c>
      <c r="KL9" s="377"/>
      <c r="KM9" s="373"/>
      <c r="KN9" s="444" t="s">
        <v>6</v>
      </c>
      <c r="KO9" s="377"/>
      <c r="KP9" s="373"/>
      <c r="KQ9" s="444"/>
      <c r="KR9" s="377">
        <v>67</v>
      </c>
      <c r="KS9" s="373">
        <v>236</v>
      </c>
      <c r="KT9" s="444">
        <v>22.1</v>
      </c>
      <c r="KU9" s="377">
        <v>67</v>
      </c>
      <c r="KV9" s="373">
        <v>262</v>
      </c>
      <c r="KW9" s="444">
        <v>20.399999999999999</v>
      </c>
      <c r="KX9" s="377">
        <v>157</v>
      </c>
      <c r="KY9" s="373">
        <v>346</v>
      </c>
      <c r="KZ9" s="444">
        <v>31.2</v>
      </c>
      <c r="LA9" s="377"/>
      <c r="LB9" s="373"/>
      <c r="LC9" s="444"/>
      <c r="LD9" s="377">
        <v>272</v>
      </c>
      <c r="LE9" s="373">
        <v>2004</v>
      </c>
      <c r="LF9" s="444">
        <v>12</v>
      </c>
      <c r="LG9" s="377">
        <v>323</v>
      </c>
      <c r="LH9" s="373">
        <v>1903</v>
      </c>
      <c r="LI9" s="444">
        <v>14.5</v>
      </c>
      <c r="LJ9" s="377">
        <v>875</v>
      </c>
      <c r="LK9" s="373">
        <v>1620</v>
      </c>
      <c r="LL9" s="444">
        <v>35.1</v>
      </c>
      <c r="LM9" s="377"/>
      <c r="LN9" s="373"/>
      <c r="LO9" s="444"/>
    </row>
    <row r="10" spans="1:327" x14ac:dyDescent="0.2">
      <c r="A10" s="1001"/>
      <c r="B10" s="747"/>
      <c r="C10" s="151" t="s">
        <v>634</v>
      </c>
      <c r="D10" s="377"/>
      <c r="E10" s="373"/>
      <c r="F10" s="444" t="s">
        <v>6</v>
      </c>
      <c r="G10" s="377"/>
      <c r="H10" s="373"/>
      <c r="I10" s="444" t="s">
        <v>6</v>
      </c>
      <c r="J10" s="377"/>
      <c r="K10" s="373"/>
      <c r="L10" s="444" t="s">
        <v>6</v>
      </c>
      <c r="M10" s="377"/>
      <c r="N10" s="373"/>
      <c r="O10" s="444"/>
      <c r="P10" s="377"/>
      <c r="Q10" s="373"/>
      <c r="R10" s="444" t="s">
        <v>6</v>
      </c>
      <c r="S10" s="377"/>
      <c r="T10" s="373"/>
      <c r="U10" s="444" t="s">
        <v>6</v>
      </c>
      <c r="V10" s="377"/>
      <c r="W10" s="373"/>
      <c r="X10" s="444" t="s">
        <v>6</v>
      </c>
      <c r="Y10" s="377"/>
      <c r="Z10" s="373"/>
      <c r="AA10" s="444"/>
      <c r="AB10" s="377"/>
      <c r="AC10" s="373"/>
      <c r="AD10" s="444" t="s">
        <v>6</v>
      </c>
      <c r="AE10" s="377"/>
      <c r="AF10" s="373"/>
      <c r="AG10" s="444" t="s">
        <v>6</v>
      </c>
      <c r="AH10" s="377"/>
      <c r="AI10" s="373"/>
      <c r="AJ10" s="444" t="s">
        <v>6</v>
      </c>
      <c r="AK10" s="377"/>
      <c r="AL10" s="373"/>
      <c r="AM10" s="444"/>
      <c r="AN10" s="377">
        <v>10</v>
      </c>
      <c r="AO10" s="373">
        <v>20</v>
      </c>
      <c r="AP10" s="444">
        <v>33.299999999999997</v>
      </c>
      <c r="AQ10" s="377">
        <v>20</v>
      </c>
      <c r="AR10" s="373">
        <v>31</v>
      </c>
      <c r="AS10" s="444">
        <v>39.200000000000003</v>
      </c>
      <c r="AT10" s="377">
        <v>41</v>
      </c>
      <c r="AU10" s="373">
        <v>14</v>
      </c>
      <c r="AV10" s="444">
        <v>74.5</v>
      </c>
      <c r="AW10" s="377"/>
      <c r="AX10" s="373"/>
      <c r="AY10" s="444"/>
      <c r="AZ10" s="377">
        <v>7</v>
      </c>
      <c r="BA10" s="373">
        <v>20</v>
      </c>
      <c r="BB10" s="444">
        <v>25.9</v>
      </c>
      <c r="BC10" s="377">
        <v>11</v>
      </c>
      <c r="BD10" s="373">
        <v>28</v>
      </c>
      <c r="BE10" s="444">
        <v>28.2</v>
      </c>
      <c r="BF10" s="377">
        <v>21</v>
      </c>
      <c r="BG10" s="373">
        <v>13</v>
      </c>
      <c r="BH10" s="444">
        <v>61.8</v>
      </c>
      <c r="BI10" s="377"/>
      <c r="BJ10" s="373"/>
      <c r="BK10" s="444"/>
      <c r="BL10" s="377"/>
      <c r="BM10" s="373"/>
      <c r="BN10" s="444" t="s">
        <v>6</v>
      </c>
      <c r="BO10" s="377"/>
      <c r="BP10" s="373"/>
      <c r="BQ10" s="444" t="s">
        <v>6</v>
      </c>
      <c r="BR10" s="377"/>
      <c r="BS10" s="373"/>
      <c r="BT10" s="444" t="s">
        <v>6</v>
      </c>
      <c r="BU10" s="377"/>
      <c r="BV10" s="373"/>
      <c r="BW10" s="444"/>
      <c r="BX10" s="377"/>
      <c r="BY10" s="373"/>
      <c r="BZ10" s="444" t="s">
        <v>6</v>
      </c>
      <c r="CA10" s="377"/>
      <c r="CB10" s="373"/>
      <c r="CC10" s="444" t="s">
        <v>6</v>
      </c>
      <c r="CD10" s="377"/>
      <c r="CE10" s="373"/>
      <c r="CF10" s="444" t="s">
        <v>6</v>
      </c>
      <c r="CG10" s="377"/>
      <c r="CH10" s="373"/>
      <c r="CI10" s="444"/>
      <c r="CJ10" s="377"/>
      <c r="CK10" s="373"/>
      <c r="CL10" s="444" t="s">
        <v>6</v>
      </c>
      <c r="CM10" s="377"/>
      <c r="CN10" s="373"/>
      <c r="CO10" s="444" t="s">
        <v>6</v>
      </c>
      <c r="CP10" s="377"/>
      <c r="CQ10" s="373"/>
      <c r="CR10" s="444" t="s">
        <v>6</v>
      </c>
      <c r="CS10" s="377"/>
      <c r="CT10" s="373"/>
      <c r="CU10" s="444"/>
      <c r="CV10" s="377">
        <v>20</v>
      </c>
      <c r="CW10" s="373">
        <v>39</v>
      </c>
      <c r="CX10" s="444">
        <v>33.9</v>
      </c>
      <c r="CY10" s="377">
        <v>29</v>
      </c>
      <c r="CZ10" s="373">
        <v>29</v>
      </c>
      <c r="DA10" s="444">
        <v>50</v>
      </c>
      <c r="DB10" s="377">
        <v>98</v>
      </c>
      <c r="DC10" s="373">
        <v>36</v>
      </c>
      <c r="DD10" s="444">
        <v>73.099999999999994</v>
      </c>
      <c r="DE10" s="377"/>
      <c r="DF10" s="373"/>
      <c r="DG10" s="444"/>
      <c r="DH10" s="377">
        <v>2</v>
      </c>
      <c r="DI10" s="373"/>
      <c r="DJ10" s="444">
        <v>100</v>
      </c>
      <c r="DK10" s="377">
        <v>1</v>
      </c>
      <c r="DL10" s="373"/>
      <c r="DM10" s="444">
        <v>100</v>
      </c>
      <c r="DN10" s="377"/>
      <c r="DO10" s="373"/>
      <c r="DP10" s="444" t="s">
        <v>6</v>
      </c>
      <c r="DQ10" s="377"/>
      <c r="DR10" s="373"/>
      <c r="DS10" s="444"/>
      <c r="DT10" s="377">
        <v>1</v>
      </c>
      <c r="DU10" s="373"/>
      <c r="DV10" s="444">
        <v>100</v>
      </c>
      <c r="DW10" s="377">
        <v>1</v>
      </c>
      <c r="DX10" s="373">
        <v>1</v>
      </c>
      <c r="DY10" s="444">
        <v>50</v>
      </c>
      <c r="DZ10" s="377">
        <v>5</v>
      </c>
      <c r="EA10" s="373">
        <v>2</v>
      </c>
      <c r="EB10" s="444">
        <v>71.400000000000006</v>
      </c>
      <c r="EC10" s="377"/>
      <c r="ED10" s="373"/>
      <c r="EE10" s="444"/>
      <c r="EF10" s="377">
        <v>49</v>
      </c>
      <c r="EG10" s="373">
        <v>1112</v>
      </c>
      <c r="EH10" s="444">
        <v>4.2</v>
      </c>
      <c r="EI10" s="377">
        <v>81</v>
      </c>
      <c r="EJ10" s="373">
        <v>874</v>
      </c>
      <c r="EK10" s="444">
        <v>8.5</v>
      </c>
      <c r="EL10" s="377">
        <v>159</v>
      </c>
      <c r="EM10" s="373">
        <v>763</v>
      </c>
      <c r="EN10" s="444">
        <v>17.2</v>
      </c>
      <c r="EO10" s="377"/>
      <c r="EP10" s="373"/>
      <c r="EQ10" s="444"/>
      <c r="ER10" s="377"/>
      <c r="ES10" s="373">
        <v>10</v>
      </c>
      <c r="ET10" s="444">
        <v>0</v>
      </c>
      <c r="EU10" s="377">
        <v>1</v>
      </c>
      <c r="EV10" s="373">
        <v>2</v>
      </c>
      <c r="EW10" s="444">
        <v>33.299999999999997</v>
      </c>
      <c r="EX10" s="377">
        <v>3</v>
      </c>
      <c r="EY10" s="373"/>
      <c r="EZ10" s="444">
        <v>100</v>
      </c>
      <c r="FA10" s="377"/>
      <c r="FB10" s="373"/>
      <c r="FC10" s="444"/>
      <c r="FD10" s="377"/>
      <c r="FE10" s="373">
        <v>38</v>
      </c>
      <c r="FF10" s="444">
        <v>0</v>
      </c>
      <c r="FG10" s="377"/>
      <c r="FH10" s="373">
        <v>21</v>
      </c>
      <c r="FI10" s="444">
        <v>0</v>
      </c>
      <c r="FJ10" s="377">
        <v>1</v>
      </c>
      <c r="FK10" s="373">
        <v>14</v>
      </c>
      <c r="FL10" s="444">
        <v>6.7</v>
      </c>
      <c r="FM10" s="377"/>
      <c r="FN10" s="373"/>
      <c r="FO10" s="444"/>
      <c r="FP10" s="377">
        <v>3</v>
      </c>
      <c r="FQ10" s="373">
        <v>136</v>
      </c>
      <c r="FR10" s="444">
        <v>2.2000000000000002</v>
      </c>
      <c r="FS10" s="377">
        <v>3</v>
      </c>
      <c r="FT10" s="373">
        <v>81</v>
      </c>
      <c r="FU10" s="444">
        <v>3.6</v>
      </c>
      <c r="FV10" s="377">
        <v>22</v>
      </c>
      <c r="FW10" s="373">
        <v>66</v>
      </c>
      <c r="FX10" s="444">
        <v>25</v>
      </c>
      <c r="FY10" s="377"/>
      <c r="FZ10" s="373"/>
      <c r="GA10" s="444"/>
      <c r="GB10" s="377">
        <v>4</v>
      </c>
      <c r="GC10" s="373">
        <v>18</v>
      </c>
      <c r="GD10" s="444">
        <v>18.2</v>
      </c>
      <c r="GE10" s="377">
        <v>11</v>
      </c>
      <c r="GF10" s="373">
        <v>9</v>
      </c>
      <c r="GG10" s="444">
        <v>55</v>
      </c>
      <c r="GH10" s="377">
        <v>11</v>
      </c>
      <c r="GI10" s="373">
        <v>2</v>
      </c>
      <c r="GJ10" s="444">
        <v>84.6</v>
      </c>
      <c r="GK10" s="377"/>
      <c r="GL10" s="373"/>
      <c r="GM10" s="444"/>
      <c r="GN10" s="377">
        <v>5</v>
      </c>
      <c r="GO10" s="373">
        <v>143</v>
      </c>
      <c r="GP10" s="444">
        <v>3.4</v>
      </c>
      <c r="GQ10" s="377">
        <v>8</v>
      </c>
      <c r="GR10" s="373">
        <v>94</v>
      </c>
      <c r="GS10" s="444">
        <v>7.8</v>
      </c>
      <c r="GT10" s="377">
        <v>27</v>
      </c>
      <c r="GU10" s="373">
        <v>48</v>
      </c>
      <c r="GV10" s="444">
        <v>36</v>
      </c>
      <c r="GW10" s="377"/>
      <c r="GX10" s="373"/>
      <c r="GY10" s="444"/>
      <c r="GZ10" s="377"/>
      <c r="HA10" s="373"/>
      <c r="HB10" s="444" t="s">
        <v>6</v>
      </c>
      <c r="HC10" s="377">
        <v>1</v>
      </c>
      <c r="HD10" s="373"/>
      <c r="HE10" s="444">
        <v>100</v>
      </c>
      <c r="HF10" s="377">
        <v>1</v>
      </c>
      <c r="HG10" s="373"/>
      <c r="HH10" s="444">
        <v>100</v>
      </c>
      <c r="HI10" s="377"/>
      <c r="HJ10" s="373"/>
      <c r="HK10" s="444"/>
      <c r="HL10" s="377">
        <v>4</v>
      </c>
      <c r="HM10" s="373">
        <v>94</v>
      </c>
      <c r="HN10" s="444">
        <v>4.0999999999999996</v>
      </c>
      <c r="HO10" s="377">
        <v>7</v>
      </c>
      <c r="HP10" s="373">
        <v>138</v>
      </c>
      <c r="HQ10" s="444">
        <v>4.8</v>
      </c>
      <c r="HR10" s="377">
        <v>14</v>
      </c>
      <c r="HS10" s="373">
        <v>138</v>
      </c>
      <c r="HT10" s="444">
        <v>9.1999999999999993</v>
      </c>
      <c r="HU10" s="377"/>
      <c r="HV10" s="373"/>
      <c r="HW10" s="444"/>
      <c r="HX10" s="377">
        <v>4</v>
      </c>
      <c r="HY10" s="373"/>
      <c r="HZ10" s="444">
        <v>100</v>
      </c>
      <c r="IA10" s="377">
        <v>4</v>
      </c>
      <c r="IB10" s="373"/>
      <c r="IC10" s="444">
        <v>100</v>
      </c>
      <c r="ID10" s="377">
        <v>2</v>
      </c>
      <c r="IE10" s="373"/>
      <c r="IF10" s="444">
        <v>100</v>
      </c>
      <c r="IG10" s="377"/>
      <c r="IH10" s="373"/>
      <c r="II10" s="444"/>
      <c r="IJ10" s="377"/>
      <c r="IK10" s="373"/>
      <c r="IL10" s="444" t="s">
        <v>6</v>
      </c>
      <c r="IM10" s="377">
        <v>2</v>
      </c>
      <c r="IN10" s="373"/>
      <c r="IO10" s="444">
        <v>100</v>
      </c>
      <c r="IP10" s="377"/>
      <c r="IQ10" s="373"/>
      <c r="IR10" s="444" t="s">
        <v>6</v>
      </c>
      <c r="IS10" s="377"/>
      <c r="IT10" s="373"/>
      <c r="IU10" s="444"/>
      <c r="IV10" s="377">
        <v>99</v>
      </c>
      <c r="IW10" s="373">
        <v>1426</v>
      </c>
      <c r="IX10" s="444">
        <v>6.5</v>
      </c>
      <c r="IY10" s="377">
        <v>165</v>
      </c>
      <c r="IZ10" s="373">
        <v>1176</v>
      </c>
      <c r="JA10" s="444">
        <v>12.3</v>
      </c>
      <c r="JB10" s="377">
        <v>358</v>
      </c>
      <c r="JC10" s="373">
        <v>1003</v>
      </c>
      <c r="JD10" s="444">
        <v>26.3</v>
      </c>
      <c r="JE10" s="377"/>
      <c r="JF10" s="373"/>
      <c r="JG10" s="444"/>
      <c r="JH10" s="377">
        <v>15</v>
      </c>
      <c r="JI10" s="373">
        <v>361</v>
      </c>
      <c r="JJ10" s="444">
        <v>4</v>
      </c>
      <c r="JK10" s="377">
        <v>60</v>
      </c>
      <c r="JL10" s="373">
        <v>255</v>
      </c>
      <c r="JM10" s="444">
        <v>19</v>
      </c>
      <c r="JN10" s="377">
        <v>120</v>
      </c>
      <c r="JO10" s="373">
        <v>172</v>
      </c>
      <c r="JP10" s="444">
        <v>41.1</v>
      </c>
      <c r="JQ10" s="377"/>
      <c r="JR10" s="373"/>
      <c r="JS10" s="444"/>
      <c r="JT10" s="377">
        <v>2</v>
      </c>
      <c r="JU10" s="373">
        <v>6</v>
      </c>
      <c r="JV10" s="444">
        <v>25</v>
      </c>
      <c r="JW10" s="377"/>
      <c r="JX10" s="373">
        <v>5</v>
      </c>
      <c r="JY10" s="444">
        <v>0</v>
      </c>
      <c r="JZ10" s="377"/>
      <c r="KA10" s="373">
        <v>5</v>
      </c>
      <c r="KB10" s="444">
        <v>0</v>
      </c>
      <c r="KC10" s="377"/>
      <c r="KD10" s="373"/>
      <c r="KE10" s="444"/>
      <c r="KF10" s="377"/>
      <c r="KG10" s="373"/>
      <c r="KH10" s="444" t="s">
        <v>6</v>
      </c>
      <c r="KI10" s="377"/>
      <c r="KJ10" s="373"/>
      <c r="KK10" s="444" t="s">
        <v>6</v>
      </c>
      <c r="KL10" s="377"/>
      <c r="KM10" s="373"/>
      <c r="KN10" s="444" t="s">
        <v>6</v>
      </c>
      <c r="KO10" s="377"/>
      <c r="KP10" s="373"/>
      <c r="KQ10" s="444"/>
      <c r="KR10" s="377">
        <v>22</v>
      </c>
      <c r="KS10" s="373">
        <v>370</v>
      </c>
      <c r="KT10" s="444">
        <v>5.6</v>
      </c>
      <c r="KU10" s="377">
        <v>65</v>
      </c>
      <c r="KV10" s="373">
        <v>258</v>
      </c>
      <c r="KW10" s="444">
        <v>20.100000000000001</v>
      </c>
      <c r="KX10" s="377">
        <v>129</v>
      </c>
      <c r="KY10" s="373">
        <v>174</v>
      </c>
      <c r="KZ10" s="444">
        <v>42.6</v>
      </c>
      <c r="LA10" s="377"/>
      <c r="LB10" s="373"/>
      <c r="LC10" s="444"/>
      <c r="LD10" s="377">
        <v>219</v>
      </c>
      <c r="LE10" s="373">
        <v>1605</v>
      </c>
      <c r="LF10" s="444">
        <v>12</v>
      </c>
      <c r="LG10" s="377">
        <v>1496</v>
      </c>
      <c r="LH10" s="373">
        <v>1416</v>
      </c>
      <c r="LI10" s="444">
        <v>51.4</v>
      </c>
      <c r="LJ10" s="377">
        <v>960</v>
      </c>
      <c r="LK10" s="373">
        <v>1271</v>
      </c>
      <c r="LL10" s="444">
        <v>43</v>
      </c>
      <c r="LM10" s="377"/>
      <c r="LN10" s="373"/>
      <c r="LO10" s="444"/>
    </row>
    <row r="11" spans="1:327" x14ac:dyDescent="0.2">
      <c r="A11" s="1001"/>
      <c r="B11" s="747"/>
      <c r="C11" s="151" t="s">
        <v>635</v>
      </c>
      <c r="D11" s="377"/>
      <c r="E11" s="373"/>
      <c r="F11" s="444" t="s">
        <v>6</v>
      </c>
      <c r="G11" s="377"/>
      <c r="H11" s="373"/>
      <c r="I11" s="444" t="s">
        <v>6</v>
      </c>
      <c r="J11" s="377"/>
      <c r="K11" s="373"/>
      <c r="L11" s="444" t="s">
        <v>6</v>
      </c>
      <c r="M11" s="377"/>
      <c r="N11" s="373"/>
      <c r="O11" s="444"/>
      <c r="P11" s="377"/>
      <c r="Q11" s="373"/>
      <c r="R11" s="444" t="s">
        <v>6</v>
      </c>
      <c r="S11" s="377"/>
      <c r="T11" s="373"/>
      <c r="U11" s="444" t="s">
        <v>6</v>
      </c>
      <c r="V11" s="377"/>
      <c r="W11" s="373"/>
      <c r="X11" s="444" t="s">
        <v>6</v>
      </c>
      <c r="Y11" s="377"/>
      <c r="Z11" s="373"/>
      <c r="AA11" s="444"/>
      <c r="AB11" s="377"/>
      <c r="AC11" s="373"/>
      <c r="AD11" s="444" t="s">
        <v>6</v>
      </c>
      <c r="AE11" s="377"/>
      <c r="AF11" s="373"/>
      <c r="AG11" s="444" t="s">
        <v>6</v>
      </c>
      <c r="AH11" s="377"/>
      <c r="AI11" s="373"/>
      <c r="AJ11" s="444" t="s">
        <v>6</v>
      </c>
      <c r="AK11" s="377"/>
      <c r="AL11" s="373"/>
      <c r="AM11" s="444"/>
      <c r="AN11" s="377">
        <v>9</v>
      </c>
      <c r="AO11" s="373">
        <v>37</v>
      </c>
      <c r="AP11" s="444">
        <v>19.600000000000001</v>
      </c>
      <c r="AQ11" s="377">
        <v>11</v>
      </c>
      <c r="AR11" s="373">
        <v>44</v>
      </c>
      <c r="AS11" s="444">
        <v>20</v>
      </c>
      <c r="AT11" s="377">
        <v>20</v>
      </c>
      <c r="AU11" s="373">
        <v>61</v>
      </c>
      <c r="AV11" s="444">
        <v>24.7</v>
      </c>
      <c r="AW11" s="377"/>
      <c r="AX11" s="373"/>
      <c r="AY11" s="444"/>
      <c r="AZ11" s="377">
        <v>5</v>
      </c>
      <c r="BA11" s="373">
        <v>34</v>
      </c>
      <c r="BB11" s="444">
        <v>12.8</v>
      </c>
      <c r="BC11" s="377">
        <v>8</v>
      </c>
      <c r="BD11" s="373">
        <v>44</v>
      </c>
      <c r="BE11" s="444">
        <v>15.4</v>
      </c>
      <c r="BF11" s="377">
        <v>12</v>
      </c>
      <c r="BG11" s="373">
        <v>61</v>
      </c>
      <c r="BH11" s="444">
        <v>16.399999999999999</v>
      </c>
      <c r="BI11" s="377"/>
      <c r="BJ11" s="373"/>
      <c r="BK11" s="444"/>
      <c r="BL11" s="377"/>
      <c r="BM11" s="373"/>
      <c r="BN11" s="444" t="s">
        <v>6</v>
      </c>
      <c r="BO11" s="377"/>
      <c r="BP11" s="373"/>
      <c r="BQ11" s="444" t="s">
        <v>6</v>
      </c>
      <c r="BR11" s="377"/>
      <c r="BS11" s="373"/>
      <c r="BT11" s="444" t="s">
        <v>6</v>
      </c>
      <c r="BU11" s="377"/>
      <c r="BV11" s="373"/>
      <c r="BW11" s="444"/>
      <c r="BX11" s="377"/>
      <c r="BY11" s="373"/>
      <c r="BZ11" s="444" t="s">
        <v>6</v>
      </c>
      <c r="CA11" s="377"/>
      <c r="CB11" s="373"/>
      <c r="CC11" s="444" t="s">
        <v>6</v>
      </c>
      <c r="CD11" s="377"/>
      <c r="CE11" s="373"/>
      <c r="CF11" s="444" t="s">
        <v>6</v>
      </c>
      <c r="CG11" s="377"/>
      <c r="CH11" s="373"/>
      <c r="CI11" s="444"/>
      <c r="CJ11" s="377"/>
      <c r="CK11" s="373"/>
      <c r="CL11" s="444" t="s">
        <v>6</v>
      </c>
      <c r="CM11" s="377"/>
      <c r="CN11" s="373"/>
      <c r="CO11" s="444" t="s">
        <v>6</v>
      </c>
      <c r="CP11" s="377"/>
      <c r="CQ11" s="373"/>
      <c r="CR11" s="444" t="s">
        <v>6</v>
      </c>
      <c r="CS11" s="377"/>
      <c r="CT11" s="373"/>
      <c r="CU11" s="444"/>
      <c r="CV11" s="377">
        <v>15</v>
      </c>
      <c r="CW11" s="373">
        <v>55</v>
      </c>
      <c r="CX11" s="444">
        <v>21.4</v>
      </c>
      <c r="CY11" s="377">
        <v>17</v>
      </c>
      <c r="CZ11" s="373">
        <v>53</v>
      </c>
      <c r="DA11" s="444">
        <v>24.3</v>
      </c>
      <c r="DB11" s="377">
        <v>32</v>
      </c>
      <c r="DC11" s="373">
        <v>46</v>
      </c>
      <c r="DD11" s="444">
        <v>41</v>
      </c>
      <c r="DE11" s="377"/>
      <c r="DF11" s="373"/>
      <c r="DG11" s="444"/>
      <c r="DH11" s="377">
        <v>2</v>
      </c>
      <c r="DI11" s="373"/>
      <c r="DJ11" s="444">
        <v>100</v>
      </c>
      <c r="DK11" s="377">
        <v>2</v>
      </c>
      <c r="DL11" s="373">
        <v>1</v>
      </c>
      <c r="DM11" s="444">
        <v>66.7</v>
      </c>
      <c r="DN11" s="377">
        <v>1</v>
      </c>
      <c r="DO11" s="373">
        <v>1</v>
      </c>
      <c r="DP11" s="444">
        <v>50</v>
      </c>
      <c r="DQ11" s="377"/>
      <c r="DR11" s="373"/>
      <c r="DS11" s="444"/>
      <c r="DT11" s="377"/>
      <c r="DU11" s="373">
        <v>1</v>
      </c>
      <c r="DV11" s="444">
        <v>0</v>
      </c>
      <c r="DW11" s="377">
        <v>1</v>
      </c>
      <c r="DX11" s="373"/>
      <c r="DY11" s="444">
        <v>100</v>
      </c>
      <c r="DZ11" s="377">
        <v>4</v>
      </c>
      <c r="EA11" s="373"/>
      <c r="EB11" s="444">
        <v>100</v>
      </c>
      <c r="EC11" s="377"/>
      <c r="ED11" s="373"/>
      <c r="EE11" s="444"/>
      <c r="EF11" s="377">
        <v>43</v>
      </c>
      <c r="EG11" s="373">
        <v>1063</v>
      </c>
      <c r="EH11" s="444">
        <v>3.9</v>
      </c>
      <c r="EI11" s="377">
        <v>69</v>
      </c>
      <c r="EJ11" s="373">
        <v>1063</v>
      </c>
      <c r="EK11" s="444">
        <v>6.1</v>
      </c>
      <c r="EL11" s="377">
        <v>138</v>
      </c>
      <c r="EM11" s="373">
        <v>1055</v>
      </c>
      <c r="EN11" s="444">
        <v>11.6</v>
      </c>
      <c r="EO11" s="377"/>
      <c r="EP11" s="373"/>
      <c r="EQ11" s="444"/>
      <c r="ER11" s="377">
        <v>1</v>
      </c>
      <c r="ES11" s="373">
        <v>3</v>
      </c>
      <c r="ET11" s="444">
        <v>25</v>
      </c>
      <c r="EU11" s="377"/>
      <c r="EV11" s="373">
        <v>4</v>
      </c>
      <c r="EW11" s="444">
        <v>0</v>
      </c>
      <c r="EX11" s="377">
        <v>1</v>
      </c>
      <c r="EY11" s="373">
        <v>2</v>
      </c>
      <c r="EZ11" s="444">
        <v>33.299999999999997</v>
      </c>
      <c r="FA11" s="377"/>
      <c r="FB11" s="373"/>
      <c r="FC11" s="444"/>
      <c r="FD11" s="377">
        <v>2</v>
      </c>
      <c r="FE11" s="373">
        <v>40</v>
      </c>
      <c r="FF11" s="444">
        <v>4.8</v>
      </c>
      <c r="FG11" s="377">
        <v>1</v>
      </c>
      <c r="FH11" s="373">
        <v>20</v>
      </c>
      <c r="FI11" s="444">
        <v>4.8</v>
      </c>
      <c r="FJ11" s="377">
        <v>11</v>
      </c>
      <c r="FK11" s="373">
        <v>23</v>
      </c>
      <c r="FL11" s="444">
        <v>32.4</v>
      </c>
      <c r="FM11" s="377"/>
      <c r="FN11" s="373"/>
      <c r="FO11" s="444"/>
      <c r="FP11" s="377">
        <v>1</v>
      </c>
      <c r="FQ11" s="373">
        <v>156</v>
      </c>
      <c r="FR11" s="444">
        <v>0.6</v>
      </c>
      <c r="FS11" s="377">
        <v>11</v>
      </c>
      <c r="FT11" s="373">
        <v>107</v>
      </c>
      <c r="FU11" s="444">
        <v>9.3000000000000007</v>
      </c>
      <c r="FV11" s="377">
        <v>7</v>
      </c>
      <c r="FW11" s="373">
        <v>100</v>
      </c>
      <c r="FX11" s="444">
        <v>6.5</v>
      </c>
      <c r="FY11" s="377"/>
      <c r="FZ11" s="373"/>
      <c r="GA11" s="444"/>
      <c r="GB11" s="377">
        <v>6</v>
      </c>
      <c r="GC11" s="373">
        <v>14</v>
      </c>
      <c r="GD11" s="444">
        <v>30</v>
      </c>
      <c r="GE11" s="377">
        <v>6</v>
      </c>
      <c r="GF11" s="373">
        <v>13</v>
      </c>
      <c r="GG11" s="444">
        <v>31.6</v>
      </c>
      <c r="GH11" s="377">
        <v>7</v>
      </c>
      <c r="GI11" s="373">
        <v>6</v>
      </c>
      <c r="GJ11" s="444">
        <v>53.8</v>
      </c>
      <c r="GK11" s="377"/>
      <c r="GL11" s="373"/>
      <c r="GM11" s="444"/>
      <c r="GN11" s="377"/>
      <c r="GO11" s="373">
        <v>61</v>
      </c>
      <c r="GP11" s="444">
        <v>0</v>
      </c>
      <c r="GQ11" s="377">
        <v>1</v>
      </c>
      <c r="GR11" s="373">
        <v>53</v>
      </c>
      <c r="GS11" s="444">
        <v>1.9</v>
      </c>
      <c r="GT11" s="377">
        <v>6</v>
      </c>
      <c r="GU11" s="373">
        <v>28</v>
      </c>
      <c r="GV11" s="444">
        <v>17.600000000000001</v>
      </c>
      <c r="GW11" s="377"/>
      <c r="GX11" s="373"/>
      <c r="GY11" s="444"/>
      <c r="GZ11" s="377">
        <v>2</v>
      </c>
      <c r="HA11" s="373">
        <v>1</v>
      </c>
      <c r="HB11" s="444">
        <v>66.7</v>
      </c>
      <c r="HC11" s="377">
        <v>3</v>
      </c>
      <c r="HD11" s="373">
        <v>1</v>
      </c>
      <c r="HE11" s="444">
        <v>75</v>
      </c>
      <c r="HF11" s="377">
        <v>2</v>
      </c>
      <c r="HG11" s="373"/>
      <c r="HH11" s="444">
        <v>100</v>
      </c>
      <c r="HI11" s="377"/>
      <c r="HJ11" s="373"/>
      <c r="HK11" s="444"/>
      <c r="HL11" s="377">
        <v>9</v>
      </c>
      <c r="HM11" s="373">
        <v>87</v>
      </c>
      <c r="HN11" s="444">
        <v>9.4</v>
      </c>
      <c r="HO11" s="377">
        <v>10</v>
      </c>
      <c r="HP11" s="373">
        <v>92</v>
      </c>
      <c r="HQ11" s="444">
        <v>9.8000000000000007</v>
      </c>
      <c r="HR11" s="377">
        <v>4</v>
      </c>
      <c r="HS11" s="373">
        <v>95</v>
      </c>
      <c r="HT11" s="444">
        <v>4</v>
      </c>
      <c r="HU11" s="377"/>
      <c r="HV11" s="373"/>
      <c r="HW11" s="444"/>
      <c r="HX11" s="377">
        <v>1</v>
      </c>
      <c r="HY11" s="373"/>
      <c r="HZ11" s="444">
        <v>100</v>
      </c>
      <c r="IA11" s="377">
        <v>1</v>
      </c>
      <c r="IB11" s="373"/>
      <c r="IC11" s="444">
        <v>100</v>
      </c>
      <c r="ID11" s="377">
        <v>1</v>
      </c>
      <c r="IE11" s="373"/>
      <c r="IF11" s="444">
        <v>100</v>
      </c>
      <c r="IG11" s="377"/>
      <c r="IH11" s="373"/>
      <c r="II11" s="444"/>
      <c r="IJ11" s="377"/>
      <c r="IK11" s="373">
        <v>3</v>
      </c>
      <c r="IL11" s="444">
        <v>0</v>
      </c>
      <c r="IM11" s="377"/>
      <c r="IN11" s="373">
        <v>1</v>
      </c>
      <c r="IO11" s="444">
        <v>0</v>
      </c>
      <c r="IP11" s="377">
        <v>2</v>
      </c>
      <c r="IQ11" s="373">
        <v>1</v>
      </c>
      <c r="IR11" s="444">
        <v>66.7</v>
      </c>
      <c r="IS11" s="377"/>
      <c r="IT11" s="373"/>
      <c r="IU11" s="444"/>
      <c r="IV11" s="377">
        <v>87</v>
      </c>
      <c r="IW11" s="373">
        <v>1322</v>
      </c>
      <c r="IX11" s="444">
        <v>6.2</v>
      </c>
      <c r="IY11" s="377">
        <v>121</v>
      </c>
      <c r="IZ11" s="373">
        <v>1321</v>
      </c>
      <c r="JA11" s="444">
        <v>8.4</v>
      </c>
      <c r="JB11" s="377">
        <v>217</v>
      </c>
      <c r="JC11" s="373">
        <v>1293</v>
      </c>
      <c r="JD11" s="444">
        <v>14.4</v>
      </c>
      <c r="JE11" s="377"/>
      <c r="JF11" s="373"/>
      <c r="JG11" s="444"/>
      <c r="JH11" s="377">
        <v>18</v>
      </c>
      <c r="JI11" s="373">
        <v>312</v>
      </c>
      <c r="JJ11" s="444">
        <v>5.5</v>
      </c>
      <c r="JK11" s="377">
        <v>33</v>
      </c>
      <c r="JL11" s="373">
        <v>303</v>
      </c>
      <c r="JM11" s="444">
        <v>9.8000000000000007</v>
      </c>
      <c r="JN11" s="377">
        <v>74</v>
      </c>
      <c r="JO11" s="373">
        <v>258</v>
      </c>
      <c r="JP11" s="444">
        <v>22.3</v>
      </c>
      <c r="JQ11" s="377"/>
      <c r="JR11" s="373"/>
      <c r="JS11" s="444"/>
      <c r="JT11" s="377"/>
      <c r="JU11" s="373">
        <v>5</v>
      </c>
      <c r="JV11" s="444">
        <v>0</v>
      </c>
      <c r="JW11" s="377"/>
      <c r="JX11" s="373"/>
      <c r="JY11" s="444" t="s">
        <v>6</v>
      </c>
      <c r="JZ11" s="377">
        <v>1</v>
      </c>
      <c r="KA11" s="373">
        <v>6</v>
      </c>
      <c r="KB11" s="444">
        <v>14.3</v>
      </c>
      <c r="KC11" s="377"/>
      <c r="KD11" s="373"/>
      <c r="KE11" s="444"/>
      <c r="KF11" s="377"/>
      <c r="KG11" s="373"/>
      <c r="KH11" s="444" t="s">
        <v>6</v>
      </c>
      <c r="KI11" s="377"/>
      <c r="KJ11" s="373"/>
      <c r="KK11" s="444" t="s">
        <v>6</v>
      </c>
      <c r="KL11" s="377"/>
      <c r="KM11" s="373"/>
      <c r="KN11" s="444" t="s">
        <v>6</v>
      </c>
      <c r="KO11" s="377"/>
      <c r="KP11" s="373"/>
      <c r="KQ11" s="444"/>
      <c r="KR11" s="377">
        <v>18</v>
      </c>
      <c r="KS11" s="373">
        <v>323</v>
      </c>
      <c r="KT11" s="444">
        <v>5.3</v>
      </c>
      <c r="KU11" s="377">
        <v>39</v>
      </c>
      <c r="KV11" s="373">
        <v>307</v>
      </c>
      <c r="KW11" s="444">
        <v>11.3</v>
      </c>
      <c r="KX11" s="377">
        <v>82</v>
      </c>
      <c r="KY11" s="373">
        <v>274</v>
      </c>
      <c r="KZ11" s="444">
        <v>23</v>
      </c>
      <c r="LA11" s="377"/>
      <c r="LB11" s="373"/>
      <c r="LC11" s="444"/>
      <c r="LD11" s="377">
        <v>185</v>
      </c>
      <c r="LE11" s="373">
        <v>1501</v>
      </c>
      <c r="LF11" s="444">
        <v>11</v>
      </c>
      <c r="LG11" s="377">
        <v>202</v>
      </c>
      <c r="LH11" s="373">
        <v>1520</v>
      </c>
      <c r="LI11" s="444">
        <v>11.7</v>
      </c>
      <c r="LJ11" s="377">
        <v>328</v>
      </c>
      <c r="LK11" s="373">
        <v>1545</v>
      </c>
      <c r="LL11" s="444">
        <v>17.5</v>
      </c>
      <c r="LM11" s="377"/>
      <c r="LN11" s="373"/>
      <c r="LO11" s="444"/>
    </row>
    <row r="12" spans="1:327" x14ac:dyDescent="0.2">
      <c r="A12" s="1001"/>
      <c r="B12" s="747"/>
      <c r="C12" s="151" t="s">
        <v>636</v>
      </c>
      <c r="D12" s="377"/>
      <c r="E12" s="373"/>
      <c r="F12" s="444" t="s">
        <v>6</v>
      </c>
      <c r="G12" s="377"/>
      <c r="H12" s="373"/>
      <c r="I12" s="444" t="s">
        <v>6</v>
      </c>
      <c r="J12" s="377"/>
      <c r="K12" s="373"/>
      <c r="L12" s="444" t="s">
        <v>6</v>
      </c>
      <c r="M12" s="377"/>
      <c r="N12" s="373"/>
      <c r="O12" s="444"/>
      <c r="P12" s="377"/>
      <c r="Q12" s="373"/>
      <c r="R12" s="444" t="s">
        <v>6</v>
      </c>
      <c r="S12" s="377"/>
      <c r="T12" s="373"/>
      <c r="U12" s="444" t="s">
        <v>6</v>
      </c>
      <c r="V12" s="377"/>
      <c r="W12" s="373"/>
      <c r="X12" s="444" t="s">
        <v>6</v>
      </c>
      <c r="Y12" s="377"/>
      <c r="Z12" s="373"/>
      <c r="AA12" s="444"/>
      <c r="AB12" s="377"/>
      <c r="AC12" s="373"/>
      <c r="AD12" s="444" t="s">
        <v>6</v>
      </c>
      <c r="AE12" s="377"/>
      <c r="AF12" s="373"/>
      <c r="AG12" s="444" t="s">
        <v>6</v>
      </c>
      <c r="AH12" s="377"/>
      <c r="AI12" s="373"/>
      <c r="AJ12" s="444" t="s">
        <v>6</v>
      </c>
      <c r="AK12" s="377"/>
      <c r="AL12" s="373"/>
      <c r="AM12" s="444"/>
      <c r="AN12" s="377">
        <v>5</v>
      </c>
      <c r="AO12" s="373">
        <v>36</v>
      </c>
      <c r="AP12" s="444">
        <v>12.2</v>
      </c>
      <c r="AQ12" s="377">
        <v>6</v>
      </c>
      <c r="AR12" s="373">
        <v>32</v>
      </c>
      <c r="AS12" s="444">
        <v>15.8</v>
      </c>
      <c r="AT12" s="377">
        <v>6</v>
      </c>
      <c r="AU12" s="373">
        <v>26</v>
      </c>
      <c r="AV12" s="444">
        <v>18.8</v>
      </c>
      <c r="AW12" s="377"/>
      <c r="AX12" s="373"/>
      <c r="AY12" s="444"/>
      <c r="AZ12" s="377">
        <v>1</v>
      </c>
      <c r="BA12" s="373">
        <v>34</v>
      </c>
      <c r="BB12" s="444">
        <v>2.9</v>
      </c>
      <c r="BC12" s="377">
        <v>4</v>
      </c>
      <c r="BD12" s="373">
        <v>27</v>
      </c>
      <c r="BE12" s="444">
        <v>12.9</v>
      </c>
      <c r="BF12" s="377">
        <v>1</v>
      </c>
      <c r="BG12" s="373">
        <v>23</v>
      </c>
      <c r="BH12" s="444">
        <v>4.2</v>
      </c>
      <c r="BI12" s="377"/>
      <c r="BJ12" s="373"/>
      <c r="BK12" s="444"/>
      <c r="BL12" s="377"/>
      <c r="BM12" s="373"/>
      <c r="BN12" s="444" t="s">
        <v>6</v>
      </c>
      <c r="BO12" s="377"/>
      <c r="BP12" s="373"/>
      <c r="BQ12" s="444" t="s">
        <v>6</v>
      </c>
      <c r="BR12" s="377"/>
      <c r="BS12" s="373"/>
      <c r="BT12" s="444" t="s">
        <v>6</v>
      </c>
      <c r="BU12" s="377"/>
      <c r="BV12" s="373"/>
      <c r="BW12" s="444"/>
      <c r="BX12" s="377"/>
      <c r="BY12" s="373"/>
      <c r="BZ12" s="444" t="s">
        <v>6</v>
      </c>
      <c r="CA12" s="377"/>
      <c r="CB12" s="373">
        <v>1</v>
      </c>
      <c r="CC12" s="444">
        <v>0</v>
      </c>
      <c r="CD12" s="377">
        <v>1</v>
      </c>
      <c r="CE12" s="373"/>
      <c r="CF12" s="444">
        <v>100</v>
      </c>
      <c r="CG12" s="377"/>
      <c r="CH12" s="373"/>
      <c r="CI12" s="444"/>
      <c r="CJ12" s="377"/>
      <c r="CK12" s="373"/>
      <c r="CL12" s="444" t="s">
        <v>6</v>
      </c>
      <c r="CM12" s="377"/>
      <c r="CN12" s="373"/>
      <c r="CO12" s="444" t="s">
        <v>6</v>
      </c>
      <c r="CP12" s="377"/>
      <c r="CQ12" s="373"/>
      <c r="CR12" s="444" t="s">
        <v>6</v>
      </c>
      <c r="CS12" s="377"/>
      <c r="CT12" s="373"/>
      <c r="CU12" s="444"/>
      <c r="CV12" s="377">
        <v>4</v>
      </c>
      <c r="CW12" s="373">
        <v>51</v>
      </c>
      <c r="CX12" s="444">
        <v>7.3</v>
      </c>
      <c r="CY12" s="377">
        <v>7</v>
      </c>
      <c r="CZ12" s="373">
        <v>34</v>
      </c>
      <c r="DA12" s="444">
        <v>17.100000000000001</v>
      </c>
      <c r="DB12" s="377">
        <v>10</v>
      </c>
      <c r="DC12" s="373">
        <v>28</v>
      </c>
      <c r="DD12" s="444">
        <v>26.3</v>
      </c>
      <c r="DE12" s="377"/>
      <c r="DF12" s="373"/>
      <c r="DG12" s="444"/>
      <c r="DH12" s="377"/>
      <c r="DI12" s="373">
        <v>3</v>
      </c>
      <c r="DJ12" s="444">
        <v>0</v>
      </c>
      <c r="DK12" s="377">
        <v>1</v>
      </c>
      <c r="DL12" s="373">
        <v>2</v>
      </c>
      <c r="DM12" s="444">
        <v>33.299999999999997</v>
      </c>
      <c r="DN12" s="377"/>
      <c r="DO12" s="373">
        <v>2</v>
      </c>
      <c r="DP12" s="444">
        <v>0</v>
      </c>
      <c r="DQ12" s="377"/>
      <c r="DR12" s="373"/>
      <c r="DS12" s="444"/>
      <c r="DT12" s="377"/>
      <c r="DU12" s="373">
        <v>1</v>
      </c>
      <c r="DV12" s="444">
        <v>0</v>
      </c>
      <c r="DW12" s="377">
        <v>1</v>
      </c>
      <c r="DX12" s="373">
        <v>2</v>
      </c>
      <c r="DY12" s="444">
        <v>33.299999999999997</v>
      </c>
      <c r="DZ12" s="377">
        <v>2</v>
      </c>
      <c r="EA12" s="373">
        <v>2</v>
      </c>
      <c r="EB12" s="444">
        <v>50</v>
      </c>
      <c r="EC12" s="377"/>
      <c r="ED12" s="373"/>
      <c r="EE12" s="444"/>
      <c r="EF12" s="377">
        <v>44</v>
      </c>
      <c r="EG12" s="373">
        <v>1744</v>
      </c>
      <c r="EH12" s="444">
        <v>2.5</v>
      </c>
      <c r="EI12" s="377">
        <v>90</v>
      </c>
      <c r="EJ12" s="373">
        <v>1126</v>
      </c>
      <c r="EK12" s="444">
        <v>7.4</v>
      </c>
      <c r="EL12" s="377">
        <v>90</v>
      </c>
      <c r="EM12" s="373">
        <v>1048</v>
      </c>
      <c r="EN12" s="444">
        <v>7.9</v>
      </c>
      <c r="EO12" s="377"/>
      <c r="EP12" s="373"/>
      <c r="EQ12" s="444"/>
      <c r="ER12" s="377">
        <v>4</v>
      </c>
      <c r="ES12" s="373">
        <v>8</v>
      </c>
      <c r="ET12" s="444">
        <v>33.299999999999997</v>
      </c>
      <c r="EU12" s="377">
        <v>1</v>
      </c>
      <c r="EV12" s="373">
        <v>8</v>
      </c>
      <c r="EW12" s="444">
        <v>11.1</v>
      </c>
      <c r="EX12" s="377">
        <v>1</v>
      </c>
      <c r="EY12" s="373">
        <v>15</v>
      </c>
      <c r="EZ12" s="444">
        <v>6.3</v>
      </c>
      <c r="FA12" s="377"/>
      <c r="FB12" s="373"/>
      <c r="FC12" s="444"/>
      <c r="FD12" s="377">
        <v>3</v>
      </c>
      <c r="FE12" s="373">
        <v>109</v>
      </c>
      <c r="FF12" s="444">
        <v>2.7</v>
      </c>
      <c r="FG12" s="377">
        <v>17</v>
      </c>
      <c r="FH12" s="373">
        <v>46</v>
      </c>
      <c r="FI12" s="444">
        <v>27</v>
      </c>
      <c r="FJ12" s="377">
        <v>8</v>
      </c>
      <c r="FK12" s="373">
        <v>39</v>
      </c>
      <c r="FL12" s="444">
        <v>17</v>
      </c>
      <c r="FM12" s="377"/>
      <c r="FN12" s="373"/>
      <c r="FO12" s="444"/>
      <c r="FP12" s="377">
        <v>9</v>
      </c>
      <c r="FQ12" s="373">
        <v>158</v>
      </c>
      <c r="FR12" s="444">
        <v>5.4</v>
      </c>
      <c r="FS12" s="377">
        <v>16</v>
      </c>
      <c r="FT12" s="373">
        <v>74</v>
      </c>
      <c r="FU12" s="444">
        <v>17.8</v>
      </c>
      <c r="FV12" s="377">
        <v>7</v>
      </c>
      <c r="FW12" s="373">
        <v>87</v>
      </c>
      <c r="FX12" s="444">
        <v>7.4</v>
      </c>
      <c r="FY12" s="377"/>
      <c r="FZ12" s="373"/>
      <c r="GA12" s="444"/>
      <c r="GB12" s="377">
        <v>5</v>
      </c>
      <c r="GC12" s="373">
        <v>16</v>
      </c>
      <c r="GD12" s="444">
        <v>23.8</v>
      </c>
      <c r="GE12" s="377">
        <v>17</v>
      </c>
      <c r="GF12" s="373"/>
      <c r="GG12" s="444">
        <v>100</v>
      </c>
      <c r="GH12" s="377">
        <v>7</v>
      </c>
      <c r="GI12" s="373">
        <v>3</v>
      </c>
      <c r="GJ12" s="444">
        <v>70</v>
      </c>
      <c r="GK12" s="377"/>
      <c r="GL12" s="373"/>
      <c r="GM12" s="444"/>
      <c r="GN12" s="377">
        <v>4</v>
      </c>
      <c r="GO12" s="373">
        <v>146</v>
      </c>
      <c r="GP12" s="444">
        <v>2.7</v>
      </c>
      <c r="GQ12" s="377">
        <v>3</v>
      </c>
      <c r="GR12" s="373">
        <v>88</v>
      </c>
      <c r="GS12" s="444">
        <v>3.3</v>
      </c>
      <c r="GT12" s="377">
        <v>6</v>
      </c>
      <c r="GU12" s="373">
        <v>37</v>
      </c>
      <c r="GV12" s="444">
        <v>14</v>
      </c>
      <c r="GW12" s="377"/>
      <c r="GX12" s="373"/>
      <c r="GY12" s="444"/>
      <c r="GZ12" s="377">
        <v>1</v>
      </c>
      <c r="HA12" s="373">
        <v>3</v>
      </c>
      <c r="HB12" s="444">
        <v>25</v>
      </c>
      <c r="HC12" s="377"/>
      <c r="HD12" s="373"/>
      <c r="HE12" s="444" t="s">
        <v>6</v>
      </c>
      <c r="HF12" s="377"/>
      <c r="HG12" s="373">
        <v>1</v>
      </c>
      <c r="HH12" s="444">
        <v>0</v>
      </c>
      <c r="HI12" s="377"/>
      <c r="HJ12" s="373"/>
      <c r="HK12" s="444"/>
      <c r="HL12" s="377"/>
      <c r="HM12" s="373">
        <v>162</v>
      </c>
      <c r="HN12" s="444">
        <v>0</v>
      </c>
      <c r="HO12" s="377">
        <v>1</v>
      </c>
      <c r="HP12" s="373">
        <v>124</v>
      </c>
      <c r="HQ12" s="444">
        <v>0.8</v>
      </c>
      <c r="HR12" s="377">
        <v>3</v>
      </c>
      <c r="HS12" s="373">
        <v>139</v>
      </c>
      <c r="HT12" s="444">
        <v>2.1</v>
      </c>
      <c r="HU12" s="377"/>
      <c r="HV12" s="373"/>
      <c r="HW12" s="444"/>
      <c r="HX12" s="377"/>
      <c r="HY12" s="373"/>
      <c r="HZ12" s="444" t="s">
        <v>6</v>
      </c>
      <c r="IA12" s="377"/>
      <c r="IB12" s="373"/>
      <c r="IC12" s="444" t="s">
        <v>6</v>
      </c>
      <c r="ID12" s="377">
        <v>4</v>
      </c>
      <c r="IE12" s="373"/>
      <c r="IF12" s="444">
        <v>100</v>
      </c>
      <c r="IG12" s="377"/>
      <c r="IH12" s="373"/>
      <c r="II12" s="444"/>
      <c r="IJ12" s="377"/>
      <c r="IK12" s="373">
        <v>9</v>
      </c>
      <c r="IL12" s="444">
        <v>0</v>
      </c>
      <c r="IM12" s="377">
        <v>2</v>
      </c>
      <c r="IN12" s="373">
        <v>2</v>
      </c>
      <c r="IO12" s="444">
        <v>50</v>
      </c>
      <c r="IP12" s="377">
        <v>1</v>
      </c>
      <c r="IQ12" s="373"/>
      <c r="IR12" s="444">
        <v>100</v>
      </c>
      <c r="IS12" s="377"/>
      <c r="IT12" s="373"/>
      <c r="IU12" s="444"/>
      <c r="IV12" s="377">
        <v>63</v>
      </c>
      <c r="IW12" s="373">
        <v>2171</v>
      </c>
      <c r="IX12" s="444">
        <v>2.8</v>
      </c>
      <c r="IY12" s="377">
        <v>128</v>
      </c>
      <c r="IZ12" s="373">
        <v>1411</v>
      </c>
      <c r="JA12" s="444">
        <v>8.3000000000000007</v>
      </c>
      <c r="JB12" s="377">
        <v>130</v>
      </c>
      <c r="JC12" s="373">
        <v>1286</v>
      </c>
      <c r="JD12" s="444">
        <v>9.1999999999999993</v>
      </c>
      <c r="JE12" s="377"/>
      <c r="JF12" s="373"/>
      <c r="JG12" s="444"/>
      <c r="JH12" s="377">
        <v>20</v>
      </c>
      <c r="JI12" s="373">
        <v>554</v>
      </c>
      <c r="JJ12" s="444">
        <v>3.5</v>
      </c>
      <c r="JK12" s="377">
        <v>48</v>
      </c>
      <c r="JL12" s="373">
        <v>248</v>
      </c>
      <c r="JM12" s="444">
        <v>16.2</v>
      </c>
      <c r="JN12" s="377">
        <v>47</v>
      </c>
      <c r="JO12" s="373">
        <v>274</v>
      </c>
      <c r="JP12" s="444">
        <v>14.6</v>
      </c>
      <c r="JQ12" s="377"/>
      <c r="JR12" s="373"/>
      <c r="JS12" s="444"/>
      <c r="JT12" s="377">
        <v>2</v>
      </c>
      <c r="JU12" s="373">
        <v>13</v>
      </c>
      <c r="JV12" s="444">
        <v>13.3</v>
      </c>
      <c r="JW12" s="377">
        <v>3</v>
      </c>
      <c r="JX12" s="373">
        <v>6</v>
      </c>
      <c r="JY12" s="444">
        <v>33.299999999999997</v>
      </c>
      <c r="JZ12" s="377"/>
      <c r="KA12" s="373">
        <v>7</v>
      </c>
      <c r="KB12" s="444">
        <v>0</v>
      </c>
      <c r="KC12" s="377"/>
      <c r="KD12" s="373"/>
      <c r="KE12" s="444"/>
      <c r="KF12" s="377"/>
      <c r="KG12" s="373"/>
      <c r="KH12" s="444" t="s">
        <v>6</v>
      </c>
      <c r="KI12" s="377"/>
      <c r="KJ12" s="373"/>
      <c r="KK12" s="444" t="s">
        <v>6</v>
      </c>
      <c r="KL12" s="377"/>
      <c r="KM12" s="373">
        <v>1</v>
      </c>
      <c r="KN12" s="444">
        <v>0</v>
      </c>
      <c r="KO12" s="377"/>
      <c r="KP12" s="373"/>
      <c r="KQ12" s="444"/>
      <c r="KR12" s="377">
        <v>30</v>
      </c>
      <c r="KS12" s="373">
        <v>575</v>
      </c>
      <c r="KT12" s="444">
        <v>5</v>
      </c>
      <c r="KU12" s="377">
        <v>53</v>
      </c>
      <c r="KV12" s="373">
        <v>257</v>
      </c>
      <c r="KW12" s="444">
        <v>17.100000000000001</v>
      </c>
      <c r="KX12" s="377">
        <v>55</v>
      </c>
      <c r="KY12" s="373">
        <v>287</v>
      </c>
      <c r="KZ12" s="444">
        <v>16.100000000000001</v>
      </c>
      <c r="LA12" s="377"/>
      <c r="LB12" s="373"/>
      <c r="LC12" s="444"/>
      <c r="LD12" s="377">
        <v>349</v>
      </c>
      <c r="LE12" s="373">
        <v>2552</v>
      </c>
      <c r="LF12" s="444">
        <v>12</v>
      </c>
      <c r="LG12" s="377">
        <v>275</v>
      </c>
      <c r="LH12" s="373">
        <v>1714</v>
      </c>
      <c r="LI12" s="444">
        <v>13.8</v>
      </c>
      <c r="LJ12" s="377">
        <v>256</v>
      </c>
      <c r="LK12" s="373">
        <v>1646</v>
      </c>
      <c r="LL12" s="444">
        <v>13.5</v>
      </c>
      <c r="LM12" s="377"/>
      <c r="LN12" s="373"/>
      <c r="LO12" s="444"/>
    </row>
    <row r="13" spans="1:327" x14ac:dyDescent="0.2">
      <c r="A13" s="1001"/>
      <c r="B13" s="747"/>
      <c r="C13" s="151" t="s">
        <v>637</v>
      </c>
      <c r="D13" s="377"/>
      <c r="E13" s="373"/>
      <c r="F13" s="444" t="s">
        <v>6</v>
      </c>
      <c r="G13" s="377"/>
      <c r="H13" s="373"/>
      <c r="I13" s="444" t="s">
        <v>6</v>
      </c>
      <c r="J13" s="377"/>
      <c r="K13" s="373"/>
      <c r="L13" s="444" t="s">
        <v>6</v>
      </c>
      <c r="M13" s="377"/>
      <c r="N13" s="373"/>
      <c r="O13" s="444"/>
      <c r="P13" s="377"/>
      <c r="Q13" s="373"/>
      <c r="R13" s="444" t="s">
        <v>6</v>
      </c>
      <c r="S13" s="377"/>
      <c r="T13" s="373"/>
      <c r="U13" s="444" t="s">
        <v>6</v>
      </c>
      <c r="V13" s="377"/>
      <c r="W13" s="373"/>
      <c r="X13" s="444" t="s">
        <v>6</v>
      </c>
      <c r="Y13" s="377"/>
      <c r="Z13" s="373"/>
      <c r="AA13" s="444"/>
      <c r="AB13" s="377"/>
      <c r="AC13" s="373"/>
      <c r="AD13" s="444" t="s">
        <v>6</v>
      </c>
      <c r="AE13" s="377"/>
      <c r="AF13" s="373"/>
      <c r="AG13" s="444" t="s">
        <v>6</v>
      </c>
      <c r="AH13" s="377"/>
      <c r="AI13" s="373"/>
      <c r="AJ13" s="444" t="s">
        <v>6</v>
      </c>
      <c r="AK13" s="377"/>
      <c r="AL13" s="373"/>
      <c r="AM13" s="444"/>
      <c r="AN13" s="377">
        <v>25</v>
      </c>
      <c r="AO13" s="373">
        <v>30</v>
      </c>
      <c r="AP13" s="444">
        <v>45.5</v>
      </c>
      <c r="AQ13" s="377">
        <v>27</v>
      </c>
      <c r="AR13" s="373">
        <v>47</v>
      </c>
      <c r="AS13" s="444">
        <v>36.5</v>
      </c>
      <c r="AT13" s="377">
        <v>57</v>
      </c>
      <c r="AU13" s="373">
        <v>41</v>
      </c>
      <c r="AV13" s="444">
        <v>58.2</v>
      </c>
      <c r="AW13" s="377"/>
      <c r="AX13" s="373"/>
      <c r="AY13" s="444"/>
      <c r="AZ13" s="377">
        <v>10</v>
      </c>
      <c r="BA13" s="373">
        <v>30</v>
      </c>
      <c r="BB13" s="444">
        <v>25</v>
      </c>
      <c r="BC13" s="377">
        <v>14</v>
      </c>
      <c r="BD13" s="373">
        <v>46</v>
      </c>
      <c r="BE13" s="444">
        <v>23.3</v>
      </c>
      <c r="BF13" s="377">
        <v>29</v>
      </c>
      <c r="BG13" s="373">
        <v>36</v>
      </c>
      <c r="BH13" s="444">
        <v>44.6</v>
      </c>
      <c r="BI13" s="377"/>
      <c r="BJ13" s="373"/>
      <c r="BK13" s="444"/>
      <c r="BL13" s="377"/>
      <c r="BM13" s="373"/>
      <c r="BN13" s="444" t="s">
        <v>6</v>
      </c>
      <c r="BO13" s="377"/>
      <c r="BP13" s="373"/>
      <c r="BQ13" s="444" t="s">
        <v>6</v>
      </c>
      <c r="BR13" s="377"/>
      <c r="BS13" s="373"/>
      <c r="BT13" s="444" t="s">
        <v>6</v>
      </c>
      <c r="BU13" s="377"/>
      <c r="BV13" s="373"/>
      <c r="BW13" s="444"/>
      <c r="BX13" s="377">
        <v>1</v>
      </c>
      <c r="BY13" s="373"/>
      <c r="BZ13" s="444">
        <v>100</v>
      </c>
      <c r="CA13" s="377"/>
      <c r="CB13" s="373"/>
      <c r="CC13" s="444" t="s">
        <v>6</v>
      </c>
      <c r="CD13" s="377"/>
      <c r="CE13" s="373"/>
      <c r="CF13" s="444" t="s">
        <v>6</v>
      </c>
      <c r="CG13" s="377"/>
      <c r="CH13" s="373"/>
      <c r="CI13" s="444"/>
      <c r="CJ13" s="377"/>
      <c r="CK13" s="373"/>
      <c r="CL13" s="444" t="s">
        <v>6</v>
      </c>
      <c r="CM13" s="377"/>
      <c r="CN13" s="373"/>
      <c r="CO13" s="444" t="s">
        <v>6</v>
      </c>
      <c r="CP13" s="377">
        <v>2</v>
      </c>
      <c r="CQ13" s="373"/>
      <c r="CR13" s="444">
        <v>100</v>
      </c>
      <c r="CS13" s="377"/>
      <c r="CT13" s="373"/>
      <c r="CU13" s="444"/>
      <c r="CV13" s="377">
        <v>36</v>
      </c>
      <c r="CW13" s="373">
        <v>33</v>
      </c>
      <c r="CX13" s="444">
        <v>52.2</v>
      </c>
      <c r="CY13" s="377">
        <v>24</v>
      </c>
      <c r="CZ13" s="373">
        <v>35</v>
      </c>
      <c r="DA13" s="444">
        <v>40.700000000000003</v>
      </c>
      <c r="DB13" s="377">
        <v>69</v>
      </c>
      <c r="DC13" s="373">
        <v>38</v>
      </c>
      <c r="DD13" s="444">
        <v>64.5</v>
      </c>
      <c r="DE13" s="377"/>
      <c r="DF13" s="373"/>
      <c r="DG13" s="444"/>
      <c r="DH13" s="377"/>
      <c r="DI13" s="373">
        <v>1</v>
      </c>
      <c r="DJ13" s="444">
        <v>0</v>
      </c>
      <c r="DK13" s="377">
        <v>2</v>
      </c>
      <c r="DL13" s="373">
        <v>2</v>
      </c>
      <c r="DM13" s="444">
        <v>50</v>
      </c>
      <c r="DN13" s="377">
        <v>3</v>
      </c>
      <c r="DO13" s="373">
        <v>1</v>
      </c>
      <c r="DP13" s="444">
        <v>75</v>
      </c>
      <c r="DQ13" s="377"/>
      <c r="DR13" s="373"/>
      <c r="DS13" s="444"/>
      <c r="DT13" s="377"/>
      <c r="DU13" s="373"/>
      <c r="DV13" s="444" t="s">
        <v>6</v>
      </c>
      <c r="DW13" s="377"/>
      <c r="DX13" s="373">
        <v>1</v>
      </c>
      <c r="DY13" s="444">
        <v>0</v>
      </c>
      <c r="DZ13" s="377">
        <v>4</v>
      </c>
      <c r="EA13" s="373">
        <v>3</v>
      </c>
      <c r="EB13" s="444">
        <v>57.1</v>
      </c>
      <c r="EC13" s="377"/>
      <c r="ED13" s="373"/>
      <c r="EE13" s="444"/>
      <c r="EF13" s="377">
        <v>126</v>
      </c>
      <c r="EG13" s="373">
        <v>1130</v>
      </c>
      <c r="EH13" s="444">
        <v>10</v>
      </c>
      <c r="EI13" s="377">
        <v>186</v>
      </c>
      <c r="EJ13" s="373">
        <v>1104</v>
      </c>
      <c r="EK13" s="444">
        <v>14.4</v>
      </c>
      <c r="EL13" s="377">
        <v>644</v>
      </c>
      <c r="EM13" s="373">
        <v>733</v>
      </c>
      <c r="EN13" s="444">
        <v>46.8</v>
      </c>
      <c r="EO13" s="377"/>
      <c r="EP13" s="373"/>
      <c r="EQ13" s="444"/>
      <c r="ER13" s="377">
        <v>2</v>
      </c>
      <c r="ES13" s="373">
        <v>67</v>
      </c>
      <c r="ET13" s="444">
        <v>2.9</v>
      </c>
      <c r="EU13" s="377">
        <v>4</v>
      </c>
      <c r="EV13" s="373">
        <v>36</v>
      </c>
      <c r="EW13" s="444">
        <v>10</v>
      </c>
      <c r="EX13" s="377">
        <v>3</v>
      </c>
      <c r="EY13" s="373">
        <v>29</v>
      </c>
      <c r="EZ13" s="444">
        <v>9.4</v>
      </c>
      <c r="FA13" s="377"/>
      <c r="FB13" s="373"/>
      <c r="FC13" s="444"/>
      <c r="FD13" s="377">
        <v>8</v>
      </c>
      <c r="FE13" s="373">
        <v>175</v>
      </c>
      <c r="FF13" s="444">
        <v>4.4000000000000004</v>
      </c>
      <c r="FG13" s="377">
        <v>19</v>
      </c>
      <c r="FH13" s="373">
        <v>157</v>
      </c>
      <c r="FI13" s="444">
        <v>10.8</v>
      </c>
      <c r="FJ13" s="377">
        <v>19</v>
      </c>
      <c r="FK13" s="373">
        <v>66</v>
      </c>
      <c r="FL13" s="444">
        <v>22.4</v>
      </c>
      <c r="FM13" s="377"/>
      <c r="FN13" s="373"/>
      <c r="FO13" s="444"/>
      <c r="FP13" s="377">
        <v>5</v>
      </c>
      <c r="FQ13" s="373">
        <v>94</v>
      </c>
      <c r="FR13" s="444">
        <v>5.0999999999999996</v>
      </c>
      <c r="FS13" s="377">
        <v>4</v>
      </c>
      <c r="FT13" s="373">
        <v>124</v>
      </c>
      <c r="FU13" s="444">
        <v>3.1</v>
      </c>
      <c r="FV13" s="377">
        <v>25</v>
      </c>
      <c r="FW13" s="373">
        <v>75</v>
      </c>
      <c r="FX13" s="444">
        <v>25</v>
      </c>
      <c r="FY13" s="377"/>
      <c r="FZ13" s="373"/>
      <c r="GA13" s="444"/>
      <c r="GB13" s="377">
        <v>15</v>
      </c>
      <c r="GC13" s="373">
        <v>19</v>
      </c>
      <c r="GD13" s="444">
        <v>44.1</v>
      </c>
      <c r="GE13" s="377">
        <v>33</v>
      </c>
      <c r="GF13" s="373">
        <v>14</v>
      </c>
      <c r="GG13" s="444">
        <v>70.2</v>
      </c>
      <c r="GH13" s="377">
        <v>6</v>
      </c>
      <c r="GI13" s="373">
        <v>4</v>
      </c>
      <c r="GJ13" s="444">
        <v>60</v>
      </c>
      <c r="GK13" s="377"/>
      <c r="GL13" s="373"/>
      <c r="GM13" s="444"/>
      <c r="GN13" s="377">
        <v>10</v>
      </c>
      <c r="GO13" s="373">
        <v>60</v>
      </c>
      <c r="GP13" s="444">
        <v>14.3</v>
      </c>
      <c r="GQ13" s="377">
        <v>6</v>
      </c>
      <c r="GR13" s="373">
        <v>39</v>
      </c>
      <c r="GS13" s="444">
        <v>13.3</v>
      </c>
      <c r="GT13" s="377">
        <v>5</v>
      </c>
      <c r="GU13" s="373">
        <v>38</v>
      </c>
      <c r="GV13" s="444">
        <v>11.6</v>
      </c>
      <c r="GW13" s="377"/>
      <c r="GX13" s="373"/>
      <c r="GY13" s="444"/>
      <c r="GZ13" s="377"/>
      <c r="HA13" s="373">
        <v>1</v>
      </c>
      <c r="HB13" s="444">
        <v>0</v>
      </c>
      <c r="HC13" s="377"/>
      <c r="HD13" s="373">
        <v>2</v>
      </c>
      <c r="HE13" s="444">
        <v>0</v>
      </c>
      <c r="HF13" s="377">
        <v>2</v>
      </c>
      <c r="HG13" s="373"/>
      <c r="HH13" s="444">
        <v>100</v>
      </c>
      <c r="HI13" s="377"/>
      <c r="HJ13" s="373"/>
      <c r="HK13" s="444"/>
      <c r="HL13" s="377">
        <v>10</v>
      </c>
      <c r="HM13" s="373">
        <v>98</v>
      </c>
      <c r="HN13" s="444">
        <v>9.3000000000000007</v>
      </c>
      <c r="HO13" s="377">
        <v>8</v>
      </c>
      <c r="HP13" s="373">
        <v>148</v>
      </c>
      <c r="HQ13" s="444">
        <v>5.0999999999999996</v>
      </c>
      <c r="HR13" s="377">
        <v>9</v>
      </c>
      <c r="HS13" s="373">
        <v>109</v>
      </c>
      <c r="HT13" s="444">
        <v>7.6</v>
      </c>
      <c r="HU13" s="377"/>
      <c r="HV13" s="373"/>
      <c r="HW13" s="444"/>
      <c r="HX13" s="377">
        <v>1</v>
      </c>
      <c r="HY13" s="373">
        <v>1</v>
      </c>
      <c r="HZ13" s="444">
        <v>50</v>
      </c>
      <c r="IA13" s="377">
        <v>1</v>
      </c>
      <c r="IB13" s="373">
        <v>1</v>
      </c>
      <c r="IC13" s="444">
        <v>50</v>
      </c>
      <c r="ID13" s="377">
        <v>2</v>
      </c>
      <c r="IE13" s="373"/>
      <c r="IF13" s="444">
        <v>100</v>
      </c>
      <c r="IG13" s="377"/>
      <c r="IH13" s="373"/>
      <c r="II13" s="444"/>
      <c r="IJ13" s="377">
        <v>2</v>
      </c>
      <c r="IK13" s="373">
        <v>1</v>
      </c>
      <c r="IL13" s="444">
        <v>66.7</v>
      </c>
      <c r="IM13" s="377">
        <v>2</v>
      </c>
      <c r="IN13" s="373">
        <v>1</v>
      </c>
      <c r="IO13" s="444">
        <v>66.7</v>
      </c>
      <c r="IP13" s="377">
        <v>3</v>
      </c>
      <c r="IQ13" s="373">
        <v>1</v>
      </c>
      <c r="IR13" s="444">
        <v>75</v>
      </c>
      <c r="IS13" s="377"/>
      <c r="IT13" s="373"/>
      <c r="IU13" s="444"/>
      <c r="IV13" s="377">
        <v>226</v>
      </c>
      <c r="IW13" s="373">
        <v>1374</v>
      </c>
      <c r="IX13" s="444">
        <v>14.1</v>
      </c>
      <c r="IY13" s="377">
        <v>289</v>
      </c>
      <c r="IZ13" s="373">
        <v>1394</v>
      </c>
      <c r="JA13" s="444">
        <v>17.2</v>
      </c>
      <c r="JB13" s="377">
        <v>806</v>
      </c>
      <c r="JC13" s="373">
        <v>968</v>
      </c>
      <c r="JD13" s="444">
        <v>45.4</v>
      </c>
      <c r="JE13" s="377"/>
      <c r="JF13" s="373"/>
      <c r="JG13" s="444"/>
      <c r="JH13" s="377">
        <v>70</v>
      </c>
      <c r="JI13" s="373">
        <v>529</v>
      </c>
      <c r="JJ13" s="444">
        <v>11.7</v>
      </c>
      <c r="JK13" s="377">
        <v>94</v>
      </c>
      <c r="JL13" s="373">
        <v>538</v>
      </c>
      <c r="JM13" s="444">
        <v>14.9</v>
      </c>
      <c r="JN13" s="377">
        <v>106</v>
      </c>
      <c r="JO13" s="373">
        <v>350</v>
      </c>
      <c r="JP13" s="444">
        <v>23.2</v>
      </c>
      <c r="JQ13" s="377"/>
      <c r="JR13" s="373"/>
      <c r="JS13" s="444"/>
      <c r="JT13" s="377">
        <v>1</v>
      </c>
      <c r="JU13" s="373">
        <v>5</v>
      </c>
      <c r="JV13" s="444">
        <v>16.7</v>
      </c>
      <c r="JW13" s="377"/>
      <c r="JX13" s="373">
        <v>7</v>
      </c>
      <c r="JY13" s="444">
        <v>0</v>
      </c>
      <c r="JZ13" s="377">
        <v>1</v>
      </c>
      <c r="KA13" s="373">
        <v>5</v>
      </c>
      <c r="KB13" s="444">
        <v>16.7</v>
      </c>
      <c r="KC13" s="377"/>
      <c r="KD13" s="373"/>
      <c r="KE13" s="444"/>
      <c r="KF13" s="377"/>
      <c r="KG13" s="373"/>
      <c r="KH13" s="444" t="s">
        <v>6</v>
      </c>
      <c r="KI13" s="377"/>
      <c r="KJ13" s="373"/>
      <c r="KK13" s="444" t="s">
        <v>6</v>
      </c>
      <c r="KL13" s="377"/>
      <c r="KM13" s="373"/>
      <c r="KN13" s="444" t="s">
        <v>6</v>
      </c>
      <c r="KO13" s="377"/>
      <c r="KP13" s="373"/>
      <c r="KQ13" s="444"/>
      <c r="KR13" s="377">
        <v>80</v>
      </c>
      <c r="KS13" s="373">
        <v>540</v>
      </c>
      <c r="KT13" s="444">
        <v>12.9</v>
      </c>
      <c r="KU13" s="377">
        <v>102</v>
      </c>
      <c r="KV13" s="373">
        <v>553</v>
      </c>
      <c r="KW13" s="444">
        <v>15.6</v>
      </c>
      <c r="KX13" s="377">
        <v>114</v>
      </c>
      <c r="KY13" s="373">
        <v>361</v>
      </c>
      <c r="KZ13" s="444">
        <v>24</v>
      </c>
      <c r="LA13" s="377"/>
      <c r="LB13" s="373"/>
      <c r="LC13" s="444"/>
      <c r="LD13" s="377">
        <v>561</v>
      </c>
      <c r="LE13" s="373">
        <v>1650</v>
      </c>
      <c r="LF13" s="444">
        <v>25.4</v>
      </c>
      <c r="LG13" s="377">
        <v>431</v>
      </c>
      <c r="LH13" s="373">
        <v>1778</v>
      </c>
      <c r="LI13" s="444">
        <v>19.5</v>
      </c>
      <c r="LJ13" s="377">
        <v>1515</v>
      </c>
      <c r="LK13" s="373">
        <v>1254</v>
      </c>
      <c r="LL13" s="444">
        <v>54.7</v>
      </c>
      <c r="LM13" s="377"/>
      <c r="LN13" s="373"/>
      <c r="LO13" s="444"/>
    </row>
    <row r="14" spans="1:327" x14ac:dyDescent="0.2">
      <c r="A14" s="1001"/>
      <c r="B14" s="747"/>
      <c r="C14" s="151" t="s">
        <v>638</v>
      </c>
      <c r="D14" s="377"/>
      <c r="E14" s="373"/>
      <c r="F14" s="444" t="s">
        <v>6</v>
      </c>
      <c r="G14" s="377"/>
      <c r="H14" s="373"/>
      <c r="I14" s="444" t="s">
        <v>6</v>
      </c>
      <c r="J14" s="377"/>
      <c r="K14" s="373"/>
      <c r="L14" s="444" t="s">
        <v>6</v>
      </c>
      <c r="M14" s="377"/>
      <c r="N14" s="373"/>
      <c r="O14" s="444"/>
      <c r="P14" s="377"/>
      <c r="Q14" s="373"/>
      <c r="R14" s="444" t="s">
        <v>6</v>
      </c>
      <c r="S14" s="377"/>
      <c r="T14" s="373"/>
      <c r="U14" s="444" t="s">
        <v>6</v>
      </c>
      <c r="V14" s="377"/>
      <c r="W14" s="373"/>
      <c r="X14" s="444" t="s">
        <v>6</v>
      </c>
      <c r="Y14" s="377"/>
      <c r="Z14" s="373"/>
      <c r="AA14" s="444"/>
      <c r="AB14" s="377"/>
      <c r="AC14" s="373"/>
      <c r="AD14" s="444" t="s">
        <v>6</v>
      </c>
      <c r="AE14" s="377"/>
      <c r="AF14" s="373"/>
      <c r="AG14" s="444" t="s">
        <v>6</v>
      </c>
      <c r="AH14" s="377"/>
      <c r="AI14" s="373"/>
      <c r="AJ14" s="444" t="s">
        <v>6</v>
      </c>
      <c r="AK14" s="377"/>
      <c r="AL14" s="373"/>
      <c r="AM14" s="444"/>
      <c r="AN14" s="377">
        <v>23</v>
      </c>
      <c r="AO14" s="373">
        <v>26</v>
      </c>
      <c r="AP14" s="444">
        <v>46.9</v>
      </c>
      <c r="AQ14" s="377">
        <v>14</v>
      </c>
      <c r="AR14" s="373">
        <v>31</v>
      </c>
      <c r="AS14" s="444">
        <v>31.1</v>
      </c>
      <c r="AT14" s="377">
        <v>44</v>
      </c>
      <c r="AU14" s="373">
        <v>26</v>
      </c>
      <c r="AV14" s="444">
        <v>62.9</v>
      </c>
      <c r="AW14" s="377"/>
      <c r="AX14" s="373"/>
      <c r="AY14" s="444"/>
      <c r="AZ14" s="377">
        <v>18</v>
      </c>
      <c r="BA14" s="373">
        <v>25</v>
      </c>
      <c r="BB14" s="444">
        <v>41.9</v>
      </c>
      <c r="BC14" s="377">
        <v>6</v>
      </c>
      <c r="BD14" s="373">
        <v>28</v>
      </c>
      <c r="BE14" s="444">
        <v>17.600000000000001</v>
      </c>
      <c r="BF14" s="377">
        <v>32</v>
      </c>
      <c r="BG14" s="373">
        <v>24</v>
      </c>
      <c r="BH14" s="444">
        <v>57.1</v>
      </c>
      <c r="BI14" s="377"/>
      <c r="BJ14" s="373"/>
      <c r="BK14" s="444"/>
      <c r="BL14" s="377"/>
      <c r="BM14" s="373"/>
      <c r="BN14" s="444" t="s">
        <v>6</v>
      </c>
      <c r="BO14" s="377"/>
      <c r="BP14" s="373"/>
      <c r="BQ14" s="444" t="s">
        <v>6</v>
      </c>
      <c r="BR14" s="377"/>
      <c r="BS14" s="373"/>
      <c r="BT14" s="444" t="s">
        <v>6</v>
      </c>
      <c r="BU14" s="377"/>
      <c r="BV14" s="373"/>
      <c r="BW14" s="444"/>
      <c r="BX14" s="377"/>
      <c r="BY14" s="373"/>
      <c r="BZ14" s="444" t="s">
        <v>6</v>
      </c>
      <c r="CA14" s="377"/>
      <c r="CB14" s="373"/>
      <c r="CC14" s="444" t="s">
        <v>6</v>
      </c>
      <c r="CD14" s="377"/>
      <c r="CE14" s="373"/>
      <c r="CF14" s="444" t="s">
        <v>6</v>
      </c>
      <c r="CG14" s="377"/>
      <c r="CH14" s="373"/>
      <c r="CI14" s="444"/>
      <c r="CJ14" s="377"/>
      <c r="CK14" s="373"/>
      <c r="CL14" s="444" t="s">
        <v>6</v>
      </c>
      <c r="CM14" s="377"/>
      <c r="CN14" s="373"/>
      <c r="CO14" s="444" t="s">
        <v>6</v>
      </c>
      <c r="CP14" s="377"/>
      <c r="CQ14" s="373"/>
      <c r="CR14" s="444" t="s">
        <v>6</v>
      </c>
      <c r="CS14" s="377"/>
      <c r="CT14" s="373"/>
      <c r="CU14" s="444"/>
      <c r="CV14" s="377">
        <v>7</v>
      </c>
      <c r="CW14" s="373">
        <v>30</v>
      </c>
      <c r="CX14" s="444">
        <v>18.899999999999999</v>
      </c>
      <c r="CY14" s="377">
        <v>24</v>
      </c>
      <c r="CZ14" s="373">
        <v>31</v>
      </c>
      <c r="DA14" s="444">
        <v>43.6</v>
      </c>
      <c r="DB14" s="377">
        <v>71</v>
      </c>
      <c r="DC14" s="373">
        <v>24</v>
      </c>
      <c r="DD14" s="444">
        <v>74.7</v>
      </c>
      <c r="DE14" s="377"/>
      <c r="DF14" s="373"/>
      <c r="DG14" s="444"/>
      <c r="DH14" s="377">
        <v>1</v>
      </c>
      <c r="DI14" s="373">
        <v>1</v>
      </c>
      <c r="DJ14" s="444">
        <v>50</v>
      </c>
      <c r="DK14" s="377">
        <v>1</v>
      </c>
      <c r="DL14" s="373"/>
      <c r="DM14" s="444">
        <v>100</v>
      </c>
      <c r="DN14" s="377">
        <v>3</v>
      </c>
      <c r="DO14" s="373"/>
      <c r="DP14" s="444">
        <v>100</v>
      </c>
      <c r="DQ14" s="377"/>
      <c r="DR14" s="373"/>
      <c r="DS14" s="444"/>
      <c r="DT14" s="377">
        <v>1</v>
      </c>
      <c r="DU14" s="373">
        <v>4</v>
      </c>
      <c r="DV14" s="444">
        <v>20</v>
      </c>
      <c r="DW14" s="377">
        <v>2</v>
      </c>
      <c r="DX14" s="373">
        <v>1</v>
      </c>
      <c r="DY14" s="444">
        <v>66.7</v>
      </c>
      <c r="DZ14" s="377">
        <v>6</v>
      </c>
      <c r="EA14" s="373"/>
      <c r="EB14" s="444">
        <v>100</v>
      </c>
      <c r="EC14" s="377"/>
      <c r="ED14" s="373"/>
      <c r="EE14" s="444"/>
      <c r="EF14" s="377">
        <v>80</v>
      </c>
      <c r="EG14" s="373">
        <v>1039</v>
      </c>
      <c r="EH14" s="444">
        <v>7.1</v>
      </c>
      <c r="EI14" s="377">
        <v>92</v>
      </c>
      <c r="EJ14" s="373">
        <v>829</v>
      </c>
      <c r="EK14" s="444">
        <v>10</v>
      </c>
      <c r="EL14" s="377">
        <v>232</v>
      </c>
      <c r="EM14" s="373">
        <v>780</v>
      </c>
      <c r="EN14" s="444">
        <v>22.9</v>
      </c>
      <c r="EO14" s="377"/>
      <c r="EP14" s="373"/>
      <c r="EQ14" s="444"/>
      <c r="ER14" s="377"/>
      <c r="ES14" s="373">
        <v>71</v>
      </c>
      <c r="ET14" s="444">
        <v>0</v>
      </c>
      <c r="EU14" s="377">
        <v>5</v>
      </c>
      <c r="EV14" s="373">
        <v>39</v>
      </c>
      <c r="EW14" s="444">
        <v>11.4</v>
      </c>
      <c r="EX14" s="377">
        <v>8</v>
      </c>
      <c r="EY14" s="373">
        <v>38</v>
      </c>
      <c r="EZ14" s="444">
        <v>17.399999999999999</v>
      </c>
      <c r="FA14" s="377"/>
      <c r="FB14" s="373"/>
      <c r="FC14" s="444"/>
      <c r="FD14" s="377">
        <v>1</v>
      </c>
      <c r="FE14" s="373">
        <v>167</v>
      </c>
      <c r="FF14" s="444">
        <v>0.6</v>
      </c>
      <c r="FG14" s="377">
        <v>2</v>
      </c>
      <c r="FH14" s="373">
        <v>144</v>
      </c>
      <c r="FI14" s="444">
        <v>1.4</v>
      </c>
      <c r="FJ14" s="377">
        <v>30</v>
      </c>
      <c r="FK14" s="373">
        <v>133</v>
      </c>
      <c r="FL14" s="444">
        <v>18.399999999999999</v>
      </c>
      <c r="FM14" s="377"/>
      <c r="FN14" s="373"/>
      <c r="FO14" s="444"/>
      <c r="FP14" s="377">
        <v>8</v>
      </c>
      <c r="FQ14" s="373">
        <v>118</v>
      </c>
      <c r="FR14" s="444">
        <v>6.3</v>
      </c>
      <c r="FS14" s="377">
        <v>7</v>
      </c>
      <c r="FT14" s="373">
        <v>101</v>
      </c>
      <c r="FU14" s="444">
        <v>6.5</v>
      </c>
      <c r="FV14" s="377">
        <v>14</v>
      </c>
      <c r="FW14" s="373">
        <v>99</v>
      </c>
      <c r="FX14" s="444">
        <v>12.4</v>
      </c>
      <c r="FY14" s="377"/>
      <c r="FZ14" s="373"/>
      <c r="GA14" s="444"/>
      <c r="GB14" s="377">
        <v>16</v>
      </c>
      <c r="GC14" s="373">
        <v>29</v>
      </c>
      <c r="GD14" s="444">
        <v>35.6</v>
      </c>
      <c r="GE14" s="377">
        <v>27</v>
      </c>
      <c r="GF14" s="373">
        <v>19</v>
      </c>
      <c r="GG14" s="444">
        <v>58.7</v>
      </c>
      <c r="GH14" s="377">
        <v>13</v>
      </c>
      <c r="GI14" s="373">
        <v>15</v>
      </c>
      <c r="GJ14" s="444">
        <v>46.4</v>
      </c>
      <c r="GK14" s="377"/>
      <c r="GL14" s="373"/>
      <c r="GM14" s="444"/>
      <c r="GN14" s="377">
        <v>1</v>
      </c>
      <c r="GO14" s="373">
        <v>50</v>
      </c>
      <c r="GP14" s="444">
        <v>2</v>
      </c>
      <c r="GQ14" s="377">
        <v>3</v>
      </c>
      <c r="GR14" s="373">
        <v>38</v>
      </c>
      <c r="GS14" s="444">
        <v>7.3</v>
      </c>
      <c r="GT14" s="377">
        <v>9</v>
      </c>
      <c r="GU14" s="373">
        <v>31</v>
      </c>
      <c r="GV14" s="444">
        <v>22.5</v>
      </c>
      <c r="GW14" s="377"/>
      <c r="GX14" s="373"/>
      <c r="GY14" s="444"/>
      <c r="GZ14" s="377"/>
      <c r="HA14" s="373">
        <v>1</v>
      </c>
      <c r="HB14" s="444">
        <v>0</v>
      </c>
      <c r="HC14" s="377">
        <v>2</v>
      </c>
      <c r="HD14" s="373">
        <v>5</v>
      </c>
      <c r="HE14" s="444">
        <v>28.6</v>
      </c>
      <c r="HF14" s="377"/>
      <c r="HG14" s="373">
        <v>1</v>
      </c>
      <c r="HH14" s="444">
        <v>0</v>
      </c>
      <c r="HI14" s="377"/>
      <c r="HJ14" s="373"/>
      <c r="HK14" s="444"/>
      <c r="HL14" s="377">
        <v>2</v>
      </c>
      <c r="HM14" s="373">
        <v>114</v>
      </c>
      <c r="HN14" s="444">
        <v>1.7</v>
      </c>
      <c r="HO14" s="377">
        <v>1</v>
      </c>
      <c r="HP14" s="373">
        <v>118</v>
      </c>
      <c r="HQ14" s="444">
        <v>0.8</v>
      </c>
      <c r="HR14" s="377">
        <v>9</v>
      </c>
      <c r="HS14" s="373">
        <v>113</v>
      </c>
      <c r="HT14" s="444">
        <v>7.4</v>
      </c>
      <c r="HU14" s="377"/>
      <c r="HV14" s="373"/>
      <c r="HW14" s="444"/>
      <c r="HX14" s="377">
        <v>2</v>
      </c>
      <c r="HY14" s="373">
        <v>1</v>
      </c>
      <c r="HZ14" s="444">
        <v>66.7</v>
      </c>
      <c r="IA14" s="377">
        <v>2</v>
      </c>
      <c r="IB14" s="373"/>
      <c r="IC14" s="444">
        <v>100</v>
      </c>
      <c r="ID14" s="377">
        <v>5</v>
      </c>
      <c r="IE14" s="373"/>
      <c r="IF14" s="444">
        <v>100</v>
      </c>
      <c r="IG14" s="377"/>
      <c r="IH14" s="373"/>
      <c r="II14" s="444"/>
      <c r="IJ14" s="377">
        <v>1</v>
      </c>
      <c r="IK14" s="373">
        <v>7</v>
      </c>
      <c r="IL14" s="444">
        <v>12.5</v>
      </c>
      <c r="IM14" s="377">
        <v>1</v>
      </c>
      <c r="IN14" s="373">
        <v>10</v>
      </c>
      <c r="IO14" s="444">
        <v>9.1</v>
      </c>
      <c r="IP14" s="377">
        <v>4</v>
      </c>
      <c r="IQ14" s="373">
        <v>10</v>
      </c>
      <c r="IR14" s="444">
        <v>28.6</v>
      </c>
      <c r="IS14" s="377"/>
      <c r="IT14" s="373"/>
      <c r="IU14" s="444"/>
      <c r="IV14" s="377">
        <v>134</v>
      </c>
      <c r="IW14" s="373">
        <v>1302</v>
      </c>
      <c r="IX14" s="444">
        <v>9.3000000000000007</v>
      </c>
      <c r="IY14" s="377">
        <v>169</v>
      </c>
      <c r="IZ14" s="373">
        <v>1082</v>
      </c>
      <c r="JA14" s="444">
        <v>13.5</v>
      </c>
      <c r="JB14" s="377">
        <v>396</v>
      </c>
      <c r="JC14" s="373">
        <v>1000</v>
      </c>
      <c r="JD14" s="444">
        <v>28.4</v>
      </c>
      <c r="JE14" s="377"/>
      <c r="JF14" s="373"/>
      <c r="JG14" s="444"/>
      <c r="JH14" s="377">
        <v>31</v>
      </c>
      <c r="JI14" s="373">
        <v>510</v>
      </c>
      <c r="JJ14" s="444">
        <v>5.7</v>
      </c>
      <c r="JK14" s="377">
        <v>52</v>
      </c>
      <c r="JL14" s="373">
        <v>391</v>
      </c>
      <c r="JM14" s="444">
        <v>11.7</v>
      </c>
      <c r="JN14" s="377">
        <v>100</v>
      </c>
      <c r="JO14" s="373">
        <v>343</v>
      </c>
      <c r="JP14" s="444">
        <v>22.6</v>
      </c>
      <c r="JQ14" s="377"/>
      <c r="JR14" s="373"/>
      <c r="JS14" s="444"/>
      <c r="JT14" s="377"/>
      <c r="JU14" s="373">
        <v>3</v>
      </c>
      <c r="JV14" s="444">
        <v>0</v>
      </c>
      <c r="JW14" s="377">
        <v>1</v>
      </c>
      <c r="JX14" s="373">
        <v>3</v>
      </c>
      <c r="JY14" s="444">
        <v>25</v>
      </c>
      <c r="JZ14" s="377">
        <v>5</v>
      </c>
      <c r="KA14" s="373">
        <v>9</v>
      </c>
      <c r="KB14" s="444">
        <v>35.700000000000003</v>
      </c>
      <c r="KC14" s="377"/>
      <c r="KD14" s="373"/>
      <c r="KE14" s="444"/>
      <c r="KF14" s="377"/>
      <c r="KG14" s="373"/>
      <c r="KH14" s="444" t="s">
        <v>6</v>
      </c>
      <c r="KI14" s="377"/>
      <c r="KJ14" s="373"/>
      <c r="KK14" s="444" t="s">
        <v>6</v>
      </c>
      <c r="KL14" s="377"/>
      <c r="KM14" s="373"/>
      <c r="KN14" s="444" t="s">
        <v>6</v>
      </c>
      <c r="KO14" s="377"/>
      <c r="KP14" s="373"/>
      <c r="KQ14" s="444"/>
      <c r="KR14" s="377">
        <v>37</v>
      </c>
      <c r="KS14" s="373">
        <v>523</v>
      </c>
      <c r="KT14" s="444">
        <v>6.6</v>
      </c>
      <c r="KU14" s="377">
        <v>63</v>
      </c>
      <c r="KV14" s="373">
        <v>398</v>
      </c>
      <c r="KW14" s="444">
        <v>13.7</v>
      </c>
      <c r="KX14" s="377">
        <v>115</v>
      </c>
      <c r="KY14" s="373">
        <v>360</v>
      </c>
      <c r="KZ14" s="444">
        <v>24.2</v>
      </c>
      <c r="LA14" s="377"/>
      <c r="LB14" s="373"/>
      <c r="LC14" s="444"/>
      <c r="LD14" s="377">
        <v>230</v>
      </c>
      <c r="LE14" s="373">
        <v>1508</v>
      </c>
      <c r="LF14" s="444">
        <v>13.2</v>
      </c>
      <c r="LG14" s="377">
        <v>267</v>
      </c>
      <c r="LH14" s="373">
        <v>1295</v>
      </c>
      <c r="LI14" s="444">
        <v>17.100000000000001</v>
      </c>
      <c r="LJ14" s="377">
        <v>630</v>
      </c>
      <c r="LK14" s="373">
        <v>1248</v>
      </c>
      <c r="LL14" s="444">
        <v>33.5</v>
      </c>
      <c r="LM14" s="377"/>
      <c r="LN14" s="373"/>
      <c r="LO14" s="444"/>
    </row>
    <row r="15" spans="1:327" x14ac:dyDescent="0.2">
      <c r="A15" s="1001"/>
      <c r="B15" s="747"/>
      <c r="C15" s="151" t="s">
        <v>639</v>
      </c>
      <c r="D15" s="377"/>
      <c r="E15" s="373"/>
      <c r="F15" s="444" t="s">
        <v>6</v>
      </c>
      <c r="G15" s="377"/>
      <c r="H15" s="373"/>
      <c r="I15" s="444" t="s">
        <v>6</v>
      </c>
      <c r="J15" s="377"/>
      <c r="K15" s="373"/>
      <c r="L15" s="444" t="s">
        <v>6</v>
      </c>
      <c r="M15" s="377"/>
      <c r="N15" s="373"/>
      <c r="O15" s="444"/>
      <c r="P15" s="377"/>
      <c r="Q15" s="373"/>
      <c r="R15" s="444" t="s">
        <v>6</v>
      </c>
      <c r="S15" s="377"/>
      <c r="T15" s="373"/>
      <c r="U15" s="444" t="s">
        <v>6</v>
      </c>
      <c r="V15" s="377"/>
      <c r="W15" s="373"/>
      <c r="X15" s="444" t="s">
        <v>6</v>
      </c>
      <c r="Y15" s="377"/>
      <c r="Z15" s="373"/>
      <c r="AA15" s="444"/>
      <c r="AB15" s="377"/>
      <c r="AC15" s="373"/>
      <c r="AD15" s="444" t="s">
        <v>6</v>
      </c>
      <c r="AE15" s="377"/>
      <c r="AF15" s="373"/>
      <c r="AG15" s="444" t="s">
        <v>6</v>
      </c>
      <c r="AH15" s="377"/>
      <c r="AI15" s="373"/>
      <c r="AJ15" s="444" t="s">
        <v>6</v>
      </c>
      <c r="AK15" s="377"/>
      <c r="AL15" s="373"/>
      <c r="AM15" s="444"/>
      <c r="AN15" s="377">
        <v>34</v>
      </c>
      <c r="AO15" s="373">
        <v>32</v>
      </c>
      <c r="AP15" s="444">
        <v>51.5</v>
      </c>
      <c r="AQ15" s="377">
        <v>22</v>
      </c>
      <c r="AR15" s="373">
        <v>26</v>
      </c>
      <c r="AS15" s="444">
        <v>45.8</v>
      </c>
      <c r="AT15" s="377">
        <v>30</v>
      </c>
      <c r="AU15" s="373">
        <v>21</v>
      </c>
      <c r="AV15" s="444">
        <v>58.8</v>
      </c>
      <c r="AW15" s="377"/>
      <c r="AX15" s="373"/>
      <c r="AY15" s="444"/>
      <c r="AZ15" s="377">
        <v>20</v>
      </c>
      <c r="BA15" s="373">
        <v>31</v>
      </c>
      <c r="BB15" s="444">
        <v>39.200000000000003</v>
      </c>
      <c r="BC15" s="377">
        <v>14</v>
      </c>
      <c r="BD15" s="373">
        <v>24</v>
      </c>
      <c r="BE15" s="444">
        <v>36.799999999999997</v>
      </c>
      <c r="BF15" s="377">
        <v>23</v>
      </c>
      <c r="BG15" s="373">
        <v>20</v>
      </c>
      <c r="BH15" s="444">
        <v>53.5</v>
      </c>
      <c r="BI15" s="377"/>
      <c r="BJ15" s="373"/>
      <c r="BK15" s="444"/>
      <c r="BL15" s="377"/>
      <c r="BM15" s="373"/>
      <c r="BN15" s="444" t="s">
        <v>6</v>
      </c>
      <c r="BO15" s="377"/>
      <c r="BP15" s="373"/>
      <c r="BQ15" s="444" t="s">
        <v>6</v>
      </c>
      <c r="BR15" s="377"/>
      <c r="BS15" s="373"/>
      <c r="BT15" s="444" t="s">
        <v>6</v>
      </c>
      <c r="BU15" s="377"/>
      <c r="BV15" s="373"/>
      <c r="BW15" s="444"/>
      <c r="BX15" s="377"/>
      <c r="BY15" s="373"/>
      <c r="BZ15" s="444" t="s">
        <v>6</v>
      </c>
      <c r="CA15" s="377"/>
      <c r="CB15" s="373"/>
      <c r="CC15" s="444" t="s">
        <v>6</v>
      </c>
      <c r="CD15" s="377"/>
      <c r="CE15" s="373"/>
      <c r="CF15" s="444" t="s">
        <v>6</v>
      </c>
      <c r="CG15" s="377"/>
      <c r="CH15" s="373"/>
      <c r="CI15" s="444"/>
      <c r="CJ15" s="377"/>
      <c r="CK15" s="373"/>
      <c r="CL15" s="444" t="s">
        <v>6</v>
      </c>
      <c r="CM15" s="377"/>
      <c r="CN15" s="373"/>
      <c r="CO15" s="444" t="s">
        <v>6</v>
      </c>
      <c r="CP15" s="377"/>
      <c r="CQ15" s="373">
        <v>1</v>
      </c>
      <c r="CR15" s="444">
        <v>0</v>
      </c>
      <c r="CS15" s="377"/>
      <c r="CT15" s="373"/>
      <c r="CU15" s="444"/>
      <c r="CV15" s="377">
        <v>22</v>
      </c>
      <c r="CW15" s="373">
        <v>36</v>
      </c>
      <c r="CX15" s="444">
        <v>37.9</v>
      </c>
      <c r="CY15" s="377">
        <v>35</v>
      </c>
      <c r="CZ15" s="373">
        <v>51</v>
      </c>
      <c r="DA15" s="444">
        <v>40.700000000000003</v>
      </c>
      <c r="DB15" s="377">
        <v>39</v>
      </c>
      <c r="DC15" s="373">
        <v>60</v>
      </c>
      <c r="DD15" s="444">
        <v>39.4</v>
      </c>
      <c r="DE15" s="377"/>
      <c r="DF15" s="373"/>
      <c r="DG15" s="444"/>
      <c r="DH15" s="377">
        <v>3</v>
      </c>
      <c r="DI15" s="373">
        <v>1</v>
      </c>
      <c r="DJ15" s="444">
        <v>75</v>
      </c>
      <c r="DK15" s="377">
        <v>4</v>
      </c>
      <c r="DL15" s="373">
        <v>2</v>
      </c>
      <c r="DM15" s="444">
        <v>66.7</v>
      </c>
      <c r="DN15" s="377">
        <v>3</v>
      </c>
      <c r="DO15" s="373">
        <v>3</v>
      </c>
      <c r="DP15" s="444">
        <v>50</v>
      </c>
      <c r="DQ15" s="377"/>
      <c r="DR15" s="373"/>
      <c r="DS15" s="444"/>
      <c r="DT15" s="377"/>
      <c r="DU15" s="373"/>
      <c r="DV15" s="444" t="s">
        <v>6</v>
      </c>
      <c r="DW15" s="377">
        <v>1</v>
      </c>
      <c r="DX15" s="373"/>
      <c r="DY15" s="444">
        <v>100</v>
      </c>
      <c r="DZ15" s="377"/>
      <c r="EA15" s="373">
        <v>1</v>
      </c>
      <c r="EB15" s="444">
        <v>0</v>
      </c>
      <c r="EC15" s="377"/>
      <c r="ED15" s="373"/>
      <c r="EE15" s="444"/>
      <c r="EF15" s="377">
        <v>140</v>
      </c>
      <c r="EG15" s="373">
        <v>2307</v>
      </c>
      <c r="EH15" s="444">
        <v>5.7</v>
      </c>
      <c r="EI15" s="377">
        <v>97</v>
      </c>
      <c r="EJ15" s="373">
        <v>1834</v>
      </c>
      <c r="EK15" s="444">
        <v>5</v>
      </c>
      <c r="EL15" s="377">
        <v>141</v>
      </c>
      <c r="EM15" s="373">
        <v>1452</v>
      </c>
      <c r="EN15" s="444">
        <v>8.9</v>
      </c>
      <c r="EO15" s="377"/>
      <c r="EP15" s="373"/>
      <c r="EQ15" s="444"/>
      <c r="ER15" s="377">
        <v>16</v>
      </c>
      <c r="ES15" s="373">
        <v>261</v>
      </c>
      <c r="ET15" s="444">
        <v>5.8</v>
      </c>
      <c r="EU15" s="377">
        <v>2</v>
      </c>
      <c r="EV15" s="373">
        <v>141</v>
      </c>
      <c r="EW15" s="444">
        <v>1.4</v>
      </c>
      <c r="EX15" s="377">
        <v>2</v>
      </c>
      <c r="EY15" s="373">
        <v>97</v>
      </c>
      <c r="EZ15" s="444">
        <v>2</v>
      </c>
      <c r="FA15" s="377"/>
      <c r="FB15" s="373"/>
      <c r="FC15" s="444"/>
      <c r="FD15" s="377">
        <v>1</v>
      </c>
      <c r="FE15" s="373">
        <v>254</v>
      </c>
      <c r="FF15" s="444">
        <v>0.4</v>
      </c>
      <c r="FG15" s="377">
        <v>19</v>
      </c>
      <c r="FH15" s="373">
        <v>202</v>
      </c>
      <c r="FI15" s="444">
        <v>8.6</v>
      </c>
      <c r="FJ15" s="377">
        <v>5</v>
      </c>
      <c r="FK15" s="373">
        <v>207</v>
      </c>
      <c r="FL15" s="444">
        <v>2.4</v>
      </c>
      <c r="FM15" s="377"/>
      <c r="FN15" s="373"/>
      <c r="FO15" s="444"/>
      <c r="FP15" s="377">
        <v>23</v>
      </c>
      <c r="FQ15" s="373">
        <v>578</v>
      </c>
      <c r="FR15" s="444">
        <v>3.8</v>
      </c>
      <c r="FS15" s="377">
        <v>10</v>
      </c>
      <c r="FT15" s="373">
        <v>414</v>
      </c>
      <c r="FU15" s="444">
        <v>2.4</v>
      </c>
      <c r="FV15" s="377">
        <v>33</v>
      </c>
      <c r="FW15" s="373">
        <v>274</v>
      </c>
      <c r="FX15" s="444">
        <v>10.7</v>
      </c>
      <c r="FY15" s="377"/>
      <c r="FZ15" s="373"/>
      <c r="GA15" s="444"/>
      <c r="GB15" s="377">
        <v>21</v>
      </c>
      <c r="GC15" s="373">
        <v>20</v>
      </c>
      <c r="GD15" s="444">
        <v>51.2</v>
      </c>
      <c r="GE15" s="377">
        <v>17</v>
      </c>
      <c r="GF15" s="373">
        <v>6</v>
      </c>
      <c r="GG15" s="444">
        <v>73.900000000000006</v>
      </c>
      <c r="GH15" s="377">
        <v>19</v>
      </c>
      <c r="GI15" s="373">
        <v>5</v>
      </c>
      <c r="GJ15" s="444">
        <v>79.2</v>
      </c>
      <c r="GK15" s="377"/>
      <c r="GL15" s="373"/>
      <c r="GM15" s="444"/>
      <c r="GN15" s="377">
        <v>3</v>
      </c>
      <c r="GO15" s="373">
        <v>123</v>
      </c>
      <c r="GP15" s="444">
        <v>2.4</v>
      </c>
      <c r="GQ15" s="377">
        <v>6</v>
      </c>
      <c r="GR15" s="373">
        <v>103</v>
      </c>
      <c r="GS15" s="444">
        <v>5.5</v>
      </c>
      <c r="GT15" s="377">
        <v>14</v>
      </c>
      <c r="GU15" s="373">
        <v>71</v>
      </c>
      <c r="GV15" s="444">
        <v>16.5</v>
      </c>
      <c r="GW15" s="377"/>
      <c r="GX15" s="373"/>
      <c r="GY15" s="444"/>
      <c r="GZ15" s="377"/>
      <c r="HA15" s="373">
        <v>1</v>
      </c>
      <c r="HB15" s="444">
        <v>0</v>
      </c>
      <c r="HC15" s="377">
        <v>4</v>
      </c>
      <c r="HD15" s="373">
        <v>1</v>
      </c>
      <c r="HE15" s="444">
        <v>80</v>
      </c>
      <c r="HF15" s="377"/>
      <c r="HG15" s="373">
        <v>5</v>
      </c>
      <c r="HH15" s="444">
        <v>0</v>
      </c>
      <c r="HI15" s="377"/>
      <c r="HJ15" s="373"/>
      <c r="HK15" s="444"/>
      <c r="HL15" s="377">
        <v>11</v>
      </c>
      <c r="HM15" s="373">
        <v>168</v>
      </c>
      <c r="HN15" s="444">
        <v>6.1</v>
      </c>
      <c r="HO15" s="377">
        <v>10</v>
      </c>
      <c r="HP15" s="373">
        <v>225</v>
      </c>
      <c r="HQ15" s="444">
        <v>4.3</v>
      </c>
      <c r="HR15" s="377">
        <v>10</v>
      </c>
      <c r="HS15" s="373">
        <v>164</v>
      </c>
      <c r="HT15" s="444">
        <v>5.7</v>
      </c>
      <c r="HU15" s="377"/>
      <c r="HV15" s="373"/>
      <c r="HW15" s="444"/>
      <c r="HX15" s="377">
        <v>5</v>
      </c>
      <c r="HY15" s="373">
        <v>1</v>
      </c>
      <c r="HZ15" s="444">
        <v>83.3</v>
      </c>
      <c r="IA15" s="377">
        <v>2</v>
      </c>
      <c r="IB15" s="373"/>
      <c r="IC15" s="444">
        <v>100</v>
      </c>
      <c r="ID15" s="377">
        <v>2</v>
      </c>
      <c r="IE15" s="373">
        <v>1</v>
      </c>
      <c r="IF15" s="444">
        <v>66.7</v>
      </c>
      <c r="IG15" s="377"/>
      <c r="IH15" s="373"/>
      <c r="II15" s="444"/>
      <c r="IJ15" s="377"/>
      <c r="IK15" s="373">
        <v>42</v>
      </c>
      <c r="IL15" s="444">
        <v>0</v>
      </c>
      <c r="IM15" s="377">
        <v>1</v>
      </c>
      <c r="IN15" s="373">
        <v>4</v>
      </c>
      <c r="IO15" s="444">
        <v>20</v>
      </c>
      <c r="IP15" s="377">
        <v>1</v>
      </c>
      <c r="IQ15" s="373">
        <v>1</v>
      </c>
      <c r="IR15" s="444">
        <v>50</v>
      </c>
      <c r="IS15" s="377"/>
      <c r="IT15" s="373"/>
      <c r="IU15" s="444"/>
      <c r="IV15" s="377">
        <v>239</v>
      </c>
      <c r="IW15" s="373">
        <v>2731</v>
      </c>
      <c r="IX15" s="444">
        <v>8</v>
      </c>
      <c r="IY15" s="377">
        <v>199</v>
      </c>
      <c r="IZ15" s="373">
        <v>2252</v>
      </c>
      <c r="JA15" s="444">
        <v>8.1</v>
      </c>
      <c r="JB15" s="377">
        <v>259</v>
      </c>
      <c r="JC15" s="373">
        <v>1785</v>
      </c>
      <c r="JD15" s="444">
        <v>12.7</v>
      </c>
      <c r="JE15" s="377"/>
      <c r="JF15" s="373"/>
      <c r="JG15" s="444"/>
      <c r="JH15" s="377">
        <v>65</v>
      </c>
      <c r="JI15" s="373">
        <v>1005</v>
      </c>
      <c r="JJ15" s="444">
        <v>6.1</v>
      </c>
      <c r="JK15" s="377">
        <v>81</v>
      </c>
      <c r="JL15" s="373">
        <v>751</v>
      </c>
      <c r="JM15" s="444">
        <v>9.6999999999999993</v>
      </c>
      <c r="JN15" s="377">
        <v>65</v>
      </c>
      <c r="JO15" s="373">
        <v>628</v>
      </c>
      <c r="JP15" s="444">
        <v>9.4</v>
      </c>
      <c r="JQ15" s="377"/>
      <c r="JR15" s="373"/>
      <c r="JS15" s="444"/>
      <c r="JT15" s="377"/>
      <c r="JU15" s="373">
        <v>14</v>
      </c>
      <c r="JV15" s="444">
        <v>0</v>
      </c>
      <c r="JW15" s="377">
        <v>1</v>
      </c>
      <c r="JX15" s="373">
        <v>6</v>
      </c>
      <c r="JY15" s="444">
        <v>14.3</v>
      </c>
      <c r="JZ15" s="377">
        <v>4</v>
      </c>
      <c r="KA15" s="373">
        <v>7</v>
      </c>
      <c r="KB15" s="444">
        <v>36.4</v>
      </c>
      <c r="KC15" s="377"/>
      <c r="KD15" s="373"/>
      <c r="KE15" s="444"/>
      <c r="KF15" s="377"/>
      <c r="KG15" s="373"/>
      <c r="KH15" s="444" t="s">
        <v>6</v>
      </c>
      <c r="KI15" s="377"/>
      <c r="KJ15" s="373"/>
      <c r="KK15" s="444" t="s">
        <v>6</v>
      </c>
      <c r="KL15" s="377"/>
      <c r="KM15" s="373"/>
      <c r="KN15" s="444" t="s">
        <v>6</v>
      </c>
      <c r="KO15" s="377"/>
      <c r="KP15" s="373"/>
      <c r="KQ15" s="444"/>
      <c r="KR15" s="377">
        <v>70</v>
      </c>
      <c r="KS15" s="373">
        <v>1026</v>
      </c>
      <c r="KT15" s="444">
        <v>6.4</v>
      </c>
      <c r="KU15" s="377">
        <v>89</v>
      </c>
      <c r="KV15" s="373">
        <v>762</v>
      </c>
      <c r="KW15" s="444">
        <v>10.5</v>
      </c>
      <c r="KX15" s="377">
        <v>80</v>
      </c>
      <c r="KY15" s="373">
        <v>638</v>
      </c>
      <c r="KZ15" s="444">
        <v>11.1</v>
      </c>
      <c r="LA15" s="377"/>
      <c r="LB15" s="373"/>
      <c r="LC15" s="444"/>
      <c r="LD15" s="377">
        <v>455</v>
      </c>
      <c r="LE15" s="373">
        <v>3242</v>
      </c>
      <c r="LF15" s="444">
        <v>12.3</v>
      </c>
      <c r="LG15" s="377">
        <v>503</v>
      </c>
      <c r="LH15" s="373">
        <v>2731</v>
      </c>
      <c r="LI15" s="444">
        <v>15.6</v>
      </c>
      <c r="LJ15" s="377">
        <v>1572</v>
      </c>
      <c r="LK15" s="373">
        <v>2307</v>
      </c>
      <c r="LL15" s="444">
        <v>40.5</v>
      </c>
      <c r="LM15" s="377"/>
      <c r="LN15" s="373"/>
      <c r="LO15" s="444"/>
    </row>
    <row r="16" spans="1:327" x14ac:dyDescent="0.2">
      <c r="A16" s="1001"/>
      <c r="B16" s="747"/>
      <c r="C16" s="151" t="s">
        <v>640</v>
      </c>
      <c r="D16" s="377"/>
      <c r="E16" s="373"/>
      <c r="F16" s="444" t="s">
        <v>6</v>
      </c>
      <c r="G16" s="377"/>
      <c r="H16" s="373"/>
      <c r="I16" s="444" t="s">
        <v>6</v>
      </c>
      <c r="J16" s="377"/>
      <c r="K16" s="373"/>
      <c r="L16" s="444" t="s">
        <v>6</v>
      </c>
      <c r="M16" s="377"/>
      <c r="N16" s="373"/>
      <c r="O16" s="444"/>
      <c r="P16" s="377"/>
      <c r="Q16" s="373"/>
      <c r="R16" s="444" t="s">
        <v>6</v>
      </c>
      <c r="S16" s="377"/>
      <c r="T16" s="373"/>
      <c r="U16" s="444" t="s">
        <v>6</v>
      </c>
      <c r="V16" s="377"/>
      <c r="W16" s="373"/>
      <c r="X16" s="444" t="s">
        <v>6</v>
      </c>
      <c r="Y16" s="377"/>
      <c r="Z16" s="373"/>
      <c r="AA16" s="444"/>
      <c r="AB16" s="377"/>
      <c r="AC16" s="373"/>
      <c r="AD16" s="444" t="s">
        <v>6</v>
      </c>
      <c r="AE16" s="377"/>
      <c r="AF16" s="373"/>
      <c r="AG16" s="444" t="s">
        <v>6</v>
      </c>
      <c r="AH16" s="377"/>
      <c r="AI16" s="373"/>
      <c r="AJ16" s="444" t="s">
        <v>6</v>
      </c>
      <c r="AK16" s="377"/>
      <c r="AL16" s="373"/>
      <c r="AM16" s="444"/>
      <c r="AN16" s="377">
        <v>2</v>
      </c>
      <c r="AO16" s="373">
        <v>3</v>
      </c>
      <c r="AP16" s="444">
        <v>40</v>
      </c>
      <c r="AQ16" s="377">
        <v>11</v>
      </c>
      <c r="AR16" s="373">
        <v>6</v>
      </c>
      <c r="AS16" s="444">
        <v>64.7</v>
      </c>
      <c r="AT16" s="377">
        <v>17</v>
      </c>
      <c r="AU16" s="373">
        <v>5</v>
      </c>
      <c r="AV16" s="444">
        <v>77.3</v>
      </c>
      <c r="AW16" s="377"/>
      <c r="AX16" s="373"/>
      <c r="AY16" s="444"/>
      <c r="AZ16" s="377">
        <v>1</v>
      </c>
      <c r="BA16" s="373">
        <v>2</v>
      </c>
      <c r="BB16" s="444">
        <v>33.299999999999997</v>
      </c>
      <c r="BC16" s="377">
        <v>6</v>
      </c>
      <c r="BD16" s="373">
        <v>6</v>
      </c>
      <c r="BE16" s="444">
        <v>50</v>
      </c>
      <c r="BF16" s="377">
        <v>8</v>
      </c>
      <c r="BG16" s="373">
        <v>3</v>
      </c>
      <c r="BH16" s="444">
        <v>72.7</v>
      </c>
      <c r="BI16" s="377"/>
      <c r="BJ16" s="373"/>
      <c r="BK16" s="444"/>
      <c r="BL16" s="377"/>
      <c r="BM16" s="373"/>
      <c r="BN16" s="444" t="s">
        <v>6</v>
      </c>
      <c r="BO16" s="377"/>
      <c r="BP16" s="373"/>
      <c r="BQ16" s="444" t="s">
        <v>6</v>
      </c>
      <c r="BR16" s="377"/>
      <c r="BS16" s="373"/>
      <c r="BT16" s="444" t="s">
        <v>6</v>
      </c>
      <c r="BU16" s="377"/>
      <c r="BV16" s="373"/>
      <c r="BW16" s="444"/>
      <c r="BX16" s="377"/>
      <c r="BY16" s="373"/>
      <c r="BZ16" s="444" t="s">
        <v>6</v>
      </c>
      <c r="CA16" s="377"/>
      <c r="CB16" s="373"/>
      <c r="CC16" s="444" t="s">
        <v>6</v>
      </c>
      <c r="CD16" s="377"/>
      <c r="CE16" s="373"/>
      <c r="CF16" s="444" t="s">
        <v>6</v>
      </c>
      <c r="CG16" s="377"/>
      <c r="CH16" s="373"/>
      <c r="CI16" s="444"/>
      <c r="CJ16" s="377"/>
      <c r="CK16" s="373"/>
      <c r="CL16" s="444" t="s">
        <v>6</v>
      </c>
      <c r="CM16" s="377"/>
      <c r="CN16" s="373"/>
      <c r="CO16" s="444" t="s">
        <v>6</v>
      </c>
      <c r="CP16" s="377"/>
      <c r="CQ16" s="373"/>
      <c r="CR16" s="444" t="s">
        <v>6</v>
      </c>
      <c r="CS16" s="377"/>
      <c r="CT16" s="373"/>
      <c r="CU16" s="444"/>
      <c r="CV16" s="377">
        <v>4</v>
      </c>
      <c r="CW16" s="373">
        <v>9</v>
      </c>
      <c r="CX16" s="444">
        <v>30.8</v>
      </c>
      <c r="CY16" s="377">
        <v>18</v>
      </c>
      <c r="CZ16" s="373">
        <v>7</v>
      </c>
      <c r="DA16" s="444">
        <v>72</v>
      </c>
      <c r="DB16" s="377">
        <v>23</v>
      </c>
      <c r="DC16" s="373">
        <v>2</v>
      </c>
      <c r="DD16" s="444">
        <v>92</v>
      </c>
      <c r="DE16" s="377"/>
      <c r="DF16" s="373"/>
      <c r="DG16" s="444"/>
      <c r="DH16" s="377"/>
      <c r="DI16" s="373"/>
      <c r="DJ16" s="444" t="s">
        <v>6</v>
      </c>
      <c r="DK16" s="377">
        <v>2</v>
      </c>
      <c r="DL16" s="373"/>
      <c r="DM16" s="444">
        <v>100</v>
      </c>
      <c r="DN16" s="377">
        <v>1</v>
      </c>
      <c r="DO16" s="373">
        <v>1</v>
      </c>
      <c r="DP16" s="444">
        <v>50</v>
      </c>
      <c r="DQ16" s="377"/>
      <c r="DR16" s="373"/>
      <c r="DS16" s="444"/>
      <c r="DT16" s="377"/>
      <c r="DU16" s="373"/>
      <c r="DV16" s="444" t="s">
        <v>6</v>
      </c>
      <c r="DW16" s="377">
        <v>2</v>
      </c>
      <c r="DX16" s="373"/>
      <c r="DY16" s="444">
        <v>100</v>
      </c>
      <c r="DZ16" s="377">
        <v>2</v>
      </c>
      <c r="EA16" s="373"/>
      <c r="EB16" s="444">
        <v>100</v>
      </c>
      <c r="EC16" s="377"/>
      <c r="ED16" s="373"/>
      <c r="EE16" s="444"/>
      <c r="EF16" s="377">
        <v>33</v>
      </c>
      <c r="EG16" s="373">
        <v>771</v>
      </c>
      <c r="EH16" s="444">
        <v>4.0999999999999996</v>
      </c>
      <c r="EI16" s="377">
        <v>33</v>
      </c>
      <c r="EJ16" s="373">
        <v>833</v>
      </c>
      <c r="EK16" s="444">
        <v>3.8</v>
      </c>
      <c r="EL16" s="377">
        <v>66</v>
      </c>
      <c r="EM16" s="373">
        <v>561</v>
      </c>
      <c r="EN16" s="444">
        <v>10.5</v>
      </c>
      <c r="EO16" s="377"/>
      <c r="EP16" s="373"/>
      <c r="EQ16" s="444"/>
      <c r="ER16" s="377">
        <v>3</v>
      </c>
      <c r="ES16" s="373">
        <v>108</v>
      </c>
      <c r="ET16" s="444">
        <v>2.7</v>
      </c>
      <c r="EU16" s="377">
        <v>1</v>
      </c>
      <c r="EV16" s="373">
        <v>107</v>
      </c>
      <c r="EW16" s="444">
        <v>0.9</v>
      </c>
      <c r="EX16" s="377">
        <v>1</v>
      </c>
      <c r="EY16" s="373">
        <v>64</v>
      </c>
      <c r="EZ16" s="444">
        <v>1.5</v>
      </c>
      <c r="FA16" s="377"/>
      <c r="FB16" s="373"/>
      <c r="FC16" s="444"/>
      <c r="FD16" s="377">
        <v>1</v>
      </c>
      <c r="FE16" s="373">
        <v>37</v>
      </c>
      <c r="FF16" s="444">
        <v>2.6</v>
      </c>
      <c r="FG16" s="377"/>
      <c r="FH16" s="373">
        <v>123</v>
      </c>
      <c r="FI16" s="444">
        <v>0</v>
      </c>
      <c r="FJ16" s="377">
        <v>1</v>
      </c>
      <c r="FK16" s="373">
        <v>101</v>
      </c>
      <c r="FL16" s="444">
        <v>1</v>
      </c>
      <c r="FM16" s="377"/>
      <c r="FN16" s="373"/>
      <c r="FO16" s="444"/>
      <c r="FP16" s="377">
        <v>6</v>
      </c>
      <c r="FQ16" s="373">
        <v>346</v>
      </c>
      <c r="FR16" s="444">
        <v>1.7</v>
      </c>
      <c r="FS16" s="377">
        <v>3</v>
      </c>
      <c r="FT16" s="373">
        <v>283</v>
      </c>
      <c r="FU16" s="444">
        <v>1</v>
      </c>
      <c r="FV16" s="377">
        <v>17</v>
      </c>
      <c r="FW16" s="373">
        <v>164</v>
      </c>
      <c r="FX16" s="444">
        <v>9.4</v>
      </c>
      <c r="FY16" s="377"/>
      <c r="FZ16" s="373"/>
      <c r="GA16" s="444"/>
      <c r="GB16" s="377">
        <v>1</v>
      </c>
      <c r="GC16" s="373">
        <v>4</v>
      </c>
      <c r="GD16" s="444">
        <v>20</v>
      </c>
      <c r="GE16" s="377">
        <v>6</v>
      </c>
      <c r="GF16" s="373">
        <v>2</v>
      </c>
      <c r="GG16" s="444">
        <v>75</v>
      </c>
      <c r="GH16" s="377"/>
      <c r="GI16" s="373">
        <v>3</v>
      </c>
      <c r="GJ16" s="444">
        <v>0</v>
      </c>
      <c r="GK16" s="377"/>
      <c r="GL16" s="373"/>
      <c r="GM16" s="444"/>
      <c r="GN16" s="377"/>
      <c r="GO16" s="373">
        <v>9</v>
      </c>
      <c r="GP16" s="444">
        <v>0</v>
      </c>
      <c r="GQ16" s="377">
        <v>3</v>
      </c>
      <c r="GR16" s="373">
        <v>18</v>
      </c>
      <c r="GS16" s="444">
        <v>14.3</v>
      </c>
      <c r="GT16" s="377">
        <v>1</v>
      </c>
      <c r="GU16" s="373">
        <v>10</v>
      </c>
      <c r="GV16" s="444">
        <v>9.1</v>
      </c>
      <c r="GW16" s="377"/>
      <c r="GX16" s="373"/>
      <c r="GY16" s="444"/>
      <c r="GZ16" s="377"/>
      <c r="HA16" s="373"/>
      <c r="HB16" s="444" t="s">
        <v>6</v>
      </c>
      <c r="HC16" s="377"/>
      <c r="HD16" s="373"/>
      <c r="HE16" s="444" t="s">
        <v>6</v>
      </c>
      <c r="HF16" s="377">
        <v>1</v>
      </c>
      <c r="HG16" s="373"/>
      <c r="HH16" s="444">
        <v>100</v>
      </c>
      <c r="HI16" s="377"/>
      <c r="HJ16" s="373"/>
      <c r="HK16" s="444"/>
      <c r="HL16" s="377">
        <v>4</v>
      </c>
      <c r="HM16" s="373">
        <v>60</v>
      </c>
      <c r="HN16" s="444">
        <v>6.3</v>
      </c>
      <c r="HO16" s="377">
        <v>5</v>
      </c>
      <c r="HP16" s="373">
        <v>76</v>
      </c>
      <c r="HQ16" s="444">
        <v>6.2</v>
      </c>
      <c r="HR16" s="377">
        <v>8</v>
      </c>
      <c r="HS16" s="373">
        <v>53</v>
      </c>
      <c r="HT16" s="444">
        <v>13.1</v>
      </c>
      <c r="HU16" s="377"/>
      <c r="HV16" s="373"/>
      <c r="HW16" s="444"/>
      <c r="HX16" s="377"/>
      <c r="HY16" s="373"/>
      <c r="HZ16" s="444" t="s">
        <v>6</v>
      </c>
      <c r="IA16" s="377"/>
      <c r="IB16" s="373">
        <v>1</v>
      </c>
      <c r="IC16" s="444">
        <v>0</v>
      </c>
      <c r="ID16" s="377"/>
      <c r="IE16" s="373">
        <v>1</v>
      </c>
      <c r="IF16" s="444">
        <v>0</v>
      </c>
      <c r="IG16" s="377"/>
      <c r="IH16" s="373"/>
      <c r="II16" s="444"/>
      <c r="IJ16" s="377"/>
      <c r="IK16" s="373">
        <v>9</v>
      </c>
      <c r="IL16" s="444">
        <v>0</v>
      </c>
      <c r="IM16" s="377">
        <v>2</v>
      </c>
      <c r="IN16" s="373">
        <v>3</v>
      </c>
      <c r="IO16" s="444">
        <v>40</v>
      </c>
      <c r="IP16" s="377"/>
      <c r="IQ16" s="373">
        <v>4</v>
      </c>
      <c r="IR16" s="444">
        <v>0</v>
      </c>
      <c r="IS16" s="377"/>
      <c r="IT16" s="373"/>
      <c r="IU16" s="444"/>
      <c r="IV16" s="377">
        <v>44</v>
      </c>
      <c r="IW16" s="373">
        <v>865</v>
      </c>
      <c r="IX16" s="444">
        <v>4.8</v>
      </c>
      <c r="IY16" s="377">
        <v>82</v>
      </c>
      <c r="IZ16" s="373">
        <v>946</v>
      </c>
      <c r="JA16" s="444">
        <v>8</v>
      </c>
      <c r="JB16" s="377">
        <v>119</v>
      </c>
      <c r="JC16" s="373">
        <v>640</v>
      </c>
      <c r="JD16" s="444">
        <v>15.7</v>
      </c>
      <c r="JE16" s="377"/>
      <c r="JF16" s="373"/>
      <c r="JG16" s="444"/>
      <c r="JH16" s="377">
        <v>16</v>
      </c>
      <c r="JI16" s="373">
        <v>186</v>
      </c>
      <c r="JJ16" s="444">
        <v>7.9</v>
      </c>
      <c r="JK16" s="377">
        <v>16</v>
      </c>
      <c r="JL16" s="373">
        <v>330</v>
      </c>
      <c r="JM16" s="444">
        <v>4.5999999999999996</v>
      </c>
      <c r="JN16" s="377">
        <v>32</v>
      </c>
      <c r="JO16" s="373">
        <v>245</v>
      </c>
      <c r="JP16" s="444">
        <v>11.6</v>
      </c>
      <c r="JQ16" s="377"/>
      <c r="JR16" s="373"/>
      <c r="JS16" s="444"/>
      <c r="JT16" s="377">
        <v>3</v>
      </c>
      <c r="JU16" s="373">
        <v>1</v>
      </c>
      <c r="JV16" s="444">
        <v>75</v>
      </c>
      <c r="JW16" s="377">
        <v>1</v>
      </c>
      <c r="JX16" s="373">
        <v>1</v>
      </c>
      <c r="JY16" s="444">
        <v>50</v>
      </c>
      <c r="JZ16" s="377">
        <v>1</v>
      </c>
      <c r="KA16" s="373">
        <v>2</v>
      </c>
      <c r="KB16" s="444">
        <v>33.299999999999997</v>
      </c>
      <c r="KC16" s="377"/>
      <c r="KD16" s="373"/>
      <c r="KE16" s="444"/>
      <c r="KF16" s="377"/>
      <c r="KG16" s="373"/>
      <c r="KH16" s="444" t="s">
        <v>6</v>
      </c>
      <c r="KI16" s="377"/>
      <c r="KJ16" s="373"/>
      <c r="KK16" s="444" t="s">
        <v>6</v>
      </c>
      <c r="KL16" s="377"/>
      <c r="KM16" s="373"/>
      <c r="KN16" s="444" t="s">
        <v>6</v>
      </c>
      <c r="KO16" s="377"/>
      <c r="KP16" s="373"/>
      <c r="KQ16" s="444"/>
      <c r="KR16" s="377">
        <v>19</v>
      </c>
      <c r="KS16" s="373">
        <v>187</v>
      </c>
      <c r="KT16" s="444">
        <v>9.1999999999999993</v>
      </c>
      <c r="KU16" s="377">
        <v>19</v>
      </c>
      <c r="KV16" s="373">
        <v>330</v>
      </c>
      <c r="KW16" s="444">
        <v>5.4</v>
      </c>
      <c r="KX16" s="377">
        <v>38</v>
      </c>
      <c r="KY16" s="373">
        <v>252</v>
      </c>
      <c r="KZ16" s="444">
        <v>13.1</v>
      </c>
      <c r="LA16" s="377"/>
      <c r="LB16" s="373"/>
      <c r="LC16" s="444"/>
      <c r="LD16" s="377">
        <v>91</v>
      </c>
      <c r="LE16" s="373">
        <v>977</v>
      </c>
      <c r="LF16" s="444">
        <v>8.5</v>
      </c>
      <c r="LG16" s="377">
        <v>130</v>
      </c>
      <c r="LH16" s="373">
        <v>1138</v>
      </c>
      <c r="LI16" s="444">
        <v>10.3</v>
      </c>
      <c r="LJ16" s="377">
        <v>233</v>
      </c>
      <c r="LK16" s="373">
        <v>786</v>
      </c>
      <c r="LL16" s="444">
        <v>22.9</v>
      </c>
      <c r="LM16" s="377"/>
      <c r="LN16" s="373"/>
      <c r="LO16" s="444"/>
    </row>
    <row r="17" spans="1:327" x14ac:dyDescent="0.2">
      <c r="A17" s="1001"/>
      <c r="B17" s="747"/>
      <c r="C17" s="151" t="s">
        <v>641</v>
      </c>
      <c r="D17" s="377"/>
      <c r="E17" s="373"/>
      <c r="F17" s="444" t="s">
        <v>6</v>
      </c>
      <c r="G17" s="377"/>
      <c r="H17" s="373"/>
      <c r="I17" s="444" t="s">
        <v>6</v>
      </c>
      <c r="J17" s="377"/>
      <c r="K17" s="373"/>
      <c r="L17" s="444" t="s">
        <v>6</v>
      </c>
      <c r="M17" s="377"/>
      <c r="N17" s="373"/>
      <c r="O17" s="444"/>
      <c r="P17" s="377"/>
      <c r="Q17" s="373"/>
      <c r="R17" s="444" t="s">
        <v>6</v>
      </c>
      <c r="S17" s="377"/>
      <c r="T17" s="373"/>
      <c r="U17" s="444" t="s">
        <v>6</v>
      </c>
      <c r="V17" s="377"/>
      <c r="W17" s="373"/>
      <c r="X17" s="444" t="s">
        <v>6</v>
      </c>
      <c r="Y17" s="377"/>
      <c r="Z17" s="373"/>
      <c r="AA17" s="444"/>
      <c r="AB17" s="377"/>
      <c r="AC17" s="373"/>
      <c r="AD17" s="444" t="s">
        <v>6</v>
      </c>
      <c r="AE17" s="377"/>
      <c r="AF17" s="373"/>
      <c r="AG17" s="444" t="s">
        <v>6</v>
      </c>
      <c r="AH17" s="377"/>
      <c r="AI17" s="373"/>
      <c r="AJ17" s="444" t="s">
        <v>6</v>
      </c>
      <c r="AK17" s="377"/>
      <c r="AL17" s="373"/>
      <c r="AM17" s="444"/>
      <c r="AN17" s="377">
        <v>51</v>
      </c>
      <c r="AO17" s="373">
        <v>43</v>
      </c>
      <c r="AP17" s="444">
        <v>54.3</v>
      </c>
      <c r="AQ17" s="377">
        <v>71</v>
      </c>
      <c r="AR17" s="373">
        <v>28</v>
      </c>
      <c r="AS17" s="444">
        <v>71.7</v>
      </c>
      <c r="AT17" s="377">
        <v>109</v>
      </c>
      <c r="AU17" s="373">
        <v>15</v>
      </c>
      <c r="AV17" s="444">
        <v>87.9</v>
      </c>
      <c r="AW17" s="377"/>
      <c r="AX17" s="373"/>
      <c r="AY17" s="444"/>
      <c r="AZ17" s="377">
        <v>34</v>
      </c>
      <c r="BA17" s="373">
        <v>42</v>
      </c>
      <c r="BB17" s="444">
        <v>44.7</v>
      </c>
      <c r="BC17" s="377">
        <v>25</v>
      </c>
      <c r="BD17" s="373">
        <v>28</v>
      </c>
      <c r="BE17" s="444">
        <v>47.2</v>
      </c>
      <c r="BF17" s="377">
        <v>54</v>
      </c>
      <c r="BG17" s="373">
        <v>13</v>
      </c>
      <c r="BH17" s="444">
        <v>80.599999999999994</v>
      </c>
      <c r="BI17" s="377"/>
      <c r="BJ17" s="373"/>
      <c r="BK17" s="444"/>
      <c r="BL17" s="377"/>
      <c r="BM17" s="373"/>
      <c r="BN17" s="444" t="s">
        <v>6</v>
      </c>
      <c r="BO17" s="377"/>
      <c r="BP17" s="373"/>
      <c r="BQ17" s="444" t="s">
        <v>6</v>
      </c>
      <c r="BR17" s="377"/>
      <c r="BS17" s="373"/>
      <c r="BT17" s="444" t="s">
        <v>6</v>
      </c>
      <c r="BU17" s="377"/>
      <c r="BV17" s="373"/>
      <c r="BW17" s="444"/>
      <c r="BX17" s="377">
        <v>1</v>
      </c>
      <c r="BY17" s="373"/>
      <c r="BZ17" s="444">
        <v>100</v>
      </c>
      <c r="CA17" s="377">
        <v>1</v>
      </c>
      <c r="CB17" s="373"/>
      <c r="CC17" s="444">
        <v>100</v>
      </c>
      <c r="CD17" s="377">
        <v>9</v>
      </c>
      <c r="CE17" s="373"/>
      <c r="CF17" s="444">
        <v>100</v>
      </c>
      <c r="CG17" s="377"/>
      <c r="CH17" s="373"/>
      <c r="CI17" s="444"/>
      <c r="CJ17" s="377"/>
      <c r="CK17" s="373"/>
      <c r="CL17" s="444" t="s">
        <v>6</v>
      </c>
      <c r="CM17" s="377">
        <v>2</v>
      </c>
      <c r="CN17" s="373">
        <v>3</v>
      </c>
      <c r="CO17" s="444">
        <v>40</v>
      </c>
      <c r="CP17" s="377"/>
      <c r="CQ17" s="373"/>
      <c r="CR17" s="444" t="s">
        <v>6</v>
      </c>
      <c r="CS17" s="377"/>
      <c r="CT17" s="373"/>
      <c r="CU17" s="444"/>
      <c r="CV17" s="377">
        <v>26</v>
      </c>
      <c r="CW17" s="373">
        <v>30</v>
      </c>
      <c r="CX17" s="444">
        <v>46.4</v>
      </c>
      <c r="CY17" s="377">
        <v>42</v>
      </c>
      <c r="CZ17" s="373">
        <v>27</v>
      </c>
      <c r="DA17" s="444">
        <v>60.9</v>
      </c>
      <c r="DB17" s="377">
        <v>109</v>
      </c>
      <c r="DC17" s="373">
        <v>44</v>
      </c>
      <c r="DD17" s="444">
        <v>71.2</v>
      </c>
      <c r="DE17" s="377"/>
      <c r="DF17" s="373"/>
      <c r="DG17" s="444"/>
      <c r="DH17" s="377">
        <v>1</v>
      </c>
      <c r="DI17" s="373">
        <v>1</v>
      </c>
      <c r="DJ17" s="444">
        <v>50</v>
      </c>
      <c r="DK17" s="377">
        <v>4</v>
      </c>
      <c r="DL17" s="373"/>
      <c r="DM17" s="444">
        <v>100</v>
      </c>
      <c r="DN17" s="377"/>
      <c r="DO17" s="373">
        <v>1</v>
      </c>
      <c r="DP17" s="444">
        <v>0</v>
      </c>
      <c r="DQ17" s="377"/>
      <c r="DR17" s="373"/>
      <c r="DS17" s="444"/>
      <c r="DT17" s="377">
        <v>3</v>
      </c>
      <c r="DU17" s="373">
        <v>3</v>
      </c>
      <c r="DV17" s="444">
        <v>50</v>
      </c>
      <c r="DW17" s="377">
        <v>3</v>
      </c>
      <c r="DX17" s="373">
        <v>1</v>
      </c>
      <c r="DY17" s="444">
        <v>75</v>
      </c>
      <c r="DZ17" s="377">
        <v>2</v>
      </c>
      <c r="EA17" s="373"/>
      <c r="EB17" s="444">
        <v>100</v>
      </c>
      <c r="EC17" s="377"/>
      <c r="ED17" s="373"/>
      <c r="EE17" s="444"/>
      <c r="EF17" s="377">
        <v>153</v>
      </c>
      <c r="EG17" s="373">
        <v>1876</v>
      </c>
      <c r="EH17" s="444">
        <v>7.5</v>
      </c>
      <c r="EI17" s="377">
        <v>141</v>
      </c>
      <c r="EJ17" s="373">
        <v>1130</v>
      </c>
      <c r="EK17" s="444">
        <v>11.1</v>
      </c>
      <c r="EL17" s="377">
        <v>247</v>
      </c>
      <c r="EM17" s="373">
        <v>1022</v>
      </c>
      <c r="EN17" s="444">
        <v>19.5</v>
      </c>
      <c r="EO17" s="377"/>
      <c r="EP17" s="373"/>
      <c r="EQ17" s="444"/>
      <c r="ER17" s="377">
        <v>3</v>
      </c>
      <c r="ES17" s="373">
        <v>94</v>
      </c>
      <c r="ET17" s="444">
        <v>3.1</v>
      </c>
      <c r="EU17" s="377">
        <v>2</v>
      </c>
      <c r="EV17" s="373">
        <v>54</v>
      </c>
      <c r="EW17" s="444">
        <v>3.6</v>
      </c>
      <c r="EX17" s="377"/>
      <c r="EY17" s="373">
        <v>17</v>
      </c>
      <c r="EZ17" s="444">
        <v>0</v>
      </c>
      <c r="FA17" s="377"/>
      <c r="FB17" s="373"/>
      <c r="FC17" s="444"/>
      <c r="FD17" s="377">
        <v>16</v>
      </c>
      <c r="FE17" s="373">
        <v>284</v>
      </c>
      <c r="FF17" s="444">
        <v>5.3</v>
      </c>
      <c r="FG17" s="377">
        <v>13</v>
      </c>
      <c r="FH17" s="373">
        <v>92</v>
      </c>
      <c r="FI17" s="444">
        <v>12.4</v>
      </c>
      <c r="FJ17" s="377">
        <v>46</v>
      </c>
      <c r="FK17" s="373">
        <v>83</v>
      </c>
      <c r="FL17" s="444">
        <v>35.700000000000003</v>
      </c>
      <c r="FM17" s="377"/>
      <c r="FN17" s="373"/>
      <c r="FO17" s="444"/>
      <c r="FP17" s="377">
        <v>11</v>
      </c>
      <c r="FQ17" s="373">
        <v>235</v>
      </c>
      <c r="FR17" s="444">
        <v>4.5</v>
      </c>
      <c r="FS17" s="377">
        <v>12</v>
      </c>
      <c r="FT17" s="373">
        <v>165</v>
      </c>
      <c r="FU17" s="444">
        <v>6.8</v>
      </c>
      <c r="FV17" s="377">
        <v>21</v>
      </c>
      <c r="FW17" s="373">
        <v>105</v>
      </c>
      <c r="FX17" s="444">
        <v>16.7</v>
      </c>
      <c r="FY17" s="377"/>
      <c r="FZ17" s="373"/>
      <c r="GA17" s="444"/>
      <c r="GB17" s="377">
        <v>13</v>
      </c>
      <c r="GC17" s="373">
        <v>32</v>
      </c>
      <c r="GD17" s="444">
        <v>28.9</v>
      </c>
      <c r="GE17" s="377">
        <v>8</v>
      </c>
      <c r="GF17" s="373">
        <v>13</v>
      </c>
      <c r="GG17" s="444">
        <v>38.1</v>
      </c>
      <c r="GH17" s="377">
        <v>14</v>
      </c>
      <c r="GI17" s="373">
        <v>3</v>
      </c>
      <c r="GJ17" s="444">
        <v>82.4</v>
      </c>
      <c r="GK17" s="377"/>
      <c r="GL17" s="373"/>
      <c r="GM17" s="444"/>
      <c r="GN17" s="377">
        <v>1</v>
      </c>
      <c r="GO17" s="373">
        <v>90</v>
      </c>
      <c r="GP17" s="444">
        <v>1.1000000000000001</v>
      </c>
      <c r="GQ17" s="377">
        <v>4</v>
      </c>
      <c r="GR17" s="373">
        <v>39</v>
      </c>
      <c r="GS17" s="444">
        <v>9.3000000000000007</v>
      </c>
      <c r="GT17" s="377">
        <v>10</v>
      </c>
      <c r="GU17" s="373">
        <v>21</v>
      </c>
      <c r="GV17" s="444">
        <v>32.299999999999997</v>
      </c>
      <c r="GW17" s="377"/>
      <c r="GX17" s="373"/>
      <c r="GY17" s="444"/>
      <c r="GZ17" s="377">
        <v>5</v>
      </c>
      <c r="HA17" s="373"/>
      <c r="HB17" s="444">
        <v>100</v>
      </c>
      <c r="HC17" s="377">
        <v>1</v>
      </c>
      <c r="HD17" s="373">
        <v>3</v>
      </c>
      <c r="HE17" s="444">
        <v>25</v>
      </c>
      <c r="HF17" s="377">
        <v>2</v>
      </c>
      <c r="HG17" s="373">
        <v>1</v>
      </c>
      <c r="HH17" s="444">
        <v>66.7</v>
      </c>
      <c r="HI17" s="377"/>
      <c r="HJ17" s="373"/>
      <c r="HK17" s="444"/>
      <c r="HL17" s="377">
        <v>12</v>
      </c>
      <c r="HM17" s="373">
        <v>209</v>
      </c>
      <c r="HN17" s="444">
        <v>5.4</v>
      </c>
      <c r="HO17" s="377">
        <v>11</v>
      </c>
      <c r="HP17" s="373">
        <v>129</v>
      </c>
      <c r="HQ17" s="444">
        <v>7.9</v>
      </c>
      <c r="HR17" s="377">
        <v>22</v>
      </c>
      <c r="HS17" s="373">
        <v>139</v>
      </c>
      <c r="HT17" s="444">
        <v>13.7</v>
      </c>
      <c r="HU17" s="377"/>
      <c r="HV17" s="373"/>
      <c r="HW17" s="444"/>
      <c r="HX17" s="377">
        <v>6</v>
      </c>
      <c r="HY17" s="373">
        <v>2</v>
      </c>
      <c r="HZ17" s="444">
        <v>75</v>
      </c>
      <c r="IA17" s="377">
        <v>1</v>
      </c>
      <c r="IB17" s="373">
        <v>2</v>
      </c>
      <c r="IC17" s="444">
        <v>33.299999999999997</v>
      </c>
      <c r="ID17" s="377">
        <v>3</v>
      </c>
      <c r="IE17" s="373"/>
      <c r="IF17" s="444">
        <v>100</v>
      </c>
      <c r="IG17" s="377"/>
      <c r="IH17" s="373"/>
      <c r="II17" s="444"/>
      <c r="IJ17" s="377"/>
      <c r="IK17" s="373">
        <v>8</v>
      </c>
      <c r="IL17" s="444">
        <v>0</v>
      </c>
      <c r="IM17" s="377"/>
      <c r="IN17" s="373">
        <v>3</v>
      </c>
      <c r="IO17" s="444">
        <v>0</v>
      </c>
      <c r="IP17" s="377">
        <v>6</v>
      </c>
      <c r="IQ17" s="373">
        <v>3</v>
      </c>
      <c r="IR17" s="444">
        <v>66.7</v>
      </c>
      <c r="IS17" s="377"/>
      <c r="IT17" s="373"/>
      <c r="IU17" s="444"/>
      <c r="IV17" s="377">
        <v>272</v>
      </c>
      <c r="IW17" s="373">
        <v>2294</v>
      </c>
      <c r="IX17" s="444">
        <v>10.6</v>
      </c>
      <c r="IY17" s="377">
        <v>289</v>
      </c>
      <c r="IZ17" s="373">
        <v>1378</v>
      </c>
      <c r="JA17" s="444">
        <v>17.3</v>
      </c>
      <c r="JB17" s="377">
        <v>533</v>
      </c>
      <c r="JC17" s="373">
        <v>1249</v>
      </c>
      <c r="JD17" s="444">
        <v>29.9</v>
      </c>
      <c r="JE17" s="377"/>
      <c r="JF17" s="373"/>
      <c r="JG17" s="444"/>
      <c r="JH17" s="377">
        <v>62</v>
      </c>
      <c r="JI17" s="373">
        <v>978</v>
      </c>
      <c r="JJ17" s="444">
        <v>6</v>
      </c>
      <c r="JK17" s="377">
        <v>82</v>
      </c>
      <c r="JL17" s="373">
        <v>511</v>
      </c>
      <c r="JM17" s="444">
        <v>13.8</v>
      </c>
      <c r="JN17" s="377">
        <v>188</v>
      </c>
      <c r="JO17" s="373">
        <v>439</v>
      </c>
      <c r="JP17" s="444">
        <v>30</v>
      </c>
      <c r="JQ17" s="377"/>
      <c r="JR17" s="373"/>
      <c r="JS17" s="444"/>
      <c r="JT17" s="377">
        <v>3</v>
      </c>
      <c r="JU17" s="373">
        <v>7</v>
      </c>
      <c r="JV17" s="444">
        <v>30</v>
      </c>
      <c r="JW17" s="377">
        <v>4</v>
      </c>
      <c r="JX17" s="373">
        <v>9</v>
      </c>
      <c r="JY17" s="444">
        <v>30.8</v>
      </c>
      <c r="JZ17" s="377">
        <v>3</v>
      </c>
      <c r="KA17" s="373">
        <v>3</v>
      </c>
      <c r="KB17" s="444">
        <v>50</v>
      </c>
      <c r="KC17" s="377"/>
      <c r="KD17" s="373"/>
      <c r="KE17" s="444"/>
      <c r="KF17" s="377"/>
      <c r="KG17" s="373">
        <v>1</v>
      </c>
      <c r="KH17" s="444">
        <v>0</v>
      </c>
      <c r="KI17" s="377"/>
      <c r="KJ17" s="373"/>
      <c r="KK17" s="444" t="s">
        <v>6</v>
      </c>
      <c r="KL17" s="377"/>
      <c r="KM17" s="373"/>
      <c r="KN17" s="444" t="s">
        <v>6</v>
      </c>
      <c r="KO17" s="377"/>
      <c r="KP17" s="373"/>
      <c r="KQ17" s="444"/>
      <c r="KR17" s="377">
        <v>75</v>
      </c>
      <c r="KS17" s="373">
        <v>999</v>
      </c>
      <c r="KT17" s="444">
        <v>7</v>
      </c>
      <c r="KU17" s="377">
        <v>95</v>
      </c>
      <c r="KV17" s="373">
        <v>530</v>
      </c>
      <c r="KW17" s="444">
        <v>15.2</v>
      </c>
      <c r="KX17" s="377">
        <v>212</v>
      </c>
      <c r="KY17" s="373">
        <v>447</v>
      </c>
      <c r="KZ17" s="444">
        <v>32.200000000000003</v>
      </c>
      <c r="LA17" s="377"/>
      <c r="LB17" s="373"/>
      <c r="LC17" s="444"/>
      <c r="LD17" s="377">
        <v>490</v>
      </c>
      <c r="LE17" s="373">
        <v>2813</v>
      </c>
      <c r="LF17" s="444">
        <v>14.8</v>
      </c>
      <c r="LG17" s="377">
        <v>686</v>
      </c>
      <c r="LH17" s="373">
        <v>1901</v>
      </c>
      <c r="LI17" s="444">
        <v>26.5</v>
      </c>
      <c r="LJ17" s="377">
        <v>1290</v>
      </c>
      <c r="LK17" s="373">
        <v>1803</v>
      </c>
      <c r="LL17" s="444">
        <v>41.7</v>
      </c>
      <c r="LM17" s="377"/>
      <c r="LN17" s="373"/>
      <c r="LO17" s="444"/>
    </row>
    <row r="18" spans="1:327" x14ac:dyDescent="0.2">
      <c r="A18" s="1001"/>
      <c r="B18" s="747"/>
      <c r="C18" s="151" t="s">
        <v>642</v>
      </c>
      <c r="D18" s="377"/>
      <c r="E18" s="373"/>
      <c r="F18" s="444" t="s">
        <v>6</v>
      </c>
      <c r="G18" s="377"/>
      <c r="H18" s="373"/>
      <c r="I18" s="444" t="s">
        <v>6</v>
      </c>
      <c r="J18" s="377"/>
      <c r="K18" s="373"/>
      <c r="L18" s="444" t="s">
        <v>6</v>
      </c>
      <c r="M18" s="377"/>
      <c r="N18" s="373"/>
      <c r="O18" s="444"/>
      <c r="P18" s="377"/>
      <c r="Q18" s="373"/>
      <c r="R18" s="444" t="s">
        <v>6</v>
      </c>
      <c r="S18" s="377"/>
      <c r="T18" s="373"/>
      <c r="U18" s="444" t="s">
        <v>6</v>
      </c>
      <c r="V18" s="377"/>
      <c r="W18" s="373"/>
      <c r="X18" s="444" t="s">
        <v>6</v>
      </c>
      <c r="Y18" s="377"/>
      <c r="Z18" s="373"/>
      <c r="AA18" s="444"/>
      <c r="AB18" s="377"/>
      <c r="AC18" s="373"/>
      <c r="AD18" s="444" t="s">
        <v>6</v>
      </c>
      <c r="AE18" s="377"/>
      <c r="AF18" s="373"/>
      <c r="AG18" s="444" t="s">
        <v>6</v>
      </c>
      <c r="AH18" s="377"/>
      <c r="AI18" s="373"/>
      <c r="AJ18" s="444" t="s">
        <v>6</v>
      </c>
      <c r="AK18" s="377"/>
      <c r="AL18" s="373"/>
      <c r="AM18" s="444"/>
      <c r="AN18" s="377">
        <v>40</v>
      </c>
      <c r="AO18" s="373">
        <v>13</v>
      </c>
      <c r="AP18" s="444">
        <v>75.5</v>
      </c>
      <c r="AQ18" s="377">
        <v>31</v>
      </c>
      <c r="AR18" s="373">
        <v>22</v>
      </c>
      <c r="AS18" s="444">
        <v>58.5</v>
      </c>
      <c r="AT18" s="377">
        <v>38</v>
      </c>
      <c r="AU18" s="373">
        <v>18</v>
      </c>
      <c r="AV18" s="444">
        <v>67.900000000000006</v>
      </c>
      <c r="AW18" s="377"/>
      <c r="AX18" s="373"/>
      <c r="AY18" s="444"/>
      <c r="AZ18" s="377">
        <v>24</v>
      </c>
      <c r="BA18" s="373">
        <v>13</v>
      </c>
      <c r="BB18" s="444">
        <v>64.900000000000006</v>
      </c>
      <c r="BC18" s="377">
        <v>21</v>
      </c>
      <c r="BD18" s="373">
        <v>21</v>
      </c>
      <c r="BE18" s="444">
        <v>50</v>
      </c>
      <c r="BF18" s="377">
        <v>15</v>
      </c>
      <c r="BG18" s="373">
        <v>15</v>
      </c>
      <c r="BH18" s="444">
        <v>50</v>
      </c>
      <c r="BI18" s="377"/>
      <c r="BJ18" s="373"/>
      <c r="BK18" s="444"/>
      <c r="BL18" s="377"/>
      <c r="BM18" s="373"/>
      <c r="BN18" s="444" t="s">
        <v>6</v>
      </c>
      <c r="BO18" s="377"/>
      <c r="BP18" s="373"/>
      <c r="BQ18" s="444" t="s">
        <v>6</v>
      </c>
      <c r="BR18" s="377"/>
      <c r="BS18" s="373"/>
      <c r="BT18" s="444" t="s">
        <v>6</v>
      </c>
      <c r="BU18" s="377"/>
      <c r="BV18" s="373"/>
      <c r="BW18" s="444"/>
      <c r="BX18" s="377">
        <v>3</v>
      </c>
      <c r="BY18" s="373"/>
      <c r="BZ18" s="444">
        <v>100</v>
      </c>
      <c r="CA18" s="377"/>
      <c r="CB18" s="373"/>
      <c r="CC18" s="444" t="s">
        <v>6</v>
      </c>
      <c r="CD18" s="377">
        <v>1</v>
      </c>
      <c r="CE18" s="373"/>
      <c r="CF18" s="444">
        <v>100</v>
      </c>
      <c r="CG18" s="377"/>
      <c r="CH18" s="373"/>
      <c r="CI18" s="444"/>
      <c r="CJ18" s="377"/>
      <c r="CK18" s="373"/>
      <c r="CL18" s="444" t="s">
        <v>6</v>
      </c>
      <c r="CM18" s="377"/>
      <c r="CN18" s="373"/>
      <c r="CO18" s="444" t="s">
        <v>6</v>
      </c>
      <c r="CP18" s="377"/>
      <c r="CQ18" s="373"/>
      <c r="CR18" s="444" t="s">
        <v>6</v>
      </c>
      <c r="CS18" s="377"/>
      <c r="CT18" s="373"/>
      <c r="CU18" s="444"/>
      <c r="CV18" s="377">
        <v>58</v>
      </c>
      <c r="CW18" s="373">
        <v>39</v>
      </c>
      <c r="CX18" s="444">
        <v>59.8</v>
      </c>
      <c r="CY18" s="377">
        <v>28</v>
      </c>
      <c r="CZ18" s="373">
        <v>34</v>
      </c>
      <c r="DA18" s="444">
        <v>45.2</v>
      </c>
      <c r="DB18" s="377">
        <v>66</v>
      </c>
      <c r="DC18" s="373">
        <v>36</v>
      </c>
      <c r="DD18" s="444">
        <v>64.7</v>
      </c>
      <c r="DE18" s="377"/>
      <c r="DF18" s="373"/>
      <c r="DG18" s="444"/>
      <c r="DH18" s="377">
        <v>1</v>
      </c>
      <c r="DI18" s="373">
        <v>1</v>
      </c>
      <c r="DJ18" s="444">
        <v>50</v>
      </c>
      <c r="DK18" s="377">
        <v>4</v>
      </c>
      <c r="DL18" s="373">
        <v>2</v>
      </c>
      <c r="DM18" s="444">
        <v>66.7</v>
      </c>
      <c r="DN18" s="377">
        <v>1</v>
      </c>
      <c r="DO18" s="373">
        <v>1</v>
      </c>
      <c r="DP18" s="444">
        <v>50</v>
      </c>
      <c r="DQ18" s="377"/>
      <c r="DR18" s="373"/>
      <c r="DS18" s="444"/>
      <c r="DT18" s="377"/>
      <c r="DU18" s="373">
        <v>2</v>
      </c>
      <c r="DV18" s="444">
        <v>0</v>
      </c>
      <c r="DW18" s="377">
        <v>2</v>
      </c>
      <c r="DX18" s="373">
        <v>1</v>
      </c>
      <c r="DY18" s="444">
        <v>66.7</v>
      </c>
      <c r="DZ18" s="377">
        <v>3</v>
      </c>
      <c r="EA18" s="373">
        <v>3</v>
      </c>
      <c r="EB18" s="444">
        <v>50</v>
      </c>
      <c r="EC18" s="377"/>
      <c r="ED18" s="373"/>
      <c r="EE18" s="444"/>
      <c r="EF18" s="377">
        <v>104</v>
      </c>
      <c r="EG18" s="373">
        <v>1962</v>
      </c>
      <c r="EH18" s="444">
        <v>5</v>
      </c>
      <c r="EI18" s="377">
        <v>138</v>
      </c>
      <c r="EJ18" s="373">
        <v>1425</v>
      </c>
      <c r="EK18" s="444">
        <v>8.8000000000000007</v>
      </c>
      <c r="EL18" s="377">
        <v>179</v>
      </c>
      <c r="EM18" s="373">
        <v>1196</v>
      </c>
      <c r="EN18" s="444">
        <v>13</v>
      </c>
      <c r="EO18" s="377"/>
      <c r="EP18" s="373"/>
      <c r="EQ18" s="444"/>
      <c r="ER18" s="377">
        <v>8</v>
      </c>
      <c r="ES18" s="373">
        <v>219</v>
      </c>
      <c r="ET18" s="444">
        <v>3.5</v>
      </c>
      <c r="EU18" s="377">
        <v>1</v>
      </c>
      <c r="EV18" s="373">
        <v>151</v>
      </c>
      <c r="EW18" s="444">
        <v>0.7</v>
      </c>
      <c r="EX18" s="377">
        <v>2</v>
      </c>
      <c r="EY18" s="373">
        <v>93</v>
      </c>
      <c r="EZ18" s="444">
        <v>2.1</v>
      </c>
      <c r="FA18" s="377"/>
      <c r="FB18" s="373"/>
      <c r="FC18" s="444"/>
      <c r="FD18" s="377">
        <v>3</v>
      </c>
      <c r="FE18" s="373">
        <v>362</v>
      </c>
      <c r="FF18" s="444">
        <v>0.8</v>
      </c>
      <c r="FG18" s="377">
        <v>15</v>
      </c>
      <c r="FH18" s="373">
        <v>220</v>
      </c>
      <c r="FI18" s="444">
        <v>6.4</v>
      </c>
      <c r="FJ18" s="377">
        <v>33</v>
      </c>
      <c r="FK18" s="373">
        <v>233</v>
      </c>
      <c r="FL18" s="444">
        <v>12.4</v>
      </c>
      <c r="FM18" s="377"/>
      <c r="FN18" s="373"/>
      <c r="FO18" s="444"/>
      <c r="FP18" s="377">
        <v>6</v>
      </c>
      <c r="FQ18" s="373">
        <v>415</v>
      </c>
      <c r="FR18" s="444">
        <v>1.4</v>
      </c>
      <c r="FS18" s="377">
        <v>34</v>
      </c>
      <c r="FT18" s="373">
        <v>278</v>
      </c>
      <c r="FU18" s="444">
        <v>10.9</v>
      </c>
      <c r="FV18" s="377">
        <v>9</v>
      </c>
      <c r="FW18" s="373">
        <v>178</v>
      </c>
      <c r="FX18" s="444">
        <v>4.8</v>
      </c>
      <c r="FY18" s="377"/>
      <c r="FZ18" s="373"/>
      <c r="GA18" s="444"/>
      <c r="GB18" s="377">
        <v>16</v>
      </c>
      <c r="GC18" s="373">
        <v>11</v>
      </c>
      <c r="GD18" s="444">
        <v>59.3</v>
      </c>
      <c r="GE18" s="377">
        <v>21</v>
      </c>
      <c r="GF18" s="373">
        <v>10</v>
      </c>
      <c r="GG18" s="444">
        <v>67.7</v>
      </c>
      <c r="GH18" s="377">
        <v>8</v>
      </c>
      <c r="GI18" s="373">
        <v>11</v>
      </c>
      <c r="GJ18" s="444">
        <v>42.1</v>
      </c>
      <c r="GK18" s="377"/>
      <c r="GL18" s="373"/>
      <c r="GM18" s="444"/>
      <c r="GN18" s="377">
        <v>5</v>
      </c>
      <c r="GO18" s="373">
        <v>46</v>
      </c>
      <c r="GP18" s="444">
        <v>9.8000000000000007</v>
      </c>
      <c r="GQ18" s="377">
        <v>3</v>
      </c>
      <c r="GR18" s="373">
        <v>29</v>
      </c>
      <c r="GS18" s="444">
        <v>9.4</v>
      </c>
      <c r="GT18" s="377">
        <v>6</v>
      </c>
      <c r="GU18" s="373">
        <v>31</v>
      </c>
      <c r="GV18" s="444">
        <v>16.2</v>
      </c>
      <c r="GW18" s="377"/>
      <c r="GX18" s="373"/>
      <c r="GY18" s="444"/>
      <c r="GZ18" s="377">
        <v>3</v>
      </c>
      <c r="HA18" s="373">
        <v>1</v>
      </c>
      <c r="HB18" s="444">
        <v>75</v>
      </c>
      <c r="HC18" s="377">
        <v>2</v>
      </c>
      <c r="HD18" s="373">
        <v>1</v>
      </c>
      <c r="HE18" s="444">
        <v>66.7</v>
      </c>
      <c r="HF18" s="377">
        <v>3</v>
      </c>
      <c r="HG18" s="373"/>
      <c r="HH18" s="444">
        <v>100</v>
      </c>
      <c r="HI18" s="377"/>
      <c r="HJ18" s="373"/>
      <c r="HK18" s="444"/>
      <c r="HL18" s="377">
        <v>12</v>
      </c>
      <c r="HM18" s="373">
        <v>155</v>
      </c>
      <c r="HN18" s="444">
        <v>7.2</v>
      </c>
      <c r="HO18" s="377">
        <v>16</v>
      </c>
      <c r="HP18" s="373">
        <v>153</v>
      </c>
      <c r="HQ18" s="444">
        <v>9.5</v>
      </c>
      <c r="HR18" s="377">
        <v>14</v>
      </c>
      <c r="HS18" s="373">
        <v>179</v>
      </c>
      <c r="HT18" s="444">
        <v>7.3</v>
      </c>
      <c r="HU18" s="377"/>
      <c r="HV18" s="373"/>
      <c r="HW18" s="444"/>
      <c r="HX18" s="377">
        <v>6</v>
      </c>
      <c r="HY18" s="373">
        <v>2</v>
      </c>
      <c r="HZ18" s="444">
        <v>75</v>
      </c>
      <c r="IA18" s="377">
        <v>2</v>
      </c>
      <c r="IB18" s="373">
        <v>1</v>
      </c>
      <c r="IC18" s="444">
        <v>66.7</v>
      </c>
      <c r="ID18" s="377">
        <v>1</v>
      </c>
      <c r="IE18" s="373"/>
      <c r="IF18" s="444">
        <v>100</v>
      </c>
      <c r="IG18" s="377"/>
      <c r="IH18" s="373"/>
      <c r="II18" s="444"/>
      <c r="IJ18" s="377">
        <v>4</v>
      </c>
      <c r="IK18" s="373">
        <v>5</v>
      </c>
      <c r="IL18" s="444">
        <v>44.4</v>
      </c>
      <c r="IM18" s="377">
        <v>1</v>
      </c>
      <c r="IN18" s="373">
        <v>2</v>
      </c>
      <c r="IO18" s="444">
        <v>33.299999999999997</v>
      </c>
      <c r="IP18" s="377">
        <v>4</v>
      </c>
      <c r="IQ18" s="373">
        <v>6</v>
      </c>
      <c r="IR18" s="444">
        <v>40</v>
      </c>
      <c r="IS18" s="377"/>
      <c r="IT18" s="373"/>
      <c r="IU18" s="444"/>
      <c r="IV18" s="377">
        <v>252</v>
      </c>
      <c r="IW18" s="373">
        <v>2237</v>
      </c>
      <c r="IX18" s="444">
        <v>10.1</v>
      </c>
      <c r="IY18" s="377">
        <v>248</v>
      </c>
      <c r="IZ18" s="373">
        <v>1680</v>
      </c>
      <c r="JA18" s="444">
        <v>12.9</v>
      </c>
      <c r="JB18" s="377">
        <v>324</v>
      </c>
      <c r="JC18" s="373">
        <v>1481</v>
      </c>
      <c r="JD18" s="444">
        <v>18</v>
      </c>
      <c r="JE18" s="377"/>
      <c r="JF18" s="373"/>
      <c r="JG18" s="444"/>
      <c r="JH18" s="377">
        <v>86</v>
      </c>
      <c r="JI18" s="373">
        <v>962</v>
      </c>
      <c r="JJ18" s="444">
        <v>8.1999999999999993</v>
      </c>
      <c r="JK18" s="377">
        <v>75</v>
      </c>
      <c r="JL18" s="373">
        <v>711</v>
      </c>
      <c r="JM18" s="444">
        <v>9.5</v>
      </c>
      <c r="JN18" s="377">
        <v>136</v>
      </c>
      <c r="JO18" s="373">
        <v>539</v>
      </c>
      <c r="JP18" s="444">
        <v>20.100000000000001</v>
      </c>
      <c r="JQ18" s="377"/>
      <c r="JR18" s="373"/>
      <c r="JS18" s="444"/>
      <c r="JT18" s="377"/>
      <c r="JU18" s="373">
        <v>13</v>
      </c>
      <c r="JV18" s="444">
        <v>0</v>
      </c>
      <c r="JW18" s="377">
        <v>1</v>
      </c>
      <c r="JX18" s="373">
        <v>9</v>
      </c>
      <c r="JY18" s="444">
        <v>10</v>
      </c>
      <c r="JZ18" s="377">
        <v>6</v>
      </c>
      <c r="KA18" s="373">
        <v>4</v>
      </c>
      <c r="KB18" s="444">
        <v>60</v>
      </c>
      <c r="KC18" s="377"/>
      <c r="KD18" s="373"/>
      <c r="KE18" s="444"/>
      <c r="KF18" s="377"/>
      <c r="KG18" s="373"/>
      <c r="KH18" s="444" t="s">
        <v>6</v>
      </c>
      <c r="KI18" s="377"/>
      <c r="KJ18" s="373"/>
      <c r="KK18" s="444" t="s">
        <v>6</v>
      </c>
      <c r="KL18" s="377"/>
      <c r="KM18" s="373">
        <v>1</v>
      </c>
      <c r="KN18" s="444">
        <v>0</v>
      </c>
      <c r="KO18" s="377"/>
      <c r="KP18" s="373"/>
      <c r="KQ18" s="444"/>
      <c r="KR18" s="377">
        <v>112</v>
      </c>
      <c r="KS18" s="373">
        <v>982</v>
      </c>
      <c r="KT18" s="444">
        <v>10.199999999999999</v>
      </c>
      <c r="KU18" s="377">
        <v>92</v>
      </c>
      <c r="KV18" s="373">
        <v>728</v>
      </c>
      <c r="KW18" s="444">
        <v>11.2</v>
      </c>
      <c r="KX18" s="377">
        <v>204</v>
      </c>
      <c r="KY18" s="373">
        <v>554</v>
      </c>
      <c r="KZ18" s="444">
        <v>26.9</v>
      </c>
      <c r="LA18" s="377"/>
      <c r="LB18" s="373"/>
      <c r="LC18" s="444"/>
      <c r="LD18" s="377">
        <v>4604</v>
      </c>
      <c r="LE18" s="373">
        <v>2726</v>
      </c>
      <c r="LF18" s="444">
        <v>62.8</v>
      </c>
      <c r="LG18" s="377">
        <v>511</v>
      </c>
      <c r="LH18" s="373">
        <v>2102</v>
      </c>
      <c r="LI18" s="444">
        <v>19.600000000000001</v>
      </c>
      <c r="LJ18" s="377">
        <v>2219</v>
      </c>
      <c r="LK18" s="373">
        <v>1816</v>
      </c>
      <c r="LL18" s="444">
        <v>55</v>
      </c>
      <c r="LM18" s="377"/>
      <c r="LN18" s="373"/>
      <c r="LO18" s="444"/>
    </row>
    <row r="19" spans="1:327" x14ac:dyDescent="0.2">
      <c r="A19" s="1001"/>
      <c r="B19" s="747"/>
      <c r="C19" s="151" t="s">
        <v>643</v>
      </c>
      <c r="D19" s="377"/>
      <c r="E19" s="373"/>
      <c r="F19" s="444" t="s">
        <v>6</v>
      </c>
      <c r="G19" s="377"/>
      <c r="H19" s="373"/>
      <c r="I19" s="444" t="s">
        <v>6</v>
      </c>
      <c r="J19" s="377"/>
      <c r="K19" s="373"/>
      <c r="L19" s="444" t="s">
        <v>6</v>
      </c>
      <c r="M19" s="377"/>
      <c r="N19" s="373"/>
      <c r="O19" s="444"/>
      <c r="P19" s="377"/>
      <c r="Q19" s="373"/>
      <c r="R19" s="444" t="s">
        <v>6</v>
      </c>
      <c r="S19" s="377"/>
      <c r="T19" s="373"/>
      <c r="U19" s="444" t="s">
        <v>6</v>
      </c>
      <c r="V19" s="377"/>
      <c r="W19" s="373"/>
      <c r="X19" s="444" t="s">
        <v>6</v>
      </c>
      <c r="Y19" s="377"/>
      <c r="Z19" s="373"/>
      <c r="AA19" s="444"/>
      <c r="AB19" s="377"/>
      <c r="AC19" s="373"/>
      <c r="AD19" s="444" t="s">
        <v>6</v>
      </c>
      <c r="AE19" s="377"/>
      <c r="AF19" s="373"/>
      <c r="AG19" s="444" t="s">
        <v>6</v>
      </c>
      <c r="AH19" s="377"/>
      <c r="AI19" s="373"/>
      <c r="AJ19" s="444" t="s">
        <v>6</v>
      </c>
      <c r="AK19" s="377"/>
      <c r="AL19" s="373"/>
      <c r="AM19" s="444"/>
      <c r="AN19" s="377">
        <v>15</v>
      </c>
      <c r="AO19" s="373">
        <v>7</v>
      </c>
      <c r="AP19" s="444">
        <v>68.2</v>
      </c>
      <c r="AQ19" s="377">
        <v>13</v>
      </c>
      <c r="AR19" s="373">
        <v>9</v>
      </c>
      <c r="AS19" s="444">
        <v>59.1</v>
      </c>
      <c r="AT19" s="377">
        <v>24</v>
      </c>
      <c r="AU19" s="373">
        <v>6</v>
      </c>
      <c r="AV19" s="444">
        <v>80</v>
      </c>
      <c r="AW19" s="377"/>
      <c r="AX19" s="373"/>
      <c r="AY19" s="444"/>
      <c r="AZ19" s="377">
        <v>8</v>
      </c>
      <c r="BA19" s="373">
        <v>6</v>
      </c>
      <c r="BB19" s="444">
        <v>57.1</v>
      </c>
      <c r="BC19" s="377">
        <v>8</v>
      </c>
      <c r="BD19" s="373">
        <v>7</v>
      </c>
      <c r="BE19" s="444">
        <v>53.3</v>
      </c>
      <c r="BF19" s="377">
        <v>15</v>
      </c>
      <c r="BG19" s="373">
        <v>5</v>
      </c>
      <c r="BH19" s="444">
        <v>75</v>
      </c>
      <c r="BI19" s="377"/>
      <c r="BJ19" s="373"/>
      <c r="BK19" s="444"/>
      <c r="BL19" s="377"/>
      <c r="BM19" s="373"/>
      <c r="BN19" s="444" t="s">
        <v>6</v>
      </c>
      <c r="BO19" s="377"/>
      <c r="BP19" s="373"/>
      <c r="BQ19" s="444" t="s">
        <v>6</v>
      </c>
      <c r="BR19" s="377"/>
      <c r="BS19" s="373"/>
      <c r="BT19" s="444" t="s">
        <v>6</v>
      </c>
      <c r="BU19" s="377"/>
      <c r="BV19" s="373"/>
      <c r="BW19" s="444"/>
      <c r="BX19" s="377"/>
      <c r="BY19" s="373"/>
      <c r="BZ19" s="444" t="s">
        <v>6</v>
      </c>
      <c r="CA19" s="377"/>
      <c r="CB19" s="373"/>
      <c r="CC19" s="444" t="s">
        <v>6</v>
      </c>
      <c r="CD19" s="377"/>
      <c r="CE19" s="373"/>
      <c r="CF19" s="444" t="s">
        <v>6</v>
      </c>
      <c r="CG19" s="377"/>
      <c r="CH19" s="373"/>
      <c r="CI19" s="444"/>
      <c r="CJ19" s="377"/>
      <c r="CK19" s="373"/>
      <c r="CL19" s="444" t="s">
        <v>6</v>
      </c>
      <c r="CM19" s="377"/>
      <c r="CN19" s="373"/>
      <c r="CO19" s="444" t="s">
        <v>6</v>
      </c>
      <c r="CP19" s="377"/>
      <c r="CQ19" s="373"/>
      <c r="CR19" s="444" t="s">
        <v>6</v>
      </c>
      <c r="CS19" s="377"/>
      <c r="CT19" s="373"/>
      <c r="CU19" s="444"/>
      <c r="CV19" s="377">
        <v>14</v>
      </c>
      <c r="CW19" s="373">
        <v>22</v>
      </c>
      <c r="CX19" s="444">
        <v>38.9</v>
      </c>
      <c r="CY19" s="377">
        <v>23</v>
      </c>
      <c r="CZ19" s="373">
        <v>21</v>
      </c>
      <c r="DA19" s="444">
        <v>52.3</v>
      </c>
      <c r="DB19" s="377">
        <v>44</v>
      </c>
      <c r="DC19" s="373">
        <v>17</v>
      </c>
      <c r="DD19" s="444">
        <v>72.099999999999994</v>
      </c>
      <c r="DE19" s="377"/>
      <c r="DF19" s="373"/>
      <c r="DG19" s="444"/>
      <c r="DH19" s="377">
        <v>2</v>
      </c>
      <c r="DI19" s="373"/>
      <c r="DJ19" s="444">
        <v>100</v>
      </c>
      <c r="DK19" s="377">
        <v>2</v>
      </c>
      <c r="DL19" s="373">
        <v>1</v>
      </c>
      <c r="DM19" s="444">
        <v>66.7</v>
      </c>
      <c r="DN19" s="377">
        <v>1</v>
      </c>
      <c r="DO19" s="373"/>
      <c r="DP19" s="444">
        <v>100</v>
      </c>
      <c r="DQ19" s="377"/>
      <c r="DR19" s="373"/>
      <c r="DS19" s="444"/>
      <c r="DT19" s="377">
        <v>1</v>
      </c>
      <c r="DU19" s="373">
        <v>1</v>
      </c>
      <c r="DV19" s="444">
        <v>50</v>
      </c>
      <c r="DW19" s="377"/>
      <c r="DX19" s="373"/>
      <c r="DY19" s="444" t="s">
        <v>6</v>
      </c>
      <c r="DZ19" s="377">
        <v>2</v>
      </c>
      <c r="EA19" s="373"/>
      <c r="EB19" s="444">
        <v>100</v>
      </c>
      <c r="EC19" s="377"/>
      <c r="ED19" s="373"/>
      <c r="EE19" s="444"/>
      <c r="EF19" s="377">
        <v>75</v>
      </c>
      <c r="EG19" s="373">
        <v>583</v>
      </c>
      <c r="EH19" s="444">
        <v>11.4</v>
      </c>
      <c r="EI19" s="377">
        <v>43</v>
      </c>
      <c r="EJ19" s="373">
        <v>453</v>
      </c>
      <c r="EK19" s="444">
        <v>8.6999999999999993</v>
      </c>
      <c r="EL19" s="377">
        <v>62</v>
      </c>
      <c r="EM19" s="373">
        <v>373</v>
      </c>
      <c r="EN19" s="444">
        <v>14.3</v>
      </c>
      <c r="EO19" s="377"/>
      <c r="EP19" s="373"/>
      <c r="EQ19" s="444"/>
      <c r="ER19" s="377">
        <v>1</v>
      </c>
      <c r="ES19" s="373">
        <v>45</v>
      </c>
      <c r="ET19" s="444">
        <v>2.2000000000000002</v>
      </c>
      <c r="EU19" s="377">
        <v>1</v>
      </c>
      <c r="EV19" s="373">
        <v>42</v>
      </c>
      <c r="EW19" s="444">
        <v>2.2999999999999998</v>
      </c>
      <c r="EX19" s="377">
        <v>1</v>
      </c>
      <c r="EY19" s="373">
        <v>21</v>
      </c>
      <c r="EZ19" s="444">
        <v>4.5</v>
      </c>
      <c r="FA19" s="377"/>
      <c r="FB19" s="373"/>
      <c r="FC19" s="444"/>
      <c r="FD19" s="377"/>
      <c r="FE19" s="373">
        <v>27</v>
      </c>
      <c r="FF19" s="444">
        <v>0</v>
      </c>
      <c r="FG19" s="377">
        <v>4</v>
      </c>
      <c r="FH19" s="373">
        <v>36</v>
      </c>
      <c r="FI19" s="444">
        <v>10</v>
      </c>
      <c r="FJ19" s="377">
        <v>4</v>
      </c>
      <c r="FK19" s="373">
        <v>29</v>
      </c>
      <c r="FL19" s="444">
        <v>12.1</v>
      </c>
      <c r="FM19" s="377"/>
      <c r="FN19" s="373"/>
      <c r="FO19" s="444"/>
      <c r="FP19" s="377">
        <v>8</v>
      </c>
      <c r="FQ19" s="373">
        <v>158</v>
      </c>
      <c r="FR19" s="444">
        <v>4.8</v>
      </c>
      <c r="FS19" s="377">
        <v>7</v>
      </c>
      <c r="FT19" s="373">
        <v>83</v>
      </c>
      <c r="FU19" s="444">
        <v>7.8</v>
      </c>
      <c r="FV19" s="377">
        <v>7</v>
      </c>
      <c r="FW19" s="373">
        <v>66</v>
      </c>
      <c r="FX19" s="444">
        <v>9.6</v>
      </c>
      <c r="FY19" s="377"/>
      <c r="FZ19" s="373"/>
      <c r="GA19" s="444"/>
      <c r="GB19" s="377">
        <v>4</v>
      </c>
      <c r="GC19" s="373">
        <v>7</v>
      </c>
      <c r="GD19" s="444">
        <v>36.4</v>
      </c>
      <c r="GE19" s="377">
        <v>3</v>
      </c>
      <c r="GF19" s="373">
        <v>2</v>
      </c>
      <c r="GG19" s="444">
        <v>60</v>
      </c>
      <c r="GH19" s="377">
        <v>6</v>
      </c>
      <c r="GI19" s="373">
        <v>2</v>
      </c>
      <c r="GJ19" s="444">
        <v>75</v>
      </c>
      <c r="GK19" s="377"/>
      <c r="GL19" s="373"/>
      <c r="GM19" s="444"/>
      <c r="GN19" s="377"/>
      <c r="GO19" s="373">
        <v>10</v>
      </c>
      <c r="GP19" s="444">
        <v>0</v>
      </c>
      <c r="GQ19" s="377">
        <v>1</v>
      </c>
      <c r="GR19" s="373">
        <v>8</v>
      </c>
      <c r="GS19" s="444">
        <v>11.1</v>
      </c>
      <c r="GT19" s="377">
        <v>2</v>
      </c>
      <c r="GU19" s="373">
        <v>8</v>
      </c>
      <c r="GV19" s="444">
        <v>20</v>
      </c>
      <c r="GW19" s="377"/>
      <c r="GX19" s="373"/>
      <c r="GY19" s="444"/>
      <c r="GZ19" s="377">
        <v>1</v>
      </c>
      <c r="HA19" s="373"/>
      <c r="HB19" s="444">
        <v>100</v>
      </c>
      <c r="HC19" s="377"/>
      <c r="HD19" s="373"/>
      <c r="HE19" s="444" t="s">
        <v>6</v>
      </c>
      <c r="HF19" s="377"/>
      <c r="HG19" s="373">
        <v>2</v>
      </c>
      <c r="HH19" s="444">
        <v>0</v>
      </c>
      <c r="HI19" s="377"/>
      <c r="HJ19" s="373"/>
      <c r="HK19" s="444"/>
      <c r="HL19" s="377">
        <v>3</v>
      </c>
      <c r="HM19" s="373">
        <v>52</v>
      </c>
      <c r="HN19" s="444">
        <v>5.5</v>
      </c>
      <c r="HO19" s="377">
        <v>4</v>
      </c>
      <c r="HP19" s="373">
        <v>51</v>
      </c>
      <c r="HQ19" s="444">
        <v>7.3</v>
      </c>
      <c r="HR19" s="377">
        <v>8</v>
      </c>
      <c r="HS19" s="373">
        <v>49</v>
      </c>
      <c r="HT19" s="444">
        <v>14</v>
      </c>
      <c r="HU19" s="377"/>
      <c r="HV19" s="373"/>
      <c r="HW19" s="444"/>
      <c r="HX19" s="377">
        <v>1</v>
      </c>
      <c r="HY19" s="373"/>
      <c r="HZ19" s="444">
        <v>100</v>
      </c>
      <c r="IA19" s="377">
        <v>1</v>
      </c>
      <c r="IB19" s="373"/>
      <c r="IC19" s="444">
        <v>100</v>
      </c>
      <c r="ID19" s="377"/>
      <c r="IE19" s="373"/>
      <c r="IF19" s="444" t="s">
        <v>6</v>
      </c>
      <c r="IG19" s="377"/>
      <c r="IH19" s="373"/>
      <c r="II19" s="444"/>
      <c r="IJ19" s="377">
        <v>3</v>
      </c>
      <c r="IK19" s="373">
        <v>6</v>
      </c>
      <c r="IL19" s="444">
        <v>33.299999999999997</v>
      </c>
      <c r="IM19" s="377"/>
      <c r="IN19" s="373">
        <v>1</v>
      </c>
      <c r="IO19" s="444">
        <v>0</v>
      </c>
      <c r="IP19" s="377">
        <v>4</v>
      </c>
      <c r="IQ19" s="373">
        <v>5</v>
      </c>
      <c r="IR19" s="444">
        <v>44.4</v>
      </c>
      <c r="IS19" s="377"/>
      <c r="IT19" s="373"/>
      <c r="IU19" s="444"/>
      <c r="IV19" s="377">
        <v>119</v>
      </c>
      <c r="IW19" s="373">
        <v>688</v>
      </c>
      <c r="IX19" s="444">
        <v>14.7</v>
      </c>
      <c r="IY19" s="377">
        <v>90</v>
      </c>
      <c r="IZ19" s="373">
        <v>546</v>
      </c>
      <c r="JA19" s="444">
        <v>14.2</v>
      </c>
      <c r="JB19" s="377">
        <v>153</v>
      </c>
      <c r="JC19" s="373">
        <v>462</v>
      </c>
      <c r="JD19" s="444">
        <v>24.9</v>
      </c>
      <c r="JE19" s="377"/>
      <c r="JF19" s="373"/>
      <c r="JG19" s="444"/>
      <c r="JH19" s="377">
        <v>24</v>
      </c>
      <c r="JI19" s="373">
        <v>220</v>
      </c>
      <c r="JJ19" s="444">
        <v>9.8000000000000007</v>
      </c>
      <c r="JK19" s="377">
        <v>28</v>
      </c>
      <c r="JL19" s="373">
        <v>203</v>
      </c>
      <c r="JM19" s="444">
        <v>12.1</v>
      </c>
      <c r="JN19" s="377">
        <v>57</v>
      </c>
      <c r="JO19" s="373">
        <v>150</v>
      </c>
      <c r="JP19" s="444">
        <v>27.5</v>
      </c>
      <c r="JQ19" s="377"/>
      <c r="JR19" s="373"/>
      <c r="JS19" s="444"/>
      <c r="JT19" s="377">
        <v>1</v>
      </c>
      <c r="JU19" s="373">
        <v>4</v>
      </c>
      <c r="JV19" s="444">
        <v>20</v>
      </c>
      <c r="JW19" s="377">
        <v>3</v>
      </c>
      <c r="JX19" s="373">
        <v>3</v>
      </c>
      <c r="JY19" s="444">
        <v>50</v>
      </c>
      <c r="JZ19" s="377">
        <v>3</v>
      </c>
      <c r="KA19" s="373">
        <v>2</v>
      </c>
      <c r="KB19" s="444">
        <v>60</v>
      </c>
      <c r="KC19" s="377"/>
      <c r="KD19" s="373"/>
      <c r="KE19" s="444"/>
      <c r="KF19" s="377"/>
      <c r="KG19" s="373"/>
      <c r="KH19" s="444" t="s">
        <v>6</v>
      </c>
      <c r="KI19" s="377"/>
      <c r="KJ19" s="373"/>
      <c r="KK19" s="444" t="s">
        <v>6</v>
      </c>
      <c r="KL19" s="377"/>
      <c r="KM19" s="373"/>
      <c r="KN19" s="444" t="s">
        <v>6</v>
      </c>
      <c r="KO19" s="377"/>
      <c r="KP19" s="373"/>
      <c r="KQ19" s="444"/>
      <c r="KR19" s="377">
        <v>24</v>
      </c>
      <c r="KS19" s="373">
        <v>227</v>
      </c>
      <c r="KT19" s="444">
        <v>9.6</v>
      </c>
      <c r="KU19" s="377">
        <v>31</v>
      </c>
      <c r="KV19" s="373">
        <v>209</v>
      </c>
      <c r="KW19" s="444">
        <v>12.9</v>
      </c>
      <c r="KX19" s="377">
        <v>65</v>
      </c>
      <c r="KY19" s="373">
        <v>153</v>
      </c>
      <c r="KZ19" s="444">
        <v>29.8</v>
      </c>
      <c r="LA19" s="377"/>
      <c r="LB19" s="373"/>
      <c r="LC19" s="444"/>
      <c r="LD19" s="377">
        <v>176</v>
      </c>
      <c r="LE19" s="373">
        <v>873</v>
      </c>
      <c r="LF19" s="444">
        <v>16.8</v>
      </c>
      <c r="LG19" s="377">
        <v>147</v>
      </c>
      <c r="LH19" s="373">
        <v>720</v>
      </c>
      <c r="LI19" s="444">
        <v>17</v>
      </c>
      <c r="LJ19" s="377">
        <v>216</v>
      </c>
      <c r="LK19" s="373">
        <v>646</v>
      </c>
      <c r="LL19" s="444">
        <v>25.1</v>
      </c>
      <c r="LM19" s="377"/>
      <c r="LN19" s="373"/>
      <c r="LO19" s="444"/>
    </row>
    <row r="20" spans="1:327" x14ac:dyDescent="0.2">
      <c r="A20" s="1001"/>
      <c r="B20" s="747"/>
      <c r="C20" s="151" t="s">
        <v>644</v>
      </c>
      <c r="D20" s="377"/>
      <c r="E20" s="373"/>
      <c r="F20" s="444" t="s">
        <v>6</v>
      </c>
      <c r="G20" s="377"/>
      <c r="H20" s="373"/>
      <c r="I20" s="444" t="s">
        <v>6</v>
      </c>
      <c r="J20" s="377"/>
      <c r="K20" s="373"/>
      <c r="L20" s="444" t="s">
        <v>6</v>
      </c>
      <c r="M20" s="377"/>
      <c r="N20" s="373"/>
      <c r="O20" s="444"/>
      <c r="P20" s="377"/>
      <c r="Q20" s="373"/>
      <c r="R20" s="444" t="s">
        <v>6</v>
      </c>
      <c r="S20" s="377"/>
      <c r="T20" s="373"/>
      <c r="U20" s="444" t="s">
        <v>6</v>
      </c>
      <c r="V20" s="377"/>
      <c r="W20" s="373"/>
      <c r="X20" s="444" t="s">
        <v>6</v>
      </c>
      <c r="Y20" s="377"/>
      <c r="Z20" s="373"/>
      <c r="AA20" s="444"/>
      <c r="AB20" s="377"/>
      <c r="AC20" s="373"/>
      <c r="AD20" s="444" t="s">
        <v>6</v>
      </c>
      <c r="AE20" s="377"/>
      <c r="AF20" s="373"/>
      <c r="AG20" s="444" t="s">
        <v>6</v>
      </c>
      <c r="AH20" s="377"/>
      <c r="AI20" s="373"/>
      <c r="AJ20" s="444" t="s">
        <v>6</v>
      </c>
      <c r="AK20" s="377"/>
      <c r="AL20" s="373"/>
      <c r="AM20" s="444"/>
      <c r="AN20" s="377">
        <v>7</v>
      </c>
      <c r="AO20" s="373">
        <v>4</v>
      </c>
      <c r="AP20" s="444">
        <v>63.6</v>
      </c>
      <c r="AQ20" s="377">
        <v>4</v>
      </c>
      <c r="AR20" s="373">
        <v>1</v>
      </c>
      <c r="AS20" s="444">
        <v>80</v>
      </c>
      <c r="AT20" s="377">
        <v>4</v>
      </c>
      <c r="AU20" s="373">
        <v>2</v>
      </c>
      <c r="AV20" s="444">
        <v>66.7</v>
      </c>
      <c r="AW20" s="377"/>
      <c r="AX20" s="373"/>
      <c r="AY20" s="444"/>
      <c r="AZ20" s="377">
        <v>5</v>
      </c>
      <c r="BA20" s="373">
        <v>2</v>
      </c>
      <c r="BB20" s="444">
        <v>71.400000000000006</v>
      </c>
      <c r="BC20" s="377"/>
      <c r="BD20" s="373">
        <v>1</v>
      </c>
      <c r="BE20" s="444">
        <v>0</v>
      </c>
      <c r="BF20" s="377">
        <v>2</v>
      </c>
      <c r="BG20" s="373">
        <v>1</v>
      </c>
      <c r="BH20" s="444">
        <v>66.7</v>
      </c>
      <c r="BI20" s="377"/>
      <c r="BJ20" s="373"/>
      <c r="BK20" s="444"/>
      <c r="BL20" s="377"/>
      <c r="BM20" s="373"/>
      <c r="BN20" s="444" t="s">
        <v>6</v>
      </c>
      <c r="BO20" s="377"/>
      <c r="BP20" s="373"/>
      <c r="BQ20" s="444" t="s">
        <v>6</v>
      </c>
      <c r="BR20" s="377"/>
      <c r="BS20" s="373"/>
      <c r="BT20" s="444" t="s">
        <v>6</v>
      </c>
      <c r="BU20" s="377"/>
      <c r="BV20" s="373"/>
      <c r="BW20" s="444"/>
      <c r="BX20" s="377"/>
      <c r="BY20" s="373"/>
      <c r="BZ20" s="444" t="s">
        <v>6</v>
      </c>
      <c r="CA20" s="377"/>
      <c r="CB20" s="373"/>
      <c r="CC20" s="444" t="s">
        <v>6</v>
      </c>
      <c r="CD20" s="377"/>
      <c r="CE20" s="373"/>
      <c r="CF20" s="444" t="s">
        <v>6</v>
      </c>
      <c r="CG20" s="377"/>
      <c r="CH20" s="373"/>
      <c r="CI20" s="444"/>
      <c r="CJ20" s="377"/>
      <c r="CK20" s="373"/>
      <c r="CL20" s="444" t="s">
        <v>6</v>
      </c>
      <c r="CM20" s="377"/>
      <c r="CN20" s="373"/>
      <c r="CO20" s="444" t="s">
        <v>6</v>
      </c>
      <c r="CP20" s="377"/>
      <c r="CQ20" s="373"/>
      <c r="CR20" s="444" t="s">
        <v>6</v>
      </c>
      <c r="CS20" s="377"/>
      <c r="CT20" s="373"/>
      <c r="CU20" s="444"/>
      <c r="CV20" s="377">
        <v>4</v>
      </c>
      <c r="CW20" s="373">
        <v>18</v>
      </c>
      <c r="CX20" s="444">
        <v>18.2</v>
      </c>
      <c r="CY20" s="377">
        <v>7</v>
      </c>
      <c r="CZ20" s="373">
        <v>8</v>
      </c>
      <c r="DA20" s="444">
        <v>46.7</v>
      </c>
      <c r="DB20" s="377">
        <v>8</v>
      </c>
      <c r="DC20" s="373">
        <v>5</v>
      </c>
      <c r="DD20" s="444">
        <v>61.5</v>
      </c>
      <c r="DE20" s="377"/>
      <c r="DF20" s="373"/>
      <c r="DG20" s="444"/>
      <c r="DH20" s="377">
        <v>1</v>
      </c>
      <c r="DI20" s="373"/>
      <c r="DJ20" s="444">
        <v>100</v>
      </c>
      <c r="DK20" s="377"/>
      <c r="DL20" s="373">
        <v>1</v>
      </c>
      <c r="DM20" s="444">
        <v>0</v>
      </c>
      <c r="DN20" s="377"/>
      <c r="DO20" s="373"/>
      <c r="DP20" s="444" t="s">
        <v>6</v>
      </c>
      <c r="DQ20" s="377"/>
      <c r="DR20" s="373"/>
      <c r="DS20" s="444"/>
      <c r="DT20" s="377"/>
      <c r="DU20" s="373">
        <v>1</v>
      </c>
      <c r="DV20" s="444">
        <v>0</v>
      </c>
      <c r="DW20" s="377"/>
      <c r="DX20" s="373"/>
      <c r="DY20" s="444" t="s">
        <v>6</v>
      </c>
      <c r="DZ20" s="377"/>
      <c r="EA20" s="373"/>
      <c r="EB20" s="444" t="s">
        <v>6</v>
      </c>
      <c r="EC20" s="377"/>
      <c r="ED20" s="373"/>
      <c r="EE20" s="444"/>
      <c r="EF20" s="377">
        <v>30</v>
      </c>
      <c r="EG20" s="373">
        <v>418</v>
      </c>
      <c r="EH20" s="444">
        <v>6.7</v>
      </c>
      <c r="EI20" s="377">
        <v>30</v>
      </c>
      <c r="EJ20" s="373">
        <v>304</v>
      </c>
      <c r="EK20" s="444">
        <v>9</v>
      </c>
      <c r="EL20" s="377">
        <v>19</v>
      </c>
      <c r="EM20" s="373">
        <v>210</v>
      </c>
      <c r="EN20" s="444">
        <v>8.3000000000000007</v>
      </c>
      <c r="EO20" s="377"/>
      <c r="EP20" s="373"/>
      <c r="EQ20" s="444"/>
      <c r="ER20" s="377">
        <v>2</v>
      </c>
      <c r="ES20" s="373">
        <v>42</v>
      </c>
      <c r="ET20" s="444">
        <v>4.5</v>
      </c>
      <c r="EU20" s="377">
        <v>4</v>
      </c>
      <c r="EV20" s="373">
        <v>38</v>
      </c>
      <c r="EW20" s="444">
        <v>9.5</v>
      </c>
      <c r="EX20" s="377">
        <v>1</v>
      </c>
      <c r="EY20" s="373">
        <v>21</v>
      </c>
      <c r="EZ20" s="444">
        <v>4.5</v>
      </c>
      <c r="FA20" s="377"/>
      <c r="FB20" s="373"/>
      <c r="FC20" s="444"/>
      <c r="FD20" s="377"/>
      <c r="FE20" s="373">
        <v>24</v>
      </c>
      <c r="FF20" s="444">
        <v>0</v>
      </c>
      <c r="FG20" s="377">
        <v>3</v>
      </c>
      <c r="FH20" s="373">
        <v>17</v>
      </c>
      <c r="FI20" s="444">
        <v>15</v>
      </c>
      <c r="FJ20" s="377">
        <v>1</v>
      </c>
      <c r="FK20" s="373">
        <v>14</v>
      </c>
      <c r="FL20" s="444">
        <v>6.7</v>
      </c>
      <c r="FM20" s="377"/>
      <c r="FN20" s="373"/>
      <c r="FO20" s="444"/>
      <c r="FP20" s="377">
        <v>2</v>
      </c>
      <c r="FQ20" s="373">
        <v>124</v>
      </c>
      <c r="FR20" s="444">
        <v>1.6</v>
      </c>
      <c r="FS20" s="377">
        <v>9</v>
      </c>
      <c r="FT20" s="373">
        <v>78</v>
      </c>
      <c r="FU20" s="444">
        <v>10.3</v>
      </c>
      <c r="FV20" s="377">
        <v>4</v>
      </c>
      <c r="FW20" s="373">
        <v>44</v>
      </c>
      <c r="FX20" s="444">
        <v>8.3000000000000007</v>
      </c>
      <c r="FY20" s="377"/>
      <c r="FZ20" s="373"/>
      <c r="GA20" s="444"/>
      <c r="GB20" s="377">
        <v>5</v>
      </c>
      <c r="GC20" s="373"/>
      <c r="GD20" s="444">
        <v>100</v>
      </c>
      <c r="GE20" s="377">
        <v>1</v>
      </c>
      <c r="GF20" s="373">
        <v>1</v>
      </c>
      <c r="GG20" s="444">
        <v>50</v>
      </c>
      <c r="GH20" s="377">
        <v>4</v>
      </c>
      <c r="GI20" s="373"/>
      <c r="GJ20" s="444">
        <v>100</v>
      </c>
      <c r="GK20" s="377"/>
      <c r="GL20" s="373"/>
      <c r="GM20" s="444"/>
      <c r="GN20" s="377"/>
      <c r="GO20" s="373">
        <v>5</v>
      </c>
      <c r="GP20" s="444">
        <v>0</v>
      </c>
      <c r="GQ20" s="377">
        <v>3</v>
      </c>
      <c r="GR20" s="373">
        <v>9</v>
      </c>
      <c r="GS20" s="444">
        <v>25</v>
      </c>
      <c r="GT20" s="377">
        <v>1</v>
      </c>
      <c r="GU20" s="373">
        <v>7</v>
      </c>
      <c r="GV20" s="444">
        <v>12.5</v>
      </c>
      <c r="GW20" s="377"/>
      <c r="GX20" s="373"/>
      <c r="GY20" s="444"/>
      <c r="GZ20" s="377">
        <v>1</v>
      </c>
      <c r="HA20" s="373"/>
      <c r="HB20" s="444">
        <v>100</v>
      </c>
      <c r="HC20" s="377">
        <v>1</v>
      </c>
      <c r="HD20" s="373"/>
      <c r="HE20" s="444">
        <v>100</v>
      </c>
      <c r="HF20" s="377"/>
      <c r="HG20" s="373"/>
      <c r="HH20" s="444" t="s">
        <v>6</v>
      </c>
      <c r="HI20" s="377"/>
      <c r="HJ20" s="373"/>
      <c r="HK20" s="444"/>
      <c r="HL20" s="377">
        <v>2</v>
      </c>
      <c r="HM20" s="373">
        <v>43</v>
      </c>
      <c r="HN20" s="444">
        <v>4.4000000000000004</v>
      </c>
      <c r="HO20" s="377">
        <v>3</v>
      </c>
      <c r="HP20" s="373">
        <v>33</v>
      </c>
      <c r="HQ20" s="444">
        <v>8.3000000000000007</v>
      </c>
      <c r="HR20" s="377">
        <v>3</v>
      </c>
      <c r="HS20" s="373">
        <v>33</v>
      </c>
      <c r="HT20" s="444">
        <v>8.3000000000000007</v>
      </c>
      <c r="HU20" s="377"/>
      <c r="HV20" s="373"/>
      <c r="HW20" s="444"/>
      <c r="HX20" s="377"/>
      <c r="HY20" s="373"/>
      <c r="HZ20" s="444" t="s">
        <v>6</v>
      </c>
      <c r="IA20" s="377"/>
      <c r="IB20" s="373"/>
      <c r="IC20" s="444" t="s">
        <v>6</v>
      </c>
      <c r="ID20" s="377"/>
      <c r="IE20" s="373"/>
      <c r="IF20" s="444" t="s">
        <v>6</v>
      </c>
      <c r="IG20" s="377"/>
      <c r="IH20" s="373"/>
      <c r="II20" s="444"/>
      <c r="IJ20" s="377"/>
      <c r="IK20" s="373">
        <v>4</v>
      </c>
      <c r="IL20" s="444">
        <v>0</v>
      </c>
      <c r="IM20" s="377">
        <v>1</v>
      </c>
      <c r="IN20" s="373">
        <v>7</v>
      </c>
      <c r="IO20" s="444">
        <v>12.5</v>
      </c>
      <c r="IP20" s="377">
        <v>1</v>
      </c>
      <c r="IQ20" s="373">
        <v>5</v>
      </c>
      <c r="IR20" s="444">
        <v>16.7</v>
      </c>
      <c r="IS20" s="377"/>
      <c r="IT20" s="373"/>
      <c r="IU20" s="444"/>
      <c r="IV20" s="377">
        <v>50</v>
      </c>
      <c r="IW20" s="373">
        <v>493</v>
      </c>
      <c r="IX20" s="444">
        <v>9.1999999999999993</v>
      </c>
      <c r="IY20" s="377">
        <v>50</v>
      </c>
      <c r="IZ20" s="373">
        <v>364</v>
      </c>
      <c r="JA20" s="444">
        <v>12.1</v>
      </c>
      <c r="JB20" s="377">
        <v>40</v>
      </c>
      <c r="JC20" s="373">
        <v>262</v>
      </c>
      <c r="JD20" s="444">
        <v>13.2</v>
      </c>
      <c r="JE20" s="377"/>
      <c r="JF20" s="373"/>
      <c r="JG20" s="444"/>
      <c r="JH20" s="377">
        <v>20</v>
      </c>
      <c r="JI20" s="373">
        <v>84</v>
      </c>
      <c r="JJ20" s="444">
        <v>19.2</v>
      </c>
      <c r="JK20" s="377">
        <v>14</v>
      </c>
      <c r="JL20" s="373">
        <v>62</v>
      </c>
      <c r="JM20" s="444">
        <v>18.399999999999999</v>
      </c>
      <c r="JN20" s="377">
        <v>12</v>
      </c>
      <c r="JO20" s="373">
        <v>95</v>
      </c>
      <c r="JP20" s="444">
        <v>11.2</v>
      </c>
      <c r="JQ20" s="377"/>
      <c r="JR20" s="373"/>
      <c r="JS20" s="444"/>
      <c r="JT20" s="377"/>
      <c r="JU20" s="373">
        <v>2</v>
      </c>
      <c r="JV20" s="444">
        <v>0</v>
      </c>
      <c r="JW20" s="377"/>
      <c r="JX20" s="373">
        <v>1</v>
      </c>
      <c r="JY20" s="444">
        <v>0</v>
      </c>
      <c r="JZ20" s="377"/>
      <c r="KA20" s="373">
        <v>1</v>
      </c>
      <c r="KB20" s="444">
        <v>0</v>
      </c>
      <c r="KC20" s="377"/>
      <c r="KD20" s="373"/>
      <c r="KE20" s="444"/>
      <c r="KF20" s="377"/>
      <c r="KG20" s="373"/>
      <c r="KH20" s="444" t="s">
        <v>6</v>
      </c>
      <c r="KI20" s="377"/>
      <c r="KJ20" s="373"/>
      <c r="KK20" s="444" t="s">
        <v>6</v>
      </c>
      <c r="KL20" s="377"/>
      <c r="KM20" s="373"/>
      <c r="KN20" s="444" t="s">
        <v>6</v>
      </c>
      <c r="KO20" s="377"/>
      <c r="KP20" s="373"/>
      <c r="KQ20" s="444"/>
      <c r="KR20" s="377">
        <v>20</v>
      </c>
      <c r="KS20" s="373">
        <v>88</v>
      </c>
      <c r="KT20" s="444">
        <v>18.5</v>
      </c>
      <c r="KU20" s="377">
        <v>19</v>
      </c>
      <c r="KV20" s="373">
        <v>65</v>
      </c>
      <c r="KW20" s="444">
        <v>22.6</v>
      </c>
      <c r="KX20" s="377">
        <v>13</v>
      </c>
      <c r="KY20" s="373">
        <v>99</v>
      </c>
      <c r="KZ20" s="444">
        <v>11.6</v>
      </c>
      <c r="LA20" s="377"/>
      <c r="LB20" s="373"/>
      <c r="LC20" s="444"/>
      <c r="LD20" s="377">
        <v>120</v>
      </c>
      <c r="LE20" s="373">
        <v>634</v>
      </c>
      <c r="LF20" s="444">
        <v>15.9</v>
      </c>
      <c r="LG20" s="377">
        <v>158</v>
      </c>
      <c r="LH20" s="373">
        <v>507</v>
      </c>
      <c r="LI20" s="444">
        <v>23.8</v>
      </c>
      <c r="LJ20" s="377">
        <v>133</v>
      </c>
      <c r="LK20" s="373">
        <v>379</v>
      </c>
      <c r="LL20" s="444">
        <v>26</v>
      </c>
      <c r="LM20" s="377"/>
      <c r="LN20" s="373"/>
      <c r="LO20" s="444"/>
    </row>
    <row r="21" spans="1:327" x14ac:dyDescent="0.2">
      <c r="A21" s="1001"/>
      <c r="B21" s="747"/>
      <c r="C21" s="151" t="s">
        <v>645</v>
      </c>
      <c r="D21" s="377"/>
      <c r="E21" s="373"/>
      <c r="F21" s="444" t="s">
        <v>6</v>
      </c>
      <c r="G21" s="377"/>
      <c r="H21" s="373"/>
      <c r="I21" s="444" t="s">
        <v>6</v>
      </c>
      <c r="J21" s="377"/>
      <c r="K21" s="373"/>
      <c r="L21" s="444" t="s">
        <v>6</v>
      </c>
      <c r="M21" s="377"/>
      <c r="N21" s="373"/>
      <c r="O21" s="444"/>
      <c r="P21" s="377"/>
      <c r="Q21" s="373"/>
      <c r="R21" s="444" t="s">
        <v>6</v>
      </c>
      <c r="S21" s="377"/>
      <c r="T21" s="373"/>
      <c r="U21" s="444" t="s">
        <v>6</v>
      </c>
      <c r="V21" s="377"/>
      <c r="W21" s="373"/>
      <c r="X21" s="444" t="s">
        <v>6</v>
      </c>
      <c r="Y21" s="377"/>
      <c r="Z21" s="373"/>
      <c r="AA21" s="444"/>
      <c r="AB21" s="377"/>
      <c r="AC21" s="373"/>
      <c r="AD21" s="444" t="s">
        <v>6</v>
      </c>
      <c r="AE21" s="377"/>
      <c r="AF21" s="373"/>
      <c r="AG21" s="444" t="s">
        <v>6</v>
      </c>
      <c r="AH21" s="377"/>
      <c r="AI21" s="373"/>
      <c r="AJ21" s="444" t="s">
        <v>6</v>
      </c>
      <c r="AK21" s="377"/>
      <c r="AL21" s="373"/>
      <c r="AM21" s="444"/>
      <c r="AN21" s="377">
        <v>6</v>
      </c>
      <c r="AO21" s="373">
        <v>10</v>
      </c>
      <c r="AP21" s="444">
        <v>37.5</v>
      </c>
      <c r="AQ21" s="377">
        <v>12</v>
      </c>
      <c r="AR21" s="373">
        <v>3</v>
      </c>
      <c r="AS21" s="444">
        <v>80</v>
      </c>
      <c r="AT21" s="377">
        <v>30</v>
      </c>
      <c r="AU21" s="373">
        <v>6</v>
      </c>
      <c r="AV21" s="444">
        <v>83.3</v>
      </c>
      <c r="AW21" s="377"/>
      <c r="AX21" s="373"/>
      <c r="AY21" s="444"/>
      <c r="AZ21" s="377">
        <v>1</v>
      </c>
      <c r="BA21" s="373">
        <v>8</v>
      </c>
      <c r="BB21" s="444">
        <v>11.1</v>
      </c>
      <c r="BC21" s="377">
        <v>5</v>
      </c>
      <c r="BD21" s="373">
        <v>3</v>
      </c>
      <c r="BE21" s="444">
        <v>62.5</v>
      </c>
      <c r="BF21" s="377">
        <v>23</v>
      </c>
      <c r="BG21" s="373">
        <v>5</v>
      </c>
      <c r="BH21" s="444">
        <v>82.1</v>
      </c>
      <c r="BI21" s="377"/>
      <c r="BJ21" s="373"/>
      <c r="BK21" s="444"/>
      <c r="BL21" s="377"/>
      <c r="BM21" s="373"/>
      <c r="BN21" s="444" t="s">
        <v>6</v>
      </c>
      <c r="BO21" s="377"/>
      <c r="BP21" s="373"/>
      <c r="BQ21" s="444" t="s">
        <v>6</v>
      </c>
      <c r="BR21" s="377"/>
      <c r="BS21" s="373"/>
      <c r="BT21" s="444" t="s">
        <v>6</v>
      </c>
      <c r="BU21" s="377"/>
      <c r="BV21" s="373"/>
      <c r="BW21" s="444"/>
      <c r="BX21" s="377"/>
      <c r="BY21" s="373"/>
      <c r="BZ21" s="444" t="s">
        <v>6</v>
      </c>
      <c r="CA21" s="377"/>
      <c r="CB21" s="373"/>
      <c r="CC21" s="444" t="s">
        <v>6</v>
      </c>
      <c r="CD21" s="377"/>
      <c r="CE21" s="373"/>
      <c r="CF21" s="444" t="s">
        <v>6</v>
      </c>
      <c r="CG21" s="377"/>
      <c r="CH21" s="373"/>
      <c r="CI21" s="444"/>
      <c r="CJ21" s="377"/>
      <c r="CK21" s="373"/>
      <c r="CL21" s="444" t="s">
        <v>6</v>
      </c>
      <c r="CM21" s="377"/>
      <c r="CN21" s="373"/>
      <c r="CO21" s="444" t="s">
        <v>6</v>
      </c>
      <c r="CP21" s="377"/>
      <c r="CQ21" s="373"/>
      <c r="CR21" s="444" t="s">
        <v>6</v>
      </c>
      <c r="CS21" s="377"/>
      <c r="CT21" s="373"/>
      <c r="CU21" s="444"/>
      <c r="CV21" s="377">
        <v>5</v>
      </c>
      <c r="CW21" s="373">
        <v>16</v>
      </c>
      <c r="CX21" s="444">
        <v>23.8</v>
      </c>
      <c r="CY21" s="377">
        <v>17</v>
      </c>
      <c r="CZ21" s="373">
        <v>8</v>
      </c>
      <c r="DA21" s="444">
        <v>68</v>
      </c>
      <c r="DB21" s="377">
        <v>38</v>
      </c>
      <c r="DC21" s="373">
        <v>11</v>
      </c>
      <c r="DD21" s="444">
        <v>77.599999999999994</v>
      </c>
      <c r="DE21" s="377"/>
      <c r="DF21" s="373"/>
      <c r="DG21" s="444"/>
      <c r="DH21" s="377">
        <v>1</v>
      </c>
      <c r="DI21" s="373"/>
      <c r="DJ21" s="444">
        <v>100</v>
      </c>
      <c r="DK21" s="377"/>
      <c r="DL21" s="373">
        <v>1</v>
      </c>
      <c r="DM21" s="444">
        <v>0</v>
      </c>
      <c r="DN21" s="377"/>
      <c r="DO21" s="373"/>
      <c r="DP21" s="444" t="s">
        <v>6</v>
      </c>
      <c r="DQ21" s="377"/>
      <c r="DR21" s="373"/>
      <c r="DS21" s="444"/>
      <c r="DT21" s="377">
        <v>1</v>
      </c>
      <c r="DU21" s="373"/>
      <c r="DV21" s="444">
        <v>100</v>
      </c>
      <c r="DW21" s="377"/>
      <c r="DX21" s="373"/>
      <c r="DY21" s="444" t="s">
        <v>6</v>
      </c>
      <c r="DZ21" s="377">
        <v>1</v>
      </c>
      <c r="EA21" s="373"/>
      <c r="EB21" s="444">
        <v>100</v>
      </c>
      <c r="EC21" s="377"/>
      <c r="ED21" s="373"/>
      <c r="EE21" s="444"/>
      <c r="EF21" s="377">
        <v>15</v>
      </c>
      <c r="EG21" s="373">
        <v>439</v>
      </c>
      <c r="EH21" s="444">
        <v>3.3</v>
      </c>
      <c r="EI21" s="377">
        <v>63</v>
      </c>
      <c r="EJ21" s="373">
        <v>375</v>
      </c>
      <c r="EK21" s="444">
        <v>14.4</v>
      </c>
      <c r="EL21" s="377">
        <v>76</v>
      </c>
      <c r="EM21" s="373">
        <v>362</v>
      </c>
      <c r="EN21" s="444">
        <v>17.399999999999999</v>
      </c>
      <c r="EO21" s="377"/>
      <c r="EP21" s="373"/>
      <c r="EQ21" s="444"/>
      <c r="ER21" s="377">
        <v>5</v>
      </c>
      <c r="ES21" s="373">
        <v>51</v>
      </c>
      <c r="ET21" s="444">
        <v>8.9</v>
      </c>
      <c r="EU21" s="377">
        <v>2</v>
      </c>
      <c r="EV21" s="373">
        <v>39</v>
      </c>
      <c r="EW21" s="444">
        <v>4.9000000000000004</v>
      </c>
      <c r="EX21" s="377">
        <v>1</v>
      </c>
      <c r="EY21" s="373">
        <v>28</v>
      </c>
      <c r="EZ21" s="444">
        <v>3.4</v>
      </c>
      <c r="FA21" s="377"/>
      <c r="FB21" s="373"/>
      <c r="FC21" s="444"/>
      <c r="FD21" s="377"/>
      <c r="FE21" s="373">
        <v>25</v>
      </c>
      <c r="FF21" s="444">
        <v>0</v>
      </c>
      <c r="FG21" s="377">
        <v>1</v>
      </c>
      <c r="FH21" s="373">
        <v>28</v>
      </c>
      <c r="FI21" s="444">
        <v>3.4</v>
      </c>
      <c r="FJ21" s="377"/>
      <c r="FK21" s="373">
        <v>16</v>
      </c>
      <c r="FL21" s="444">
        <v>0</v>
      </c>
      <c r="FM21" s="377"/>
      <c r="FN21" s="373"/>
      <c r="FO21" s="444"/>
      <c r="FP21" s="377">
        <v>2</v>
      </c>
      <c r="FQ21" s="373">
        <v>93</v>
      </c>
      <c r="FR21" s="444">
        <v>2.1</v>
      </c>
      <c r="FS21" s="377">
        <v>2</v>
      </c>
      <c r="FT21" s="373">
        <v>85</v>
      </c>
      <c r="FU21" s="444">
        <v>2.2999999999999998</v>
      </c>
      <c r="FV21" s="377">
        <v>3</v>
      </c>
      <c r="FW21" s="373">
        <v>133</v>
      </c>
      <c r="FX21" s="444">
        <v>2.2000000000000002</v>
      </c>
      <c r="FY21" s="377"/>
      <c r="FZ21" s="373"/>
      <c r="GA21" s="444"/>
      <c r="GB21" s="377"/>
      <c r="GC21" s="373">
        <v>3</v>
      </c>
      <c r="GD21" s="444">
        <v>0</v>
      </c>
      <c r="GE21" s="377">
        <v>3</v>
      </c>
      <c r="GF21" s="373">
        <v>2</v>
      </c>
      <c r="GG21" s="444">
        <v>60</v>
      </c>
      <c r="GH21" s="377">
        <v>2</v>
      </c>
      <c r="GI21" s="373">
        <v>2</v>
      </c>
      <c r="GJ21" s="444">
        <v>50</v>
      </c>
      <c r="GK21" s="377"/>
      <c r="GL21" s="373"/>
      <c r="GM21" s="444"/>
      <c r="GN21" s="377">
        <v>1</v>
      </c>
      <c r="GO21" s="373">
        <v>17</v>
      </c>
      <c r="GP21" s="444">
        <v>5.6</v>
      </c>
      <c r="GQ21" s="377">
        <v>1</v>
      </c>
      <c r="GR21" s="373">
        <v>4</v>
      </c>
      <c r="GS21" s="444">
        <v>20</v>
      </c>
      <c r="GT21" s="377">
        <v>3</v>
      </c>
      <c r="GU21" s="373">
        <v>11</v>
      </c>
      <c r="GV21" s="444">
        <v>21.4</v>
      </c>
      <c r="GW21" s="377"/>
      <c r="GX21" s="373"/>
      <c r="GY21" s="444"/>
      <c r="GZ21" s="377"/>
      <c r="HA21" s="373"/>
      <c r="HB21" s="444" t="s">
        <v>6</v>
      </c>
      <c r="HC21" s="377"/>
      <c r="HD21" s="373">
        <v>1</v>
      </c>
      <c r="HE21" s="444">
        <v>0</v>
      </c>
      <c r="HF21" s="377">
        <v>1</v>
      </c>
      <c r="HG21" s="373"/>
      <c r="HH21" s="444">
        <v>100</v>
      </c>
      <c r="HI21" s="377"/>
      <c r="HJ21" s="373"/>
      <c r="HK21" s="444"/>
      <c r="HL21" s="377">
        <v>1</v>
      </c>
      <c r="HM21" s="373">
        <v>26</v>
      </c>
      <c r="HN21" s="444">
        <v>3.7</v>
      </c>
      <c r="HO21" s="377">
        <v>8</v>
      </c>
      <c r="HP21" s="373">
        <v>42</v>
      </c>
      <c r="HQ21" s="444">
        <v>16</v>
      </c>
      <c r="HR21" s="377">
        <v>7</v>
      </c>
      <c r="HS21" s="373">
        <v>49</v>
      </c>
      <c r="HT21" s="444">
        <v>12.5</v>
      </c>
      <c r="HU21" s="377"/>
      <c r="HV21" s="373"/>
      <c r="HW21" s="444"/>
      <c r="HX21" s="377"/>
      <c r="HY21" s="373"/>
      <c r="HZ21" s="444" t="s">
        <v>6</v>
      </c>
      <c r="IA21" s="377">
        <v>2</v>
      </c>
      <c r="IB21" s="373"/>
      <c r="IC21" s="444">
        <v>100</v>
      </c>
      <c r="ID21" s="377">
        <v>1</v>
      </c>
      <c r="IE21" s="373">
        <v>1</v>
      </c>
      <c r="IF21" s="444">
        <v>50</v>
      </c>
      <c r="IG21" s="377"/>
      <c r="IH21" s="373"/>
      <c r="II21" s="444"/>
      <c r="IJ21" s="377">
        <v>2</v>
      </c>
      <c r="IK21" s="373">
        <v>6</v>
      </c>
      <c r="IL21" s="444">
        <v>25</v>
      </c>
      <c r="IM21" s="377">
        <v>5</v>
      </c>
      <c r="IN21" s="373">
        <v>1</v>
      </c>
      <c r="IO21" s="444">
        <v>83.3</v>
      </c>
      <c r="IP21" s="377">
        <v>1</v>
      </c>
      <c r="IQ21" s="373">
        <v>2</v>
      </c>
      <c r="IR21" s="444">
        <v>33.299999999999997</v>
      </c>
      <c r="IS21" s="377"/>
      <c r="IT21" s="373"/>
      <c r="IU21" s="444"/>
      <c r="IV21" s="377">
        <v>32</v>
      </c>
      <c r="IW21" s="373">
        <v>517</v>
      </c>
      <c r="IX21" s="444">
        <v>5.8</v>
      </c>
      <c r="IY21" s="377">
        <v>111</v>
      </c>
      <c r="IZ21" s="373">
        <v>437</v>
      </c>
      <c r="JA21" s="444">
        <v>20.3</v>
      </c>
      <c r="JB21" s="377">
        <v>160</v>
      </c>
      <c r="JC21" s="373">
        <v>444</v>
      </c>
      <c r="JD21" s="444">
        <v>26.5</v>
      </c>
      <c r="JE21" s="377"/>
      <c r="JF21" s="373"/>
      <c r="JG21" s="444"/>
      <c r="JH21" s="377">
        <v>16</v>
      </c>
      <c r="JI21" s="373">
        <v>179</v>
      </c>
      <c r="JJ21" s="444">
        <v>8.1999999999999993</v>
      </c>
      <c r="JK21" s="377">
        <v>40</v>
      </c>
      <c r="JL21" s="373">
        <v>157</v>
      </c>
      <c r="JM21" s="444">
        <v>20.3</v>
      </c>
      <c r="JN21" s="377">
        <v>47</v>
      </c>
      <c r="JO21" s="373">
        <v>109</v>
      </c>
      <c r="JP21" s="444">
        <v>30.1</v>
      </c>
      <c r="JQ21" s="377"/>
      <c r="JR21" s="373"/>
      <c r="JS21" s="444"/>
      <c r="JT21" s="377"/>
      <c r="JU21" s="373">
        <v>5</v>
      </c>
      <c r="JV21" s="444">
        <v>0</v>
      </c>
      <c r="JW21" s="377"/>
      <c r="JX21" s="373">
        <v>3</v>
      </c>
      <c r="JY21" s="444">
        <v>0</v>
      </c>
      <c r="JZ21" s="377">
        <v>2</v>
      </c>
      <c r="KA21" s="373">
        <v>2</v>
      </c>
      <c r="KB21" s="444">
        <v>50</v>
      </c>
      <c r="KC21" s="377"/>
      <c r="KD21" s="373"/>
      <c r="KE21" s="444"/>
      <c r="KF21" s="377"/>
      <c r="KG21" s="373"/>
      <c r="KH21" s="444" t="s">
        <v>6</v>
      </c>
      <c r="KI21" s="377"/>
      <c r="KJ21" s="373"/>
      <c r="KK21" s="444" t="s">
        <v>6</v>
      </c>
      <c r="KL21" s="377"/>
      <c r="KM21" s="373"/>
      <c r="KN21" s="444" t="s">
        <v>6</v>
      </c>
      <c r="KO21" s="377"/>
      <c r="KP21" s="373"/>
      <c r="KQ21" s="444"/>
      <c r="KR21" s="377">
        <v>19</v>
      </c>
      <c r="KS21" s="373">
        <v>189</v>
      </c>
      <c r="KT21" s="444">
        <v>9.1</v>
      </c>
      <c r="KU21" s="377">
        <v>40</v>
      </c>
      <c r="KV21" s="373">
        <v>163</v>
      </c>
      <c r="KW21" s="444">
        <v>19.7</v>
      </c>
      <c r="KX21" s="377">
        <v>63</v>
      </c>
      <c r="KY21" s="373">
        <v>115</v>
      </c>
      <c r="KZ21" s="444">
        <v>35.4</v>
      </c>
      <c r="LA21" s="377"/>
      <c r="LB21" s="373"/>
      <c r="LC21" s="444"/>
      <c r="LD21" s="377">
        <v>128</v>
      </c>
      <c r="LE21" s="373">
        <v>643</v>
      </c>
      <c r="LF21" s="444">
        <v>16.600000000000001</v>
      </c>
      <c r="LG21" s="377">
        <v>181</v>
      </c>
      <c r="LH21" s="373">
        <v>601</v>
      </c>
      <c r="LI21" s="444">
        <v>23.1</v>
      </c>
      <c r="LJ21" s="377">
        <v>361</v>
      </c>
      <c r="LK21" s="373">
        <v>595</v>
      </c>
      <c r="LL21" s="444">
        <v>37.799999999999997</v>
      </c>
      <c r="LM21" s="377"/>
      <c r="LN21" s="373"/>
      <c r="LO21" s="444"/>
    </row>
    <row r="22" spans="1:327" x14ac:dyDescent="0.2">
      <c r="A22" s="1001"/>
      <c r="B22" s="747"/>
      <c r="C22" s="151" t="s">
        <v>646</v>
      </c>
      <c r="D22" s="377"/>
      <c r="E22" s="373"/>
      <c r="F22" s="444" t="s">
        <v>6</v>
      </c>
      <c r="G22" s="377"/>
      <c r="H22" s="373"/>
      <c r="I22" s="444" t="s">
        <v>6</v>
      </c>
      <c r="J22" s="377"/>
      <c r="K22" s="373"/>
      <c r="L22" s="444" t="s">
        <v>6</v>
      </c>
      <c r="M22" s="377"/>
      <c r="N22" s="373"/>
      <c r="O22" s="444"/>
      <c r="P22" s="377"/>
      <c r="Q22" s="373"/>
      <c r="R22" s="444" t="s">
        <v>6</v>
      </c>
      <c r="S22" s="377"/>
      <c r="T22" s="373"/>
      <c r="U22" s="444" t="s">
        <v>6</v>
      </c>
      <c r="V22" s="377"/>
      <c r="W22" s="373"/>
      <c r="X22" s="444" t="s">
        <v>6</v>
      </c>
      <c r="Y22" s="377"/>
      <c r="Z22" s="373"/>
      <c r="AA22" s="444"/>
      <c r="AB22" s="377"/>
      <c r="AC22" s="373"/>
      <c r="AD22" s="444" t="s">
        <v>6</v>
      </c>
      <c r="AE22" s="377"/>
      <c r="AF22" s="373"/>
      <c r="AG22" s="444" t="s">
        <v>6</v>
      </c>
      <c r="AH22" s="377"/>
      <c r="AI22" s="373"/>
      <c r="AJ22" s="444" t="s">
        <v>6</v>
      </c>
      <c r="AK22" s="377"/>
      <c r="AL22" s="373"/>
      <c r="AM22" s="444"/>
      <c r="AN22" s="377">
        <v>6</v>
      </c>
      <c r="AO22" s="373">
        <v>12</v>
      </c>
      <c r="AP22" s="444">
        <v>33.299999999999997</v>
      </c>
      <c r="AQ22" s="377">
        <v>9</v>
      </c>
      <c r="AR22" s="373">
        <v>7</v>
      </c>
      <c r="AS22" s="444">
        <v>56.3</v>
      </c>
      <c r="AT22" s="377">
        <v>26</v>
      </c>
      <c r="AU22" s="373">
        <v>7</v>
      </c>
      <c r="AV22" s="444">
        <v>78.8</v>
      </c>
      <c r="AW22" s="377"/>
      <c r="AX22" s="373"/>
      <c r="AY22" s="444"/>
      <c r="AZ22" s="377">
        <v>3</v>
      </c>
      <c r="BA22" s="373">
        <v>11</v>
      </c>
      <c r="BB22" s="444">
        <v>21.4</v>
      </c>
      <c r="BC22" s="377">
        <v>5</v>
      </c>
      <c r="BD22" s="373">
        <v>7</v>
      </c>
      <c r="BE22" s="444">
        <v>41.7</v>
      </c>
      <c r="BF22" s="377">
        <v>13</v>
      </c>
      <c r="BG22" s="373">
        <v>6</v>
      </c>
      <c r="BH22" s="444">
        <v>68.400000000000006</v>
      </c>
      <c r="BI22" s="377"/>
      <c r="BJ22" s="373"/>
      <c r="BK22" s="444"/>
      <c r="BL22" s="377"/>
      <c r="BM22" s="373"/>
      <c r="BN22" s="444" t="s">
        <v>6</v>
      </c>
      <c r="BO22" s="377"/>
      <c r="BP22" s="373"/>
      <c r="BQ22" s="444" t="s">
        <v>6</v>
      </c>
      <c r="BR22" s="377"/>
      <c r="BS22" s="373"/>
      <c r="BT22" s="444" t="s">
        <v>6</v>
      </c>
      <c r="BU22" s="377"/>
      <c r="BV22" s="373"/>
      <c r="BW22" s="444"/>
      <c r="BX22" s="377"/>
      <c r="BY22" s="373"/>
      <c r="BZ22" s="444" t="s">
        <v>6</v>
      </c>
      <c r="CA22" s="377"/>
      <c r="CB22" s="373"/>
      <c r="CC22" s="444" t="s">
        <v>6</v>
      </c>
      <c r="CD22" s="377"/>
      <c r="CE22" s="373"/>
      <c r="CF22" s="444" t="s">
        <v>6</v>
      </c>
      <c r="CG22" s="377"/>
      <c r="CH22" s="373"/>
      <c r="CI22" s="444"/>
      <c r="CJ22" s="377"/>
      <c r="CK22" s="373"/>
      <c r="CL22" s="444" t="s">
        <v>6</v>
      </c>
      <c r="CM22" s="377"/>
      <c r="CN22" s="373"/>
      <c r="CO22" s="444" t="s">
        <v>6</v>
      </c>
      <c r="CP22" s="377"/>
      <c r="CQ22" s="373"/>
      <c r="CR22" s="444" t="s">
        <v>6</v>
      </c>
      <c r="CS22" s="377"/>
      <c r="CT22" s="373"/>
      <c r="CU22" s="444"/>
      <c r="CV22" s="377">
        <v>8</v>
      </c>
      <c r="CW22" s="373">
        <v>17</v>
      </c>
      <c r="CX22" s="444">
        <v>32</v>
      </c>
      <c r="CY22" s="377">
        <v>16</v>
      </c>
      <c r="CZ22" s="373">
        <v>23</v>
      </c>
      <c r="DA22" s="444">
        <v>41</v>
      </c>
      <c r="DB22" s="377">
        <v>51</v>
      </c>
      <c r="DC22" s="373">
        <v>22</v>
      </c>
      <c r="DD22" s="444">
        <v>69.900000000000006</v>
      </c>
      <c r="DE22" s="377"/>
      <c r="DF22" s="373"/>
      <c r="DG22" s="444"/>
      <c r="DH22" s="377"/>
      <c r="DI22" s="373">
        <v>1</v>
      </c>
      <c r="DJ22" s="444">
        <v>0</v>
      </c>
      <c r="DK22" s="377"/>
      <c r="DL22" s="373"/>
      <c r="DM22" s="444" t="s">
        <v>6</v>
      </c>
      <c r="DN22" s="377">
        <v>2</v>
      </c>
      <c r="DO22" s="373"/>
      <c r="DP22" s="444">
        <v>100</v>
      </c>
      <c r="DQ22" s="377"/>
      <c r="DR22" s="373"/>
      <c r="DS22" s="444"/>
      <c r="DT22" s="377"/>
      <c r="DU22" s="373">
        <v>1</v>
      </c>
      <c r="DV22" s="444">
        <v>0</v>
      </c>
      <c r="DW22" s="377">
        <v>1</v>
      </c>
      <c r="DX22" s="373">
        <v>1</v>
      </c>
      <c r="DY22" s="444">
        <v>50</v>
      </c>
      <c r="DZ22" s="377">
        <v>1</v>
      </c>
      <c r="EA22" s="373">
        <v>4</v>
      </c>
      <c r="EB22" s="444">
        <v>20</v>
      </c>
      <c r="EC22" s="377"/>
      <c r="ED22" s="373"/>
      <c r="EE22" s="444"/>
      <c r="EF22" s="377">
        <v>38</v>
      </c>
      <c r="EG22" s="373">
        <v>881</v>
      </c>
      <c r="EH22" s="444">
        <v>4.0999999999999996</v>
      </c>
      <c r="EI22" s="377">
        <v>57</v>
      </c>
      <c r="EJ22" s="373">
        <v>622</v>
      </c>
      <c r="EK22" s="444">
        <v>8.4</v>
      </c>
      <c r="EL22" s="377">
        <v>85</v>
      </c>
      <c r="EM22" s="373">
        <v>524</v>
      </c>
      <c r="EN22" s="444">
        <v>14</v>
      </c>
      <c r="EO22" s="377"/>
      <c r="EP22" s="373"/>
      <c r="EQ22" s="444"/>
      <c r="ER22" s="377">
        <v>2</v>
      </c>
      <c r="ES22" s="373">
        <v>60</v>
      </c>
      <c r="ET22" s="444">
        <v>3.2</v>
      </c>
      <c r="EU22" s="377">
        <v>1</v>
      </c>
      <c r="EV22" s="373">
        <v>40</v>
      </c>
      <c r="EW22" s="444">
        <v>2.4</v>
      </c>
      <c r="EX22" s="377">
        <v>3</v>
      </c>
      <c r="EY22" s="373">
        <v>37</v>
      </c>
      <c r="EZ22" s="444">
        <v>7.5</v>
      </c>
      <c r="FA22" s="377"/>
      <c r="FB22" s="373"/>
      <c r="FC22" s="444"/>
      <c r="FD22" s="377">
        <v>2</v>
      </c>
      <c r="FE22" s="373">
        <v>102</v>
      </c>
      <c r="FF22" s="444">
        <v>1.9</v>
      </c>
      <c r="FG22" s="377">
        <v>7</v>
      </c>
      <c r="FH22" s="373">
        <v>96</v>
      </c>
      <c r="FI22" s="444">
        <v>6.8</v>
      </c>
      <c r="FJ22" s="377">
        <v>5</v>
      </c>
      <c r="FK22" s="373">
        <v>69</v>
      </c>
      <c r="FL22" s="444">
        <v>6.8</v>
      </c>
      <c r="FM22" s="377"/>
      <c r="FN22" s="373"/>
      <c r="FO22" s="444"/>
      <c r="FP22" s="377">
        <v>14</v>
      </c>
      <c r="FQ22" s="373">
        <v>232</v>
      </c>
      <c r="FR22" s="444">
        <v>5.7</v>
      </c>
      <c r="FS22" s="377">
        <v>8</v>
      </c>
      <c r="FT22" s="373">
        <v>148</v>
      </c>
      <c r="FU22" s="444">
        <v>5.0999999999999996</v>
      </c>
      <c r="FV22" s="377">
        <v>20</v>
      </c>
      <c r="FW22" s="373">
        <v>142</v>
      </c>
      <c r="FX22" s="444">
        <v>12.3</v>
      </c>
      <c r="FY22" s="377"/>
      <c r="FZ22" s="373"/>
      <c r="GA22" s="444"/>
      <c r="GB22" s="377">
        <v>6</v>
      </c>
      <c r="GC22" s="373">
        <v>11</v>
      </c>
      <c r="GD22" s="444">
        <v>35.299999999999997</v>
      </c>
      <c r="GE22" s="377">
        <v>1</v>
      </c>
      <c r="GF22" s="373">
        <v>5</v>
      </c>
      <c r="GG22" s="444">
        <v>16.7</v>
      </c>
      <c r="GH22" s="377">
        <v>6</v>
      </c>
      <c r="GI22" s="373">
        <v>4</v>
      </c>
      <c r="GJ22" s="444">
        <v>60</v>
      </c>
      <c r="GK22" s="377"/>
      <c r="GL22" s="373"/>
      <c r="GM22" s="444"/>
      <c r="GN22" s="377"/>
      <c r="GO22" s="373">
        <v>11</v>
      </c>
      <c r="GP22" s="444">
        <v>0</v>
      </c>
      <c r="GQ22" s="377"/>
      <c r="GR22" s="373">
        <v>19</v>
      </c>
      <c r="GS22" s="444">
        <v>0</v>
      </c>
      <c r="GT22" s="377">
        <v>1</v>
      </c>
      <c r="GU22" s="373">
        <v>16</v>
      </c>
      <c r="GV22" s="444">
        <v>5.9</v>
      </c>
      <c r="GW22" s="377"/>
      <c r="GX22" s="373"/>
      <c r="GY22" s="444"/>
      <c r="GZ22" s="377"/>
      <c r="HA22" s="373"/>
      <c r="HB22" s="444" t="s">
        <v>6</v>
      </c>
      <c r="HC22" s="377"/>
      <c r="HD22" s="373">
        <v>1</v>
      </c>
      <c r="HE22" s="444">
        <v>0</v>
      </c>
      <c r="HF22" s="377"/>
      <c r="HG22" s="373">
        <v>1</v>
      </c>
      <c r="HH22" s="444">
        <v>0</v>
      </c>
      <c r="HI22" s="377"/>
      <c r="HJ22" s="373"/>
      <c r="HK22" s="444"/>
      <c r="HL22" s="377">
        <v>15</v>
      </c>
      <c r="HM22" s="373">
        <v>76</v>
      </c>
      <c r="HN22" s="444">
        <v>16.5</v>
      </c>
      <c r="HO22" s="377">
        <v>2</v>
      </c>
      <c r="HP22" s="373">
        <v>66</v>
      </c>
      <c r="HQ22" s="444">
        <v>2.9</v>
      </c>
      <c r="HR22" s="377">
        <v>13</v>
      </c>
      <c r="HS22" s="373">
        <v>60</v>
      </c>
      <c r="HT22" s="444">
        <v>17.8</v>
      </c>
      <c r="HU22" s="377"/>
      <c r="HV22" s="373"/>
      <c r="HW22" s="444"/>
      <c r="HX22" s="377"/>
      <c r="HY22" s="373"/>
      <c r="HZ22" s="444" t="s">
        <v>6</v>
      </c>
      <c r="IA22" s="377">
        <v>1</v>
      </c>
      <c r="IB22" s="373">
        <v>1</v>
      </c>
      <c r="IC22" s="444">
        <v>50</v>
      </c>
      <c r="ID22" s="377">
        <v>1</v>
      </c>
      <c r="IE22" s="373">
        <v>1</v>
      </c>
      <c r="IF22" s="444">
        <v>50</v>
      </c>
      <c r="IG22" s="377"/>
      <c r="IH22" s="373"/>
      <c r="II22" s="444"/>
      <c r="IJ22" s="377"/>
      <c r="IK22" s="373">
        <v>7</v>
      </c>
      <c r="IL22" s="444">
        <v>0</v>
      </c>
      <c r="IM22" s="377"/>
      <c r="IN22" s="373"/>
      <c r="IO22" s="444" t="s">
        <v>6</v>
      </c>
      <c r="IP22" s="377">
        <v>1</v>
      </c>
      <c r="IQ22" s="373">
        <v>3</v>
      </c>
      <c r="IR22" s="444">
        <v>25</v>
      </c>
      <c r="IS22" s="377"/>
      <c r="IT22" s="373"/>
      <c r="IU22" s="444"/>
      <c r="IV22" s="377">
        <v>73</v>
      </c>
      <c r="IW22" s="373">
        <v>1017</v>
      </c>
      <c r="IX22" s="444">
        <v>6.7</v>
      </c>
      <c r="IY22" s="377">
        <v>87</v>
      </c>
      <c r="IZ22" s="373">
        <v>745</v>
      </c>
      <c r="JA22" s="444">
        <v>10.5</v>
      </c>
      <c r="JB22" s="377">
        <v>187</v>
      </c>
      <c r="JC22" s="373">
        <v>642</v>
      </c>
      <c r="JD22" s="444">
        <v>22.6</v>
      </c>
      <c r="JE22" s="377"/>
      <c r="JF22" s="373"/>
      <c r="JG22" s="444"/>
      <c r="JH22" s="377">
        <v>19</v>
      </c>
      <c r="JI22" s="373">
        <v>336</v>
      </c>
      <c r="JJ22" s="444">
        <v>5.4</v>
      </c>
      <c r="JK22" s="377">
        <v>21</v>
      </c>
      <c r="JL22" s="373">
        <v>268</v>
      </c>
      <c r="JM22" s="444">
        <v>7.3</v>
      </c>
      <c r="JN22" s="377">
        <v>78</v>
      </c>
      <c r="JO22" s="373">
        <v>189</v>
      </c>
      <c r="JP22" s="444">
        <v>29.2</v>
      </c>
      <c r="JQ22" s="377"/>
      <c r="JR22" s="373"/>
      <c r="JS22" s="444"/>
      <c r="JT22" s="377"/>
      <c r="JU22" s="373">
        <v>8</v>
      </c>
      <c r="JV22" s="444">
        <v>0</v>
      </c>
      <c r="JW22" s="377"/>
      <c r="JX22" s="373">
        <v>3</v>
      </c>
      <c r="JY22" s="444">
        <v>0</v>
      </c>
      <c r="JZ22" s="377">
        <v>4</v>
      </c>
      <c r="KA22" s="373">
        <v>7</v>
      </c>
      <c r="KB22" s="444">
        <v>36.4</v>
      </c>
      <c r="KC22" s="377"/>
      <c r="KD22" s="373"/>
      <c r="KE22" s="444"/>
      <c r="KF22" s="377"/>
      <c r="KG22" s="373"/>
      <c r="KH22" s="444" t="s">
        <v>6</v>
      </c>
      <c r="KI22" s="377"/>
      <c r="KJ22" s="373"/>
      <c r="KK22" s="444" t="s">
        <v>6</v>
      </c>
      <c r="KL22" s="377"/>
      <c r="KM22" s="373"/>
      <c r="KN22" s="444" t="s">
        <v>6</v>
      </c>
      <c r="KO22" s="377"/>
      <c r="KP22" s="373"/>
      <c r="KQ22" s="444"/>
      <c r="KR22" s="377">
        <v>19</v>
      </c>
      <c r="KS22" s="373">
        <v>349</v>
      </c>
      <c r="KT22" s="444">
        <v>5.2</v>
      </c>
      <c r="KU22" s="377">
        <v>23</v>
      </c>
      <c r="KV22" s="373">
        <v>276</v>
      </c>
      <c r="KW22" s="444">
        <v>7.7</v>
      </c>
      <c r="KX22" s="377">
        <v>90</v>
      </c>
      <c r="KY22" s="373">
        <v>205</v>
      </c>
      <c r="KZ22" s="444">
        <v>30.5</v>
      </c>
      <c r="LA22" s="377"/>
      <c r="LB22" s="373"/>
      <c r="LC22" s="444"/>
      <c r="LD22" s="377">
        <v>123</v>
      </c>
      <c r="LE22" s="373">
        <v>1263</v>
      </c>
      <c r="LF22" s="444">
        <v>8.9</v>
      </c>
      <c r="LG22" s="377">
        <v>283</v>
      </c>
      <c r="LH22" s="373">
        <v>997</v>
      </c>
      <c r="LI22" s="444">
        <v>22.1</v>
      </c>
      <c r="LJ22" s="377">
        <v>356</v>
      </c>
      <c r="LK22" s="373">
        <v>952</v>
      </c>
      <c r="LL22" s="444">
        <v>27.2</v>
      </c>
      <c r="LM22" s="377"/>
      <c r="LN22" s="373"/>
      <c r="LO22" s="444"/>
    </row>
    <row r="23" spans="1:327" x14ac:dyDescent="0.2">
      <c r="A23" s="1001"/>
      <c r="B23" s="747"/>
      <c r="C23" s="151" t="s">
        <v>647</v>
      </c>
      <c r="D23" s="377"/>
      <c r="E23" s="373"/>
      <c r="F23" s="444" t="s">
        <v>6</v>
      </c>
      <c r="G23" s="377"/>
      <c r="H23" s="373"/>
      <c r="I23" s="444" t="s">
        <v>6</v>
      </c>
      <c r="J23" s="377"/>
      <c r="K23" s="373"/>
      <c r="L23" s="444" t="s">
        <v>6</v>
      </c>
      <c r="M23" s="377"/>
      <c r="N23" s="373"/>
      <c r="O23" s="444"/>
      <c r="P23" s="377"/>
      <c r="Q23" s="373"/>
      <c r="R23" s="444" t="s">
        <v>6</v>
      </c>
      <c r="S23" s="377"/>
      <c r="T23" s="373"/>
      <c r="U23" s="444" t="s">
        <v>6</v>
      </c>
      <c r="V23" s="377"/>
      <c r="W23" s="373"/>
      <c r="X23" s="444" t="s">
        <v>6</v>
      </c>
      <c r="Y23" s="377"/>
      <c r="Z23" s="373"/>
      <c r="AA23" s="444"/>
      <c r="AB23" s="377"/>
      <c r="AC23" s="373"/>
      <c r="AD23" s="444" t="s">
        <v>6</v>
      </c>
      <c r="AE23" s="377"/>
      <c r="AF23" s="373"/>
      <c r="AG23" s="444" t="s">
        <v>6</v>
      </c>
      <c r="AH23" s="377"/>
      <c r="AI23" s="373"/>
      <c r="AJ23" s="444" t="s">
        <v>6</v>
      </c>
      <c r="AK23" s="377"/>
      <c r="AL23" s="373"/>
      <c r="AM23" s="444"/>
      <c r="AN23" s="377">
        <v>12</v>
      </c>
      <c r="AO23" s="373">
        <v>10</v>
      </c>
      <c r="AP23" s="444">
        <v>54.5</v>
      </c>
      <c r="AQ23" s="377">
        <v>6</v>
      </c>
      <c r="AR23" s="373">
        <v>13</v>
      </c>
      <c r="AS23" s="444">
        <v>31.6</v>
      </c>
      <c r="AT23" s="377">
        <v>5</v>
      </c>
      <c r="AU23" s="373">
        <v>2</v>
      </c>
      <c r="AV23" s="444">
        <v>71.400000000000006</v>
      </c>
      <c r="AW23" s="377"/>
      <c r="AX23" s="373"/>
      <c r="AY23" s="444"/>
      <c r="AZ23" s="377">
        <v>4</v>
      </c>
      <c r="BA23" s="373">
        <v>9</v>
      </c>
      <c r="BB23" s="444">
        <v>30.8</v>
      </c>
      <c r="BC23" s="377">
        <v>5</v>
      </c>
      <c r="BD23" s="373">
        <v>13</v>
      </c>
      <c r="BE23" s="444">
        <v>27.8</v>
      </c>
      <c r="BF23" s="377">
        <v>2</v>
      </c>
      <c r="BG23" s="373">
        <v>2</v>
      </c>
      <c r="BH23" s="444">
        <v>50</v>
      </c>
      <c r="BI23" s="377"/>
      <c r="BJ23" s="373"/>
      <c r="BK23" s="444"/>
      <c r="BL23" s="377"/>
      <c r="BM23" s="373"/>
      <c r="BN23" s="444" t="s">
        <v>6</v>
      </c>
      <c r="BO23" s="377"/>
      <c r="BP23" s="373"/>
      <c r="BQ23" s="444" t="s">
        <v>6</v>
      </c>
      <c r="BR23" s="377"/>
      <c r="BS23" s="373"/>
      <c r="BT23" s="444" t="s">
        <v>6</v>
      </c>
      <c r="BU23" s="377"/>
      <c r="BV23" s="373"/>
      <c r="BW23" s="444"/>
      <c r="BX23" s="377"/>
      <c r="BY23" s="373"/>
      <c r="BZ23" s="444" t="s">
        <v>6</v>
      </c>
      <c r="CA23" s="377"/>
      <c r="CB23" s="373"/>
      <c r="CC23" s="444" t="s">
        <v>6</v>
      </c>
      <c r="CD23" s="377"/>
      <c r="CE23" s="373"/>
      <c r="CF23" s="444" t="s">
        <v>6</v>
      </c>
      <c r="CG23" s="377"/>
      <c r="CH23" s="373"/>
      <c r="CI23" s="444"/>
      <c r="CJ23" s="377"/>
      <c r="CK23" s="373"/>
      <c r="CL23" s="444" t="s">
        <v>6</v>
      </c>
      <c r="CM23" s="377"/>
      <c r="CN23" s="373"/>
      <c r="CO23" s="444" t="s">
        <v>6</v>
      </c>
      <c r="CP23" s="377"/>
      <c r="CQ23" s="373"/>
      <c r="CR23" s="444" t="s">
        <v>6</v>
      </c>
      <c r="CS23" s="377"/>
      <c r="CT23" s="373"/>
      <c r="CU23" s="444"/>
      <c r="CV23" s="377">
        <v>16</v>
      </c>
      <c r="CW23" s="373">
        <v>12</v>
      </c>
      <c r="CX23" s="444">
        <v>57.1</v>
      </c>
      <c r="CY23" s="377">
        <v>13</v>
      </c>
      <c r="CZ23" s="373">
        <v>12</v>
      </c>
      <c r="DA23" s="444">
        <v>52</v>
      </c>
      <c r="DB23" s="377">
        <v>6</v>
      </c>
      <c r="DC23" s="373">
        <v>15</v>
      </c>
      <c r="DD23" s="444">
        <v>28.6</v>
      </c>
      <c r="DE23" s="377"/>
      <c r="DF23" s="373"/>
      <c r="DG23" s="444"/>
      <c r="DH23" s="377"/>
      <c r="DI23" s="373">
        <v>1</v>
      </c>
      <c r="DJ23" s="444">
        <v>0</v>
      </c>
      <c r="DK23" s="377"/>
      <c r="DL23" s="373"/>
      <c r="DM23" s="444" t="s">
        <v>6</v>
      </c>
      <c r="DN23" s="377"/>
      <c r="DO23" s="373"/>
      <c r="DP23" s="444" t="s">
        <v>6</v>
      </c>
      <c r="DQ23" s="377"/>
      <c r="DR23" s="373"/>
      <c r="DS23" s="444"/>
      <c r="DT23" s="377"/>
      <c r="DU23" s="373"/>
      <c r="DV23" s="444" t="s">
        <v>6</v>
      </c>
      <c r="DW23" s="377"/>
      <c r="DX23" s="373"/>
      <c r="DY23" s="444" t="s">
        <v>6</v>
      </c>
      <c r="DZ23" s="377">
        <v>1</v>
      </c>
      <c r="EA23" s="373"/>
      <c r="EB23" s="444">
        <v>100</v>
      </c>
      <c r="EC23" s="377"/>
      <c r="ED23" s="373"/>
      <c r="EE23" s="444"/>
      <c r="EF23" s="377">
        <v>39</v>
      </c>
      <c r="EG23" s="373">
        <v>502</v>
      </c>
      <c r="EH23" s="444">
        <v>7.2</v>
      </c>
      <c r="EI23" s="377">
        <v>37</v>
      </c>
      <c r="EJ23" s="373">
        <v>329</v>
      </c>
      <c r="EK23" s="444">
        <v>10.1</v>
      </c>
      <c r="EL23" s="377">
        <v>55</v>
      </c>
      <c r="EM23" s="373">
        <v>352</v>
      </c>
      <c r="EN23" s="444">
        <v>13.5</v>
      </c>
      <c r="EO23" s="377"/>
      <c r="EP23" s="373"/>
      <c r="EQ23" s="444"/>
      <c r="ER23" s="377">
        <v>2</v>
      </c>
      <c r="ES23" s="373">
        <v>46</v>
      </c>
      <c r="ET23" s="444">
        <v>4.2</v>
      </c>
      <c r="EU23" s="377">
        <v>1</v>
      </c>
      <c r="EV23" s="373">
        <v>13</v>
      </c>
      <c r="EW23" s="444">
        <v>7.1</v>
      </c>
      <c r="EX23" s="377">
        <v>2</v>
      </c>
      <c r="EY23" s="373">
        <v>39</v>
      </c>
      <c r="EZ23" s="444">
        <v>4.9000000000000004</v>
      </c>
      <c r="FA23" s="377"/>
      <c r="FB23" s="373"/>
      <c r="FC23" s="444"/>
      <c r="FD23" s="377"/>
      <c r="FE23" s="373">
        <v>35</v>
      </c>
      <c r="FF23" s="444">
        <v>0</v>
      </c>
      <c r="FG23" s="377">
        <v>2</v>
      </c>
      <c r="FH23" s="373">
        <v>23</v>
      </c>
      <c r="FI23" s="444">
        <v>8</v>
      </c>
      <c r="FJ23" s="377">
        <v>2</v>
      </c>
      <c r="FK23" s="373">
        <v>25</v>
      </c>
      <c r="FL23" s="444">
        <v>7.4</v>
      </c>
      <c r="FM23" s="377"/>
      <c r="FN23" s="373"/>
      <c r="FO23" s="444"/>
      <c r="FP23" s="377">
        <v>6</v>
      </c>
      <c r="FQ23" s="373">
        <v>129</v>
      </c>
      <c r="FR23" s="444">
        <v>4.4000000000000004</v>
      </c>
      <c r="FS23" s="377">
        <v>5</v>
      </c>
      <c r="FT23" s="373">
        <v>50</v>
      </c>
      <c r="FU23" s="444">
        <v>9.1</v>
      </c>
      <c r="FV23" s="377">
        <v>5</v>
      </c>
      <c r="FW23" s="373">
        <v>56</v>
      </c>
      <c r="FX23" s="444">
        <v>8.1999999999999993</v>
      </c>
      <c r="FY23" s="377"/>
      <c r="FZ23" s="373"/>
      <c r="GA23" s="444"/>
      <c r="GB23" s="377">
        <v>3</v>
      </c>
      <c r="GC23" s="373">
        <v>8</v>
      </c>
      <c r="GD23" s="444">
        <v>27.3</v>
      </c>
      <c r="GE23" s="377">
        <v>6</v>
      </c>
      <c r="GF23" s="373">
        <v>2</v>
      </c>
      <c r="GG23" s="444">
        <v>75</v>
      </c>
      <c r="GH23" s="377">
        <v>3</v>
      </c>
      <c r="GI23" s="373"/>
      <c r="GJ23" s="444">
        <v>100</v>
      </c>
      <c r="GK23" s="377"/>
      <c r="GL23" s="373"/>
      <c r="GM23" s="444"/>
      <c r="GN23" s="377"/>
      <c r="GO23" s="373">
        <v>16</v>
      </c>
      <c r="GP23" s="444">
        <v>0</v>
      </c>
      <c r="GQ23" s="377">
        <v>2</v>
      </c>
      <c r="GR23" s="373">
        <v>15</v>
      </c>
      <c r="GS23" s="444">
        <v>11.8</v>
      </c>
      <c r="GT23" s="377">
        <v>1</v>
      </c>
      <c r="GU23" s="373">
        <v>14</v>
      </c>
      <c r="GV23" s="444">
        <v>6.7</v>
      </c>
      <c r="GW23" s="377"/>
      <c r="GX23" s="373"/>
      <c r="GY23" s="444"/>
      <c r="GZ23" s="377">
        <v>2</v>
      </c>
      <c r="HA23" s="373"/>
      <c r="HB23" s="444">
        <v>100</v>
      </c>
      <c r="HC23" s="377"/>
      <c r="HD23" s="373"/>
      <c r="HE23" s="444" t="s">
        <v>6</v>
      </c>
      <c r="HF23" s="377">
        <v>1</v>
      </c>
      <c r="HG23" s="373"/>
      <c r="HH23" s="444">
        <v>100</v>
      </c>
      <c r="HI23" s="377"/>
      <c r="HJ23" s="373"/>
      <c r="HK23" s="444"/>
      <c r="HL23" s="377">
        <v>3</v>
      </c>
      <c r="HM23" s="373">
        <v>36</v>
      </c>
      <c r="HN23" s="444">
        <v>7.7</v>
      </c>
      <c r="HO23" s="377">
        <v>4</v>
      </c>
      <c r="HP23" s="373">
        <v>21</v>
      </c>
      <c r="HQ23" s="444">
        <v>16</v>
      </c>
      <c r="HR23" s="377">
        <v>1</v>
      </c>
      <c r="HS23" s="373">
        <v>30</v>
      </c>
      <c r="HT23" s="444">
        <v>3.2</v>
      </c>
      <c r="HU23" s="377"/>
      <c r="HV23" s="373"/>
      <c r="HW23" s="444"/>
      <c r="HX23" s="377">
        <v>1</v>
      </c>
      <c r="HY23" s="373"/>
      <c r="HZ23" s="444">
        <v>100</v>
      </c>
      <c r="IA23" s="377"/>
      <c r="IB23" s="373">
        <v>2</v>
      </c>
      <c r="IC23" s="444">
        <v>0</v>
      </c>
      <c r="ID23" s="377"/>
      <c r="IE23" s="373">
        <v>1</v>
      </c>
      <c r="IF23" s="444">
        <v>0</v>
      </c>
      <c r="IG23" s="377"/>
      <c r="IH23" s="373"/>
      <c r="II23" s="444"/>
      <c r="IJ23" s="377"/>
      <c r="IK23" s="373">
        <v>5</v>
      </c>
      <c r="IL23" s="444">
        <v>0</v>
      </c>
      <c r="IM23" s="377"/>
      <c r="IN23" s="373">
        <v>2</v>
      </c>
      <c r="IO23" s="444">
        <v>0</v>
      </c>
      <c r="IP23" s="377"/>
      <c r="IQ23" s="373">
        <v>5</v>
      </c>
      <c r="IR23" s="444">
        <v>0</v>
      </c>
      <c r="IS23" s="377"/>
      <c r="IT23" s="373"/>
      <c r="IU23" s="444"/>
      <c r="IV23" s="377">
        <v>76</v>
      </c>
      <c r="IW23" s="373">
        <v>590</v>
      </c>
      <c r="IX23" s="444">
        <v>11.4</v>
      </c>
      <c r="IY23" s="377">
        <v>68</v>
      </c>
      <c r="IZ23" s="373">
        <v>396</v>
      </c>
      <c r="JA23" s="444">
        <v>14.7</v>
      </c>
      <c r="JB23" s="377">
        <v>73</v>
      </c>
      <c r="JC23" s="373">
        <v>419</v>
      </c>
      <c r="JD23" s="444">
        <v>14.8</v>
      </c>
      <c r="JE23" s="377"/>
      <c r="JF23" s="373"/>
      <c r="JG23" s="444"/>
      <c r="JH23" s="377">
        <v>28</v>
      </c>
      <c r="JI23" s="373">
        <v>135</v>
      </c>
      <c r="JJ23" s="444">
        <v>17.2</v>
      </c>
      <c r="JK23" s="377">
        <v>13</v>
      </c>
      <c r="JL23" s="373">
        <v>100</v>
      </c>
      <c r="JM23" s="444">
        <v>11.5</v>
      </c>
      <c r="JN23" s="377">
        <v>12</v>
      </c>
      <c r="JO23" s="373">
        <v>131</v>
      </c>
      <c r="JP23" s="444">
        <v>8.4</v>
      </c>
      <c r="JQ23" s="377"/>
      <c r="JR23" s="373"/>
      <c r="JS23" s="444"/>
      <c r="JT23" s="377"/>
      <c r="JU23" s="373">
        <v>3</v>
      </c>
      <c r="JV23" s="444">
        <v>0</v>
      </c>
      <c r="JW23" s="377"/>
      <c r="JX23" s="373">
        <v>3</v>
      </c>
      <c r="JY23" s="444">
        <v>0</v>
      </c>
      <c r="JZ23" s="377">
        <v>1</v>
      </c>
      <c r="KA23" s="373">
        <v>1</v>
      </c>
      <c r="KB23" s="444">
        <v>50</v>
      </c>
      <c r="KC23" s="377"/>
      <c r="KD23" s="373"/>
      <c r="KE23" s="444"/>
      <c r="KF23" s="377"/>
      <c r="KG23" s="373"/>
      <c r="KH23" s="444" t="s">
        <v>6</v>
      </c>
      <c r="KI23" s="377"/>
      <c r="KJ23" s="373"/>
      <c r="KK23" s="444" t="s">
        <v>6</v>
      </c>
      <c r="KL23" s="377"/>
      <c r="KM23" s="373"/>
      <c r="KN23" s="444" t="s">
        <v>6</v>
      </c>
      <c r="KO23" s="377"/>
      <c r="KP23" s="373"/>
      <c r="KQ23" s="444"/>
      <c r="KR23" s="377">
        <v>29</v>
      </c>
      <c r="KS23" s="373">
        <v>140</v>
      </c>
      <c r="KT23" s="444">
        <v>17.2</v>
      </c>
      <c r="KU23" s="377">
        <v>13</v>
      </c>
      <c r="KV23" s="373">
        <v>104</v>
      </c>
      <c r="KW23" s="444">
        <v>11.1</v>
      </c>
      <c r="KX23" s="377">
        <v>13</v>
      </c>
      <c r="KY23" s="373">
        <v>132</v>
      </c>
      <c r="KZ23" s="444">
        <v>9</v>
      </c>
      <c r="LA23" s="377"/>
      <c r="LB23" s="373"/>
      <c r="LC23" s="444"/>
      <c r="LD23" s="377">
        <v>113</v>
      </c>
      <c r="LE23" s="373">
        <v>733</v>
      </c>
      <c r="LF23" s="444">
        <v>13.4</v>
      </c>
      <c r="LG23" s="377">
        <v>163</v>
      </c>
      <c r="LH23" s="373">
        <v>543</v>
      </c>
      <c r="LI23" s="444">
        <v>23.1</v>
      </c>
      <c r="LJ23" s="377">
        <v>172</v>
      </c>
      <c r="LK23" s="373">
        <v>582</v>
      </c>
      <c r="LL23" s="444">
        <v>22.8</v>
      </c>
      <c r="LM23" s="377"/>
      <c r="LN23" s="373"/>
      <c r="LO23" s="444"/>
    </row>
    <row r="24" spans="1:327" x14ac:dyDescent="0.2">
      <c r="A24" s="1001"/>
      <c r="B24" s="747"/>
      <c r="C24" s="151" t="s">
        <v>648</v>
      </c>
      <c r="D24" s="377"/>
      <c r="E24" s="373"/>
      <c r="F24" s="444" t="s">
        <v>6</v>
      </c>
      <c r="G24" s="377"/>
      <c r="H24" s="373"/>
      <c r="I24" s="444" t="s">
        <v>6</v>
      </c>
      <c r="J24" s="377"/>
      <c r="K24" s="373"/>
      <c r="L24" s="444" t="s">
        <v>6</v>
      </c>
      <c r="M24" s="377"/>
      <c r="N24" s="373"/>
      <c r="O24" s="444"/>
      <c r="P24" s="377"/>
      <c r="Q24" s="373"/>
      <c r="R24" s="444" t="s">
        <v>6</v>
      </c>
      <c r="S24" s="377"/>
      <c r="T24" s="373"/>
      <c r="U24" s="444" t="s">
        <v>6</v>
      </c>
      <c r="V24" s="377"/>
      <c r="W24" s="373"/>
      <c r="X24" s="444" t="s">
        <v>6</v>
      </c>
      <c r="Y24" s="377"/>
      <c r="Z24" s="373"/>
      <c r="AA24" s="444"/>
      <c r="AB24" s="377"/>
      <c r="AC24" s="373"/>
      <c r="AD24" s="444" t="s">
        <v>6</v>
      </c>
      <c r="AE24" s="377"/>
      <c r="AF24" s="373"/>
      <c r="AG24" s="444" t="s">
        <v>6</v>
      </c>
      <c r="AH24" s="377"/>
      <c r="AI24" s="373"/>
      <c r="AJ24" s="444" t="s">
        <v>6</v>
      </c>
      <c r="AK24" s="377"/>
      <c r="AL24" s="373"/>
      <c r="AM24" s="444"/>
      <c r="AN24" s="377">
        <v>14</v>
      </c>
      <c r="AO24" s="373">
        <v>18</v>
      </c>
      <c r="AP24" s="444">
        <v>43.8</v>
      </c>
      <c r="AQ24" s="377">
        <v>13</v>
      </c>
      <c r="AR24" s="373">
        <v>12</v>
      </c>
      <c r="AS24" s="444">
        <v>52</v>
      </c>
      <c r="AT24" s="377">
        <v>24</v>
      </c>
      <c r="AU24" s="373">
        <v>14</v>
      </c>
      <c r="AV24" s="444">
        <v>63.2</v>
      </c>
      <c r="AW24" s="377"/>
      <c r="AX24" s="373"/>
      <c r="AY24" s="444"/>
      <c r="AZ24" s="377">
        <v>10</v>
      </c>
      <c r="BA24" s="373">
        <v>15</v>
      </c>
      <c r="BB24" s="444">
        <v>40</v>
      </c>
      <c r="BC24" s="377">
        <v>9</v>
      </c>
      <c r="BD24" s="373">
        <v>11</v>
      </c>
      <c r="BE24" s="444">
        <v>45</v>
      </c>
      <c r="BF24" s="377">
        <v>12</v>
      </c>
      <c r="BG24" s="373">
        <v>12</v>
      </c>
      <c r="BH24" s="444">
        <v>50</v>
      </c>
      <c r="BI24" s="377"/>
      <c r="BJ24" s="373"/>
      <c r="BK24" s="444"/>
      <c r="BL24" s="377"/>
      <c r="BM24" s="373"/>
      <c r="BN24" s="444" t="s">
        <v>6</v>
      </c>
      <c r="BO24" s="377"/>
      <c r="BP24" s="373"/>
      <c r="BQ24" s="444" t="s">
        <v>6</v>
      </c>
      <c r="BR24" s="377"/>
      <c r="BS24" s="373"/>
      <c r="BT24" s="444" t="s">
        <v>6</v>
      </c>
      <c r="BU24" s="377"/>
      <c r="BV24" s="373"/>
      <c r="BW24" s="444"/>
      <c r="BX24" s="377"/>
      <c r="BY24" s="373"/>
      <c r="BZ24" s="444" t="s">
        <v>6</v>
      </c>
      <c r="CA24" s="377">
        <v>1</v>
      </c>
      <c r="CB24" s="373"/>
      <c r="CC24" s="444">
        <v>100</v>
      </c>
      <c r="CD24" s="377">
        <v>1</v>
      </c>
      <c r="CE24" s="373">
        <v>1</v>
      </c>
      <c r="CF24" s="444">
        <v>50</v>
      </c>
      <c r="CG24" s="377"/>
      <c r="CH24" s="373"/>
      <c r="CI24" s="444"/>
      <c r="CJ24" s="377"/>
      <c r="CK24" s="373"/>
      <c r="CL24" s="444" t="s">
        <v>6</v>
      </c>
      <c r="CM24" s="377"/>
      <c r="CN24" s="373"/>
      <c r="CO24" s="444" t="s">
        <v>6</v>
      </c>
      <c r="CP24" s="377"/>
      <c r="CQ24" s="373"/>
      <c r="CR24" s="444" t="s">
        <v>6</v>
      </c>
      <c r="CS24" s="377"/>
      <c r="CT24" s="373"/>
      <c r="CU24" s="444"/>
      <c r="CV24" s="377">
        <v>9</v>
      </c>
      <c r="CW24" s="373">
        <v>15</v>
      </c>
      <c r="CX24" s="444">
        <v>37.5</v>
      </c>
      <c r="CY24" s="377">
        <v>12</v>
      </c>
      <c r="CZ24" s="373">
        <v>10</v>
      </c>
      <c r="DA24" s="444">
        <v>54.5</v>
      </c>
      <c r="DB24" s="377">
        <v>31</v>
      </c>
      <c r="DC24" s="373">
        <v>8</v>
      </c>
      <c r="DD24" s="444">
        <v>79.5</v>
      </c>
      <c r="DE24" s="377"/>
      <c r="DF24" s="373"/>
      <c r="DG24" s="444"/>
      <c r="DH24" s="377"/>
      <c r="DI24" s="373"/>
      <c r="DJ24" s="444" t="s">
        <v>6</v>
      </c>
      <c r="DK24" s="377">
        <v>1</v>
      </c>
      <c r="DL24" s="373"/>
      <c r="DM24" s="444">
        <v>100</v>
      </c>
      <c r="DN24" s="377">
        <v>1</v>
      </c>
      <c r="DO24" s="373"/>
      <c r="DP24" s="444">
        <v>100</v>
      </c>
      <c r="DQ24" s="377"/>
      <c r="DR24" s="373"/>
      <c r="DS24" s="444"/>
      <c r="DT24" s="377"/>
      <c r="DU24" s="373"/>
      <c r="DV24" s="444" t="s">
        <v>6</v>
      </c>
      <c r="DW24" s="377"/>
      <c r="DX24" s="373">
        <v>1</v>
      </c>
      <c r="DY24" s="444">
        <v>0</v>
      </c>
      <c r="DZ24" s="377">
        <v>2</v>
      </c>
      <c r="EA24" s="373"/>
      <c r="EB24" s="444">
        <v>100</v>
      </c>
      <c r="EC24" s="377"/>
      <c r="ED24" s="373"/>
      <c r="EE24" s="444"/>
      <c r="EF24" s="377">
        <v>66</v>
      </c>
      <c r="EG24" s="373">
        <v>953</v>
      </c>
      <c r="EH24" s="444">
        <v>6.5</v>
      </c>
      <c r="EI24" s="377">
        <v>65</v>
      </c>
      <c r="EJ24" s="373">
        <v>836</v>
      </c>
      <c r="EK24" s="444">
        <v>7.2</v>
      </c>
      <c r="EL24" s="377">
        <v>183</v>
      </c>
      <c r="EM24" s="373">
        <v>561</v>
      </c>
      <c r="EN24" s="444">
        <v>24.6</v>
      </c>
      <c r="EO24" s="377"/>
      <c r="EP24" s="373"/>
      <c r="EQ24" s="444"/>
      <c r="ER24" s="377">
        <v>1</v>
      </c>
      <c r="ES24" s="373">
        <v>60</v>
      </c>
      <c r="ET24" s="444">
        <v>1.6</v>
      </c>
      <c r="EU24" s="377">
        <v>2</v>
      </c>
      <c r="EV24" s="373">
        <v>27</v>
      </c>
      <c r="EW24" s="444">
        <v>6.9</v>
      </c>
      <c r="EX24" s="377">
        <v>2</v>
      </c>
      <c r="EY24" s="373">
        <v>15</v>
      </c>
      <c r="EZ24" s="444">
        <v>11.8</v>
      </c>
      <c r="FA24" s="377"/>
      <c r="FB24" s="373"/>
      <c r="FC24" s="444"/>
      <c r="FD24" s="377">
        <v>9</v>
      </c>
      <c r="FE24" s="373">
        <v>112</v>
      </c>
      <c r="FF24" s="444">
        <v>7.4</v>
      </c>
      <c r="FG24" s="377">
        <v>6</v>
      </c>
      <c r="FH24" s="373">
        <v>91</v>
      </c>
      <c r="FI24" s="444">
        <v>6.2</v>
      </c>
      <c r="FJ24" s="377">
        <v>22</v>
      </c>
      <c r="FK24" s="373">
        <v>65</v>
      </c>
      <c r="FL24" s="444">
        <v>25.3</v>
      </c>
      <c r="FM24" s="377"/>
      <c r="FN24" s="373"/>
      <c r="FO24" s="444"/>
      <c r="FP24" s="377">
        <v>8</v>
      </c>
      <c r="FQ24" s="373">
        <v>228</v>
      </c>
      <c r="FR24" s="444">
        <v>3.4</v>
      </c>
      <c r="FS24" s="377">
        <v>16</v>
      </c>
      <c r="FT24" s="373">
        <v>218</v>
      </c>
      <c r="FU24" s="444">
        <v>6.8</v>
      </c>
      <c r="FV24" s="377">
        <v>22</v>
      </c>
      <c r="FW24" s="373">
        <v>106</v>
      </c>
      <c r="FX24" s="444">
        <v>17.2</v>
      </c>
      <c r="FY24" s="377"/>
      <c r="FZ24" s="373"/>
      <c r="GA24" s="444"/>
      <c r="GB24" s="377">
        <v>24</v>
      </c>
      <c r="GC24" s="373">
        <v>9</v>
      </c>
      <c r="GD24" s="444">
        <v>72.7</v>
      </c>
      <c r="GE24" s="377">
        <v>11</v>
      </c>
      <c r="GF24" s="373">
        <v>5</v>
      </c>
      <c r="GG24" s="444">
        <v>68.8</v>
      </c>
      <c r="GH24" s="377">
        <v>4</v>
      </c>
      <c r="GI24" s="373">
        <v>1</v>
      </c>
      <c r="GJ24" s="444">
        <v>80</v>
      </c>
      <c r="GK24" s="377"/>
      <c r="GL24" s="373"/>
      <c r="GM24" s="444"/>
      <c r="GN24" s="377">
        <v>4</v>
      </c>
      <c r="GO24" s="373">
        <v>17</v>
      </c>
      <c r="GP24" s="444">
        <v>19</v>
      </c>
      <c r="GQ24" s="377">
        <v>6</v>
      </c>
      <c r="GR24" s="373">
        <v>13</v>
      </c>
      <c r="GS24" s="444">
        <v>31.6</v>
      </c>
      <c r="GT24" s="377">
        <v>18</v>
      </c>
      <c r="GU24" s="373">
        <v>5</v>
      </c>
      <c r="GV24" s="444">
        <v>78.3</v>
      </c>
      <c r="GW24" s="377"/>
      <c r="GX24" s="373"/>
      <c r="GY24" s="444"/>
      <c r="GZ24" s="377">
        <v>1</v>
      </c>
      <c r="HA24" s="373"/>
      <c r="HB24" s="444">
        <v>100</v>
      </c>
      <c r="HC24" s="377">
        <v>1</v>
      </c>
      <c r="HD24" s="373"/>
      <c r="HE24" s="444">
        <v>100</v>
      </c>
      <c r="HF24" s="377"/>
      <c r="HG24" s="373">
        <v>2</v>
      </c>
      <c r="HH24" s="444">
        <v>0</v>
      </c>
      <c r="HI24" s="377"/>
      <c r="HJ24" s="373"/>
      <c r="HK24" s="444"/>
      <c r="HL24" s="377">
        <v>2</v>
      </c>
      <c r="HM24" s="373">
        <v>61</v>
      </c>
      <c r="HN24" s="444">
        <v>3.2</v>
      </c>
      <c r="HO24" s="377">
        <v>7</v>
      </c>
      <c r="HP24" s="373">
        <v>70</v>
      </c>
      <c r="HQ24" s="444">
        <v>9.1</v>
      </c>
      <c r="HR24" s="377">
        <v>18</v>
      </c>
      <c r="HS24" s="373">
        <v>51</v>
      </c>
      <c r="HT24" s="444">
        <v>26.1</v>
      </c>
      <c r="HU24" s="377"/>
      <c r="HV24" s="373"/>
      <c r="HW24" s="444"/>
      <c r="HX24" s="377">
        <v>1</v>
      </c>
      <c r="HY24" s="373"/>
      <c r="HZ24" s="444">
        <v>100</v>
      </c>
      <c r="IA24" s="377">
        <v>2</v>
      </c>
      <c r="IB24" s="373"/>
      <c r="IC24" s="444">
        <v>100</v>
      </c>
      <c r="ID24" s="377">
        <v>1</v>
      </c>
      <c r="IE24" s="373">
        <v>2</v>
      </c>
      <c r="IF24" s="444">
        <v>33.299999999999997</v>
      </c>
      <c r="IG24" s="377"/>
      <c r="IH24" s="373"/>
      <c r="II24" s="444"/>
      <c r="IJ24" s="377">
        <v>1</v>
      </c>
      <c r="IK24" s="373">
        <v>13</v>
      </c>
      <c r="IL24" s="444">
        <v>7.1</v>
      </c>
      <c r="IM24" s="377">
        <v>2</v>
      </c>
      <c r="IN24" s="373">
        <v>8</v>
      </c>
      <c r="IO24" s="444">
        <v>20</v>
      </c>
      <c r="IP24" s="377">
        <v>7</v>
      </c>
      <c r="IQ24" s="373">
        <v>9</v>
      </c>
      <c r="IR24" s="444">
        <v>43.8</v>
      </c>
      <c r="IS24" s="377"/>
      <c r="IT24" s="373"/>
      <c r="IU24" s="444"/>
      <c r="IV24" s="377">
        <v>122</v>
      </c>
      <c r="IW24" s="373">
        <v>1086</v>
      </c>
      <c r="IX24" s="444">
        <v>10.1</v>
      </c>
      <c r="IY24" s="377">
        <v>121</v>
      </c>
      <c r="IZ24" s="373">
        <v>955</v>
      </c>
      <c r="JA24" s="444">
        <v>11.2</v>
      </c>
      <c r="JB24" s="377">
        <v>290</v>
      </c>
      <c r="JC24" s="373">
        <v>654</v>
      </c>
      <c r="JD24" s="444">
        <v>30.7</v>
      </c>
      <c r="JE24" s="377"/>
      <c r="JF24" s="373"/>
      <c r="JG24" s="444"/>
      <c r="JH24" s="377">
        <v>39</v>
      </c>
      <c r="JI24" s="373">
        <v>270</v>
      </c>
      <c r="JJ24" s="444">
        <v>12.6</v>
      </c>
      <c r="JK24" s="377">
        <v>40</v>
      </c>
      <c r="JL24" s="373">
        <v>254</v>
      </c>
      <c r="JM24" s="444">
        <v>13.6</v>
      </c>
      <c r="JN24" s="377">
        <v>68</v>
      </c>
      <c r="JO24" s="373">
        <v>184</v>
      </c>
      <c r="JP24" s="444">
        <v>27</v>
      </c>
      <c r="JQ24" s="377"/>
      <c r="JR24" s="373"/>
      <c r="JS24" s="444"/>
      <c r="JT24" s="377">
        <v>2</v>
      </c>
      <c r="JU24" s="373">
        <v>1</v>
      </c>
      <c r="JV24" s="444">
        <v>66.7</v>
      </c>
      <c r="JW24" s="377">
        <v>2</v>
      </c>
      <c r="JX24" s="373">
        <v>2</v>
      </c>
      <c r="JY24" s="444">
        <v>50</v>
      </c>
      <c r="JZ24" s="377">
        <v>3</v>
      </c>
      <c r="KA24" s="373">
        <v>3</v>
      </c>
      <c r="KB24" s="444">
        <v>50</v>
      </c>
      <c r="KC24" s="377"/>
      <c r="KD24" s="373"/>
      <c r="KE24" s="444"/>
      <c r="KF24" s="377"/>
      <c r="KG24" s="373"/>
      <c r="KH24" s="444" t="s">
        <v>6</v>
      </c>
      <c r="KI24" s="377"/>
      <c r="KJ24" s="373"/>
      <c r="KK24" s="444" t="s">
        <v>6</v>
      </c>
      <c r="KL24" s="377"/>
      <c r="KM24" s="373"/>
      <c r="KN24" s="444" t="s">
        <v>6</v>
      </c>
      <c r="KO24" s="377"/>
      <c r="KP24" s="373"/>
      <c r="KQ24" s="444"/>
      <c r="KR24" s="377">
        <v>52</v>
      </c>
      <c r="KS24" s="373">
        <v>276</v>
      </c>
      <c r="KT24" s="444">
        <v>15.9</v>
      </c>
      <c r="KU24" s="377">
        <v>50</v>
      </c>
      <c r="KV24" s="373">
        <v>263</v>
      </c>
      <c r="KW24" s="444">
        <v>16</v>
      </c>
      <c r="KX24" s="377">
        <v>79</v>
      </c>
      <c r="KY24" s="373">
        <v>190</v>
      </c>
      <c r="KZ24" s="444">
        <v>29.4</v>
      </c>
      <c r="LA24" s="377"/>
      <c r="LB24" s="373"/>
      <c r="LC24" s="444"/>
      <c r="LD24" s="377">
        <v>336</v>
      </c>
      <c r="LE24" s="373">
        <v>1321</v>
      </c>
      <c r="LF24" s="444">
        <v>20.3</v>
      </c>
      <c r="LG24" s="377">
        <v>392</v>
      </c>
      <c r="LH24" s="373">
        <v>1261</v>
      </c>
      <c r="LI24" s="444">
        <v>23.7</v>
      </c>
      <c r="LJ24" s="377">
        <v>456</v>
      </c>
      <c r="LK24" s="373">
        <v>913</v>
      </c>
      <c r="LL24" s="444">
        <v>33.299999999999997</v>
      </c>
      <c r="LM24" s="377"/>
      <c r="LN24" s="373"/>
      <c r="LO24" s="444"/>
    </row>
    <row r="25" spans="1:327" x14ac:dyDescent="0.2">
      <c r="A25" s="1001"/>
      <c r="B25" s="747"/>
      <c r="C25" s="151" t="s">
        <v>649</v>
      </c>
      <c r="D25" s="377">
        <v>2</v>
      </c>
      <c r="E25" s="373"/>
      <c r="F25" s="444">
        <v>100</v>
      </c>
      <c r="G25" s="377"/>
      <c r="H25" s="373"/>
      <c r="I25" s="444" t="s">
        <v>6</v>
      </c>
      <c r="J25" s="377"/>
      <c r="K25" s="373"/>
      <c r="L25" s="444" t="s">
        <v>6</v>
      </c>
      <c r="M25" s="377"/>
      <c r="N25" s="373"/>
      <c r="O25" s="444"/>
      <c r="P25" s="377"/>
      <c r="Q25" s="373"/>
      <c r="R25" s="444" t="s">
        <v>6</v>
      </c>
      <c r="S25" s="377"/>
      <c r="T25" s="373"/>
      <c r="U25" s="444" t="s">
        <v>6</v>
      </c>
      <c r="V25" s="377"/>
      <c r="W25" s="373"/>
      <c r="X25" s="444" t="s">
        <v>6</v>
      </c>
      <c r="Y25" s="377"/>
      <c r="Z25" s="373"/>
      <c r="AA25" s="444"/>
      <c r="AB25" s="377">
        <v>2</v>
      </c>
      <c r="AC25" s="373"/>
      <c r="AD25" s="444">
        <v>100</v>
      </c>
      <c r="AE25" s="377"/>
      <c r="AF25" s="373"/>
      <c r="AG25" s="444" t="s">
        <v>6</v>
      </c>
      <c r="AH25" s="377"/>
      <c r="AI25" s="373"/>
      <c r="AJ25" s="444" t="s">
        <v>6</v>
      </c>
      <c r="AK25" s="377"/>
      <c r="AL25" s="373"/>
      <c r="AM25" s="444"/>
      <c r="AN25" s="377">
        <v>15</v>
      </c>
      <c r="AO25" s="373">
        <v>7</v>
      </c>
      <c r="AP25" s="444">
        <v>68.2</v>
      </c>
      <c r="AQ25" s="377">
        <v>31</v>
      </c>
      <c r="AR25" s="373">
        <v>10</v>
      </c>
      <c r="AS25" s="444">
        <v>75.599999999999994</v>
      </c>
      <c r="AT25" s="377">
        <v>39</v>
      </c>
      <c r="AU25" s="373">
        <v>11</v>
      </c>
      <c r="AV25" s="444">
        <v>78</v>
      </c>
      <c r="AW25" s="377"/>
      <c r="AX25" s="373"/>
      <c r="AY25" s="444"/>
      <c r="AZ25" s="377">
        <v>8</v>
      </c>
      <c r="BA25" s="373">
        <v>7</v>
      </c>
      <c r="BB25" s="444">
        <v>53.3</v>
      </c>
      <c r="BC25" s="377">
        <v>9</v>
      </c>
      <c r="BD25" s="373">
        <v>9</v>
      </c>
      <c r="BE25" s="444">
        <v>50</v>
      </c>
      <c r="BF25" s="377">
        <v>15</v>
      </c>
      <c r="BG25" s="373">
        <v>10</v>
      </c>
      <c r="BH25" s="444">
        <v>60</v>
      </c>
      <c r="BI25" s="377"/>
      <c r="BJ25" s="373"/>
      <c r="BK25" s="444"/>
      <c r="BL25" s="377"/>
      <c r="BM25" s="373"/>
      <c r="BN25" s="444" t="s">
        <v>6</v>
      </c>
      <c r="BO25" s="377"/>
      <c r="BP25" s="373"/>
      <c r="BQ25" s="444" t="s">
        <v>6</v>
      </c>
      <c r="BR25" s="377"/>
      <c r="BS25" s="373"/>
      <c r="BT25" s="444" t="s">
        <v>6</v>
      </c>
      <c r="BU25" s="377"/>
      <c r="BV25" s="373"/>
      <c r="BW25" s="444"/>
      <c r="BX25" s="377"/>
      <c r="BY25" s="373"/>
      <c r="BZ25" s="444" t="s">
        <v>6</v>
      </c>
      <c r="CA25" s="377"/>
      <c r="CB25" s="373"/>
      <c r="CC25" s="444" t="s">
        <v>6</v>
      </c>
      <c r="CD25" s="377"/>
      <c r="CE25" s="373"/>
      <c r="CF25" s="444" t="s">
        <v>6</v>
      </c>
      <c r="CG25" s="377"/>
      <c r="CH25" s="373"/>
      <c r="CI25" s="444"/>
      <c r="CJ25" s="377"/>
      <c r="CK25" s="373"/>
      <c r="CL25" s="444" t="s">
        <v>6</v>
      </c>
      <c r="CM25" s="377"/>
      <c r="CN25" s="373"/>
      <c r="CO25" s="444" t="s">
        <v>6</v>
      </c>
      <c r="CP25" s="377"/>
      <c r="CQ25" s="373"/>
      <c r="CR25" s="444" t="s">
        <v>6</v>
      </c>
      <c r="CS25" s="377"/>
      <c r="CT25" s="373"/>
      <c r="CU25" s="444"/>
      <c r="CV25" s="377">
        <v>4</v>
      </c>
      <c r="CW25" s="373">
        <v>12</v>
      </c>
      <c r="CX25" s="444">
        <v>25</v>
      </c>
      <c r="CY25" s="377">
        <v>35</v>
      </c>
      <c r="CZ25" s="373">
        <v>10</v>
      </c>
      <c r="DA25" s="444">
        <v>77.8</v>
      </c>
      <c r="DB25" s="377">
        <v>44</v>
      </c>
      <c r="DC25" s="373">
        <v>5</v>
      </c>
      <c r="DD25" s="444">
        <v>89.8</v>
      </c>
      <c r="DE25" s="377"/>
      <c r="DF25" s="373"/>
      <c r="DG25" s="444"/>
      <c r="DH25" s="377"/>
      <c r="DI25" s="373">
        <v>2</v>
      </c>
      <c r="DJ25" s="444">
        <v>0</v>
      </c>
      <c r="DK25" s="377">
        <v>2</v>
      </c>
      <c r="DL25" s="373"/>
      <c r="DM25" s="444">
        <v>100</v>
      </c>
      <c r="DN25" s="377"/>
      <c r="DO25" s="373"/>
      <c r="DP25" s="444" t="s">
        <v>6</v>
      </c>
      <c r="DQ25" s="377"/>
      <c r="DR25" s="373"/>
      <c r="DS25" s="444"/>
      <c r="DT25" s="377">
        <v>1</v>
      </c>
      <c r="DU25" s="373"/>
      <c r="DV25" s="444">
        <v>100</v>
      </c>
      <c r="DW25" s="377">
        <v>5</v>
      </c>
      <c r="DX25" s="373">
        <v>1</v>
      </c>
      <c r="DY25" s="444">
        <v>83.3</v>
      </c>
      <c r="DZ25" s="377">
        <v>4</v>
      </c>
      <c r="EA25" s="373">
        <v>5</v>
      </c>
      <c r="EB25" s="444">
        <v>44.4</v>
      </c>
      <c r="EC25" s="377"/>
      <c r="ED25" s="373"/>
      <c r="EE25" s="444"/>
      <c r="EF25" s="377">
        <v>47</v>
      </c>
      <c r="EG25" s="373">
        <v>542</v>
      </c>
      <c r="EH25" s="444">
        <v>8</v>
      </c>
      <c r="EI25" s="377">
        <v>81</v>
      </c>
      <c r="EJ25" s="373">
        <v>465</v>
      </c>
      <c r="EK25" s="444">
        <v>14.8</v>
      </c>
      <c r="EL25" s="377">
        <v>113</v>
      </c>
      <c r="EM25" s="373">
        <v>387</v>
      </c>
      <c r="EN25" s="444">
        <v>22.6</v>
      </c>
      <c r="EO25" s="377"/>
      <c r="EP25" s="373"/>
      <c r="EQ25" s="444"/>
      <c r="ER25" s="377">
        <v>2</v>
      </c>
      <c r="ES25" s="373">
        <v>20</v>
      </c>
      <c r="ET25" s="444">
        <v>9.1</v>
      </c>
      <c r="EU25" s="377">
        <v>2</v>
      </c>
      <c r="EV25" s="373">
        <v>14</v>
      </c>
      <c r="EW25" s="444">
        <v>12.5</v>
      </c>
      <c r="EX25" s="377">
        <v>8</v>
      </c>
      <c r="EY25" s="373">
        <v>11</v>
      </c>
      <c r="EZ25" s="444">
        <v>42.1</v>
      </c>
      <c r="FA25" s="377"/>
      <c r="FB25" s="373"/>
      <c r="FC25" s="444"/>
      <c r="FD25" s="377">
        <v>1</v>
      </c>
      <c r="FE25" s="373">
        <v>33</v>
      </c>
      <c r="FF25" s="444">
        <v>2.9</v>
      </c>
      <c r="FG25" s="377">
        <v>11</v>
      </c>
      <c r="FH25" s="373">
        <v>33</v>
      </c>
      <c r="FI25" s="444">
        <v>25</v>
      </c>
      <c r="FJ25" s="377">
        <v>7</v>
      </c>
      <c r="FK25" s="373">
        <v>20</v>
      </c>
      <c r="FL25" s="444">
        <v>25.9</v>
      </c>
      <c r="FM25" s="377"/>
      <c r="FN25" s="373"/>
      <c r="FO25" s="444"/>
      <c r="FP25" s="377">
        <v>10</v>
      </c>
      <c r="FQ25" s="373">
        <v>145</v>
      </c>
      <c r="FR25" s="444">
        <v>6.5</v>
      </c>
      <c r="FS25" s="377">
        <v>8</v>
      </c>
      <c r="FT25" s="373">
        <v>153</v>
      </c>
      <c r="FU25" s="444">
        <v>5</v>
      </c>
      <c r="FV25" s="377">
        <v>17</v>
      </c>
      <c r="FW25" s="373">
        <v>124</v>
      </c>
      <c r="FX25" s="444">
        <v>12.1</v>
      </c>
      <c r="FY25" s="377"/>
      <c r="FZ25" s="373"/>
      <c r="GA25" s="444"/>
      <c r="GB25" s="377">
        <v>2</v>
      </c>
      <c r="GC25" s="373">
        <v>4</v>
      </c>
      <c r="GD25" s="444">
        <v>33.299999999999997</v>
      </c>
      <c r="GE25" s="377">
        <v>17</v>
      </c>
      <c r="GF25" s="373">
        <v>2</v>
      </c>
      <c r="GG25" s="444">
        <v>89.5</v>
      </c>
      <c r="GH25" s="377">
        <v>12</v>
      </c>
      <c r="GI25" s="373">
        <v>1</v>
      </c>
      <c r="GJ25" s="444">
        <v>92.3</v>
      </c>
      <c r="GK25" s="377"/>
      <c r="GL25" s="373"/>
      <c r="GM25" s="444"/>
      <c r="GN25" s="377">
        <v>3</v>
      </c>
      <c r="GO25" s="373">
        <v>21</v>
      </c>
      <c r="GP25" s="444">
        <v>12.5</v>
      </c>
      <c r="GQ25" s="377">
        <v>3</v>
      </c>
      <c r="GR25" s="373">
        <v>16</v>
      </c>
      <c r="GS25" s="444">
        <v>15.8</v>
      </c>
      <c r="GT25" s="377">
        <v>4</v>
      </c>
      <c r="GU25" s="373">
        <v>10</v>
      </c>
      <c r="GV25" s="444">
        <v>28.6</v>
      </c>
      <c r="GW25" s="377"/>
      <c r="GX25" s="373"/>
      <c r="GY25" s="444"/>
      <c r="GZ25" s="377">
        <v>1</v>
      </c>
      <c r="HA25" s="373"/>
      <c r="HB25" s="444">
        <v>100</v>
      </c>
      <c r="HC25" s="377"/>
      <c r="HD25" s="373"/>
      <c r="HE25" s="444" t="s">
        <v>6</v>
      </c>
      <c r="HF25" s="377">
        <v>6</v>
      </c>
      <c r="HG25" s="373">
        <v>1</v>
      </c>
      <c r="HH25" s="444">
        <v>85.7</v>
      </c>
      <c r="HI25" s="377"/>
      <c r="HJ25" s="373"/>
      <c r="HK25" s="444"/>
      <c r="HL25" s="377">
        <v>2</v>
      </c>
      <c r="HM25" s="373">
        <v>86</v>
      </c>
      <c r="HN25" s="444">
        <v>2.2999999999999998</v>
      </c>
      <c r="HO25" s="377">
        <v>16</v>
      </c>
      <c r="HP25" s="373">
        <v>64</v>
      </c>
      <c r="HQ25" s="444">
        <v>20</v>
      </c>
      <c r="HR25" s="377">
        <v>7</v>
      </c>
      <c r="HS25" s="373">
        <v>79</v>
      </c>
      <c r="HT25" s="444">
        <v>8.1</v>
      </c>
      <c r="HU25" s="377"/>
      <c r="HV25" s="373"/>
      <c r="HW25" s="444"/>
      <c r="HX25" s="377">
        <v>1</v>
      </c>
      <c r="HY25" s="373"/>
      <c r="HZ25" s="444">
        <v>100</v>
      </c>
      <c r="IA25" s="377">
        <v>1</v>
      </c>
      <c r="IB25" s="373"/>
      <c r="IC25" s="444">
        <v>100</v>
      </c>
      <c r="ID25" s="377">
        <v>1</v>
      </c>
      <c r="IE25" s="373"/>
      <c r="IF25" s="444">
        <v>100</v>
      </c>
      <c r="IG25" s="377"/>
      <c r="IH25" s="373"/>
      <c r="II25" s="444"/>
      <c r="IJ25" s="377">
        <v>1</v>
      </c>
      <c r="IK25" s="373">
        <v>1</v>
      </c>
      <c r="IL25" s="444">
        <v>50</v>
      </c>
      <c r="IM25" s="377"/>
      <c r="IN25" s="373">
        <v>4</v>
      </c>
      <c r="IO25" s="444">
        <v>0</v>
      </c>
      <c r="IP25" s="377">
        <v>2</v>
      </c>
      <c r="IQ25" s="373">
        <v>3</v>
      </c>
      <c r="IR25" s="444">
        <v>40</v>
      </c>
      <c r="IS25" s="377"/>
      <c r="IT25" s="373"/>
      <c r="IU25" s="444"/>
      <c r="IV25" s="377">
        <v>79</v>
      </c>
      <c r="IW25" s="373">
        <v>675</v>
      </c>
      <c r="IX25" s="444">
        <v>10.5</v>
      </c>
      <c r="IY25" s="377">
        <v>191</v>
      </c>
      <c r="IZ25" s="373">
        <v>572</v>
      </c>
      <c r="JA25" s="444">
        <v>25</v>
      </c>
      <c r="JB25" s="377">
        <v>232</v>
      </c>
      <c r="JC25" s="373">
        <v>502</v>
      </c>
      <c r="JD25" s="444">
        <v>31.6</v>
      </c>
      <c r="JE25" s="377"/>
      <c r="JF25" s="373"/>
      <c r="JG25" s="444"/>
      <c r="JH25" s="377">
        <v>13</v>
      </c>
      <c r="JI25" s="373">
        <v>180</v>
      </c>
      <c r="JJ25" s="444">
        <v>6.7</v>
      </c>
      <c r="JK25" s="377">
        <v>67</v>
      </c>
      <c r="JL25" s="373">
        <v>150</v>
      </c>
      <c r="JM25" s="444">
        <v>30.9</v>
      </c>
      <c r="JN25" s="377">
        <v>71</v>
      </c>
      <c r="JO25" s="373">
        <v>117</v>
      </c>
      <c r="JP25" s="444">
        <v>37.799999999999997</v>
      </c>
      <c r="JQ25" s="377"/>
      <c r="JR25" s="373"/>
      <c r="JS25" s="444"/>
      <c r="JT25" s="377">
        <v>1</v>
      </c>
      <c r="JU25" s="373">
        <v>6</v>
      </c>
      <c r="JV25" s="444">
        <v>14.3</v>
      </c>
      <c r="JW25" s="377">
        <v>2</v>
      </c>
      <c r="JX25" s="373">
        <v>4</v>
      </c>
      <c r="JY25" s="444">
        <v>33.299999999999997</v>
      </c>
      <c r="JZ25" s="377">
        <v>2</v>
      </c>
      <c r="KA25" s="373">
        <v>1</v>
      </c>
      <c r="KB25" s="444">
        <v>66.7</v>
      </c>
      <c r="KC25" s="377"/>
      <c r="KD25" s="373"/>
      <c r="KE25" s="444"/>
      <c r="KF25" s="377"/>
      <c r="KG25" s="373"/>
      <c r="KH25" s="444" t="s">
        <v>6</v>
      </c>
      <c r="KI25" s="377"/>
      <c r="KJ25" s="373"/>
      <c r="KK25" s="444" t="s">
        <v>6</v>
      </c>
      <c r="KL25" s="377"/>
      <c r="KM25" s="373"/>
      <c r="KN25" s="444" t="s">
        <v>6</v>
      </c>
      <c r="KO25" s="377"/>
      <c r="KP25" s="373"/>
      <c r="KQ25" s="444"/>
      <c r="KR25" s="377">
        <v>18</v>
      </c>
      <c r="KS25" s="373">
        <v>187</v>
      </c>
      <c r="KT25" s="444">
        <v>8.8000000000000007</v>
      </c>
      <c r="KU25" s="377">
        <v>81</v>
      </c>
      <c r="KV25" s="373">
        <v>156</v>
      </c>
      <c r="KW25" s="444">
        <v>34.200000000000003</v>
      </c>
      <c r="KX25" s="377">
        <v>92</v>
      </c>
      <c r="KY25" s="373">
        <v>123</v>
      </c>
      <c r="KZ25" s="444">
        <v>42.8</v>
      </c>
      <c r="LA25" s="377"/>
      <c r="LB25" s="373"/>
      <c r="LC25" s="444"/>
      <c r="LD25" s="377">
        <v>234</v>
      </c>
      <c r="LE25" s="373">
        <v>836</v>
      </c>
      <c r="LF25" s="444">
        <v>21.9</v>
      </c>
      <c r="LG25" s="377">
        <v>487</v>
      </c>
      <c r="LH25" s="373">
        <v>798</v>
      </c>
      <c r="LI25" s="444">
        <v>37.9</v>
      </c>
      <c r="LJ25" s="377">
        <v>414</v>
      </c>
      <c r="LK25" s="373">
        <v>713</v>
      </c>
      <c r="LL25" s="444">
        <v>36.700000000000003</v>
      </c>
      <c r="LM25" s="377"/>
      <c r="LN25" s="373"/>
      <c r="LO25" s="444"/>
    </row>
    <row r="26" spans="1:327" x14ac:dyDescent="0.2">
      <c r="A26" s="1001"/>
      <c r="B26" s="747"/>
      <c r="C26" s="151" t="s">
        <v>650</v>
      </c>
      <c r="D26" s="377"/>
      <c r="E26" s="373"/>
      <c r="F26" s="444" t="s">
        <v>6</v>
      </c>
      <c r="G26" s="377"/>
      <c r="H26" s="373"/>
      <c r="I26" s="444" t="s">
        <v>6</v>
      </c>
      <c r="J26" s="377"/>
      <c r="K26" s="373"/>
      <c r="L26" s="444" t="s">
        <v>6</v>
      </c>
      <c r="M26" s="377"/>
      <c r="N26" s="373"/>
      <c r="O26" s="444"/>
      <c r="P26" s="377"/>
      <c r="Q26" s="373"/>
      <c r="R26" s="444" t="s">
        <v>6</v>
      </c>
      <c r="S26" s="377"/>
      <c r="T26" s="373"/>
      <c r="U26" s="444" t="s">
        <v>6</v>
      </c>
      <c r="V26" s="377"/>
      <c r="W26" s="373"/>
      <c r="X26" s="444" t="s">
        <v>6</v>
      </c>
      <c r="Y26" s="377"/>
      <c r="Z26" s="373"/>
      <c r="AA26" s="444"/>
      <c r="AB26" s="377"/>
      <c r="AC26" s="373"/>
      <c r="AD26" s="444" t="s">
        <v>6</v>
      </c>
      <c r="AE26" s="377"/>
      <c r="AF26" s="373"/>
      <c r="AG26" s="444" t="s">
        <v>6</v>
      </c>
      <c r="AH26" s="377"/>
      <c r="AI26" s="373"/>
      <c r="AJ26" s="444" t="s">
        <v>6</v>
      </c>
      <c r="AK26" s="377"/>
      <c r="AL26" s="373"/>
      <c r="AM26" s="444"/>
      <c r="AN26" s="377">
        <v>5</v>
      </c>
      <c r="AO26" s="373">
        <v>2</v>
      </c>
      <c r="AP26" s="444">
        <v>71.400000000000006</v>
      </c>
      <c r="AQ26" s="377">
        <v>5</v>
      </c>
      <c r="AR26" s="373">
        <v>2</v>
      </c>
      <c r="AS26" s="444">
        <v>71.400000000000006</v>
      </c>
      <c r="AT26" s="377">
        <v>14</v>
      </c>
      <c r="AU26" s="373"/>
      <c r="AV26" s="444">
        <v>100</v>
      </c>
      <c r="AW26" s="377"/>
      <c r="AX26" s="373"/>
      <c r="AY26" s="444"/>
      <c r="AZ26" s="377">
        <v>2</v>
      </c>
      <c r="BA26" s="373">
        <v>2</v>
      </c>
      <c r="BB26" s="444">
        <v>50</v>
      </c>
      <c r="BC26" s="377">
        <v>3</v>
      </c>
      <c r="BD26" s="373">
        <v>2</v>
      </c>
      <c r="BE26" s="444">
        <v>60</v>
      </c>
      <c r="BF26" s="377">
        <v>6</v>
      </c>
      <c r="BG26" s="373"/>
      <c r="BH26" s="444">
        <v>100</v>
      </c>
      <c r="BI26" s="377"/>
      <c r="BJ26" s="373"/>
      <c r="BK26" s="444"/>
      <c r="BL26" s="377"/>
      <c r="BM26" s="373"/>
      <c r="BN26" s="444" t="s">
        <v>6</v>
      </c>
      <c r="BO26" s="377"/>
      <c r="BP26" s="373"/>
      <c r="BQ26" s="444" t="s">
        <v>6</v>
      </c>
      <c r="BR26" s="377"/>
      <c r="BS26" s="373"/>
      <c r="BT26" s="444" t="s">
        <v>6</v>
      </c>
      <c r="BU26" s="377"/>
      <c r="BV26" s="373"/>
      <c r="BW26" s="444"/>
      <c r="BX26" s="377"/>
      <c r="BY26" s="373"/>
      <c r="BZ26" s="444" t="s">
        <v>6</v>
      </c>
      <c r="CA26" s="377"/>
      <c r="CB26" s="373"/>
      <c r="CC26" s="444" t="s">
        <v>6</v>
      </c>
      <c r="CD26" s="377"/>
      <c r="CE26" s="373"/>
      <c r="CF26" s="444" t="s">
        <v>6</v>
      </c>
      <c r="CG26" s="377"/>
      <c r="CH26" s="373"/>
      <c r="CI26" s="444"/>
      <c r="CJ26" s="377"/>
      <c r="CK26" s="373"/>
      <c r="CL26" s="444" t="s">
        <v>6</v>
      </c>
      <c r="CM26" s="377"/>
      <c r="CN26" s="373"/>
      <c r="CO26" s="444" t="s">
        <v>6</v>
      </c>
      <c r="CP26" s="377"/>
      <c r="CQ26" s="373">
        <v>1</v>
      </c>
      <c r="CR26" s="444">
        <v>0</v>
      </c>
      <c r="CS26" s="377"/>
      <c r="CT26" s="373"/>
      <c r="CU26" s="444"/>
      <c r="CV26" s="377">
        <v>12</v>
      </c>
      <c r="CW26" s="373">
        <v>7</v>
      </c>
      <c r="CX26" s="444">
        <v>63.2</v>
      </c>
      <c r="CY26" s="377">
        <v>8</v>
      </c>
      <c r="CZ26" s="373">
        <v>5</v>
      </c>
      <c r="DA26" s="444">
        <v>61.5</v>
      </c>
      <c r="DB26" s="377">
        <v>18</v>
      </c>
      <c r="DC26" s="373">
        <v>8</v>
      </c>
      <c r="DD26" s="444">
        <v>69.2</v>
      </c>
      <c r="DE26" s="377"/>
      <c r="DF26" s="373"/>
      <c r="DG26" s="444"/>
      <c r="DH26" s="377"/>
      <c r="DI26" s="373">
        <v>1</v>
      </c>
      <c r="DJ26" s="444">
        <v>0</v>
      </c>
      <c r="DK26" s="377"/>
      <c r="DL26" s="373"/>
      <c r="DM26" s="444" t="s">
        <v>6</v>
      </c>
      <c r="DN26" s="377"/>
      <c r="DO26" s="373">
        <v>2</v>
      </c>
      <c r="DP26" s="444">
        <v>0</v>
      </c>
      <c r="DQ26" s="377"/>
      <c r="DR26" s="373"/>
      <c r="DS26" s="444"/>
      <c r="DT26" s="377"/>
      <c r="DU26" s="373"/>
      <c r="DV26" s="444" t="s">
        <v>6</v>
      </c>
      <c r="DW26" s="377"/>
      <c r="DX26" s="373"/>
      <c r="DY26" s="444" t="s">
        <v>6</v>
      </c>
      <c r="DZ26" s="377"/>
      <c r="EA26" s="373"/>
      <c r="EB26" s="444" t="s">
        <v>6</v>
      </c>
      <c r="EC26" s="377"/>
      <c r="ED26" s="373"/>
      <c r="EE26" s="444"/>
      <c r="EF26" s="377">
        <v>25</v>
      </c>
      <c r="EG26" s="373">
        <v>494</v>
      </c>
      <c r="EH26" s="444">
        <v>4.8</v>
      </c>
      <c r="EI26" s="377">
        <v>133</v>
      </c>
      <c r="EJ26" s="373">
        <v>374</v>
      </c>
      <c r="EK26" s="444">
        <v>26.2</v>
      </c>
      <c r="EL26" s="377">
        <v>44</v>
      </c>
      <c r="EM26" s="373">
        <v>397</v>
      </c>
      <c r="EN26" s="444">
        <v>10</v>
      </c>
      <c r="EO26" s="377"/>
      <c r="EP26" s="373"/>
      <c r="EQ26" s="444"/>
      <c r="ER26" s="377"/>
      <c r="ES26" s="373">
        <v>29</v>
      </c>
      <c r="ET26" s="444">
        <v>0</v>
      </c>
      <c r="EU26" s="377">
        <v>2</v>
      </c>
      <c r="EV26" s="373">
        <v>15</v>
      </c>
      <c r="EW26" s="444">
        <v>11.8</v>
      </c>
      <c r="EX26" s="377"/>
      <c r="EY26" s="373">
        <v>25</v>
      </c>
      <c r="EZ26" s="444">
        <v>0</v>
      </c>
      <c r="FA26" s="377"/>
      <c r="FB26" s="373"/>
      <c r="FC26" s="444"/>
      <c r="FD26" s="377"/>
      <c r="FE26" s="373">
        <v>60</v>
      </c>
      <c r="FF26" s="444">
        <v>0</v>
      </c>
      <c r="FG26" s="377">
        <v>1</v>
      </c>
      <c r="FH26" s="373">
        <v>26</v>
      </c>
      <c r="FI26" s="444">
        <v>3.7</v>
      </c>
      <c r="FJ26" s="377"/>
      <c r="FK26" s="373">
        <v>41</v>
      </c>
      <c r="FL26" s="444">
        <v>0</v>
      </c>
      <c r="FM26" s="377"/>
      <c r="FN26" s="373"/>
      <c r="FO26" s="444"/>
      <c r="FP26" s="377">
        <v>6</v>
      </c>
      <c r="FQ26" s="373">
        <v>165</v>
      </c>
      <c r="FR26" s="444">
        <v>3.5</v>
      </c>
      <c r="FS26" s="377">
        <v>102</v>
      </c>
      <c r="FT26" s="373">
        <v>154</v>
      </c>
      <c r="FU26" s="444">
        <v>39.799999999999997</v>
      </c>
      <c r="FV26" s="377">
        <v>2</v>
      </c>
      <c r="FW26" s="373">
        <v>127</v>
      </c>
      <c r="FX26" s="444">
        <v>1.6</v>
      </c>
      <c r="FY26" s="377"/>
      <c r="FZ26" s="373"/>
      <c r="GA26" s="444"/>
      <c r="GB26" s="377">
        <v>1</v>
      </c>
      <c r="GC26" s="373">
        <v>2</v>
      </c>
      <c r="GD26" s="444">
        <v>33.299999999999997</v>
      </c>
      <c r="GE26" s="377">
        <v>2</v>
      </c>
      <c r="GF26" s="373">
        <v>2</v>
      </c>
      <c r="GG26" s="444">
        <v>50</v>
      </c>
      <c r="GH26" s="377">
        <v>3</v>
      </c>
      <c r="GI26" s="373"/>
      <c r="GJ26" s="444">
        <v>100</v>
      </c>
      <c r="GK26" s="377"/>
      <c r="GL26" s="373"/>
      <c r="GM26" s="444"/>
      <c r="GN26" s="377"/>
      <c r="GO26" s="373">
        <v>22</v>
      </c>
      <c r="GP26" s="444">
        <v>0</v>
      </c>
      <c r="GQ26" s="377">
        <v>1</v>
      </c>
      <c r="GR26" s="373">
        <v>14</v>
      </c>
      <c r="GS26" s="444">
        <v>6.7</v>
      </c>
      <c r="GT26" s="377">
        <v>2</v>
      </c>
      <c r="GU26" s="373">
        <v>11</v>
      </c>
      <c r="GV26" s="444">
        <v>15.4</v>
      </c>
      <c r="GW26" s="377"/>
      <c r="GX26" s="373"/>
      <c r="GY26" s="444"/>
      <c r="GZ26" s="377"/>
      <c r="HA26" s="373">
        <v>1</v>
      </c>
      <c r="HB26" s="444">
        <v>0</v>
      </c>
      <c r="HC26" s="377"/>
      <c r="HD26" s="373"/>
      <c r="HE26" s="444" t="s">
        <v>6</v>
      </c>
      <c r="HF26" s="377"/>
      <c r="HG26" s="373">
        <v>1</v>
      </c>
      <c r="HH26" s="444">
        <v>0</v>
      </c>
      <c r="HI26" s="377"/>
      <c r="HJ26" s="373"/>
      <c r="HK26" s="444"/>
      <c r="HL26" s="377">
        <v>6</v>
      </c>
      <c r="HM26" s="373">
        <v>45</v>
      </c>
      <c r="HN26" s="444">
        <v>11.8</v>
      </c>
      <c r="HO26" s="377">
        <v>5</v>
      </c>
      <c r="HP26" s="373">
        <v>39</v>
      </c>
      <c r="HQ26" s="444">
        <v>11.4</v>
      </c>
      <c r="HR26" s="377">
        <v>3</v>
      </c>
      <c r="HS26" s="373">
        <v>35</v>
      </c>
      <c r="HT26" s="444">
        <v>7.9</v>
      </c>
      <c r="HU26" s="377"/>
      <c r="HV26" s="373"/>
      <c r="HW26" s="444"/>
      <c r="HX26" s="377"/>
      <c r="HY26" s="373"/>
      <c r="HZ26" s="444" t="s">
        <v>6</v>
      </c>
      <c r="IA26" s="377">
        <v>1</v>
      </c>
      <c r="IB26" s="373"/>
      <c r="IC26" s="444">
        <v>100</v>
      </c>
      <c r="ID26" s="377"/>
      <c r="IE26" s="373"/>
      <c r="IF26" s="444" t="s">
        <v>6</v>
      </c>
      <c r="IG26" s="377"/>
      <c r="IH26" s="373"/>
      <c r="II26" s="444"/>
      <c r="IJ26" s="377"/>
      <c r="IK26" s="373">
        <v>1</v>
      </c>
      <c r="IL26" s="444">
        <v>0</v>
      </c>
      <c r="IM26" s="377">
        <v>1</v>
      </c>
      <c r="IN26" s="373">
        <v>1</v>
      </c>
      <c r="IO26" s="444">
        <v>50</v>
      </c>
      <c r="IP26" s="377"/>
      <c r="IQ26" s="373">
        <v>1</v>
      </c>
      <c r="IR26" s="444">
        <v>0</v>
      </c>
      <c r="IS26" s="377"/>
      <c r="IT26" s="373"/>
      <c r="IU26" s="444"/>
      <c r="IV26" s="377">
        <v>49</v>
      </c>
      <c r="IW26" s="373">
        <v>575</v>
      </c>
      <c r="IX26" s="444">
        <v>7.9</v>
      </c>
      <c r="IY26" s="377">
        <v>156</v>
      </c>
      <c r="IZ26" s="373">
        <v>437</v>
      </c>
      <c r="JA26" s="444">
        <v>26.3</v>
      </c>
      <c r="JB26" s="377">
        <v>84</v>
      </c>
      <c r="JC26" s="373">
        <v>456</v>
      </c>
      <c r="JD26" s="444">
        <v>15.6</v>
      </c>
      <c r="JE26" s="377"/>
      <c r="JF26" s="373"/>
      <c r="JG26" s="444"/>
      <c r="JH26" s="377">
        <v>16</v>
      </c>
      <c r="JI26" s="373">
        <v>148</v>
      </c>
      <c r="JJ26" s="444">
        <v>9.8000000000000007</v>
      </c>
      <c r="JK26" s="377">
        <v>15</v>
      </c>
      <c r="JL26" s="373">
        <v>81</v>
      </c>
      <c r="JM26" s="444">
        <v>15.6</v>
      </c>
      <c r="JN26" s="377">
        <v>18</v>
      </c>
      <c r="JO26" s="373">
        <v>108</v>
      </c>
      <c r="JP26" s="444">
        <v>14.3</v>
      </c>
      <c r="JQ26" s="377"/>
      <c r="JR26" s="373"/>
      <c r="JS26" s="444"/>
      <c r="JT26" s="377"/>
      <c r="JU26" s="373">
        <v>1</v>
      </c>
      <c r="JV26" s="444">
        <v>0</v>
      </c>
      <c r="JW26" s="377"/>
      <c r="JX26" s="373"/>
      <c r="JY26" s="444" t="s">
        <v>6</v>
      </c>
      <c r="JZ26" s="377">
        <v>2</v>
      </c>
      <c r="KA26" s="373">
        <v>1</v>
      </c>
      <c r="KB26" s="444">
        <v>66.7</v>
      </c>
      <c r="KC26" s="377"/>
      <c r="KD26" s="373"/>
      <c r="KE26" s="444"/>
      <c r="KF26" s="377"/>
      <c r="KG26" s="373"/>
      <c r="KH26" s="444" t="s">
        <v>6</v>
      </c>
      <c r="KI26" s="377"/>
      <c r="KJ26" s="373"/>
      <c r="KK26" s="444" t="s">
        <v>6</v>
      </c>
      <c r="KL26" s="377"/>
      <c r="KM26" s="373"/>
      <c r="KN26" s="444" t="s">
        <v>6</v>
      </c>
      <c r="KO26" s="377"/>
      <c r="KP26" s="373"/>
      <c r="KQ26" s="444"/>
      <c r="KR26" s="377">
        <v>19</v>
      </c>
      <c r="KS26" s="373">
        <v>152</v>
      </c>
      <c r="KT26" s="444">
        <v>11.1</v>
      </c>
      <c r="KU26" s="377">
        <v>16</v>
      </c>
      <c r="KV26" s="373">
        <v>84</v>
      </c>
      <c r="KW26" s="444">
        <v>16</v>
      </c>
      <c r="KX26" s="377">
        <v>25</v>
      </c>
      <c r="KY26" s="373">
        <v>115</v>
      </c>
      <c r="KZ26" s="444">
        <v>17.899999999999999</v>
      </c>
      <c r="LA26" s="377"/>
      <c r="LB26" s="373"/>
      <c r="LC26" s="444"/>
      <c r="LD26" s="377">
        <v>87</v>
      </c>
      <c r="LE26" s="373">
        <v>738</v>
      </c>
      <c r="LF26" s="444">
        <v>10.5</v>
      </c>
      <c r="LG26" s="377">
        <v>280</v>
      </c>
      <c r="LH26" s="373">
        <v>550</v>
      </c>
      <c r="LI26" s="444">
        <v>33.700000000000003</v>
      </c>
      <c r="LJ26" s="377">
        <v>155</v>
      </c>
      <c r="LK26" s="373">
        <v>602</v>
      </c>
      <c r="LL26" s="444">
        <v>20.5</v>
      </c>
      <c r="LM26" s="377"/>
      <c r="LN26" s="373"/>
      <c r="LO26" s="444"/>
    </row>
    <row r="27" spans="1:327" ht="13.5" thickBot="1" x14ac:dyDescent="0.25">
      <c r="A27" s="1001"/>
      <c r="B27" s="748"/>
      <c r="C27" s="156" t="s">
        <v>651</v>
      </c>
      <c r="D27" s="448"/>
      <c r="E27" s="449"/>
      <c r="F27" s="450" t="s">
        <v>6</v>
      </c>
      <c r="G27" s="448"/>
      <c r="H27" s="449"/>
      <c r="I27" s="450" t="s">
        <v>6</v>
      </c>
      <c r="J27" s="448"/>
      <c r="K27" s="449"/>
      <c r="L27" s="450" t="s">
        <v>6</v>
      </c>
      <c r="M27" s="448"/>
      <c r="N27" s="449"/>
      <c r="O27" s="450"/>
      <c r="P27" s="448"/>
      <c r="Q27" s="449"/>
      <c r="R27" s="450" t="s">
        <v>6</v>
      </c>
      <c r="S27" s="448"/>
      <c r="T27" s="449"/>
      <c r="U27" s="450" t="s">
        <v>6</v>
      </c>
      <c r="V27" s="448"/>
      <c r="W27" s="449"/>
      <c r="X27" s="450" t="s">
        <v>6</v>
      </c>
      <c r="Y27" s="448"/>
      <c r="Z27" s="449"/>
      <c r="AA27" s="450"/>
      <c r="AB27" s="448"/>
      <c r="AC27" s="449"/>
      <c r="AD27" s="450" t="s">
        <v>6</v>
      </c>
      <c r="AE27" s="448"/>
      <c r="AF27" s="449"/>
      <c r="AG27" s="450" t="s">
        <v>6</v>
      </c>
      <c r="AH27" s="448"/>
      <c r="AI27" s="449"/>
      <c r="AJ27" s="450" t="s">
        <v>6</v>
      </c>
      <c r="AK27" s="448"/>
      <c r="AL27" s="449"/>
      <c r="AM27" s="450"/>
      <c r="AN27" s="448"/>
      <c r="AO27" s="449"/>
      <c r="AP27" s="450" t="s">
        <v>6</v>
      </c>
      <c r="AQ27" s="448">
        <v>2</v>
      </c>
      <c r="AR27" s="449"/>
      <c r="AS27" s="450">
        <v>100</v>
      </c>
      <c r="AT27" s="448"/>
      <c r="AU27" s="449"/>
      <c r="AV27" s="450" t="s">
        <v>6</v>
      </c>
      <c r="AW27" s="448"/>
      <c r="AX27" s="449"/>
      <c r="AY27" s="450"/>
      <c r="AZ27" s="448"/>
      <c r="BA27" s="449"/>
      <c r="BB27" s="450" t="s">
        <v>6</v>
      </c>
      <c r="BC27" s="448">
        <v>2</v>
      </c>
      <c r="BD27" s="449"/>
      <c r="BE27" s="450">
        <v>100</v>
      </c>
      <c r="BF27" s="448"/>
      <c r="BG27" s="449"/>
      <c r="BH27" s="450" t="s">
        <v>6</v>
      </c>
      <c r="BI27" s="448"/>
      <c r="BJ27" s="449"/>
      <c r="BK27" s="450"/>
      <c r="BL27" s="448"/>
      <c r="BM27" s="449"/>
      <c r="BN27" s="450" t="s">
        <v>6</v>
      </c>
      <c r="BO27" s="448"/>
      <c r="BP27" s="449"/>
      <c r="BQ27" s="450" t="s">
        <v>6</v>
      </c>
      <c r="BR27" s="448"/>
      <c r="BS27" s="449"/>
      <c r="BT27" s="450" t="s">
        <v>6</v>
      </c>
      <c r="BU27" s="448"/>
      <c r="BV27" s="449"/>
      <c r="BW27" s="450"/>
      <c r="BX27" s="448"/>
      <c r="BY27" s="449"/>
      <c r="BZ27" s="450" t="s">
        <v>6</v>
      </c>
      <c r="CA27" s="448"/>
      <c r="CB27" s="449"/>
      <c r="CC27" s="450" t="s">
        <v>6</v>
      </c>
      <c r="CD27" s="448"/>
      <c r="CE27" s="449"/>
      <c r="CF27" s="450" t="s">
        <v>6</v>
      </c>
      <c r="CG27" s="448"/>
      <c r="CH27" s="449"/>
      <c r="CI27" s="450"/>
      <c r="CJ27" s="448"/>
      <c r="CK27" s="449"/>
      <c r="CL27" s="450" t="s">
        <v>6</v>
      </c>
      <c r="CM27" s="448"/>
      <c r="CN27" s="449"/>
      <c r="CO27" s="450" t="s">
        <v>6</v>
      </c>
      <c r="CP27" s="448"/>
      <c r="CQ27" s="449"/>
      <c r="CR27" s="450" t="s">
        <v>6</v>
      </c>
      <c r="CS27" s="448"/>
      <c r="CT27" s="449"/>
      <c r="CU27" s="450"/>
      <c r="CV27" s="448"/>
      <c r="CW27" s="449"/>
      <c r="CX27" s="450" t="s">
        <v>6</v>
      </c>
      <c r="CY27" s="448"/>
      <c r="CZ27" s="449"/>
      <c r="DA27" s="450" t="s">
        <v>6</v>
      </c>
      <c r="DB27" s="448"/>
      <c r="DC27" s="449"/>
      <c r="DD27" s="450" t="s">
        <v>6</v>
      </c>
      <c r="DE27" s="448"/>
      <c r="DF27" s="449"/>
      <c r="DG27" s="450"/>
      <c r="DH27" s="448"/>
      <c r="DI27" s="449"/>
      <c r="DJ27" s="450" t="s">
        <v>6</v>
      </c>
      <c r="DK27" s="448"/>
      <c r="DL27" s="449"/>
      <c r="DM27" s="450" t="s">
        <v>6</v>
      </c>
      <c r="DN27" s="448"/>
      <c r="DO27" s="449"/>
      <c r="DP27" s="450" t="s">
        <v>6</v>
      </c>
      <c r="DQ27" s="448"/>
      <c r="DR27" s="449"/>
      <c r="DS27" s="450"/>
      <c r="DT27" s="448"/>
      <c r="DU27" s="449"/>
      <c r="DV27" s="450" t="s">
        <v>6</v>
      </c>
      <c r="DW27" s="448">
        <v>1</v>
      </c>
      <c r="DX27" s="449"/>
      <c r="DY27" s="450">
        <v>100</v>
      </c>
      <c r="DZ27" s="448"/>
      <c r="EA27" s="449"/>
      <c r="EB27" s="450" t="s">
        <v>6</v>
      </c>
      <c r="EC27" s="448"/>
      <c r="ED27" s="449"/>
      <c r="EE27" s="450"/>
      <c r="EF27" s="448">
        <v>1</v>
      </c>
      <c r="EG27" s="449">
        <v>14</v>
      </c>
      <c r="EH27" s="450">
        <v>6.7</v>
      </c>
      <c r="EI27" s="448"/>
      <c r="EJ27" s="449">
        <v>25</v>
      </c>
      <c r="EK27" s="450">
        <v>0</v>
      </c>
      <c r="EL27" s="448"/>
      <c r="EM27" s="449">
        <v>8</v>
      </c>
      <c r="EN27" s="450">
        <v>0</v>
      </c>
      <c r="EO27" s="448"/>
      <c r="EP27" s="449"/>
      <c r="EQ27" s="450"/>
      <c r="ER27" s="448"/>
      <c r="ES27" s="449"/>
      <c r="ET27" s="450" t="s">
        <v>6</v>
      </c>
      <c r="EU27" s="448"/>
      <c r="EV27" s="449"/>
      <c r="EW27" s="450" t="s">
        <v>6</v>
      </c>
      <c r="EX27" s="448"/>
      <c r="EY27" s="449"/>
      <c r="EZ27" s="450" t="s">
        <v>6</v>
      </c>
      <c r="FA27" s="448"/>
      <c r="FB27" s="449"/>
      <c r="FC27" s="450"/>
      <c r="FD27" s="448"/>
      <c r="FE27" s="449"/>
      <c r="FF27" s="450" t="s">
        <v>6</v>
      </c>
      <c r="FG27" s="448"/>
      <c r="FH27" s="449"/>
      <c r="FI27" s="450" t="s">
        <v>6</v>
      </c>
      <c r="FJ27" s="448"/>
      <c r="FK27" s="449"/>
      <c r="FL27" s="450" t="s">
        <v>6</v>
      </c>
      <c r="FM27" s="448"/>
      <c r="FN27" s="449"/>
      <c r="FO27" s="450"/>
      <c r="FP27" s="448"/>
      <c r="FQ27" s="449"/>
      <c r="FR27" s="450" t="s">
        <v>6</v>
      </c>
      <c r="FS27" s="448"/>
      <c r="FT27" s="449"/>
      <c r="FU27" s="450" t="s">
        <v>6</v>
      </c>
      <c r="FV27" s="448"/>
      <c r="FW27" s="449"/>
      <c r="FX27" s="450" t="s">
        <v>6</v>
      </c>
      <c r="FY27" s="448"/>
      <c r="FZ27" s="449"/>
      <c r="GA27" s="450"/>
      <c r="GB27" s="448"/>
      <c r="GC27" s="449"/>
      <c r="GD27" s="450" t="s">
        <v>6</v>
      </c>
      <c r="GE27" s="448"/>
      <c r="GF27" s="449"/>
      <c r="GG27" s="450" t="s">
        <v>6</v>
      </c>
      <c r="GH27" s="448"/>
      <c r="GI27" s="449"/>
      <c r="GJ27" s="450" t="s">
        <v>6</v>
      </c>
      <c r="GK27" s="448"/>
      <c r="GL27" s="449"/>
      <c r="GM27" s="450"/>
      <c r="GN27" s="448"/>
      <c r="GO27" s="449"/>
      <c r="GP27" s="450" t="s">
        <v>6</v>
      </c>
      <c r="GQ27" s="448"/>
      <c r="GR27" s="449"/>
      <c r="GS27" s="450" t="s">
        <v>6</v>
      </c>
      <c r="GT27" s="448"/>
      <c r="GU27" s="449"/>
      <c r="GV27" s="450" t="s">
        <v>6</v>
      </c>
      <c r="GW27" s="448"/>
      <c r="GX27" s="449"/>
      <c r="GY27" s="450"/>
      <c r="GZ27" s="448"/>
      <c r="HA27" s="449"/>
      <c r="HB27" s="450" t="s">
        <v>6</v>
      </c>
      <c r="HC27" s="448"/>
      <c r="HD27" s="449"/>
      <c r="HE27" s="450" t="s">
        <v>6</v>
      </c>
      <c r="HF27" s="448"/>
      <c r="HG27" s="449"/>
      <c r="HH27" s="450" t="s">
        <v>6</v>
      </c>
      <c r="HI27" s="448"/>
      <c r="HJ27" s="449"/>
      <c r="HK27" s="450"/>
      <c r="HL27" s="448"/>
      <c r="HM27" s="449"/>
      <c r="HN27" s="450" t="s">
        <v>6</v>
      </c>
      <c r="HO27" s="448"/>
      <c r="HP27" s="449"/>
      <c r="HQ27" s="450" t="s">
        <v>6</v>
      </c>
      <c r="HR27" s="448"/>
      <c r="HS27" s="449"/>
      <c r="HT27" s="450" t="s">
        <v>6</v>
      </c>
      <c r="HU27" s="448"/>
      <c r="HV27" s="449"/>
      <c r="HW27" s="450"/>
      <c r="HX27" s="448"/>
      <c r="HY27" s="449"/>
      <c r="HZ27" s="450" t="s">
        <v>6</v>
      </c>
      <c r="IA27" s="448"/>
      <c r="IB27" s="449"/>
      <c r="IC27" s="450" t="s">
        <v>6</v>
      </c>
      <c r="ID27" s="448"/>
      <c r="IE27" s="449"/>
      <c r="IF27" s="450" t="s">
        <v>6</v>
      </c>
      <c r="IG27" s="448"/>
      <c r="IH27" s="449"/>
      <c r="II27" s="450"/>
      <c r="IJ27" s="448"/>
      <c r="IK27" s="449"/>
      <c r="IL27" s="450" t="s">
        <v>6</v>
      </c>
      <c r="IM27" s="448"/>
      <c r="IN27" s="449"/>
      <c r="IO27" s="450" t="s">
        <v>6</v>
      </c>
      <c r="IP27" s="448"/>
      <c r="IQ27" s="449">
        <v>1</v>
      </c>
      <c r="IR27" s="450">
        <v>0</v>
      </c>
      <c r="IS27" s="448"/>
      <c r="IT27" s="449"/>
      <c r="IU27" s="450"/>
      <c r="IV27" s="448">
        <v>1</v>
      </c>
      <c r="IW27" s="449">
        <v>14</v>
      </c>
      <c r="IX27" s="450">
        <v>6.7</v>
      </c>
      <c r="IY27" s="448">
        <v>3</v>
      </c>
      <c r="IZ27" s="449">
        <v>25</v>
      </c>
      <c r="JA27" s="450">
        <v>10.7</v>
      </c>
      <c r="JB27" s="448"/>
      <c r="JC27" s="449">
        <v>9</v>
      </c>
      <c r="JD27" s="450">
        <v>0</v>
      </c>
      <c r="JE27" s="448"/>
      <c r="JF27" s="449"/>
      <c r="JG27" s="450"/>
      <c r="JH27" s="448">
        <v>1</v>
      </c>
      <c r="JI27" s="449">
        <v>10</v>
      </c>
      <c r="JJ27" s="450">
        <v>9.1</v>
      </c>
      <c r="JK27" s="448">
        <v>2</v>
      </c>
      <c r="JL27" s="449">
        <v>21</v>
      </c>
      <c r="JM27" s="450">
        <v>8.6999999999999993</v>
      </c>
      <c r="JN27" s="448"/>
      <c r="JO27" s="449">
        <v>7</v>
      </c>
      <c r="JP27" s="450">
        <v>0</v>
      </c>
      <c r="JQ27" s="448"/>
      <c r="JR27" s="449"/>
      <c r="JS27" s="450"/>
      <c r="JT27" s="448"/>
      <c r="JU27" s="449"/>
      <c r="JV27" s="450" t="s">
        <v>6</v>
      </c>
      <c r="JW27" s="448"/>
      <c r="JX27" s="449"/>
      <c r="JY27" s="450" t="s">
        <v>6</v>
      </c>
      <c r="JZ27" s="448"/>
      <c r="KA27" s="449"/>
      <c r="KB27" s="450" t="s">
        <v>6</v>
      </c>
      <c r="KC27" s="448"/>
      <c r="KD27" s="449"/>
      <c r="KE27" s="450"/>
      <c r="KF27" s="448"/>
      <c r="KG27" s="449"/>
      <c r="KH27" s="450" t="s">
        <v>6</v>
      </c>
      <c r="KI27" s="448"/>
      <c r="KJ27" s="449"/>
      <c r="KK27" s="450" t="s">
        <v>6</v>
      </c>
      <c r="KL27" s="448"/>
      <c r="KM27" s="449"/>
      <c r="KN27" s="450" t="s">
        <v>6</v>
      </c>
      <c r="KO27" s="448"/>
      <c r="KP27" s="449"/>
      <c r="KQ27" s="450"/>
      <c r="KR27" s="448">
        <v>4</v>
      </c>
      <c r="KS27" s="449">
        <v>12</v>
      </c>
      <c r="KT27" s="450">
        <v>25</v>
      </c>
      <c r="KU27" s="448">
        <v>9</v>
      </c>
      <c r="KV27" s="449">
        <v>23</v>
      </c>
      <c r="KW27" s="450">
        <v>28.1</v>
      </c>
      <c r="KX27" s="448">
        <v>3</v>
      </c>
      <c r="KY27" s="449">
        <v>7</v>
      </c>
      <c r="KZ27" s="450">
        <v>30</v>
      </c>
      <c r="LA27" s="448"/>
      <c r="LB27" s="449"/>
      <c r="LC27" s="450"/>
      <c r="LD27" s="448">
        <v>7</v>
      </c>
      <c r="LE27" s="449">
        <v>16</v>
      </c>
      <c r="LF27" s="450">
        <v>30.4</v>
      </c>
      <c r="LG27" s="448">
        <v>11</v>
      </c>
      <c r="LH27" s="449">
        <v>28</v>
      </c>
      <c r="LI27" s="450">
        <v>28.2</v>
      </c>
      <c r="LJ27" s="448">
        <v>5</v>
      </c>
      <c r="LK27" s="449">
        <v>9</v>
      </c>
      <c r="LL27" s="450">
        <v>35.700000000000003</v>
      </c>
      <c r="LM27" s="448"/>
      <c r="LN27" s="449"/>
      <c r="LO27" s="450"/>
    </row>
    <row r="28" spans="1:327" s="259" customFormat="1" ht="13.5" thickBot="1" x14ac:dyDescent="0.25">
      <c r="A28" s="1002"/>
      <c r="B28" s="751"/>
      <c r="C28" s="277" t="s">
        <v>786</v>
      </c>
      <c r="D28" s="384">
        <v>9</v>
      </c>
      <c r="E28" s="385"/>
      <c r="F28" s="451">
        <v>100</v>
      </c>
      <c r="G28" s="384">
        <v>13</v>
      </c>
      <c r="H28" s="385"/>
      <c r="I28" s="451">
        <v>100</v>
      </c>
      <c r="J28" s="384">
        <v>14</v>
      </c>
      <c r="K28" s="385"/>
      <c r="L28" s="451">
        <v>100</v>
      </c>
      <c r="M28" s="384"/>
      <c r="N28" s="385"/>
      <c r="O28" s="451"/>
      <c r="P28" s="384">
        <v>4</v>
      </c>
      <c r="Q28" s="385"/>
      <c r="R28" s="451">
        <v>100</v>
      </c>
      <c r="S28" s="384">
        <v>9</v>
      </c>
      <c r="T28" s="385"/>
      <c r="U28" s="451">
        <v>100</v>
      </c>
      <c r="V28" s="384">
        <v>6</v>
      </c>
      <c r="W28" s="385"/>
      <c r="X28" s="451">
        <v>100</v>
      </c>
      <c r="Y28" s="384"/>
      <c r="Z28" s="385"/>
      <c r="AA28" s="451"/>
      <c r="AB28" s="384">
        <v>5</v>
      </c>
      <c r="AC28" s="385"/>
      <c r="AD28" s="451">
        <v>100</v>
      </c>
      <c r="AE28" s="384">
        <v>3</v>
      </c>
      <c r="AF28" s="385"/>
      <c r="AG28" s="451">
        <v>100</v>
      </c>
      <c r="AH28" s="384">
        <v>6</v>
      </c>
      <c r="AI28" s="385"/>
      <c r="AJ28" s="451">
        <v>100</v>
      </c>
      <c r="AK28" s="384"/>
      <c r="AL28" s="385"/>
      <c r="AM28" s="451"/>
      <c r="AN28" s="384">
        <v>392</v>
      </c>
      <c r="AO28" s="385">
        <v>406</v>
      </c>
      <c r="AP28" s="451">
        <v>49.1</v>
      </c>
      <c r="AQ28" s="384">
        <v>402</v>
      </c>
      <c r="AR28" s="385">
        <v>417</v>
      </c>
      <c r="AS28" s="451">
        <v>49.1</v>
      </c>
      <c r="AT28" s="384">
        <v>694</v>
      </c>
      <c r="AU28" s="385">
        <v>351</v>
      </c>
      <c r="AV28" s="451">
        <v>66.400000000000006</v>
      </c>
      <c r="AW28" s="384"/>
      <c r="AX28" s="385"/>
      <c r="AY28" s="451"/>
      <c r="AZ28" s="384">
        <v>240</v>
      </c>
      <c r="BA28" s="385">
        <v>380</v>
      </c>
      <c r="BB28" s="451">
        <v>38.700000000000003</v>
      </c>
      <c r="BC28" s="384">
        <v>218</v>
      </c>
      <c r="BD28" s="385">
        <v>390</v>
      </c>
      <c r="BE28" s="451">
        <v>35.9</v>
      </c>
      <c r="BF28" s="384">
        <v>386</v>
      </c>
      <c r="BG28" s="385">
        <v>319</v>
      </c>
      <c r="BH28" s="451">
        <v>54.8</v>
      </c>
      <c r="BI28" s="384"/>
      <c r="BJ28" s="385"/>
      <c r="BK28" s="451"/>
      <c r="BL28" s="384"/>
      <c r="BM28" s="385"/>
      <c r="BN28" s="451" t="s">
        <v>6</v>
      </c>
      <c r="BO28" s="384">
        <v>4</v>
      </c>
      <c r="BP28" s="385"/>
      <c r="BQ28" s="451">
        <v>100</v>
      </c>
      <c r="BR28" s="384">
        <v>1</v>
      </c>
      <c r="BS28" s="385">
        <v>2</v>
      </c>
      <c r="BT28" s="451">
        <v>33.299999999999997</v>
      </c>
      <c r="BU28" s="384"/>
      <c r="BV28" s="385"/>
      <c r="BW28" s="451"/>
      <c r="BX28" s="384">
        <v>8</v>
      </c>
      <c r="BY28" s="385"/>
      <c r="BZ28" s="451">
        <v>100</v>
      </c>
      <c r="CA28" s="384">
        <v>3</v>
      </c>
      <c r="CB28" s="385">
        <v>1</v>
      </c>
      <c r="CC28" s="451">
        <v>75</v>
      </c>
      <c r="CD28" s="384">
        <v>13</v>
      </c>
      <c r="CE28" s="385">
        <v>2</v>
      </c>
      <c r="CF28" s="451">
        <v>86.7</v>
      </c>
      <c r="CG28" s="384"/>
      <c r="CH28" s="385"/>
      <c r="CI28" s="451"/>
      <c r="CJ28" s="384">
        <v>4</v>
      </c>
      <c r="CK28" s="385">
        <v>11</v>
      </c>
      <c r="CL28" s="451">
        <v>26.7</v>
      </c>
      <c r="CM28" s="384">
        <v>7</v>
      </c>
      <c r="CN28" s="385">
        <v>7</v>
      </c>
      <c r="CO28" s="451">
        <v>50</v>
      </c>
      <c r="CP28" s="384">
        <v>9</v>
      </c>
      <c r="CQ28" s="385">
        <v>6</v>
      </c>
      <c r="CR28" s="451">
        <v>60</v>
      </c>
      <c r="CS28" s="384"/>
      <c r="CT28" s="385"/>
      <c r="CU28" s="451"/>
      <c r="CV28" s="384">
        <v>386</v>
      </c>
      <c r="CW28" s="385">
        <v>595</v>
      </c>
      <c r="CX28" s="451">
        <v>39.299999999999997</v>
      </c>
      <c r="CY28" s="384">
        <v>473</v>
      </c>
      <c r="CZ28" s="385">
        <v>523</v>
      </c>
      <c r="DA28" s="451">
        <v>47.5</v>
      </c>
      <c r="DB28" s="384">
        <v>1000</v>
      </c>
      <c r="DC28" s="385">
        <v>513</v>
      </c>
      <c r="DD28" s="451">
        <v>66.099999999999994</v>
      </c>
      <c r="DE28" s="384"/>
      <c r="DF28" s="385"/>
      <c r="DG28" s="451"/>
      <c r="DH28" s="384">
        <v>23</v>
      </c>
      <c r="DI28" s="385">
        <v>15</v>
      </c>
      <c r="DJ28" s="451">
        <v>60.5</v>
      </c>
      <c r="DK28" s="384">
        <v>34</v>
      </c>
      <c r="DL28" s="385">
        <v>14</v>
      </c>
      <c r="DM28" s="451">
        <v>70.8</v>
      </c>
      <c r="DN28" s="384">
        <v>23</v>
      </c>
      <c r="DO28" s="385">
        <v>20</v>
      </c>
      <c r="DP28" s="451">
        <v>53.5</v>
      </c>
      <c r="DQ28" s="384"/>
      <c r="DR28" s="385"/>
      <c r="DS28" s="451"/>
      <c r="DT28" s="384">
        <v>21</v>
      </c>
      <c r="DU28" s="385">
        <v>16</v>
      </c>
      <c r="DV28" s="451">
        <v>56.8</v>
      </c>
      <c r="DW28" s="384">
        <v>39</v>
      </c>
      <c r="DX28" s="385">
        <v>12</v>
      </c>
      <c r="DY28" s="451">
        <v>76.5</v>
      </c>
      <c r="DZ28" s="384">
        <v>57</v>
      </c>
      <c r="EA28" s="385">
        <v>22</v>
      </c>
      <c r="EB28" s="451">
        <v>72.2</v>
      </c>
      <c r="EC28" s="384"/>
      <c r="ED28" s="385"/>
      <c r="EE28" s="451"/>
      <c r="EF28" s="384">
        <v>1641</v>
      </c>
      <c r="EG28" s="385">
        <v>29105</v>
      </c>
      <c r="EH28" s="451">
        <v>5.3</v>
      </c>
      <c r="EI28" s="384">
        <v>2166</v>
      </c>
      <c r="EJ28" s="385">
        <v>23506</v>
      </c>
      <c r="EK28" s="451">
        <v>8.4</v>
      </c>
      <c r="EL28" s="384">
        <v>3786</v>
      </c>
      <c r="EM28" s="385">
        <v>19714</v>
      </c>
      <c r="EN28" s="451">
        <v>16.100000000000001</v>
      </c>
      <c r="EO28" s="384"/>
      <c r="EP28" s="385"/>
      <c r="EQ28" s="451"/>
      <c r="ER28" s="384">
        <v>100</v>
      </c>
      <c r="ES28" s="385">
        <v>1710</v>
      </c>
      <c r="ET28" s="451">
        <v>5.5</v>
      </c>
      <c r="EU28" s="384">
        <v>103</v>
      </c>
      <c r="EV28" s="385">
        <v>1051</v>
      </c>
      <c r="EW28" s="451">
        <v>8.9</v>
      </c>
      <c r="EX28" s="384">
        <v>55</v>
      </c>
      <c r="EY28" s="385">
        <v>741</v>
      </c>
      <c r="EZ28" s="451">
        <v>6.9</v>
      </c>
      <c r="FA28" s="384"/>
      <c r="FB28" s="385"/>
      <c r="FC28" s="451"/>
      <c r="FD28" s="384">
        <v>73</v>
      </c>
      <c r="FE28" s="385">
        <v>2400</v>
      </c>
      <c r="FF28" s="451">
        <v>3</v>
      </c>
      <c r="FG28" s="384">
        <v>190</v>
      </c>
      <c r="FH28" s="385">
        <v>1849</v>
      </c>
      <c r="FI28" s="451">
        <v>9.3000000000000007</v>
      </c>
      <c r="FJ28" s="384">
        <v>265</v>
      </c>
      <c r="FK28" s="385">
        <v>1461</v>
      </c>
      <c r="FL28" s="451">
        <v>15.4</v>
      </c>
      <c r="FM28" s="384"/>
      <c r="FN28" s="385"/>
      <c r="FO28" s="451"/>
      <c r="FP28" s="384">
        <v>219</v>
      </c>
      <c r="FQ28" s="385">
        <v>4648</v>
      </c>
      <c r="FR28" s="451">
        <v>4.5</v>
      </c>
      <c r="FS28" s="384">
        <v>379</v>
      </c>
      <c r="FT28" s="385">
        <v>3434</v>
      </c>
      <c r="FU28" s="451">
        <v>9.9</v>
      </c>
      <c r="FV28" s="384">
        <v>341</v>
      </c>
      <c r="FW28" s="385">
        <v>2615</v>
      </c>
      <c r="FX28" s="451">
        <v>11.5</v>
      </c>
      <c r="FY28" s="384"/>
      <c r="FZ28" s="385"/>
      <c r="GA28" s="451"/>
      <c r="GB28" s="384">
        <v>252</v>
      </c>
      <c r="GC28" s="385">
        <v>244</v>
      </c>
      <c r="GD28" s="451">
        <v>50.8</v>
      </c>
      <c r="GE28" s="384">
        <v>243</v>
      </c>
      <c r="GF28" s="385">
        <v>130</v>
      </c>
      <c r="GG28" s="451">
        <v>65.099999999999994</v>
      </c>
      <c r="GH28" s="384">
        <v>154</v>
      </c>
      <c r="GI28" s="385">
        <v>74</v>
      </c>
      <c r="GJ28" s="451">
        <v>67.5</v>
      </c>
      <c r="GK28" s="384"/>
      <c r="GL28" s="385"/>
      <c r="GM28" s="451"/>
      <c r="GN28" s="384">
        <v>50</v>
      </c>
      <c r="GO28" s="385">
        <v>1093</v>
      </c>
      <c r="GP28" s="451">
        <v>4.4000000000000004</v>
      </c>
      <c r="GQ28" s="384">
        <v>85</v>
      </c>
      <c r="GR28" s="385">
        <v>817</v>
      </c>
      <c r="GS28" s="451">
        <v>9.4</v>
      </c>
      <c r="GT28" s="384">
        <v>143</v>
      </c>
      <c r="GU28" s="385">
        <v>527</v>
      </c>
      <c r="GV28" s="451">
        <v>21.3</v>
      </c>
      <c r="GW28" s="384"/>
      <c r="GX28" s="385"/>
      <c r="GY28" s="451"/>
      <c r="GZ28" s="384">
        <v>17</v>
      </c>
      <c r="HA28" s="385">
        <v>17</v>
      </c>
      <c r="HB28" s="451">
        <v>50</v>
      </c>
      <c r="HC28" s="384">
        <v>16</v>
      </c>
      <c r="HD28" s="385">
        <v>20</v>
      </c>
      <c r="HE28" s="451">
        <v>44.4</v>
      </c>
      <c r="HF28" s="384">
        <v>24</v>
      </c>
      <c r="HG28" s="385">
        <v>18</v>
      </c>
      <c r="HH28" s="451">
        <v>57.1</v>
      </c>
      <c r="HI28" s="384"/>
      <c r="HJ28" s="385"/>
      <c r="HK28" s="451"/>
      <c r="HL28" s="384">
        <v>152</v>
      </c>
      <c r="HM28" s="385">
        <v>2017</v>
      </c>
      <c r="HN28" s="451">
        <v>7</v>
      </c>
      <c r="HO28" s="384">
        <v>163</v>
      </c>
      <c r="HP28" s="385">
        <v>2071</v>
      </c>
      <c r="HQ28" s="451">
        <v>7.3</v>
      </c>
      <c r="HR28" s="384">
        <v>218</v>
      </c>
      <c r="HS28" s="385">
        <v>1896</v>
      </c>
      <c r="HT28" s="451">
        <v>10.3</v>
      </c>
      <c r="HU28" s="384"/>
      <c r="HV28" s="385"/>
      <c r="HW28" s="451"/>
      <c r="HX28" s="384">
        <v>39</v>
      </c>
      <c r="HY28" s="385">
        <v>10</v>
      </c>
      <c r="HZ28" s="451">
        <v>79.599999999999994</v>
      </c>
      <c r="IA28" s="384">
        <v>39</v>
      </c>
      <c r="IB28" s="385">
        <v>12</v>
      </c>
      <c r="IC28" s="451">
        <v>76.5</v>
      </c>
      <c r="ID28" s="384">
        <v>35</v>
      </c>
      <c r="IE28" s="385">
        <v>8</v>
      </c>
      <c r="IF28" s="451">
        <v>81.400000000000006</v>
      </c>
      <c r="IG28" s="384"/>
      <c r="IH28" s="385"/>
      <c r="II28" s="451"/>
      <c r="IJ28" s="384">
        <v>21</v>
      </c>
      <c r="IK28" s="385">
        <v>166</v>
      </c>
      <c r="IL28" s="451">
        <v>11.2</v>
      </c>
      <c r="IM28" s="384">
        <v>24</v>
      </c>
      <c r="IN28" s="385">
        <v>67</v>
      </c>
      <c r="IO28" s="451">
        <v>26.4</v>
      </c>
      <c r="IP28" s="384">
        <v>43</v>
      </c>
      <c r="IQ28" s="385">
        <v>69</v>
      </c>
      <c r="IR28" s="451">
        <v>38.4</v>
      </c>
      <c r="IS28" s="384"/>
      <c r="IT28" s="385"/>
      <c r="IU28" s="451"/>
      <c r="IV28" s="384">
        <v>3015</v>
      </c>
      <c r="IW28" s="385">
        <v>33695</v>
      </c>
      <c r="IX28" s="451">
        <v>8.1999999999999993</v>
      </c>
      <c r="IY28" s="384">
        <v>3707</v>
      </c>
      <c r="IZ28" s="385">
        <v>27597</v>
      </c>
      <c r="JA28" s="451">
        <v>11.8</v>
      </c>
      <c r="JB28" s="384">
        <v>6213</v>
      </c>
      <c r="JC28" s="385">
        <v>23220</v>
      </c>
      <c r="JD28" s="451">
        <v>21.1</v>
      </c>
      <c r="JE28" s="384"/>
      <c r="JF28" s="385"/>
      <c r="JG28" s="451"/>
      <c r="JH28" s="384">
        <v>841</v>
      </c>
      <c r="JI28" s="385">
        <v>9743</v>
      </c>
      <c r="JJ28" s="451">
        <v>7.9</v>
      </c>
      <c r="JK28" s="384">
        <v>1139</v>
      </c>
      <c r="JL28" s="385">
        <v>7627</v>
      </c>
      <c r="JM28" s="451">
        <v>13</v>
      </c>
      <c r="JN28" s="384">
        <v>1729</v>
      </c>
      <c r="JO28" s="385">
        <v>6293</v>
      </c>
      <c r="JP28" s="451">
        <v>21.6</v>
      </c>
      <c r="JQ28" s="384"/>
      <c r="JR28" s="385"/>
      <c r="JS28" s="451"/>
      <c r="JT28" s="384">
        <v>35</v>
      </c>
      <c r="JU28" s="385">
        <v>144</v>
      </c>
      <c r="JV28" s="451">
        <v>19.600000000000001</v>
      </c>
      <c r="JW28" s="384">
        <v>59</v>
      </c>
      <c r="JX28" s="385">
        <v>81</v>
      </c>
      <c r="JY28" s="451">
        <v>42.1</v>
      </c>
      <c r="JZ28" s="384">
        <v>62</v>
      </c>
      <c r="KA28" s="385">
        <v>87</v>
      </c>
      <c r="KB28" s="451">
        <v>41.6</v>
      </c>
      <c r="KC28" s="384"/>
      <c r="KD28" s="385"/>
      <c r="KE28" s="451"/>
      <c r="KF28" s="384">
        <v>6</v>
      </c>
      <c r="KG28" s="385">
        <v>6</v>
      </c>
      <c r="KH28" s="451">
        <v>50</v>
      </c>
      <c r="KI28" s="384">
        <v>5</v>
      </c>
      <c r="KJ28" s="385">
        <v>1</v>
      </c>
      <c r="KK28" s="451">
        <v>83.3</v>
      </c>
      <c r="KL28" s="384">
        <v>14</v>
      </c>
      <c r="KM28" s="385">
        <v>6</v>
      </c>
      <c r="KN28" s="451">
        <v>70</v>
      </c>
      <c r="KO28" s="384"/>
      <c r="KP28" s="385"/>
      <c r="KQ28" s="451"/>
      <c r="KR28" s="384">
        <v>1052</v>
      </c>
      <c r="KS28" s="385">
        <v>10122</v>
      </c>
      <c r="KT28" s="451">
        <v>9.4</v>
      </c>
      <c r="KU28" s="384">
        <v>1381</v>
      </c>
      <c r="KV28" s="385">
        <v>7909</v>
      </c>
      <c r="KW28" s="451">
        <v>14.9</v>
      </c>
      <c r="KX28" s="384">
        <v>2167</v>
      </c>
      <c r="KY28" s="385">
        <v>6573</v>
      </c>
      <c r="KZ28" s="451">
        <v>24.8</v>
      </c>
      <c r="LA28" s="384"/>
      <c r="LB28" s="385"/>
      <c r="LC28" s="451"/>
      <c r="LD28" s="384">
        <v>10572</v>
      </c>
      <c r="LE28" s="385">
        <v>39552</v>
      </c>
      <c r="LF28" s="451">
        <v>21.1</v>
      </c>
      <c r="LG28" s="384">
        <v>9126</v>
      </c>
      <c r="LH28" s="385">
        <v>33841</v>
      </c>
      <c r="LI28" s="451">
        <v>21.2</v>
      </c>
      <c r="LJ28" s="384">
        <v>16837</v>
      </c>
      <c r="LK28" s="385">
        <v>29308</v>
      </c>
      <c r="LL28" s="451">
        <v>36.5</v>
      </c>
      <c r="LM28" s="384"/>
      <c r="LN28" s="385"/>
      <c r="LO28" s="451"/>
    </row>
    <row r="29" spans="1:327" x14ac:dyDescent="0.2">
      <c r="A29" s="1000" t="s">
        <v>575</v>
      </c>
      <c r="B29" s="749"/>
      <c r="C29" s="247" t="s">
        <v>576</v>
      </c>
      <c r="D29" s="441">
        <v>6</v>
      </c>
      <c r="E29" s="442"/>
      <c r="F29" s="443">
        <v>100</v>
      </c>
      <c r="G29" s="441">
        <v>2</v>
      </c>
      <c r="H29" s="442"/>
      <c r="I29" s="443">
        <v>100</v>
      </c>
      <c r="J29" s="441">
        <v>3</v>
      </c>
      <c r="K29" s="442"/>
      <c r="L29" s="443">
        <v>100</v>
      </c>
      <c r="M29" s="441"/>
      <c r="N29" s="442"/>
      <c r="O29" s="443"/>
      <c r="P29" s="441">
        <v>4</v>
      </c>
      <c r="Q29" s="442"/>
      <c r="R29" s="443">
        <v>100</v>
      </c>
      <c r="S29" s="441">
        <v>1</v>
      </c>
      <c r="T29" s="442"/>
      <c r="U29" s="443">
        <v>100</v>
      </c>
      <c r="V29" s="441">
        <v>3</v>
      </c>
      <c r="W29" s="442"/>
      <c r="X29" s="443">
        <v>100</v>
      </c>
      <c r="Y29" s="441"/>
      <c r="Z29" s="442"/>
      <c r="AA29" s="443"/>
      <c r="AB29" s="441"/>
      <c r="AC29" s="442"/>
      <c r="AD29" s="443" t="s">
        <v>6</v>
      </c>
      <c r="AE29" s="441">
        <v>1</v>
      </c>
      <c r="AF29" s="442"/>
      <c r="AG29" s="443">
        <v>100</v>
      </c>
      <c r="AH29" s="441"/>
      <c r="AI29" s="442"/>
      <c r="AJ29" s="443" t="s">
        <v>6</v>
      </c>
      <c r="AK29" s="441"/>
      <c r="AL29" s="442"/>
      <c r="AM29" s="443"/>
      <c r="AN29" s="441">
        <v>8</v>
      </c>
      <c r="AO29" s="442">
        <v>1</v>
      </c>
      <c r="AP29" s="443">
        <v>88.9</v>
      </c>
      <c r="AQ29" s="441">
        <v>8</v>
      </c>
      <c r="AR29" s="442">
        <v>1</v>
      </c>
      <c r="AS29" s="443">
        <v>88.9</v>
      </c>
      <c r="AT29" s="441">
        <v>3</v>
      </c>
      <c r="AU29" s="442"/>
      <c r="AV29" s="443">
        <v>100</v>
      </c>
      <c r="AW29" s="441"/>
      <c r="AX29" s="442"/>
      <c r="AY29" s="443"/>
      <c r="AZ29" s="441">
        <v>6</v>
      </c>
      <c r="BA29" s="442">
        <v>1</v>
      </c>
      <c r="BB29" s="443">
        <v>85.7</v>
      </c>
      <c r="BC29" s="441">
        <v>4</v>
      </c>
      <c r="BD29" s="442"/>
      <c r="BE29" s="443">
        <v>100</v>
      </c>
      <c r="BF29" s="441">
        <v>3</v>
      </c>
      <c r="BG29" s="442"/>
      <c r="BH29" s="443">
        <v>100</v>
      </c>
      <c r="BI29" s="441"/>
      <c r="BJ29" s="442"/>
      <c r="BK29" s="443"/>
      <c r="BL29" s="441"/>
      <c r="BM29" s="442"/>
      <c r="BN29" s="443" t="s">
        <v>6</v>
      </c>
      <c r="BO29" s="441"/>
      <c r="BP29" s="442"/>
      <c r="BQ29" s="443" t="s">
        <v>6</v>
      </c>
      <c r="BR29" s="441"/>
      <c r="BS29" s="442"/>
      <c r="BT29" s="443" t="s">
        <v>6</v>
      </c>
      <c r="BU29" s="441"/>
      <c r="BV29" s="442"/>
      <c r="BW29" s="443"/>
      <c r="BX29" s="441"/>
      <c r="BY29" s="442"/>
      <c r="BZ29" s="443" t="s">
        <v>6</v>
      </c>
      <c r="CA29" s="441"/>
      <c r="CB29" s="442"/>
      <c r="CC29" s="443" t="s">
        <v>6</v>
      </c>
      <c r="CD29" s="441"/>
      <c r="CE29" s="442"/>
      <c r="CF29" s="443" t="s">
        <v>6</v>
      </c>
      <c r="CG29" s="441"/>
      <c r="CH29" s="442"/>
      <c r="CI29" s="443"/>
      <c r="CJ29" s="441"/>
      <c r="CK29" s="442"/>
      <c r="CL29" s="443" t="s">
        <v>6</v>
      </c>
      <c r="CM29" s="441"/>
      <c r="CN29" s="442"/>
      <c r="CO29" s="443" t="s">
        <v>6</v>
      </c>
      <c r="CP29" s="441"/>
      <c r="CQ29" s="442"/>
      <c r="CR29" s="443" t="s">
        <v>6</v>
      </c>
      <c r="CS29" s="441"/>
      <c r="CT29" s="442"/>
      <c r="CU29" s="443"/>
      <c r="CV29" s="441">
        <v>2</v>
      </c>
      <c r="CW29" s="442"/>
      <c r="CX29" s="443">
        <v>100</v>
      </c>
      <c r="CY29" s="441">
        <v>1</v>
      </c>
      <c r="CZ29" s="442"/>
      <c r="DA29" s="443">
        <v>100</v>
      </c>
      <c r="DB29" s="441"/>
      <c r="DC29" s="442"/>
      <c r="DD29" s="443" t="s">
        <v>6</v>
      </c>
      <c r="DE29" s="441"/>
      <c r="DF29" s="442"/>
      <c r="DG29" s="443"/>
      <c r="DH29" s="441">
        <v>2</v>
      </c>
      <c r="DI29" s="442"/>
      <c r="DJ29" s="443">
        <v>100</v>
      </c>
      <c r="DK29" s="441"/>
      <c r="DL29" s="442"/>
      <c r="DM29" s="443" t="s">
        <v>6</v>
      </c>
      <c r="DN29" s="441"/>
      <c r="DO29" s="442"/>
      <c r="DP29" s="443" t="s">
        <v>6</v>
      </c>
      <c r="DQ29" s="441"/>
      <c r="DR29" s="442"/>
      <c r="DS29" s="443"/>
      <c r="DT29" s="441">
        <v>1</v>
      </c>
      <c r="DU29" s="442"/>
      <c r="DV29" s="443">
        <v>100</v>
      </c>
      <c r="DW29" s="441">
        <v>12</v>
      </c>
      <c r="DX29" s="442"/>
      <c r="DY29" s="443">
        <v>100</v>
      </c>
      <c r="DZ29" s="441">
        <v>5</v>
      </c>
      <c r="EA29" s="442"/>
      <c r="EB29" s="443">
        <v>100</v>
      </c>
      <c r="EC29" s="441"/>
      <c r="ED29" s="442"/>
      <c r="EE29" s="443"/>
      <c r="EF29" s="441">
        <v>21</v>
      </c>
      <c r="EG29" s="442">
        <v>1</v>
      </c>
      <c r="EH29" s="443">
        <v>95.5</v>
      </c>
      <c r="EI29" s="441"/>
      <c r="EJ29" s="442"/>
      <c r="EK29" s="443" t="s">
        <v>6</v>
      </c>
      <c r="EL29" s="441">
        <v>1</v>
      </c>
      <c r="EM29" s="442"/>
      <c r="EN29" s="443">
        <v>100</v>
      </c>
      <c r="EO29" s="441"/>
      <c r="EP29" s="442"/>
      <c r="EQ29" s="443"/>
      <c r="ER29" s="441"/>
      <c r="ES29" s="442"/>
      <c r="ET29" s="443" t="s">
        <v>6</v>
      </c>
      <c r="EU29" s="441"/>
      <c r="EV29" s="442"/>
      <c r="EW29" s="443" t="s">
        <v>6</v>
      </c>
      <c r="EX29" s="441"/>
      <c r="EY29" s="442"/>
      <c r="EZ29" s="443" t="s">
        <v>6</v>
      </c>
      <c r="FA29" s="441"/>
      <c r="FB29" s="442"/>
      <c r="FC29" s="443"/>
      <c r="FD29" s="441"/>
      <c r="FE29" s="442"/>
      <c r="FF29" s="443" t="s">
        <v>6</v>
      </c>
      <c r="FG29" s="441"/>
      <c r="FH29" s="442"/>
      <c r="FI29" s="443" t="s">
        <v>6</v>
      </c>
      <c r="FJ29" s="441"/>
      <c r="FK29" s="442"/>
      <c r="FL29" s="443" t="s">
        <v>6</v>
      </c>
      <c r="FM29" s="441"/>
      <c r="FN29" s="442"/>
      <c r="FO29" s="443"/>
      <c r="FP29" s="441">
        <v>7</v>
      </c>
      <c r="FQ29" s="442"/>
      <c r="FR29" s="443">
        <v>100</v>
      </c>
      <c r="FS29" s="441"/>
      <c r="FT29" s="442"/>
      <c r="FU29" s="443" t="s">
        <v>6</v>
      </c>
      <c r="FV29" s="441"/>
      <c r="FW29" s="442"/>
      <c r="FX29" s="443" t="s">
        <v>6</v>
      </c>
      <c r="FY29" s="441"/>
      <c r="FZ29" s="442"/>
      <c r="GA29" s="443"/>
      <c r="GB29" s="441">
        <v>6</v>
      </c>
      <c r="GC29" s="442"/>
      <c r="GD29" s="443">
        <v>100</v>
      </c>
      <c r="GE29" s="441">
        <v>1</v>
      </c>
      <c r="GF29" s="442"/>
      <c r="GG29" s="443">
        <v>100</v>
      </c>
      <c r="GH29" s="441">
        <v>6</v>
      </c>
      <c r="GI29" s="442"/>
      <c r="GJ29" s="443">
        <v>100</v>
      </c>
      <c r="GK29" s="441"/>
      <c r="GL29" s="442"/>
      <c r="GM29" s="443"/>
      <c r="GN29" s="441">
        <v>1</v>
      </c>
      <c r="GO29" s="442"/>
      <c r="GP29" s="443">
        <v>100</v>
      </c>
      <c r="GQ29" s="441"/>
      <c r="GR29" s="442"/>
      <c r="GS29" s="443" t="s">
        <v>6</v>
      </c>
      <c r="GT29" s="441">
        <v>1</v>
      </c>
      <c r="GU29" s="442"/>
      <c r="GV29" s="443">
        <v>100</v>
      </c>
      <c r="GW29" s="441"/>
      <c r="GX29" s="442"/>
      <c r="GY29" s="443"/>
      <c r="GZ29" s="441"/>
      <c r="HA29" s="442"/>
      <c r="HB29" s="443" t="s">
        <v>6</v>
      </c>
      <c r="HC29" s="441"/>
      <c r="HD29" s="442"/>
      <c r="HE29" s="443" t="s">
        <v>6</v>
      </c>
      <c r="HF29" s="441"/>
      <c r="HG29" s="442"/>
      <c r="HH29" s="443" t="s">
        <v>6</v>
      </c>
      <c r="HI29" s="441"/>
      <c r="HJ29" s="442"/>
      <c r="HK29" s="443"/>
      <c r="HL29" s="441"/>
      <c r="HM29" s="442"/>
      <c r="HN29" s="443" t="s">
        <v>6</v>
      </c>
      <c r="HO29" s="441"/>
      <c r="HP29" s="442"/>
      <c r="HQ29" s="443" t="s">
        <v>6</v>
      </c>
      <c r="HR29" s="441"/>
      <c r="HS29" s="442"/>
      <c r="HT29" s="443" t="s">
        <v>6</v>
      </c>
      <c r="HU29" s="441"/>
      <c r="HV29" s="442"/>
      <c r="HW29" s="443"/>
      <c r="HX29" s="441"/>
      <c r="HY29" s="442"/>
      <c r="HZ29" s="443" t="s">
        <v>6</v>
      </c>
      <c r="IA29" s="441"/>
      <c r="IB29" s="442"/>
      <c r="IC29" s="443" t="s">
        <v>6</v>
      </c>
      <c r="ID29" s="441"/>
      <c r="IE29" s="442"/>
      <c r="IF29" s="443" t="s">
        <v>6</v>
      </c>
      <c r="IG29" s="441"/>
      <c r="IH29" s="442"/>
      <c r="II29" s="443"/>
      <c r="IJ29" s="441"/>
      <c r="IK29" s="442"/>
      <c r="IL29" s="443" t="s">
        <v>6</v>
      </c>
      <c r="IM29" s="441"/>
      <c r="IN29" s="442"/>
      <c r="IO29" s="443" t="s">
        <v>6</v>
      </c>
      <c r="IP29" s="441"/>
      <c r="IQ29" s="442"/>
      <c r="IR29" s="443" t="s">
        <v>6</v>
      </c>
      <c r="IS29" s="441"/>
      <c r="IT29" s="442"/>
      <c r="IU29" s="443"/>
      <c r="IV29" s="441">
        <v>47</v>
      </c>
      <c r="IW29" s="442">
        <v>2</v>
      </c>
      <c r="IX29" s="443">
        <v>95.9</v>
      </c>
      <c r="IY29" s="441">
        <v>24</v>
      </c>
      <c r="IZ29" s="442">
        <v>1</v>
      </c>
      <c r="JA29" s="443">
        <v>96</v>
      </c>
      <c r="JB29" s="441">
        <v>19</v>
      </c>
      <c r="JC29" s="442"/>
      <c r="JD29" s="443">
        <v>100</v>
      </c>
      <c r="JE29" s="441"/>
      <c r="JF29" s="442"/>
      <c r="JG29" s="443"/>
      <c r="JH29" s="441">
        <v>11</v>
      </c>
      <c r="JI29" s="442"/>
      <c r="JJ29" s="443">
        <v>100</v>
      </c>
      <c r="JK29" s="441">
        <v>2</v>
      </c>
      <c r="JL29" s="442">
        <v>1</v>
      </c>
      <c r="JM29" s="443">
        <v>66.7</v>
      </c>
      <c r="JN29" s="441">
        <v>1</v>
      </c>
      <c r="JO29" s="442"/>
      <c r="JP29" s="443">
        <v>100</v>
      </c>
      <c r="JQ29" s="441"/>
      <c r="JR29" s="442"/>
      <c r="JS29" s="443"/>
      <c r="JT29" s="441"/>
      <c r="JU29" s="442"/>
      <c r="JV29" s="443" t="s">
        <v>6</v>
      </c>
      <c r="JW29" s="441">
        <v>1</v>
      </c>
      <c r="JX29" s="442"/>
      <c r="JY29" s="443">
        <v>100</v>
      </c>
      <c r="JZ29" s="441"/>
      <c r="KA29" s="442"/>
      <c r="KB29" s="443" t="s">
        <v>6</v>
      </c>
      <c r="KC29" s="441"/>
      <c r="KD29" s="442"/>
      <c r="KE29" s="443"/>
      <c r="KF29" s="441"/>
      <c r="KG29" s="442"/>
      <c r="KH29" s="443" t="s">
        <v>6</v>
      </c>
      <c r="KI29" s="441"/>
      <c r="KJ29" s="442"/>
      <c r="KK29" s="443" t="s">
        <v>6</v>
      </c>
      <c r="KL29" s="441"/>
      <c r="KM29" s="442"/>
      <c r="KN29" s="443" t="s">
        <v>6</v>
      </c>
      <c r="KO29" s="441"/>
      <c r="KP29" s="442"/>
      <c r="KQ29" s="443"/>
      <c r="KR29" s="441">
        <v>13</v>
      </c>
      <c r="KS29" s="442"/>
      <c r="KT29" s="443">
        <v>100</v>
      </c>
      <c r="KU29" s="441">
        <v>2</v>
      </c>
      <c r="KV29" s="442">
        <v>1</v>
      </c>
      <c r="KW29" s="443">
        <v>66.7</v>
      </c>
      <c r="KX29" s="441">
        <v>1</v>
      </c>
      <c r="KY29" s="442"/>
      <c r="KZ29" s="443">
        <v>100</v>
      </c>
      <c r="LA29" s="441"/>
      <c r="LB29" s="442"/>
      <c r="LC29" s="443"/>
      <c r="LD29" s="441">
        <v>88</v>
      </c>
      <c r="LE29" s="442">
        <v>4</v>
      </c>
      <c r="LF29" s="443">
        <v>95.7</v>
      </c>
      <c r="LG29" s="441">
        <v>194</v>
      </c>
      <c r="LH29" s="442">
        <v>8</v>
      </c>
      <c r="LI29" s="443">
        <v>96</v>
      </c>
      <c r="LJ29" s="441">
        <v>43</v>
      </c>
      <c r="LK29" s="442">
        <v>3</v>
      </c>
      <c r="LL29" s="443">
        <v>93.5</v>
      </c>
      <c r="LM29" s="441"/>
      <c r="LN29" s="442"/>
      <c r="LO29" s="443"/>
    </row>
    <row r="30" spans="1:327" x14ac:dyDescent="0.2">
      <c r="A30" s="1001"/>
      <c r="B30" s="747"/>
      <c r="C30" s="151" t="s">
        <v>652</v>
      </c>
      <c r="D30" s="377"/>
      <c r="E30" s="373"/>
      <c r="F30" s="444" t="s">
        <v>6</v>
      </c>
      <c r="G30" s="377"/>
      <c r="H30" s="373"/>
      <c r="I30" s="444" t="s">
        <v>6</v>
      </c>
      <c r="J30" s="377"/>
      <c r="K30" s="373"/>
      <c r="L30" s="444" t="s">
        <v>6</v>
      </c>
      <c r="M30" s="377"/>
      <c r="N30" s="373"/>
      <c r="O30" s="444"/>
      <c r="P30" s="377"/>
      <c r="Q30" s="373"/>
      <c r="R30" s="444" t="s">
        <v>6</v>
      </c>
      <c r="S30" s="377"/>
      <c r="T30" s="373"/>
      <c r="U30" s="444" t="s">
        <v>6</v>
      </c>
      <c r="V30" s="377"/>
      <c r="W30" s="373"/>
      <c r="X30" s="444" t="s">
        <v>6</v>
      </c>
      <c r="Y30" s="377"/>
      <c r="Z30" s="373"/>
      <c r="AA30" s="444"/>
      <c r="AB30" s="377"/>
      <c r="AC30" s="373"/>
      <c r="AD30" s="444" t="s">
        <v>6</v>
      </c>
      <c r="AE30" s="377"/>
      <c r="AF30" s="373"/>
      <c r="AG30" s="444" t="s">
        <v>6</v>
      </c>
      <c r="AH30" s="377"/>
      <c r="AI30" s="373"/>
      <c r="AJ30" s="444" t="s">
        <v>6</v>
      </c>
      <c r="AK30" s="377"/>
      <c r="AL30" s="373"/>
      <c r="AM30" s="444"/>
      <c r="AN30" s="377">
        <v>46</v>
      </c>
      <c r="AO30" s="373">
        <v>22</v>
      </c>
      <c r="AP30" s="444">
        <v>67.599999999999994</v>
      </c>
      <c r="AQ30" s="377">
        <v>50</v>
      </c>
      <c r="AR30" s="373">
        <v>12</v>
      </c>
      <c r="AS30" s="444">
        <v>80.599999999999994</v>
      </c>
      <c r="AT30" s="377">
        <v>66</v>
      </c>
      <c r="AU30" s="373">
        <v>17</v>
      </c>
      <c r="AV30" s="444">
        <v>79.5</v>
      </c>
      <c r="AW30" s="377"/>
      <c r="AX30" s="373"/>
      <c r="AY30" s="444"/>
      <c r="AZ30" s="377">
        <v>23</v>
      </c>
      <c r="BA30" s="373">
        <v>20</v>
      </c>
      <c r="BB30" s="444">
        <v>53.5</v>
      </c>
      <c r="BC30" s="377">
        <v>25</v>
      </c>
      <c r="BD30" s="373">
        <v>12</v>
      </c>
      <c r="BE30" s="444">
        <v>67.599999999999994</v>
      </c>
      <c r="BF30" s="377">
        <v>24</v>
      </c>
      <c r="BG30" s="373">
        <v>16</v>
      </c>
      <c r="BH30" s="444">
        <v>60</v>
      </c>
      <c r="BI30" s="377"/>
      <c r="BJ30" s="373"/>
      <c r="BK30" s="444"/>
      <c r="BL30" s="377"/>
      <c r="BM30" s="373"/>
      <c r="BN30" s="444" t="s">
        <v>6</v>
      </c>
      <c r="BO30" s="377"/>
      <c r="BP30" s="373"/>
      <c r="BQ30" s="444" t="s">
        <v>6</v>
      </c>
      <c r="BR30" s="377"/>
      <c r="BS30" s="373"/>
      <c r="BT30" s="444" t="s">
        <v>6</v>
      </c>
      <c r="BU30" s="377"/>
      <c r="BV30" s="373"/>
      <c r="BW30" s="444"/>
      <c r="BX30" s="377"/>
      <c r="BY30" s="373">
        <v>1</v>
      </c>
      <c r="BZ30" s="444">
        <v>0</v>
      </c>
      <c r="CA30" s="377"/>
      <c r="CB30" s="373"/>
      <c r="CC30" s="444" t="s">
        <v>6</v>
      </c>
      <c r="CD30" s="377"/>
      <c r="CE30" s="373"/>
      <c r="CF30" s="444" t="s">
        <v>6</v>
      </c>
      <c r="CG30" s="377"/>
      <c r="CH30" s="373"/>
      <c r="CI30" s="444"/>
      <c r="CJ30" s="377"/>
      <c r="CK30" s="373"/>
      <c r="CL30" s="444" t="s">
        <v>6</v>
      </c>
      <c r="CM30" s="377"/>
      <c r="CN30" s="373"/>
      <c r="CO30" s="444" t="s">
        <v>6</v>
      </c>
      <c r="CP30" s="377"/>
      <c r="CQ30" s="373"/>
      <c r="CR30" s="444" t="s">
        <v>6</v>
      </c>
      <c r="CS30" s="377"/>
      <c r="CT30" s="373"/>
      <c r="CU30" s="444"/>
      <c r="CV30" s="377">
        <v>49</v>
      </c>
      <c r="CW30" s="373">
        <v>13</v>
      </c>
      <c r="CX30" s="444">
        <v>79</v>
      </c>
      <c r="CY30" s="377">
        <v>92</v>
      </c>
      <c r="CZ30" s="373">
        <v>24</v>
      </c>
      <c r="DA30" s="444">
        <v>79.3</v>
      </c>
      <c r="DB30" s="377">
        <v>113</v>
      </c>
      <c r="DC30" s="373">
        <v>28</v>
      </c>
      <c r="DD30" s="444">
        <v>80.099999999999994</v>
      </c>
      <c r="DE30" s="377"/>
      <c r="DF30" s="373"/>
      <c r="DG30" s="444"/>
      <c r="DH30" s="377">
        <v>2</v>
      </c>
      <c r="DI30" s="373"/>
      <c r="DJ30" s="444">
        <v>100</v>
      </c>
      <c r="DK30" s="377">
        <v>3</v>
      </c>
      <c r="DL30" s="373"/>
      <c r="DM30" s="444">
        <v>100</v>
      </c>
      <c r="DN30" s="377">
        <v>4</v>
      </c>
      <c r="DO30" s="373">
        <v>1</v>
      </c>
      <c r="DP30" s="444">
        <v>80</v>
      </c>
      <c r="DQ30" s="377"/>
      <c r="DR30" s="373"/>
      <c r="DS30" s="444"/>
      <c r="DT30" s="377"/>
      <c r="DU30" s="373"/>
      <c r="DV30" s="444" t="s">
        <v>6</v>
      </c>
      <c r="DW30" s="377">
        <v>1</v>
      </c>
      <c r="DX30" s="373"/>
      <c r="DY30" s="444">
        <v>100</v>
      </c>
      <c r="DZ30" s="377"/>
      <c r="EA30" s="373"/>
      <c r="EB30" s="444" t="s">
        <v>6</v>
      </c>
      <c r="EC30" s="377"/>
      <c r="ED30" s="373"/>
      <c r="EE30" s="444"/>
      <c r="EF30" s="377">
        <v>476</v>
      </c>
      <c r="EG30" s="373">
        <v>1182</v>
      </c>
      <c r="EH30" s="444">
        <v>28.7</v>
      </c>
      <c r="EI30" s="377">
        <v>317</v>
      </c>
      <c r="EJ30" s="373">
        <v>900</v>
      </c>
      <c r="EK30" s="444">
        <v>26</v>
      </c>
      <c r="EL30" s="377">
        <v>372</v>
      </c>
      <c r="EM30" s="373">
        <v>743</v>
      </c>
      <c r="EN30" s="444">
        <v>33.4</v>
      </c>
      <c r="EO30" s="377"/>
      <c r="EP30" s="373"/>
      <c r="EQ30" s="444"/>
      <c r="ER30" s="377">
        <v>4</v>
      </c>
      <c r="ES30" s="373">
        <v>1</v>
      </c>
      <c r="ET30" s="444">
        <v>80</v>
      </c>
      <c r="EU30" s="377">
        <v>1</v>
      </c>
      <c r="EV30" s="373">
        <v>5</v>
      </c>
      <c r="EW30" s="444">
        <v>16.7</v>
      </c>
      <c r="EX30" s="377">
        <v>7</v>
      </c>
      <c r="EY30" s="373">
        <v>7</v>
      </c>
      <c r="EZ30" s="444">
        <v>50</v>
      </c>
      <c r="FA30" s="377"/>
      <c r="FB30" s="373"/>
      <c r="FC30" s="444"/>
      <c r="FD30" s="377">
        <v>30</v>
      </c>
      <c r="FE30" s="373">
        <v>65</v>
      </c>
      <c r="FF30" s="444">
        <v>31.6</v>
      </c>
      <c r="FG30" s="377">
        <v>11</v>
      </c>
      <c r="FH30" s="373">
        <v>31</v>
      </c>
      <c r="FI30" s="444">
        <v>26.2</v>
      </c>
      <c r="FJ30" s="377">
        <v>9</v>
      </c>
      <c r="FK30" s="373">
        <v>36</v>
      </c>
      <c r="FL30" s="444">
        <v>20</v>
      </c>
      <c r="FM30" s="377"/>
      <c r="FN30" s="373"/>
      <c r="FO30" s="444"/>
      <c r="FP30" s="377">
        <v>104</v>
      </c>
      <c r="FQ30" s="373">
        <v>357</v>
      </c>
      <c r="FR30" s="444">
        <v>22.6</v>
      </c>
      <c r="FS30" s="377">
        <v>62</v>
      </c>
      <c r="FT30" s="373">
        <v>246</v>
      </c>
      <c r="FU30" s="444">
        <v>20.100000000000001</v>
      </c>
      <c r="FV30" s="377">
        <v>123</v>
      </c>
      <c r="FW30" s="373">
        <v>190</v>
      </c>
      <c r="FX30" s="444">
        <v>39.299999999999997</v>
      </c>
      <c r="FY30" s="377"/>
      <c r="FZ30" s="373"/>
      <c r="GA30" s="444"/>
      <c r="GB30" s="377">
        <v>15</v>
      </c>
      <c r="GC30" s="373"/>
      <c r="GD30" s="444">
        <v>100</v>
      </c>
      <c r="GE30" s="377">
        <v>12</v>
      </c>
      <c r="GF30" s="373">
        <v>3</v>
      </c>
      <c r="GG30" s="444">
        <v>80</v>
      </c>
      <c r="GH30" s="377">
        <v>11</v>
      </c>
      <c r="GI30" s="373">
        <v>2</v>
      </c>
      <c r="GJ30" s="444">
        <v>84.6</v>
      </c>
      <c r="GK30" s="377"/>
      <c r="GL30" s="373"/>
      <c r="GM30" s="444"/>
      <c r="GN30" s="377">
        <v>10</v>
      </c>
      <c r="GO30" s="373">
        <v>5</v>
      </c>
      <c r="GP30" s="444">
        <v>66.7</v>
      </c>
      <c r="GQ30" s="377">
        <v>4</v>
      </c>
      <c r="GR30" s="373">
        <v>8</v>
      </c>
      <c r="GS30" s="444">
        <v>33.299999999999997</v>
      </c>
      <c r="GT30" s="377">
        <v>8</v>
      </c>
      <c r="GU30" s="373">
        <v>3</v>
      </c>
      <c r="GV30" s="444">
        <v>72.7</v>
      </c>
      <c r="GW30" s="377"/>
      <c r="GX30" s="373"/>
      <c r="GY30" s="444"/>
      <c r="GZ30" s="377"/>
      <c r="HA30" s="373"/>
      <c r="HB30" s="444" t="s">
        <v>6</v>
      </c>
      <c r="HC30" s="377">
        <v>2</v>
      </c>
      <c r="HD30" s="373">
        <v>4</v>
      </c>
      <c r="HE30" s="444">
        <v>33.299999999999997</v>
      </c>
      <c r="HF30" s="377">
        <v>1</v>
      </c>
      <c r="HG30" s="373">
        <v>2</v>
      </c>
      <c r="HH30" s="444">
        <v>33.299999999999997</v>
      </c>
      <c r="HI30" s="377"/>
      <c r="HJ30" s="373"/>
      <c r="HK30" s="444"/>
      <c r="HL30" s="377">
        <v>31</v>
      </c>
      <c r="HM30" s="373">
        <v>75</v>
      </c>
      <c r="HN30" s="444">
        <v>29.2</v>
      </c>
      <c r="HO30" s="377">
        <v>22</v>
      </c>
      <c r="HP30" s="373">
        <v>77</v>
      </c>
      <c r="HQ30" s="444">
        <v>22.2</v>
      </c>
      <c r="HR30" s="377">
        <v>54</v>
      </c>
      <c r="HS30" s="373">
        <v>59</v>
      </c>
      <c r="HT30" s="444">
        <v>47.8</v>
      </c>
      <c r="HU30" s="377"/>
      <c r="HV30" s="373"/>
      <c r="HW30" s="444"/>
      <c r="HX30" s="377">
        <v>12</v>
      </c>
      <c r="HY30" s="373">
        <v>2</v>
      </c>
      <c r="HZ30" s="444">
        <v>85.7</v>
      </c>
      <c r="IA30" s="377"/>
      <c r="IB30" s="373"/>
      <c r="IC30" s="444" t="s">
        <v>6</v>
      </c>
      <c r="ID30" s="377">
        <v>5</v>
      </c>
      <c r="IE30" s="373"/>
      <c r="IF30" s="444">
        <v>100</v>
      </c>
      <c r="IG30" s="377"/>
      <c r="IH30" s="373"/>
      <c r="II30" s="444"/>
      <c r="IJ30" s="377">
        <v>8</v>
      </c>
      <c r="IK30" s="373">
        <v>3</v>
      </c>
      <c r="IL30" s="444">
        <v>72.7</v>
      </c>
      <c r="IM30" s="377">
        <v>9</v>
      </c>
      <c r="IN30" s="373">
        <v>11</v>
      </c>
      <c r="IO30" s="444">
        <v>45</v>
      </c>
      <c r="IP30" s="377">
        <v>7</v>
      </c>
      <c r="IQ30" s="373">
        <v>5</v>
      </c>
      <c r="IR30" s="444">
        <v>58.3</v>
      </c>
      <c r="IS30" s="377"/>
      <c r="IT30" s="373"/>
      <c r="IU30" s="444"/>
      <c r="IV30" s="377">
        <v>649</v>
      </c>
      <c r="IW30" s="373">
        <v>1303</v>
      </c>
      <c r="IX30" s="444">
        <v>33.200000000000003</v>
      </c>
      <c r="IY30" s="377">
        <v>512</v>
      </c>
      <c r="IZ30" s="373">
        <v>1039</v>
      </c>
      <c r="JA30" s="444">
        <v>33</v>
      </c>
      <c r="JB30" s="377">
        <v>641</v>
      </c>
      <c r="JC30" s="373">
        <v>860</v>
      </c>
      <c r="JD30" s="444">
        <v>42.7</v>
      </c>
      <c r="JE30" s="377"/>
      <c r="JF30" s="373"/>
      <c r="JG30" s="444"/>
      <c r="JH30" s="377">
        <v>133</v>
      </c>
      <c r="JI30" s="373">
        <v>174</v>
      </c>
      <c r="JJ30" s="444">
        <v>43.3</v>
      </c>
      <c r="JK30" s="377">
        <v>112</v>
      </c>
      <c r="JL30" s="373">
        <v>138</v>
      </c>
      <c r="JM30" s="444">
        <v>44.8</v>
      </c>
      <c r="JN30" s="377">
        <v>169</v>
      </c>
      <c r="JO30" s="373">
        <v>143</v>
      </c>
      <c r="JP30" s="444">
        <v>54.2</v>
      </c>
      <c r="JQ30" s="377"/>
      <c r="JR30" s="373"/>
      <c r="JS30" s="444"/>
      <c r="JT30" s="377">
        <v>4</v>
      </c>
      <c r="JU30" s="373">
        <v>1</v>
      </c>
      <c r="JV30" s="444">
        <v>80</v>
      </c>
      <c r="JW30" s="377">
        <v>1</v>
      </c>
      <c r="JX30" s="373">
        <v>1</v>
      </c>
      <c r="JY30" s="444">
        <v>50</v>
      </c>
      <c r="JZ30" s="377">
        <v>8</v>
      </c>
      <c r="KA30" s="373">
        <v>1</v>
      </c>
      <c r="KB30" s="444">
        <v>88.9</v>
      </c>
      <c r="KC30" s="377"/>
      <c r="KD30" s="373"/>
      <c r="KE30" s="444"/>
      <c r="KF30" s="377">
        <v>5</v>
      </c>
      <c r="KG30" s="373">
        <v>1</v>
      </c>
      <c r="KH30" s="444">
        <v>83.3</v>
      </c>
      <c r="KI30" s="377">
        <v>1</v>
      </c>
      <c r="KJ30" s="373"/>
      <c r="KK30" s="444">
        <v>100</v>
      </c>
      <c r="KL30" s="377">
        <v>4</v>
      </c>
      <c r="KM30" s="373">
        <v>4</v>
      </c>
      <c r="KN30" s="444">
        <v>50</v>
      </c>
      <c r="KO30" s="377"/>
      <c r="KP30" s="373"/>
      <c r="KQ30" s="444"/>
      <c r="KR30" s="377">
        <v>167</v>
      </c>
      <c r="KS30" s="373">
        <v>198</v>
      </c>
      <c r="KT30" s="444">
        <v>45.8</v>
      </c>
      <c r="KU30" s="377">
        <v>136</v>
      </c>
      <c r="KV30" s="373">
        <v>150</v>
      </c>
      <c r="KW30" s="444">
        <v>47.6</v>
      </c>
      <c r="KX30" s="377">
        <v>199</v>
      </c>
      <c r="KY30" s="373">
        <v>156</v>
      </c>
      <c r="KZ30" s="444">
        <v>56.1</v>
      </c>
      <c r="LA30" s="377"/>
      <c r="LB30" s="373"/>
      <c r="LC30" s="444"/>
      <c r="LD30" s="377">
        <v>1124</v>
      </c>
      <c r="LE30" s="373">
        <v>1491</v>
      </c>
      <c r="LF30" s="444">
        <v>43</v>
      </c>
      <c r="LG30" s="377">
        <v>788</v>
      </c>
      <c r="LH30" s="373">
        <v>1226</v>
      </c>
      <c r="LI30" s="444">
        <v>39.1</v>
      </c>
      <c r="LJ30" s="377">
        <v>1034</v>
      </c>
      <c r="LK30" s="373">
        <v>1080</v>
      </c>
      <c r="LL30" s="444">
        <v>48.9</v>
      </c>
      <c r="LM30" s="377"/>
      <c r="LN30" s="373"/>
      <c r="LO30" s="444"/>
    </row>
    <row r="31" spans="1:327" x14ac:dyDescent="0.2">
      <c r="A31" s="1001"/>
      <c r="B31" s="747" t="s">
        <v>621</v>
      </c>
      <c r="C31" s="151" t="s">
        <v>653</v>
      </c>
      <c r="D31" s="377"/>
      <c r="E31" s="373"/>
      <c r="F31" s="444" t="s">
        <v>6</v>
      </c>
      <c r="G31" s="377"/>
      <c r="H31" s="373"/>
      <c r="I31" s="444" t="s">
        <v>6</v>
      </c>
      <c r="J31" s="377"/>
      <c r="K31" s="373"/>
      <c r="L31" s="444" t="s">
        <v>6</v>
      </c>
      <c r="M31" s="377"/>
      <c r="N31" s="373"/>
      <c r="O31" s="444"/>
      <c r="P31" s="377"/>
      <c r="Q31" s="373"/>
      <c r="R31" s="444" t="s">
        <v>6</v>
      </c>
      <c r="S31" s="377"/>
      <c r="T31" s="373"/>
      <c r="U31" s="444" t="s">
        <v>6</v>
      </c>
      <c r="V31" s="377"/>
      <c r="W31" s="373"/>
      <c r="X31" s="444" t="s">
        <v>6</v>
      </c>
      <c r="Y31" s="377"/>
      <c r="Z31" s="373"/>
      <c r="AA31" s="444"/>
      <c r="AB31" s="377"/>
      <c r="AC31" s="373"/>
      <c r="AD31" s="444" t="s">
        <v>6</v>
      </c>
      <c r="AE31" s="377"/>
      <c r="AF31" s="373"/>
      <c r="AG31" s="444" t="s">
        <v>6</v>
      </c>
      <c r="AH31" s="377"/>
      <c r="AI31" s="373"/>
      <c r="AJ31" s="444" t="s">
        <v>6</v>
      </c>
      <c r="AK31" s="377"/>
      <c r="AL31" s="373"/>
      <c r="AM31" s="444"/>
      <c r="AN31" s="377">
        <v>20</v>
      </c>
      <c r="AO31" s="373">
        <v>2</v>
      </c>
      <c r="AP31" s="444">
        <v>90.9</v>
      </c>
      <c r="AQ31" s="377">
        <v>16</v>
      </c>
      <c r="AR31" s="373">
        <v>5</v>
      </c>
      <c r="AS31" s="444">
        <v>76.2</v>
      </c>
      <c r="AT31" s="377">
        <v>11</v>
      </c>
      <c r="AU31" s="373">
        <v>3</v>
      </c>
      <c r="AV31" s="444">
        <v>78.599999999999994</v>
      </c>
      <c r="AW31" s="377"/>
      <c r="AX31" s="373"/>
      <c r="AY31" s="444"/>
      <c r="AZ31" s="377">
        <v>6</v>
      </c>
      <c r="BA31" s="373">
        <v>2</v>
      </c>
      <c r="BB31" s="444">
        <v>75</v>
      </c>
      <c r="BC31" s="377">
        <v>8</v>
      </c>
      <c r="BD31" s="373">
        <v>3</v>
      </c>
      <c r="BE31" s="444">
        <v>72.7</v>
      </c>
      <c r="BF31" s="377">
        <v>3</v>
      </c>
      <c r="BG31" s="373">
        <v>3</v>
      </c>
      <c r="BH31" s="444">
        <v>50</v>
      </c>
      <c r="BI31" s="377"/>
      <c r="BJ31" s="373"/>
      <c r="BK31" s="444"/>
      <c r="BL31" s="377"/>
      <c r="BM31" s="373"/>
      <c r="BN31" s="444" t="s">
        <v>6</v>
      </c>
      <c r="BO31" s="377"/>
      <c r="BP31" s="373"/>
      <c r="BQ31" s="444" t="s">
        <v>6</v>
      </c>
      <c r="BR31" s="377"/>
      <c r="BS31" s="373"/>
      <c r="BT31" s="444" t="s">
        <v>6</v>
      </c>
      <c r="BU31" s="377"/>
      <c r="BV31" s="373"/>
      <c r="BW31" s="444"/>
      <c r="BX31" s="377"/>
      <c r="BY31" s="373"/>
      <c r="BZ31" s="444" t="s">
        <v>6</v>
      </c>
      <c r="CA31" s="377">
        <v>4</v>
      </c>
      <c r="CB31" s="373">
        <v>2</v>
      </c>
      <c r="CC31" s="444">
        <v>66.7</v>
      </c>
      <c r="CD31" s="377"/>
      <c r="CE31" s="373"/>
      <c r="CF31" s="444" t="s">
        <v>6</v>
      </c>
      <c r="CG31" s="377"/>
      <c r="CH31" s="373"/>
      <c r="CI31" s="444"/>
      <c r="CJ31" s="377"/>
      <c r="CK31" s="373"/>
      <c r="CL31" s="444" t="s">
        <v>6</v>
      </c>
      <c r="CM31" s="377"/>
      <c r="CN31" s="373"/>
      <c r="CO31" s="444" t="s">
        <v>6</v>
      </c>
      <c r="CP31" s="377"/>
      <c r="CQ31" s="373"/>
      <c r="CR31" s="444" t="s">
        <v>6</v>
      </c>
      <c r="CS31" s="377"/>
      <c r="CT31" s="373"/>
      <c r="CU31" s="444"/>
      <c r="CV31" s="377">
        <v>22</v>
      </c>
      <c r="CW31" s="373">
        <v>4</v>
      </c>
      <c r="CX31" s="444">
        <v>84.6</v>
      </c>
      <c r="CY31" s="377">
        <v>13</v>
      </c>
      <c r="CZ31" s="373">
        <v>2</v>
      </c>
      <c r="DA31" s="444">
        <v>86.7</v>
      </c>
      <c r="DB31" s="377">
        <v>13</v>
      </c>
      <c r="DC31" s="373">
        <v>3</v>
      </c>
      <c r="DD31" s="444">
        <v>81.3</v>
      </c>
      <c r="DE31" s="377"/>
      <c r="DF31" s="373"/>
      <c r="DG31" s="444"/>
      <c r="DH31" s="377">
        <v>2</v>
      </c>
      <c r="DI31" s="373"/>
      <c r="DJ31" s="444">
        <v>100</v>
      </c>
      <c r="DK31" s="377">
        <v>3</v>
      </c>
      <c r="DL31" s="373"/>
      <c r="DM31" s="444">
        <v>100</v>
      </c>
      <c r="DN31" s="377"/>
      <c r="DO31" s="373"/>
      <c r="DP31" s="444" t="s">
        <v>6</v>
      </c>
      <c r="DQ31" s="377"/>
      <c r="DR31" s="373"/>
      <c r="DS31" s="444"/>
      <c r="DT31" s="377"/>
      <c r="DU31" s="373"/>
      <c r="DV31" s="444" t="s">
        <v>6</v>
      </c>
      <c r="DW31" s="377"/>
      <c r="DX31" s="373"/>
      <c r="DY31" s="444" t="s">
        <v>6</v>
      </c>
      <c r="DZ31" s="377"/>
      <c r="EA31" s="373"/>
      <c r="EB31" s="444" t="s">
        <v>6</v>
      </c>
      <c r="EC31" s="377"/>
      <c r="ED31" s="373"/>
      <c r="EE31" s="444"/>
      <c r="EF31" s="377">
        <v>142</v>
      </c>
      <c r="EG31" s="373">
        <v>233</v>
      </c>
      <c r="EH31" s="444">
        <v>37.9</v>
      </c>
      <c r="EI31" s="377">
        <v>98</v>
      </c>
      <c r="EJ31" s="373">
        <v>199</v>
      </c>
      <c r="EK31" s="444">
        <v>33</v>
      </c>
      <c r="EL31" s="377">
        <v>98</v>
      </c>
      <c r="EM31" s="373">
        <v>144</v>
      </c>
      <c r="EN31" s="444">
        <v>40.5</v>
      </c>
      <c r="EO31" s="377"/>
      <c r="EP31" s="373"/>
      <c r="EQ31" s="444"/>
      <c r="ER31" s="377"/>
      <c r="ES31" s="373"/>
      <c r="ET31" s="444" t="s">
        <v>6</v>
      </c>
      <c r="EU31" s="377"/>
      <c r="EV31" s="373">
        <v>1</v>
      </c>
      <c r="EW31" s="444">
        <v>0</v>
      </c>
      <c r="EX31" s="377"/>
      <c r="EY31" s="373"/>
      <c r="EZ31" s="444" t="s">
        <v>6</v>
      </c>
      <c r="FA31" s="377"/>
      <c r="FB31" s="373"/>
      <c r="FC31" s="444"/>
      <c r="FD31" s="377"/>
      <c r="FE31" s="373">
        <v>5</v>
      </c>
      <c r="FF31" s="444">
        <v>0</v>
      </c>
      <c r="FG31" s="377">
        <v>1</v>
      </c>
      <c r="FH31" s="373">
        <v>3</v>
      </c>
      <c r="FI31" s="444">
        <v>25</v>
      </c>
      <c r="FJ31" s="377">
        <v>1</v>
      </c>
      <c r="FK31" s="373"/>
      <c r="FL31" s="444">
        <v>100</v>
      </c>
      <c r="FM31" s="377"/>
      <c r="FN31" s="373"/>
      <c r="FO31" s="444"/>
      <c r="FP31" s="377">
        <v>46</v>
      </c>
      <c r="FQ31" s="373">
        <v>70</v>
      </c>
      <c r="FR31" s="444">
        <v>39.700000000000003</v>
      </c>
      <c r="FS31" s="377">
        <v>19</v>
      </c>
      <c r="FT31" s="373">
        <v>46</v>
      </c>
      <c r="FU31" s="444">
        <v>29.2</v>
      </c>
      <c r="FV31" s="377">
        <v>25</v>
      </c>
      <c r="FW31" s="373">
        <v>30</v>
      </c>
      <c r="FX31" s="444">
        <v>45.5</v>
      </c>
      <c r="FY31" s="377"/>
      <c r="FZ31" s="373"/>
      <c r="GA31" s="444"/>
      <c r="GB31" s="377">
        <v>2</v>
      </c>
      <c r="GC31" s="373">
        <v>1</v>
      </c>
      <c r="GD31" s="444">
        <v>66.7</v>
      </c>
      <c r="GE31" s="377">
        <v>1</v>
      </c>
      <c r="GF31" s="373"/>
      <c r="GG31" s="444">
        <v>100</v>
      </c>
      <c r="GH31" s="377">
        <v>1</v>
      </c>
      <c r="GI31" s="373"/>
      <c r="GJ31" s="444">
        <v>100</v>
      </c>
      <c r="GK31" s="377"/>
      <c r="GL31" s="373"/>
      <c r="GM31" s="444"/>
      <c r="GN31" s="377"/>
      <c r="GO31" s="373">
        <v>1</v>
      </c>
      <c r="GP31" s="444">
        <v>0</v>
      </c>
      <c r="GQ31" s="377">
        <v>1</v>
      </c>
      <c r="GR31" s="373">
        <v>1</v>
      </c>
      <c r="GS31" s="444">
        <v>50</v>
      </c>
      <c r="GT31" s="377">
        <v>1</v>
      </c>
      <c r="GU31" s="373">
        <v>1</v>
      </c>
      <c r="GV31" s="444">
        <v>50</v>
      </c>
      <c r="GW31" s="377"/>
      <c r="GX31" s="373"/>
      <c r="GY31" s="444"/>
      <c r="GZ31" s="377"/>
      <c r="HA31" s="373"/>
      <c r="HB31" s="444" t="s">
        <v>6</v>
      </c>
      <c r="HC31" s="377"/>
      <c r="HD31" s="373"/>
      <c r="HE31" s="444" t="s">
        <v>6</v>
      </c>
      <c r="HF31" s="377"/>
      <c r="HG31" s="373"/>
      <c r="HH31" s="444" t="s">
        <v>6</v>
      </c>
      <c r="HI31" s="377"/>
      <c r="HJ31" s="373"/>
      <c r="HK31" s="444"/>
      <c r="HL31" s="377">
        <v>2</v>
      </c>
      <c r="HM31" s="373">
        <v>13</v>
      </c>
      <c r="HN31" s="444">
        <v>13.3</v>
      </c>
      <c r="HO31" s="377">
        <v>13</v>
      </c>
      <c r="HP31" s="373">
        <v>7</v>
      </c>
      <c r="HQ31" s="444">
        <v>65</v>
      </c>
      <c r="HR31" s="377">
        <v>5</v>
      </c>
      <c r="HS31" s="373">
        <v>12</v>
      </c>
      <c r="HT31" s="444">
        <v>29.4</v>
      </c>
      <c r="HU31" s="377"/>
      <c r="HV31" s="373"/>
      <c r="HW31" s="444"/>
      <c r="HX31" s="377">
        <v>2</v>
      </c>
      <c r="HY31" s="373"/>
      <c r="HZ31" s="444">
        <v>100</v>
      </c>
      <c r="IA31" s="377">
        <v>2</v>
      </c>
      <c r="IB31" s="373"/>
      <c r="IC31" s="444">
        <v>100</v>
      </c>
      <c r="ID31" s="377">
        <v>2</v>
      </c>
      <c r="IE31" s="373"/>
      <c r="IF31" s="444">
        <v>100</v>
      </c>
      <c r="IG31" s="377"/>
      <c r="IH31" s="373"/>
      <c r="II31" s="444"/>
      <c r="IJ31" s="377"/>
      <c r="IK31" s="373">
        <v>1</v>
      </c>
      <c r="IL31" s="444">
        <v>0</v>
      </c>
      <c r="IM31" s="377">
        <v>4</v>
      </c>
      <c r="IN31" s="373">
        <v>1</v>
      </c>
      <c r="IO31" s="444">
        <v>80</v>
      </c>
      <c r="IP31" s="377">
        <v>1</v>
      </c>
      <c r="IQ31" s="373">
        <v>3</v>
      </c>
      <c r="IR31" s="444">
        <v>25</v>
      </c>
      <c r="IS31" s="377"/>
      <c r="IT31" s="373"/>
      <c r="IU31" s="444"/>
      <c r="IV31" s="377">
        <v>192</v>
      </c>
      <c r="IW31" s="373">
        <v>255</v>
      </c>
      <c r="IX31" s="444">
        <v>43</v>
      </c>
      <c r="IY31" s="377">
        <v>155</v>
      </c>
      <c r="IZ31" s="373">
        <v>217</v>
      </c>
      <c r="JA31" s="444">
        <v>41.7</v>
      </c>
      <c r="JB31" s="377">
        <v>132</v>
      </c>
      <c r="JC31" s="373">
        <v>166</v>
      </c>
      <c r="JD31" s="444">
        <v>44.3</v>
      </c>
      <c r="JE31" s="377"/>
      <c r="JF31" s="373"/>
      <c r="JG31" s="444"/>
      <c r="JH31" s="377">
        <v>29</v>
      </c>
      <c r="JI31" s="373">
        <v>15</v>
      </c>
      <c r="JJ31" s="444">
        <v>65.900000000000006</v>
      </c>
      <c r="JK31" s="377">
        <v>26</v>
      </c>
      <c r="JL31" s="373">
        <v>21</v>
      </c>
      <c r="JM31" s="444">
        <v>55.3</v>
      </c>
      <c r="JN31" s="377">
        <v>30</v>
      </c>
      <c r="JO31" s="373">
        <v>21</v>
      </c>
      <c r="JP31" s="444">
        <v>58.8</v>
      </c>
      <c r="JQ31" s="377"/>
      <c r="JR31" s="373"/>
      <c r="JS31" s="444"/>
      <c r="JT31" s="377"/>
      <c r="JU31" s="373">
        <v>1</v>
      </c>
      <c r="JV31" s="444">
        <v>0</v>
      </c>
      <c r="JW31" s="377"/>
      <c r="JX31" s="373"/>
      <c r="JY31" s="444" t="s">
        <v>6</v>
      </c>
      <c r="JZ31" s="377"/>
      <c r="KA31" s="373"/>
      <c r="KB31" s="444" t="s">
        <v>6</v>
      </c>
      <c r="KC31" s="377"/>
      <c r="KD31" s="373"/>
      <c r="KE31" s="444"/>
      <c r="KF31" s="377">
        <v>1</v>
      </c>
      <c r="KG31" s="373"/>
      <c r="KH31" s="444">
        <v>100</v>
      </c>
      <c r="KI31" s="377"/>
      <c r="KJ31" s="373"/>
      <c r="KK31" s="444" t="s">
        <v>6</v>
      </c>
      <c r="KL31" s="377">
        <v>1</v>
      </c>
      <c r="KM31" s="373"/>
      <c r="KN31" s="444">
        <v>100</v>
      </c>
      <c r="KO31" s="377"/>
      <c r="KP31" s="373"/>
      <c r="KQ31" s="444"/>
      <c r="KR31" s="377">
        <v>36</v>
      </c>
      <c r="KS31" s="373">
        <v>23</v>
      </c>
      <c r="KT31" s="444">
        <v>61</v>
      </c>
      <c r="KU31" s="377">
        <v>33</v>
      </c>
      <c r="KV31" s="373">
        <v>25</v>
      </c>
      <c r="KW31" s="444">
        <v>56.9</v>
      </c>
      <c r="KX31" s="377">
        <v>36</v>
      </c>
      <c r="KY31" s="373">
        <v>24</v>
      </c>
      <c r="KZ31" s="444">
        <v>60</v>
      </c>
      <c r="LA31" s="377"/>
      <c r="LB31" s="373"/>
      <c r="LC31" s="444"/>
      <c r="LD31" s="377">
        <v>328</v>
      </c>
      <c r="LE31" s="373">
        <v>290</v>
      </c>
      <c r="LF31" s="444">
        <v>53.1</v>
      </c>
      <c r="LG31" s="377">
        <v>258</v>
      </c>
      <c r="LH31" s="373">
        <v>258</v>
      </c>
      <c r="LI31" s="444">
        <v>50</v>
      </c>
      <c r="LJ31" s="377">
        <v>189</v>
      </c>
      <c r="LK31" s="373">
        <v>202</v>
      </c>
      <c r="LL31" s="444">
        <v>48.3</v>
      </c>
      <c r="LM31" s="377"/>
      <c r="LN31" s="373"/>
      <c r="LO31" s="444"/>
    </row>
    <row r="32" spans="1:327" x14ac:dyDescent="0.2">
      <c r="A32" s="1001"/>
      <c r="B32" s="747" t="s">
        <v>621</v>
      </c>
      <c r="C32" s="151" t="s">
        <v>654</v>
      </c>
      <c r="D32" s="377"/>
      <c r="E32" s="373"/>
      <c r="F32" s="444" t="s">
        <v>6</v>
      </c>
      <c r="G32" s="377"/>
      <c r="H32" s="373"/>
      <c r="I32" s="444" t="s">
        <v>6</v>
      </c>
      <c r="J32" s="377"/>
      <c r="K32" s="373"/>
      <c r="L32" s="444" t="s">
        <v>6</v>
      </c>
      <c r="M32" s="377"/>
      <c r="N32" s="373"/>
      <c r="O32" s="444"/>
      <c r="P32" s="377"/>
      <c r="Q32" s="373"/>
      <c r="R32" s="444" t="s">
        <v>6</v>
      </c>
      <c r="S32" s="377"/>
      <c r="T32" s="373"/>
      <c r="U32" s="444" t="s">
        <v>6</v>
      </c>
      <c r="V32" s="377"/>
      <c r="W32" s="373"/>
      <c r="X32" s="444" t="s">
        <v>6</v>
      </c>
      <c r="Y32" s="377"/>
      <c r="Z32" s="373"/>
      <c r="AA32" s="444"/>
      <c r="AB32" s="377"/>
      <c r="AC32" s="373"/>
      <c r="AD32" s="444" t="s">
        <v>6</v>
      </c>
      <c r="AE32" s="377"/>
      <c r="AF32" s="373"/>
      <c r="AG32" s="444" t="s">
        <v>6</v>
      </c>
      <c r="AH32" s="377"/>
      <c r="AI32" s="373"/>
      <c r="AJ32" s="444" t="s">
        <v>6</v>
      </c>
      <c r="AK32" s="377"/>
      <c r="AL32" s="373"/>
      <c r="AM32" s="444"/>
      <c r="AN32" s="377">
        <v>3</v>
      </c>
      <c r="AO32" s="373">
        <v>2</v>
      </c>
      <c r="AP32" s="444">
        <v>60</v>
      </c>
      <c r="AQ32" s="377">
        <v>4</v>
      </c>
      <c r="AR32" s="373">
        <v>1</v>
      </c>
      <c r="AS32" s="444">
        <v>80</v>
      </c>
      <c r="AT32" s="377">
        <v>4</v>
      </c>
      <c r="AU32" s="373"/>
      <c r="AV32" s="444">
        <v>100</v>
      </c>
      <c r="AW32" s="377"/>
      <c r="AX32" s="373"/>
      <c r="AY32" s="444"/>
      <c r="AZ32" s="377">
        <v>1</v>
      </c>
      <c r="BA32" s="373">
        <v>2</v>
      </c>
      <c r="BB32" s="444">
        <v>33.299999999999997</v>
      </c>
      <c r="BC32" s="377">
        <v>3</v>
      </c>
      <c r="BD32" s="373">
        <v>1</v>
      </c>
      <c r="BE32" s="444">
        <v>75</v>
      </c>
      <c r="BF32" s="377">
        <v>3</v>
      </c>
      <c r="BG32" s="373"/>
      <c r="BH32" s="444">
        <v>100</v>
      </c>
      <c r="BI32" s="377"/>
      <c r="BJ32" s="373"/>
      <c r="BK32" s="444"/>
      <c r="BL32" s="377"/>
      <c r="BM32" s="373"/>
      <c r="BN32" s="444" t="s">
        <v>6</v>
      </c>
      <c r="BO32" s="377"/>
      <c r="BP32" s="373"/>
      <c r="BQ32" s="444" t="s">
        <v>6</v>
      </c>
      <c r="BR32" s="377"/>
      <c r="BS32" s="373"/>
      <c r="BT32" s="444" t="s">
        <v>6</v>
      </c>
      <c r="BU32" s="377"/>
      <c r="BV32" s="373"/>
      <c r="BW32" s="444"/>
      <c r="BX32" s="377"/>
      <c r="BY32" s="373"/>
      <c r="BZ32" s="444" t="s">
        <v>6</v>
      </c>
      <c r="CA32" s="377"/>
      <c r="CB32" s="373"/>
      <c r="CC32" s="444" t="s">
        <v>6</v>
      </c>
      <c r="CD32" s="377"/>
      <c r="CE32" s="373"/>
      <c r="CF32" s="444" t="s">
        <v>6</v>
      </c>
      <c r="CG32" s="377"/>
      <c r="CH32" s="373"/>
      <c r="CI32" s="444"/>
      <c r="CJ32" s="377"/>
      <c r="CK32" s="373"/>
      <c r="CL32" s="444" t="s">
        <v>6</v>
      </c>
      <c r="CM32" s="377"/>
      <c r="CN32" s="373"/>
      <c r="CO32" s="444" t="s">
        <v>6</v>
      </c>
      <c r="CP32" s="377"/>
      <c r="CQ32" s="373"/>
      <c r="CR32" s="444" t="s">
        <v>6</v>
      </c>
      <c r="CS32" s="377"/>
      <c r="CT32" s="373"/>
      <c r="CU32" s="444"/>
      <c r="CV32" s="377">
        <v>5</v>
      </c>
      <c r="CW32" s="373"/>
      <c r="CX32" s="444">
        <v>100</v>
      </c>
      <c r="CY32" s="377">
        <v>10</v>
      </c>
      <c r="CZ32" s="373">
        <v>1</v>
      </c>
      <c r="DA32" s="444">
        <v>90.9</v>
      </c>
      <c r="DB32" s="377">
        <v>18</v>
      </c>
      <c r="DC32" s="373">
        <v>1</v>
      </c>
      <c r="DD32" s="444">
        <v>94.7</v>
      </c>
      <c r="DE32" s="377"/>
      <c r="DF32" s="373"/>
      <c r="DG32" s="444"/>
      <c r="DH32" s="377"/>
      <c r="DI32" s="373"/>
      <c r="DJ32" s="444" t="s">
        <v>6</v>
      </c>
      <c r="DK32" s="377"/>
      <c r="DL32" s="373"/>
      <c r="DM32" s="444" t="s">
        <v>6</v>
      </c>
      <c r="DN32" s="377">
        <v>2</v>
      </c>
      <c r="DO32" s="373"/>
      <c r="DP32" s="444">
        <v>100</v>
      </c>
      <c r="DQ32" s="377"/>
      <c r="DR32" s="373"/>
      <c r="DS32" s="444"/>
      <c r="DT32" s="377"/>
      <c r="DU32" s="373"/>
      <c r="DV32" s="444" t="s">
        <v>6</v>
      </c>
      <c r="DW32" s="377"/>
      <c r="DX32" s="373"/>
      <c r="DY32" s="444" t="s">
        <v>6</v>
      </c>
      <c r="DZ32" s="377"/>
      <c r="EA32" s="373"/>
      <c r="EB32" s="444" t="s">
        <v>6</v>
      </c>
      <c r="EC32" s="377"/>
      <c r="ED32" s="373"/>
      <c r="EE32" s="444"/>
      <c r="EF32" s="377">
        <v>89</v>
      </c>
      <c r="EG32" s="373">
        <v>119</v>
      </c>
      <c r="EH32" s="444">
        <v>42.8</v>
      </c>
      <c r="EI32" s="377">
        <v>47</v>
      </c>
      <c r="EJ32" s="373">
        <v>102</v>
      </c>
      <c r="EK32" s="444">
        <v>31.5</v>
      </c>
      <c r="EL32" s="377">
        <v>47</v>
      </c>
      <c r="EM32" s="373">
        <v>105</v>
      </c>
      <c r="EN32" s="444">
        <v>30.9</v>
      </c>
      <c r="EO32" s="377"/>
      <c r="EP32" s="373"/>
      <c r="EQ32" s="444"/>
      <c r="ER32" s="377"/>
      <c r="ES32" s="373"/>
      <c r="ET32" s="444" t="s">
        <v>6</v>
      </c>
      <c r="EU32" s="377">
        <v>2</v>
      </c>
      <c r="EV32" s="373"/>
      <c r="EW32" s="444">
        <v>100</v>
      </c>
      <c r="EX32" s="377">
        <v>1</v>
      </c>
      <c r="EY32" s="373"/>
      <c r="EZ32" s="444">
        <v>100</v>
      </c>
      <c r="FA32" s="377"/>
      <c r="FB32" s="373"/>
      <c r="FC32" s="444"/>
      <c r="FD32" s="377"/>
      <c r="FE32" s="373">
        <v>4</v>
      </c>
      <c r="FF32" s="444">
        <v>0</v>
      </c>
      <c r="FG32" s="377">
        <v>4</v>
      </c>
      <c r="FH32" s="373">
        <v>5</v>
      </c>
      <c r="FI32" s="444">
        <v>44.4</v>
      </c>
      <c r="FJ32" s="377"/>
      <c r="FK32" s="373">
        <v>3</v>
      </c>
      <c r="FL32" s="444">
        <v>0</v>
      </c>
      <c r="FM32" s="377"/>
      <c r="FN32" s="373"/>
      <c r="FO32" s="444"/>
      <c r="FP32" s="377">
        <v>17</v>
      </c>
      <c r="FQ32" s="373">
        <v>42</v>
      </c>
      <c r="FR32" s="444">
        <v>28.8</v>
      </c>
      <c r="FS32" s="377">
        <v>5</v>
      </c>
      <c r="FT32" s="373">
        <v>27</v>
      </c>
      <c r="FU32" s="444">
        <v>15.6</v>
      </c>
      <c r="FV32" s="377">
        <v>7</v>
      </c>
      <c r="FW32" s="373">
        <v>30</v>
      </c>
      <c r="FX32" s="444">
        <v>18.899999999999999</v>
      </c>
      <c r="FY32" s="377"/>
      <c r="FZ32" s="373"/>
      <c r="GA32" s="444"/>
      <c r="GB32" s="377">
        <v>1</v>
      </c>
      <c r="GC32" s="373"/>
      <c r="GD32" s="444">
        <v>100</v>
      </c>
      <c r="GE32" s="377">
        <v>1</v>
      </c>
      <c r="GF32" s="373"/>
      <c r="GG32" s="444">
        <v>100</v>
      </c>
      <c r="GH32" s="377"/>
      <c r="GI32" s="373"/>
      <c r="GJ32" s="444" t="s">
        <v>6</v>
      </c>
      <c r="GK32" s="377"/>
      <c r="GL32" s="373"/>
      <c r="GM32" s="444"/>
      <c r="GN32" s="377"/>
      <c r="GO32" s="373"/>
      <c r="GP32" s="444" t="s">
        <v>6</v>
      </c>
      <c r="GQ32" s="377">
        <v>2</v>
      </c>
      <c r="GR32" s="373"/>
      <c r="GS32" s="444">
        <v>100</v>
      </c>
      <c r="GT32" s="377">
        <v>4</v>
      </c>
      <c r="GU32" s="373"/>
      <c r="GV32" s="444">
        <v>100</v>
      </c>
      <c r="GW32" s="377"/>
      <c r="GX32" s="373"/>
      <c r="GY32" s="444"/>
      <c r="GZ32" s="377"/>
      <c r="HA32" s="373"/>
      <c r="HB32" s="444" t="s">
        <v>6</v>
      </c>
      <c r="HC32" s="377"/>
      <c r="HD32" s="373"/>
      <c r="HE32" s="444" t="s">
        <v>6</v>
      </c>
      <c r="HF32" s="377"/>
      <c r="HG32" s="373"/>
      <c r="HH32" s="444" t="s">
        <v>6</v>
      </c>
      <c r="HI32" s="377"/>
      <c r="HJ32" s="373"/>
      <c r="HK32" s="444"/>
      <c r="HL32" s="377">
        <v>2</v>
      </c>
      <c r="HM32" s="373">
        <v>10</v>
      </c>
      <c r="HN32" s="444">
        <v>16.7</v>
      </c>
      <c r="HO32" s="377">
        <v>17</v>
      </c>
      <c r="HP32" s="373">
        <v>5</v>
      </c>
      <c r="HQ32" s="444">
        <v>77.3</v>
      </c>
      <c r="HR32" s="377">
        <v>5</v>
      </c>
      <c r="HS32" s="373">
        <v>8</v>
      </c>
      <c r="HT32" s="444">
        <v>38.5</v>
      </c>
      <c r="HU32" s="377"/>
      <c r="HV32" s="373"/>
      <c r="HW32" s="444"/>
      <c r="HX32" s="377">
        <v>1</v>
      </c>
      <c r="HY32" s="373"/>
      <c r="HZ32" s="444">
        <v>100</v>
      </c>
      <c r="IA32" s="377"/>
      <c r="IB32" s="373"/>
      <c r="IC32" s="444" t="s">
        <v>6</v>
      </c>
      <c r="ID32" s="377"/>
      <c r="IE32" s="373"/>
      <c r="IF32" s="444" t="s">
        <v>6</v>
      </c>
      <c r="IG32" s="377"/>
      <c r="IH32" s="373"/>
      <c r="II32" s="444"/>
      <c r="IJ32" s="377">
        <v>1</v>
      </c>
      <c r="IK32" s="373"/>
      <c r="IL32" s="444">
        <v>100</v>
      </c>
      <c r="IM32" s="377">
        <v>1</v>
      </c>
      <c r="IN32" s="373"/>
      <c r="IO32" s="444">
        <v>100</v>
      </c>
      <c r="IP32" s="377">
        <v>3</v>
      </c>
      <c r="IQ32" s="373"/>
      <c r="IR32" s="444">
        <v>100</v>
      </c>
      <c r="IS32" s="377"/>
      <c r="IT32" s="373"/>
      <c r="IU32" s="444"/>
      <c r="IV32" s="377">
        <v>102</v>
      </c>
      <c r="IW32" s="373">
        <v>131</v>
      </c>
      <c r="IX32" s="444">
        <v>43.8</v>
      </c>
      <c r="IY32" s="377">
        <v>82</v>
      </c>
      <c r="IZ32" s="373">
        <v>109</v>
      </c>
      <c r="JA32" s="444">
        <v>42.9</v>
      </c>
      <c r="JB32" s="377">
        <v>83</v>
      </c>
      <c r="JC32" s="373">
        <v>114</v>
      </c>
      <c r="JD32" s="444">
        <v>42.1</v>
      </c>
      <c r="JE32" s="377"/>
      <c r="JF32" s="373"/>
      <c r="JG32" s="444"/>
      <c r="JH32" s="377">
        <v>13</v>
      </c>
      <c r="JI32" s="373">
        <v>16</v>
      </c>
      <c r="JJ32" s="444">
        <v>44.8</v>
      </c>
      <c r="JK32" s="377">
        <v>30</v>
      </c>
      <c r="JL32" s="373">
        <v>9</v>
      </c>
      <c r="JM32" s="444">
        <v>76.900000000000006</v>
      </c>
      <c r="JN32" s="377">
        <v>21</v>
      </c>
      <c r="JO32" s="373">
        <v>21</v>
      </c>
      <c r="JP32" s="444">
        <v>50</v>
      </c>
      <c r="JQ32" s="377"/>
      <c r="JR32" s="373"/>
      <c r="JS32" s="444"/>
      <c r="JT32" s="377"/>
      <c r="JU32" s="373"/>
      <c r="JV32" s="444" t="s">
        <v>6</v>
      </c>
      <c r="JW32" s="377"/>
      <c r="JX32" s="373"/>
      <c r="JY32" s="444" t="s">
        <v>6</v>
      </c>
      <c r="JZ32" s="377"/>
      <c r="KA32" s="373"/>
      <c r="KB32" s="444" t="s">
        <v>6</v>
      </c>
      <c r="KC32" s="377"/>
      <c r="KD32" s="373"/>
      <c r="KE32" s="444"/>
      <c r="KF32" s="377"/>
      <c r="KG32" s="373"/>
      <c r="KH32" s="444" t="s">
        <v>6</v>
      </c>
      <c r="KI32" s="377"/>
      <c r="KJ32" s="373"/>
      <c r="KK32" s="444" t="s">
        <v>6</v>
      </c>
      <c r="KL32" s="377">
        <v>1</v>
      </c>
      <c r="KM32" s="373"/>
      <c r="KN32" s="444">
        <v>100</v>
      </c>
      <c r="KO32" s="377"/>
      <c r="KP32" s="373"/>
      <c r="KQ32" s="444"/>
      <c r="KR32" s="377">
        <v>14</v>
      </c>
      <c r="KS32" s="373">
        <v>19</v>
      </c>
      <c r="KT32" s="444">
        <v>42.4</v>
      </c>
      <c r="KU32" s="377">
        <v>35</v>
      </c>
      <c r="KV32" s="373">
        <v>11</v>
      </c>
      <c r="KW32" s="444">
        <v>76.099999999999994</v>
      </c>
      <c r="KX32" s="377">
        <v>30</v>
      </c>
      <c r="KY32" s="373">
        <v>21</v>
      </c>
      <c r="KZ32" s="444">
        <v>58.8</v>
      </c>
      <c r="LA32" s="377"/>
      <c r="LB32" s="373"/>
      <c r="LC32" s="444"/>
      <c r="LD32" s="377">
        <v>237</v>
      </c>
      <c r="LE32" s="373">
        <v>157</v>
      </c>
      <c r="LF32" s="444">
        <v>60.2</v>
      </c>
      <c r="LG32" s="377">
        <v>200</v>
      </c>
      <c r="LH32" s="373">
        <v>132</v>
      </c>
      <c r="LI32" s="444">
        <v>60.2</v>
      </c>
      <c r="LJ32" s="377">
        <v>133</v>
      </c>
      <c r="LK32" s="373">
        <v>145</v>
      </c>
      <c r="LL32" s="444">
        <v>47.8</v>
      </c>
      <c r="LM32" s="377"/>
      <c r="LN32" s="373"/>
      <c r="LO32" s="444"/>
    </row>
    <row r="33" spans="1:327" x14ac:dyDescent="0.2">
      <c r="A33" s="1001"/>
      <c r="B33" s="747" t="s">
        <v>621</v>
      </c>
      <c r="C33" s="151" t="s">
        <v>655</v>
      </c>
      <c r="D33" s="377"/>
      <c r="E33" s="373"/>
      <c r="F33" s="444" t="s">
        <v>6</v>
      </c>
      <c r="G33" s="377"/>
      <c r="H33" s="373"/>
      <c r="I33" s="444" t="s">
        <v>6</v>
      </c>
      <c r="J33" s="377"/>
      <c r="K33" s="373"/>
      <c r="L33" s="444" t="s">
        <v>6</v>
      </c>
      <c r="M33" s="377"/>
      <c r="N33" s="373"/>
      <c r="O33" s="444"/>
      <c r="P33" s="377"/>
      <c r="Q33" s="373"/>
      <c r="R33" s="444" t="s">
        <v>6</v>
      </c>
      <c r="S33" s="377"/>
      <c r="T33" s="373"/>
      <c r="U33" s="444" t="s">
        <v>6</v>
      </c>
      <c r="V33" s="377"/>
      <c r="W33" s="373"/>
      <c r="X33" s="444" t="s">
        <v>6</v>
      </c>
      <c r="Y33" s="377"/>
      <c r="Z33" s="373"/>
      <c r="AA33" s="444"/>
      <c r="AB33" s="377"/>
      <c r="AC33" s="373"/>
      <c r="AD33" s="444" t="s">
        <v>6</v>
      </c>
      <c r="AE33" s="377"/>
      <c r="AF33" s="373"/>
      <c r="AG33" s="444" t="s">
        <v>6</v>
      </c>
      <c r="AH33" s="377"/>
      <c r="AI33" s="373"/>
      <c r="AJ33" s="444" t="s">
        <v>6</v>
      </c>
      <c r="AK33" s="377"/>
      <c r="AL33" s="373"/>
      <c r="AM33" s="444"/>
      <c r="AN33" s="377">
        <v>11</v>
      </c>
      <c r="AO33" s="373">
        <v>6</v>
      </c>
      <c r="AP33" s="444">
        <v>64.7</v>
      </c>
      <c r="AQ33" s="377">
        <v>15</v>
      </c>
      <c r="AR33" s="373">
        <v>2</v>
      </c>
      <c r="AS33" s="444">
        <v>88.2</v>
      </c>
      <c r="AT33" s="377">
        <v>11</v>
      </c>
      <c r="AU33" s="373"/>
      <c r="AV33" s="444">
        <v>100</v>
      </c>
      <c r="AW33" s="377"/>
      <c r="AX33" s="373"/>
      <c r="AY33" s="444"/>
      <c r="AZ33" s="377">
        <v>9</v>
      </c>
      <c r="BA33" s="373">
        <v>3</v>
      </c>
      <c r="BB33" s="444">
        <v>75</v>
      </c>
      <c r="BC33" s="377">
        <v>10</v>
      </c>
      <c r="BD33" s="373">
        <v>1</v>
      </c>
      <c r="BE33" s="444">
        <v>90.9</v>
      </c>
      <c r="BF33" s="377">
        <v>5</v>
      </c>
      <c r="BG33" s="373"/>
      <c r="BH33" s="444">
        <v>100</v>
      </c>
      <c r="BI33" s="377"/>
      <c r="BJ33" s="373"/>
      <c r="BK33" s="444"/>
      <c r="BL33" s="377"/>
      <c r="BM33" s="373"/>
      <c r="BN33" s="444" t="s">
        <v>6</v>
      </c>
      <c r="BO33" s="377"/>
      <c r="BP33" s="373"/>
      <c r="BQ33" s="444" t="s">
        <v>6</v>
      </c>
      <c r="BR33" s="377"/>
      <c r="BS33" s="373"/>
      <c r="BT33" s="444" t="s">
        <v>6</v>
      </c>
      <c r="BU33" s="377"/>
      <c r="BV33" s="373"/>
      <c r="BW33" s="444"/>
      <c r="BX33" s="377"/>
      <c r="BY33" s="373"/>
      <c r="BZ33" s="444" t="s">
        <v>6</v>
      </c>
      <c r="CA33" s="377"/>
      <c r="CB33" s="373"/>
      <c r="CC33" s="444" t="s">
        <v>6</v>
      </c>
      <c r="CD33" s="377"/>
      <c r="CE33" s="373"/>
      <c r="CF33" s="444" t="s">
        <v>6</v>
      </c>
      <c r="CG33" s="377"/>
      <c r="CH33" s="373"/>
      <c r="CI33" s="444"/>
      <c r="CJ33" s="377"/>
      <c r="CK33" s="373"/>
      <c r="CL33" s="444" t="s">
        <v>6</v>
      </c>
      <c r="CM33" s="377"/>
      <c r="CN33" s="373"/>
      <c r="CO33" s="444" t="s">
        <v>6</v>
      </c>
      <c r="CP33" s="377"/>
      <c r="CQ33" s="373"/>
      <c r="CR33" s="444" t="s">
        <v>6</v>
      </c>
      <c r="CS33" s="377"/>
      <c r="CT33" s="373"/>
      <c r="CU33" s="444"/>
      <c r="CV33" s="377">
        <v>4</v>
      </c>
      <c r="CW33" s="373"/>
      <c r="CX33" s="444">
        <v>100</v>
      </c>
      <c r="CY33" s="377">
        <v>10</v>
      </c>
      <c r="CZ33" s="373">
        <v>3</v>
      </c>
      <c r="DA33" s="444">
        <v>76.900000000000006</v>
      </c>
      <c r="DB33" s="377">
        <v>12</v>
      </c>
      <c r="DC33" s="373">
        <v>1</v>
      </c>
      <c r="DD33" s="444">
        <v>92.3</v>
      </c>
      <c r="DE33" s="377"/>
      <c r="DF33" s="373"/>
      <c r="DG33" s="444"/>
      <c r="DH33" s="377"/>
      <c r="DI33" s="373"/>
      <c r="DJ33" s="444" t="s">
        <v>6</v>
      </c>
      <c r="DK33" s="377"/>
      <c r="DL33" s="373"/>
      <c r="DM33" s="444" t="s">
        <v>6</v>
      </c>
      <c r="DN33" s="377"/>
      <c r="DO33" s="373"/>
      <c r="DP33" s="444" t="s">
        <v>6</v>
      </c>
      <c r="DQ33" s="377"/>
      <c r="DR33" s="373"/>
      <c r="DS33" s="444"/>
      <c r="DT33" s="377"/>
      <c r="DU33" s="373"/>
      <c r="DV33" s="444" t="s">
        <v>6</v>
      </c>
      <c r="DW33" s="377"/>
      <c r="DX33" s="373"/>
      <c r="DY33" s="444" t="s">
        <v>6</v>
      </c>
      <c r="DZ33" s="377"/>
      <c r="EA33" s="373"/>
      <c r="EB33" s="444" t="s">
        <v>6</v>
      </c>
      <c r="EC33" s="377"/>
      <c r="ED33" s="373"/>
      <c r="EE33" s="444"/>
      <c r="EF33" s="377">
        <v>97</v>
      </c>
      <c r="EG33" s="373">
        <v>258</v>
      </c>
      <c r="EH33" s="444">
        <v>27.3</v>
      </c>
      <c r="EI33" s="377">
        <v>86</v>
      </c>
      <c r="EJ33" s="373">
        <v>166</v>
      </c>
      <c r="EK33" s="444">
        <v>34.1</v>
      </c>
      <c r="EL33" s="377">
        <v>99</v>
      </c>
      <c r="EM33" s="373">
        <v>133</v>
      </c>
      <c r="EN33" s="444">
        <v>42.7</v>
      </c>
      <c r="EO33" s="377"/>
      <c r="EP33" s="373"/>
      <c r="EQ33" s="444"/>
      <c r="ER33" s="377">
        <v>3</v>
      </c>
      <c r="ES33" s="373"/>
      <c r="ET33" s="444">
        <v>100</v>
      </c>
      <c r="EU33" s="377">
        <v>1</v>
      </c>
      <c r="EV33" s="373">
        <v>1</v>
      </c>
      <c r="EW33" s="444">
        <v>50</v>
      </c>
      <c r="EX33" s="377"/>
      <c r="EY33" s="373"/>
      <c r="EZ33" s="444" t="s">
        <v>6</v>
      </c>
      <c r="FA33" s="377"/>
      <c r="FB33" s="373"/>
      <c r="FC33" s="444"/>
      <c r="FD33" s="377"/>
      <c r="FE33" s="373">
        <v>7</v>
      </c>
      <c r="FF33" s="444">
        <v>0</v>
      </c>
      <c r="FG33" s="377"/>
      <c r="FH33" s="373"/>
      <c r="FI33" s="444" t="s">
        <v>6</v>
      </c>
      <c r="FJ33" s="377"/>
      <c r="FK33" s="373">
        <v>1</v>
      </c>
      <c r="FL33" s="444">
        <v>0</v>
      </c>
      <c r="FM33" s="377"/>
      <c r="FN33" s="373"/>
      <c r="FO33" s="444"/>
      <c r="FP33" s="377">
        <v>24</v>
      </c>
      <c r="FQ33" s="373">
        <v>62</v>
      </c>
      <c r="FR33" s="444">
        <v>27.9</v>
      </c>
      <c r="FS33" s="377">
        <v>17</v>
      </c>
      <c r="FT33" s="373">
        <v>51</v>
      </c>
      <c r="FU33" s="444">
        <v>25</v>
      </c>
      <c r="FV33" s="377">
        <v>23</v>
      </c>
      <c r="FW33" s="373">
        <v>20</v>
      </c>
      <c r="FX33" s="444">
        <v>53.5</v>
      </c>
      <c r="FY33" s="377"/>
      <c r="FZ33" s="373"/>
      <c r="GA33" s="444"/>
      <c r="GB33" s="377"/>
      <c r="GC33" s="373"/>
      <c r="GD33" s="444" t="s">
        <v>6</v>
      </c>
      <c r="GE33" s="377"/>
      <c r="GF33" s="373"/>
      <c r="GG33" s="444" t="s">
        <v>6</v>
      </c>
      <c r="GH33" s="377"/>
      <c r="GI33" s="373"/>
      <c r="GJ33" s="444" t="s">
        <v>6</v>
      </c>
      <c r="GK33" s="377"/>
      <c r="GL33" s="373"/>
      <c r="GM33" s="444"/>
      <c r="GN33" s="377">
        <v>1</v>
      </c>
      <c r="GO33" s="373"/>
      <c r="GP33" s="444">
        <v>100</v>
      </c>
      <c r="GQ33" s="377"/>
      <c r="GR33" s="373"/>
      <c r="GS33" s="444" t="s">
        <v>6</v>
      </c>
      <c r="GT33" s="377">
        <v>1</v>
      </c>
      <c r="GU33" s="373"/>
      <c r="GV33" s="444">
        <v>100</v>
      </c>
      <c r="GW33" s="377"/>
      <c r="GX33" s="373"/>
      <c r="GY33" s="444"/>
      <c r="GZ33" s="377">
        <v>1</v>
      </c>
      <c r="HA33" s="373"/>
      <c r="HB33" s="444">
        <v>100</v>
      </c>
      <c r="HC33" s="377"/>
      <c r="HD33" s="373"/>
      <c r="HE33" s="444" t="s">
        <v>6</v>
      </c>
      <c r="HF33" s="377"/>
      <c r="HG33" s="373"/>
      <c r="HH33" s="444" t="s">
        <v>6</v>
      </c>
      <c r="HI33" s="377"/>
      <c r="HJ33" s="373"/>
      <c r="HK33" s="444"/>
      <c r="HL33" s="377">
        <v>5</v>
      </c>
      <c r="HM33" s="373">
        <v>16</v>
      </c>
      <c r="HN33" s="444">
        <v>23.8</v>
      </c>
      <c r="HO33" s="377">
        <v>6</v>
      </c>
      <c r="HP33" s="373">
        <v>8</v>
      </c>
      <c r="HQ33" s="444">
        <v>42.9</v>
      </c>
      <c r="HR33" s="377">
        <v>1</v>
      </c>
      <c r="HS33" s="373">
        <v>3</v>
      </c>
      <c r="HT33" s="444">
        <v>25</v>
      </c>
      <c r="HU33" s="377"/>
      <c r="HV33" s="373"/>
      <c r="HW33" s="444"/>
      <c r="HX33" s="377"/>
      <c r="HY33" s="373"/>
      <c r="HZ33" s="444" t="s">
        <v>6</v>
      </c>
      <c r="IA33" s="377">
        <v>3</v>
      </c>
      <c r="IB33" s="373"/>
      <c r="IC33" s="444">
        <v>100</v>
      </c>
      <c r="ID33" s="377">
        <v>14</v>
      </c>
      <c r="IE33" s="373"/>
      <c r="IF33" s="444">
        <v>100</v>
      </c>
      <c r="IG33" s="377"/>
      <c r="IH33" s="373"/>
      <c r="II33" s="444"/>
      <c r="IJ33" s="377"/>
      <c r="IK33" s="373">
        <v>1</v>
      </c>
      <c r="IL33" s="444">
        <v>0</v>
      </c>
      <c r="IM33" s="377"/>
      <c r="IN33" s="373"/>
      <c r="IO33" s="444" t="s">
        <v>6</v>
      </c>
      <c r="IP33" s="377"/>
      <c r="IQ33" s="373"/>
      <c r="IR33" s="444" t="s">
        <v>6</v>
      </c>
      <c r="IS33" s="377"/>
      <c r="IT33" s="373"/>
      <c r="IU33" s="444"/>
      <c r="IV33" s="377">
        <v>119</v>
      </c>
      <c r="IW33" s="373">
        <v>281</v>
      </c>
      <c r="IX33" s="444">
        <v>29.8</v>
      </c>
      <c r="IY33" s="377">
        <v>120</v>
      </c>
      <c r="IZ33" s="373">
        <v>179</v>
      </c>
      <c r="JA33" s="444">
        <v>40.1</v>
      </c>
      <c r="JB33" s="377">
        <v>138</v>
      </c>
      <c r="JC33" s="373">
        <v>137</v>
      </c>
      <c r="JD33" s="444">
        <v>50.2</v>
      </c>
      <c r="JE33" s="377"/>
      <c r="JF33" s="373"/>
      <c r="JG33" s="444"/>
      <c r="JH33" s="377">
        <v>11</v>
      </c>
      <c r="JI33" s="373">
        <v>28</v>
      </c>
      <c r="JJ33" s="444">
        <v>28.2</v>
      </c>
      <c r="JK33" s="377">
        <v>25</v>
      </c>
      <c r="JL33" s="373">
        <v>11</v>
      </c>
      <c r="JM33" s="444">
        <v>69.400000000000006</v>
      </c>
      <c r="JN33" s="377">
        <v>15</v>
      </c>
      <c r="JO33" s="373">
        <v>15</v>
      </c>
      <c r="JP33" s="444">
        <v>50</v>
      </c>
      <c r="JQ33" s="377"/>
      <c r="JR33" s="373"/>
      <c r="JS33" s="444"/>
      <c r="JT33" s="377">
        <v>1</v>
      </c>
      <c r="JU33" s="373"/>
      <c r="JV33" s="444">
        <v>100</v>
      </c>
      <c r="JW33" s="377">
        <v>1</v>
      </c>
      <c r="JX33" s="373"/>
      <c r="JY33" s="444">
        <v>100</v>
      </c>
      <c r="JZ33" s="377">
        <v>3</v>
      </c>
      <c r="KA33" s="373">
        <v>1</v>
      </c>
      <c r="KB33" s="444">
        <v>75</v>
      </c>
      <c r="KC33" s="377"/>
      <c r="KD33" s="373"/>
      <c r="KE33" s="444"/>
      <c r="KF33" s="377"/>
      <c r="KG33" s="373"/>
      <c r="KH33" s="444" t="s">
        <v>6</v>
      </c>
      <c r="KI33" s="377"/>
      <c r="KJ33" s="373"/>
      <c r="KK33" s="444" t="s">
        <v>6</v>
      </c>
      <c r="KL33" s="377"/>
      <c r="KM33" s="373"/>
      <c r="KN33" s="444" t="s">
        <v>6</v>
      </c>
      <c r="KO33" s="377"/>
      <c r="KP33" s="373"/>
      <c r="KQ33" s="444"/>
      <c r="KR33" s="377">
        <v>17</v>
      </c>
      <c r="KS33" s="373">
        <v>29</v>
      </c>
      <c r="KT33" s="444">
        <v>37</v>
      </c>
      <c r="KU33" s="377">
        <v>32</v>
      </c>
      <c r="KV33" s="373">
        <v>13</v>
      </c>
      <c r="KW33" s="444">
        <v>71.099999999999994</v>
      </c>
      <c r="KX33" s="377">
        <v>24</v>
      </c>
      <c r="KY33" s="373">
        <v>18</v>
      </c>
      <c r="KZ33" s="444">
        <v>57.1</v>
      </c>
      <c r="LA33" s="377"/>
      <c r="LB33" s="373"/>
      <c r="LC33" s="444"/>
      <c r="LD33" s="377">
        <v>280</v>
      </c>
      <c r="LE33" s="373">
        <v>305</v>
      </c>
      <c r="LF33" s="444">
        <v>47.9</v>
      </c>
      <c r="LG33" s="377">
        <v>182</v>
      </c>
      <c r="LH33" s="373">
        <v>204</v>
      </c>
      <c r="LI33" s="444">
        <v>47.2</v>
      </c>
      <c r="LJ33" s="377">
        <v>327</v>
      </c>
      <c r="LK33" s="373">
        <v>155</v>
      </c>
      <c r="LL33" s="444">
        <v>67.8</v>
      </c>
      <c r="LM33" s="377"/>
      <c r="LN33" s="373"/>
      <c r="LO33" s="444"/>
    </row>
    <row r="34" spans="1:327" ht="13.5" thickBot="1" x14ac:dyDescent="0.25">
      <c r="A34" s="1001"/>
      <c r="B34" s="748" t="s">
        <v>621</v>
      </c>
      <c r="C34" s="156" t="s">
        <v>656</v>
      </c>
      <c r="D34" s="377"/>
      <c r="E34" s="373"/>
      <c r="F34" s="444" t="s">
        <v>6</v>
      </c>
      <c r="G34" s="377"/>
      <c r="H34" s="373"/>
      <c r="I34" s="444" t="s">
        <v>6</v>
      </c>
      <c r="J34" s="377"/>
      <c r="K34" s="373"/>
      <c r="L34" s="444" t="s">
        <v>6</v>
      </c>
      <c r="M34" s="377"/>
      <c r="N34" s="373"/>
      <c r="O34" s="444"/>
      <c r="P34" s="377"/>
      <c r="Q34" s="373"/>
      <c r="R34" s="444" t="s">
        <v>6</v>
      </c>
      <c r="S34" s="377"/>
      <c r="T34" s="373"/>
      <c r="U34" s="444" t="s">
        <v>6</v>
      </c>
      <c r="V34" s="377"/>
      <c r="W34" s="373"/>
      <c r="X34" s="444" t="s">
        <v>6</v>
      </c>
      <c r="Y34" s="377"/>
      <c r="Z34" s="373"/>
      <c r="AA34" s="444"/>
      <c r="AB34" s="377"/>
      <c r="AC34" s="373"/>
      <c r="AD34" s="444" t="s">
        <v>6</v>
      </c>
      <c r="AE34" s="377"/>
      <c r="AF34" s="373"/>
      <c r="AG34" s="444" t="s">
        <v>6</v>
      </c>
      <c r="AH34" s="377"/>
      <c r="AI34" s="373"/>
      <c r="AJ34" s="444" t="s">
        <v>6</v>
      </c>
      <c r="AK34" s="377"/>
      <c r="AL34" s="373"/>
      <c r="AM34" s="444"/>
      <c r="AN34" s="377">
        <v>12</v>
      </c>
      <c r="AO34" s="373">
        <v>1</v>
      </c>
      <c r="AP34" s="444">
        <v>92.3</v>
      </c>
      <c r="AQ34" s="377">
        <v>8</v>
      </c>
      <c r="AR34" s="373">
        <v>6</v>
      </c>
      <c r="AS34" s="444">
        <v>57.1</v>
      </c>
      <c r="AT34" s="377">
        <v>4</v>
      </c>
      <c r="AU34" s="373">
        <v>4</v>
      </c>
      <c r="AV34" s="444">
        <v>50</v>
      </c>
      <c r="AW34" s="377"/>
      <c r="AX34" s="373"/>
      <c r="AY34" s="444"/>
      <c r="AZ34" s="377">
        <v>4</v>
      </c>
      <c r="BA34" s="373">
        <v>1</v>
      </c>
      <c r="BB34" s="444">
        <v>80</v>
      </c>
      <c r="BC34" s="377">
        <v>3</v>
      </c>
      <c r="BD34" s="373">
        <v>5</v>
      </c>
      <c r="BE34" s="444">
        <v>37.5</v>
      </c>
      <c r="BF34" s="377">
        <v>1</v>
      </c>
      <c r="BG34" s="373">
        <v>4</v>
      </c>
      <c r="BH34" s="444">
        <v>20</v>
      </c>
      <c r="BI34" s="377"/>
      <c r="BJ34" s="373"/>
      <c r="BK34" s="444"/>
      <c r="BL34" s="377"/>
      <c r="BM34" s="373"/>
      <c r="BN34" s="444" t="s">
        <v>6</v>
      </c>
      <c r="BO34" s="377"/>
      <c r="BP34" s="373"/>
      <c r="BQ34" s="444" t="s">
        <v>6</v>
      </c>
      <c r="BR34" s="377"/>
      <c r="BS34" s="373"/>
      <c r="BT34" s="444" t="s">
        <v>6</v>
      </c>
      <c r="BU34" s="377"/>
      <c r="BV34" s="373"/>
      <c r="BW34" s="444"/>
      <c r="BX34" s="377"/>
      <c r="BY34" s="373"/>
      <c r="BZ34" s="444" t="s">
        <v>6</v>
      </c>
      <c r="CA34" s="377">
        <v>2</v>
      </c>
      <c r="CB34" s="373"/>
      <c r="CC34" s="444">
        <v>100</v>
      </c>
      <c r="CD34" s="377"/>
      <c r="CE34" s="373"/>
      <c r="CF34" s="444" t="s">
        <v>6</v>
      </c>
      <c r="CG34" s="377"/>
      <c r="CH34" s="373"/>
      <c r="CI34" s="444"/>
      <c r="CJ34" s="377"/>
      <c r="CK34" s="373"/>
      <c r="CL34" s="444" t="s">
        <v>6</v>
      </c>
      <c r="CM34" s="377"/>
      <c r="CN34" s="373"/>
      <c r="CO34" s="444" t="s">
        <v>6</v>
      </c>
      <c r="CP34" s="377"/>
      <c r="CQ34" s="373"/>
      <c r="CR34" s="444" t="s">
        <v>6</v>
      </c>
      <c r="CS34" s="377"/>
      <c r="CT34" s="373"/>
      <c r="CU34" s="444"/>
      <c r="CV34" s="377">
        <v>5</v>
      </c>
      <c r="CW34" s="373">
        <v>2</v>
      </c>
      <c r="CX34" s="444">
        <v>71.400000000000006</v>
      </c>
      <c r="CY34" s="377">
        <v>5</v>
      </c>
      <c r="CZ34" s="373">
        <v>4</v>
      </c>
      <c r="DA34" s="444">
        <v>55.6</v>
      </c>
      <c r="DB34" s="377">
        <v>11</v>
      </c>
      <c r="DC34" s="373">
        <v>2</v>
      </c>
      <c r="DD34" s="444">
        <v>84.6</v>
      </c>
      <c r="DE34" s="377"/>
      <c r="DF34" s="373"/>
      <c r="DG34" s="444"/>
      <c r="DH34" s="377"/>
      <c r="DI34" s="373"/>
      <c r="DJ34" s="444" t="s">
        <v>6</v>
      </c>
      <c r="DK34" s="377"/>
      <c r="DL34" s="373"/>
      <c r="DM34" s="444" t="s">
        <v>6</v>
      </c>
      <c r="DN34" s="377"/>
      <c r="DO34" s="373"/>
      <c r="DP34" s="444" t="s">
        <v>6</v>
      </c>
      <c r="DQ34" s="377"/>
      <c r="DR34" s="373"/>
      <c r="DS34" s="444"/>
      <c r="DT34" s="377"/>
      <c r="DU34" s="373"/>
      <c r="DV34" s="444" t="s">
        <v>6</v>
      </c>
      <c r="DW34" s="377">
        <v>1</v>
      </c>
      <c r="DX34" s="373"/>
      <c r="DY34" s="444">
        <v>100</v>
      </c>
      <c r="DZ34" s="377"/>
      <c r="EA34" s="373"/>
      <c r="EB34" s="444" t="s">
        <v>6</v>
      </c>
      <c r="EC34" s="377"/>
      <c r="ED34" s="373"/>
      <c r="EE34" s="444"/>
      <c r="EF34" s="377">
        <v>110</v>
      </c>
      <c r="EG34" s="373">
        <v>215</v>
      </c>
      <c r="EH34" s="444">
        <v>33.799999999999997</v>
      </c>
      <c r="EI34" s="377">
        <v>70</v>
      </c>
      <c r="EJ34" s="373">
        <v>104</v>
      </c>
      <c r="EK34" s="444">
        <v>40.200000000000003</v>
      </c>
      <c r="EL34" s="377">
        <v>68</v>
      </c>
      <c r="EM34" s="373">
        <v>131</v>
      </c>
      <c r="EN34" s="444">
        <v>34.200000000000003</v>
      </c>
      <c r="EO34" s="377"/>
      <c r="EP34" s="373"/>
      <c r="EQ34" s="444"/>
      <c r="ER34" s="377"/>
      <c r="ES34" s="373"/>
      <c r="ET34" s="444" t="s">
        <v>6</v>
      </c>
      <c r="EU34" s="377">
        <v>1</v>
      </c>
      <c r="EV34" s="373"/>
      <c r="EW34" s="444">
        <v>100</v>
      </c>
      <c r="EX34" s="377">
        <v>1</v>
      </c>
      <c r="EY34" s="373"/>
      <c r="EZ34" s="444">
        <v>100</v>
      </c>
      <c r="FA34" s="377"/>
      <c r="FB34" s="373"/>
      <c r="FC34" s="444"/>
      <c r="FD34" s="377">
        <v>1</v>
      </c>
      <c r="FE34" s="373">
        <v>4</v>
      </c>
      <c r="FF34" s="444">
        <v>20</v>
      </c>
      <c r="FG34" s="377"/>
      <c r="FH34" s="373">
        <v>3</v>
      </c>
      <c r="FI34" s="444">
        <v>0</v>
      </c>
      <c r="FJ34" s="377">
        <v>1</v>
      </c>
      <c r="FK34" s="373">
        <v>5</v>
      </c>
      <c r="FL34" s="444">
        <v>16.7</v>
      </c>
      <c r="FM34" s="377"/>
      <c r="FN34" s="373"/>
      <c r="FO34" s="444"/>
      <c r="FP34" s="377">
        <v>20</v>
      </c>
      <c r="FQ34" s="373">
        <v>52</v>
      </c>
      <c r="FR34" s="444">
        <v>27.8</v>
      </c>
      <c r="FS34" s="377">
        <v>19</v>
      </c>
      <c r="FT34" s="373">
        <v>28</v>
      </c>
      <c r="FU34" s="444">
        <v>40.4</v>
      </c>
      <c r="FV34" s="377">
        <v>22</v>
      </c>
      <c r="FW34" s="373">
        <v>27</v>
      </c>
      <c r="FX34" s="444">
        <v>44.9</v>
      </c>
      <c r="FY34" s="377"/>
      <c r="FZ34" s="373"/>
      <c r="GA34" s="444"/>
      <c r="GB34" s="377">
        <v>1</v>
      </c>
      <c r="GC34" s="373"/>
      <c r="GD34" s="444">
        <v>100</v>
      </c>
      <c r="GE34" s="377"/>
      <c r="GF34" s="373"/>
      <c r="GG34" s="444" t="s">
        <v>6</v>
      </c>
      <c r="GH34" s="377"/>
      <c r="GI34" s="373"/>
      <c r="GJ34" s="444" t="s">
        <v>6</v>
      </c>
      <c r="GK34" s="377"/>
      <c r="GL34" s="373"/>
      <c r="GM34" s="444"/>
      <c r="GN34" s="377"/>
      <c r="GO34" s="373"/>
      <c r="GP34" s="444" t="s">
        <v>6</v>
      </c>
      <c r="GQ34" s="377">
        <v>3</v>
      </c>
      <c r="GR34" s="373"/>
      <c r="GS34" s="444">
        <v>100</v>
      </c>
      <c r="GT34" s="377">
        <v>1</v>
      </c>
      <c r="GU34" s="373"/>
      <c r="GV34" s="444">
        <v>100</v>
      </c>
      <c r="GW34" s="377"/>
      <c r="GX34" s="373"/>
      <c r="GY34" s="444"/>
      <c r="GZ34" s="377"/>
      <c r="HA34" s="373"/>
      <c r="HB34" s="444" t="s">
        <v>6</v>
      </c>
      <c r="HC34" s="377">
        <v>1</v>
      </c>
      <c r="HD34" s="373"/>
      <c r="HE34" s="444">
        <v>100</v>
      </c>
      <c r="HF34" s="377"/>
      <c r="HG34" s="373"/>
      <c r="HH34" s="444" t="s">
        <v>6</v>
      </c>
      <c r="HI34" s="377"/>
      <c r="HJ34" s="373"/>
      <c r="HK34" s="444"/>
      <c r="HL34" s="377"/>
      <c r="HM34" s="373">
        <v>7</v>
      </c>
      <c r="HN34" s="444">
        <v>0</v>
      </c>
      <c r="HO34" s="377">
        <v>2</v>
      </c>
      <c r="HP34" s="373">
        <v>8</v>
      </c>
      <c r="HQ34" s="444">
        <v>20</v>
      </c>
      <c r="HR34" s="377">
        <v>5</v>
      </c>
      <c r="HS34" s="373">
        <v>5</v>
      </c>
      <c r="HT34" s="444">
        <v>50</v>
      </c>
      <c r="HU34" s="377"/>
      <c r="HV34" s="373"/>
      <c r="HW34" s="444"/>
      <c r="HX34" s="377">
        <v>1</v>
      </c>
      <c r="HY34" s="373"/>
      <c r="HZ34" s="444">
        <v>100</v>
      </c>
      <c r="IA34" s="377"/>
      <c r="IB34" s="373"/>
      <c r="IC34" s="444" t="s">
        <v>6</v>
      </c>
      <c r="ID34" s="377">
        <v>5</v>
      </c>
      <c r="IE34" s="373"/>
      <c r="IF34" s="444">
        <v>100</v>
      </c>
      <c r="IG34" s="377"/>
      <c r="IH34" s="373"/>
      <c r="II34" s="444"/>
      <c r="IJ34" s="377">
        <v>1</v>
      </c>
      <c r="IK34" s="373"/>
      <c r="IL34" s="444">
        <v>100</v>
      </c>
      <c r="IM34" s="377"/>
      <c r="IN34" s="373"/>
      <c r="IO34" s="444" t="s">
        <v>6</v>
      </c>
      <c r="IP34" s="377"/>
      <c r="IQ34" s="373">
        <v>1</v>
      </c>
      <c r="IR34" s="444">
        <v>0</v>
      </c>
      <c r="IS34" s="377"/>
      <c r="IT34" s="373"/>
      <c r="IU34" s="444"/>
      <c r="IV34" s="377">
        <v>130</v>
      </c>
      <c r="IW34" s="373">
        <v>225</v>
      </c>
      <c r="IX34" s="444">
        <v>36.6</v>
      </c>
      <c r="IY34" s="377">
        <v>92</v>
      </c>
      <c r="IZ34" s="373">
        <v>122</v>
      </c>
      <c r="JA34" s="444">
        <v>43</v>
      </c>
      <c r="JB34" s="377">
        <v>94</v>
      </c>
      <c r="JC34" s="373">
        <v>143</v>
      </c>
      <c r="JD34" s="444">
        <v>39.700000000000003</v>
      </c>
      <c r="JE34" s="377"/>
      <c r="JF34" s="373"/>
      <c r="JG34" s="444"/>
      <c r="JH34" s="377">
        <v>8</v>
      </c>
      <c r="JI34" s="373">
        <v>14</v>
      </c>
      <c r="JJ34" s="444">
        <v>36.4</v>
      </c>
      <c r="JK34" s="377">
        <v>9</v>
      </c>
      <c r="JL34" s="373">
        <v>15</v>
      </c>
      <c r="JM34" s="444">
        <v>37.5</v>
      </c>
      <c r="JN34" s="377">
        <v>21</v>
      </c>
      <c r="JO34" s="373">
        <v>21</v>
      </c>
      <c r="JP34" s="444">
        <v>50</v>
      </c>
      <c r="JQ34" s="377"/>
      <c r="JR34" s="373"/>
      <c r="JS34" s="444"/>
      <c r="JT34" s="377"/>
      <c r="JU34" s="373"/>
      <c r="JV34" s="444" t="s">
        <v>6</v>
      </c>
      <c r="JW34" s="377">
        <v>2</v>
      </c>
      <c r="JX34" s="373"/>
      <c r="JY34" s="444">
        <v>100</v>
      </c>
      <c r="JZ34" s="377">
        <v>2</v>
      </c>
      <c r="KA34" s="373">
        <v>2</v>
      </c>
      <c r="KB34" s="444">
        <v>50</v>
      </c>
      <c r="KC34" s="377"/>
      <c r="KD34" s="373"/>
      <c r="KE34" s="444"/>
      <c r="KF34" s="377"/>
      <c r="KG34" s="373"/>
      <c r="KH34" s="444" t="s">
        <v>6</v>
      </c>
      <c r="KI34" s="377">
        <v>2</v>
      </c>
      <c r="KJ34" s="373"/>
      <c r="KK34" s="444">
        <v>100</v>
      </c>
      <c r="KL34" s="377"/>
      <c r="KM34" s="373"/>
      <c r="KN34" s="444" t="s">
        <v>6</v>
      </c>
      <c r="KO34" s="377"/>
      <c r="KP34" s="373"/>
      <c r="KQ34" s="444"/>
      <c r="KR34" s="377">
        <v>12</v>
      </c>
      <c r="KS34" s="373">
        <v>21</v>
      </c>
      <c r="KT34" s="444">
        <v>36.4</v>
      </c>
      <c r="KU34" s="377">
        <v>19</v>
      </c>
      <c r="KV34" s="373">
        <v>17</v>
      </c>
      <c r="KW34" s="444">
        <v>52.8</v>
      </c>
      <c r="KX34" s="377">
        <v>32</v>
      </c>
      <c r="KY34" s="373">
        <v>27</v>
      </c>
      <c r="KZ34" s="444">
        <v>54.2</v>
      </c>
      <c r="LA34" s="377"/>
      <c r="LB34" s="373"/>
      <c r="LC34" s="444"/>
      <c r="LD34" s="377">
        <v>271</v>
      </c>
      <c r="LE34" s="373">
        <v>253</v>
      </c>
      <c r="LF34" s="444">
        <v>51.7</v>
      </c>
      <c r="LG34" s="377">
        <v>152</v>
      </c>
      <c r="LH34" s="373">
        <v>146</v>
      </c>
      <c r="LI34" s="444">
        <v>51</v>
      </c>
      <c r="LJ34" s="377">
        <v>152</v>
      </c>
      <c r="LK34" s="373">
        <v>198</v>
      </c>
      <c r="LL34" s="444">
        <v>43.4</v>
      </c>
      <c r="LM34" s="377"/>
      <c r="LN34" s="373"/>
      <c r="LO34" s="444"/>
    </row>
    <row r="35" spans="1:327" s="259" customFormat="1" ht="13.5" thickBot="1" x14ac:dyDescent="0.25">
      <c r="A35" s="1002"/>
      <c r="B35" s="751"/>
      <c r="C35" s="189" t="s">
        <v>785</v>
      </c>
      <c r="D35" s="384">
        <v>6</v>
      </c>
      <c r="E35" s="385"/>
      <c r="F35" s="451">
        <v>100</v>
      </c>
      <c r="G35" s="384">
        <v>2</v>
      </c>
      <c r="H35" s="385"/>
      <c r="I35" s="451">
        <v>100</v>
      </c>
      <c r="J35" s="384">
        <v>3</v>
      </c>
      <c r="K35" s="385"/>
      <c r="L35" s="451">
        <v>100</v>
      </c>
      <c r="M35" s="384"/>
      <c r="N35" s="385"/>
      <c r="O35" s="451"/>
      <c r="P35" s="384">
        <v>4</v>
      </c>
      <c r="Q35" s="385"/>
      <c r="R35" s="451">
        <v>100</v>
      </c>
      <c r="S35" s="384">
        <v>1</v>
      </c>
      <c r="T35" s="385"/>
      <c r="U35" s="451">
        <v>100</v>
      </c>
      <c r="V35" s="384">
        <v>3</v>
      </c>
      <c r="W35" s="385"/>
      <c r="X35" s="451">
        <v>100</v>
      </c>
      <c r="Y35" s="384"/>
      <c r="Z35" s="385"/>
      <c r="AA35" s="451"/>
      <c r="AB35" s="384"/>
      <c r="AC35" s="385"/>
      <c r="AD35" s="451" t="s">
        <v>6</v>
      </c>
      <c r="AE35" s="384">
        <v>1</v>
      </c>
      <c r="AF35" s="385"/>
      <c r="AG35" s="451">
        <v>100</v>
      </c>
      <c r="AH35" s="384"/>
      <c r="AI35" s="385"/>
      <c r="AJ35" s="451" t="s">
        <v>6</v>
      </c>
      <c r="AK35" s="384"/>
      <c r="AL35" s="385"/>
      <c r="AM35" s="451"/>
      <c r="AN35" s="384">
        <v>100</v>
      </c>
      <c r="AO35" s="385">
        <v>34</v>
      </c>
      <c r="AP35" s="451">
        <v>74.599999999999994</v>
      </c>
      <c r="AQ35" s="384">
        <v>101</v>
      </c>
      <c r="AR35" s="385">
        <v>27</v>
      </c>
      <c r="AS35" s="451">
        <v>78.900000000000006</v>
      </c>
      <c r="AT35" s="384">
        <v>99</v>
      </c>
      <c r="AU35" s="385">
        <v>24</v>
      </c>
      <c r="AV35" s="451">
        <v>80.5</v>
      </c>
      <c r="AW35" s="384"/>
      <c r="AX35" s="385"/>
      <c r="AY35" s="451"/>
      <c r="AZ35" s="384">
        <v>49</v>
      </c>
      <c r="BA35" s="385">
        <v>29</v>
      </c>
      <c r="BB35" s="451">
        <v>62.8</v>
      </c>
      <c r="BC35" s="384">
        <v>53</v>
      </c>
      <c r="BD35" s="385">
        <v>22</v>
      </c>
      <c r="BE35" s="451">
        <v>70.7</v>
      </c>
      <c r="BF35" s="384">
        <v>39</v>
      </c>
      <c r="BG35" s="385">
        <v>23</v>
      </c>
      <c r="BH35" s="451">
        <v>62.9</v>
      </c>
      <c r="BI35" s="384"/>
      <c r="BJ35" s="385"/>
      <c r="BK35" s="451"/>
      <c r="BL35" s="384"/>
      <c r="BM35" s="385"/>
      <c r="BN35" s="451" t="s">
        <v>6</v>
      </c>
      <c r="BO35" s="384"/>
      <c r="BP35" s="385"/>
      <c r="BQ35" s="451" t="s">
        <v>6</v>
      </c>
      <c r="BR35" s="384"/>
      <c r="BS35" s="385"/>
      <c r="BT35" s="451" t="s">
        <v>6</v>
      </c>
      <c r="BU35" s="384"/>
      <c r="BV35" s="385"/>
      <c r="BW35" s="451"/>
      <c r="BX35" s="384"/>
      <c r="BY35" s="385">
        <v>1</v>
      </c>
      <c r="BZ35" s="451">
        <v>0</v>
      </c>
      <c r="CA35" s="384">
        <v>6</v>
      </c>
      <c r="CB35" s="385">
        <v>2</v>
      </c>
      <c r="CC35" s="451">
        <v>75</v>
      </c>
      <c r="CD35" s="384"/>
      <c r="CE35" s="385"/>
      <c r="CF35" s="451" t="s">
        <v>6</v>
      </c>
      <c r="CG35" s="384"/>
      <c r="CH35" s="385"/>
      <c r="CI35" s="451"/>
      <c r="CJ35" s="384"/>
      <c r="CK35" s="385"/>
      <c r="CL35" s="451" t="s">
        <v>6</v>
      </c>
      <c r="CM35" s="384"/>
      <c r="CN35" s="385"/>
      <c r="CO35" s="451" t="s">
        <v>6</v>
      </c>
      <c r="CP35" s="384"/>
      <c r="CQ35" s="385"/>
      <c r="CR35" s="451" t="s">
        <v>6</v>
      </c>
      <c r="CS35" s="384"/>
      <c r="CT35" s="385"/>
      <c r="CU35" s="451"/>
      <c r="CV35" s="384">
        <v>87</v>
      </c>
      <c r="CW35" s="385">
        <v>19</v>
      </c>
      <c r="CX35" s="451">
        <v>82.1</v>
      </c>
      <c r="CY35" s="384">
        <v>131</v>
      </c>
      <c r="CZ35" s="385">
        <v>34</v>
      </c>
      <c r="DA35" s="451">
        <v>79.400000000000006</v>
      </c>
      <c r="DB35" s="384">
        <v>167</v>
      </c>
      <c r="DC35" s="385">
        <v>35</v>
      </c>
      <c r="DD35" s="451">
        <v>82.7</v>
      </c>
      <c r="DE35" s="384"/>
      <c r="DF35" s="385"/>
      <c r="DG35" s="451"/>
      <c r="DH35" s="384">
        <v>6</v>
      </c>
      <c r="DI35" s="385"/>
      <c r="DJ35" s="451">
        <v>100</v>
      </c>
      <c r="DK35" s="384">
        <v>6</v>
      </c>
      <c r="DL35" s="385"/>
      <c r="DM35" s="451">
        <v>100</v>
      </c>
      <c r="DN35" s="384">
        <v>6</v>
      </c>
      <c r="DO35" s="385">
        <v>1</v>
      </c>
      <c r="DP35" s="451">
        <v>85.7</v>
      </c>
      <c r="DQ35" s="384"/>
      <c r="DR35" s="385"/>
      <c r="DS35" s="451"/>
      <c r="DT35" s="384">
        <v>1</v>
      </c>
      <c r="DU35" s="385"/>
      <c r="DV35" s="451">
        <v>100</v>
      </c>
      <c r="DW35" s="384">
        <v>14</v>
      </c>
      <c r="DX35" s="385"/>
      <c r="DY35" s="451">
        <v>100</v>
      </c>
      <c r="DZ35" s="384">
        <v>5</v>
      </c>
      <c r="EA35" s="385"/>
      <c r="EB35" s="451">
        <v>100</v>
      </c>
      <c r="EC35" s="384"/>
      <c r="ED35" s="385"/>
      <c r="EE35" s="451"/>
      <c r="EF35" s="384">
        <v>935</v>
      </c>
      <c r="EG35" s="385">
        <v>2008</v>
      </c>
      <c r="EH35" s="451">
        <v>31.8</v>
      </c>
      <c r="EI35" s="384">
        <v>618</v>
      </c>
      <c r="EJ35" s="385">
        <v>1471</v>
      </c>
      <c r="EK35" s="451">
        <v>29.6</v>
      </c>
      <c r="EL35" s="384">
        <v>685</v>
      </c>
      <c r="EM35" s="385">
        <v>1256</v>
      </c>
      <c r="EN35" s="451">
        <v>35.299999999999997</v>
      </c>
      <c r="EO35" s="384"/>
      <c r="EP35" s="385"/>
      <c r="EQ35" s="451"/>
      <c r="ER35" s="384">
        <v>7</v>
      </c>
      <c r="ES35" s="385">
        <v>1</v>
      </c>
      <c r="ET35" s="451">
        <v>87.5</v>
      </c>
      <c r="EU35" s="384">
        <v>5</v>
      </c>
      <c r="EV35" s="385">
        <v>7</v>
      </c>
      <c r="EW35" s="451">
        <v>41.7</v>
      </c>
      <c r="EX35" s="384">
        <v>9</v>
      </c>
      <c r="EY35" s="385">
        <v>7</v>
      </c>
      <c r="EZ35" s="451">
        <v>56.3</v>
      </c>
      <c r="FA35" s="384"/>
      <c r="FB35" s="385"/>
      <c r="FC35" s="451"/>
      <c r="FD35" s="384">
        <v>31</v>
      </c>
      <c r="FE35" s="385">
        <v>85</v>
      </c>
      <c r="FF35" s="451">
        <v>26.7</v>
      </c>
      <c r="FG35" s="384">
        <v>16</v>
      </c>
      <c r="FH35" s="385">
        <v>42</v>
      </c>
      <c r="FI35" s="451">
        <v>27.6</v>
      </c>
      <c r="FJ35" s="384">
        <v>11</v>
      </c>
      <c r="FK35" s="385">
        <v>45</v>
      </c>
      <c r="FL35" s="451">
        <v>19.600000000000001</v>
      </c>
      <c r="FM35" s="384"/>
      <c r="FN35" s="385"/>
      <c r="FO35" s="451"/>
      <c r="FP35" s="384">
        <v>218</v>
      </c>
      <c r="FQ35" s="385">
        <v>583</v>
      </c>
      <c r="FR35" s="451">
        <v>27.2</v>
      </c>
      <c r="FS35" s="384">
        <v>122</v>
      </c>
      <c r="FT35" s="385">
        <v>398</v>
      </c>
      <c r="FU35" s="451">
        <v>23.5</v>
      </c>
      <c r="FV35" s="384">
        <v>200</v>
      </c>
      <c r="FW35" s="385">
        <v>297</v>
      </c>
      <c r="FX35" s="451">
        <v>40.200000000000003</v>
      </c>
      <c r="FY35" s="384"/>
      <c r="FZ35" s="385"/>
      <c r="GA35" s="451"/>
      <c r="GB35" s="384">
        <v>25</v>
      </c>
      <c r="GC35" s="385">
        <v>1</v>
      </c>
      <c r="GD35" s="451">
        <v>96.2</v>
      </c>
      <c r="GE35" s="384">
        <v>15</v>
      </c>
      <c r="GF35" s="385">
        <v>3</v>
      </c>
      <c r="GG35" s="451">
        <v>83.3</v>
      </c>
      <c r="GH35" s="384">
        <v>18</v>
      </c>
      <c r="GI35" s="385">
        <v>2</v>
      </c>
      <c r="GJ35" s="451">
        <v>90</v>
      </c>
      <c r="GK35" s="384"/>
      <c r="GL35" s="385"/>
      <c r="GM35" s="451"/>
      <c r="GN35" s="384">
        <v>12</v>
      </c>
      <c r="GO35" s="385">
        <v>6</v>
      </c>
      <c r="GP35" s="451">
        <v>66.7</v>
      </c>
      <c r="GQ35" s="384">
        <v>10</v>
      </c>
      <c r="GR35" s="385">
        <v>9</v>
      </c>
      <c r="GS35" s="451">
        <v>52.6</v>
      </c>
      <c r="GT35" s="384">
        <v>16</v>
      </c>
      <c r="GU35" s="385">
        <v>4</v>
      </c>
      <c r="GV35" s="451">
        <v>80</v>
      </c>
      <c r="GW35" s="384"/>
      <c r="GX35" s="385"/>
      <c r="GY35" s="451"/>
      <c r="GZ35" s="384">
        <v>1</v>
      </c>
      <c r="HA35" s="385"/>
      <c r="HB35" s="451">
        <v>100</v>
      </c>
      <c r="HC35" s="384">
        <v>3</v>
      </c>
      <c r="HD35" s="385">
        <v>4</v>
      </c>
      <c r="HE35" s="451">
        <v>42.9</v>
      </c>
      <c r="HF35" s="384">
        <v>1</v>
      </c>
      <c r="HG35" s="385">
        <v>2</v>
      </c>
      <c r="HH35" s="451">
        <v>33.299999999999997</v>
      </c>
      <c r="HI35" s="384"/>
      <c r="HJ35" s="385"/>
      <c r="HK35" s="451"/>
      <c r="HL35" s="384">
        <v>40</v>
      </c>
      <c r="HM35" s="385">
        <v>121</v>
      </c>
      <c r="HN35" s="451">
        <v>24.8</v>
      </c>
      <c r="HO35" s="384">
        <v>60</v>
      </c>
      <c r="HP35" s="385">
        <v>105</v>
      </c>
      <c r="HQ35" s="451">
        <v>36.4</v>
      </c>
      <c r="HR35" s="384">
        <v>70</v>
      </c>
      <c r="HS35" s="385">
        <v>87</v>
      </c>
      <c r="HT35" s="451">
        <v>44.6</v>
      </c>
      <c r="HU35" s="384"/>
      <c r="HV35" s="385"/>
      <c r="HW35" s="451"/>
      <c r="HX35" s="384">
        <v>16</v>
      </c>
      <c r="HY35" s="385">
        <v>2</v>
      </c>
      <c r="HZ35" s="451">
        <v>88.9</v>
      </c>
      <c r="IA35" s="384">
        <v>5</v>
      </c>
      <c r="IB35" s="385"/>
      <c r="IC35" s="451">
        <v>100</v>
      </c>
      <c r="ID35" s="384">
        <v>26</v>
      </c>
      <c r="IE35" s="385"/>
      <c r="IF35" s="451">
        <v>100</v>
      </c>
      <c r="IG35" s="384"/>
      <c r="IH35" s="385"/>
      <c r="II35" s="451"/>
      <c r="IJ35" s="384">
        <v>10</v>
      </c>
      <c r="IK35" s="385">
        <v>5</v>
      </c>
      <c r="IL35" s="451">
        <v>66.7</v>
      </c>
      <c r="IM35" s="384">
        <v>14</v>
      </c>
      <c r="IN35" s="385">
        <v>12</v>
      </c>
      <c r="IO35" s="451">
        <v>53.8</v>
      </c>
      <c r="IP35" s="384">
        <v>11</v>
      </c>
      <c r="IQ35" s="385">
        <v>9</v>
      </c>
      <c r="IR35" s="451">
        <v>55</v>
      </c>
      <c r="IS35" s="384"/>
      <c r="IT35" s="385"/>
      <c r="IU35" s="451"/>
      <c r="IV35" s="384">
        <v>1239</v>
      </c>
      <c r="IW35" s="385">
        <v>2197</v>
      </c>
      <c r="IX35" s="451">
        <v>36.1</v>
      </c>
      <c r="IY35" s="384">
        <v>985</v>
      </c>
      <c r="IZ35" s="385">
        <v>1667</v>
      </c>
      <c r="JA35" s="451">
        <v>37.1</v>
      </c>
      <c r="JB35" s="384">
        <v>1107</v>
      </c>
      <c r="JC35" s="385">
        <v>1420</v>
      </c>
      <c r="JD35" s="451">
        <v>43.8</v>
      </c>
      <c r="JE35" s="384"/>
      <c r="JF35" s="385"/>
      <c r="JG35" s="451"/>
      <c r="JH35" s="384">
        <v>205</v>
      </c>
      <c r="JI35" s="385">
        <v>247</v>
      </c>
      <c r="JJ35" s="451">
        <v>45.4</v>
      </c>
      <c r="JK35" s="384">
        <v>204</v>
      </c>
      <c r="JL35" s="385">
        <v>195</v>
      </c>
      <c r="JM35" s="451">
        <v>51.1</v>
      </c>
      <c r="JN35" s="384">
        <v>257</v>
      </c>
      <c r="JO35" s="385">
        <v>221</v>
      </c>
      <c r="JP35" s="451">
        <v>53.8</v>
      </c>
      <c r="JQ35" s="384"/>
      <c r="JR35" s="385"/>
      <c r="JS35" s="451"/>
      <c r="JT35" s="384">
        <v>5</v>
      </c>
      <c r="JU35" s="385">
        <v>2</v>
      </c>
      <c r="JV35" s="451">
        <v>71.400000000000006</v>
      </c>
      <c r="JW35" s="384">
        <v>5</v>
      </c>
      <c r="JX35" s="385">
        <v>1</v>
      </c>
      <c r="JY35" s="451">
        <v>83.3</v>
      </c>
      <c r="JZ35" s="384">
        <v>13</v>
      </c>
      <c r="KA35" s="385">
        <v>4</v>
      </c>
      <c r="KB35" s="451">
        <v>76.5</v>
      </c>
      <c r="KC35" s="384"/>
      <c r="KD35" s="385"/>
      <c r="KE35" s="451"/>
      <c r="KF35" s="384">
        <v>6</v>
      </c>
      <c r="KG35" s="385">
        <v>1</v>
      </c>
      <c r="KH35" s="451">
        <v>85.7</v>
      </c>
      <c r="KI35" s="384">
        <v>3</v>
      </c>
      <c r="KJ35" s="385"/>
      <c r="KK35" s="451">
        <v>100</v>
      </c>
      <c r="KL35" s="384">
        <v>6</v>
      </c>
      <c r="KM35" s="385">
        <v>4</v>
      </c>
      <c r="KN35" s="451">
        <v>60</v>
      </c>
      <c r="KO35" s="384"/>
      <c r="KP35" s="385"/>
      <c r="KQ35" s="451"/>
      <c r="KR35" s="384">
        <v>259</v>
      </c>
      <c r="KS35" s="385">
        <v>290</v>
      </c>
      <c r="KT35" s="451">
        <v>47.2</v>
      </c>
      <c r="KU35" s="384">
        <v>257</v>
      </c>
      <c r="KV35" s="385">
        <v>217</v>
      </c>
      <c r="KW35" s="451">
        <v>54.2</v>
      </c>
      <c r="KX35" s="384">
        <v>322</v>
      </c>
      <c r="KY35" s="385">
        <v>246</v>
      </c>
      <c r="KZ35" s="451">
        <v>56.7</v>
      </c>
      <c r="LA35" s="384"/>
      <c r="LB35" s="385"/>
      <c r="LC35" s="451"/>
      <c r="LD35" s="384">
        <v>2328</v>
      </c>
      <c r="LE35" s="385">
        <v>2500</v>
      </c>
      <c r="LF35" s="451">
        <v>48.2</v>
      </c>
      <c r="LG35" s="384">
        <v>1774</v>
      </c>
      <c r="LH35" s="385">
        <v>1974</v>
      </c>
      <c r="LI35" s="451">
        <v>47.3</v>
      </c>
      <c r="LJ35" s="384">
        <v>1878</v>
      </c>
      <c r="LK35" s="385">
        <v>1783</v>
      </c>
      <c r="LL35" s="451">
        <v>51.3</v>
      </c>
      <c r="LM35" s="384"/>
      <c r="LN35" s="385"/>
      <c r="LO35" s="451"/>
    </row>
    <row r="36" spans="1:327" x14ac:dyDescent="0.2">
      <c r="A36" s="1000" t="s">
        <v>577</v>
      </c>
      <c r="B36" s="749"/>
      <c r="C36" s="146" t="s">
        <v>578</v>
      </c>
      <c r="D36" s="441">
        <v>2</v>
      </c>
      <c r="E36" s="442">
        <v>1</v>
      </c>
      <c r="F36" s="443">
        <v>66.7</v>
      </c>
      <c r="G36" s="441">
        <v>4</v>
      </c>
      <c r="H36" s="442"/>
      <c r="I36" s="443">
        <v>100</v>
      </c>
      <c r="J36" s="441">
        <v>5</v>
      </c>
      <c r="K36" s="442">
        <v>1</v>
      </c>
      <c r="L36" s="443">
        <v>83.3</v>
      </c>
      <c r="M36" s="441"/>
      <c r="N36" s="442"/>
      <c r="O36" s="443"/>
      <c r="P36" s="441">
        <v>1</v>
      </c>
      <c r="Q36" s="442"/>
      <c r="R36" s="443">
        <v>100</v>
      </c>
      <c r="S36" s="441">
        <v>2</v>
      </c>
      <c r="T36" s="442"/>
      <c r="U36" s="443">
        <v>100</v>
      </c>
      <c r="V36" s="441">
        <v>4</v>
      </c>
      <c r="W36" s="442">
        <v>1</v>
      </c>
      <c r="X36" s="443">
        <v>80</v>
      </c>
      <c r="Y36" s="441"/>
      <c r="Z36" s="442"/>
      <c r="AA36" s="443"/>
      <c r="AB36" s="441">
        <v>1</v>
      </c>
      <c r="AC36" s="442">
        <v>1</v>
      </c>
      <c r="AD36" s="443">
        <v>50</v>
      </c>
      <c r="AE36" s="441">
        <v>2</v>
      </c>
      <c r="AF36" s="442"/>
      <c r="AG36" s="443">
        <v>100</v>
      </c>
      <c r="AH36" s="441">
        <v>1</v>
      </c>
      <c r="AI36" s="442"/>
      <c r="AJ36" s="443">
        <v>100</v>
      </c>
      <c r="AK36" s="441"/>
      <c r="AL36" s="442"/>
      <c r="AM36" s="443"/>
      <c r="AN36" s="441">
        <v>7</v>
      </c>
      <c r="AO36" s="442"/>
      <c r="AP36" s="443">
        <v>100</v>
      </c>
      <c r="AQ36" s="441">
        <v>9</v>
      </c>
      <c r="AR36" s="442">
        <v>2</v>
      </c>
      <c r="AS36" s="443">
        <v>81.8</v>
      </c>
      <c r="AT36" s="441">
        <v>15</v>
      </c>
      <c r="AU36" s="442">
        <v>1</v>
      </c>
      <c r="AV36" s="443">
        <v>93.8</v>
      </c>
      <c r="AW36" s="441"/>
      <c r="AX36" s="442"/>
      <c r="AY36" s="443"/>
      <c r="AZ36" s="441">
        <v>7</v>
      </c>
      <c r="BA36" s="442"/>
      <c r="BB36" s="443">
        <v>100</v>
      </c>
      <c r="BC36" s="441">
        <v>8</v>
      </c>
      <c r="BD36" s="442">
        <v>2</v>
      </c>
      <c r="BE36" s="443">
        <v>80</v>
      </c>
      <c r="BF36" s="441">
        <v>14</v>
      </c>
      <c r="BG36" s="442">
        <v>1</v>
      </c>
      <c r="BH36" s="443">
        <v>93.3</v>
      </c>
      <c r="BI36" s="441"/>
      <c r="BJ36" s="442"/>
      <c r="BK36" s="443"/>
      <c r="BL36" s="441"/>
      <c r="BM36" s="442"/>
      <c r="BN36" s="443" t="s">
        <v>6</v>
      </c>
      <c r="BO36" s="441"/>
      <c r="BP36" s="442"/>
      <c r="BQ36" s="443" t="s">
        <v>6</v>
      </c>
      <c r="BR36" s="441">
        <v>1</v>
      </c>
      <c r="BS36" s="442">
        <v>1</v>
      </c>
      <c r="BT36" s="443">
        <v>50</v>
      </c>
      <c r="BU36" s="441"/>
      <c r="BV36" s="442"/>
      <c r="BW36" s="443"/>
      <c r="BX36" s="441"/>
      <c r="BY36" s="442"/>
      <c r="BZ36" s="443" t="s">
        <v>6</v>
      </c>
      <c r="CA36" s="441"/>
      <c r="CB36" s="442"/>
      <c r="CC36" s="443" t="s">
        <v>6</v>
      </c>
      <c r="CD36" s="441"/>
      <c r="CE36" s="442"/>
      <c r="CF36" s="443" t="s">
        <v>6</v>
      </c>
      <c r="CG36" s="441"/>
      <c r="CH36" s="442"/>
      <c r="CI36" s="443"/>
      <c r="CJ36" s="441">
        <v>4</v>
      </c>
      <c r="CK36" s="442">
        <v>6</v>
      </c>
      <c r="CL36" s="443">
        <v>40</v>
      </c>
      <c r="CM36" s="441">
        <v>5</v>
      </c>
      <c r="CN36" s="442">
        <v>6</v>
      </c>
      <c r="CO36" s="443">
        <v>45.5</v>
      </c>
      <c r="CP36" s="441">
        <v>4</v>
      </c>
      <c r="CQ36" s="442">
        <v>1</v>
      </c>
      <c r="CR36" s="443">
        <v>80</v>
      </c>
      <c r="CS36" s="441"/>
      <c r="CT36" s="442"/>
      <c r="CU36" s="443"/>
      <c r="CV36" s="441"/>
      <c r="CW36" s="442"/>
      <c r="CX36" s="443" t="s">
        <v>6</v>
      </c>
      <c r="CY36" s="441"/>
      <c r="CZ36" s="442"/>
      <c r="DA36" s="443" t="s">
        <v>6</v>
      </c>
      <c r="DB36" s="441">
        <v>1</v>
      </c>
      <c r="DC36" s="442"/>
      <c r="DD36" s="443">
        <v>100</v>
      </c>
      <c r="DE36" s="441"/>
      <c r="DF36" s="442"/>
      <c r="DG36" s="443"/>
      <c r="DH36" s="441"/>
      <c r="DI36" s="442"/>
      <c r="DJ36" s="443" t="s">
        <v>6</v>
      </c>
      <c r="DK36" s="441"/>
      <c r="DL36" s="442"/>
      <c r="DM36" s="443" t="s">
        <v>6</v>
      </c>
      <c r="DN36" s="441"/>
      <c r="DO36" s="442"/>
      <c r="DP36" s="443" t="s">
        <v>6</v>
      </c>
      <c r="DQ36" s="441"/>
      <c r="DR36" s="442"/>
      <c r="DS36" s="443"/>
      <c r="DT36" s="441">
        <v>5</v>
      </c>
      <c r="DU36" s="442"/>
      <c r="DV36" s="443">
        <v>100</v>
      </c>
      <c r="DW36" s="441">
        <v>2</v>
      </c>
      <c r="DX36" s="442"/>
      <c r="DY36" s="443">
        <v>100</v>
      </c>
      <c r="DZ36" s="441">
        <v>2</v>
      </c>
      <c r="EA36" s="442"/>
      <c r="EB36" s="443">
        <v>100</v>
      </c>
      <c r="EC36" s="441"/>
      <c r="ED36" s="442"/>
      <c r="EE36" s="443"/>
      <c r="EF36" s="441">
        <v>12</v>
      </c>
      <c r="EG36" s="442">
        <v>1</v>
      </c>
      <c r="EH36" s="443">
        <v>92.3</v>
      </c>
      <c r="EI36" s="441">
        <v>19</v>
      </c>
      <c r="EJ36" s="442">
        <v>3</v>
      </c>
      <c r="EK36" s="443">
        <v>86.4</v>
      </c>
      <c r="EL36" s="441">
        <v>2</v>
      </c>
      <c r="EM36" s="442">
        <v>1</v>
      </c>
      <c r="EN36" s="443">
        <v>66.7</v>
      </c>
      <c r="EO36" s="441"/>
      <c r="EP36" s="442"/>
      <c r="EQ36" s="443"/>
      <c r="ER36" s="441"/>
      <c r="ES36" s="442"/>
      <c r="ET36" s="443" t="s">
        <v>6</v>
      </c>
      <c r="EU36" s="441"/>
      <c r="EV36" s="442">
        <v>1</v>
      </c>
      <c r="EW36" s="443">
        <v>0</v>
      </c>
      <c r="EX36" s="441"/>
      <c r="EY36" s="442"/>
      <c r="EZ36" s="443" t="s">
        <v>6</v>
      </c>
      <c r="FA36" s="441"/>
      <c r="FB36" s="442"/>
      <c r="FC36" s="443"/>
      <c r="FD36" s="441"/>
      <c r="FE36" s="442"/>
      <c r="FF36" s="443" t="s">
        <v>6</v>
      </c>
      <c r="FG36" s="441">
        <v>9</v>
      </c>
      <c r="FH36" s="442">
        <v>1</v>
      </c>
      <c r="FI36" s="443">
        <v>90</v>
      </c>
      <c r="FJ36" s="441"/>
      <c r="FK36" s="442"/>
      <c r="FL36" s="443" t="s">
        <v>6</v>
      </c>
      <c r="FM36" s="441"/>
      <c r="FN36" s="442"/>
      <c r="FO36" s="443"/>
      <c r="FP36" s="441">
        <v>1</v>
      </c>
      <c r="FQ36" s="442"/>
      <c r="FR36" s="443">
        <v>100</v>
      </c>
      <c r="FS36" s="441"/>
      <c r="FT36" s="442"/>
      <c r="FU36" s="443" t="s">
        <v>6</v>
      </c>
      <c r="FV36" s="441">
        <v>1</v>
      </c>
      <c r="FW36" s="442"/>
      <c r="FX36" s="443">
        <v>100</v>
      </c>
      <c r="FY36" s="441"/>
      <c r="FZ36" s="442"/>
      <c r="GA36" s="443"/>
      <c r="GB36" s="441">
        <v>1</v>
      </c>
      <c r="GC36" s="442">
        <v>1</v>
      </c>
      <c r="GD36" s="443">
        <v>50</v>
      </c>
      <c r="GE36" s="441">
        <v>4</v>
      </c>
      <c r="GF36" s="442"/>
      <c r="GG36" s="443">
        <v>100</v>
      </c>
      <c r="GH36" s="441"/>
      <c r="GI36" s="442"/>
      <c r="GJ36" s="443" t="s">
        <v>6</v>
      </c>
      <c r="GK36" s="441"/>
      <c r="GL36" s="442"/>
      <c r="GM36" s="443"/>
      <c r="GN36" s="441"/>
      <c r="GO36" s="442"/>
      <c r="GP36" s="443" t="s">
        <v>6</v>
      </c>
      <c r="GQ36" s="441"/>
      <c r="GR36" s="442"/>
      <c r="GS36" s="443" t="s">
        <v>6</v>
      </c>
      <c r="GT36" s="441"/>
      <c r="GU36" s="442"/>
      <c r="GV36" s="443" t="s">
        <v>6</v>
      </c>
      <c r="GW36" s="441"/>
      <c r="GX36" s="442"/>
      <c r="GY36" s="443"/>
      <c r="GZ36" s="441">
        <v>1</v>
      </c>
      <c r="HA36" s="442">
        <v>1</v>
      </c>
      <c r="HB36" s="443">
        <v>50</v>
      </c>
      <c r="HC36" s="441"/>
      <c r="HD36" s="442"/>
      <c r="HE36" s="443" t="s">
        <v>6</v>
      </c>
      <c r="HF36" s="441"/>
      <c r="HG36" s="442"/>
      <c r="HH36" s="443" t="s">
        <v>6</v>
      </c>
      <c r="HI36" s="441"/>
      <c r="HJ36" s="442"/>
      <c r="HK36" s="443"/>
      <c r="HL36" s="441"/>
      <c r="HM36" s="442">
        <v>2</v>
      </c>
      <c r="HN36" s="443">
        <v>0</v>
      </c>
      <c r="HO36" s="441"/>
      <c r="HP36" s="442"/>
      <c r="HQ36" s="443" t="s">
        <v>6</v>
      </c>
      <c r="HR36" s="441"/>
      <c r="HS36" s="442"/>
      <c r="HT36" s="443" t="s">
        <v>6</v>
      </c>
      <c r="HU36" s="441"/>
      <c r="HV36" s="442"/>
      <c r="HW36" s="443"/>
      <c r="HX36" s="441">
        <v>1</v>
      </c>
      <c r="HY36" s="442"/>
      <c r="HZ36" s="443">
        <v>100</v>
      </c>
      <c r="IA36" s="441"/>
      <c r="IB36" s="442"/>
      <c r="IC36" s="443" t="s">
        <v>6</v>
      </c>
      <c r="ID36" s="441"/>
      <c r="IE36" s="442"/>
      <c r="IF36" s="443" t="s">
        <v>6</v>
      </c>
      <c r="IG36" s="441"/>
      <c r="IH36" s="442"/>
      <c r="II36" s="443"/>
      <c r="IJ36" s="441"/>
      <c r="IK36" s="442"/>
      <c r="IL36" s="443" t="s">
        <v>6</v>
      </c>
      <c r="IM36" s="441"/>
      <c r="IN36" s="442"/>
      <c r="IO36" s="443" t="s">
        <v>6</v>
      </c>
      <c r="IP36" s="441">
        <v>1</v>
      </c>
      <c r="IQ36" s="442"/>
      <c r="IR36" s="443">
        <v>100</v>
      </c>
      <c r="IS36" s="441"/>
      <c r="IT36" s="442"/>
      <c r="IU36" s="443"/>
      <c r="IV36" s="441">
        <v>33</v>
      </c>
      <c r="IW36" s="442">
        <v>12</v>
      </c>
      <c r="IX36" s="443">
        <v>73.3</v>
      </c>
      <c r="IY36" s="441">
        <v>43</v>
      </c>
      <c r="IZ36" s="442">
        <v>11</v>
      </c>
      <c r="JA36" s="443">
        <v>79.599999999999994</v>
      </c>
      <c r="JB36" s="441">
        <v>30</v>
      </c>
      <c r="JC36" s="442">
        <v>4</v>
      </c>
      <c r="JD36" s="443">
        <v>88.2</v>
      </c>
      <c r="JE36" s="441"/>
      <c r="JF36" s="442"/>
      <c r="JG36" s="443"/>
      <c r="JH36" s="441">
        <v>9</v>
      </c>
      <c r="JI36" s="442">
        <v>6</v>
      </c>
      <c r="JJ36" s="443">
        <v>60</v>
      </c>
      <c r="JK36" s="441">
        <v>5</v>
      </c>
      <c r="JL36" s="442">
        <v>7</v>
      </c>
      <c r="JM36" s="443">
        <v>41.7</v>
      </c>
      <c r="JN36" s="441">
        <v>8</v>
      </c>
      <c r="JO36" s="442">
        <v>1</v>
      </c>
      <c r="JP36" s="443">
        <v>88.9</v>
      </c>
      <c r="JQ36" s="441"/>
      <c r="JR36" s="442"/>
      <c r="JS36" s="443"/>
      <c r="JT36" s="441"/>
      <c r="JU36" s="442"/>
      <c r="JV36" s="443" t="s">
        <v>6</v>
      </c>
      <c r="JW36" s="441"/>
      <c r="JX36" s="442"/>
      <c r="JY36" s="443" t="s">
        <v>6</v>
      </c>
      <c r="JZ36" s="441">
        <v>3</v>
      </c>
      <c r="KA36" s="442"/>
      <c r="KB36" s="443">
        <v>100</v>
      </c>
      <c r="KC36" s="441"/>
      <c r="KD36" s="442"/>
      <c r="KE36" s="443"/>
      <c r="KF36" s="441"/>
      <c r="KG36" s="442"/>
      <c r="KH36" s="443" t="s">
        <v>6</v>
      </c>
      <c r="KI36" s="441"/>
      <c r="KJ36" s="442"/>
      <c r="KK36" s="443" t="s">
        <v>6</v>
      </c>
      <c r="KL36" s="441"/>
      <c r="KM36" s="442">
        <v>1</v>
      </c>
      <c r="KN36" s="443">
        <v>0</v>
      </c>
      <c r="KO36" s="441"/>
      <c r="KP36" s="442"/>
      <c r="KQ36" s="443"/>
      <c r="KR36" s="441">
        <v>11</v>
      </c>
      <c r="KS36" s="442">
        <v>7</v>
      </c>
      <c r="KT36" s="443">
        <v>61.1</v>
      </c>
      <c r="KU36" s="441">
        <v>6</v>
      </c>
      <c r="KV36" s="442">
        <v>7</v>
      </c>
      <c r="KW36" s="443">
        <v>46.2</v>
      </c>
      <c r="KX36" s="441">
        <v>14</v>
      </c>
      <c r="KY36" s="442">
        <v>5</v>
      </c>
      <c r="KZ36" s="443">
        <v>73.7</v>
      </c>
      <c r="LA36" s="441"/>
      <c r="LB36" s="442"/>
      <c r="LC36" s="443"/>
      <c r="LD36" s="441">
        <v>75</v>
      </c>
      <c r="LE36" s="442">
        <v>16</v>
      </c>
      <c r="LF36" s="443">
        <v>82.4</v>
      </c>
      <c r="LG36" s="441">
        <v>57</v>
      </c>
      <c r="LH36" s="442">
        <v>19</v>
      </c>
      <c r="LI36" s="443">
        <v>75</v>
      </c>
      <c r="LJ36" s="441">
        <v>64</v>
      </c>
      <c r="LK36" s="442">
        <v>10</v>
      </c>
      <c r="LL36" s="443">
        <v>86.5</v>
      </c>
      <c r="LM36" s="441"/>
      <c r="LN36" s="442"/>
      <c r="LO36" s="443"/>
    </row>
    <row r="37" spans="1:327" x14ac:dyDescent="0.2">
      <c r="A37" s="1001"/>
      <c r="B37" s="747"/>
      <c r="C37" s="151" t="s">
        <v>657</v>
      </c>
      <c r="D37" s="377"/>
      <c r="E37" s="373"/>
      <c r="F37" s="444" t="s">
        <v>6</v>
      </c>
      <c r="G37" s="377"/>
      <c r="H37" s="373"/>
      <c r="I37" s="444" t="s">
        <v>6</v>
      </c>
      <c r="J37" s="377"/>
      <c r="K37" s="373"/>
      <c r="L37" s="444" t="s">
        <v>6</v>
      </c>
      <c r="M37" s="377"/>
      <c r="N37" s="373"/>
      <c r="O37" s="444"/>
      <c r="P37" s="377"/>
      <c r="Q37" s="373"/>
      <c r="R37" s="444" t="s">
        <v>6</v>
      </c>
      <c r="S37" s="377"/>
      <c r="T37" s="373"/>
      <c r="U37" s="444" t="s">
        <v>6</v>
      </c>
      <c r="V37" s="377"/>
      <c r="W37" s="373"/>
      <c r="X37" s="444" t="s">
        <v>6</v>
      </c>
      <c r="Y37" s="377"/>
      <c r="Z37" s="373"/>
      <c r="AA37" s="444"/>
      <c r="AB37" s="377"/>
      <c r="AC37" s="373"/>
      <c r="AD37" s="444" t="s">
        <v>6</v>
      </c>
      <c r="AE37" s="377"/>
      <c r="AF37" s="373"/>
      <c r="AG37" s="444" t="s">
        <v>6</v>
      </c>
      <c r="AH37" s="377"/>
      <c r="AI37" s="373"/>
      <c r="AJ37" s="444" t="s">
        <v>6</v>
      </c>
      <c r="AK37" s="377"/>
      <c r="AL37" s="373"/>
      <c r="AM37" s="444"/>
      <c r="AN37" s="377">
        <v>46</v>
      </c>
      <c r="AO37" s="373">
        <v>22</v>
      </c>
      <c r="AP37" s="444">
        <v>67.599999999999994</v>
      </c>
      <c r="AQ37" s="377">
        <v>65</v>
      </c>
      <c r="AR37" s="373">
        <v>33</v>
      </c>
      <c r="AS37" s="444">
        <v>66.3</v>
      </c>
      <c r="AT37" s="377">
        <v>68</v>
      </c>
      <c r="AU37" s="373">
        <v>14</v>
      </c>
      <c r="AV37" s="444">
        <v>82.9</v>
      </c>
      <c r="AW37" s="377"/>
      <c r="AX37" s="373"/>
      <c r="AY37" s="444"/>
      <c r="AZ37" s="377">
        <v>20</v>
      </c>
      <c r="BA37" s="373">
        <v>17</v>
      </c>
      <c r="BB37" s="444">
        <v>54.1</v>
      </c>
      <c r="BC37" s="377">
        <v>23</v>
      </c>
      <c r="BD37" s="373">
        <v>22</v>
      </c>
      <c r="BE37" s="444">
        <v>51.1</v>
      </c>
      <c r="BF37" s="377">
        <v>25</v>
      </c>
      <c r="BG37" s="373">
        <v>9</v>
      </c>
      <c r="BH37" s="444">
        <v>73.5</v>
      </c>
      <c r="BI37" s="377"/>
      <c r="BJ37" s="373"/>
      <c r="BK37" s="444"/>
      <c r="BL37" s="377"/>
      <c r="BM37" s="373"/>
      <c r="BN37" s="444" t="s">
        <v>6</v>
      </c>
      <c r="BO37" s="377"/>
      <c r="BP37" s="373"/>
      <c r="BQ37" s="444" t="s">
        <v>6</v>
      </c>
      <c r="BR37" s="377"/>
      <c r="BS37" s="373"/>
      <c r="BT37" s="444" t="s">
        <v>6</v>
      </c>
      <c r="BU37" s="377"/>
      <c r="BV37" s="373"/>
      <c r="BW37" s="444"/>
      <c r="BX37" s="377">
        <v>2</v>
      </c>
      <c r="BY37" s="373"/>
      <c r="BZ37" s="444">
        <v>100</v>
      </c>
      <c r="CA37" s="377"/>
      <c r="CB37" s="373">
        <v>1</v>
      </c>
      <c r="CC37" s="444">
        <v>0</v>
      </c>
      <c r="CD37" s="377"/>
      <c r="CE37" s="373"/>
      <c r="CF37" s="444" t="s">
        <v>6</v>
      </c>
      <c r="CG37" s="377"/>
      <c r="CH37" s="373"/>
      <c r="CI37" s="444"/>
      <c r="CJ37" s="377"/>
      <c r="CK37" s="373"/>
      <c r="CL37" s="444" t="s">
        <v>6</v>
      </c>
      <c r="CM37" s="377"/>
      <c r="CN37" s="373"/>
      <c r="CO37" s="444" t="s">
        <v>6</v>
      </c>
      <c r="CP37" s="377"/>
      <c r="CQ37" s="373"/>
      <c r="CR37" s="444" t="s">
        <v>6</v>
      </c>
      <c r="CS37" s="377"/>
      <c r="CT37" s="373"/>
      <c r="CU37" s="444"/>
      <c r="CV37" s="377">
        <v>45</v>
      </c>
      <c r="CW37" s="373">
        <v>31</v>
      </c>
      <c r="CX37" s="444">
        <v>59.2</v>
      </c>
      <c r="CY37" s="377">
        <v>55</v>
      </c>
      <c r="CZ37" s="373">
        <v>47</v>
      </c>
      <c r="DA37" s="444">
        <v>53.9</v>
      </c>
      <c r="DB37" s="377">
        <v>62</v>
      </c>
      <c r="DC37" s="373">
        <v>30</v>
      </c>
      <c r="DD37" s="444">
        <v>67.400000000000006</v>
      </c>
      <c r="DE37" s="377"/>
      <c r="DF37" s="373"/>
      <c r="DG37" s="444"/>
      <c r="DH37" s="377">
        <v>1</v>
      </c>
      <c r="DI37" s="373">
        <v>2</v>
      </c>
      <c r="DJ37" s="444">
        <v>33.299999999999997</v>
      </c>
      <c r="DK37" s="377">
        <v>7</v>
      </c>
      <c r="DL37" s="373">
        <v>4</v>
      </c>
      <c r="DM37" s="444">
        <v>63.6</v>
      </c>
      <c r="DN37" s="377">
        <v>2</v>
      </c>
      <c r="DO37" s="373"/>
      <c r="DP37" s="444">
        <v>100</v>
      </c>
      <c r="DQ37" s="377"/>
      <c r="DR37" s="373"/>
      <c r="DS37" s="444"/>
      <c r="DT37" s="377">
        <v>1</v>
      </c>
      <c r="DU37" s="373"/>
      <c r="DV37" s="444">
        <v>100</v>
      </c>
      <c r="DW37" s="377">
        <v>1</v>
      </c>
      <c r="DX37" s="373">
        <v>3</v>
      </c>
      <c r="DY37" s="444">
        <v>25</v>
      </c>
      <c r="DZ37" s="377">
        <v>1</v>
      </c>
      <c r="EA37" s="373">
        <v>1</v>
      </c>
      <c r="EB37" s="444">
        <v>50</v>
      </c>
      <c r="EC37" s="377"/>
      <c r="ED37" s="373"/>
      <c r="EE37" s="444"/>
      <c r="EF37" s="377">
        <v>610</v>
      </c>
      <c r="EG37" s="373">
        <v>2281</v>
      </c>
      <c r="EH37" s="444">
        <v>21.1</v>
      </c>
      <c r="EI37" s="377">
        <v>778</v>
      </c>
      <c r="EJ37" s="373">
        <v>1671</v>
      </c>
      <c r="EK37" s="444">
        <v>31.8</v>
      </c>
      <c r="EL37" s="377">
        <v>526</v>
      </c>
      <c r="EM37" s="373">
        <v>1259</v>
      </c>
      <c r="EN37" s="444">
        <v>29.5</v>
      </c>
      <c r="EO37" s="377"/>
      <c r="EP37" s="373"/>
      <c r="EQ37" s="444"/>
      <c r="ER37" s="377">
        <v>10</v>
      </c>
      <c r="ES37" s="373">
        <v>9</v>
      </c>
      <c r="ET37" s="444">
        <v>52.6</v>
      </c>
      <c r="EU37" s="377">
        <v>4</v>
      </c>
      <c r="EV37" s="373">
        <v>10</v>
      </c>
      <c r="EW37" s="444">
        <v>28.6</v>
      </c>
      <c r="EX37" s="377">
        <v>12</v>
      </c>
      <c r="EY37" s="373">
        <v>4</v>
      </c>
      <c r="EZ37" s="444">
        <v>75</v>
      </c>
      <c r="FA37" s="377"/>
      <c r="FB37" s="373"/>
      <c r="FC37" s="444"/>
      <c r="FD37" s="377">
        <v>33</v>
      </c>
      <c r="FE37" s="373">
        <v>333</v>
      </c>
      <c r="FF37" s="444">
        <v>9</v>
      </c>
      <c r="FG37" s="377">
        <v>59</v>
      </c>
      <c r="FH37" s="373">
        <v>174</v>
      </c>
      <c r="FI37" s="444">
        <v>25.3</v>
      </c>
      <c r="FJ37" s="377">
        <v>48</v>
      </c>
      <c r="FK37" s="373">
        <v>109</v>
      </c>
      <c r="FL37" s="444">
        <v>30.6</v>
      </c>
      <c r="FM37" s="377"/>
      <c r="FN37" s="373"/>
      <c r="FO37" s="444"/>
      <c r="FP37" s="377">
        <v>85</v>
      </c>
      <c r="FQ37" s="373">
        <v>528</v>
      </c>
      <c r="FR37" s="444">
        <v>13.9</v>
      </c>
      <c r="FS37" s="377">
        <v>99</v>
      </c>
      <c r="FT37" s="373">
        <v>402</v>
      </c>
      <c r="FU37" s="444">
        <v>19.8</v>
      </c>
      <c r="FV37" s="377">
        <v>133</v>
      </c>
      <c r="FW37" s="373">
        <v>246</v>
      </c>
      <c r="FX37" s="444">
        <v>35.1</v>
      </c>
      <c r="FY37" s="377"/>
      <c r="FZ37" s="373"/>
      <c r="GA37" s="444"/>
      <c r="GB37" s="377">
        <v>9</v>
      </c>
      <c r="GC37" s="373">
        <v>8</v>
      </c>
      <c r="GD37" s="444">
        <v>52.9</v>
      </c>
      <c r="GE37" s="377">
        <v>27</v>
      </c>
      <c r="GF37" s="373">
        <v>8</v>
      </c>
      <c r="GG37" s="444">
        <v>77.099999999999994</v>
      </c>
      <c r="GH37" s="377">
        <v>12</v>
      </c>
      <c r="GI37" s="373">
        <v>2</v>
      </c>
      <c r="GJ37" s="444">
        <v>85.7</v>
      </c>
      <c r="GK37" s="377"/>
      <c r="GL37" s="373"/>
      <c r="GM37" s="444"/>
      <c r="GN37" s="377">
        <v>1</v>
      </c>
      <c r="GO37" s="373">
        <v>2</v>
      </c>
      <c r="GP37" s="444">
        <v>33.299999999999997</v>
      </c>
      <c r="GQ37" s="377">
        <v>7</v>
      </c>
      <c r="GR37" s="373">
        <v>3</v>
      </c>
      <c r="GS37" s="444">
        <v>70</v>
      </c>
      <c r="GT37" s="377">
        <v>6</v>
      </c>
      <c r="GU37" s="373">
        <v>6</v>
      </c>
      <c r="GV37" s="444">
        <v>50</v>
      </c>
      <c r="GW37" s="377"/>
      <c r="GX37" s="373"/>
      <c r="GY37" s="444"/>
      <c r="GZ37" s="377">
        <v>2</v>
      </c>
      <c r="HA37" s="373">
        <v>1</v>
      </c>
      <c r="HB37" s="444">
        <v>66.7</v>
      </c>
      <c r="HC37" s="377">
        <v>2</v>
      </c>
      <c r="HD37" s="373"/>
      <c r="HE37" s="444">
        <v>100</v>
      </c>
      <c r="HF37" s="377">
        <v>1</v>
      </c>
      <c r="HG37" s="373"/>
      <c r="HH37" s="444">
        <v>100</v>
      </c>
      <c r="HI37" s="377"/>
      <c r="HJ37" s="373"/>
      <c r="HK37" s="444"/>
      <c r="HL37" s="377">
        <v>16</v>
      </c>
      <c r="HM37" s="373">
        <v>65</v>
      </c>
      <c r="HN37" s="444">
        <v>19.8</v>
      </c>
      <c r="HO37" s="377">
        <v>19</v>
      </c>
      <c r="HP37" s="373">
        <v>70</v>
      </c>
      <c r="HQ37" s="444">
        <v>21.3</v>
      </c>
      <c r="HR37" s="377">
        <v>18</v>
      </c>
      <c r="HS37" s="373">
        <v>62</v>
      </c>
      <c r="HT37" s="444">
        <v>22.5</v>
      </c>
      <c r="HU37" s="377"/>
      <c r="HV37" s="373"/>
      <c r="HW37" s="444"/>
      <c r="HX37" s="377">
        <v>21</v>
      </c>
      <c r="HY37" s="373">
        <v>3</v>
      </c>
      <c r="HZ37" s="444">
        <v>87.5</v>
      </c>
      <c r="IA37" s="377">
        <v>12</v>
      </c>
      <c r="IB37" s="373">
        <v>1</v>
      </c>
      <c r="IC37" s="444">
        <v>92.3</v>
      </c>
      <c r="ID37" s="377">
        <v>14</v>
      </c>
      <c r="IE37" s="373">
        <v>1</v>
      </c>
      <c r="IF37" s="444">
        <v>93.3</v>
      </c>
      <c r="IG37" s="377"/>
      <c r="IH37" s="373"/>
      <c r="II37" s="444"/>
      <c r="IJ37" s="377">
        <v>6</v>
      </c>
      <c r="IK37" s="373">
        <v>2</v>
      </c>
      <c r="IL37" s="444">
        <v>75</v>
      </c>
      <c r="IM37" s="377">
        <v>6</v>
      </c>
      <c r="IN37" s="373">
        <v>1</v>
      </c>
      <c r="IO37" s="444">
        <v>85.7</v>
      </c>
      <c r="IP37" s="377">
        <v>6</v>
      </c>
      <c r="IQ37" s="373">
        <v>1</v>
      </c>
      <c r="IR37" s="444">
        <v>85.7</v>
      </c>
      <c r="IS37" s="377"/>
      <c r="IT37" s="373"/>
      <c r="IU37" s="444"/>
      <c r="IV37" s="377">
        <v>760</v>
      </c>
      <c r="IW37" s="373">
        <v>2417</v>
      </c>
      <c r="IX37" s="444">
        <v>23.9</v>
      </c>
      <c r="IY37" s="377">
        <v>979</v>
      </c>
      <c r="IZ37" s="373">
        <v>1842</v>
      </c>
      <c r="JA37" s="444">
        <v>34.700000000000003</v>
      </c>
      <c r="JB37" s="377">
        <v>716</v>
      </c>
      <c r="JC37" s="373">
        <v>1376</v>
      </c>
      <c r="JD37" s="444">
        <v>34.200000000000003</v>
      </c>
      <c r="JE37" s="377"/>
      <c r="JF37" s="373"/>
      <c r="JG37" s="444"/>
      <c r="JH37" s="377">
        <v>181</v>
      </c>
      <c r="JI37" s="373">
        <v>694</v>
      </c>
      <c r="JJ37" s="444">
        <v>20.7</v>
      </c>
      <c r="JK37" s="377">
        <v>342</v>
      </c>
      <c r="JL37" s="373">
        <v>525</v>
      </c>
      <c r="JM37" s="444">
        <v>39.4</v>
      </c>
      <c r="JN37" s="377">
        <v>184</v>
      </c>
      <c r="JO37" s="373">
        <v>341</v>
      </c>
      <c r="JP37" s="444">
        <v>35</v>
      </c>
      <c r="JQ37" s="377"/>
      <c r="JR37" s="373"/>
      <c r="JS37" s="444"/>
      <c r="JT37" s="377">
        <v>6</v>
      </c>
      <c r="JU37" s="373"/>
      <c r="JV37" s="444">
        <v>100</v>
      </c>
      <c r="JW37" s="377">
        <v>12</v>
      </c>
      <c r="JX37" s="373">
        <v>4</v>
      </c>
      <c r="JY37" s="444">
        <v>75</v>
      </c>
      <c r="JZ37" s="377">
        <v>1</v>
      </c>
      <c r="KA37" s="373">
        <v>4</v>
      </c>
      <c r="KB37" s="444">
        <v>20</v>
      </c>
      <c r="KC37" s="377"/>
      <c r="KD37" s="373"/>
      <c r="KE37" s="444"/>
      <c r="KF37" s="377">
        <v>6</v>
      </c>
      <c r="KG37" s="373"/>
      <c r="KH37" s="444">
        <v>100</v>
      </c>
      <c r="KI37" s="377">
        <v>4</v>
      </c>
      <c r="KJ37" s="373">
        <v>3</v>
      </c>
      <c r="KK37" s="444">
        <v>57.1</v>
      </c>
      <c r="KL37" s="377">
        <v>4</v>
      </c>
      <c r="KM37" s="373">
        <v>2</v>
      </c>
      <c r="KN37" s="444">
        <v>66.7</v>
      </c>
      <c r="KO37" s="377"/>
      <c r="KP37" s="373"/>
      <c r="KQ37" s="444"/>
      <c r="KR37" s="377">
        <v>211</v>
      </c>
      <c r="KS37" s="373">
        <v>700</v>
      </c>
      <c r="KT37" s="444">
        <v>23.2</v>
      </c>
      <c r="KU37" s="377">
        <v>380</v>
      </c>
      <c r="KV37" s="373">
        <v>549</v>
      </c>
      <c r="KW37" s="444">
        <v>40.9</v>
      </c>
      <c r="KX37" s="377">
        <v>212</v>
      </c>
      <c r="KY37" s="373">
        <v>358</v>
      </c>
      <c r="KZ37" s="444">
        <v>37.200000000000003</v>
      </c>
      <c r="LA37" s="377"/>
      <c r="LB37" s="373"/>
      <c r="LC37" s="444"/>
      <c r="LD37" s="377">
        <v>1414</v>
      </c>
      <c r="LE37" s="373">
        <v>2656</v>
      </c>
      <c r="LF37" s="444">
        <v>34.700000000000003</v>
      </c>
      <c r="LG37" s="377">
        <v>1317</v>
      </c>
      <c r="LH37" s="373">
        <v>2062</v>
      </c>
      <c r="LI37" s="444">
        <v>39</v>
      </c>
      <c r="LJ37" s="377">
        <v>1063</v>
      </c>
      <c r="LK37" s="373">
        <v>1617</v>
      </c>
      <c r="LL37" s="444">
        <v>39.700000000000003</v>
      </c>
      <c r="LM37" s="377"/>
      <c r="LN37" s="373"/>
      <c r="LO37" s="444"/>
    </row>
    <row r="38" spans="1:327" x14ac:dyDescent="0.2">
      <c r="A38" s="1001"/>
      <c r="B38" s="747" t="s">
        <v>621</v>
      </c>
      <c r="C38" s="151" t="s">
        <v>658</v>
      </c>
      <c r="D38" s="377"/>
      <c r="E38" s="373"/>
      <c r="F38" s="444" t="s">
        <v>6</v>
      </c>
      <c r="G38" s="377"/>
      <c r="H38" s="373"/>
      <c r="I38" s="444" t="s">
        <v>6</v>
      </c>
      <c r="J38" s="377"/>
      <c r="K38" s="373"/>
      <c r="L38" s="444" t="s">
        <v>6</v>
      </c>
      <c r="M38" s="377"/>
      <c r="N38" s="373"/>
      <c r="O38" s="444"/>
      <c r="P38" s="377"/>
      <c r="Q38" s="373"/>
      <c r="R38" s="444" t="s">
        <v>6</v>
      </c>
      <c r="S38" s="377"/>
      <c r="T38" s="373"/>
      <c r="U38" s="444" t="s">
        <v>6</v>
      </c>
      <c r="V38" s="377"/>
      <c r="W38" s="373"/>
      <c r="X38" s="444" t="s">
        <v>6</v>
      </c>
      <c r="Y38" s="377"/>
      <c r="Z38" s="373"/>
      <c r="AA38" s="444"/>
      <c r="AB38" s="377"/>
      <c r="AC38" s="373"/>
      <c r="AD38" s="444" t="s">
        <v>6</v>
      </c>
      <c r="AE38" s="377"/>
      <c r="AF38" s="373"/>
      <c r="AG38" s="444" t="s">
        <v>6</v>
      </c>
      <c r="AH38" s="377"/>
      <c r="AI38" s="373"/>
      <c r="AJ38" s="444" t="s">
        <v>6</v>
      </c>
      <c r="AK38" s="377"/>
      <c r="AL38" s="373"/>
      <c r="AM38" s="444"/>
      <c r="AN38" s="377">
        <v>15</v>
      </c>
      <c r="AO38" s="373">
        <v>2</v>
      </c>
      <c r="AP38" s="444">
        <v>88.2</v>
      </c>
      <c r="AQ38" s="377">
        <v>14</v>
      </c>
      <c r="AR38" s="373">
        <v>2</v>
      </c>
      <c r="AS38" s="444">
        <v>87.5</v>
      </c>
      <c r="AT38" s="377">
        <v>14</v>
      </c>
      <c r="AU38" s="373">
        <v>1</v>
      </c>
      <c r="AV38" s="444">
        <v>93.3</v>
      </c>
      <c r="AW38" s="377"/>
      <c r="AX38" s="373"/>
      <c r="AY38" s="444"/>
      <c r="AZ38" s="377">
        <v>8</v>
      </c>
      <c r="BA38" s="373">
        <v>1</v>
      </c>
      <c r="BB38" s="444">
        <v>88.9</v>
      </c>
      <c r="BC38" s="377">
        <v>11</v>
      </c>
      <c r="BD38" s="373">
        <v>2</v>
      </c>
      <c r="BE38" s="444">
        <v>84.6</v>
      </c>
      <c r="BF38" s="377">
        <v>6</v>
      </c>
      <c r="BG38" s="373">
        <v>1</v>
      </c>
      <c r="BH38" s="444">
        <v>85.7</v>
      </c>
      <c r="BI38" s="377"/>
      <c r="BJ38" s="373"/>
      <c r="BK38" s="444"/>
      <c r="BL38" s="377"/>
      <c r="BM38" s="373"/>
      <c r="BN38" s="444" t="s">
        <v>6</v>
      </c>
      <c r="BO38" s="377"/>
      <c r="BP38" s="373"/>
      <c r="BQ38" s="444" t="s">
        <v>6</v>
      </c>
      <c r="BR38" s="377"/>
      <c r="BS38" s="373"/>
      <c r="BT38" s="444" t="s">
        <v>6</v>
      </c>
      <c r="BU38" s="377"/>
      <c r="BV38" s="373"/>
      <c r="BW38" s="444"/>
      <c r="BX38" s="377"/>
      <c r="BY38" s="373"/>
      <c r="BZ38" s="444" t="s">
        <v>6</v>
      </c>
      <c r="CA38" s="377"/>
      <c r="CB38" s="373"/>
      <c r="CC38" s="444" t="s">
        <v>6</v>
      </c>
      <c r="CD38" s="377"/>
      <c r="CE38" s="373"/>
      <c r="CF38" s="444" t="s">
        <v>6</v>
      </c>
      <c r="CG38" s="377"/>
      <c r="CH38" s="373"/>
      <c r="CI38" s="444"/>
      <c r="CJ38" s="377"/>
      <c r="CK38" s="373"/>
      <c r="CL38" s="444" t="s">
        <v>6</v>
      </c>
      <c r="CM38" s="377"/>
      <c r="CN38" s="373"/>
      <c r="CO38" s="444" t="s">
        <v>6</v>
      </c>
      <c r="CP38" s="377"/>
      <c r="CQ38" s="373"/>
      <c r="CR38" s="444" t="s">
        <v>6</v>
      </c>
      <c r="CS38" s="377"/>
      <c r="CT38" s="373"/>
      <c r="CU38" s="444"/>
      <c r="CV38" s="377">
        <v>16</v>
      </c>
      <c r="CW38" s="373"/>
      <c r="CX38" s="444">
        <v>100</v>
      </c>
      <c r="CY38" s="377">
        <v>10</v>
      </c>
      <c r="CZ38" s="373"/>
      <c r="DA38" s="444">
        <v>100</v>
      </c>
      <c r="DB38" s="377">
        <v>16</v>
      </c>
      <c r="DC38" s="373"/>
      <c r="DD38" s="444">
        <v>100</v>
      </c>
      <c r="DE38" s="377"/>
      <c r="DF38" s="373"/>
      <c r="DG38" s="444"/>
      <c r="DH38" s="377">
        <v>1</v>
      </c>
      <c r="DI38" s="373"/>
      <c r="DJ38" s="444">
        <v>100</v>
      </c>
      <c r="DK38" s="377">
        <v>2</v>
      </c>
      <c r="DL38" s="373"/>
      <c r="DM38" s="444">
        <v>100</v>
      </c>
      <c r="DN38" s="377"/>
      <c r="DO38" s="373">
        <v>1</v>
      </c>
      <c r="DP38" s="444">
        <v>0</v>
      </c>
      <c r="DQ38" s="377"/>
      <c r="DR38" s="373"/>
      <c r="DS38" s="444"/>
      <c r="DT38" s="377">
        <v>2</v>
      </c>
      <c r="DU38" s="373"/>
      <c r="DV38" s="444">
        <v>100</v>
      </c>
      <c r="DW38" s="377"/>
      <c r="DX38" s="373"/>
      <c r="DY38" s="444" t="s">
        <v>6</v>
      </c>
      <c r="DZ38" s="377">
        <v>3</v>
      </c>
      <c r="EA38" s="373">
        <v>1</v>
      </c>
      <c r="EB38" s="444">
        <v>75</v>
      </c>
      <c r="EC38" s="377"/>
      <c r="ED38" s="373"/>
      <c r="EE38" s="444"/>
      <c r="EF38" s="377">
        <v>139</v>
      </c>
      <c r="EG38" s="373">
        <v>311</v>
      </c>
      <c r="EH38" s="444">
        <v>30.9</v>
      </c>
      <c r="EI38" s="377">
        <v>150</v>
      </c>
      <c r="EJ38" s="373">
        <v>264</v>
      </c>
      <c r="EK38" s="444">
        <v>36.200000000000003</v>
      </c>
      <c r="EL38" s="377">
        <v>167</v>
      </c>
      <c r="EM38" s="373">
        <v>204</v>
      </c>
      <c r="EN38" s="444">
        <v>45</v>
      </c>
      <c r="EO38" s="377"/>
      <c r="EP38" s="373"/>
      <c r="EQ38" s="444"/>
      <c r="ER38" s="377">
        <v>3</v>
      </c>
      <c r="ES38" s="373"/>
      <c r="ET38" s="444">
        <v>100</v>
      </c>
      <c r="EU38" s="377"/>
      <c r="EV38" s="373"/>
      <c r="EW38" s="444" t="s">
        <v>6</v>
      </c>
      <c r="EX38" s="377"/>
      <c r="EY38" s="373"/>
      <c r="EZ38" s="444" t="s">
        <v>6</v>
      </c>
      <c r="FA38" s="377"/>
      <c r="FB38" s="373"/>
      <c r="FC38" s="444"/>
      <c r="FD38" s="377"/>
      <c r="FE38" s="373">
        <v>1</v>
      </c>
      <c r="FF38" s="444">
        <v>0</v>
      </c>
      <c r="FG38" s="377">
        <v>2</v>
      </c>
      <c r="FH38" s="373">
        <v>9</v>
      </c>
      <c r="FI38" s="444">
        <v>18.2</v>
      </c>
      <c r="FJ38" s="377">
        <v>3</v>
      </c>
      <c r="FK38" s="373"/>
      <c r="FL38" s="444">
        <v>100</v>
      </c>
      <c r="FM38" s="377"/>
      <c r="FN38" s="373"/>
      <c r="FO38" s="444"/>
      <c r="FP38" s="377">
        <v>36</v>
      </c>
      <c r="FQ38" s="373">
        <v>57</v>
      </c>
      <c r="FR38" s="444">
        <v>38.700000000000003</v>
      </c>
      <c r="FS38" s="377">
        <v>31</v>
      </c>
      <c r="FT38" s="373">
        <v>48</v>
      </c>
      <c r="FU38" s="444">
        <v>39.200000000000003</v>
      </c>
      <c r="FV38" s="377">
        <v>19</v>
      </c>
      <c r="FW38" s="373">
        <v>26</v>
      </c>
      <c r="FX38" s="444">
        <v>42.2</v>
      </c>
      <c r="FY38" s="377"/>
      <c r="FZ38" s="373"/>
      <c r="GA38" s="444"/>
      <c r="GB38" s="377">
        <v>2</v>
      </c>
      <c r="GC38" s="373"/>
      <c r="GD38" s="444">
        <v>100</v>
      </c>
      <c r="GE38" s="377">
        <v>4</v>
      </c>
      <c r="GF38" s="373">
        <v>1</v>
      </c>
      <c r="GG38" s="444">
        <v>80</v>
      </c>
      <c r="GH38" s="377">
        <v>5</v>
      </c>
      <c r="GI38" s="373"/>
      <c r="GJ38" s="444">
        <v>100</v>
      </c>
      <c r="GK38" s="377"/>
      <c r="GL38" s="373"/>
      <c r="GM38" s="444"/>
      <c r="GN38" s="377">
        <v>2</v>
      </c>
      <c r="GO38" s="373"/>
      <c r="GP38" s="444">
        <v>100</v>
      </c>
      <c r="GQ38" s="377">
        <v>3</v>
      </c>
      <c r="GR38" s="373"/>
      <c r="GS38" s="444">
        <v>100</v>
      </c>
      <c r="GT38" s="377">
        <v>2</v>
      </c>
      <c r="GU38" s="373"/>
      <c r="GV38" s="444">
        <v>100</v>
      </c>
      <c r="GW38" s="377"/>
      <c r="GX38" s="373"/>
      <c r="GY38" s="444"/>
      <c r="GZ38" s="377">
        <v>2</v>
      </c>
      <c r="HA38" s="373"/>
      <c r="HB38" s="444">
        <v>100</v>
      </c>
      <c r="HC38" s="377"/>
      <c r="HD38" s="373"/>
      <c r="HE38" s="444" t="s">
        <v>6</v>
      </c>
      <c r="HF38" s="377">
        <v>3</v>
      </c>
      <c r="HG38" s="373"/>
      <c r="HH38" s="444">
        <v>100</v>
      </c>
      <c r="HI38" s="377"/>
      <c r="HJ38" s="373"/>
      <c r="HK38" s="444"/>
      <c r="HL38" s="377">
        <v>6</v>
      </c>
      <c r="HM38" s="373">
        <v>10</v>
      </c>
      <c r="HN38" s="444">
        <v>37.5</v>
      </c>
      <c r="HO38" s="377">
        <v>5</v>
      </c>
      <c r="HP38" s="373">
        <v>8</v>
      </c>
      <c r="HQ38" s="444">
        <v>38.5</v>
      </c>
      <c r="HR38" s="377">
        <v>8</v>
      </c>
      <c r="HS38" s="373">
        <v>16</v>
      </c>
      <c r="HT38" s="444">
        <v>33.299999999999997</v>
      </c>
      <c r="HU38" s="377"/>
      <c r="HV38" s="373"/>
      <c r="HW38" s="444"/>
      <c r="HX38" s="377">
        <v>3</v>
      </c>
      <c r="HY38" s="373"/>
      <c r="HZ38" s="444">
        <v>100</v>
      </c>
      <c r="IA38" s="377">
        <v>2</v>
      </c>
      <c r="IB38" s="373"/>
      <c r="IC38" s="444">
        <v>100</v>
      </c>
      <c r="ID38" s="377">
        <v>3</v>
      </c>
      <c r="IE38" s="373"/>
      <c r="IF38" s="444">
        <v>100</v>
      </c>
      <c r="IG38" s="377"/>
      <c r="IH38" s="373"/>
      <c r="II38" s="444"/>
      <c r="IJ38" s="377">
        <v>1</v>
      </c>
      <c r="IK38" s="373">
        <v>2</v>
      </c>
      <c r="IL38" s="444">
        <v>33.299999999999997</v>
      </c>
      <c r="IM38" s="377">
        <v>3</v>
      </c>
      <c r="IN38" s="373">
        <v>1</v>
      </c>
      <c r="IO38" s="444">
        <v>75</v>
      </c>
      <c r="IP38" s="377">
        <v>6</v>
      </c>
      <c r="IQ38" s="373">
        <v>1</v>
      </c>
      <c r="IR38" s="444">
        <v>85.7</v>
      </c>
      <c r="IS38" s="377"/>
      <c r="IT38" s="373"/>
      <c r="IU38" s="444"/>
      <c r="IV38" s="377">
        <v>189</v>
      </c>
      <c r="IW38" s="373">
        <v>325</v>
      </c>
      <c r="IX38" s="444">
        <v>36.799999999999997</v>
      </c>
      <c r="IY38" s="377">
        <v>193</v>
      </c>
      <c r="IZ38" s="373">
        <v>276</v>
      </c>
      <c r="JA38" s="444">
        <v>41.2</v>
      </c>
      <c r="JB38" s="377">
        <v>227</v>
      </c>
      <c r="JC38" s="373">
        <v>224</v>
      </c>
      <c r="JD38" s="444">
        <v>50.3</v>
      </c>
      <c r="JE38" s="377"/>
      <c r="JF38" s="373"/>
      <c r="JG38" s="444"/>
      <c r="JH38" s="377">
        <v>39</v>
      </c>
      <c r="JI38" s="373">
        <v>49</v>
      </c>
      <c r="JJ38" s="444">
        <v>44.3</v>
      </c>
      <c r="JK38" s="377">
        <v>36</v>
      </c>
      <c r="JL38" s="373">
        <v>42</v>
      </c>
      <c r="JM38" s="444">
        <v>46.2</v>
      </c>
      <c r="JN38" s="377">
        <v>47</v>
      </c>
      <c r="JO38" s="373">
        <v>28</v>
      </c>
      <c r="JP38" s="444">
        <v>62.7</v>
      </c>
      <c r="JQ38" s="377"/>
      <c r="JR38" s="373"/>
      <c r="JS38" s="444"/>
      <c r="JT38" s="377"/>
      <c r="JU38" s="373"/>
      <c r="JV38" s="444" t="s">
        <v>6</v>
      </c>
      <c r="JW38" s="377">
        <v>6</v>
      </c>
      <c r="JX38" s="373">
        <v>2</v>
      </c>
      <c r="JY38" s="444">
        <v>75</v>
      </c>
      <c r="JZ38" s="377">
        <v>2</v>
      </c>
      <c r="KA38" s="373"/>
      <c r="KB38" s="444">
        <v>100</v>
      </c>
      <c r="KC38" s="377"/>
      <c r="KD38" s="373"/>
      <c r="KE38" s="444"/>
      <c r="KF38" s="377"/>
      <c r="KG38" s="373"/>
      <c r="KH38" s="444" t="s">
        <v>6</v>
      </c>
      <c r="KI38" s="377"/>
      <c r="KJ38" s="373">
        <v>1</v>
      </c>
      <c r="KK38" s="444">
        <v>0</v>
      </c>
      <c r="KL38" s="377"/>
      <c r="KM38" s="373"/>
      <c r="KN38" s="444" t="s">
        <v>6</v>
      </c>
      <c r="KO38" s="377"/>
      <c r="KP38" s="373"/>
      <c r="KQ38" s="444"/>
      <c r="KR38" s="377">
        <v>42</v>
      </c>
      <c r="KS38" s="373">
        <v>55</v>
      </c>
      <c r="KT38" s="444">
        <v>43.3</v>
      </c>
      <c r="KU38" s="377">
        <v>49</v>
      </c>
      <c r="KV38" s="373">
        <v>49</v>
      </c>
      <c r="KW38" s="444">
        <v>50</v>
      </c>
      <c r="KX38" s="377">
        <v>61</v>
      </c>
      <c r="KY38" s="373">
        <v>33</v>
      </c>
      <c r="KZ38" s="444">
        <v>64.900000000000006</v>
      </c>
      <c r="LA38" s="377"/>
      <c r="LB38" s="373"/>
      <c r="LC38" s="444"/>
      <c r="LD38" s="377">
        <v>457</v>
      </c>
      <c r="LE38" s="373">
        <v>407</v>
      </c>
      <c r="LF38" s="444">
        <v>52.9</v>
      </c>
      <c r="LG38" s="377">
        <v>280</v>
      </c>
      <c r="LH38" s="373">
        <v>831</v>
      </c>
      <c r="LI38" s="444">
        <v>25.2</v>
      </c>
      <c r="LJ38" s="377">
        <v>355</v>
      </c>
      <c r="LK38" s="373">
        <v>597</v>
      </c>
      <c r="LL38" s="444">
        <v>37.299999999999997</v>
      </c>
      <c r="LM38" s="377"/>
      <c r="LN38" s="373"/>
      <c r="LO38" s="444"/>
    </row>
    <row r="39" spans="1:327" x14ac:dyDescent="0.2">
      <c r="A39" s="1001"/>
      <c r="B39" s="747" t="s">
        <v>621</v>
      </c>
      <c r="C39" s="151" t="s">
        <v>659</v>
      </c>
      <c r="D39" s="377"/>
      <c r="E39" s="373"/>
      <c r="F39" s="444" t="s">
        <v>6</v>
      </c>
      <c r="G39" s="377"/>
      <c r="H39" s="373"/>
      <c r="I39" s="444" t="s">
        <v>6</v>
      </c>
      <c r="J39" s="377"/>
      <c r="K39" s="373"/>
      <c r="L39" s="444" t="s">
        <v>6</v>
      </c>
      <c r="M39" s="377"/>
      <c r="N39" s="373"/>
      <c r="O39" s="444"/>
      <c r="P39" s="377"/>
      <c r="Q39" s="373"/>
      <c r="R39" s="444" t="s">
        <v>6</v>
      </c>
      <c r="S39" s="377"/>
      <c r="T39" s="373"/>
      <c r="U39" s="444" t="s">
        <v>6</v>
      </c>
      <c r="V39" s="377"/>
      <c r="W39" s="373"/>
      <c r="X39" s="444" t="s">
        <v>6</v>
      </c>
      <c r="Y39" s="377"/>
      <c r="Z39" s="373"/>
      <c r="AA39" s="444"/>
      <c r="AB39" s="377"/>
      <c r="AC39" s="373"/>
      <c r="AD39" s="444" t="s">
        <v>6</v>
      </c>
      <c r="AE39" s="377"/>
      <c r="AF39" s="373"/>
      <c r="AG39" s="444" t="s">
        <v>6</v>
      </c>
      <c r="AH39" s="377"/>
      <c r="AI39" s="373"/>
      <c r="AJ39" s="444" t="s">
        <v>6</v>
      </c>
      <c r="AK39" s="377"/>
      <c r="AL39" s="373"/>
      <c r="AM39" s="444"/>
      <c r="AN39" s="377">
        <v>13</v>
      </c>
      <c r="AO39" s="373">
        <v>2</v>
      </c>
      <c r="AP39" s="444">
        <v>86.7</v>
      </c>
      <c r="AQ39" s="377">
        <v>12</v>
      </c>
      <c r="AR39" s="373">
        <v>4</v>
      </c>
      <c r="AS39" s="444">
        <v>75</v>
      </c>
      <c r="AT39" s="377">
        <v>1</v>
      </c>
      <c r="AU39" s="373">
        <v>1</v>
      </c>
      <c r="AV39" s="444">
        <v>50</v>
      </c>
      <c r="AW39" s="377"/>
      <c r="AX39" s="373"/>
      <c r="AY39" s="444"/>
      <c r="AZ39" s="377">
        <v>3</v>
      </c>
      <c r="BA39" s="373">
        <v>1</v>
      </c>
      <c r="BB39" s="444">
        <v>75</v>
      </c>
      <c r="BC39" s="377">
        <v>1</v>
      </c>
      <c r="BD39" s="373">
        <v>3</v>
      </c>
      <c r="BE39" s="444">
        <v>25</v>
      </c>
      <c r="BF39" s="377"/>
      <c r="BG39" s="373">
        <v>1</v>
      </c>
      <c r="BH39" s="444">
        <v>0</v>
      </c>
      <c r="BI39" s="377"/>
      <c r="BJ39" s="373"/>
      <c r="BK39" s="444"/>
      <c r="BL39" s="377"/>
      <c r="BM39" s="373"/>
      <c r="BN39" s="444" t="s">
        <v>6</v>
      </c>
      <c r="BO39" s="377"/>
      <c r="BP39" s="373"/>
      <c r="BQ39" s="444" t="s">
        <v>6</v>
      </c>
      <c r="BR39" s="377"/>
      <c r="BS39" s="373"/>
      <c r="BT39" s="444" t="s">
        <v>6</v>
      </c>
      <c r="BU39" s="377"/>
      <c r="BV39" s="373"/>
      <c r="BW39" s="444"/>
      <c r="BX39" s="377"/>
      <c r="BY39" s="373"/>
      <c r="BZ39" s="444" t="s">
        <v>6</v>
      </c>
      <c r="CA39" s="377"/>
      <c r="CB39" s="373"/>
      <c r="CC39" s="444" t="s">
        <v>6</v>
      </c>
      <c r="CD39" s="377"/>
      <c r="CE39" s="373"/>
      <c r="CF39" s="444" t="s">
        <v>6</v>
      </c>
      <c r="CG39" s="377"/>
      <c r="CH39" s="373"/>
      <c r="CI39" s="444"/>
      <c r="CJ39" s="377"/>
      <c r="CK39" s="373"/>
      <c r="CL39" s="444" t="s">
        <v>6</v>
      </c>
      <c r="CM39" s="377"/>
      <c r="CN39" s="373"/>
      <c r="CO39" s="444" t="s">
        <v>6</v>
      </c>
      <c r="CP39" s="377"/>
      <c r="CQ39" s="373"/>
      <c r="CR39" s="444" t="s">
        <v>6</v>
      </c>
      <c r="CS39" s="377"/>
      <c r="CT39" s="373"/>
      <c r="CU39" s="444"/>
      <c r="CV39" s="377">
        <v>10</v>
      </c>
      <c r="CW39" s="373">
        <v>1</v>
      </c>
      <c r="CX39" s="444">
        <v>90.9</v>
      </c>
      <c r="CY39" s="377">
        <v>7</v>
      </c>
      <c r="CZ39" s="373">
        <v>1</v>
      </c>
      <c r="DA39" s="444">
        <v>87.5</v>
      </c>
      <c r="DB39" s="377">
        <v>6</v>
      </c>
      <c r="DC39" s="373"/>
      <c r="DD39" s="444">
        <v>100</v>
      </c>
      <c r="DE39" s="377"/>
      <c r="DF39" s="373"/>
      <c r="DG39" s="444"/>
      <c r="DH39" s="377"/>
      <c r="DI39" s="373"/>
      <c r="DJ39" s="444" t="s">
        <v>6</v>
      </c>
      <c r="DK39" s="377">
        <v>1</v>
      </c>
      <c r="DL39" s="373"/>
      <c r="DM39" s="444">
        <v>100</v>
      </c>
      <c r="DN39" s="377"/>
      <c r="DO39" s="373"/>
      <c r="DP39" s="444" t="s">
        <v>6</v>
      </c>
      <c r="DQ39" s="377"/>
      <c r="DR39" s="373"/>
      <c r="DS39" s="444"/>
      <c r="DT39" s="377"/>
      <c r="DU39" s="373"/>
      <c r="DV39" s="444" t="s">
        <v>6</v>
      </c>
      <c r="DW39" s="377">
        <v>1</v>
      </c>
      <c r="DX39" s="373"/>
      <c r="DY39" s="444">
        <v>100</v>
      </c>
      <c r="DZ39" s="377"/>
      <c r="EA39" s="373">
        <v>1</v>
      </c>
      <c r="EB39" s="444">
        <v>0</v>
      </c>
      <c r="EC39" s="377"/>
      <c r="ED39" s="373"/>
      <c r="EE39" s="444"/>
      <c r="EF39" s="377">
        <v>104</v>
      </c>
      <c r="EG39" s="373">
        <v>242</v>
      </c>
      <c r="EH39" s="444">
        <v>30.1</v>
      </c>
      <c r="EI39" s="377">
        <v>129</v>
      </c>
      <c r="EJ39" s="373">
        <v>139</v>
      </c>
      <c r="EK39" s="444">
        <v>48.1</v>
      </c>
      <c r="EL39" s="377">
        <v>109</v>
      </c>
      <c r="EM39" s="373">
        <v>144</v>
      </c>
      <c r="EN39" s="444">
        <v>43.1</v>
      </c>
      <c r="EO39" s="377"/>
      <c r="EP39" s="373"/>
      <c r="EQ39" s="444"/>
      <c r="ER39" s="377">
        <v>4</v>
      </c>
      <c r="ES39" s="373"/>
      <c r="ET39" s="444">
        <v>100</v>
      </c>
      <c r="EU39" s="377"/>
      <c r="EV39" s="373"/>
      <c r="EW39" s="444" t="s">
        <v>6</v>
      </c>
      <c r="EX39" s="377"/>
      <c r="EY39" s="373"/>
      <c r="EZ39" s="444" t="s">
        <v>6</v>
      </c>
      <c r="FA39" s="377"/>
      <c r="FB39" s="373"/>
      <c r="FC39" s="444"/>
      <c r="FD39" s="377">
        <v>1</v>
      </c>
      <c r="FE39" s="373">
        <v>2</v>
      </c>
      <c r="FF39" s="444">
        <v>33.299999999999997</v>
      </c>
      <c r="FG39" s="377"/>
      <c r="FH39" s="373">
        <v>3</v>
      </c>
      <c r="FI39" s="444">
        <v>0</v>
      </c>
      <c r="FJ39" s="377"/>
      <c r="FK39" s="373">
        <v>2</v>
      </c>
      <c r="FL39" s="444">
        <v>0</v>
      </c>
      <c r="FM39" s="377"/>
      <c r="FN39" s="373"/>
      <c r="FO39" s="444"/>
      <c r="FP39" s="377">
        <v>18</v>
      </c>
      <c r="FQ39" s="373">
        <v>53</v>
      </c>
      <c r="FR39" s="444">
        <v>25.4</v>
      </c>
      <c r="FS39" s="377">
        <v>12</v>
      </c>
      <c r="FT39" s="373">
        <v>17</v>
      </c>
      <c r="FU39" s="444">
        <v>41.4</v>
      </c>
      <c r="FV39" s="377">
        <v>29</v>
      </c>
      <c r="FW39" s="373">
        <v>33</v>
      </c>
      <c r="FX39" s="444">
        <v>46.8</v>
      </c>
      <c r="FY39" s="377"/>
      <c r="FZ39" s="373"/>
      <c r="GA39" s="444"/>
      <c r="GB39" s="377">
        <v>1</v>
      </c>
      <c r="GC39" s="373"/>
      <c r="GD39" s="444">
        <v>100</v>
      </c>
      <c r="GE39" s="377">
        <v>1</v>
      </c>
      <c r="GF39" s="373"/>
      <c r="GG39" s="444">
        <v>100</v>
      </c>
      <c r="GH39" s="377">
        <v>6</v>
      </c>
      <c r="GI39" s="373"/>
      <c r="GJ39" s="444">
        <v>100</v>
      </c>
      <c r="GK39" s="377"/>
      <c r="GL39" s="373"/>
      <c r="GM39" s="444"/>
      <c r="GN39" s="377">
        <v>1</v>
      </c>
      <c r="GO39" s="373"/>
      <c r="GP39" s="444">
        <v>100</v>
      </c>
      <c r="GQ39" s="377">
        <v>3</v>
      </c>
      <c r="GR39" s="373">
        <v>1</v>
      </c>
      <c r="GS39" s="444">
        <v>75</v>
      </c>
      <c r="GT39" s="377">
        <v>3</v>
      </c>
      <c r="GU39" s="373"/>
      <c r="GV39" s="444">
        <v>100</v>
      </c>
      <c r="GW39" s="377"/>
      <c r="GX39" s="373"/>
      <c r="GY39" s="444"/>
      <c r="GZ39" s="377">
        <v>2</v>
      </c>
      <c r="HA39" s="373"/>
      <c r="HB39" s="444">
        <v>100</v>
      </c>
      <c r="HC39" s="377">
        <v>1</v>
      </c>
      <c r="HD39" s="373"/>
      <c r="HE39" s="444">
        <v>100</v>
      </c>
      <c r="HF39" s="377">
        <v>1</v>
      </c>
      <c r="HG39" s="373"/>
      <c r="HH39" s="444">
        <v>100</v>
      </c>
      <c r="HI39" s="377"/>
      <c r="HJ39" s="373"/>
      <c r="HK39" s="444"/>
      <c r="HL39" s="377">
        <v>1</v>
      </c>
      <c r="HM39" s="373">
        <v>7</v>
      </c>
      <c r="HN39" s="444">
        <v>12.5</v>
      </c>
      <c r="HO39" s="377">
        <v>1</v>
      </c>
      <c r="HP39" s="373">
        <v>9</v>
      </c>
      <c r="HQ39" s="444">
        <v>10</v>
      </c>
      <c r="HR39" s="377">
        <v>20</v>
      </c>
      <c r="HS39" s="373">
        <v>6</v>
      </c>
      <c r="HT39" s="444">
        <v>76.900000000000006</v>
      </c>
      <c r="HU39" s="377"/>
      <c r="HV39" s="373"/>
      <c r="HW39" s="444"/>
      <c r="HX39" s="377">
        <v>5</v>
      </c>
      <c r="HY39" s="373"/>
      <c r="HZ39" s="444">
        <v>100</v>
      </c>
      <c r="IA39" s="377"/>
      <c r="IB39" s="373">
        <v>1</v>
      </c>
      <c r="IC39" s="444">
        <v>0</v>
      </c>
      <c r="ID39" s="377">
        <v>2</v>
      </c>
      <c r="IE39" s="373"/>
      <c r="IF39" s="444">
        <v>100</v>
      </c>
      <c r="IG39" s="377"/>
      <c r="IH39" s="373"/>
      <c r="II39" s="444"/>
      <c r="IJ39" s="377">
        <v>4</v>
      </c>
      <c r="IK39" s="373">
        <v>1</v>
      </c>
      <c r="IL39" s="444">
        <v>80</v>
      </c>
      <c r="IM39" s="377">
        <v>5</v>
      </c>
      <c r="IN39" s="373"/>
      <c r="IO39" s="444">
        <v>100</v>
      </c>
      <c r="IP39" s="377">
        <v>3</v>
      </c>
      <c r="IQ39" s="373">
        <v>1</v>
      </c>
      <c r="IR39" s="444">
        <v>75</v>
      </c>
      <c r="IS39" s="377"/>
      <c r="IT39" s="373"/>
      <c r="IU39" s="444"/>
      <c r="IV39" s="377">
        <v>141</v>
      </c>
      <c r="IW39" s="373">
        <v>253</v>
      </c>
      <c r="IX39" s="444">
        <v>35.799999999999997</v>
      </c>
      <c r="IY39" s="377">
        <v>161</v>
      </c>
      <c r="IZ39" s="373">
        <v>155</v>
      </c>
      <c r="JA39" s="444">
        <v>50.9</v>
      </c>
      <c r="JB39" s="377">
        <v>151</v>
      </c>
      <c r="JC39" s="373">
        <v>153</v>
      </c>
      <c r="JD39" s="444">
        <v>49.7</v>
      </c>
      <c r="JE39" s="377"/>
      <c r="JF39" s="373"/>
      <c r="JG39" s="444"/>
      <c r="JH39" s="377">
        <v>20</v>
      </c>
      <c r="JI39" s="373">
        <v>43</v>
      </c>
      <c r="JJ39" s="444">
        <v>31.7</v>
      </c>
      <c r="JK39" s="377">
        <v>24</v>
      </c>
      <c r="JL39" s="373">
        <v>32</v>
      </c>
      <c r="JM39" s="444">
        <v>42.9</v>
      </c>
      <c r="JN39" s="377">
        <v>43</v>
      </c>
      <c r="JO39" s="373">
        <v>24</v>
      </c>
      <c r="JP39" s="444">
        <v>64.2</v>
      </c>
      <c r="JQ39" s="377"/>
      <c r="JR39" s="373"/>
      <c r="JS39" s="444"/>
      <c r="JT39" s="377"/>
      <c r="JU39" s="373"/>
      <c r="JV39" s="444" t="s">
        <v>6</v>
      </c>
      <c r="JW39" s="377">
        <v>1</v>
      </c>
      <c r="JX39" s="373"/>
      <c r="JY39" s="444">
        <v>100</v>
      </c>
      <c r="JZ39" s="377">
        <v>1</v>
      </c>
      <c r="KA39" s="373"/>
      <c r="KB39" s="444">
        <v>100</v>
      </c>
      <c r="KC39" s="377"/>
      <c r="KD39" s="373"/>
      <c r="KE39" s="444"/>
      <c r="KF39" s="377"/>
      <c r="KG39" s="373"/>
      <c r="KH39" s="444" t="s">
        <v>6</v>
      </c>
      <c r="KI39" s="377"/>
      <c r="KJ39" s="373"/>
      <c r="KK39" s="444" t="s">
        <v>6</v>
      </c>
      <c r="KL39" s="377">
        <v>1</v>
      </c>
      <c r="KM39" s="373"/>
      <c r="KN39" s="444">
        <v>100</v>
      </c>
      <c r="KO39" s="377"/>
      <c r="KP39" s="373"/>
      <c r="KQ39" s="444"/>
      <c r="KR39" s="377">
        <v>21</v>
      </c>
      <c r="KS39" s="373">
        <v>48</v>
      </c>
      <c r="KT39" s="444">
        <v>30.4</v>
      </c>
      <c r="KU39" s="377">
        <v>29</v>
      </c>
      <c r="KV39" s="373">
        <v>34</v>
      </c>
      <c r="KW39" s="444">
        <v>46</v>
      </c>
      <c r="KX39" s="377">
        <v>48</v>
      </c>
      <c r="KY39" s="373">
        <v>25</v>
      </c>
      <c r="KZ39" s="444">
        <v>65.8</v>
      </c>
      <c r="LA39" s="377"/>
      <c r="LB39" s="373"/>
      <c r="LC39" s="444"/>
      <c r="LD39" s="377">
        <v>251</v>
      </c>
      <c r="LE39" s="373">
        <v>288</v>
      </c>
      <c r="LF39" s="444">
        <v>46.6</v>
      </c>
      <c r="LG39" s="377">
        <v>282</v>
      </c>
      <c r="LH39" s="373">
        <v>201</v>
      </c>
      <c r="LI39" s="444">
        <v>58.4</v>
      </c>
      <c r="LJ39" s="377">
        <v>250</v>
      </c>
      <c r="LK39" s="373">
        <v>198</v>
      </c>
      <c r="LL39" s="444">
        <v>55.8</v>
      </c>
      <c r="LM39" s="377"/>
      <c r="LN39" s="373"/>
      <c r="LO39" s="444"/>
    </row>
    <row r="40" spans="1:327" x14ac:dyDescent="0.2">
      <c r="A40" s="1001"/>
      <c r="B40" s="747" t="s">
        <v>621</v>
      </c>
      <c r="C40" s="151" t="s">
        <v>660</v>
      </c>
      <c r="D40" s="377"/>
      <c r="E40" s="373"/>
      <c r="F40" s="444" t="s">
        <v>6</v>
      </c>
      <c r="G40" s="377"/>
      <c r="H40" s="373"/>
      <c r="I40" s="444" t="s">
        <v>6</v>
      </c>
      <c r="J40" s="377"/>
      <c r="K40" s="373"/>
      <c r="L40" s="444" t="s">
        <v>6</v>
      </c>
      <c r="M40" s="377"/>
      <c r="N40" s="373"/>
      <c r="O40" s="444"/>
      <c r="P40" s="377"/>
      <c r="Q40" s="373"/>
      <c r="R40" s="444" t="s">
        <v>6</v>
      </c>
      <c r="S40" s="377"/>
      <c r="T40" s="373"/>
      <c r="U40" s="444" t="s">
        <v>6</v>
      </c>
      <c r="V40" s="377"/>
      <c r="W40" s="373"/>
      <c r="X40" s="444" t="s">
        <v>6</v>
      </c>
      <c r="Y40" s="377"/>
      <c r="Z40" s="373"/>
      <c r="AA40" s="444"/>
      <c r="AB40" s="377"/>
      <c r="AC40" s="373"/>
      <c r="AD40" s="444" t="s">
        <v>6</v>
      </c>
      <c r="AE40" s="377"/>
      <c r="AF40" s="373"/>
      <c r="AG40" s="444" t="s">
        <v>6</v>
      </c>
      <c r="AH40" s="377"/>
      <c r="AI40" s="373"/>
      <c r="AJ40" s="444" t="s">
        <v>6</v>
      </c>
      <c r="AK40" s="377"/>
      <c r="AL40" s="373"/>
      <c r="AM40" s="444"/>
      <c r="AN40" s="377">
        <v>25</v>
      </c>
      <c r="AO40" s="373">
        <v>8</v>
      </c>
      <c r="AP40" s="444">
        <v>75.8</v>
      </c>
      <c r="AQ40" s="377">
        <v>17</v>
      </c>
      <c r="AR40" s="373">
        <v>6</v>
      </c>
      <c r="AS40" s="444">
        <v>73.900000000000006</v>
      </c>
      <c r="AT40" s="377">
        <v>24</v>
      </c>
      <c r="AU40" s="373">
        <v>8</v>
      </c>
      <c r="AV40" s="444">
        <v>75</v>
      </c>
      <c r="AW40" s="377"/>
      <c r="AX40" s="373"/>
      <c r="AY40" s="444"/>
      <c r="AZ40" s="377">
        <v>10</v>
      </c>
      <c r="BA40" s="373">
        <v>5</v>
      </c>
      <c r="BB40" s="444">
        <v>66.7</v>
      </c>
      <c r="BC40" s="377">
        <v>5</v>
      </c>
      <c r="BD40" s="373">
        <v>3</v>
      </c>
      <c r="BE40" s="444">
        <v>62.5</v>
      </c>
      <c r="BF40" s="377">
        <v>8</v>
      </c>
      <c r="BG40" s="373">
        <v>4</v>
      </c>
      <c r="BH40" s="444">
        <v>66.7</v>
      </c>
      <c r="BI40" s="377"/>
      <c r="BJ40" s="373"/>
      <c r="BK40" s="444"/>
      <c r="BL40" s="377"/>
      <c r="BM40" s="373"/>
      <c r="BN40" s="444" t="s">
        <v>6</v>
      </c>
      <c r="BO40" s="377"/>
      <c r="BP40" s="373"/>
      <c r="BQ40" s="444" t="s">
        <v>6</v>
      </c>
      <c r="BR40" s="377"/>
      <c r="BS40" s="373"/>
      <c r="BT40" s="444" t="s">
        <v>6</v>
      </c>
      <c r="BU40" s="377"/>
      <c r="BV40" s="373"/>
      <c r="BW40" s="444"/>
      <c r="BX40" s="377"/>
      <c r="BY40" s="373">
        <v>1</v>
      </c>
      <c r="BZ40" s="444">
        <v>0</v>
      </c>
      <c r="CA40" s="377"/>
      <c r="CB40" s="373"/>
      <c r="CC40" s="444" t="s">
        <v>6</v>
      </c>
      <c r="CD40" s="377"/>
      <c r="CE40" s="373"/>
      <c r="CF40" s="444" t="s">
        <v>6</v>
      </c>
      <c r="CG40" s="377"/>
      <c r="CH40" s="373"/>
      <c r="CI40" s="444"/>
      <c r="CJ40" s="377"/>
      <c r="CK40" s="373"/>
      <c r="CL40" s="444" t="s">
        <v>6</v>
      </c>
      <c r="CM40" s="377"/>
      <c r="CN40" s="373"/>
      <c r="CO40" s="444" t="s">
        <v>6</v>
      </c>
      <c r="CP40" s="377"/>
      <c r="CQ40" s="373"/>
      <c r="CR40" s="444" t="s">
        <v>6</v>
      </c>
      <c r="CS40" s="377"/>
      <c r="CT40" s="373"/>
      <c r="CU40" s="444"/>
      <c r="CV40" s="377">
        <v>32</v>
      </c>
      <c r="CW40" s="373">
        <v>14</v>
      </c>
      <c r="CX40" s="444">
        <v>69.599999999999994</v>
      </c>
      <c r="CY40" s="377">
        <v>20</v>
      </c>
      <c r="CZ40" s="373">
        <v>4</v>
      </c>
      <c r="DA40" s="444">
        <v>83.3</v>
      </c>
      <c r="DB40" s="377">
        <v>29</v>
      </c>
      <c r="DC40" s="373">
        <v>6</v>
      </c>
      <c r="DD40" s="444">
        <v>82.9</v>
      </c>
      <c r="DE40" s="377"/>
      <c r="DF40" s="373"/>
      <c r="DG40" s="444"/>
      <c r="DH40" s="377"/>
      <c r="DI40" s="373"/>
      <c r="DJ40" s="444" t="s">
        <v>6</v>
      </c>
      <c r="DK40" s="377">
        <v>1</v>
      </c>
      <c r="DL40" s="373"/>
      <c r="DM40" s="444">
        <v>100</v>
      </c>
      <c r="DN40" s="377"/>
      <c r="DO40" s="373"/>
      <c r="DP40" s="444" t="s">
        <v>6</v>
      </c>
      <c r="DQ40" s="377"/>
      <c r="DR40" s="373"/>
      <c r="DS40" s="444"/>
      <c r="DT40" s="377">
        <v>1</v>
      </c>
      <c r="DU40" s="373"/>
      <c r="DV40" s="444">
        <v>100</v>
      </c>
      <c r="DW40" s="377">
        <v>6</v>
      </c>
      <c r="DX40" s="373"/>
      <c r="DY40" s="444">
        <v>100</v>
      </c>
      <c r="DZ40" s="377"/>
      <c r="EA40" s="373"/>
      <c r="EB40" s="444" t="s">
        <v>6</v>
      </c>
      <c r="EC40" s="377"/>
      <c r="ED40" s="373"/>
      <c r="EE40" s="444"/>
      <c r="EF40" s="377">
        <v>130</v>
      </c>
      <c r="EG40" s="373">
        <v>288</v>
      </c>
      <c r="EH40" s="444">
        <v>31.1</v>
      </c>
      <c r="EI40" s="377">
        <v>118</v>
      </c>
      <c r="EJ40" s="373">
        <v>217</v>
      </c>
      <c r="EK40" s="444">
        <v>35.200000000000003</v>
      </c>
      <c r="EL40" s="377">
        <v>140</v>
      </c>
      <c r="EM40" s="373">
        <v>195</v>
      </c>
      <c r="EN40" s="444">
        <v>41.8</v>
      </c>
      <c r="EO40" s="377"/>
      <c r="EP40" s="373"/>
      <c r="EQ40" s="444"/>
      <c r="ER40" s="377">
        <v>1</v>
      </c>
      <c r="ES40" s="373">
        <v>3</v>
      </c>
      <c r="ET40" s="444">
        <v>25</v>
      </c>
      <c r="EU40" s="377">
        <v>1</v>
      </c>
      <c r="EV40" s="373"/>
      <c r="EW40" s="444">
        <v>100</v>
      </c>
      <c r="EX40" s="377">
        <v>3</v>
      </c>
      <c r="EY40" s="373">
        <v>2</v>
      </c>
      <c r="EZ40" s="444">
        <v>60</v>
      </c>
      <c r="FA40" s="377"/>
      <c r="FB40" s="373"/>
      <c r="FC40" s="444"/>
      <c r="FD40" s="377">
        <v>5</v>
      </c>
      <c r="FE40" s="373">
        <v>24</v>
      </c>
      <c r="FF40" s="444">
        <v>17.2</v>
      </c>
      <c r="FG40" s="377">
        <v>1</v>
      </c>
      <c r="FH40" s="373">
        <v>13</v>
      </c>
      <c r="FI40" s="444">
        <v>7.1</v>
      </c>
      <c r="FJ40" s="377">
        <v>7</v>
      </c>
      <c r="FK40" s="373">
        <v>5</v>
      </c>
      <c r="FL40" s="444">
        <v>58.3</v>
      </c>
      <c r="FM40" s="377"/>
      <c r="FN40" s="373"/>
      <c r="FO40" s="444"/>
      <c r="FP40" s="377">
        <v>20</v>
      </c>
      <c r="FQ40" s="373">
        <v>63</v>
      </c>
      <c r="FR40" s="444">
        <v>24.1</v>
      </c>
      <c r="FS40" s="377">
        <v>24</v>
      </c>
      <c r="FT40" s="373">
        <v>42</v>
      </c>
      <c r="FU40" s="444">
        <v>36.4</v>
      </c>
      <c r="FV40" s="377">
        <v>32</v>
      </c>
      <c r="FW40" s="373">
        <v>40</v>
      </c>
      <c r="FX40" s="444">
        <v>44.4</v>
      </c>
      <c r="FY40" s="377"/>
      <c r="FZ40" s="373"/>
      <c r="GA40" s="444"/>
      <c r="GB40" s="377">
        <v>6</v>
      </c>
      <c r="GC40" s="373"/>
      <c r="GD40" s="444">
        <v>100</v>
      </c>
      <c r="GE40" s="377"/>
      <c r="GF40" s="373"/>
      <c r="GG40" s="444" t="s">
        <v>6</v>
      </c>
      <c r="GH40" s="377">
        <v>1</v>
      </c>
      <c r="GI40" s="373"/>
      <c r="GJ40" s="444">
        <v>100</v>
      </c>
      <c r="GK40" s="377"/>
      <c r="GL40" s="373"/>
      <c r="GM40" s="444"/>
      <c r="GN40" s="377"/>
      <c r="GO40" s="373"/>
      <c r="GP40" s="444" t="s">
        <v>6</v>
      </c>
      <c r="GQ40" s="377"/>
      <c r="GR40" s="373"/>
      <c r="GS40" s="444" t="s">
        <v>6</v>
      </c>
      <c r="GT40" s="377">
        <v>2</v>
      </c>
      <c r="GU40" s="373"/>
      <c r="GV40" s="444">
        <v>100</v>
      </c>
      <c r="GW40" s="377"/>
      <c r="GX40" s="373"/>
      <c r="GY40" s="444"/>
      <c r="GZ40" s="377">
        <v>2</v>
      </c>
      <c r="HA40" s="373"/>
      <c r="HB40" s="444">
        <v>100</v>
      </c>
      <c r="HC40" s="377">
        <v>1</v>
      </c>
      <c r="HD40" s="373"/>
      <c r="HE40" s="444">
        <v>100</v>
      </c>
      <c r="HF40" s="377">
        <v>1</v>
      </c>
      <c r="HG40" s="373">
        <v>2</v>
      </c>
      <c r="HH40" s="444">
        <v>33.299999999999997</v>
      </c>
      <c r="HI40" s="377"/>
      <c r="HJ40" s="373"/>
      <c r="HK40" s="444"/>
      <c r="HL40" s="377">
        <v>6</v>
      </c>
      <c r="HM40" s="373">
        <v>8</v>
      </c>
      <c r="HN40" s="444">
        <v>42.9</v>
      </c>
      <c r="HO40" s="377">
        <v>6</v>
      </c>
      <c r="HP40" s="373">
        <v>20</v>
      </c>
      <c r="HQ40" s="444">
        <v>23.1</v>
      </c>
      <c r="HR40" s="377">
        <v>5</v>
      </c>
      <c r="HS40" s="373">
        <v>16</v>
      </c>
      <c r="HT40" s="444">
        <v>23.8</v>
      </c>
      <c r="HU40" s="377"/>
      <c r="HV40" s="373"/>
      <c r="HW40" s="444"/>
      <c r="HX40" s="377">
        <v>2</v>
      </c>
      <c r="HY40" s="373">
        <v>1</v>
      </c>
      <c r="HZ40" s="444">
        <v>66.7</v>
      </c>
      <c r="IA40" s="377">
        <v>1</v>
      </c>
      <c r="IB40" s="373"/>
      <c r="IC40" s="444">
        <v>100</v>
      </c>
      <c r="ID40" s="377">
        <v>2</v>
      </c>
      <c r="IE40" s="373"/>
      <c r="IF40" s="444">
        <v>100</v>
      </c>
      <c r="IG40" s="377"/>
      <c r="IH40" s="373"/>
      <c r="II40" s="444"/>
      <c r="IJ40" s="377">
        <v>2</v>
      </c>
      <c r="IK40" s="373"/>
      <c r="IL40" s="444">
        <v>100</v>
      </c>
      <c r="IM40" s="377">
        <v>6</v>
      </c>
      <c r="IN40" s="373"/>
      <c r="IO40" s="444">
        <v>100</v>
      </c>
      <c r="IP40" s="377">
        <v>2</v>
      </c>
      <c r="IQ40" s="373"/>
      <c r="IR40" s="444">
        <v>100</v>
      </c>
      <c r="IS40" s="377"/>
      <c r="IT40" s="373"/>
      <c r="IU40" s="444"/>
      <c r="IV40" s="377">
        <v>206</v>
      </c>
      <c r="IW40" s="373">
        <v>320</v>
      </c>
      <c r="IX40" s="444">
        <v>39.200000000000003</v>
      </c>
      <c r="IY40" s="377">
        <v>176</v>
      </c>
      <c r="IZ40" s="373">
        <v>247</v>
      </c>
      <c r="JA40" s="444">
        <v>41.6</v>
      </c>
      <c r="JB40" s="377">
        <v>206</v>
      </c>
      <c r="JC40" s="373">
        <v>227</v>
      </c>
      <c r="JD40" s="444">
        <v>47.6</v>
      </c>
      <c r="JE40" s="377"/>
      <c r="JF40" s="373"/>
      <c r="JG40" s="444"/>
      <c r="JH40" s="377">
        <v>39</v>
      </c>
      <c r="JI40" s="373">
        <v>45</v>
      </c>
      <c r="JJ40" s="444">
        <v>46.4</v>
      </c>
      <c r="JK40" s="377">
        <v>35</v>
      </c>
      <c r="JL40" s="373">
        <v>51</v>
      </c>
      <c r="JM40" s="444">
        <v>40.700000000000003</v>
      </c>
      <c r="JN40" s="377">
        <v>26</v>
      </c>
      <c r="JO40" s="373">
        <v>37</v>
      </c>
      <c r="JP40" s="444">
        <v>41.3</v>
      </c>
      <c r="JQ40" s="377"/>
      <c r="JR40" s="373"/>
      <c r="JS40" s="444"/>
      <c r="JT40" s="377">
        <v>3</v>
      </c>
      <c r="JU40" s="373">
        <v>2</v>
      </c>
      <c r="JV40" s="444">
        <v>60</v>
      </c>
      <c r="JW40" s="377">
        <v>5</v>
      </c>
      <c r="JX40" s="373"/>
      <c r="JY40" s="444">
        <v>100</v>
      </c>
      <c r="JZ40" s="377">
        <v>5</v>
      </c>
      <c r="KA40" s="373"/>
      <c r="KB40" s="444">
        <v>100</v>
      </c>
      <c r="KC40" s="377"/>
      <c r="KD40" s="373"/>
      <c r="KE40" s="444"/>
      <c r="KF40" s="377">
        <v>1</v>
      </c>
      <c r="KG40" s="373"/>
      <c r="KH40" s="444">
        <v>100</v>
      </c>
      <c r="KI40" s="377">
        <v>4</v>
      </c>
      <c r="KJ40" s="373"/>
      <c r="KK40" s="444">
        <v>100</v>
      </c>
      <c r="KL40" s="377">
        <v>1</v>
      </c>
      <c r="KM40" s="373">
        <v>1</v>
      </c>
      <c r="KN40" s="444">
        <v>50</v>
      </c>
      <c r="KO40" s="377"/>
      <c r="KP40" s="373"/>
      <c r="KQ40" s="444"/>
      <c r="KR40" s="377">
        <v>55</v>
      </c>
      <c r="KS40" s="373">
        <v>48</v>
      </c>
      <c r="KT40" s="444">
        <v>53.4</v>
      </c>
      <c r="KU40" s="377">
        <v>52</v>
      </c>
      <c r="KV40" s="373">
        <v>52</v>
      </c>
      <c r="KW40" s="444">
        <v>50</v>
      </c>
      <c r="KX40" s="377">
        <v>43</v>
      </c>
      <c r="KY40" s="373">
        <v>47</v>
      </c>
      <c r="KZ40" s="444">
        <v>47.8</v>
      </c>
      <c r="LA40" s="377"/>
      <c r="LB40" s="373"/>
      <c r="LC40" s="444"/>
      <c r="LD40" s="377">
        <v>299</v>
      </c>
      <c r="LE40" s="373">
        <v>375</v>
      </c>
      <c r="LF40" s="444">
        <v>44.4</v>
      </c>
      <c r="LG40" s="377">
        <v>530</v>
      </c>
      <c r="LH40" s="373">
        <v>292</v>
      </c>
      <c r="LI40" s="444">
        <v>64.5</v>
      </c>
      <c r="LJ40" s="377">
        <v>278</v>
      </c>
      <c r="LK40" s="373">
        <v>284</v>
      </c>
      <c r="LL40" s="444">
        <v>49.5</v>
      </c>
      <c r="LM40" s="377"/>
      <c r="LN40" s="373"/>
      <c r="LO40" s="444"/>
    </row>
    <row r="41" spans="1:327" x14ac:dyDescent="0.2">
      <c r="A41" s="1001"/>
      <c r="B41" s="747" t="s">
        <v>621</v>
      </c>
      <c r="C41" s="151" t="s">
        <v>769</v>
      </c>
      <c r="D41" s="377"/>
      <c r="E41" s="373"/>
      <c r="F41" s="444" t="s">
        <v>6</v>
      </c>
      <c r="G41" s="377"/>
      <c r="H41" s="373"/>
      <c r="I41" s="444" t="s">
        <v>6</v>
      </c>
      <c r="J41" s="377"/>
      <c r="K41" s="373"/>
      <c r="L41" s="444" t="s">
        <v>6</v>
      </c>
      <c r="M41" s="377"/>
      <c r="N41" s="373"/>
      <c r="O41" s="444"/>
      <c r="P41" s="377"/>
      <c r="Q41" s="373"/>
      <c r="R41" s="444" t="s">
        <v>6</v>
      </c>
      <c r="S41" s="377"/>
      <c r="T41" s="373"/>
      <c r="U41" s="444" t="s">
        <v>6</v>
      </c>
      <c r="V41" s="377"/>
      <c r="W41" s="373"/>
      <c r="X41" s="444" t="s">
        <v>6</v>
      </c>
      <c r="Y41" s="377"/>
      <c r="Z41" s="373"/>
      <c r="AA41" s="444"/>
      <c r="AB41" s="377"/>
      <c r="AC41" s="373"/>
      <c r="AD41" s="444" t="s">
        <v>6</v>
      </c>
      <c r="AE41" s="377"/>
      <c r="AF41" s="373"/>
      <c r="AG41" s="444" t="s">
        <v>6</v>
      </c>
      <c r="AH41" s="377"/>
      <c r="AI41" s="373"/>
      <c r="AJ41" s="444" t="s">
        <v>6</v>
      </c>
      <c r="AK41" s="377"/>
      <c r="AL41" s="373"/>
      <c r="AM41" s="444"/>
      <c r="AN41" s="377">
        <v>19</v>
      </c>
      <c r="AO41" s="373">
        <v>2</v>
      </c>
      <c r="AP41" s="444">
        <v>90.5</v>
      </c>
      <c r="AQ41" s="377">
        <v>11</v>
      </c>
      <c r="AR41" s="373"/>
      <c r="AS41" s="444">
        <v>100</v>
      </c>
      <c r="AT41" s="377">
        <v>14</v>
      </c>
      <c r="AU41" s="373">
        <v>1</v>
      </c>
      <c r="AV41" s="444">
        <v>93.3</v>
      </c>
      <c r="AW41" s="377"/>
      <c r="AX41" s="373"/>
      <c r="AY41" s="444"/>
      <c r="AZ41" s="377">
        <v>11</v>
      </c>
      <c r="BA41" s="373">
        <v>2</v>
      </c>
      <c r="BB41" s="444">
        <v>84.6</v>
      </c>
      <c r="BC41" s="377">
        <v>5</v>
      </c>
      <c r="BD41" s="373"/>
      <c r="BE41" s="444">
        <v>100</v>
      </c>
      <c r="BF41" s="377">
        <v>7</v>
      </c>
      <c r="BG41" s="373">
        <v>1</v>
      </c>
      <c r="BH41" s="444">
        <v>87.5</v>
      </c>
      <c r="BI41" s="377"/>
      <c r="BJ41" s="373"/>
      <c r="BK41" s="444"/>
      <c r="BL41" s="377"/>
      <c r="BM41" s="373"/>
      <c r="BN41" s="444" t="s">
        <v>6</v>
      </c>
      <c r="BO41" s="377"/>
      <c r="BP41" s="373"/>
      <c r="BQ41" s="444" t="s">
        <v>6</v>
      </c>
      <c r="BR41" s="377"/>
      <c r="BS41" s="373"/>
      <c r="BT41" s="444" t="s">
        <v>6</v>
      </c>
      <c r="BU41" s="377"/>
      <c r="BV41" s="373"/>
      <c r="BW41" s="444"/>
      <c r="BX41" s="377"/>
      <c r="BY41" s="373"/>
      <c r="BZ41" s="444" t="s">
        <v>6</v>
      </c>
      <c r="CA41" s="377"/>
      <c r="CB41" s="373">
        <v>1</v>
      </c>
      <c r="CC41" s="444">
        <v>0</v>
      </c>
      <c r="CD41" s="377">
        <v>1</v>
      </c>
      <c r="CE41" s="373"/>
      <c r="CF41" s="444">
        <v>100</v>
      </c>
      <c r="CG41" s="377"/>
      <c r="CH41" s="373"/>
      <c r="CI41" s="444"/>
      <c r="CJ41" s="377"/>
      <c r="CK41" s="373"/>
      <c r="CL41" s="444" t="s">
        <v>6</v>
      </c>
      <c r="CM41" s="377"/>
      <c r="CN41" s="373"/>
      <c r="CO41" s="444" t="s">
        <v>6</v>
      </c>
      <c r="CP41" s="377"/>
      <c r="CQ41" s="373"/>
      <c r="CR41" s="444" t="s">
        <v>6</v>
      </c>
      <c r="CS41" s="377"/>
      <c r="CT41" s="373"/>
      <c r="CU41" s="444"/>
      <c r="CV41" s="377">
        <v>17</v>
      </c>
      <c r="CW41" s="373">
        <v>2</v>
      </c>
      <c r="CX41" s="444">
        <v>89.5</v>
      </c>
      <c r="CY41" s="377">
        <v>20</v>
      </c>
      <c r="CZ41" s="373"/>
      <c r="DA41" s="444">
        <v>100</v>
      </c>
      <c r="DB41" s="377">
        <v>22</v>
      </c>
      <c r="DC41" s="373">
        <v>3</v>
      </c>
      <c r="DD41" s="444">
        <v>88</v>
      </c>
      <c r="DE41" s="377"/>
      <c r="DF41" s="373"/>
      <c r="DG41" s="444"/>
      <c r="DH41" s="377">
        <v>1</v>
      </c>
      <c r="DI41" s="373"/>
      <c r="DJ41" s="444">
        <v>100</v>
      </c>
      <c r="DK41" s="377"/>
      <c r="DL41" s="373"/>
      <c r="DM41" s="444" t="s">
        <v>6</v>
      </c>
      <c r="DN41" s="377"/>
      <c r="DO41" s="373"/>
      <c r="DP41" s="444" t="s">
        <v>6</v>
      </c>
      <c r="DQ41" s="377"/>
      <c r="DR41" s="373"/>
      <c r="DS41" s="444"/>
      <c r="DT41" s="377"/>
      <c r="DU41" s="373">
        <v>1</v>
      </c>
      <c r="DV41" s="444">
        <v>0</v>
      </c>
      <c r="DW41" s="377"/>
      <c r="DX41" s="373"/>
      <c r="DY41" s="444" t="s">
        <v>6</v>
      </c>
      <c r="DZ41" s="377">
        <v>2</v>
      </c>
      <c r="EA41" s="373"/>
      <c r="EB41" s="444">
        <v>100</v>
      </c>
      <c r="EC41" s="377"/>
      <c r="ED41" s="373"/>
      <c r="EE41" s="444"/>
      <c r="EF41" s="377">
        <v>97</v>
      </c>
      <c r="EG41" s="373">
        <v>198</v>
      </c>
      <c r="EH41" s="444">
        <v>32.9</v>
      </c>
      <c r="EI41" s="377">
        <v>74</v>
      </c>
      <c r="EJ41" s="373">
        <v>146</v>
      </c>
      <c r="EK41" s="444">
        <v>33.6</v>
      </c>
      <c r="EL41" s="377">
        <v>106</v>
      </c>
      <c r="EM41" s="373">
        <v>125</v>
      </c>
      <c r="EN41" s="444">
        <v>45.9</v>
      </c>
      <c r="EO41" s="377"/>
      <c r="EP41" s="373"/>
      <c r="EQ41" s="444"/>
      <c r="ER41" s="377">
        <v>5</v>
      </c>
      <c r="ES41" s="373">
        <v>1</v>
      </c>
      <c r="ET41" s="444">
        <v>83.3</v>
      </c>
      <c r="EU41" s="377"/>
      <c r="EV41" s="373">
        <v>1</v>
      </c>
      <c r="EW41" s="444">
        <v>0</v>
      </c>
      <c r="EX41" s="377"/>
      <c r="EY41" s="373"/>
      <c r="EZ41" s="444" t="s">
        <v>6</v>
      </c>
      <c r="FA41" s="377"/>
      <c r="FB41" s="373"/>
      <c r="FC41" s="444"/>
      <c r="FD41" s="377">
        <v>8</v>
      </c>
      <c r="FE41" s="373">
        <v>8</v>
      </c>
      <c r="FF41" s="444">
        <v>50</v>
      </c>
      <c r="FG41" s="377"/>
      <c r="FH41" s="373">
        <v>8</v>
      </c>
      <c r="FI41" s="444">
        <v>0</v>
      </c>
      <c r="FJ41" s="377">
        <v>2</v>
      </c>
      <c r="FK41" s="373">
        <v>8</v>
      </c>
      <c r="FL41" s="444">
        <v>20</v>
      </c>
      <c r="FM41" s="377"/>
      <c r="FN41" s="373"/>
      <c r="FO41" s="444"/>
      <c r="FP41" s="377">
        <v>25</v>
      </c>
      <c r="FQ41" s="373">
        <v>39</v>
      </c>
      <c r="FR41" s="444">
        <v>39.1</v>
      </c>
      <c r="FS41" s="377">
        <v>14</v>
      </c>
      <c r="FT41" s="373">
        <v>30</v>
      </c>
      <c r="FU41" s="444">
        <v>31.8</v>
      </c>
      <c r="FV41" s="377">
        <v>11</v>
      </c>
      <c r="FW41" s="373">
        <v>9</v>
      </c>
      <c r="FX41" s="444">
        <v>55</v>
      </c>
      <c r="FY41" s="377"/>
      <c r="FZ41" s="373"/>
      <c r="GA41" s="444"/>
      <c r="GB41" s="377"/>
      <c r="GC41" s="373"/>
      <c r="GD41" s="444" t="s">
        <v>6</v>
      </c>
      <c r="GE41" s="377">
        <v>1</v>
      </c>
      <c r="GF41" s="373"/>
      <c r="GG41" s="444">
        <v>100</v>
      </c>
      <c r="GH41" s="377">
        <v>1</v>
      </c>
      <c r="GI41" s="373"/>
      <c r="GJ41" s="444">
        <v>100</v>
      </c>
      <c r="GK41" s="377"/>
      <c r="GL41" s="373"/>
      <c r="GM41" s="444"/>
      <c r="GN41" s="377"/>
      <c r="GO41" s="373"/>
      <c r="GP41" s="444" t="s">
        <v>6</v>
      </c>
      <c r="GQ41" s="377">
        <v>2</v>
      </c>
      <c r="GR41" s="373"/>
      <c r="GS41" s="444">
        <v>100</v>
      </c>
      <c r="GT41" s="377"/>
      <c r="GU41" s="373"/>
      <c r="GV41" s="444" t="s">
        <v>6</v>
      </c>
      <c r="GW41" s="377"/>
      <c r="GX41" s="373"/>
      <c r="GY41" s="444"/>
      <c r="GZ41" s="377"/>
      <c r="HA41" s="373"/>
      <c r="HB41" s="444" t="s">
        <v>6</v>
      </c>
      <c r="HC41" s="377">
        <v>2</v>
      </c>
      <c r="HD41" s="373"/>
      <c r="HE41" s="444">
        <v>100</v>
      </c>
      <c r="HF41" s="377"/>
      <c r="HG41" s="373"/>
      <c r="HH41" s="444" t="s">
        <v>6</v>
      </c>
      <c r="HI41" s="377"/>
      <c r="HJ41" s="373"/>
      <c r="HK41" s="444"/>
      <c r="HL41" s="377"/>
      <c r="HM41" s="373">
        <v>7</v>
      </c>
      <c r="HN41" s="444">
        <v>0</v>
      </c>
      <c r="HO41" s="377">
        <v>6</v>
      </c>
      <c r="HP41" s="373">
        <v>3</v>
      </c>
      <c r="HQ41" s="444">
        <v>66.7</v>
      </c>
      <c r="HR41" s="377">
        <v>3</v>
      </c>
      <c r="HS41" s="373">
        <v>5</v>
      </c>
      <c r="HT41" s="444">
        <v>37.5</v>
      </c>
      <c r="HU41" s="377"/>
      <c r="HV41" s="373"/>
      <c r="HW41" s="444"/>
      <c r="HX41" s="377">
        <v>2</v>
      </c>
      <c r="HY41" s="373"/>
      <c r="HZ41" s="444">
        <v>100</v>
      </c>
      <c r="IA41" s="377">
        <v>1</v>
      </c>
      <c r="IB41" s="373"/>
      <c r="IC41" s="444">
        <v>100</v>
      </c>
      <c r="ID41" s="377">
        <v>3</v>
      </c>
      <c r="IE41" s="373"/>
      <c r="IF41" s="444">
        <v>100</v>
      </c>
      <c r="IG41" s="377"/>
      <c r="IH41" s="373"/>
      <c r="II41" s="444"/>
      <c r="IJ41" s="377">
        <v>4</v>
      </c>
      <c r="IK41" s="373">
        <v>2</v>
      </c>
      <c r="IL41" s="444">
        <v>66.7</v>
      </c>
      <c r="IM41" s="377"/>
      <c r="IN41" s="373"/>
      <c r="IO41" s="444" t="s">
        <v>6</v>
      </c>
      <c r="IP41" s="377">
        <v>1</v>
      </c>
      <c r="IQ41" s="373"/>
      <c r="IR41" s="444">
        <v>100</v>
      </c>
      <c r="IS41" s="377"/>
      <c r="IT41" s="373"/>
      <c r="IU41" s="444"/>
      <c r="IV41" s="377">
        <v>140</v>
      </c>
      <c r="IW41" s="373">
        <v>212</v>
      </c>
      <c r="IX41" s="444">
        <v>39.799999999999997</v>
      </c>
      <c r="IY41" s="377">
        <v>117</v>
      </c>
      <c r="IZ41" s="373">
        <v>150</v>
      </c>
      <c r="JA41" s="444">
        <v>43.8</v>
      </c>
      <c r="JB41" s="377">
        <v>153</v>
      </c>
      <c r="JC41" s="373">
        <v>134</v>
      </c>
      <c r="JD41" s="444">
        <v>53.3</v>
      </c>
      <c r="JE41" s="377"/>
      <c r="JF41" s="373"/>
      <c r="JG41" s="444"/>
      <c r="JH41" s="377">
        <v>26</v>
      </c>
      <c r="JI41" s="373">
        <v>36</v>
      </c>
      <c r="JJ41" s="444">
        <v>41.9</v>
      </c>
      <c r="JK41" s="377">
        <v>18</v>
      </c>
      <c r="JL41" s="373">
        <v>41</v>
      </c>
      <c r="JM41" s="444">
        <v>30.5</v>
      </c>
      <c r="JN41" s="377">
        <v>48</v>
      </c>
      <c r="JO41" s="373">
        <v>22</v>
      </c>
      <c r="JP41" s="444">
        <v>68.599999999999994</v>
      </c>
      <c r="JQ41" s="377"/>
      <c r="JR41" s="373"/>
      <c r="JS41" s="444"/>
      <c r="JT41" s="377"/>
      <c r="JU41" s="373">
        <v>1</v>
      </c>
      <c r="JV41" s="444">
        <v>0</v>
      </c>
      <c r="JW41" s="377"/>
      <c r="JX41" s="373">
        <v>1</v>
      </c>
      <c r="JY41" s="444">
        <v>0</v>
      </c>
      <c r="JZ41" s="377"/>
      <c r="KA41" s="373"/>
      <c r="KB41" s="444" t="s">
        <v>6</v>
      </c>
      <c r="KC41" s="377"/>
      <c r="KD41" s="373"/>
      <c r="KE41" s="444"/>
      <c r="KF41" s="377"/>
      <c r="KG41" s="373"/>
      <c r="KH41" s="444" t="s">
        <v>6</v>
      </c>
      <c r="KI41" s="377">
        <v>2</v>
      </c>
      <c r="KJ41" s="373"/>
      <c r="KK41" s="444">
        <v>100</v>
      </c>
      <c r="KL41" s="377"/>
      <c r="KM41" s="373"/>
      <c r="KN41" s="444" t="s">
        <v>6</v>
      </c>
      <c r="KO41" s="377"/>
      <c r="KP41" s="373"/>
      <c r="KQ41" s="444"/>
      <c r="KR41" s="377">
        <v>31</v>
      </c>
      <c r="KS41" s="373">
        <v>40</v>
      </c>
      <c r="KT41" s="444">
        <v>43.7</v>
      </c>
      <c r="KU41" s="377">
        <v>26</v>
      </c>
      <c r="KV41" s="373">
        <v>43</v>
      </c>
      <c r="KW41" s="444">
        <v>37.700000000000003</v>
      </c>
      <c r="KX41" s="377">
        <v>53</v>
      </c>
      <c r="KY41" s="373">
        <v>24</v>
      </c>
      <c r="KZ41" s="444">
        <v>68.8</v>
      </c>
      <c r="LA41" s="377"/>
      <c r="LB41" s="373"/>
      <c r="LC41" s="444"/>
      <c r="LD41" s="377">
        <v>184</v>
      </c>
      <c r="LE41" s="373">
        <v>234</v>
      </c>
      <c r="LF41" s="444">
        <v>44</v>
      </c>
      <c r="LG41" s="377">
        <v>191</v>
      </c>
      <c r="LH41" s="373">
        <v>177</v>
      </c>
      <c r="LI41" s="444">
        <v>51.9</v>
      </c>
      <c r="LJ41" s="377">
        <v>209</v>
      </c>
      <c r="LK41" s="373">
        <v>157</v>
      </c>
      <c r="LL41" s="444">
        <v>57.1</v>
      </c>
      <c r="LM41" s="377"/>
      <c r="LN41" s="373"/>
      <c r="LO41" s="444"/>
    </row>
    <row r="42" spans="1:327" x14ac:dyDescent="0.2">
      <c r="A42" s="1001"/>
      <c r="B42" s="747" t="s">
        <v>621</v>
      </c>
      <c r="C42" s="151" t="s">
        <v>661</v>
      </c>
      <c r="D42" s="377"/>
      <c r="E42" s="373"/>
      <c r="F42" s="444" t="s">
        <v>6</v>
      </c>
      <c r="G42" s="377"/>
      <c r="H42" s="373"/>
      <c r="I42" s="444" t="s">
        <v>6</v>
      </c>
      <c r="J42" s="377"/>
      <c r="K42" s="373"/>
      <c r="L42" s="444" t="s">
        <v>6</v>
      </c>
      <c r="M42" s="377"/>
      <c r="N42" s="373"/>
      <c r="O42" s="444"/>
      <c r="P42" s="377"/>
      <c r="Q42" s="373"/>
      <c r="R42" s="444" t="s">
        <v>6</v>
      </c>
      <c r="S42" s="377"/>
      <c r="T42" s="373"/>
      <c r="U42" s="444" t="s">
        <v>6</v>
      </c>
      <c r="V42" s="377"/>
      <c r="W42" s="373"/>
      <c r="X42" s="444" t="s">
        <v>6</v>
      </c>
      <c r="Y42" s="377"/>
      <c r="Z42" s="373"/>
      <c r="AA42" s="444"/>
      <c r="AB42" s="377"/>
      <c r="AC42" s="373"/>
      <c r="AD42" s="444" t="s">
        <v>6</v>
      </c>
      <c r="AE42" s="377"/>
      <c r="AF42" s="373"/>
      <c r="AG42" s="444" t="s">
        <v>6</v>
      </c>
      <c r="AH42" s="377"/>
      <c r="AI42" s="373"/>
      <c r="AJ42" s="444" t="s">
        <v>6</v>
      </c>
      <c r="AK42" s="377"/>
      <c r="AL42" s="373"/>
      <c r="AM42" s="444"/>
      <c r="AN42" s="377">
        <v>14</v>
      </c>
      <c r="AO42" s="373">
        <v>4</v>
      </c>
      <c r="AP42" s="444">
        <v>77.8</v>
      </c>
      <c r="AQ42" s="377">
        <v>15</v>
      </c>
      <c r="AR42" s="373">
        <v>1</v>
      </c>
      <c r="AS42" s="444">
        <v>93.8</v>
      </c>
      <c r="AT42" s="377">
        <v>7</v>
      </c>
      <c r="AU42" s="373">
        <v>4</v>
      </c>
      <c r="AV42" s="444">
        <v>63.6</v>
      </c>
      <c r="AW42" s="377"/>
      <c r="AX42" s="373"/>
      <c r="AY42" s="444"/>
      <c r="AZ42" s="377">
        <v>6</v>
      </c>
      <c r="BA42" s="373">
        <v>2</v>
      </c>
      <c r="BB42" s="444">
        <v>75</v>
      </c>
      <c r="BC42" s="377">
        <v>11</v>
      </c>
      <c r="BD42" s="373">
        <v>1</v>
      </c>
      <c r="BE42" s="444">
        <v>91.7</v>
      </c>
      <c r="BF42" s="377">
        <v>5</v>
      </c>
      <c r="BG42" s="373">
        <v>4</v>
      </c>
      <c r="BH42" s="444">
        <v>55.6</v>
      </c>
      <c r="BI42" s="377"/>
      <c r="BJ42" s="373"/>
      <c r="BK42" s="444"/>
      <c r="BL42" s="377"/>
      <c r="BM42" s="373"/>
      <c r="BN42" s="444" t="s">
        <v>6</v>
      </c>
      <c r="BO42" s="377"/>
      <c r="BP42" s="373"/>
      <c r="BQ42" s="444" t="s">
        <v>6</v>
      </c>
      <c r="BR42" s="377"/>
      <c r="BS42" s="373"/>
      <c r="BT42" s="444" t="s">
        <v>6</v>
      </c>
      <c r="BU42" s="377"/>
      <c r="BV42" s="373"/>
      <c r="BW42" s="444"/>
      <c r="BX42" s="377"/>
      <c r="BY42" s="373">
        <v>3</v>
      </c>
      <c r="BZ42" s="444">
        <v>0</v>
      </c>
      <c r="CA42" s="377">
        <v>1</v>
      </c>
      <c r="CB42" s="373"/>
      <c r="CC42" s="444">
        <v>100</v>
      </c>
      <c r="CD42" s="377">
        <v>3</v>
      </c>
      <c r="CE42" s="373"/>
      <c r="CF42" s="444">
        <v>100</v>
      </c>
      <c r="CG42" s="377"/>
      <c r="CH42" s="373"/>
      <c r="CI42" s="444"/>
      <c r="CJ42" s="377"/>
      <c r="CK42" s="373"/>
      <c r="CL42" s="444" t="s">
        <v>6</v>
      </c>
      <c r="CM42" s="377"/>
      <c r="CN42" s="373"/>
      <c r="CO42" s="444" t="s">
        <v>6</v>
      </c>
      <c r="CP42" s="377"/>
      <c r="CQ42" s="373"/>
      <c r="CR42" s="444" t="s">
        <v>6</v>
      </c>
      <c r="CS42" s="377"/>
      <c r="CT42" s="373"/>
      <c r="CU42" s="444"/>
      <c r="CV42" s="377">
        <v>20</v>
      </c>
      <c r="CW42" s="373">
        <v>4</v>
      </c>
      <c r="CX42" s="444">
        <v>83.3</v>
      </c>
      <c r="CY42" s="377">
        <v>17</v>
      </c>
      <c r="CZ42" s="373"/>
      <c r="DA42" s="444">
        <v>100</v>
      </c>
      <c r="DB42" s="377">
        <v>14</v>
      </c>
      <c r="DC42" s="373">
        <v>5</v>
      </c>
      <c r="DD42" s="444">
        <v>73.7</v>
      </c>
      <c r="DE42" s="377"/>
      <c r="DF42" s="373"/>
      <c r="DG42" s="444"/>
      <c r="DH42" s="377"/>
      <c r="DI42" s="373"/>
      <c r="DJ42" s="444" t="s">
        <v>6</v>
      </c>
      <c r="DK42" s="377"/>
      <c r="DL42" s="373"/>
      <c r="DM42" s="444" t="s">
        <v>6</v>
      </c>
      <c r="DN42" s="377">
        <v>1</v>
      </c>
      <c r="DO42" s="373"/>
      <c r="DP42" s="444">
        <v>100</v>
      </c>
      <c r="DQ42" s="377"/>
      <c r="DR42" s="373"/>
      <c r="DS42" s="444"/>
      <c r="DT42" s="377"/>
      <c r="DU42" s="373"/>
      <c r="DV42" s="444" t="s">
        <v>6</v>
      </c>
      <c r="DW42" s="377">
        <v>1</v>
      </c>
      <c r="DX42" s="373"/>
      <c r="DY42" s="444">
        <v>100</v>
      </c>
      <c r="DZ42" s="377">
        <v>2</v>
      </c>
      <c r="EA42" s="373"/>
      <c r="EB42" s="444">
        <v>100</v>
      </c>
      <c r="EC42" s="377"/>
      <c r="ED42" s="373"/>
      <c r="EE42" s="444"/>
      <c r="EF42" s="377">
        <v>434</v>
      </c>
      <c r="EG42" s="373">
        <v>380</v>
      </c>
      <c r="EH42" s="444">
        <v>53.3</v>
      </c>
      <c r="EI42" s="377">
        <v>220</v>
      </c>
      <c r="EJ42" s="373">
        <v>338</v>
      </c>
      <c r="EK42" s="444">
        <v>39.4</v>
      </c>
      <c r="EL42" s="377">
        <v>359</v>
      </c>
      <c r="EM42" s="373">
        <v>367</v>
      </c>
      <c r="EN42" s="444">
        <v>49.4</v>
      </c>
      <c r="EO42" s="377"/>
      <c r="EP42" s="373"/>
      <c r="EQ42" s="444"/>
      <c r="ER42" s="377"/>
      <c r="ES42" s="373">
        <v>1</v>
      </c>
      <c r="ET42" s="444">
        <v>0</v>
      </c>
      <c r="EU42" s="377"/>
      <c r="EV42" s="373"/>
      <c r="EW42" s="444" t="s">
        <v>6</v>
      </c>
      <c r="EX42" s="377">
        <v>3</v>
      </c>
      <c r="EY42" s="373"/>
      <c r="EZ42" s="444">
        <v>100</v>
      </c>
      <c r="FA42" s="377"/>
      <c r="FB42" s="373"/>
      <c r="FC42" s="444"/>
      <c r="FD42" s="377">
        <v>26</v>
      </c>
      <c r="FE42" s="373">
        <v>4</v>
      </c>
      <c r="FF42" s="444">
        <v>86.7</v>
      </c>
      <c r="FG42" s="377">
        <v>11</v>
      </c>
      <c r="FH42" s="373">
        <v>7</v>
      </c>
      <c r="FI42" s="444">
        <v>61.1</v>
      </c>
      <c r="FJ42" s="377">
        <v>8</v>
      </c>
      <c r="FK42" s="373">
        <v>9</v>
      </c>
      <c r="FL42" s="444">
        <v>47.1</v>
      </c>
      <c r="FM42" s="377"/>
      <c r="FN42" s="373"/>
      <c r="FO42" s="444"/>
      <c r="FP42" s="377">
        <v>46</v>
      </c>
      <c r="FQ42" s="373">
        <v>75</v>
      </c>
      <c r="FR42" s="444">
        <v>38</v>
      </c>
      <c r="FS42" s="377">
        <v>43</v>
      </c>
      <c r="FT42" s="373">
        <v>82</v>
      </c>
      <c r="FU42" s="444">
        <v>34.4</v>
      </c>
      <c r="FV42" s="377">
        <v>81</v>
      </c>
      <c r="FW42" s="373">
        <v>50</v>
      </c>
      <c r="FX42" s="444">
        <v>61.8</v>
      </c>
      <c r="FY42" s="377"/>
      <c r="FZ42" s="373"/>
      <c r="GA42" s="444"/>
      <c r="GB42" s="377">
        <v>4</v>
      </c>
      <c r="GC42" s="373">
        <v>1</v>
      </c>
      <c r="GD42" s="444">
        <v>80</v>
      </c>
      <c r="GE42" s="377">
        <v>3</v>
      </c>
      <c r="GF42" s="373">
        <v>1</v>
      </c>
      <c r="GG42" s="444">
        <v>75</v>
      </c>
      <c r="GH42" s="377">
        <v>8</v>
      </c>
      <c r="GI42" s="373"/>
      <c r="GJ42" s="444">
        <v>100</v>
      </c>
      <c r="GK42" s="377"/>
      <c r="GL42" s="373"/>
      <c r="GM42" s="444"/>
      <c r="GN42" s="377">
        <v>3</v>
      </c>
      <c r="GO42" s="373">
        <v>1</v>
      </c>
      <c r="GP42" s="444">
        <v>75</v>
      </c>
      <c r="GQ42" s="377">
        <v>3</v>
      </c>
      <c r="GR42" s="373"/>
      <c r="GS42" s="444">
        <v>100</v>
      </c>
      <c r="GT42" s="377">
        <v>5</v>
      </c>
      <c r="GU42" s="373">
        <v>3</v>
      </c>
      <c r="GV42" s="444">
        <v>62.5</v>
      </c>
      <c r="GW42" s="377"/>
      <c r="GX42" s="373"/>
      <c r="GY42" s="444"/>
      <c r="GZ42" s="377"/>
      <c r="HA42" s="373"/>
      <c r="HB42" s="444" t="s">
        <v>6</v>
      </c>
      <c r="HC42" s="377">
        <v>3</v>
      </c>
      <c r="HD42" s="373"/>
      <c r="HE42" s="444">
        <v>100</v>
      </c>
      <c r="HF42" s="377">
        <v>1</v>
      </c>
      <c r="HG42" s="373"/>
      <c r="HH42" s="444">
        <v>100</v>
      </c>
      <c r="HI42" s="377"/>
      <c r="HJ42" s="373"/>
      <c r="HK42" s="444"/>
      <c r="HL42" s="377">
        <v>5</v>
      </c>
      <c r="HM42" s="373">
        <v>15</v>
      </c>
      <c r="HN42" s="444">
        <v>25</v>
      </c>
      <c r="HO42" s="377">
        <v>7</v>
      </c>
      <c r="HP42" s="373">
        <v>12</v>
      </c>
      <c r="HQ42" s="444">
        <v>36.799999999999997</v>
      </c>
      <c r="HR42" s="377">
        <v>13</v>
      </c>
      <c r="HS42" s="373">
        <v>12</v>
      </c>
      <c r="HT42" s="444">
        <v>52</v>
      </c>
      <c r="HU42" s="377"/>
      <c r="HV42" s="373"/>
      <c r="HW42" s="444"/>
      <c r="HX42" s="377">
        <v>4</v>
      </c>
      <c r="HY42" s="373">
        <v>1</v>
      </c>
      <c r="HZ42" s="444">
        <v>80</v>
      </c>
      <c r="IA42" s="377">
        <v>2</v>
      </c>
      <c r="IB42" s="373"/>
      <c r="IC42" s="444">
        <v>100</v>
      </c>
      <c r="ID42" s="377">
        <v>4</v>
      </c>
      <c r="IE42" s="373"/>
      <c r="IF42" s="444">
        <v>100</v>
      </c>
      <c r="IG42" s="377"/>
      <c r="IH42" s="373"/>
      <c r="II42" s="444"/>
      <c r="IJ42" s="377">
        <v>4</v>
      </c>
      <c r="IK42" s="373">
        <v>3</v>
      </c>
      <c r="IL42" s="444">
        <v>57.1</v>
      </c>
      <c r="IM42" s="377">
        <v>10</v>
      </c>
      <c r="IN42" s="373">
        <v>2</v>
      </c>
      <c r="IO42" s="444">
        <v>83.3</v>
      </c>
      <c r="IP42" s="377">
        <v>12</v>
      </c>
      <c r="IQ42" s="373"/>
      <c r="IR42" s="444">
        <v>100</v>
      </c>
      <c r="IS42" s="377"/>
      <c r="IT42" s="373"/>
      <c r="IU42" s="444"/>
      <c r="IV42" s="377">
        <v>488</v>
      </c>
      <c r="IW42" s="373">
        <v>412</v>
      </c>
      <c r="IX42" s="444">
        <v>54.2</v>
      </c>
      <c r="IY42" s="377">
        <v>282</v>
      </c>
      <c r="IZ42" s="373">
        <v>354</v>
      </c>
      <c r="JA42" s="444">
        <v>44.3</v>
      </c>
      <c r="JB42" s="377">
        <v>429</v>
      </c>
      <c r="JC42" s="373">
        <v>391</v>
      </c>
      <c r="JD42" s="444">
        <v>52.3</v>
      </c>
      <c r="JE42" s="377"/>
      <c r="JF42" s="373"/>
      <c r="JG42" s="444"/>
      <c r="JH42" s="377">
        <v>248</v>
      </c>
      <c r="JI42" s="373">
        <v>59</v>
      </c>
      <c r="JJ42" s="444">
        <v>80.8</v>
      </c>
      <c r="JK42" s="377">
        <v>40</v>
      </c>
      <c r="JL42" s="373">
        <v>59</v>
      </c>
      <c r="JM42" s="444">
        <v>40.4</v>
      </c>
      <c r="JN42" s="377">
        <v>85</v>
      </c>
      <c r="JO42" s="373">
        <v>79</v>
      </c>
      <c r="JP42" s="444">
        <v>51.8</v>
      </c>
      <c r="JQ42" s="377"/>
      <c r="JR42" s="373"/>
      <c r="JS42" s="444"/>
      <c r="JT42" s="377">
        <v>3</v>
      </c>
      <c r="JU42" s="373"/>
      <c r="JV42" s="444">
        <v>100</v>
      </c>
      <c r="JW42" s="377">
        <v>3</v>
      </c>
      <c r="JX42" s="373">
        <v>2</v>
      </c>
      <c r="JY42" s="444">
        <v>60</v>
      </c>
      <c r="JZ42" s="377">
        <v>1</v>
      </c>
      <c r="KA42" s="373"/>
      <c r="KB42" s="444">
        <v>100</v>
      </c>
      <c r="KC42" s="377"/>
      <c r="KD42" s="373"/>
      <c r="KE42" s="444"/>
      <c r="KF42" s="377">
        <v>1</v>
      </c>
      <c r="KG42" s="373"/>
      <c r="KH42" s="444">
        <v>100</v>
      </c>
      <c r="KI42" s="377">
        <v>4</v>
      </c>
      <c r="KJ42" s="373"/>
      <c r="KK42" s="444">
        <v>100</v>
      </c>
      <c r="KL42" s="377">
        <v>4</v>
      </c>
      <c r="KM42" s="373"/>
      <c r="KN42" s="444">
        <v>100</v>
      </c>
      <c r="KO42" s="377"/>
      <c r="KP42" s="373"/>
      <c r="KQ42" s="444"/>
      <c r="KR42" s="377">
        <v>260</v>
      </c>
      <c r="KS42" s="373">
        <v>63</v>
      </c>
      <c r="KT42" s="444">
        <v>80.5</v>
      </c>
      <c r="KU42" s="377">
        <v>62</v>
      </c>
      <c r="KV42" s="373">
        <v>68</v>
      </c>
      <c r="KW42" s="444">
        <v>47.7</v>
      </c>
      <c r="KX42" s="377">
        <v>101</v>
      </c>
      <c r="KY42" s="373">
        <v>94</v>
      </c>
      <c r="KZ42" s="444">
        <v>51.8</v>
      </c>
      <c r="LA42" s="377"/>
      <c r="LB42" s="373"/>
      <c r="LC42" s="444"/>
      <c r="LD42" s="377">
        <v>556</v>
      </c>
      <c r="LE42" s="373">
        <v>464</v>
      </c>
      <c r="LF42" s="444">
        <v>54.5</v>
      </c>
      <c r="LG42" s="377">
        <v>361</v>
      </c>
      <c r="LH42" s="373">
        <v>785</v>
      </c>
      <c r="LI42" s="444">
        <v>31.5</v>
      </c>
      <c r="LJ42" s="377">
        <v>536</v>
      </c>
      <c r="LK42" s="373">
        <v>599</v>
      </c>
      <c r="LL42" s="444">
        <v>47.2</v>
      </c>
      <c r="LM42" s="377"/>
      <c r="LN42" s="373"/>
      <c r="LO42" s="444"/>
    </row>
    <row r="43" spans="1:327" ht="13.5" thickBot="1" x14ac:dyDescent="0.25">
      <c r="A43" s="1001"/>
      <c r="B43" s="748" t="s">
        <v>621</v>
      </c>
      <c r="C43" s="302" t="s">
        <v>662</v>
      </c>
      <c r="D43" s="377"/>
      <c r="E43" s="373"/>
      <c r="F43" s="444" t="s">
        <v>6</v>
      </c>
      <c r="G43" s="377"/>
      <c r="H43" s="373"/>
      <c r="I43" s="444" t="s">
        <v>6</v>
      </c>
      <c r="J43" s="377"/>
      <c r="K43" s="373"/>
      <c r="L43" s="444" t="s">
        <v>6</v>
      </c>
      <c r="M43" s="377"/>
      <c r="N43" s="373"/>
      <c r="O43" s="444"/>
      <c r="P43" s="377"/>
      <c r="Q43" s="373"/>
      <c r="R43" s="444" t="s">
        <v>6</v>
      </c>
      <c r="S43" s="377"/>
      <c r="T43" s="373"/>
      <c r="U43" s="444" t="s">
        <v>6</v>
      </c>
      <c r="V43" s="377"/>
      <c r="W43" s="373"/>
      <c r="X43" s="444" t="s">
        <v>6</v>
      </c>
      <c r="Y43" s="377"/>
      <c r="Z43" s="373"/>
      <c r="AA43" s="444"/>
      <c r="AB43" s="377"/>
      <c r="AC43" s="373"/>
      <c r="AD43" s="444" t="s">
        <v>6</v>
      </c>
      <c r="AE43" s="377"/>
      <c r="AF43" s="373"/>
      <c r="AG43" s="444" t="s">
        <v>6</v>
      </c>
      <c r="AH43" s="377"/>
      <c r="AI43" s="373"/>
      <c r="AJ43" s="444" t="s">
        <v>6</v>
      </c>
      <c r="AK43" s="377"/>
      <c r="AL43" s="373"/>
      <c r="AM43" s="444"/>
      <c r="AN43" s="377">
        <v>7</v>
      </c>
      <c r="AO43" s="373"/>
      <c r="AP43" s="444">
        <v>100</v>
      </c>
      <c r="AQ43" s="377">
        <v>10</v>
      </c>
      <c r="AR43" s="373">
        <v>1</v>
      </c>
      <c r="AS43" s="444">
        <v>90.9</v>
      </c>
      <c r="AT43" s="377">
        <v>10</v>
      </c>
      <c r="AU43" s="373">
        <v>2</v>
      </c>
      <c r="AV43" s="444">
        <v>83.3</v>
      </c>
      <c r="AW43" s="377"/>
      <c r="AX43" s="373"/>
      <c r="AY43" s="444"/>
      <c r="AZ43" s="377">
        <v>1</v>
      </c>
      <c r="BA43" s="373"/>
      <c r="BB43" s="444">
        <v>100</v>
      </c>
      <c r="BC43" s="377">
        <v>1</v>
      </c>
      <c r="BD43" s="373">
        <v>1</v>
      </c>
      <c r="BE43" s="444">
        <v>50</v>
      </c>
      <c r="BF43" s="377">
        <v>1</v>
      </c>
      <c r="BG43" s="373">
        <v>2</v>
      </c>
      <c r="BH43" s="444">
        <v>33.299999999999997</v>
      </c>
      <c r="BI43" s="377"/>
      <c r="BJ43" s="373"/>
      <c r="BK43" s="444"/>
      <c r="BL43" s="377"/>
      <c r="BM43" s="373"/>
      <c r="BN43" s="444" t="s">
        <v>6</v>
      </c>
      <c r="BO43" s="377"/>
      <c r="BP43" s="373"/>
      <c r="BQ43" s="444" t="s">
        <v>6</v>
      </c>
      <c r="BR43" s="377"/>
      <c r="BS43" s="373"/>
      <c r="BT43" s="444" t="s">
        <v>6</v>
      </c>
      <c r="BU43" s="377"/>
      <c r="BV43" s="373"/>
      <c r="BW43" s="444"/>
      <c r="BX43" s="377"/>
      <c r="BY43" s="373"/>
      <c r="BZ43" s="444" t="s">
        <v>6</v>
      </c>
      <c r="CA43" s="377"/>
      <c r="CB43" s="373"/>
      <c r="CC43" s="444" t="s">
        <v>6</v>
      </c>
      <c r="CD43" s="377"/>
      <c r="CE43" s="373"/>
      <c r="CF43" s="444" t="s">
        <v>6</v>
      </c>
      <c r="CG43" s="377"/>
      <c r="CH43" s="373"/>
      <c r="CI43" s="444"/>
      <c r="CJ43" s="377"/>
      <c r="CK43" s="373"/>
      <c r="CL43" s="444" t="s">
        <v>6</v>
      </c>
      <c r="CM43" s="377"/>
      <c r="CN43" s="373"/>
      <c r="CO43" s="444" t="s">
        <v>6</v>
      </c>
      <c r="CP43" s="377"/>
      <c r="CQ43" s="373"/>
      <c r="CR43" s="444" t="s">
        <v>6</v>
      </c>
      <c r="CS43" s="377"/>
      <c r="CT43" s="373"/>
      <c r="CU43" s="444"/>
      <c r="CV43" s="377">
        <v>9</v>
      </c>
      <c r="CW43" s="373"/>
      <c r="CX43" s="444">
        <v>100</v>
      </c>
      <c r="CY43" s="377">
        <v>17</v>
      </c>
      <c r="CZ43" s="373">
        <v>3</v>
      </c>
      <c r="DA43" s="444">
        <v>85</v>
      </c>
      <c r="DB43" s="377">
        <v>7</v>
      </c>
      <c r="DC43" s="373">
        <v>1</v>
      </c>
      <c r="DD43" s="444">
        <v>87.5</v>
      </c>
      <c r="DE43" s="377"/>
      <c r="DF43" s="373"/>
      <c r="DG43" s="444"/>
      <c r="DH43" s="377"/>
      <c r="DI43" s="373"/>
      <c r="DJ43" s="444" t="s">
        <v>6</v>
      </c>
      <c r="DK43" s="377">
        <v>1</v>
      </c>
      <c r="DL43" s="373"/>
      <c r="DM43" s="444">
        <v>100</v>
      </c>
      <c r="DN43" s="377"/>
      <c r="DO43" s="373"/>
      <c r="DP43" s="444" t="s">
        <v>6</v>
      </c>
      <c r="DQ43" s="377"/>
      <c r="DR43" s="373"/>
      <c r="DS43" s="444"/>
      <c r="DT43" s="377"/>
      <c r="DU43" s="373"/>
      <c r="DV43" s="444" t="s">
        <v>6</v>
      </c>
      <c r="DW43" s="377">
        <v>2</v>
      </c>
      <c r="DX43" s="373"/>
      <c r="DY43" s="444">
        <v>100</v>
      </c>
      <c r="DZ43" s="377"/>
      <c r="EA43" s="373"/>
      <c r="EB43" s="444" t="s">
        <v>6</v>
      </c>
      <c r="EC43" s="377"/>
      <c r="ED43" s="373"/>
      <c r="EE43" s="444"/>
      <c r="EF43" s="377">
        <v>112</v>
      </c>
      <c r="EG43" s="373">
        <v>172</v>
      </c>
      <c r="EH43" s="444">
        <v>39.4</v>
      </c>
      <c r="EI43" s="377">
        <v>112</v>
      </c>
      <c r="EJ43" s="373">
        <v>92</v>
      </c>
      <c r="EK43" s="444">
        <v>54.9</v>
      </c>
      <c r="EL43" s="377">
        <v>72</v>
      </c>
      <c r="EM43" s="373">
        <v>96</v>
      </c>
      <c r="EN43" s="444">
        <v>42.9</v>
      </c>
      <c r="EO43" s="377"/>
      <c r="EP43" s="373"/>
      <c r="EQ43" s="444"/>
      <c r="ER43" s="377">
        <v>4</v>
      </c>
      <c r="ES43" s="373">
        <v>1</v>
      </c>
      <c r="ET43" s="444">
        <v>80</v>
      </c>
      <c r="EU43" s="377"/>
      <c r="EV43" s="373"/>
      <c r="EW43" s="444" t="s">
        <v>6</v>
      </c>
      <c r="EX43" s="377">
        <v>2</v>
      </c>
      <c r="EY43" s="373"/>
      <c r="EZ43" s="444">
        <v>100</v>
      </c>
      <c r="FA43" s="377"/>
      <c r="FB43" s="373"/>
      <c r="FC43" s="444"/>
      <c r="FD43" s="377">
        <v>1</v>
      </c>
      <c r="FE43" s="373">
        <v>7</v>
      </c>
      <c r="FF43" s="444">
        <v>12.5</v>
      </c>
      <c r="FG43" s="377">
        <v>5</v>
      </c>
      <c r="FH43" s="373">
        <v>3</v>
      </c>
      <c r="FI43" s="444">
        <v>62.5</v>
      </c>
      <c r="FJ43" s="377"/>
      <c r="FK43" s="373">
        <v>4</v>
      </c>
      <c r="FL43" s="444">
        <v>0</v>
      </c>
      <c r="FM43" s="377"/>
      <c r="FN43" s="373"/>
      <c r="FO43" s="444"/>
      <c r="FP43" s="377">
        <v>11</v>
      </c>
      <c r="FQ43" s="373">
        <v>49</v>
      </c>
      <c r="FR43" s="444">
        <v>18.3</v>
      </c>
      <c r="FS43" s="377">
        <v>25</v>
      </c>
      <c r="FT43" s="373">
        <v>21</v>
      </c>
      <c r="FU43" s="444">
        <v>54.3</v>
      </c>
      <c r="FV43" s="377">
        <v>13</v>
      </c>
      <c r="FW43" s="373">
        <v>14</v>
      </c>
      <c r="FX43" s="444">
        <v>48.1</v>
      </c>
      <c r="FY43" s="377"/>
      <c r="FZ43" s="373"/>
      <c r="GA43" s="444"/>
      <c r="GB43" s="377">
        <v>2</v>
      </c>
      <c r="GC43" s="373"/>
      <c r="GD43" s="444">
        <v>100</v>
      </c>
      <c r="GE43" s="377"/>
      <c r="GF43" s="373"/>
      <c r="GG43" s="444" t="s">
        <v>6</v>
      </c>
      <c r="GH43" s="377"/>
      <c r="GI43" s="373"/>
      <c r="GJ43" s="444" t="s">
        <v>6</v>
      </c>
      <c r="GK43" s="377"/>
      <c r="GL43" s="373"/>
      <c r="GM43" s="444"/>
      <c r="GN43" s="377">
        <v>2</v>
      </c>
      <c r="GO43" s="373">
        <v>2</v>
      </c>
      <c r="GP43" s="444">
        <v>50</v>
      </c>
      <c r="GQ43" s="377">
        <v>4</v>
      </c>
      <c r="GR43" s="373"/>
      <c r="GS43" s="444">
        <v>100</v>
      </c>
      <c r="GT43" s="377"/>
      <c r="GU43" s="373"/>
      <c r="GV43" s="444" t="s">
        <v>6</v>
      </c>
      <c r="GW43" s="377"/>
      <c r="GX43" s="373"/>
      <c r="GY43" s="444"/>
      <c r="GZ43" s="377"/>
      <c r="HA43" s="373"/>
      <c r="HB43" s="444" t="s">
        <v>6</v>
      </c>
      <c r="HC43" s="377"/>
      <c r="HD43" s="373"/>
      <c r="HE43" s="444" t="s">
        <v>6</v>
      </c>
      <c r="HF43" s="377"/>
      <c r="HG43" s="373"/>
      <c r="HH43" s="444" t="s">
        <v>6</v>
      </c>
      <c r="HI43" s="377"/>
      <c r="HJ43" s="373"/>
      <c r="HK43" s="444"/>
      <c r="HL43" s="377"/>
      <c r="HM43" s="373">
        <v>6</v>
      </c>
      <c r="HN43" s="444">
        <v>0</v>
      </c>
      <c r="HO43" s="377">
        <v>2</v>
      </c>
      <c r="HP43" s="373">
        <v>3</v>
      </c>
      <c r="HQ43" s="444">
        <v>40</v>
      </c>
      <c r="HR43" s="377">
        <v>3</v>
      </c>
      <c r="HS43" s="373">
        <v>3</v>
      </c>
      <c r="HT43" s="444">
        <v>50</v>
      </c>
      <c r="HU43" s="377"/>
      <c r="HV43" s="373"/>
      <c r="HW43" s="444"/>
      <c r="HX43" s="377">
        <v>1</v>
      </c>
      <c r="HY43" s="373"/>
      <c r="HZ43" s="444">
        <v>100</v>
      </c>
      <c r="IA43" s="377">
        <v>3</v>
      </c>
      <c r="IB43" s="373"/>
      <c r="IC43" s="444">
        <v>100</v>
      </c>
      <c r="ID43" s="377"/>
      <c r="IE43" s="373"/>
      <c r="IF43" s="444" t="s">
        <v>6</v>
      </c>
      <c r="IG43" s="377"/>
      <c r="IH43" s="373"/>
      <c r="II43" s="444"/>
      <c r="IJ43" s="377">
        <v>1</v>
      </c>
      <c r="IK43" s="373">
        <v>1</v>
      </c>
      <c r="IL43" s="444">
        <v>50</v>
      </c>
      <c r="IM43" s="377"/>
      <c r="IN43" s="373"/>
      <c r="IO43" s="444" t="s">
        <v>6</v>
      </c>
      <c r="IP43" s="377">
        <v>5</v>
      </c>
      <c r="IQ43" s="373"/>
      <c r="IR43" s="444">
        <v>100</v>
      </c>
      <c r="IS43" s="377"/>
      <c r="IT43" s="373"/>
      <c r="IU43" s="444"/>
      <c r="IV43" s="377">
        <v>134</v>
      </c>
      <c r="IW43" s="373">
        <v>181</v>
      </c>
      <c r="IX43" s="444">
        <v>42.5</v>
      </c>
      <c r="IY43" s="377">
        <v>151</v>
      </c>
      <c r="IZ43" s="373">
        <v>99</v>
      </c>
      <c r="JA43" s="444">
        <v>60.4</v>
      </c>
      <c r="JB43" s="377">
        <v>97</v>
      </c>
      <c r="JC43" s="373">
        <v>102</v>
      </c>
      <c r="JD43" s="444">
        <v>48.7</v>
      </c>
      <c r="JE43" s="377"/>
      <c r="JF43" s="373"/>
      <c r="JG43" s="444"/>
      <c r="JH43" s="377">
        <v>17</v>
      </c>
      <c r="JI43" s="373">
        <v>19</v>
      </c>
      <c r="JJ43" s="444">
        <v>47.2</v>
      </c>
      <c r="JK43" s="377">
        <v>26</v>
      </c>
      <c r="JL43" s="373">
        <v>20</v>
      </c>
      <c r="JM43" s="444">
        <v>56.5</v>
      </c>
      <c r="JN43" s="377">
        <v>22</v>
      </c>
      <c r="JO43" s="373">
        <v>15</v>
      </c>
      <c r="JP43" s="444">
        <v>59.5</v>
      </c>
      <c r="JQ43" s="377"/>
      <c r="JR43" s="373"/>
      <c r="JS43" s="444"/>
      <c r="JT43" s="377">
        <v>2</v>
      </c>
      <c r="JU43" s="373">
        <v>1</v>
      </c>
      <c r="JV43" s="444">
        <v>66.7</v>
      </c>
      <c r="JW43" s="377"/>
      <c r="JX43" s="373"/>
      <c r="JY43" s="444" t="s">
        <v>6</v>
      </c>
      <c r="JZ43" s="377"/>
      <c r="KA43" s="373"/>
      <c r="KB43" s="444" t="s">
        <v>6</v>
      </c>
      <c r="KC43" s="377"/>
      <c r="KD43" s="373"/>
      <c r="KE43" s="444"/>
      <c r="KF43" s="377">
        <v>1</v>
      </c>
      <c r="KG43" s="373">
        <v>3</v>
      </c>
      <c r="KH43" s="444">
        <v>25</v>
      </c>
      <c r="KI43" s="377">
        <v>1</v>
      </c>
      <c r="KJ43" s="373"/>
      <c r="KK43" s="444">
        <v>100</v>
      </c>
      <c r="KL43" s="377"/>
      <c r="KM43" s="373"/>
      <c r="KN43" s="444" t="s">
        <v>6</v>
      </c>
      <c r="KO43" s="377"/>
      <c r="KP43" s="373"/>
      <c r="KQ43" s="444"/>
      <c r="KR43" s="377">
        <v>24</v>
      </c>
      <c r="KS43" s="373">
        <v>26</v>
      </c>
      <c r="KT43" s="444">
        <v>48</v>
      </c>
      <c r="KU43" s="377">
        <v>30</v>
      </c>
      <c r="KV43" s="373">
        <v>21</v>
      </c>
      <c r="KW43" s="444">
        <v>58.8</v>
      </c>
      <c r="KX43" s="377">
        <v>26</v>
      </c>
      <c r="KY43" s="373">
        <v>15</v>
      </c>
      <c r="KZ43" s="444">
        <v>63.4</v>
      </c>
      <c r="LA43" s="377"/>
      <c r="LB43" s="373"/>
      <c r="LC43" s="444"/>
      <c r="LD43" s="377">
        <v>161</v>
      </c>
      <c r="LE43" s="373">
        <v>200</v>
      </c>
      <c r="LF43" s="444">
        <v>44.6</v>
      </c>
      <c r="LG43" s="377">
        <v>231</v>
      </c>
      <c r="LH43" s="373">
        <v>116</v>
      </c>
      <c r="LI43" s="444">
        <v>66.599999999999994</v>
      </c>
      <c r="LJ43" s="377">
        <v>130</v>
      </c>
      <c r="LK43" s="373">
        <v>113</v>
      </c>
      <c r="LL43" s="444">
        <v>53.5</v>
      </c>
      <c r="LM43" s="377"/>
      <c r="LN43" s="373"/>
      <c r="LO43" s="444"/>
    </row>
    <row r="44" spans="1:327" s="259" customFormat="1" ht="13.5" thickBot="1" x14ac:dyDescent="0.25">
      <c r="A44" s="1002"/>
      <c r="B44" s="751"/>
      <c r="C44" s="277" t="s">
        <v>784</v>
      </c>
      <c r="D44" s="384">
        <v>2</v>
      </c>
      <c r="E44" s="385">
        <v>1</v>
      </c>
      <c r="F44" s="451">
        <v>66.7</v>
      </c>
      <c r="G44" s="384">
        <v>4</v>
      </c>
      <c r="H44" s="385"/>
      <c r="I44" s="451">
        <v>100</v>
      </c>
      <c r="J44" s="384">
        <v>5</v>
      </c>
      <c r="K44" s="385">
        <v>1</v>
      </c>
      <c r="L44" s="451">
        <v>83.3</v>
      </c>
      <c r="M44" s="384"/>
      <c r="N44" s="385"/>
      <c r="O44" s="451"/>
      <c r="P44" s="384">
        <v>1</v>
      </c>
      <c r="Q44" s="385"/>
      <c r="R44" s="451">
        <v>100</v>
      </c>
      <c r="S44" s="384">
        <v>2</v>
      </c>
      <c r="T44" s="385"/>
      <c r="U44" s="451">
        <v>100</v>
      </c>
      <c r="V44" s="384">
        <v>4</v>
      </c>
      <c r="W44" s="385">
        <v>1</v>
      </c>
      <c r="X44" s="451">
        <v>80</v>
      </c>
      <c r="Y44" s="384"/>
      <c r="Z44" s="385"/>
      <c r="AA44" s="451"/>
      <c r="AB44" s="384">
        <v>1</v>
      </c>
      <c r="AC44" s="385">
        <v>1</v>
      </c>
      <c r="AD44" s="451">
        <v>50</v>
      </c>
      <c r="AE44" s="384">
        <v>2</v>
      </c>
      <c r="AF44" s="385"/>
      <c r="AG44" s="451">
        <v>100</v>
      </c>
      <c r="AH44" s="384">
        <v>1</v>
      </c>
      <c r="AI44" s="385"/>
      <c r="AJ44" s="451">
        <v>100</v>
      </c>
      <c r="AK44" s="384"/>
      <c r="AL44" s="385"/>
      <c r="AM44" s="451"/>
      <c r="AN44" s="384">
        <v>146</v>
      </c>
      <c r="AO44" s="385">
        <v>40</v>
      </c>
      <c r="AP44" s="451">
        <v>78.5</v>
      </c>
      <c r="AQ44" s="384">
        <v>153</v>
      </c>
      <c r="AR44" s="385">
        <v>49</v>
      </c>
      <c r="AS44" s="451">
        <v>75.7</v>
      </c>
      <c r="AT44" s="384">
        <v>153</v>
      </c>
      <c r="AU44" s="385">
        <v>32</v>
      </c>
      <c r="AV44" s="451">
        <v>82.7</v>
      </c>
      <c r="AW44" s="384"/>
      <c r="AX44" s="385"/>
      <c r="AY44" s="451"/>
      <c r="AZ44" s="384">
        <v>66</v>
      </c>
      <c r="BA44" s="385">
        <v>28</v>
      </c>
      <c r="BB44" s="451">
        <v>70.2</v>
      </c>
      <c r="BC44" s="384">
        <v>65</v>
      </c>
      <c r="BD44" s="385">
        <v>34</v>
      </c>
      <c r="BE44" s="451">
        <v>65.7</v>
      </c>
      <c r="BF44" s="384">
        <v>66</v>
      </c>
      <c r="BG44" s="385">
        <v>23</v>
      </c>
      <c r="BH44" s="451">
        <v>74.2</v>
      </c>
      <c r="BI44" s="384"/>
      <c r="BJ44" s="385"/>
      <c r="BK44" s="451"/>
      <c r="BL44" s="384"/>
      <c r="BM44" s="385"/>
      <c r="BN44" s="451" t="s">
        <v>6</v>
      </c>
      <c r="BO44" s="384"/>
      <c r="BP44" s="385"/>
      <c r="BQ44" s="451" t="s">
        <v>6</v>
      </c>
      <c r="BR44" s="384">
        <v>1</v>
      </c>
      <c r="BS44" s="385">
        <v>1</v>
      </c>
      <c r="BT44" s="451">
        <v>50</v>
      </c>
      <c r="BU44" s="384"/>
      <c r="BV44" s="385"/>
      <c r="BW44" s="451"/>
      <c r="BX44" s="384">
        <v>2</v>
      </c>
      <c r="BY44" s="385">
        <v>4</v>
      </c>
      <c r="BZ44" s="451">
        <v>33.299999999999997</v>
      </c>
      <c r="CA44" s="384">
        <v>1</v>
      </c>
      <c r="CB44" s="385">
        <v>2</v>
      </c>
      <c r="CC44" s="451">
        <v>33.299999999999997</v>
      </c>
      <c r="CD44" s="384">
        <v>4</v>
      </c>
      <c r="CE44" s="385"/>
      <c r="CF44" s="451">
        <v>100</v>
      </c>
      <c r="CG44" s="384"/>
      <c r="CH44" s="385"/>
      <c r="CI44" s="451"/>
      <c r="CJ44" s="384">
        <v>4</v>
      </c>
      <c r="CK44" s="385">
        <v>6</v>
      </c>
      <c r="CL44" s="451">
        <v>40</v>
      </c>
      <c r="CM44" s="384">
        <v>5</v>
      </c>
      <c r="CN44" s="385">
        <v>6</v>
      </c>
      <c r="CO44" s="451">
        <v>45.5</v>
      </c>
      <c r="CP44" s="384">
        <v>4</v>
      </c>
      <c r="CQ44" s="385">
        <v>1</v>
      </c>
      <c r="CR44" s="451">
        <v>80</v>
      </c>
      <c r="CS44" s="384"/>
      <c r="CT44" s="385"/>
      <c r="CU44" s="451"/>
      <c r="CV44" s="384">
        <v>149</v>
      </c>
      <c r="CW44" s="385">
        <v>52</v>
      </c>
      <c r="CX44" s="451">
        <v>74.099999999999994</v>
      </c>
      <c r="CY44" s="384">
        <v>146</v>
      </c>
      <c r="CZ44" s="385">
        <v>55</v>
      </c>
      <c r="DA44" s="451">
        <v>72.599999999999994</v>
      </c>
      <c r="DB44" s="384">
        <v>157</v>
      </c>
      <c r="DC44" s="385">
        <v>45</v>
      </c>
      <c r="DD44" s="451">
        <v>77.7</v>
      </c>
      <c r="DE44" s="384"/>
      <c r="DF44" s="385"/>
      <c r="DG44" s="451"/>
      <c r="DH44" s="384">
        <v>3</v>
      </c>
      <c r="DI44" s="385">
        <v>2</v>
      </c>
      <c r="DJ44" s="451">
        <v>60</v>
      </c>
      <c r="DK44" s="384">
        <v>12</v>
      </c>
      <c r="DL44" s="385">
        <v>4</v>
      </c>
      <c r="DM44" s="451">
        <v>75</v>
      </c>
      <c r="DN44" s="384">
        <v>3</v>
      </c>
      <c r="DO44" s="385">
        <v>1</v>
      </c>
      <c r="DP44" s="451">
        <v>75</v>
      </c>
      <c r="DQ44" s="384"/>
      <c r="DR44" s="385"/>
      <c r="DS44" s="451"/>
      <c r="DT44" s="384">
        <v>9</v>
      </c>
      <c r="DU44" s="385">
        <v>1</v>
      </c>
      <c r="DV44" s="451">
        <v>90</v>
      </c>
      <c r="DW44" s="384">
        <v>13</v>
      </c>
      <c r="DX44" s="385">
        <v>3</v>
      </c>
      <c r="DY44" s="451">
        <v>81.3</v>
      </c>
      <c r="DZ44" s="384">
        <v>10</v>
      </c>
      <c r="EA44" s="385">
        <v>3</v>
      </c>
      <c r="EB44" s="451">
        <v>76.900000000000006</v>
      </c>
      <c r="EC44" s="384"/>
      <c r="ED44" s="385"/>
      <c r="EE44" s="451"/>
      <c r="EF44" s="384">
        <v>1638</v>
      </c>
      <c r="EG44" s="385">
        <v>3873</v>
      </c>
      <c r="EH44" s="451">
        <v>29.7</v>
      </c>
      <c r="EI44" s="384">
        <v>1600</v>
      </c>
      <c r="EJ44" s="385">
        <v>2870</v>
      </c>
      <c r="EK44" s="451">
        <v>35.799999999999997</v>
      </c>
      <c r="EL44" s="384">
        <v>1481</v>
      </c>
      <c r="EM44" s="385">
        <v>2391</v>
      </c>
      <c r="EN44" s="451">
        <v>38.200000000000003</v>
      </c>
      <c r="EO44" s="384"/>
      <c r="EP44" s="385"/>
      <c r="EQ44" s="451"/>
      <c r="ER44" s="384">
        <v>27</v>
      </c>
      <c r="ES44" s="385">
        <v>15</v>
      </c>
      <c r="ET44" s="451">
        <v>64.3</v>
      </c>
      <c r="EU44" s="384">
        <v>5</v>
      </c>
      <c r="EV44" s="385">
        <v>12</v>
      </c>
      <c r="EW44" s="451">
        <v>29.4</v>
      </c>
      <c r="EX44" s="384">
        <v>20</v>
      </c>
      <c r="EY44" s="385">
        <v>6</v>
      </c>
      <c r="EZ44" s="451">
        <v>76.900000000000006</v>
      </c>
      <c r="FA44" s="384"/>
      <c r="FB44" s="385"/>
      <c r="FC44" s="451"/>
      <c r="FD44" s="384">
        <v>74</v>
      </c>
      <c r="FE44" s="385">
        <v>379</v>
      </c>
      <c r="FF44" s="451">
        <v>16.3</v>
      </c>
      <c r="FG44" s="384">
        <v>87</v>
      </c>
      <c r="FH44" s="385">
        <v>218</v>
      </c>
      <c r="FI44" s="451">
        <v>28.5</v>
      </c>
      <c r="FJ44" s="384">
        <v>68</v>
      </c>
      <c r="FK44" s="385">
        <v>137</v>
      </c>
      <c r="FL44" s="451">
        <v>33.200000000000003</v>
      </c>
      <c r="FM44" s="384"/>
      <c r="FN44" s="385"/>
      <c r="FO44" s="451"/>
      <c r="FP44" s="384">
        <v>242</v>
      </c>
      <c r="FQ44" s="385">
        <v>864</v>
      </c>
      <c r="FR44" s="451">
        <v>21.9</v>
      </c>
      <c r="FS44" s="384">
        <v>248</v>
      </c>
      <c r="FT44" s="385">
        <v>642</v>
      </c>
      <c r="FU44" s="451">
        <v>27.9</v>
      </c>
      <c r="FV44" s="384">
        <v>319</v>
      </c>
      <c r="FW44" s="385">
        <v>418</v>
      </c>
      <c r="FX44" s="451">
        <v>43.3</v>
      </c>
      <c r="FY44" s="384"/>
      <c r="FZ44" s="385"/>
      <c r="GA44" s="451"/>
      <c r="GB44" s="384">
        <v>25</v>
      </c>
      <c r="GC44" s="385">
        <v>10</v>
      </c>
      <c r="GD44" s="451">
        <v>71.400000000000006</v>
      </c>
      <c r="GE44" s="384">
        <v>40</v>
      </c>
      <c r="GF44" s="385">
        <v>10</v>
      </c>
      <c r="GG44" s="451">
        <v>80</v>
      </c>
      <c r="GH44" s="384">
        <v>33</v>
      </c>
      <c r="GI44" s="385">
        <v>2</v>
      </c>
      <c r="GJ44" s="451">
        <v>94.3</v>
      </c>
      <c r="GK44" s="384"/>
      <c r="GL44" s="385"/>
      <c r="GM44" s="451"/>
      <c r="GN44" s="384">
        <v>9</v>
      </c>
      <c r="GO44" s="385">
        <v>5</v>
      </c>
      <c r="GP44" s="451">
        <v>64.3</v>
      </c>
      <c r="GQ44" s="384">
        <v>22</v>
      </c>
      <c r="GR44" s="385">
        <v>4</v>
      </c>
      <c r="GS44" s="451">
        <v>84.6</v>
      </c>
      <c r="GT44" s="384">
        <v>18</v>
      </c>
      <c r="GU44" s="385">
        <v>9</v>
      </c>
      <c r="GV44" s="451">
        <v>66.7</v>
      </c>
      <c r="GW44" s="384"/>
      <c r="GX44" s="385"/>
      <c r="GY44" s="451"/>
      <c r="GZ44" s="384">
        <v>9</v>
      </c>
      <c r="HA44" s="385">
        <v>2</v>
      </c>
      <c r="HB44" s="451">
        <v>81.8</v>
      </c>
      <c r="HC44" s="384">
        <v>9</v>
      </c>
      <c r="HD44" s="385"/>
      <c r="HE44" s="451">
        <v>100</v>
      </c>
      <c r="HF44" s="384">
        <v>7</v>
      </c>
      <c r="HG44" s="385">
        <v>2</v>
      </c>
      <c r="HH44" s="451">
        <v>77.8</v>
      </c>
      <c r="HI44" s="384"/>
      <c r="HJ44" s="385"/>
      <c r="HK44" s="451"/>
      <c r="HL44" s="384">
        <v>34</v>
      </c>
      <c r="HM44" s="385">
        <v>120</v>
      </c>
      <c r="HN44" s="451">
        <v>22.1</v>
      </c>
      <c r="HO44" s="384">
        <v>46</v>
      </c>
      <c r="HP44" s="385">
        <v>125</v>
      </c>
      <c r="HQ44" s="451">
        <v>26.9</v>
      </c>
      <c r="HR44" s="384">
        <v>70</v>
      </c>
      <c r="HS44" s="385">
        <v>120</v>
      </c>
      <c r="HT44" s="451">
        <v>36.799999999999997</v>
      </c>
      <c r="HU44" s="384"/>
      <c r="HV44" s="385"/>
      <c r="HW44" s="451"/>
      <c r="HX44" s="384">
        <v>39</v>
      </c>
      <c r="HY44" s="385">
        <v>5</v>
      </c>
      <c r="HZ44" s="451">
        <v>88.6</v>
      </c>
      <c r="IA44" s="384">
        <v>21</v>
      </c>
      <c r="IB44" s="385">
        <v>2</v>
      </c>
      <c r="IC44" s="451">
        <v>91.3</v>
      </c>
      <c r="ID44" s="384">
        <v>28</v>
      </c>
      <c r="IE44" s="385">
        <v>1</v>
      </c>
      <c r="IF44" s="451">
        <v>96.6</v>
      </c>
      <c r="IG44" s="384"/>
      <c r="IH44" s="385"/>
      <c r="II44" s="451"/>
      <c r="IJ44" s="384">
        <v>22</v>
      </c>
      <c r="IK44" s="385">
        <v>11</v>
      </c>
      <c r="IL44" s="451">
        <v>66.7</v>
      </c>
      <c r="IM44" s="384">
        <v>30</v>
      </c>
      <c r="IN44" s="385">
        <v>4</v>
      </c>
      <c r="IO44" s="451">
        <v>88.2</v>
      </c>
      <c r="IP44" s="384">
        <v>36</v>
      </c>
      <c r="IQ44" s="385">
        <v>3</v>
      </c>
      <c r="IR44" s="451">
        <v>92.3</v>
      </c>
      <c r="IS44" s="384"/>
      <c r="IT44" s="385"/>
      <c r="IU44" s="451"/>
      <c r="IV44" s="384">
        <v>2091</v>
      </c>
      <c r="IW44" s="385">
        <v>4132</v>
      </c>
      <c r="IX44" s="451">
        <v>33.6</v>
      </c>
      <c r="IY44" s="384">
        <v>2102</v>
      </c>
      <c r="IZ44" s="385">
        <v>3134</v>
      </c>
      <c r="JA44" s="451">
        <v>40.1</v>
      </c>
      <c r="JB44" s="384">
        <v>2009</v>
      </c>
      <c r="JC44" s="385">
        <v>2611</v>
      </c>
      <c r="JD44" s="451">
        <v>43.5</v>
      </c>
      <c r="JE44" s="384"/>
      <c r="JF44" s="385"/>
      <c r="JG44" s="451"/>
      <c r="JH44" s="384">
        <v>579</v>
      </c>
      <c r="JI44" s="385">
        <v>951</v>
      </c>
      <c r="JJ44" s="451">
        <v>37.799999999999997</v>
      </c>
      <c r="JK44" s="384">
        <v>526</v>
      </c>
      <c r="JL44" s="385">
        <v>777</v>
      </c>
      <c r="JM44" s="451">
        <v>40.4</v>
      </c>
      <c r="JN44" s="384">
        <v>463</v>
      </c>
      <c r="JO44" s="385">
        <v>547</v>
      </c>
      <c r="JP44" s="451">
        <v>45.8</v>
      </c>
      <c r="JQ44" s="384"/>
      <c r="JR44" s="385"/>
      <c r="JS44" s="451"/>
      <c r="JT44" s="384">
        <v>14</v>
      </c>
      <c r="JU44" s="385">
        <v>4</v>
      </c>
      <c r="JV44" s="451">
        <v>77.8</v>
      </c>
      <c r="JW44" s="384">
        <v>27</v>
      </c>
      <c r="JX44" s="385">
        <v>9</v>
      </c>
      <c r="JY44" s="451">
        <v>75</v>
      </c>
      <c r="JZ44" s="384">
        <v>13</v>
      </c>
      <c r="KA44" s="385">
        <v>4</v>
      </c>
      <c r="KB44" s="451">
        <v>76.5</v>
      </c>
      <c r="KC44" s="384"/>
      <c r="KD44" s="385"/>
      <c r="KE44" s="451"/>
      <c r="KF44" s="384">
        <v>9</v>
      </c>
      <c r="KG44" s="385">
        <v>3</v>
      </c>
      <c r="KH44" s="451">
        <v>75</v>
      </c>
      <c r="KI44" s="384">
        <v>15</v>
      </c>
      <c r="KJ44" s="385">
        <v>4</v>
      </c>
      <c r="KK44" s="451">
        <v>78.900000000000006</v>
      </c>
      <c r="KL44" s="384">
        <v>10</v>
      </c>
      <c r="KM44" s="385">
        <v>4</v>
      </c>
      <c r="KN44" s="451">
        <v>71.400000000000006</v>
      </c>
      <c r="KO44" s="384"/>
      <c r="KP44" s="385"/>
      <c r="KQ44" s="451"/>
      <c r="KR44" s="384">
        <v>655</v>
      </c>
      <c r="KS44" s="385">
        <v>987</v>
      </c>
      <c r="KT44" s="451">
        <v>39.9</v>
      </c>
      <c r="KU44" s="384">
        <v>634</v>
      </c>
      <c r="KV44" s="385">
        <v>823</v>
      </c>
      <c r="KW44" s="451">
        <v>43.5</v>
      </c>
      <c r="KX44" s="384">
        <v>558</v>
      </c>
      <c r="KY44" s="385">
        <v>601</v>
      </c>
      <c r="KZ44" s="451">
        <v>48.1</v>
      </c>
      <c r="LA44" s="384"/>
      <c r="LB44" s="385"/>
      <c r="LC44" s="451"/>
      <c r="LD44" s="384">
        <v>3397</v>
      </c>
      <c r="LE44" s="385">
        <v>4640</v>
      </c>
      <c r="LF44" s="451">
        <v>42.3</v>
      </c>
      <c r="LG44" s="384">
        <v>3249</v>
      </c>
      <c r="LH44" s="385">
        <v>4483</v>
      </c>
      <c r="LI44" s="451">
        <v>42</v>
      </c>
      <c r="LJ44" s="384">
        <v>2885</v>
      </c>
      <c r="LK44" s="385">
        <v>3575</v>
      </c>
      <c r="LL44" s="451">
        <v>44.7</v>
      </c>
      <c r="LM44" s="384"/>
      <c r="LN44" s="385"/>
      <c r="LO44" s="451"/>
    </row>
    <row r="45" spans="1:327" x14ac:dyDescent="0.2">
      <c r="A45" s="1000" t="s">
        <v>579</v>
      </c>
      <c r="B45" s="749"/>
      <c r="C45" s="146" t="s">
        <v>580</v>
      </c>
      <c r="D45" s="441">
        <v>1</v>
      </c>
      <c r="E45" s="442"/>
      <c r="F45" s="443">
        <v>100</v>
      </c>
      <c r="G45" s="441">
        <v>3</v>
      </c>
      <c r="H45" s="442"/>
      <c r="I45" s="443">
        <v>100</v>
      </c>
      <c r="J45" s="441">
        <v>2</v>
      </c>
      <c r="K45" s="442"/>
      <c r="L45" s="443">
        <v>100</v>
      </c>
      <c r="M45" s="441"/>
      <c r="N45" s="442"/>
      <c r="O45" s="443"/>
      <c r="P45" s="441">
        <v>1</v>
      </c>
      <c r="Q45" s="442"/>
      <c r="R45" s="443">
        <v>100</v>
      </c>
      <c r="S45" s="441">
        <v>2</v>
      </c>
      <c r="T45" s="442"/>
      <c r="U45" s="443">
        <v>100</v>
      </c>
      <c r="V45" s="441">
        <v>1</v>
      </c>
      <c r="W45" s="442"/>
      <c r="X45" s="443">
        <v>100</v>
      </c>
      <c r="Y45" s="441"/>
      <c r="Z45" s="442"/>
      <c r="AA45" s="443"/>
      <c r="AB45" s="441"/>
      <c r="AC45" s="442"/>
      <c r="AD45" s="443" t="s">
        <v>6</v>
      </c>
      <c r="AE45" s="441">
        <v>1</v>
      </c>
      <c r="AF45" s="442"/>
      <c r="AG45" s="443">
        <v>100</v>
      </c>
      <c r="AH45" s="441">
        <v>1</v>
      </c>
      <c r="AI45" s="442"/>
      <c r="AJ45" s="443">
        <v>100</v>
      </c>
      <c r="AK45" s="441"/>
      <c r="AL45" s="442"/>
      <c r="AM45" s="443"/>
      <c r="AN45" s="441">
        <v>12</v>
      </c>
      <c r="AO45" s="442">
        <v>3</v>
      </c>
      <c r="AP45" s="443">
        <v>80</v>
      </c>
      <c r="AQ45" s="441">
        <v>3</v>
      </c>
      <c r="AR45" s="442"/>
      <c r="AS45" s="443">
        <v>100</v>
      </c>
      <c r="AT45" s="441">
        <v>2</v>
      </c>
      <c r="AU45" s="442">
        <v>1</v>
      </c>
      <c r="AV45" s="443">
        <v>66.7</v>
      </c>
      <c r="AW45" s="441"/>
      <c r="AX45" s="442"/>
      <c r="AY45" s="443"/>
      <c r="AZ45" s="441">
        <v>9</v>
      </c>
      <c r="BA45" s="442">
        <v>3</v>
      </c>
      <c r="BB45" s="443">
        <v>75</v>
      </c>
      <c r="BC45" s="441">
        <v>3</v>
      </c>
      <c r="BD45" s="442"/>
      <c r="BE45" s="443">
        <v>100</v>
      </c>
      <c r="BF45" s="441">
        <v>2</v>
      </c>
      <c r="BG45" s="442">
        <v>1</v>
      </c>
      <c r="BH45" s="443">
        <v>66.7</v>
      </c>
      <c r="BI45" s="441"/>
      <c r="BJ45" s="442"/>
      <c r="BK45" s="443"/>
      <c r="BL45" s="441"/>
      <c r="BM45" s="442"/>
      <c r="BN45" s="443" t="s">
        <v>6</v>
      </c>
      <c r="BO45" s="441"/>
      <c r="BP45" s="442"/>
      <c r="BQ45" s="443" t="s">
        <v>6</v>
      </c>
      <c r="BR45" s="441"/>
      <c r="BS45" s="442">
        <v>1</v>
      </c>
      <c r="BT45" s="443">
        <v>0</v>
      </c>
      <c r="BU45" s="441"/>
      <c r="BV45" s="442"/>
      <c r="BW45" s="443"/>
      <c r="BX45" s="441"/>
      <c r="BY45" s="442"/>
      <c r="BZ45" s="443" t="s">
        <v>6</v>
      </c>
      <c r="CA45" s="441"/>
      <c r="CB45" s="442"/>
      <c r="CC45" s="443" t="s">
        <v>6</v>
      </c>
      <c r="CD45" s="441"/>
      <c r="CE45" s="442"/>
      <c r="CF45" s="443" t="s">
        <v>6</v>
      </c>
      <c r="CG45" s="441"/>
      <c r="CH45" s="442"/>
      <c r="CI45" s="443"/>
      <c r="CJ45" s="441"/>
      <c r="CK45" s="442"/>
      <c r="CL45" s="443" t="s">
        <v>6</v>
      </c>
      <c r="CM45" s="441">
        <v>2</v>
      </c>
      <c r="CN45" s="442"/>
      <c r="CO45" s="443">
        <v>100</v>
      </c>
      <c r="CP45" s="441">
        <v>1</v>
      </c>
      <c r="CQ45" s="442"/>
      <c r="CR45" s="443">
        <v>100</v>
      </c>
      <c r="CS45" s="441"/>
      <c r="CT45" s="442"/>
      <c r="CU45" s="443"/>
      <c r="CV45" s="441">
        <v>6</v>
      </c>
      <c r="CW45" s="442"/>
      <c r="CX45" s="443">
        <v>100</v>
      </c>
      <c r="CY45" s="441">
        <v>1</v>
      </c>
      <c r="CZ45" s="442"/>
      <c r="DA45" s="443">
        <v>100</v>
      </c>
      <c r="DB45" s="441">
        <v>3</v>
      </c>
      <c r="DC45" s="442"/>
      <c r="DD45" s="443">
        <v>100</v>
      </c>
      <c r="DE45" s="441"/>
      <c r="DF45" s="442"/>
      <c r="DG45" s="443"/>
      <c r="DH45" s="441">
        <v>1</v>
      </c>
      <c r="DI45" s="442"/>
      <c r="DJ45" s="443">
        <v>100</v>
      </c>
      <c r="DK45" s="441"/>
      <c r="DL45" s="442"/>
      <c r="DM45" s="443" t="s">
        <v>6</v>
      </c>
      <c r="DN45" s="441"/>
      <c r="DO45" s="442"/>
      <c r="DP45" s="443" t="s">
        <v>6</v>
      </c>
      <c r="DQ45" s="441"/>
      <c r="DR45" s="442"/>
      <c r="DS45" s="443"/>
      <c r="DT45" s="441">
        <v>1</v>
      </c>
      <c r="DU45" s="442"/>
      <c r="DV45" s="443">
        <v>100</v>
      </c>
      <c r="DW45" s="441"/>
      <c r="DX45" s="442"/>
      <c r="DY45" s="443" t="s">
        <v>6</v>
      </c>
      <c r="DZ45" s="441">
        <v>3</v>
      </c>
      <c r="EA45" s="442"/>
      <c r="EB45" s="443">
        <v>100</v>
      </c>
      <c r="EC45" s="441"/>
      <c r="ED45" s="442"/>
      <c r="EE45" s="443"/>
      <c r="EF45" s="441">
        <v>38</v>
      </c>
      <c r="EG45" s="442">
        <v>3</v>
      </c>
      <c r="EH45" s="443">
        <v>92.7</v>
      </c>
      <c r="EI45" s="441">
        <v>57</v>
      </c>
      <c r="EJ45" s="442">
        <v>1</v>
      </c>
      <c r="EK45" s="443">
        <v>98.3</v>
      </c>
      <c r="EL45" s="441">
        <v>44</v>
      </c>
      <c r="EM45" s="442">
        <v>6</v>
      </c>
      <c r="EN45" s="443">
        <v>88</v>
      </c>
      <c r="EO45" s="441"/>
      <c r="EP45" s="442"/>
      <c r="EQ45" s="443"/>
      <c r="ER45" s="441">
        <v>1</v>
      </c>
      <c r="ES45" s="442"/>
      <c r="ET45" s="443">
        <v>100</v>
      </c>
      <c r="EU45" s="441"/>
      <c r="EV45" s="442"/>
      <c r="EW45" s="443" t="s">
        <v>6</v>
      </c>
      <c r="EX45" s="441"/>
      <c r="EY45" s="442"/>
      <c r="EZ45" s="443" t="s">
        <v>6</v>
      </c>
      <c r="FA45" s="441"/>
      <c r="FB45" s="442"/>
      <c r="FC45" s="443"/>
      <c r="FD45" s="441">
        <v>1</v>
      </c>
      <c r="FE45" s="442"/>
      <c r="FF45" s="443">
        <v>100</v>
      </c>
      <c r="FG45" s="441">
        <v>2</v>
      </c>
      <c r="FH45" s="442"/>
      <c r="FI45" s="443">
        <v>100</v>
      </c>
      <c r="FJ45" s="441"/>
      <c r="FK45" s="442"/>
      <c r="FL45" s="443" t="s">
        <v>6</v>
      </c>
      <c r="FM45" s="441"/>
      <c r="FN45" s="442"/>
      <c r="FO45" s="443"/>
      <c r="FP45" s="441">
        <v>9</v>
      </c>
      <c r="FQ45" s="442"/>
      <c r="FR45" s="443">
        <v>100</v>
      </c>
      <c r="FS45" s="441">
        <v>13</v>
      </c>
      <c r="FT45" s="442"/>
      <c r="FU45" s="443">
        <v>100</v>
      </c>
      <c r="FV45" s="441">
        <v>28</v>
      </c>
      <c r="FW45" s="442">
        <v>1</v>
      </c>
      <c r="FX45" s="443">
        <v>96.6</v>
      </c>
      <c r="FY45" s="441"/>
      <c r="FZ45" s="442"/>
      <c r="GA45" s="443"/>
      <c r="GB45" s="441">
        <v>4</v>
      </c>
      <c r="GC45" s="442"/>
      <c r="GD45" s="443">
        <v>100</v>
      </c>
      <c r="GE45" s="441"/>
      <c r="GF45" s="442"/>
      <c r="GG45" s="443" t="s">
        <v>6</v>
      </c>
      <c r="GH45" s="441"/>
      <c r="GI45" s="442"/>
      <c r="GJ45" s="443" t="s">
        <v>6</v>
      </c>
      <c r="GK45" s="441"/>
      <c r="GL45" s="442"/>
      <c r="GM45" s="443"/>
      <c r="GN45" s="441">
        <v>1</v>
      </c>
      <c r="GO45" s="442"/>
      <c r="GP45" s="443">
        <v>100</v>
      </c>
      <c r="GQ45" s="441"/>
      <c r="GR45" s="442"/>
      <c r="GS45" s="443" t="s">
        <v>6</v>
      </c>
      <c r="GT45" s="441"/>
      <c r="GU45" s="442"/>
      <c r="GV45" s="443" t="s">
        <v>6</v>
      </c>
      <c r="GW45" s="441"/>
      <c r="GX45" s="442"/>
      <c r="GY45" s="443"/>
      <c r="GZ45" s="441">
        <v>2</v>
      </c>
      <c r="HA45" s="442"/>
      <c r="HB45" s="443">
        <v>100</v>
      </c>
      <c r="HC45" s="441"/>
      <c r="HD45" s="442"/>
      <c r="HE45" s="443" t="s">
        <v>6</v>
      </c>
      <c r="HF45" s="441"/>
      <c r="HG45" s="442"/>
      <c r="HH45" s="443" t="s">
        <v>6</v>
      </c>
      <c r="HI45" s="441"/>
      <c r="HJ45" s="442"/>
      <c r="HK45" s="443"/>
      <c r="HL45" s="441">
        <v>1</v>
      </c>
      <c r="HM45" s="442"/>
      <c r="HN45" s="443">
        <v>100</v>
      </c>
      <c r="HO45" s="441"/>
      <c r="HP45" s="442"/>
      <c r="HQ45" s="443" t="s">
        <v>6</v>
      </c>
      <c r="HR45" s="441">
        <v>1</v>
      </c>
      <c r="HS45" s="442"/>
      <c r="HT45" s="443">
        <v>100</v>
      </c>
      <c r="HU45" s="441"/>
      <c r="HV45" s="442"/>
      <c r="HW45" s="443"/>
      <c r="HX45" s="441">
        <v>94</v>
      </c>
      <c r="HY45" s="442"/>
      <c r="HZ45" s="443">
        <v>100</v>
      </c>
      <c r="IA45" s="441"/>
      <c r="IB45" s="442"/>
      <c r="IC45" s="443" t="s">
        <v>6</v>
      </c>
      <c r="ID45" s="441"/>
      <c r="IE45" s="442"/>
      <c r="IF45" s="443" t="s">
        <v>6</v>
      </c>
      <c r="IG45" s="441"/>
      <c r="IH45" s="442"/>
      <c r="II45" s="443"/>
      <c r="IJ45" s="441">
        <v>1</v>
      </c>
      <c r="IK45" s="442"/>
      <c r="IL45" s="443">
        <v>100</v>
      </c>
      <c r="IM45" s="441"/>
      <c r="IN45" s="442"/>
      <c r="IO45" s="443" t="s">
        <v>6</v>
      </c>
      <c r="IP45" s="441"/>
      <c r="IQ45" s="442"/>
      <c r="IR45" s="443" t="s">
        <v>6</v>
      </c>
      <c r="IS45" s="441"/>
      <c r="IT45" s="442"/>
      <c r="IU45" s="443"/>
      <c r="IV45" s="441">
        <v>162</v>
      </c>
      <c r="IW45" s="442">
        <v>6</v>
      </c>
      <c r="IX45" s="443">
        <v>96.4</v>
      </c>
      <c r="IY45" s="441">
        <v>66</v>
      </c>
      <c r="IZ45" s="442">
        <v>1</v>
      </c>
      <c r="JA45" s="443">
        <v>98.5</v>
      </c>
      <c r="JB45" s="441">
        <v>56</v>
      </c>
      <c r="JC45" s="442">
        <v>7</v>
      </c>
      <c r="JD45" s="443">
        <v>88.9</v>
      </c>
      <c r="JE45" s="441"/>
      <c r="JF45" s="442"/>
      <c r="JG45" s="443"/>
      <c r="JH45" s="441">
        <v>9</v>
      </c>
      <c r="JI45" s="442">
        <v>1</v>
      </c>
      <c r="JJ45" s="443">
        <v>90</v>
      </c>
      <c r="JK45" s="441">
        <v>6</v>
      </c>
      <c r="JL45" s="442"/>
      <c r="JM45" s="443">
        <v>100</v>
      </c>
      <c r="JN45" s="441">
        <v>4</v>
      </c>
      <c r="JO45" s="442"/>
      <c r="JP45" s="443">
        <v>100</v>
      </c>
      <c r="JQ45" s="441"/>
      <c r="JR45" s="442"/>
      <c r="JS45" s="443"/>
      <c r="JT45" s="441">
        <v>2</v>
      </c>
      <c r="JU45" s="442"/>
      <c r="JV45" s="443">
        <v>100</v>
      </c>
      <c r="JW45" s="441"/>
      <c r="JX45" s="442"/>
      <c r="JY45" s="443" t="s">
        <v>6</v>
      </c>
      <c r="JZ45" s="441">
        <v>2</v>
      </c>
      <c r="KA45" s="442"/>
      <c r="KB45" s="443">
        <v>100</v>
      </c>
      <c r="KC45" s="441"/>
      <c r="KD45" s="442"/>
      <c r="KE45" s="443"/>
      <c r="KF45" s="441"/>
      <c r="KG45" s="442"/>
      <c r="KH45" s="443" t="s">
        <v>6</v>
      </c>
      <c r="KI45" s="441"/>
      <c r="KJ45" s="442"/>
      <c r="KK45" s="443" t="s">
        <v>6</v>
      </c>
      <c r="KL45" s="441"/>
      <c r="KM45" s="442"/>
      <c r="KN45" s="443" t="s">
        <v>6</v>
      </c>
      <c r="KO45" s="441"/>
      <c r="KP45" s="442"/>
      <c r="KQ45" s="443"/>
      <c r="KR45" s="441">
        <v>14</v>
      </c>
      <c r="KS45" s="442">
        <v>1</v>
      </c>
      <c r="KT45" s="443">
        <v>93.3</v>
      </c>
      <c r="KU45" s="441">
        <v>6</v>
      </c>
      <c r="KV45" s="442">
        <v>1</v>
      </c>
      <c r="KW45" s="443">
        <v>85.7</v>
      </c>
      <c r="KX45" s="441">
        <v>11</v>
      </c>
      <c r="KY45" s="442"/>
      <c r="KZ45" s="443">
        <v>100</v>
      </c>
      <c r="LA45" s="441"/>
      <c r="LB45" s="442"/>
      <c r="LC45" s="443"/>
      <c r="LD45" s="441">
        <v>385</v>
      </c>
      <c r="LE45" s="442">
        <v>9</v>
      </c>
      <c r="LF45" s="443">
        <v>97.7</v>
      </c>
      <c r="LG45" s="441">
        <v>151</v>
      </c>
      <c r="LH45" s="442">
        <v>5</v>
      </c>
      <c r="LI45" s="443">
        <v>96.8</v>
      </c>
      <c r="LJ45" s="441">
        <v>318</v>
      </c>
      <c r="LK45" s="442">
        <v>8</v>
      </c>
      <c r="LL45" s="443">
        <v>97.5</v>
      </c>
      <c r="LM45" s="441"/>
      <c r="LN45" s="442"/>
      <c r="LO45" s="443"/>
    </row>
    <row r="46" spans="1:327" x14ac:dyDescent="0.2">
      <c r="A46" s="1001"/>
      <c r="B46" s="747"/>
      <c r="C46" s="151" t="s">
        <v>663</v>
      </c>
      <c r="D46" s="377"/>
      <c r="E46" s="373"/>
      <c r="F46" s="444" t="s">
        <v>6</v>
      </c>
      <c r="G46" s="377"/>
      <c r="H46" s="373"/>
      <c r="I46" s="444" t="s">
        <v>6</v>
      </c>
      <c r="J46" s="377"/>
      <c r="K46" s="373"/>
      <c r="L46" s="444" t="s">
        <v>6</v>
      </c>
      <c r="M46" s="377"/>
      <c r="N46" s="373"/>
      <c r="O46" s="444"/>
      <c r="P46" s="377"/>
      <c r="Q46" s="373"/>
      <c r="R46" s="444" t="s">
        <v>6</v>
      </c>
      <c r="S46" s="377"/>
      <c r="T46" s="373"/>
      <c r="U46" s="444" t="s">
        <v>6</v>
      </c>
      <c r="V46" s="377"/>
      <c r="W46" s="373"/>
      <c r="X46" s="444" t="s">
        <v>6</v>
      </c>
      <c r="Y46" s="377"/>
      <c r="Z46" s="373"/>
      <c r="AA46" s="444"/>
      <c r="AB46" s="377"/>
      <c r="AC46" s="373"/>
      <c r="AD46" s="444" t="s">
        <v>6</v>
      </c>
      <c r="AE46" s="377"/>
      <c r="AF46" s="373"/>
      <c r="AG46" s="444" t="s">
        <v>6</v>
      </c>
      <c r="AH46" s="377"/>
      <c r="AI46" s="373"/>
      <c r="AJ46" s="444" t="s">
        <v>6</v>
      </c>
      <c r="AK46" s="377"/>
      <c r="AL46" s="373"/>
      <c r="AM46" s="444"/>
      <c r="AN46" s="377">
        <v>36</v>
      </c>
      <c r="AO46" s="373">
        <v>6</v>
      </c>
      <c r="AP46" s="444">
        <v>85.7</v>
      </c>
      <c r="AQ46" s="377">
        <v>26</v>
      </c>
      <c r="AR46" s="373">
        <v>2</v>
      </c>
      <c r="AS46" s="444">
        <v>92.9</v>
      </c>
      <c r="AT46" s="377">
        <v>15</v>
      </c>
      <c r="AU46" s="373">
        <v>4</v>
      </c>
      <c r="AV46" s="444">
        <v>78.900000000000006</v>
      </c>
      <c r="AW46" s="377"/>
      <c r="AX46" s="373"/>
      <c r="AY46" s="444"/>
      <c r="AZ46" s="377">
        <v>19</v>
      </c>
      <c r="BA46" s="373">
        <v>6</v>
      </c>
      <c r="BB46" s="444">
        <v>76</v>
      </c>
      <c r="BC46" s="377">
        <v>15</v>
      </c>
      <c r="BD46" s="373">
        <v>2</v>
      </c>
      <c r="BE46" s="444">
        <v>88.2</v>
      </c>
      <c r="BF46" s="377">
        <v>10</v>
      </c>
      <c r="BG46" s="373">
        <v>3</v>
      </c>
      <c r="BH46" s="444">
        <v>76.900000000000006</v>
      </c>
      <c r="BI46" s="377"/>
      <c r="BJ46" s="373"/>
      <c r="BK46" s="444"/>
      <c r="BL46" s="377"/>
      <c r="BM46" s="373"/>
      <c r="BN46" s="444" t="s">
        <v>6</v>
      </c>
      <c r="BO46" s="377"/>
      <c r="BP46" s="373"/>
      <c r="BQ46" s="444" t="s">
        <v>6</v>
      </c>
      <c r="BR46" s="377"/>
      <c r="BS46" s="373"/>
      <c r="BT46" s="444" t="s">
        <v>6</v>
      </c>
      <c r="BU46" s="377"/>
      <c r="BV46" s="373"/>
      <c r="BW46" s="444"/>
      <c r="BX46" s="377"/>
      <c r="BY46" s="373"/>
      <c r="BZ46" s="444" t="s">
        <v>6</v>
      </c>
      <c r="CA46" s="377"/>
      <c r="CB46" s="373"/>
      <c r="CC46" s="444" t="s">
        <v>6</v>
      </c>
      <c r="CD46" s="377"/>
      <c r="CE46" s="373"/>
      <c r="CF46" s="444" t="s">
        <v>6</v>
      </c>
      <c r="CG46" s="377"/>
      <c r="CH46" s="373"/>
      <c r="CI46" s="444"/>
      <c r="CJ46" s="377"/>
      <c r="CK46" s="373"/>
      <c r="CL46" s="444" t="s">
        <v>6</v>
      </c>
      <c r="CM46" s="377"/>
      <c r="CN46" s="373"/>
      <c r="CO46" s="444" t="s">
        <v>6</v>
      </c>
      <c r="CP46" s="377"/>
      <c r="CQ46" s="373"/>
      <c r="CR46" s="444" t="s">
        <v>6</v>
      </c>
      <c r="CS46" s="377"/>
      <c r="CT46" s="373"/>
      <c r="CU46" s="444"/>
      <c r="CV46" s="377">
        <v>41</v>
      </c>
      <c r="CW46" s="373">
        <v>3</v>
      </c>
      <c r="CX46" s="444">
        <v>93.2</v>
      </c>
      <c r="CY46" s="377">
        <v>24</v>
      </c>
      <c r="CZ46" s="373">
        <v>5</v>
      </c>
      <c r="DA46" s="444">
        <v>82.8</v>
      </c>
      <c r="DB46" s="377">
        <v>27</v>
      </c>
      <c r="DC46" s="373">
        <v>2</v>
      </c>
      <c r="DD46" s="444">
        <v>93.1</v>
      </c>
      <c r="DE46" s="377"/>
      <c r="DF46" s="373"/>
      <c r="DG46" s="444"/>
      <c r="DH46" s="377">
        <v>2</v>
      </c>
      <c r="DI46" s="373"/>
      <c r="DJ46" s="444">
        <v>100</v>
      </c>
      <c r="DK46" s="377"/>
      <c r="DL46" s="373"/>
      <c r="DM46" s="444" t="s">
        <v>6</v>
      </c>
      <c r="DN46" s="377">
        <v>1</v>
      </c>
      <c r="DO46" s="373"/>
      <c r="DP46" s="444">
        <v>100</v>
      </c>
      <c r="DQ46" s="377"/>
      <c r="DR46" s="373"/>
      <c r="DS46" s="444"/>
      <c r="DT46" s="377">
        <v>3</v>
      </c>
      <c r="DU46" s="373"/>
      <c r="DV46" s="444">
        <v>100</v>
      </c>
      <c r="DW46" s="377">
        <v>1</v>
      </c>
      <c r="DX46" s="373"/>
      <c r="DY46" s="444">
        <v>100</v>
      </c>
      <c r="DZ46" s="377"/>
      <c r="EA46" s="373"/>
      <c r="EB46" s="444" t="s">
        <v>6</v>
      </c>
      <c r="EC46" s="377"/>
      <c r="ED46" s="373"/>
      <c r="EE46" s="444"/>
      <c r="EF46" s="377">
        <v>183</v>
      </c>
      <c r="EG46" s="373">
        <v>506</v>
      </c>
      <c r="EH46" s="444">
        <v>26.6</v>
      </c>
      <c r="EI46" s="377">
        <v>196</v>
      </c>
      <c r="EJ46" s="373">
        <v>451</v>
      </c>
      <c r="EK46" s="444">
        <v>30.3</v>
      </c>
      <c r="EL46" s="377">
        <v>249</v>
      </c>
      <c r="EM46" s="373">
        <v>289</v>
      </c>
      <c r="EN46" s="444">
        <v>46.3</v>
      </c>
      <c r="EO46" s="377"/>
      <c r="EP46" s="373"/>
      <c r="EQ46" s="444"/>
      <c r="ER46" s="377">
        <v>1</v>
      </c>
      <c r="ES46" s="373"/>
      <c r="ET46" s="444">
        <v>100</v>
      </c>
      <c r="EU46" s="377">
        <v>1</v>
      </c>
      <c r="EV46" s="373"/>
      <c r="EW46" s="444">
        <v>100</v>
      </c>
      <c r="EX46" s="377"/>
      <c r="EY46" s="373"/>
      <c r="EZ46" s="444" t="s">
        <v>6</v>
      </c>
      <c r="FA46" s="377"/>
      <c r="FB46" s="373"/>
      <c r="FC46" s="444"/>
      <c r="FD46" s="377">
        <v>16</v>
      </c>
      <c r="FE46" s="373">
        <v>20</v>
      </c>
      <c r="FF46" s="444">
        <v>44.4</v>
      </c>
      <c r="FG46" s="377">
        <v>2</v>
      </c>
      <c r="FH46" s="373">
        <v>15</v>
      </c>
      <c r="FI46" s="444">
        <v>11.8</v>
      </c>
      <c r="FJ46" s="377">
        <v>2</v>
      </c>
      <c r="FK46" s="373">
        <v>5</v>
      </c>
      <c r="FL46" s="444">
        <v>28.6</v>
      </c>
      <c r="FM46" s="377"/>
      <c r="FN46" s="373"/>
      <c r="FO46" s="444"/>
      <c r="FP46" s="377">
        <v>37</v>
      </c>
      <c r="FQ46" s="373">
        <v>53</v>
      </c>
      <c r="FR46" s="444">
        <v>41.1</v>
      </c>
      <c r="FS46" s="377">
        <v>56</v>
      </c>
      <c r="FT46" s="373">
        <v>80</v>
      </c>
      <c r="FU46" s="444">
        <v>41.2</v>
      </c>
      <c r="FV46" s="377">
        <v>72</v>
      </c>
      <c r="FW46" s="373">
        <v>25</v>
      </c>
      <c r="FX46" s="444">
        <v>74.2</v>
      </c>
      <c r="FY46" s="377"/>
      <c r="FZ46" s="373"/>
      <c r="GA46" s="444"/>
      <c r="GB46" s="377">
        <v>5</v>
      </c>
      <c r="GC46" s="373">
        <v>1</v>
      </c>
      <c r="GD46" s="444">
        <v>83.3</v>
      </c>
      <c r="GE46" s="377">
        <v>4</v>
      </c>
      <c r="GF46" s="373"/>
      <c r="GG46" s="444">
        <v>100</v>
      </c>
      <c r="GH46" s="377">
        <v>1</v>
      </c>
      <c r="GI46" s="373"/>
      <c r="GJ46" s="444">
        <v>100</v>
      </c>
      <c r="GK46" s="377"/>
      <c r="GL46" s="373"/>
      <c r="GM46" s="444"/>
      <c r="GN46" s="377">
        <v>1</v>
      </c>
      <c r="GO46" s="373">
        <v>1</v>
      </c>
      <c r="GP46" s="444">
        <v>50</v>
      </c>
      <c r="GQ46" s="377">
        <v>6</v>
      </c>
      <c r="GR46" s="373">
        <v>1</v>
      </c>
      <c r="GS46" s="444">
        <v>85.7</v>
      </c>
      <c r="GT46" s="377">
        <v>2</v>
      </c>
      <c r="GU46" s="373">
        <v>1</v>
      </c>
      <c r="GV46" s="444">
        <v>66.7</v>
      </c>
      <c r="GW46" s="377"/>
      <c r="GX46" s="373"/>
      <c r="GY46" s="444"/>
      <c r="GZ46" s="377">
        <v>1</v>
      </c>
      <c r="HA46" s="373"/>
      <c r="HB46" s="444">
        <v>100</v>
      </c>
      <c r="HC46" s="377">
        <v>1</v>
      </c>
      <c r="HD46" s="373"/>
      <c r="HE46" s="444">
        <v>100</v>
      </c>
      <c r="HF46" s="377">
        <v>1</v>
      </c>
      <c r="HG46" s="373"/>
      <c r="HH46" s="444">
        <v>100</v>
      </c>
      <c r="HI46" s="377"/>
      <c r="HJ46" s="373"/>
      <c r="HK46" s="444"/>
      <c r="HL46" s="377">
        <v>7</v>
      </c>
      <c r="HM46" s="373">
        <v>33</v>
      </c>
      <c r="HN46" s="444">
        <v>17.5</v>
      </c>
      <c r="HO46" s="377">
        <v>12</v>
      </c>
      <c r="HP46" s="373">
        <v>50</v>
      </c>
      <c r="HQ46" s="444">
        <v>19.399999999999999</v>
      </c>
      <c r="HR46" s="377">
        <v>11</v>
      </c>
      <c r="HS46" s="373">
        <v>27</v>
      </c>
      <c r="HT46" s="444">
        <v>28.9</v>
      </c>
      <c r="HU46" s="377"/>
      <c r="HV46" s="373"/>
      <c r="HW46" s="444"/>
      <c r="HX46" s="377">
        <v>3</v>
      </c>
      <c r="HY46" s="373"/>
      <c r="HZ46" s="444">
        <v>100</v>
      </c>
      <c r="IA46" s="377">
        <v>2</v>
      </c>
      <c r="IB46" s="373"/>
      <c r="IC46" s="444">
        <v>100</v>
      </c>
      <c r="ID46" s="377"/>
      <c r="IE46" s="373"/>
      <c r="IF46" s="444" t="s">
        <v>6</v>
      </c>
      <c r="IG46" s="377"/>
      <c r="IH46" s="373"/>
      <c r="II46" s="444"/>
      <c r="IJ46" s="377">
        <v>1</v>
      </c>
      <c r="IK46" s="373">
        <v>3</v>
      </c>
      <c r="IL46" s="444">
        <v>25</v>
      </c>
      <c r="IM46" s="377">
        <v>2</v>
      </c>
      <c r="IN46" s="373">
        <v>3</v>
      </c>
      <c r="IO46" s="444">
        <v>40</v>
      </c>
      <c r="IP46" s="377">
        <v>1</v>
      </c>
      <c r="IQ46" s="373"/>
      <c r="IR46" s="444">
        <v>100</v>
      </c>
      <c r="IS46" s="377"/>
      <c r="IT46" s="373"/>
      <c r="IU46" s="444"/>
      <c r="IV46" s="377">
        <v>283</v>
      </c>
      <c r="IW46" s="373">
        <v>553</v>
      </c>
      <c r="IX46" s="444">
        <v>33.9</v>
      </c>
      <c r="IY46" s="377">
        <v>274</v>
      </c>
      <c r="IZ46" s="373">
        <v>512</v>
      </c>
      <c r="JA46" s="444">
        <v>34.9</v>
      </c>
      <c r="JB46" s="377">
        <v>308</v>
      </c>
      <c r="JC46" s="373">
        <v>323</v>
      </c>
      <c r="JD46" s="444">
        <v>48.8</v>
      </c>
      <c r="JE46" s="377"/>
      <c r="JF46" s="373"/>
      <c r="JG46" s="444"/>
      <c r="JH46" s="377">
        <v>77</v>
      </c>
      <c r="JI46" s="373">
        <v>146</v>
      </c>
      <c r="JJ46" s="444">
        <v>34.5</v>
      </c>
      <c r="JK46" s="377">
        <v>80</v>
      </c>
      <c r="JL46" s="373">
        <v>135</v>
      </c>
      <c r="JM46" s="444">
        <v>37.200000000000003</v>
      </c>
      <c r="JN46" s="377">
        <v>57</v>
      </c>
      <c r="JO46" s="373">
        <v>67</v>
      </c>
      <c r="JP46" s="444">
        <v>46</v>
      </c>
      <c r="JQ46" s="377"/>
      <c r="JR46" s="373"/>
      <c r="JS46" s="444"/>
      <c r="JT46" s="377">
        <v>4</v>
      </c>
      <c r="JU46" s="373"/>
      <c r="JV46" s="444">
        <v>100</v>
      </c>
      <c r="JW46" s="377">
        <v>1</v>
      </c>
      <c r="JX46" s="373"/>
      <c r="JY46" s="444">
        <v>100</v>
      </c>
      <c r="JZ46" s="377">
        <v>3</v>
      </c>
      <c r="KA46" s="373">
        <v>1</v>
      </c>
      <c r="KB46" s="444">
        <v>75</v>
      </c>
      <c r="KC46" s="377"/>
      <c r="KD46" s="373"/>
      <c r="KE46" s="444"/>
      <c r="KF46" s="377">
        <v>3</v>
      </c>
      <c r="KG46" s="373"/>
      <c r="KH46" s="444">
        <v>100</v>
      </c>
      <c r="KI46" s="377">
        <v>3</v>
      </c>
      <c r="KJ46" s="373"/>
      <c r="KK46" s="444">
        <v>100</v>
      </c>
      <c r="KL46" s="377">
        <v>2</v>
      </c>
      <c r="KM46" s="373"/>
      <c r="KN46" s="444">
        <v>100</v>
      </c>
      <c r="KO46" s="377"/>
      <c r="KP46" s="373"/>
      <c r="KQ46" s="444"/>
      <c r="KR46" s="377">
        <v>118</v>
      </c>
      <c r="KS46" s="373">
        <v>154</v>
      </c>
      <c r="KT46" s="444">
        <v>43.4</v>
      </c>
      <c r="KU46" s="377">
        <v>109</v>
      </c>
      <c r="KV46" s="373">
        <v>144</v>
      </c>
      <c r="KW46" s="444">
        <v>43.1</v>
      </c>
      <c r="KX46" s="377">
        <v>83</v>
      </c>
      <c r="KY46" s="373">
        <v>75</v>
      </c>
      <c r="KZ46" s="444">
        <v>52.5</v>
      </c>
      <c r="LA46" s="377"/>
      <c r="LB46" s="373"/>
      <c r="LC46" s="444"/>
      <c r="LD46" s="377">
        <v>628</v>
      </c>
      <c r="LE46" s="373">
        <v>641</v>
      </c>
      <c r="LF46" s="444">
        <v>49.5</v>
      </c>
      <c r="LG46" s="377">
        <v>579</v>
      </c>
      <c r="LH46" s="373">
        <v>599</v>
      </c>
      <c r="LI46" s="444">
        <v>49.2</v>
      </c>
      <c r="LJ46" s="377">
        <v>566</v>
      </c>
      <c r="LK46" s="373">
        <v>459</v>
      </c>
      <c r="LL46" s="444">
        <v>55.2</v>
      </c>
      <c r="LM46" s="377"/>
      <c r="LN46" s="373"/>
      <c r="LO46" s="444"/>
    </row>
    <row r="47" spans="1:327" x14ac:dyDescent="0.2">
      <c r="A47" s="1001"/>
      <c r="B47" s="747" t="s">
        <v>621</v>
      </c>
      <c r="C47" s="151" t="s">
        <v>664</v>
      </c>
      <c r="D47" s="377"/>
      <c r="E47" s="373"/>
      <c r="F47" s="444" t="s">
        <v>6</v>
      </c>
      <c r="G47" s="377"/>
      <c r="H47" s="373"/>
      <c r="I47" s="444" t="s">
        <v>6</v>
      </c>
      <c r="J47" s="377"/>
      <c r="K47" s="373"/>
      <c r="L47" s="444" t="s">
        <v>6</v>
      </c>
      <c r="M47" s="377"/>
      <c r="N47" s="373"/>
      <c r="O47" s="444"/>
      <c r="P47" s="377"/>
      <c r="Q47" s="373"/>
      <c r="R47" s="444" t="s">
        <v>6</v>
      </c>
      <c r="S47" s="377"/>
      <c r="T47" s="373"/>
      <c r="U47" s="444" t="s">
        <v>6</v>
      </c>
      <c r="V47" s="377"/>
      <c r="W47" s="373"/>
      <c r="X47" s="444" t="s">
        <v>6</v>
      </c>
      <c r="Y47" s="377"/>
      <c r="Z47" s="373"/>
      <c r="AA47" s="444"/>
      <c r="AB47" s="377"/>
      <c r="AC47" s="373"/>
      <c r="AD47" s="444" t="s">
        <v>6</v>
      </c>
      <c r="AE47" s="377"/>
      <c r="AF47" s="373"/>
      <c r="AG47" s="444" t="s">
        <v>6</v>
      </c>
      <c r="AH47" s="377"/>
      <c r="AI47" s="373"/>
      <c r="AJ47" s="444" t="s">
        <v>6</v>
      </c>
      <c r="AK47" s="377"/>
      <c r="AL47" s="373"/>
      <c r="AM47" s="444"/>
      <c r="AN47" s="377">
        <v>6</v>
      </c>
      <c r="AO47" s="373"/>
      <c r="AP47" s="444">
        <v>100</v>
      </c>
      <c r="AQ47" s="377">
        <v>3</v>
      </c>
      <c r="AR47" s="373">
        <v>1</v>
      </c>
      <c r="AS47" s="444">
        <v>75</v>
      </c>
      <c r="AT47" s="377">
        <v>4</v>
      </c>
      <c r="AU47" s="373"/>
      <c r="AV47" s="444">
        <v>100</v>
      </c>
      <c r="AW47" s="377"/>
      <c r="AX47" s="373"/>
      <c r="AY47" s="444"/>
      <c r="AZ47" s="377">
        <v>3</v>
      </c>
      <c r="BA47" s="373"/>
      <c r="BB47" s="444">
        <v>100</v>
      </c>
      <c r="BC47" s="377">
        <v>2</v>
      </c>
      <c r="BD47" s="373">
        <v>1</v>
      </c>
      <c r="BE47" s="444">
        <v>66.7</v>
      </c>
      <c r="BF47" s="377"/>
      <c r="BG47" s="373"/>
      <c r="BH47" s="444" t="s">
        <v>6</v>
      </c>
      <c r="BI47" s="377"/>
      <c r="BJ47" s="373"/>
      <c r="BK47" s="444"/>
      <c r="BL47" s="377"/>
      <c r="BM47" s="373"/>
      <c r="BN47" s="444" t="s">
        <v>6</v>
      </c>
      <c r="BO47" s="377"/>
      <c r="BP47" s="373"/>
      <c r="BQ47" s="444" t="s">
        <v>6</v>
      </c>
      <c r="BR47" s="377"/>
      <c r="BS47" s="373"/>
      <c r="BT47" s="444" t="s">
        <v>6</v>
      </c>
      <c r="BU47" s="377"/>
      <c r="BV47" s="373"/>
      <c r="BW47" s="444"/>
      <c r="BX47" s="377"/>
      <c r="BY47" s="373"/>
      <c r="BZ47" s="444" t="s">
        <v>6</v>
      </c>
      <c r="CA47" s="377"/>
      <c r="CB47" s="373"/>
      <c r="CC47" s="444" t="s">
        <v>6</v>
      </c>
      <c r="CD47" s="377"/>
      <c r="CE47" s="373"/>
      <c r="CF47" s="444" t="s">
        <v>6</v>
      </c>
      <c r="CG47" s="377"/>
      <c r="CH47" s="373"/>
      <c r="CI47" s="444"/>
      <c r="CJ47" s="377"/>
      <c r="CK47" s="373"/>
      <c r="CL47" s="444" t="s">
        <v>6</v>
      </c>
      <c r="CM47" s="377"/>
      <c r="CN47" s="373"/>
      <c r="CO47" s="444" t="s">
        <v>6</v>
      </c>
      <c r="CP47" s="377"/>
      <c r="CQ47" s="373"/>
      <c r="CR47" s="444" t="s">
        <v>6</v>
      </c>
      <c r="CS47" s="377"/>
      <c r="CT47" s="373"/>
      <c r="CU47" s="444"/>
      <c r="CV47" s="377">
        <v>3</v>
      </c>
      <c r="CW47" s="373"/>
      <c r="CX47" s="444">
        <v>100</v>
      </c>
      <c r="CY47" s="377">
        <v>1</v>
      </c>
      <c r="CZ47" s="373"/>
      <c r="DA47" s="444">
        <v>100</v>
      </c>
      <c r="DB47" s="377">
        <v>4</v>
      </c>
      <c r="DC47" s="373">
        <v>1</v>
      </c>
      <c r="DD47" s="444">
        <v>80</v>
      </c>
      <c r="DE47" s="377"/>
      <c r="DF47" s="373"/>
      <c r="DG47" s="444"/>
      <c r="DH47" s="377"/>
      <c r="DI47" s="373"/>
      <c r="DJ47" s="444" t="s">
        <v>6</v>
      </c>
      <c r="DK47" s="377">
        <v>1</v>
      </c>
      <c r="DL47" s="373">
        <v>1</v>
      </c>
      <c r="DM47" s="444">
        <v>50</v>
      </c>
      <c r="DN47" s="377"/>
      <c r="DO47" s="373"/>
      <c r="DP47" s="444" t="s">
        <v>6</v>
      </c>
      <c r="DQ47" s="377"/>
      <c r="DR47" s="373"/>
      <c r="DS47" s="444"/>
      <c r="DT47" s="377">
        <v>1</v>
      </c>
      <c r="DU47" s="373"/>
      <c r="DV47" s="444">
        <v>100</v>
      </c>
      <c r="DW47" s="377"/>
      <c r="DX47" s="373"/>
      <c r="DY47" s="444" t="s">
        <v>6</v>
      </c>
      <c r="DZ47" s="377"/>
      <c r="EA47" s="373"/>
      <c r="EB47" s="444" t="s">
        <v>6</v>
      </c>
      <c r="EC47" s="377"/>
      <c r="ED47" s="373"/>
      <c r="EE47" s="444"/>
      <c r="EF47" s="377">
        <v>111</v>
      </c>
      <c r="EG47" s="373">
        <v>96</v>
      </c>
      <c r="EH47" s="444">
        <v>53.6</v>
      </c>
      <c r="EI47" s="377">
        <v>140</v>
      </c>
      <c r="EJ47" s="373">
        <v>112</v>
      </c>
      <c r="EK47" s="444">
        <v>55.6</v>
      </c>
      <c r="EL47" s="377">
        <v>78</v>
      </c>
      <c r="EM47" s="373">
        <v>78</v>
      </c>
      <c r="EN47" s="444">
        <v>50</v>
      </c>
      <c r="EO47" s="377"/>
      <c r="EP47" s="373"/>
      <c r="EQ47" s="444"/>
      <c r="ER47" s="377"/>
      <c r="ES47" s="373"/>
      <c r="ET47" s="444" t="s">
        <v>6</v>
      </c>
      <c r="EU47" s="377"/>
      <c r="EV47" s="373"/>
      <c r="EW47" s="444" t="s">
        <v>6</v>
      </c>
      <c r="EX47" s="377"/>
      <c r="EY47" s="373"/>
      <c r="EZ47" s="444" t="s">
        <v>6</v>
      </c>
      <c r="FA47" s="377"/>
      <c r="FB47" s="373"/>
      <c r="FC47" s="444"/>
      <c r="FD47" s="377"/>
      <c r="FE47" s="373">
        <v>5</v>
      </c>
      <c r="FF47" s="444">
        <v>0</v>
      </c>
      <c r="FG47" s="377">
        <v>6</v>
      </c>
      <c r="FH47" s="373">
        <v>1</v>
      </c>
      <c r="FI47" s="444">
        <v>85.7</v>
      </c>
      <c r="FJ47" s="377"/>
      <c r="FK47" s="373">
        <v>1</v>
      </c>
      <c r="FL47" s="444">
        <v>0</v>
      </c>
      <c r="FM47" s="377"/>
      <c r="FN47" s="373"/>
      <c r="FO47" s="444"/>
      <c r="FP47" s="377">
        <v>12</v>
      </c>
      <c r="FQ47" s="373">
        <v>15</v>
      </c>
      <c r="FR47" s="444">
        <v>44.4</v>
      </c>
      <c r="FS47" s="377">
        <v>31</v>
      </c>
      <c r="FT47" s="373">
        <v>26</v>
      </c>
      <c r="FU47" s="444">
        <v>54.4</v>
      </c>
      <c r="FV47" s="377">
        <v>8</v>
      </c>
      <c r="FW47" s="373">
        <v>7</v>
      </c>
      <c r="FX47" s="444">
        <v>53.3</v>
      </c>
      <c r="FY47" s="377"/>
      <c r="FZ47" s="373"/>
      <c r="GA47" s="444"/>
      <c r="GB47" s="377"/>
      <c r="GC47" s="373"/>
      <c r="GD47" s="444" t="s">
        <v>6</v>
      </c>
      <c r="GE47" s="377">
        <v>2</v>
      </c>
      <c r="GF47" s="373"/>
      <c r="GG47" s="444">
        <v>100</v>
      </c>
      <c r="GH47" s="377"/>
      <c r="GI47" s="373"/>
      <c r="GJ47" s="444" t="s">
        <v>6</v>
      </c>
      <c r="GK47" s="377"/>
      <c r="GL47" s="373"/>
      <c r="GM47" s="444"/>
      <c r="GN47" s="377"/>
      <c r="GO47" s="373"/>
      <c r="GP47" s="444" t="s">
        <v>6</v>
      </c>
      <c r="GQ47" s="377"/>
      <c r="GR47" s="373"/>
      <c r="GS47" s="444" t="s">
        <v>6</v>
      </c>
      <c r="GT47" s="377">
        <v>1</v>
      </c>
      <c r="GU47" s="373"/>
      <c r="GV47" s="444">
        <v>100</v>
      </c>
      <c r="GW47" s="377"/>
      <c r="GX47" s="373"/>
      <c r="GY47" s="444"/>
      <c r="GZ47" s="377">
        <v>2</v>
      </c>
      <c r="HA47" s="373"/>
      <c r="HB47" s="444">
        <v>100</v>
      </c>
      <c r="HC47" s="377"/>
      <c r="HD47" s="373"/>
      <c r="HE47" s="444" t="s">
        <v>6</v>
      </c>
      <c r="HF47" s="377"/>
      <c r="HG47" s="373"/>
      <c r="HH47" s="444" t="s">
        <v>6</v>
      </c>
      <c r="HI47" s="377"/>
      <c r="HJ47" s="373"/>
      <c r="HK47" s="444"/>
      <c r="HL47" s="377">
        <v>2</v>
      </c>
      <c r="HM47" s="373">
        <v>1</v>
      </c>
      <c r="HN47" s="444">
        <v>66.7</v>
      </c>
      <c r="HO47" s="377">
        <v>1</v>
      </c>
      <c r="HP47" s="373">
        <v>1</v>
      </c>
      <c r="HQ47" s="444">
        <v>50</v>
      </c>
      <c r="HR47" s="377"/>
      <c r="HS47" s="373">
        <v>4</v>
      </c>
      <c r="HT47" s="444">
        <v>0</v>
      </c>
      <c r="HU47" s="377"/>
      <c r="HV47" s="373"/>
      <c r="HW47" s="444"/>
      <c r="HX47" s="377"/>
      <c r="HY47" s="373"/>
      <c r="HZ47" s="444" t="s">
        <v>6</v>
      </c>
      <c r="IA47" s="377">
        <v>4</v>
      </c>
      <c r="IB47" s="373"/>
      <c r="IC47" s="444">
        <v>100</v>
      </c>
      <c r="ID47" s="377">
        <v>1</v>
      </c>
      <c r="IE47" s="373"/>
      <c r="IF47" s="444">
        <v>100</v>
      </c>
      <c r="IG47" s="377"/>
      <c r="IH47" s="373"/>
      <c r="II47" s="444"/>
      <c r="IJ47" s="377"/>
      <c r="IK47" s="373"/>
      <c r="IL47" s="444" t="s">
        <v>6</v>
      </c>
      <c r="IM47" s="377">
        <v>10</v>
      </c>
      <c r="IN47" s="373">
        <v>1</v>
      </c>
      <c r="IO47" s="444">
        <v>90.9</v>
      </c>
      <c r="IP47" s="377"/>
      <c r="IQ47" s="373">
        <v>1</v>
      </c>
      <c r="IR47" s="444">
        <v>0</v>
      </c>
      <c r="IS47" s="377"/>
      <c r="IT47" s="373"/>
      <c r="IU47" s="444"/>
      <c r="IV47" s="377">
        <v>125</v>
      </c>
      <c r="IW47" s="373">
        <v>97</v>
      </c>
      <c r="IX47" s="444">
        <v>56.3</v>
      </c>
      <c r="IY47" s="377">
        <v>162</v>
      </c>
      <c r="IZ47" s="373">
        <v>116</v>
      </c>
      <c r="JA47" s="444">
        <v>58.3</v>
      </c>
      <c r="JB47" s="377">
        <v>88</v>
      </c>
      <c r="JC47" s="373">
        <v>84</v>
      </c>
      <c r="JD47" s="444">
        <v>51.2</v>
      </c>
      <c r="JE47" s="377"/>
      <c r="JF47" s="373"/>
      <c r="JG47" s="444"/>
      <c r="JH47" s="377">
        <v>31</v>
      </c>
      <c r="JI47" s="373">
        <v>20</v>
      </c>
      <c r="JJ47" s="444">
        <v>60.8</v>
      </c>
      <c r="JK47" s="377">
        <v>59</v>
      </c>
      <c r="JL47" s="373">
        <v>20</v>
      </c>
      <c r="JM47" s="444">
        <v>74.7</v>
      </c>
      <c r="JN47" s="377">
        <v>32</v>
      </c>
      <c r="JO47" s="373">
        <v>6</v>
      </c>
      <c r="JP47" s="444">
        <v>84.2</v>
      </c>
      <c r="JQ47" s="377"/>
      <c r="JR47" s="373"/>
      <c r="JS47" s="444"/>
      <c r="JT47" s="377"/>
      <c r="JU47" s="373"/>
      <c r="JV47" s="444" t="s">
        <v>6</v>
      </c>
      <c r="JW47" s="377"/>
      <c r="JX47" s="373"/>
      <c r="JY47" s="444" t="s">
        <v>6</v>
      </c>
      <c r="JZ47" s="377"/>
      <c r="KA47" s="373"/>
      <c r="KB47" s="444" t="s">
        <v>6</v>
      </c>
      <c r="KC47" s="377"/>
      <c r="KD47" s="373"/>
      <c r="KE47" s="444"/>
      <c r="KF47" s="377"/>
      <c r="KG47" s="373"/>
      <c r="KH47" s="444" t="s">
        <v>6</v>
      </c>
      <c r="KI47" s="377"/>
      <c r="KJ47" s="373"/>
      <c r="KK47" s="444" t="s">
        <v>6</v>
      </c>
      <c r="KL47" s="377"/>
      <c r="KM47" s="373"/>
      <c r="KN47" s="444" t="s">
        <v>6</v>
      </c>
      <c r="KO47" s="377"/>
      <c r="KP47" s="373"/>
      <c r="KQ47" s="444"/>
      <c r="KR47" s="377">
        <v>31</v>
      </c>
      <c r="KS47" s="373">
        <v>21</v>
      </c>
      <c r="KT47" s="444">
        <v>59.6</v>
      </c>
      <c r="KU47" s="377">
        <v>61</v>
      </c>
      <c r="KV47" s="373">
        <v>20</v>
      </c>
      <c r="KW47" s="444">
        <v>75.3</v>
      </c>
      <c r="KX47" s="377">
        <v>34</v>
      </c>
      <c r="KY47" s="373">
        <v>7</v>
      </c>
      <c r="KZ47" s="444">
        <v>82.9</v>
      </c>
      <c r="LA47" s="377"/>
      <c r="LB47" s="373"/>
      <c r="LC47" s="444"/>
      <c r="LD47" s="377">
        <v>145</v>
      </c>
      <c r="LE47" s="373">
        <v>116</v>
      </c>
      <c r="LF47" s="444">
        <v>55.6</v>
      </c>
      <c r="LG47" s="377">
        <v>203</v>
      </c>
      <c r="LH47" s="373">
        <v>138</v>
      </c>
      <c r="LI47" s="444">
        <v>59.5</v>
      </c>
      <c r="LJ47" s="377">
        <v>117</v>
      </c>
      <c r="LK47" s="373">
        <v>103</v>
      </c>
      <c r="LL47" s="444">
        <v>53.2</v>
      </c>
      <c r="LM47" s="377"/>
      <c r="LN47" s="373"/>
      <c r="LO47" s="444"/>
    </row>
    <row r="48" spans="1:327" x14ac:dyDescent="0.2">
      <c r="A48" s="1001"/>
      <c r="B48" s="747" t="s">
        <v>621</v>
      </c>
      <c r="C48" s="151" t="s">
        <v>665</v>
      </c>
      <c r="D48" s="377"/>
      <c r="E48" s="373"/>
      <c r="F48" s="444" t="s">
        <v>6</v>
      </c>
      <c r="G48" s="377"/>
      <c r="H48" s="373"/>
      <c r="I48" s="444" t="s">
        <v>6</v>
      </c>
      <c r="J48" s="377"/>
      <c r="K48" s="373"/>
      <c r="L48" s="444" t="s">
        <v>6</v>
      </c>
      <c r="M48" s="377"/>
      <c r="N48" s="373"/>
      <c r="O48" s="444"/>
      <c r="P48" s="377"/>
      <c r="Q48" s="373"/>
      <c r="R48" s="444" t="s">
        <v>6</v>
      </c>
      <c r="S48" s="377"/>
      <c r="T48" s="373"/>
      <c r="U48" s="444" t="s">
        <v>6</v>
      </c>
      <c r="V48" s="377"/>
      <c r="W48" s="373"/>
      <c r="X48" s="444" t="s">
        <v>6</v>
      </c>
      <c r="Y48" s="377"/>
      <c r="Z48" s="373"/>
      <c r="AA48" s="444"/>
      <c r="AB48" s="377"/>
      <c r="AC48" s="373"/>
      <c r="AD48" s="444" t="s">
        <v>6</v>
      </c>
      <c r="AE48" s="377"/>
      <c r="AF48" s="373"/>
      <c r="AG48" s="444" t="s">
        <v>6</v>
      </c>
      <c r="AH48" s="377"/>
      <c r="AI48" s="373"/>
      <c r="AJ48" s="444" t="s">
        <v>6</v>
      </c>
      <c r="AK48" s="377"/>
      <c r="AL48" s="373"/>
      <c r="AM48" s="444"/>
      <c r="AN48" s="377">
        <v>6</v>
      </c>
      <c r="AO48" s="373">
        <v>3</v>
      </c>
      <c r="AP48" s="444">
        <v>66.7</v>
      </c>
      <c r="AQ48" s="377">
        <v>8</v>
      </c>
      <c r="AR48" s="373">
        <v>1</v>
      </c>
      <c r="AS48" s="444">
        <v>88.9</v>
      </c>
      <c r="AT48" s="377">
        <v>31</v>
      </c>
      <c r="AU48" s="373">
        <v>3</v>
      </c>
      <c r="AV48" s="444">
        <v>91.2</v>
      </c>
      <c r="AW48" s="377"/>
      <c r="AX48" s="373"/>
      <c r="AY48" s="444"/>
      <c r="AZ48" s="377">
        <v>2</v>
      </c>
      <c r="BA48" s="373">
        <v>3</v>
      </c>
      <c r="BB48" s="444">
        <v>40</v>
      </c>
      <c r="BC48" s="377">
        <v>4</v>
      </c>
      <c r="BD48" s="373"/>
      <c r="BE48" s="444">
        <v>100</v>
      </c>
      <c r="BF48" s="377">
        <v>14</v>
      </c>
      <c r="BG48" s="373">
        <v>3</v>
      </c>
      <c r="BH48" s="444">
        <v>82.4</v>
      </c>
      <c r="BI48" s="377"/>
      <c r="BJ48" s="373"/>
      <c r="BK48" s="444"/>
      <c r="BL48" s="377"/>
      <c r="BM48" s="373"/>
      <c r="BN48" s="444" t="s">
        <v>6</v>
      </c>
      <c r="BO48" s="377"/>
      <c r="BP48" s="373"/>
      <c r="BQ48" s="444" t="s">
        <v>6</v>
      </c>
      <c r="BR48" s="377"/>
      <c r="BS48" s="373"/>
      <c r="BT48" s="444" t="s">
        <v>6</v>
      </c>
      <c r="BU48" s="377"/>
      <c r="BV48" s="373"/>
      <c r="BW48" s="444"/>
      <c r="BX48" s="377"/>
      <c r="BY48" s="373"/>
      <c r="BZ48" s="444" t="s">
        <v>6</v>
      </c>
      <c r="CA48" s="377"/>
      <c r="CB48" s="373"/>
      <c r="CC48" s="444" t="s">
        <v>6</v>
      </c>
      <c r="CD48" s="377"/>
      <c r="CE48" s="373"/>
      <c r="CF48" s="444" t="s">
        <v>6</v>
      </c>
      <c r="CG48" s="377"/>
      <c r="CH48" s="373"/>
      <c r="CI48" s="444"/>
      <c r="CJ48" s="377"/>
      <c r="CK48" s="373"/>
      <c r="CL48" s="444" t="s">
        <v>6</v>
      </c>
      <c r="CM48" s="377"/>
      <c r="CN48" s="373"/>
      <c r="CO48" s="444" t="s">
        <v>6</v>
      </c>
      <c r="CP48" s="377"/>
      <c r="CQ48" s="373"/>
      <c r="CR48" s="444" t="s">
        <v>6</v>
      </c>
      <c r="CS48" s="377"/>
      <c r="CT48" s="373"/>
      <c r="CU48" s="444"/>
      <c r="CV48" s="377">
        <v>5</v>
      </c>
      <c r="CW48" s="373">
        <v>6</v>
      </c>
      <c r="CX48" s="444">
        <v>45.5</v>
      </c>
      <c r="CY48" s="377">
        <v>12</v>
      </c>
      <c r="CZ48" s="373">
        <v>4</v>
      </c>
      <c r="DA48" s="444">
        <v>75</v>
      </c>
      <c r="DB48" s="377">
        <v>19</v>
      </c>
      <c r="DC48" s="373">
        <v>4</v>
      </c>
      <c r="DD48" s="444">
        <v>82.6</v>
      </c>
      <c r="DE48" s="377"/>
      <c r="DF48" s="373"/>
      <c r="DG48" s="444"/>
      <c r="DH48" s="377">
        <v>1</v>
      </c>
      <c r="DI48" s="373"/>
      <c r="DJ48" s="444">
        <v>100</v>
      </c>
      <c r="DK48" s="377"/>
      <c r="DL48" s="373"/>
      <c r="DM48" s="444" t="s">
        <v>6</v>
      </c>
      <c r="DN48" s="377"/>
      <c r="DO48" s="373"/>
      <c r="DP48" s="444" t="s">
        <v>6</v>
      </c>
      <c r="DQ48" s="377"/>
      <c r="DR48" s="373"/>
      <c r="DS48" s="444"/>
      <c r="DT48" s="377">
        <v>1</v>
      </c>
      <c r="DU48" s="373"/>
      <c r="DV48" s="444">
        <v>100</v>
      </c>
      <c r="DW48" s="377">
        <v>1</v>
      </c>
      <c r="DX48" s="373"/>
      <c r="DY48" s="444">
        <v>100</v>
      </c>
      <c r="DZ48" s="377"/>
      <c r="EA48" s="373"/>
      <c r="EB48" s="444" t="s">
        <v>6</v>
      </c>
      <c r="EC48" s="377"/>
      <c r="ED48" s="373"/>
      <c r="EE48" s="444"/>
      <c r="EF48" s="377">
        <v>183</v>
      </c>
      <c r="EG48" s="373">
        <v>190</v>
      </c>
      <c r="EH48" s="444">
        <v>49.1</v>
      </c>
      <c r="EI48" s="377">
        <v>72</v>
      </c>
      <c r="EJ48" s="373">
        <v>170</v>
      </c>
      <c r="EK48" s="444">
        <v>29.8</v>
      </c>
      <c r="EL48" s="377">
        <v>91</v>
      </c>
      <c r="EM48" s="373">
        <v>175</v>
      </c>
      <c r="EN48" s="444">
        <v>34.200000000000003</v>
      </c>
      <c r="EO48" s="377"/>
      <c r="EP48" s="373"/>
      <c r="EQ48" s="444"/>
      <c r="ER48" s="377"/>
      <c r="ES48" s="373"/>
      <c r="ET48" s="444" t="s">
        <v>6</v>
      </c>
      <c r="EU48" s="377"/>
      <c r="EV48" s="373"/>
      <c r="EW48" s="444" t="s">
        <v>6</v>
      </c>
      <c r="EX48" s="377"/>
      <c r="EY48" s="373"/>
      <c r="EZ48" s="444" t="s">
        <v>6</v>
      </c>
      <c r="FA48" s="377"/>
      <c r="FB48" s="373"/>
      <c r="FC48" s="444"/>
      <c r="FD48" s="377">
        <v>1</v>
      </c>
      <c r="FE48" s="373">
        <v>4</v>
      </c>
      <c r="FF48" s="444">
        <v>20</v>
      </c>
      <c r="FG48" s="377">
        <v>1</v>
      </c>
      <c r="FH48" s="373">
        <v>2</v>
      </c>
      <c r="FI48" s="444">
        <v>33.299999999999997</v>
      </c>
      <c r="FJ48" s="377"/>
      <c r="FK48" s="373"/>
      <c r="FL48" s="444" t="s">
        <v>6</v>
      </c>
      <c r="FM48" s="377"/>
      <c r="FN48" s="373"/>
      <c r="FO48" s="444"/>
      <c r="FP48" s="377">
        <v>8</v>
      </c>
      <c r="FQ48" s="373">
        <v>22</v>
      </c>
      <c r="FR48" s="444">
        <v>26.7</v>
      </c>
      <c r="FS48" s="377">
        <v>17</v>
      </c>
      <c r="FT48" s="373">
        <v>33</v>
      </c>
      <c r="FU48" s="444">
        <v>34</v>
      </c>
      <c r="FV48" s="377">
        <v>18</v>
      </c>
      <c r="FW48" s="373">
        <v>23</v>
      </c>
      <c r="FX48" s="444">
        <v>43.9</v>
      </c>
      <c r="FY48" s="377"/>
      <c r="FZ48" s="373"/>
      <c r="GA48" s="444"/>
      <c r="GB48" s="377">
        <v>3</v>
      </c>
      <c r="GC48" s="373"/>
      <c r="GD48" s="444">
        <v>100</v>
      </c>
      <c r="GE48" s="377">
        <v>1</v>
      </c>
      <c r="GF48" s="373"/>
      <c r="GG48" s="444">
        <v>100</v>
      </c>
      <c r="GH48" s="377">
        <v>2</v>
      </c>
      <c r="GI48" s="373"/>
      <c r="GJ48" s="444">
        <v>100</v>
      </c>
      <c r="GK48" s="377"/>
      <c r="GL48" s="373"/>
      <c r="GM48" s="444"/>
      <c r="GN48" s="377"/>
      <c r="GO48" s="373"/>
      <c r="GP48" s="444" t="s">
        <v>6</v>
      </c>
      <c r="GQ48" s="377"/>
      <c r="GR48" s="373"/>
      <c r="GS48" s="444" t="s">
        <v>6</v>
      </c>
      <c r="GT48" s="377"/>
      <c r="GU48" s="373"/>
      <c r="GV48" s="444" t="s">
        <v>6</v>
      </c>
      <c r="GW48" s="377"/>
      <c r="GX48" s="373"/>
      <c r="GY48" s="444"/>
      <c r="GZ48" s="377"/>
      <c r="HA48" s="373"/>
      <c r="HB48" s="444" t="s">
        <v>6</v>
      </c>
      <c r="HC48" s="377"/>
      <c r="HD48" s="373"/>
      <c r="HE48" s="444" t="s">
        <v>6</v>
      </c>
      <c r="HF48" s="377">
        <v>3</v>
      </c>
      <c r="HG48" s="373"/>
      <c r="HH48" s="444">
        <v>100</v>
      </c>
      <c r="HI48" s="377"/>
      <c r="HJ48" s="373"/>
      <c r="HK48" s="444"/>
      <c r="HL48" s="377">
        <v>3</v>
      </c>
      <c r="HM48" s="373">
        <v>14</v>
      </c>
      <c r="HN48" s="444">
        <v>17.600000000000001</v>
      </c>
      <c r="HO48" s="377">
        <v>37</v>
      </c>
      <c r="HP48" s="373">
        <v>10</v>
      </c>
      <c r="HQ48" s="444">
        <v>78.7</v>
      </c>
      <c r="HR48" s="377">
        <v>22</v>
      </c>
      <c r="HS48" s="373">
        <v>7</v>
      </c>
      <c r="HT48" s="444">
        <v>75.900000000000006</v>
      </c>
      <c r="HU48" s="377"/>
      <c r="HV48" s="373"/>
      <c r="HW48" s="444"/>
      <c r="HX48" s="377">
        <v>1</v>
      </c>
      <c r="HY48" s="373"/>
      <c r="HZ48" s="444">
        <v>100</v>
      </c>
      <c r="IA48" s="377">
        <v>2</v>
      </c>
      <c r="IB48" s="373">
        <v>1</v>
      </c>
      <c r="IC48" s="444">
        <v>66.7</v>
      </c>
      <c r="ID48" s="377">
        <v>1</v>
      </c>
      <c r="IE48" s="373"/>
      <c r="IF48" s="444">
        <v>100</v>
      </c>
      <c r="IG48" s="377"/>
      <c r="IH48" s="373"/>
      <c r="II48" s="444"/>
      <c r="IJ48" s="377">
        <v>1</v>
      </c>
      <c r="IK48" s="373"/>
      <c r="IL48" s="444">
        <v>100</v>
      </c>
      <c r="IM48" s="377">
        <v>2</v>
      </c>
      <c r="IN48" s="373"/>
      <c r="IO48" s="444">
        <v>100</v>
      </c>
      <c r="IP48" s="377">
        <v>1</v>
      </c>
      <c r="IQ48" s="373"/>
      <c r="IR48" s="444">
        <v>100</v>
      </c>
      <c r="IS48" s="377"/>
      <c r="IT48" s="373"/>
      <c r="IU48" s="444"/>
      <c r="IV48" s="377">
        <v>204</v>
      </c>
      <c r="IW48" s="373">
        <v>213</v>
      </c>
      <c r="IX48" s="444">
        <v>48.9</v>
      </c>
      <c r="IY48" s="377">
        <v>135</v>
      </c>
      <c r="IZ48" s="373">
        <v>186</v>
      </c>
      <c r="JA48" s="444">
        <v>42.1</v>
      </c>
      <c r="JB48" s="377">
        <v>170</v>
      </c>
      <c r="JC48" s="373">
        <v>189</v>
      </c>
      <c r="JD48" s="444">
        <v>47.4</v>
      </c>
      <c r="JE48" s="377"/>
      <c r="JF48" s="373"/>
      <c r="JG48" s="444"/>
      <c r="JH48" s="377">
        <v>98</v>
      </c>
      <c r="JI48" s="373">
        <v>41</v>
      </c>
      <c r="JJ48" s="444">
        <v>70.5</v>
      </c>
      <c r="JK48" s="377">
        <v>65</v>
      </c>
      <c r="JL48" s="373">
        <v>19</v>
      </c>
      <c r="JM48" s="444">
        <v>77.400000000000006</v>
      </c>
      <c r="JN48" s="377">
        <v>61</v>
      </c>
      <c r="JO48" s="373">
        <v>25</v>
      </c>
      <c r="JP48" s="444">
        <v>70.900000000000006</v>
      </c>
      <c r="JQ48" s="377"/>
      <c r="JR48" s="373"/>
      <c r="JS48" s="444"/>
      <c r="JT48" s="377">
        <v>3</v>
      </c>
      <c r="JU48" s="373">
        <v>1</v>
      </c>
      <c r="JV48" s="444">
        <v>75</v>
      </c>
      <c r="JW48" s="377">
        <v>2</v>
      </c>
      <c r="JX48" s="373"/>
      <c r="JY48" s="444">
        <v>100</v>
      </c>
      <c r="JZ48" s="377"/>
      <c r="KA48" s="373"/>
      <c r="KB48" s="444" t="s">
        <v>6</v>
      </c>
      <c r="KC48" s="377"/>
      <c r="KD48" s="373"/>
      <c r="KE48" s="444"/>
      <c r="KF48" s="377"/>
      <c r="KG48" s="373"/>
      <c r="KH48" s="444" t="s">
        <v>6</v>
      </c>
      <c r="KI48" s="377">
        <v>3</v>
      </c>
      <c r="KJ48" s="373"/>
      <c r="KK48" s="444">
        <v>100</v>
      </c>
      <c r="KL48" s="377">
        <v>1</v>
      </c>
      <c r="KM48" s="373"/>
      <c r="KN48" s="444">
        <v>100</v>
      </c>
      <c r="KO48" s="377"/>
      <c r="KP48" s="373"/>
      <c r="KQ48" s="444"/>
      <c r="KR48" s="377">
        <v>108</v>
      </c>
      <c r="KS48" s="373">
        <v>42</v>
      </c>
      <c r="KT48" s="444">
        <v>72</v>
      </c>
      <c r="KU48" s="377">
        <v>74</v>
      </c>
      <c r="KV48" s="373">
        <v>20</v>
      </c>
      <c r="KW48" s="444">
        <v>78.7</v>
      </c>
      <c r="KX48" s="377">
        <v>66</v>
      </c>
      <c r="KY48" s="373">
        <v>28</v>
      </c>
      <c r="KZ48" s="444">
        <v>70.2</v>
      </c>
      <c r="LA48" s="377"/>
      <c r="LB48" s="373"/>
      <c r="LC48" s="444"/>
      <c r="LD48" s="377">
        <v>246</v>
      </c>
      <c r="LE48" s="373">
        <v>236</v>
      </c>
      <c r="LF48" s="444">
        <v>51</v>
      </c>
      <c r="LG48" s="377">
        <v>213</v>
      </c>
      <c r="LH48" s="373">
        <v>222</v>
      </c>
      <c r="LI48" s="444">
        <v>49</v>
      </c>
      <c r="LJ48" s="377">
        <v>293</v>
      </c>
      <c r="LK48" s="373">
        <v>235</v>
      </c>
      <c r="LL48" s="444">
        <v>55.5</v>
      </c>
      <c r="LM48" s="377"/>
      <c r="LN48" s="373"/>
      <c r="LO48" s="444"/>
    </row>
    <row r="49" spans="1:327" x14ac:dyDescent="0.2">
      <c r="A49" s="1001"/>
      <c r="B49" s="747" t="s">
        <v>621</v>
      </c>
      <c r="C49" s="151" t="s">
        <v>770</v>
      </c>
      <c r="D49" s="377"/>
      <c r="E49" s="373"/>
      <c r="F49" s="444" t="s">
        <v>6</v>
      </c>
      <c r="G49" s="377"/>
      <c r="H49" s="373"/>
      <c r="I49" s="444" t="s">
        <v>6</v>
      </c>
      <c r="J49" s="377"/>
      <c r="K49" s="373"/>
      <c r="L49" s="444" t="s">
        <v>6</v>
      </c>
      <c r="M49" s="377"/>
      <c r="N49" s="373"/>
      <c r="O49" s="444"/>
      <c r="P49" s="377"/>
      <c r="Q49" s="373"/>
      <c r="R49" s="444" t="s">
        <v>6</v>
      </c>
      <c r="S49" s="377"/>
      <c r="T49" s="373"/>
      <c r="U49" s="444" t="s">
        <v>6</v>
      </c>
      <c r="V49" s="377"/>
      <c r="W49" s="373"/>
      <c r="X49" s="444" t="s">
        <v>6</v>
      </c>
      <c r="Y49" s="377"/>
      <c r="Z49" s="373"/>
      <c r="AA49" s="444"/>
      <c r="AB49" s="377"/>
      <c r="AC49" s="373"/>
      <c r="AD49" s="444" t="s">
        <v>6</v>
      </c>
      <c r="AE49" s="377"/>
      <c r="AF49" s="373"/>
      <c r="AG49" s="444" t="s">
        <v>6</v>
      </c>
      <c r="AH49" s="377"/>
      <c r="AI49" s="373"/>
      <c r="AJ49" s="444" t="s">
        <v>6</v>
      </c>
      <c r="AK49" s="377"/>
      <c r="AL49" s="373"/>
      <c r="AM49" s="444"/>
      <c r="AN49" s="377">
        <v>18</v>
      </c>
      <c r="AO49" s="373">
        <v>2</v>
      </c>
      <c r="AP49" s="444">
        <v>90</v>
      </c>
      <c r="AQ49" s="377">
        <v>16</v>
      </c>
      <c r="AR49" s="373">
        <v>3</v>
      </c>
      <c r="AS49" s="444">
        <v>84.2</v>
      </c>
      <c r="AT49" s="377">
        <v>17</v>
      </c>
      <c r="AU49" s="373">
        <v>1</v>
      </c>
      <c r="AV49" s="444">
        <v>94.4</v>
      </c>
      <c r="AW49" s="377"/>
      <c r="AX49" s="373"/>
      <c r="AY49" s="444"/>
      <c r="AZ49" s="377">
        <v>9</v>
      </c>
      <c r="BA49" s="373">
        <v>1</v>
      </c>
      <c r="BB49" s="444">
        <v>90</v>
      </c>
      <c r="BC49" s="377">
        <v>8</v>
      </c>
      <c r="BD49" s="373">
        <v>1</v>
      </c>
      <c r="BE49" s="444">
        <v>88.9</v>
      </c>
      <c r="BF49" s="377">
        <v>10</v>
      </c>
      <c r="BG49" s="373">
        <v>1</v>
      </c>
      <c r="BH49" s="444">
        <v>90.9</v>
      </c>
      <c r="BI49" s="377"/>
      <c r="BJ49" s="373"/>
      <c r="BK49" s="444"/>
      <c r="BL49" s="377"/>
      <c r="BM49" s="373"/>
      <c r="BN49" s="444" t="s">
        <v>6</v>
      </c>
      <c r="BO49" s="377"/>
      <c r="BP49" s="373"/>
      <c r="BQ49" s="444" t="s">
        <v>6</v>
      </c>
      <c r="BR49" s="377"/>
      <c r="BS49" s="373"/>
      <c r="BT49" s="444" t="s">
        <v>6</v>
      </c>
      <c r="BU49" s="377"/>
      <c r="BV49" s="373"/>
      <c r="BW49" s="444"/>
      <c r="BX49" s="377"/>
      <c r="BY49" s="373"/>
      <c r="BZ49" s="444" t="s">
        <v>6</v>
      </c>
      <c r="CA49" s="377"/>
      <c r="CB49" s="373"/>
      <c r="CC49" s="444" t="s">
        <v>6</v>
      </c>
      <c r="CD49" s="377"/>
      <c r="CE49" s="373"/>
      <c r="CF49" s="444" t="s">
        <v>6</v>
      </c>
      <c r="CG49" s="377"/>
      <c r="CH49" s="373"/>
      <c r="CI49" s="444"/>
      <c r="CJ49" s="377"/>
      <c r="CK49" s="373"/>
      <c r="CL49" s="444" t="s">
        <v>6</v>
      </c>
      <c r="CM49" s="377"/>
      <c r="CN49" s="373"/>
      <c r="CO49" s="444" t="s">
        <v>6</v>
      </c>
      <c r="CP49" s="377"/>
      <c r="CQ49" s="373"/>
      <c r="CR49" s="444" t="s">
        <v>6</v>
      </c>
      <c r="CS49" s="377"/>
      <c r="CT49" s="373"/>
      <c r="CU49" s="444"/>
      <c r="CV49" s="377">
        <v>19</v>
      </c>
      <c r="CW49" s="373">
        <v>1</v>
      </c>
      <c r="CX49" s="444">
        <v>95</v>
      </c>
      <c r="CY49" s="377">
        <v>20</v>
      </c>
      <c r="CZ49" s="373">
        <v>2</v>
      </c>
      <c r="DA49" s="444">
        <v>90.9</v>
      </c>
      <c r="DB49" s="377">
        <v>20</v>
      </c>
      <c r="DC49" s="373">
        <v>2</v>
      </c>
      <c r="DD49" s="444">
        <v>90.9</v>
      </c>
      <c r="DE49" s="377"/>
      <c r="DF49" s="373"/>
      <c r="DG49" s="444"/>
      <c r="DH49" s="377">
        <v>1</v>
      </c>
      <c r="DI49" s="373"/>
      <c r="DJ49" s="444">
        <v>100</v>
      </c>
      <c r="DK49" s="377"/>
      <c r="DL49" s="373"/>
      <c r="DM49" s="444" t="s">
        <v>6</v>
      </c>
      <c r="DN49" s="377">
        <v>2</v>
      </c>
      <c r="DO49" s="373">
        <v>1</v>
      </c>
      <c r="DP49" s="444">
        <v>66.7</v>
      </c>
      <c r="DQ49" s="377"/>
      <c r="DR49" s="373"/>
      <c r="DS49" s="444"/>
      <c r="DT49" s="377"/>
      <c r="DU49" s="373"/>
      <c r="DV49" s="444" t="s">
        <v>6</v>
      </c>
      <c r="DW49" s="377"/>
      <c r="DX49" s="373"/>
      <c r="DY49" s="444" t="s">
        <v>6</v>
      </c>
      <c r="DZ49" s="377"/>
      <c r="EA49" s="373"/>
      <c r="EB49" s="444" t="s">
        <v>6</v>
      </c>
      <c r="EC49" s="377"/>
      <c r="ED49" s="373"/>
      <c r="EE49" s="444"/>
      <c r="EF49" s="377">
        <v>63</v>
      </c>
      <c r="EG49" s="373">
        <v>144</v>
      </c>
      <c r="EH49" s="444">
        <v>30.4</v>
      </c>
      <c r="EI49" s="377">
        <v>81</v>
      </c>
      <c r="EJ49" s="373">
        <v>111</v>
      </c>
      <c r="EK49" s="444">
        <v>42.2</v>
      </c>
      <c r="EL49" s="377">
        <v>78</v>
      </c>
      <c r="EM49" s="373">
        <v>108</v>
      </c>
      <c r="EN49" s="444">
        <v>41.9</v>
      </c>
      <c r="EO49" s="377"/>
      <c r="EP49" s="373"/>
      <c r="EQ49" s="444"/>
      <c r="ER49" s="377"/>
      <c r="ES49" s="373"/>
      <c r="ET49" s="444" t="s">
        <v>6</v>
      </c>
      <c r="EU49" s="377"/>
      <c r="EV49" s="373"/>
      <c r="EW49" s="444" t="s">
        <v>6</v>
      </c>
      <c r="EX49" s="377">
        <v>1</v>
      </c>
      <c r="EY49" s="373"/>
      <c r="EZ49" s="444">
        <v>100</v>
      </c>
      <c r="FA49" s="377"/>
      <c r="FB49" s="373"/>
      <c r="FC49" s="444"/>
      <c r="FD49" s="377"/>
      <c r="FE49" s="373"/>
      <c r="FF49" s="444" t="s">
        <v>6</v>
      </c>
      <c r="FG49" s="377"/>
      <c r="FH49" s="373"/>
      <c r="FI49" s="444" t="s">
        <v>6</v>
      </c>
      <c r="FJ49" s="377"/>
      <c r="FK49" s="373"/>
      <c r="FL49" s="444" t="s">
        <v>6</v>
      </c>
      <c r="FM49" s="377"/>
      <c r="FN49" s="373"/>
      <c r="FO49" s="444"/>
      <c r="FP49" s="377">
        <v>21</v>
      </c>
      <c r="FQ49" s="373">
        <v>39</v>
      </c>
      <c r="FR49" s="444">
        <v>35</v>
      </c>
      <c r="FS49" s="377">
        <v>19</v>
      </c>
      <c r="FT49" s="373">
        <v>35</v>
      </c>
      <c r="FU49" s="444">
        <v>35.200000000000003</v>
      </c>
      <c r="FV49" s="377">
        <v>21</v>
      </c>
      <c r="FW49" s="373">
        <v>21</v>
      </c>
      <c r="FX49" s="444">
        <v>50</v>
      </c>
      <c r="FY49" s="377"/>
      <c r="FZ49" s="373"/>
      <c r="GA49" s="444"/>
      <c r="GB49" s="377">
        <v>4</v>
      </c>
      <c r="GC49" s="373"/>
      <c r="GD49" s="444">
        <v>100</v>
      </c>
      <c r="GE49" s="377">
        <v>1</v>
      </c>
      <c r="GF49" s="373"/>
      <c r="GG49" s="444">
        <v>100</v>
      </c>
      <c r="GH49" s="377">
        <v>1</v>
      </c>
      <c r="GI49" s="373"/>
      <c r="GJ49" s="444">
        <v>100</v>
      </c>
      <c r="GK49" s="377"/>
      <c r="GL49" s="373"/>
      <c r="GM49" s="444"/>
      <c r="GN49" s="377"/>
      <c r="GO49" s="373"/>
      <c r="GP49" s="444" t="s">
        <v>6</v>
      </c>
      <c r="GQ49" s="377">
        <v>2</v>
      </c>
      <c r="GR49" s="373"/>
      <c r="GS49" s="444">
        <v>100</v>
      </c>
      <c r="GT49" s="377">
        <v>1</v>
      </c>
      <c r="GU49" s="373"/>
      <c r="GV49" s="444">
        <v>100</v>
      </c>
      <c r="GW49" s="377"/>
      <c r="GX49" s="373"/>
      <c r="GY49" s="444"/>
      <c r="GZ49" s="377"/>
      <c r="HA49" s="373"/>
      <c r="HB49" s="444" t="s">
        <v>6</v>
      </c>
      <c r="HC49" s="377"/>
      <c r="HD49" s="373"/>
      <c r="HE49" s="444" t="s">
        <v>6</v>
      </c>
      <c r="HF49" s="377"/>
      <c r="HG49" s="373"/>
      <c r="HH49" s="444" t="s">
        <v>6</v>
      </c>
      <c r="HI49" s="377"/>
      <c r="HJ49" s="373"/>
      <c r="HK49" s="444"/>
      <c r="HL49" s="377">
        <v>4</v>
      </c>
      <c r="HM49" s="373">
        <v>8</v>
      </c>
      <c r="HN49" s="444">
        <v>33.299999999999997</v>
      </c>
      <c r="HO49" s="377">
        <v>6</v>
      </c>
      <c r="HP49" s="373">
        <v>3</v>
      </c>
      <c r="HQ49" s="444">
        <v>66.7</v>
      </c>
      <c r="HR49" s="377">
        <v>2</v>
      </c>
      <c r="HS49" s="373">
        <v>2</v>
      </c>
      <c r="HT49" s="444">
        <v>50</v>
      </c>
      <c r="HU49" s="377"/>
      <c r="HV49" s="373"/>
      <c r="HW49" s="444"/>
      <c r="HX49" s="377">
        <v>1</v>
      </c>
      <c r="HY49" s="373"/>
      <c r="HZ49" s="444">
        <v>100</v>
      </c>
      <c r="IA49" s="377">
        <v>1</v>
      </c>
      <c r="IB49" s="373"/>
      <c r="IC49" s="444">
        <v>100</v>
      </c>
      <c r="ID49" s="377">
        <v>1</v>
      </c>
      <c r="IE49" s="373"/>
      <c r="IF49" s="444">
        <v>100</v>
      </c>
      <c r="IG49" s="377"/>
      <c r="IH49" s="373"/>
      <c r="II49" s="444"/>
      <c r="IJ49" s="377"/>
      <c r="IK49" s="373"/>
      <c r="IL49" s="444" t="s">
        <v>6</v>
      </c>
      <c r="IM49" s="377">
        <v>1</v>
      </c>
      <c r="IN49" s="373"/>
      <c r="IO49" s="444">
        <v>100</v>
      </c>
      <c r="IP49" s="377"/>
      <c r="IQ49" s="373"/>
      <c r="IR49" s="444" t="s">
        <v>6</v>
      </c>
      <c r="IS49" s="377"/>
      <c r="IT49" s="373"/>
      <c r="IU49" s="444"/>
      <c r="IV49" s="377">
        <v>110</v>
      </c>
      <c r="IW49" s="373">
        <v>155</v>
      </c>
      <c r="IX49" s="444">
        <v>41.5</v>
      </c>
      <c r="IY49" s="377">
        <v>128</v>
      </c>
      <c r="IZ49" s="373">
        <v>119</v>
      </c>
      <c r="JA49" s="444">
        <v>51.8</v>
      </c>
      <c r="JB49" s="377">
        <v>122</v>
      </c>
      <c r="JC49" s="373">
        <v>114</v>
      </c>
      <c r="JD49" s="444">
        <v>51.7</v>
      </c>
      <c r="JE49" s="377"/>
      <c r="JF49" s="373"/>
      <c r="JG49" s="444"/>
      <c r="JH49" s="377">
        <v>30</v>
      </c>
      <c r="JI49" s="373">
        <v>17</v>
      </c>
      <c r="JJ49" s="444">
        <v>63.8</v>
      </c>
      <c r="JK49" s="377">
        <v>19</v>
      </c>
      <c r="JL49" s="373">
        <v>18</v>
      </c>
      <c r="JM49" s="444">
        <v>51.4</v>
      </c>
      <c r="JN49" s="377">
        <v>34</v>
      </c>
      <c r="JO49" s="373">
        <v>17</v>
      </c>
      <c r="JP49" s="444">
        <v>66.7</v>
      </c>
      <c r="JQ49" s="377"/>
      <c r="JR49" s="373"/>
      <c r="JS49" s="444"/>
      <c r="JT49" s="377"/>
      <c r="JU49" s="373"/>
      <c r="JV49" s="444" t="s">
        <v>6</v>
      </c>
      <c r="JW49" s="377">
        <v>1</v>
      </c>
      <c r="JX49" s="373"/>
      <c r="JY49" s="444">
        <v>100</v>
      </c>
      <c r="JZ49" s="377"/>
      <c r="KA49" s="373"/>
      <c r="KB49" s="444" t="s">
        <v>6</v>
      </c>
      <c r="KC49" s="377"/>
      <c r="KD49" s="373"/>
      <c r="KE49" s="444"/>
      <c r="KF49" s="377">
        <v>1</v>
      </c>
      <c r="KG49" s="373"/>
      <c r="KH49" s="444">
        <v>100</v>
      </c>
      <c r="KI49" s="377"/>
      <c r="KJ49" s="373">
        <v>1</v>
      </c>
      <c r="KK49" s="444">
        <v>0</v>
      </c>
      <c r="KL49" s="377"/>
      <c r="KM49" s="373"/>
      <c r="KN49" s="444" t="s">
        <v>6</v>
      </c>
      <c r="KO49" s="377"/>
      <c r="KP49" s="373"/>
      <c r="KQ49" s="444"/>
      <c r="KR49" s="377">
        <v>33</v>
      </c>
      <c r="KS49" s="373">
        <v>20</v>
      </c>
      <c r="KT49" s="444">
        <v>62.3</v>
      </c>
      <c r="KU49" s="377">
        <v>26</v>
      </c>
      <c r="KV49" s="373">
        <v>20</v>
      </c>
      <c r="KW49" s="444">
        <v>56.5</v>
      </c>
      <c r="KX49" s="377">
        <v>38</v>
      </c>
      <c r="KY49" s="373">
        <v>19</v>
      </c>
      <c r="KZ49" s="444">
        <v>66.7</v>
      </c>
      <c r="LA49" s="377"/>
      <c r="LB49" s="373"/>
      <c r="LC49" s="444"/>
      <c r="LD49" s="377">
        <v>232</v>
      </c>
      <c r="LE49" s="373">
        <v>179</v>
      </c>
      <c r="LF49" s="444">
        <v>56.4</v>
      </c>
      <c r="LG49" s="377">
        <v>181</v>
      </c>
      <c r="LH49" s="373">
        <v>152</v>
      </c>
      <c r="LI49" s="444">
        <v>54.4</v>
      </c>
      <c r="LJ49" s="377">
        <v>167</v>
      </c>
      <c r="LK49" s="373">
        <v>146</v>
      </c>
      <c r="LL49" s="444">
        <v>53.4</v>
      </c>
      <c r="LM49" s="377"/>
      <c r="LN49" s="373"/>
      <c r="LO49" s="444"/>
    </row>
    <row r="50" spans="1:327" x14ac:dyDescent="0.2">
      <c r="A50" s="1001"/>
      <c r="B50" s="747" t="s">
        <v>621</v>
      </c>
      <c r="C50" s="151" t="s">
        <v>771</v>
      </c>
      <c r="D50" s="377"/>
      <c r="E50" s="373"/>
      <c r="F50" s="444" t="s">
        <v>6</v>
      </c>
      <c r="G50" s="377"/>
      <c r="H50" s="373"/>
      <c r="I50" s="444" t="s">
        <v>6</v>
      </c>
      <c r="J50" s="377"/>
      <c r="K50" s="373"/>
      <c r="L50" s="444" t="s">
        <v>6</v>
      </c>
      <c r="M50" s="377"/>
      <c r="N50" s="373"/>
      <c r="O50" s="444"/>
      <c r="P50" s="377"/>
      <c r="Q50" s="373"/>
      <c r="R50" s="444" t="s">
        <v>6</v>
      </c>
      <c r="S50" s="377"/>
      <c r="T50" s="373"/>
      <c r="U50" s="444" t="s">
        <v>6</v>
      </c>
      <c r="V50" s="377"/>
      <c r="W50" s="373"/>
      <c r="X50" s="444" t="s">
        <v>6</v>
      </c>
      <c r="Y50" s="377"/>
      <c r="Z50" s="373"/>
      <c r="AA50" s="444"/>
      <c r="AB50" s="377"/>
      <c r="AC50" s="373"/>
      <c r="AD50" s="444" t="s">
        <v>6</v>
      </c>
      <c r="AE50" s="377"/>
      <c r="AF50" s="373"/>
      <c r="AG50" s="444" t="s">
        <v>6</v>
      </c>
      <c r="AH50" s="377"/>
      <c r="AI50" s="373"/>
      <c r="AJ50" s="444" t="s">
        <v>6</v>
      </c>
      <c r="AK50" s="377"/>
      <c r="AL50" s="373"/>
      <c r="AM50" s="444"/>
      <c r="AN50" s="377">
        <v>6</v>
      </c>
      <c r="AO50" s="373">
        <v>1</v>
      </c>
      <c r="AP50" s="444">
        <v>85.7</v>
      </c>
      <c r="AQ50" s="377">
        <v>3</v>
      </c>
      <c r="AR50" s="373">
        <v>1</v>
      </c>
      <c r="AS50" s="444">
        <v>75</v>
      </c>
      <c r="AT50" s="377">
        <v>11</v>
      </c>
      <c r="AU50" s="373"/>
      <c r="AV50" s="444">
        <v>100</v>
      </c>
      <c r="AW50" s="377"/>
      <c r="AX50" s="373"/>
      <c r="AY50" s="444"/>
      <c r="AZ50" s="377">
        <v>3</v>
      </c>
      <c r="BA50" s="373">
        <v>1</v>
      </c>
      <c r="BB50" s="444">
        <v>75</v>
      </c>
      <c r="BC50" s="377">
        <v>2</v>
      </c>
      <c r="BD50" s="373">
        <v>1</v>
      </c>
      <c r="BE50" s="444">
        <v>66.7</v>
      </c>
      <c r="BF50" s="377">
        <v>8</v>
      </c>
      <c r="BG50" s="373"/>
      <c r="BH50" s="444">
        <v>100</v>
      </c>
      <c r="BI50" s="377"/>
      <c r="BJ50" s="373"/>
      <c r="BK50" s="444"/>
      <c r="BL50" s="377"/>
      <c r="BM50" s="373"/>
      <c r="BN50" s="444" t="s">
        <v>6</v>
      </c>
      <c r="BO50" s="377"/>
      <c r="BP50" s="373"/>
      <c r="BQ50" s="444" t="s">
        <v>6</v>
      </c>
      <c r="BR50" s="377"/>
      <c r="BS50" s="373"/>
      <c r="BT50" s="444" t="s">
        <v>6</v>
      </c>
      <c r="BU50" s="377"/>
      <c r="BV50" s="373"/>
      <c r="BW50" s="444"/>
      <c r="BX50" s="377"/>
      <c r="BY50" s="373"/>
      <c r="BZ50" s="444" t="s">
        <v>6</v>
      </c>
      <c r="CA50" s="377"/>
      <c r="CB50" s="373"/>
      <c r="CC50" s="444" t="s">
        <v>6</v>
      </c>
      <c r="CD50" s="377"/>
      <c r="CE50" s="373"/>
      <c r="CF50" s="444" t="s">
        <v>6</v>
      </c>
      <c r="CG50" s="377"/>
      <c r="CH50" s="373"/>
      <c r="CI50" s="444"/>
      <c r="CJ50" s="377"/>
      <c r="CK50" s="373"/>
      <c r="CL50" s="444" t="s">
        <v>6</v>
      </c>
      <c r="CM50" s="377"/>
      <c r="CN50" s="373"/>
      <c r="CO50" s="444" t="s">
        <v>6</v>
      </c>
      <c r="CP50" s="377"/>
      <c r="CQ50" s="373"/>
      <c r="CR50" s="444" t="s">
        <v>6</v>
      </c>
      <c r="CS50" s="377"/>
      <c r="CT50" s="373"/>
      <c r="CU50" s="444"/>
      <c r="CV50" s="377">
        <v>5</v>
      </c>
      <c r="CW50" s="373"/>
      <c r="CX50" s="444">
        <v>100</v>
      </c>
      <c r="CY50" s="377">
        <v>5</v>
      </c>
      <c r="CZ50" s="373">
        <v>1</v>
      </c>
      <c r="DA50" s="444">
        <v>83.3</v>
      </c>
      <c r="DB50" s="377">
        <v>10</v>
      </c>
      <c r="DC50" s="373"/>
      <c r="DD50" s="444">
        <v>100</v>
      </c>
      <c r="DE50" s="377"/>
      <c r="DF50" s="373"/>
      <c r="DG50" s="444"/>
      <c r="DH50" s="377"/>
      <c r="DI50" s="373"/>
      <c r="DJ50" s="444" t="s">
        <v>6</v>
      </c>
      <c r="DK50" s="377"/>
      <c r="DL50" s="373"/>
      <c r="DM50" s="444" t="s">
        <v>6</v>
      </c>
      <c r="DN50" s="377">
        <v>1</v>
      </c>
      <c r="DO50" s="373"/>
      <c r="DP50" s="444">
        <v>100</v>
      </c>
      <c r="DQ50" s="377"/>
      <c r="DR50" s="373"/>
      <c r="DS50" s="444"/>
      <c r="DT50" s="377"/>
      <c r="DU50" s="373"/>
      <c r="DV50" s="444" t="s">
        <v>6</v>
      </c>
      <c r="DW50" s="377">
        <v>1</v>
      </c>
      <c r="DX50" s="373"/>
      <c r="DY50" s="444">
        <v>100</v>
      </c>
      <c r="DZ50" s="377">
        <v>2</v>
      </c>
      <c r="EA50" s="373"/>
      <c r="EB50" s="444">
        <v>100</v>
      </c>
      <c r="EC50" s="377"/>
      <c r="ED50" s="373"/>
      <c r="EE50" s="444"/>
      <c r="EF50" s="377">
        <v>74</v>
      </c>
      <c r="EG50" s="373">
        <v>177</v>
      </c>
      <c r="EH50" s="444">
        <v>29.5</v>
      </c>
      <c r="EI50" s="377">
        <v>75</v>
      </c>
      <c r="EJ50" s="373">
        <v>132</v>
      </c>
      <c r="EK50" s="444">
        <v>36.200000000000003</v>
      </c>
      <c r="EL50" s="377">
        <v>93</v>
      </c>
      <c r="EM50" s="373">
        <v>117</v>
      </c>
      <c r="EN50" s="444">
        <v>44.3</v>
      </c>
      <c r="EO50" s="377"/>
      <c r="EP50" s="373"/>
      <c r="EQ50" s="444"/>
      <c r="ER50" s="377"/>
      <c r="ES50" s="373"/>
      <c r="ET50" s="444" t="s">
        <v>6</v>
      </c>
      <c r="EU50" s="377"/>
      <c r="EV50" s="373"/>
      <c r="EW50" s="444" t="s">
        <v>6</v>
      </c>
      <c r="EX50" s="377"/>
      <c r="EY50" s="373"/>
      <c r="EZ50" s="444" t="s">
        <v>6</v>
      </c>
      <c r="FA50" s="377"/>
      <c r="FB50" s="373"/>
      <c r="FC50" s="444"/>
      <c r="FD50" s="377">
        <v>2</v>
      </c>
      <c r="FE50" s="373">
        <v>4</v>
      </c>
      <c r="FF50" s="444">
        <v>33.299999999999997</v>
      </c>
      <c r="FG50" s="377"/>
      <c r="FH50" s="373">
        <v>3</v>
      </c>
      <c r="FI50" s="444">
        <v>0</v>
      </c>
      <c r="FJ50" s="377"/>
      <c r="FK50" s="373">
        <v>2</v>
      </c>
      <c r="FL50" s="444">
        <v>0</v>
      </c>
      <c r="FM50" s="377"/>
      <c r="FN50" s="373"/>
      <c r="FO50" s="444"/>
      <c r="FP50" s="377">
        <v>11</v>
      </c>
      <c r="FQ50" s="373">
        <v>25</v>
      </c>
      <c r="FR50" s="444">
        <v>30.6</v>
      </c>
      <c r="FS50" s="377">
        <v>17</v>
      </c>
      <c r="FT50" s="373">
        <v>23</v>
      </c>
      <c r="FU50" s="444">
        <v>42.5</v>
      </c>
      <c r="FV50" s="377">
        <v>16</v>
      </c>
      <c r="FW50" s="373">
        <v>13</v>
      </c>
      <c r="FX50" s="444">
        <v>55.2</v>
      </c>
      <c r="FY50" s="377"/>
      <c r="FZ50" s="373"/>
      <c r="GA50" s="444"/>
      <c r="GB50" s="377">
        <v>4</v>
      </c>
      <c r="GC50" s="373">
        <v>1</v>
      </c>
      <c r="GD50" s="444">
        <v>80</v>
      </c>
      <c r="GE50" s="377">
        <v>1</v>
      </c>
      <c r="GF50" s="373"/>
      <c r="GG50" s="444">
        <v>100</v>
      </c>
      <c r="GH50" s="377">
        <v>7</v>
      </c>
      <c r="GI50" s="373"/>
      <c r="GJ50" s="444">
        <v>100</v>
      </c>
      <c r="GK50" s="377"/>
      <c r="GL50" s="373"/>
      <c r="GM50" s="444"/>
      <c r="GN50" s="377">
        <v>1</v>
      </c>
      <c r="GO50" s="373"/>
      <c r="GP50" s="444">
        <v>100</v>
      </c>
      <c r="GQ50" s="377">
        <v>2</v>
      </c>
      <c r="GR50" s="373"/>
      <c r="GS50" s="444">
        <v>100</v>
      </c>
      <c r="GT50" s="377">
        <v>3</v>
      </c>
      <c r="GU50" s="373"/>
      <c r="GV50" s="444">
        <v>100</v>
      </c>
      <c r="GW50" s="377"/>
      <c r="GX50" s="373"/>
      <c r="GY50" s="444"/>
      <c r="GZ50" s="377">
        <v>1</v>
      </c>
      <c r="HA50" s="373"/>
      <c r="HB50" s="444">
        <v>100</v>
      </c>
      <c r="HC50" s="377"/>
      <c r="HD50" s="373"/>
      <c r="HE50" s="444" t="s">
        <v>6</v>
      </c>
      <c r="HF50" s="377">
        <v>1</v>
      </c>
      <c r="HG50" s="373"/>
      <c r="HH50" s="444">
        <v>100</v>
      </c>
      <c r="HI50" s="377"/>
      <c r="HJ50" s="373"/>
      <c r="HK50" s="444"/>
      <c r="HL50" s="377">
        <v>1</v>
      </c>
      <c r="HM50" s="373">
        <v>15</v>
      </c>
      <c r="HN50" s="444">
        <v>6.3</v>
      </c>
      <c r="HO50" s="377">
        <v>6</v>
      </c>
      <c r="HP50" s="373">
        <v>11</v>
      </c>
      <c r="HQ50" s="444">
        <v>35.299999999999997</v>
      </c>
      <c r="HR50" s="377">
        <v>3</v>
      </c>
      <c r="HS50" s="373">
        <v>9</v>
      </c>
      <c r="HT50" s="444">
        <v>25</v>
      </c>
      <c r="HU50" s="377"/>
      <c r="HV50" s="373"/>
      <c r="HW50" s="444"/>
      <c r="HX50" s="377"/>
      <c r="HY50" s="373"/>
      <c r="HZ50" s="444" t="s">
        <v>6</v>
      </c>
      <c r="IA50" s="377"/>
      <c r="IB50" s="373"/>
      <c r="IC50" s="444" t="s">
        <v>6</v>
      </c>
      <c r="ID50" s="377">
        <v>1</v>
      </c>
      <c r="IE50" s="373"/>
      <c r="IF50" s="444">
        <v>100</v>
      </c>
      <c r="IG50" s="377"/>
      <c r="IH50" s="373"/>
      <c r="II50" s="444"/>
      <c r="IJ50" s="377"/>
      <c r="IK50" s="373"/>
      <c r="IL50" s="444" t="s">
        <v>6</v>
      </c>
      <c r="IM50" s="377">
        <v>1</v>
      </c>
      <c r="IN50" s="373"/>
      <c r="IO50" s="444">
        <v>100</v>
      </c>
      <c r="IP50" s="377">
        <v>2</v>
      </c>
      <c r="IQ50" s="373">
        <v>1</v>
      </c>
      <c r="IR50" s="444">
        <v>66.7</v>
      </c>
      <c r="IS50" s="377"/>
      <c r="IT50" s="373"/>
      <c r="IU50" s="444"/>
      <c r="IV50" s="377">
        <v>92</v>
      </c>
      <c r="IW50" s="373">
        <v>194</v>
      </c>
      <c r="IX50" s="444">
        <v>32.200000000000003</v>
      </c>
      <c r="IY50" s="377">
        <v>94</v>
      </c>
      <c r="IZ50" s="373">
        <v>145</v>
      </c>
      <c r="JA50" s="444">
        <v>39.299999999999997</v>
      </c>
      <c r="JB50" s="377">
        <v>134</v>
      </c>
      <c r="JC50" s="373">
        <v>127</v>
      </c>
      <c r="JD50" s="444">
        <v>51.3</v>
      </c>
      <c r="JE50" s="377"/>
      <c r="JF50" s="373"/>
      <c r="JG50" s="444"/>
      <c r="JH50" s="377">
        <v>20</v>
      </c>
      <c r="JI50" s="373">
        <v>13</v>
      </c>
      <c r="JJ50" s="444">
        <v>60.6</v>
      </c>
      <c r="JK50" s="377">
        <v>21</v>
      </c>
      <c r="JL50" s="373">
        <v>10</v>
      </c>
      <c r="JM50" s="444">
        <v>67.7</v>
      </c>
      <c r="JN50" s="377">
        <v>41</v>
      </c>
      <c r="JO50" s="373">
        <v>5</v>
      </c>
      <c r="JP50" s="444">
        <v>89.1</v>
      </c>
      <c r="JQ50" s="377"/>
      <c r="JR50" s="373"/>
      <c r="JS50" s="444"/>
      <c r="JT50" s="377"/>
      <c r="JU50" s="373"/>
      <c r="JV50" s="444" t="s">
        <v>6</v>
      </c>
      <c r="JW50" s="377"/>
      <c r="JX50" s="373"/>
      <c r="JY50" s="444" t="s">
        <v>6</v>
      </c>
      <c r="JZ50" s="377"/>
      <c r="KA50" s="373"/>
      <c r="KB50" s="444" t="s">
        <v>6</v>
      </c>
      <c r="KC50" s="377"/>
      <c r="KD50" s="373"/>
      <c r="KE50" s="444"/>
      <c r="KF50" s="377"/>
      <c r="KG50" s="373"/>
      <c r="KH50" s="444" t="s">
        <v>6</v>
      </c>
      <c r="KI50" s="377"/>
      <c r="KJ50" s="373"/>
      <c r="KK50" s="444" t="s">
        <v>6</v>
      </c>
      <c r="KL50" s="377">
        <v>1</v>
      </c>
      <c r="KM50" s="373"/>
      <c r="KN50" s="444">
        <v>100</v>
      </c>
      <c r="KO50" s="377"/>
      <c r="KP50" s="373"/>
      <c r="KQ50" s="444"/>
      <c r="KR50" s="377">
        <v>29</v>
      </c>
      <c r="KS50" s="373">
        <v>21</v>
      </c>
      <c r="KT50" s="444">
        <v>58</v>
      </c>
      <c r="KU50" s="377">
        <v>28</v>
      </c>
      <c r="KV50" s="373">
        <v>11</v>
      </c>
      <c r="KW50" s="444">
        <v>71.8</v>
      </c>
      <c r="KX50" s="377">
        <v>47</v>
      </c>
      <c r="KY50" s="373">
        <v>8</v>
      </c>
      <c r="KZ50" s="444">
        <v>85.5</v>
      </c>
      <c r="LA50" s="377"/>
      <c r="LB50" s="373"/>
      <c r="LC50" s="444"/>
      <c r="LD50" s="377">
        <v>205</v>
      </c>
      <c r="LE50" s="373">
        <v>234</v>
      </c>
      <c r="LF50" s="444">
        <v>46.7</v>
      </c>
      <c r="LG50" s="377">
        <v>238</v>
      </c>
      <c r="LH50" s="373">
        <v>179</v>
      </c>
      <c r="LI50" s="444">
        <v>57.1</v>
      </c>
      <c r="LJ50" s="377">
        <v>218</v>
      </c>
      <c r="LK50" s="373">
        <v>166</v>
      </c>
      <c r="LL50" s="444">
        <v>56.8</v>
      </c>
      <c r="LM50" s="377"/>
      <c r="LN50" s="373"/>
      <c r="LO50" s="444"/>
    </row>
    <row r="51" spans="1:327" x14ac:dyDescent="0.2">
      <c r="A51" s="1001"/>
      <c r="B51" s="747" t="s">
        <v>621</v>
      </c>
      <c r="C51" s="151" t="s">
        <v>666</v>
      </c>
      <c r="D51" s="377"/>
      <c r="E51" s="373"/>
      <c r="F51" s="444" t="s">
        <v>6</v>
      </c>
      <c r="G51" s="377"/>
      <c r="H51" s="373"/>
      <c r="I51" s="444" t="s">
        <v>6</v>
      </c>
      <c r="J51" s="377"/>
      <c r="K51" s="373"/>
      <c r="L51" s="444" t="s">
        <v>6</v>
      </c>
      <c r="M51" s="377"/>
      <c r="N51" s="373"/>
      <c r="O51" s="444"/>
      <c r="P51" s="377"/>
      <c r="Q51" s="373"/>
      <c r="R51" s="444" t="s">
        <v>6</v>
      </c>
      <c r="S51" s="377"/>
      <c r="T51" s="373"/>
      <c r="U51" s="444" t="s">
        <v>6</v>
      </c>
      <c r="V51" s="377"/>
      <c r="W51" s="373"/>
      <c r="X51" s="444" t="s">
        <v>6</v>
      </c>
      <c r="Y51" s="377"/>
      <c r="Z51" s="373"/>
      <c r="AA51" s="444"/>
      <c r="AB51" s="377"/>
      <c r="AC51" s="373"/>
      <c r="AD51" s="444" t="s">
        <v>6</v>
      </c>
      <c r="AE51" s="377"/>
      <c r="AF51" s="373"/>
      <c r="AG51" s="444" t="s">
        <v>6</v>
      </c>
      <c r="AH51" s="377"/>
      <c r="AI51" s="373"/>
      <c r="AJ51" s="444" t="s">
        <v>6</v>
      </c>
      <c r="AK51" s="377"/>
      <c r="AL51" s="373"/>
      <c r="AM51" s="444"/>
      <c r="AN51" s="377">
        <v>3</v>
      </c>
      <c r="AO51" s="373">
        <v>1</v>
      </c>
      <c r="AP51" s="444">
        <v>75</v>
      </c>
      <c r="AQ51" s="377">
        <v>10</v>
      </c>
      <c r="AR51" s="373">
        <v>1</v>
      </c>
      <c r="AS51" s="444">
        <v>90.9</v>
      </c>
      <c r="AT51" s="377">
        <v>12</v>
      </c>
      <c r="AU51" s="373"/>
      <c r="AV51" s="444">
        <v>100</v>
      </c>
      <c r="AW51" s="377"/>
      <c r="AX51" s="373"/>
      <c r="AY51" s="444"/>
      <c r="AZ51" s="377">
        <v>2</v>
      </c>
      <c r="BA51" s="373">
        <v>1</v>
      </c>
      <c r="BB51" s="444">
        <v>66.7</v>
      </c>
      <c r="BC51" s="377">
        <v>8</v>
      </c>
      <c r="BD51" s="373">
        <v>1</v>
      </c>
      <c r="BE51" s="444">
        <v>88.9</v>
      </c>
      <c r="BF51" s="377">
        <v>2</v>
      </c>
      <c r="BG51" s="373"/>
      <c r="BH51" s="444">
        <v>100</v>
      </c>
      <c r="BI51" s="377"/>
      <c r="BJ51" s="373"/>
      <c r="BK51" s="444"/>
      <c r="BL51" s="377"/>
      <c r="BM51" s="373"/>
      <c r="BN51" s="444" t="s">
        <v>6</v>
      </c>
      <c r="BO51" s="377"/>
      <c r="BP51" s="373"/>
      <c r="BQ51" s="444" t="s">
        <v>6</v>
      </c>
      <c r="BR51" s="377"/>
      <c r="BS51" s="373"/>
      <c r="BT51" s="444" t="s">
        <v>6</v>
      </c>
      <c r="BU51" s="377"/>
      <c r="BV51" s="373"/>
      <c r="BW51" s="444"/>
      <c r="BX51" s="377"/>
      <c r="BY51" s="373"/>
      <c r="BZ51" s="444" t="s">
        <v>6</v>
      </c>
      <c r="CA51" s="377"/>
      <c r="CB51" s="373"/>
      <c r="CC51" s="444" t="s">
        <v>6</v>
      </c>
      <c r="CD51" s="377"/>
      <c r="CE51" s="373"/>
      <c r="CF51" s="444" t="s">
        <v>6</v>
      </c>
      <c r="CG51" s="377"/>
      <c r="CH51" s="373"/>
      <c r="CI51" s="444"/>
      <c r="CJ51" s="377"/>
      <c r="CK51" s="373"/>
      <c r="CL51" s="444" t="s">
        <v>6</v>
      </c>
      <c r="CM51" s="377"/>
      <c r="CN51" s="373"/>
      <c r="CO51" s="444" t="s">
        <v>6</v>
      </c>
      <c r="CP51" s="377"/>
      <c r="CQ51" s="373"/>
      <c r="CR51" s="444" t="s">
        <v>6</v>
      </c>
      <c r="CS51" s="377"/>
      <c r="CT51" s="373"/>
      <c r="CU51" s="444"/>
      <c r="CV51" s="377">
        <v>5</v>
      </c>
      <c r="CW51" s="373"/>
      <c r="CX51" s="444">
        <v>100</v>
      </c>
      <c r="CY51" s="377">
        <v>8</v>
      </c>
      <c r="CZ51" s="373"/>
      <c r="DA51" s="444">
        <v>100</v>
      </c>
      <c r="DB51" s="377">
        <v>5</v>
      </c>
      <c r="DC51" s="373"/>
      <c r="DD51" s="444">
        <v>100</v>
      </c>
      <c r="DE51" s="377"/>
      <c r="DF51" s="373"/>
      <c r="DG51" s="444"/>
      <c r="DH51" s="377"/>
      <c r="DI51" s="373"/>
      <c r="DJ51" s="444" t="s">
        <v>6</v>
      </c>
      <c r="DK51" s="377"/>
      <c r="DL51" s="373"/>
      <c r="DM51" s="444" t="s">
        <v>6</v>
      </c>
      <c r="DN51" s="377"/>
      <c r="DO51" s="373"/>
      <c r="DP51" s="444" t="s">
        <v>6</v>
      </c>
      <c r="DQ51" s="377"/>
      <c r="DR51" s="373"/>
      <c r="DS51" s="444"/>
      <c r="DT51" s="377"/>
      <c r="DU51" s="373"/>
      <c r="DV51" s="444" t="s">
        <v>6</v>
      </c>
      <c r="DW51" s="377">
        <v>1</v>
      </c>
      <c r="DX51" s="373"/>
      <c r="DY51" s="444">
        <v>100</v>
      </c>
      <c r="DZ51" s="377">
        <v>1</v>
      </c>
      <c r="EA51" s="373"/>
      <c r="EB51" s="444">
        <v>100</v>
      </c>
      <c r="EC51" s="377"/>
      <c r="ED51" s="373"/>
      <c r="EE51" s="444"/>
      <c r="EF51" s="377">
        <v>65</v>
      </c>
      <c r="EG51" s="373">
        <v>228</v>
      </c>
      <c r="EH51" s="444">
        <v>22.2</v>
      </c>
      <c r="EI51" s="377">
        <v>84</v>
      </c>
      <c r="EJ51" s="373">
        <v>148</v>
      </c>
      <c r="EK51" s="444">
        <v>36.200000000000003</v>
      </c>
      <c r="EL51" s="377">
        <v>84</v>
      </c>
      <c r="EM51" s="373">
        <v>106</v>
      </c>
      <c r="EN51" s="444">
        <v>44.2</v>
      </c>
      <c r="EO51" s="377"/>
      <c r="EP51" s="373"/>
      <c r="EQ51" s="444"/>
      <c r="ER51" s="377"/>
      <c r="ES51" s="373"/>
      <c r="ET51" s="444" t="s">
        <v>6</v>
      </c>
      <c r="EU51" s="377"/>
      <c r="EV51" s="373"/>
      <c r="EW51" s="444" t="s">
        <v>6</v>
      </c>
      <c r="EX51" s="377"/>
      <c r="EY51" s="373">
        <v>1</v>
      </c>
      <c r="EZ51" s="444">
        <v>0</v>
      </c>
      <c r="FA51" s="377"/>
      <c r="FB51" s="373"/>
      <c r="FC51" s="444"/>
      <c r="FD51" s="377"/>
      <c r="FE51" s="373">
        <v>7</v>
      </c>
      <c r="FF51" s="444">
        <v>0</v>
      </c>
      <c r="FG51" s="377"/>
      <c r="FH51" s="373">
        <v>2</v>
      </c>
      <c r="FI51" s="444">
        <v>0</v>
      </c>
      <c r="FJ51" s="377"/>
      <c r="FK51" s="373">
        <v>2</v>
      </c>
      <c r="FL51" s="444">
        <v>0</v>
      </c>
      <c r="FM51" s="377"/>
      <c r="FN51" s="373"/>
      <c r="FO51" s="444"/>
      <c r="FP51" s="377">
        <v>9</v>
      </c>
      <c r="FQ51" s="373">
        <v>29</v>
      </c>
      <c r="FR51" s="444">
        <v>23.7</v>
      </c>
      <c r="FS51" s="377">
        <v>21</v>
      </c>
      <c r="FT51" s="373">
        <v>38</v>
      </c>
      <c r="FU51" s="444">
        <v>35.6</v>
      </c>
      <c r="FV51" s="377">
        <v>21</v>
      </c>
      <c r="FW51" s="373">
        <v>17</v>
      </c>
      <c r="FX51" s="444">
        <v>55.3</v>
      </c>
      <c r="FY51" s="377"/>
      <c r="FZ51" s="373"/>
      <c r="GA51" s="444"/>
      <c r="GB51" s="377">
        <v>1</v>
      </c>
      <c r="GC51" s="373"/>
      <c r="GD51" s="444">
        <v>100</v>
      </c>
      <c r="GE51" s="377">
        <v>2</v>
      </c>
      <c r="GF51" s="373"/>
      <c r="GG51" s="444">
        <v>100</v>
      </c>
      <c r="GH51" s="377"/>
      <c r="GI51" s="373"/>
      <c r="GJ51" s="444" t="s">
        <v>6</v>
      </c>
      <c r="GK51" s="377"/>
      <c r="GL51" s="373"/>
      <c r="GM51" s="444"/>
      <c r="GN51" s="377"/>
      <c r="GO51" s="373"/>
      <c r="GP51" s="444" t="s">
        <v>6</v>
      </c>
      <c r="GQ51" s="377">
        <v>1</v>
      </c>
      <c r="GR51" s="373">
        <v>2</v>
      </c>
      <c r="GS51" s="444">
        <v>33.299999999999997</v>
      </c>
      <c r="GT51" s="377">
        <v>1</v>
      </c>
      <c r="GU51" s="373">
        <v>2</v>
      </c>
      <c r="GV51" s="444">
        <v>33.299999999999997</v>
      </c>
      <c r="GW51" s="377"/>
      <c r="GX51" s="373"/>
      <c r="GY51" s="444"/>
      <c r="GZ51" s="377"/>
      <c r="HA51" s="373">
        <v>1</v>
      </c>
      <c r="HB51" s="444">
        <v>0</v>
      </c>
      <c r="HC51" s="377"/>
      <c r="HD51" s="373"/>
      <c r="HE51" s="444" t="s">
        <v>6</v>
      </c>
      <c r="HF51" s="377"/>
      <c r="HG51" s="373"/>
      <c r="HH51" s="444" t="s">
        <v>6</v>
      </c>
      <c r="HI51" s="377"/>
      <c r="HJ51" s="373"/>
      <c r="HK51" s="444"/>
      <c r="HL51" s="377"/>
      <c r="HM51" s="373">
        <v>3</v>
      </c>
      <c r="HN51" s="444">
        <v>0</v>
      </c>
      <c r="HO51" s="377">
        <v>4</v>
      </c>
      <c r="HP51" s="373">
        <v>3</v>
      </c>
      <c r="HQ51" s="444">
        <v>57.1</v>
      </c>
      <c r="HR51" s="377">
        <v>1</v>
      </c>
      <c r="HS51" s="373">
        <v>4</v>
      </c>
      <c r="HT51" s="444">
        <v>20</v>
      </c>
      <c r="HU51" s="377"/>
      <c r="HV51" s="373"/>
      <c r="HW51" s="444"/>
      <c r="HX51" s="377"/>
      <c r="HY51" s="373"/>
      <c r="HZ51" s="444" t="s">
        <v>6</v>
      </c>
      <c r="IA51" s="377">
        <v>1</v>
      </c>
      <c r="IB51" s="373"/>
      <c r="IC51" s="444">
        <v>100</v>
      </c>
      <c r="ID51" s="377">
        <v>1</v>
      </c>
      <c r="IE51" s="373"/>
      <c r="IF51" s="444">
        <v>100</v>
      </c>
      <c r="IG51" s="377"/>
      <c r="IH51" s="373"/>
      <c r="II51" s="444"/>
      <c r="IJ51" s="377"/>
      <c r="IK51" s="373">
        <v>1</v>
      </c>
      <c r="IL51" s="444">
        <v>0</v>
      </c>
      <c r="IM51" s="377"/>
      <c r="IN51" s="373"/>
      <c r="IO51" s="444" t="s">
        <v>6</v>
      </c>
      <c r="IP51" s="377">
        <v>2</v>
      </c>
      <c r="IQ51" s="373"/>
      <c r="IR51" s="444">
        <v>100</v>
      </c>
      <c r="IS51" s="377"/>
      <c r="IT51" s="373"/>
      <c r="IU51" s="444"/>
      <c r="IV51" s="377">
        <v>74</v>
      </c>
      <c r="IW51" s="373">
        <v>234</v>
      </c>
      <c r="IX51" s="444">
        <v>24</v>
      </c>
      <c r="IY51" s="377">
        <v>111</v>
      </c>
      <c r="IZ51" s="373">
        <v>154</v>
      </c>
      <c r="JA51" s="444">
        <v>41.9</v>
      </c>
      <c r="JB51" s="377">
        <v>107</v>
      </c>
      <c r="JC51" s="373">
        <v>112</v>
      </c>
      <c r="JD51" s="444">
        <v>48.9</v>
      </c>
      <c r="JE51" s="377"/>
      <c r="JF51" s="373"/>
      <c r="JG51" s="444"/>
      <c r="JH51" s="377">
        <v>19</v>
      </c>
      <c r="JI51" s="373">
        <v>20</v>
      </c>
      <c r="JJ51" s="444">
        <v>48.7</v>
      </c>
      <c r="JK51" s="377">
        <v>18</v>
      </c>
      <c r="JL51" s="373">
        <v>14</v>
      </c>
      <c r="JM51" s="444">
        <v>56.3</v>
      </c>
      <c r="JN51" s="377">
        <v>11</v>
      </c>
      <c r="JO51" s="373">
        <v>7</v>
      </c>
      <c r="JP51" s="444">
        <v>61.1</v>
      </c>
      <c r="JQ51" s="377"/>
      <c r="JR51" s="373"/>
      <c r="JS51" s="444"/>
      <c r="JT51" s="377">
        <v>2</v>
      </c>
      <c r="JU51" s="373">
        <v>3</v>
      </c>
      <c r="JV51" s="444">
        <v>40</v>
      </c>
      <c r="JW51" s="377"/>
      <c r="JX51" s="373"/>
      <c r="JY51" s="444" t="s">
        <v>6</v>
      </c>
      <c r="JZ51" s="377"/>
      <c r="KA51" s="373"/>
      <c r="KB51" s="444" t="s">
        <v>6</v>
      </c>
      <c r="KC51" s="377"/>
      <c r="KD51" s="373"/>
      <c r="KE51" s="444"/>
      <c r="KF51" s="377">
        <v>2</v>
      </c>
      <c r="KG51" s="373">
        <v>2</v>
      </c>
      <c r="KH51" s="444">
        <v>50</v>
      </c>
      <c r="KI51" s="377"/>
      <c r="KJ51" s="373">
        <v>1</v>
      </c>
      <c r="KK51" s="444">
        <v>0</v>
      </c>
      <c r="KL51" s="377"/>
      <c r="KM51" s="373"/>
      <c r="KN51" s="444" t="s">
        <v>6</v>
      </c>
      <c r="KO51" s="377"/>
      <c r="KP51" s="373"/>
      <c r="KQ51" s="444"/>
      <c r="KR51" s="377">
        <v>31</v>
      </c>
      <c r="KS51" s="373">
        <v>31</v>
      </c>
      <c r="KT51" s="444">
        <v>50</v>
      </c>
      <c r="KU51" s="377">
        <v>24</v>
      </c>
      <c r="KV51" s="373">
        <v>16</v>
      </c>
      <c r="KW51" s="444">
        <v>60</v>
      </c>
      <c r="KX51" s="377">
        <v>13</v>
      </c>
      <c r="KY51" s="373">
        <v>8</v>
      </c>
      <c r="KZ51" s="444">
        <v>61.9</v>
      </c>
      <c r="LA51" s="377"/>
      <c r="LB51" s="373"/>
      <c r="LC51" s="444"/>
      <c r="LD51" s="377">
        <v>159</v>
      </c>
      <c r="LE51" s="373">
        <v>278</v>
      </c>
      <c r="LF51" s="444">
        <v>36.4</v>
      </c>
      <c r="LG51" s="377">
        <v>164</v>
      </c>
      <c r="LH51" s="373">
        <v>186</v>
      </c>
      <c r="LI51" s="444">
        <v>46.9</v>
      </c>
      <c r="LJ51" s="377">
        <v>141</v>
      </c>
      <c r="LK51" s="373">
        <v>144</v>
      </c>
      <c r="LL51" s="444">
        <v>49.5</v>
      </c>
      <c r="LM51" s="377"/>
      <c r="LN51" s="373"/>
      <c r="LO51" s="444"/>
    </row>
    <row r="52" spans="1:327" x14ac:dyDescent="0.2">
      <c r="A52" s="1001"/>
      <c r="B52" s="747" t="s">
        <v>621</v>
      </c>
      <c r="C52" s="151" t="s">
        <v>772</v>
      </c>
      <c r="D52" s="377"/>
      <c r="E52" s="373"/>
      <c r="F52" s="444" t="s">
        <v>6</v>
      </c>
      <c r="G52" s="377"/>
      <c r="H52" s="373"/>
      <c r="I52" s="444" t="s">
        <v>6</v>
      </c>
      <c r="J52" s="377"/>
      <c r="K52" s="373"/>
      <c r="L52" s="444" t="s">
        <v>6</v>
      </c>
      <c r="M52" s="377"/>
      <c r="N52" s="373"/>
      <c r="O52" s="444"/>
      <c r="P52" s="377"/>
      <c r="Q52" s="373"/>
      <c r="R52" s="444" t="s">
        <v>6</v>
      </c>
      <c r="S52" s="377"/>
      <c r="T52" s="373"/>
      <c r="U52" s="444" t="s">
        <v>6</v>
      </c>
      <c r="V52" s="377"/>
      <c r="W52" s="373"/>
      <c r="X52" s="444" t="s">
        <v>6</v>
      </c>
      <c r="Y52" s="377"/>
      <c r="Z52" s="373"/>
      <c r="AA52" s="444"/>
      <c r="AB52" s="377"/>
      <c r="AC52" s="373"/>
      <c r="AD52" s="444" t="s">
        <v>6</v>
      </c>
      <c r="AE52" s="377"/>
      <c r="AF52" s="373"/>
      <c r="AG52" s="444" t="s">
        <v>6</v>
      </c>
      <c r="AH52" s="377"/>
      <c r="AI52" s="373"/>
      <c r="AJ52" s="444" t="s">
        <v>6</v>
      </c>
      <c r="AK52" s="377"/>
      <c r="AL52" s="373"/>
      <c r="AM52" s="444"/>
      <c r="AN52" s="377">
        <v>7</v>
      </c>
      <c r="AO52" s="373">
        <v>1</v>
      </c>
      <c r="AP52" s="444">
        <v>87.5</v>
      </c>
      <c r="AQ52" s="377">
        <v>7</v>
      </c>
      <c r="AR52" s="373">
        <v>1</v>
      </c>
      <c r="AS52" s="444">
        <v>87.5</v>
      </c>
      <c r="AT52" s="377">
        <v>16</v>
      </c>
      <c r="AU52" s="373">
        <v>6</v>
      </c>
      <c r="AV52" s="444">
        <v>72.7</v>
      </c>
      <c r="AW52" s="377"/>
      <c r="AX52" s="373"/>
      <c r="AY52" s="444"/>
      <c r="AZ52" s="377">
        <v>4</v>
      </c>
      <c r="BA52" s="373">
        <v>1</v>
      </c>
      <c r="BB52" s="444">
        <v>80</v>
      </c>
      <c r="BC52" s="377">
        <v>4</v>
      </c>
      <c r="BD52" s="373">
        <v>1</v>
      </c>
      <c r="BE52" s="444">
        <v>80</v>
      </c>
      <c r="BF52" s="377">
        <v>9</v>
      </c>
      <c r="BG52" s="373">
        <v>3</v>
      </c>
      <c r="BH52" s="444">
        <v>75</v>
      </c>
      <c r="BI52" s="377"/>
      <c r="BJ52" s="373"/>
      <c r="BK52" s="444"/>
      <c r="BL52" s="377"/>
      <c r="BM52" s="373"/>
      <c r="BN52" s="444" t="s">
        <v>6</v>
      </c>
      <c r="BO52" s="377"/>
      <c r="BP52" s="373"/>
      <c r="BQ52" s="444" t="s">
        <v>6</v>
      </c>
      <c r="BR52" s="377"/>
      <c r="BS52" s="373"/>
      <c r="BT52" s="444" t="s">
        <v>6</v>
      </c>
      <c r="BU52" s="377"/>
      <c r="BV52" s="373"/>
      <c r="BW52" s="444"/>
      <c r="BX52" s="377"/>
      <c r="BY52" s="373"/>
      <c r="BZ52" s="444" t="s">
        <v>6</v>
      </c>
      <c r="CA52" s="377"/>
      <c r="CB52" s="373"/>
      <c r="CC52" s="444" t="s">
        <v>6</v>
      </c>
      <c r="CD52" s="377"/>
      <c r="CE52" s="373"/>
      <c r="CF52" s="444" t="s">
        <v>6</v>
      </c>
      <c r="CG52" s="377"/>
      <c r="CH52" s="373"/>
      <c r="CI52" s="444"/>
      <c r="CJ52" s="377"/>
      <c r="CK52" s="373"/>
      <c r="CL52" s="444" t="s">
        <v>6</v>
      </c>
      <c r="CM52" s="377"/>
      <c r="CN52" s="373"/>
      <c r="CO52" s="444" t="s">
        <v>6</v>
      </c>
      <c r="CP52" s="377"/>
      <c r="CQ52" s="373"/>
      <c r="CR52" s="444" t="s">
        <v>6</v>
      </c>
      <c r="CS52" s="377"/>
      <c r="CT52" s="373"/>
      <c r="CU52" s="444"/>
      <c r="CV52" s="377">
        <v>10</v>
      </c>
      <c r="CW52" s="373"/>
      <c r="CX52" s="444">
        <v>100</v>
      </c>
      <c r="CY52" s="377">
        <v>10</v>
      </c>
      <c r="CZ52" s="373">
        <v>1</v>
      </c>
      <c r="DA52" s="444">
        <v>90.9</v>
      </c>
      <c r="DB52" s="377">
        <v>22</v>
      </c>
      <c r="DC52" s="373">
        <v>3</v>
      </c>
      <c r="DD52" s="444">
        <v>88</v>
      </c>
      <c r="DE52" s="377"/>
      <c r="DF52" s="373"/>
      <c r="DG52" s="444"/>
      <c r="DH52" s="377">
        <v>1</v>
      </c>
      <c r="DI52" s="373"/>
      <c r="DJ52" s="444">
        <v>100</v>
      </c>
      <c r="DK52" s="377"/>
      <c r="DL52" s="373"/>
      <c r="DM52" s="444" t="s">
        <v>6</v>
      </c>
      <c r="DN52" s="377">
        <v>1</v>
      </c>
      <c r="DO52" s="373"/>
      <c r="DP52" s="444">
        <v>100</v>
      </c>
      <c r="DQ52" s="377"/>
      <c r="DR52" s="373"/>
      <c r="DS52" s="444"/>
      <c r="DT52" s="377">
        <v>1</v>
      </c>
      <c r="DU52" s="373"/>
      <c r="DV52" s="444">
        <v>100</v>
      </c>
      <c r="DW52" s="377"/>
      <c r="DX52" s="373"/>
      <c r="DY52" s="444" t="s">
        <v>6</v>
      </c>
      <c r="DZ52" s="377">
        <v>1</v>
      </c>
      <c r="EA52" s="373"/>
      <c r="EB52" s="444">
        <v>100</v>
      </c>
      <c r="EC52" s="377"/>
      <c r="ED52" s="373"/>
      <c r="EE52" s="444"/>
      <c r="EF52" s="377">
        <v>42</v>
      </c>
      <c r="EG52" s="373">
        <v>154</v>
      </c>
      <c r="EH52" s="444">
        <v>21.4</v>
      </c>
      <c r="EI52" s="377">
        <v>59</v>
      </c>
      <c r="EJ52" s="373">
        <v>116</v>
      </c>
      <c r="EK52" s="444">
        <v>33.700000000000003</v>
      </c>
      <c r="EL52" s="377">
        <v>69</v>
      </c>
      <c r="EM52" s="373">
        <v>89</v>
      </c>
      <c r="EN52" s="444">
        <v>43.7</v>
      </c>
      <c r="EO52" s="377"/>
      <c r="EP52" s="373"/>
      <c r="EQ52" s="444"/>
      <c r="ER52" s="377"/>
      <c r="ES52" s="373"/>
      <c r="ET52" s="444" t="s">
        <v>6</v>
      </c>
      <c r="EU52" s="377"/>
      <c r="EV52" s="373"/>
      <c r="EW52" s="444" t="s">
        <v>6</v>
      </c>
      <c r="EX52" s="377"/>
      <c r="EY52" s="373"/>
      <c r="EZ52" s="444" t="s">
        <v>6</v>
      </c>
      <c r="FA52" s="377"/>
      <c r="FB52" s="373"/>
      <c r="FC52" s="444"/>
      <c r="FD52" s="377"/>
      <c r="FE52" s="373">
        <v>1</v>
      </c>
      <c r="FF52" s="444">
        <v>0</v>
      </c>
      <c r="FG52" s="377"/>
      <c r="FH52" s="373">
        <v>2</v>
      </c>
      <c r="FI52" s="444">
        <v>0</v>
      </c>
      <c r="FJ52" s="377">
        <v>1</v>
      </c>
      <c r="FK52" s="373">
        <v>1</v>
      </c>
      <c r="FL52" s="444">
        <v>50</v>
      </c>
      <c r="FM52" s="377"/>
      <c r="FN52" s="373"/>
      <c r="FO52" s="444"/>
      <c r="FP52" s="377">
        <v>15</v>
      </c>
      <c r="FQ52" s="373">
        <v>22</v>
      </c>
      <c r="FR52" s="444">
        <v>40.5</v>
      </c>
      <c r="FS52" s="377">
        <v>14</v>
      </c>
      <c r="FT52" s="373">
        <v>30</v>
      </c>
      <c r="FU52" s="444">
        <v>31.8</v>
      </c>
      <c r="FV52" s="377">
        <v>15</v>
      </c>
      <c r="FW52" s="373">
        <v>14</v>
      </c>
      <c r="FX52" s="444">
        <v>51.7</v>
      </c>
      <c r="FY52" s="377"/>
      <c r="FZ52" s="373"/>
      <c r="GA52" s="444"/>
      <c r="GB52" s="377"/>
      <c r="GC52" s="373"/>
      <c r="GD52" s="444" t="s">
        <v>6</v>
      </c>
      <c r="GE52" s="377">
        <v>2</v>
      </c>
      <c r="GF52" s="373"/>
      <c r="GG52" s="444">
        <v>100</v>
      </c>
      <c r="GH52" s="377">
        <v>2</v>
      </c>
      <c r="GI52" s="373"/>
      <c r="GJ52" s="444">
        <v>100</v>
      </c>
      <c r="GK52" s="377"/>
      <c r="GL52" s="373"/>
      <c r="GM52" s="444"/>
      <c r="GN52" s="377"/>
      <c r="GO52" s="373"/>
      <c r="GP52" s="444" t="s">
        <v>6</v>
      </c>
      <c r="GQ52" s="377"/>
      <c r="GR52" s="373"/>
      <c r="GS52" s="444" t="s">
        <v>6</v>
      </c>
      <c r="GT52" s="377"/>
      <c r="GU52" s="373"/>
      <c r="GV52" s="444" t="s">
        <v>6</v>
      </c>
      <c r="GW52" s="377"/>
      <c r="GX52" s="373"/>
      <c r="GY52" s="444"/>
      <c r="GZ52" s="377"/>
      <c r="HA52" s="373"/>
      <c r="HB52" s="444" t="s">
        <v>6</v>
      </c>
      <c r="HC52" s="377"/>
      <c r="HD52" s="373"/>
      <c r="HE52" s="444" t="s">
        <v>6</v>
      </c>
      <c r="HF52" s="377"/>
      <c r="HG52" s="373"/>
      <c r="HH52" s="444" t="s">
        <v>6</v>
      </c>
      <c r="HI52" s="377"/>
      <c r="HJ52" s="373"/>
      <c r="HK52" s="444"/>
      <c r="HL52" s="377">
        <v>7</v>
      </c>
      <c r="HM52" s="373">
        <v>3</v>
      </c>
      <c r="HN52" s="444">
        <v>70</v>
      </c>
      <c r="HO52" s="377">
        <v>8</v>
      </c>
      <c r="HP52" s="373">
        <v>4</v>
      </c>
      <c r="HQ52" s="444">
        <v>66.7</v>
      </c>
      <c r="HR52" s="377">
        <v>1</v>
      </c>
      <c r="HS52" s="373">
        <v>5</v>
      </c>
      <c r="HT52" s="444">
        <v>16.7</v>
      </c>
      <c r="HU52" s="377"/>
      <c r="HV52" s="373"/>
      <c r="HW52" s="444"/>
      <c r="HX52" s="377">
        <v>1</v>
      </c>
      <c r="HY52" s="373"/>
      <c r="HZ52" s="444">
        <v>100</v>
      </c>
      <c r="IA52" s="377">
        <v>2</v>
      </c>
      <c r="IB52" s="373"/>
      <c r="IC52" s="444">
        <v>100</v>
      </c>
      <c r="ID52" s="377"/>
      <c r="IE52" s="373"/>
      <c r="IF52" s="444" t="s">
        <v>6</v>
      </c>
      <c r="IG52" s="377"/>
      <c r="IH52" s="373"/>
      <c r="II52" s="444"/>
      <c r="IJ52" s="377"/>
      <c r="IK52" s="373"/>
      <c r="IL52" s="444" t="s">
        <v>6</v>
      </c>
      <c r="IM52" s="377">
        <v>1</v>
      </c>
      <c r="IN52" s="373"/>
      <c r="IO52" s="444">
        <v>100</v>
      </c>
      <c r="IP52" s="377">
        <v>2</v>
      </c>
      <c r="IQ52" s="373"/>
      <c r="IR52" s="444">
        <v>100</v>
      </c>
      <c r="IS52" s="377"/>
      <c r="IT52" s="373"/>
      <c r="IU52" s="444"/>
      <c r="IV52" s="377">
        <v>69</v>
      </c>
      <c r="IW52" s="373">
        <v>158</v>
      </c>
      <c r="IX52" s="444">
        <v>30.4</v>
      </c>
      <c r="IY52" s="377">
        <v>89</v>
      </c>
      <c r="IZ52" s="373">
        <v>122</v>
      </c>
      <c r="JA52" s="444">
        <v>42.2</v>
      </c>
      <c r="JB52" s="377">
        <v>114</v>
      </c>
      <c r="JC52" s="373">
        <v>103</v>
      </c>
      <c r="JD52" s="444">
        <v>52.5</v>
      </c>
      <c r="JE52" s="377"/>
      <c r="JF52" s="373"/>
      <c r="JG52" s="444"/>
      <c r="JH52" s="377">
        <v>11</v>
      </c>
      <c r="JI52" s="373">
        <v>12</v>
      </c>
      <c r="JJ52" s="444">
        <v>47.8</v>
      </c>
      <c r="JK52" s="377">
        <v>8</v>
      </c>
      <c r="JL52" s="373">
        <v>15</v>
      </c>
      <c r="JM52" s="444">
        <v>34.799999999999997</v>
      </c>
      <c r="JN52" s="377">
        <v>44</v>
      </c>
      <c r="JO52" s="373">
        <v>9</v>
      </c>
      <c r="JP52" s="444">
        <v>83</v>
      </c>
      <c r="JQ52" s="377"/>
      <c r="JR52" s="373"/>
      <c r="JS52" s="444"/>
      <c r="JT52" s="377"/>
      <c r="JU52" s="373"/>
      <c r="JV52" s="444" t="s">
        <v>6</v>
      </c>
      <c r="JW52" s="377"/>
      <c r="JX52" s="373"/>
      <c r="JY52" s="444" t="s">
        <v>6</v>
      </c>
      <c r="JZ52" s="377"/>
      <c r="KA52" s="373"/>
      <c r="KB52" s="444" t="s">
        <v>6</v>
      </c>
      <c r="KC52" s="377"/>
      <c r="KD52" s="373"/>
      <c r="KE52" s="444"/>
      <c r="KF52" s="377"/>
      <c r="KG52" s="373"/>
      <c r="KH52" s="444" t="s">
        <v>6</v>
      </c>
      <c r="KI52" s="377"/>
      <c r="KJ52" s="373"/>
      <c r="KK52" s="444" t="s">
        <v>6</v>
      </c>
      <c r="KL52" s="377"/>
      <c r="KM52" s="373"/>
      <c r="KN52" s="444" t="s">
        <v>6</v>
      </c>
      <c r="KO52" s="377"/>
      <c r="KP52" s="373"/>
      <c r="KQ52" s="444"/>
      <c r="KR52" s="377">
        <v>14</v>
      </c>
      <c r="KS52" s="373">
        <v>13</v>
      </c>
      <c r="KT52" s="444">
        <v>51.9</v>
      </c>
      <c r="KU52" s="377">
        <v>15</v>
      </c>
      <c r="KV52" s="373">
        <v>17</v>
      </c>
      <c r="KW52" s="444">
        <v>46.9</v>
      </c>
      <c r="KX52" s="377">
        <v>49</v>
      </c>
      <c r="KY52" s="373">
        <v>11</v>
      </c>
      <c r="KZ52" s="444">
        <v>81.7</v>
      </c>
      <c r="LA52" s="377"/>
      <c r="LB52" s="373"/>
      <c r="LC52" s="444"/>
      <c r="LD52" s="377">
        <v>328</v>
      </c>
      <c r="LE52" s="373">
        <v>174</v>
      </c>
      <c r="LF52" s="444">
        <v>65.3</v>
      </c>
      <c r="LG52" s="377">
        <v>186</v>
      </c>
      <c r="LH52" s="373">
        <v>137</v>
      </c>
      <c r="LI52" s="444">
        <v>57.6</v>
      </c>
      <c r="LJ52" s="377">
        <v>175</v>
      </c>
      <c r="LK52" s="373">
        <v>127</v>
      </c>
      <c r="LL52" s="444">
        <v>57.9</v>
      </c>
      <c r="LM52" s="377"/>
      <c r="LN52" s="373"/>
      <c r="LO52" s="444"/>
    </row>
    <row r="53" spans="1:327" ht="13.5" thickBot="1" x14ac:dyDescent="0.25">
      <c r="A53" s="1001"/>
      <c r="B53" s="748" t="s">
        <v>621</v>
      </c>
      <c r="C53" s="156" t="s">
        <v>667</v>
      </c>
      <c r="D53" s="377"/>
      <c r="E53" s="373"/>
      <c r="F53" s="444" t="s">
        <v>6</v>
      </c>
      <c r="G53" s="377"/>
      <c r="H53" s="373"/>
      <c r="I53" s="444" t="s">
        <v>6</v>
      </c>
      <c r="J53" s="377"/>
      <c r="K53" s="373"/>
      <c r="L53" s="444" t="s">
        <v>6</v>
      </c>
      <c r="M53" s="377"/>
      <c r="N53" s="373"/>
      <c r="O53" s="444"/>
      <c r="P53" s="377"/>
      <c r="Q53" s="373"/>
      <c r="R53" s="444" t="s">
        <v>6</v>
      </c>
      <c r="S53" s="377"/>
      <c r="T53" s="373"/>
      <c r="U53" s="444" t="s">
        <v>6</v>
      </c>
      <c r="V53" s="377"/>
      <c r="W53" s="373"/>
      <c r="X53" s="444" t="s">
        <v>6</v>
      </c>
      <c r="Y53" s="377"/>
      <c r="Z53" s="373"/>
      <c r="AA53" s="444"/>
      <c r="AB53" s="377"/>
      <c r="AC53" s="373"/>
      <c r="AD53" s="444" t="s">
        <v>6</v>
      </c>
      <c r="AE53" s="377"/>
      <c r="AF53" s="373"/>
      <c r="AG53" s="444" t="s">
        <v>6</v>
      </c>
      <c r="AH53" s="377"/>
      <c r="AI53" s="373"/>
      <c r="AJ53" s="444" t="s">
        <v>6</v>
      </c>
      <c r="AK53" s="377"/>
      <c r="AL53" s="373"/>
      <c r="AM53" s="444"/>
      <c r="AN53" s="377">
        <v>2</v>
      </c>
      <c r="AO53" s="373"/>
      <c r="AP53" s="444">
        <v>100</v>
      </c>
      <c r="AQ53" s="377">
        <v>3</v>
      </c>
      <c r="AR53" s="373"/>
      <c r="AS53" s="444">
        <v>100</v>
      </c>
      <c r="AT53" s="377">
        <v>5</v>
      </c>
      <c r="AU53" s="373">
        <v>2</v>
      </c>
      <c r="AV53" s="444">
        <v>71.400000000000006</v>
      </c>
      <c r="AW53" s="377"/>
      <c r="AX53" s="373"/>
      <c r="AY53" s="444"/>
      <c r="AZ53" s="377">
        <v>2</v>
      </c>
      <c r="BA53" s="373"/>
      <c r="BB53" s="444">
        <v>100</v>
      </c>
      <c r="BC53" s="377">
        <v>2</v>
      </c>
      <c r="BD53" s="373"/>
      <c r="BE53" s="444">
        <v>100</v>
      </c>
      <c r="BF53" s="377">
        <v>1</v>
      </c>
      <c r="BG53" s="373">
        <v>2</v>
      </c>
      <c r="BH53" s="444">
        <v>33.299999999999997</v>
      </c>
      <c r="BI53" s="377"/>
      <c r="BJ53" s="373"/>
      <c r="BK53" s="444"/>
      <c r="BL53" s="377"/>
      <c r="BM53" s="373"/>
      <c r="BN53" s="444" t="s">
        <v>6</v>
      </c>
      <c r="BO53" s="377"/>
      <c r="BP53" s="373"/>
      <c r="BQ53" s="444" t="s">
        <v>6</v>
      </c>
      <c r="BR53" s="377"/>
      <c r="BS53" s="373"/>
      <c r="BT53" s="444" t="s">
        <v>6</v>
      </c>
      <c r="BU53" s="377"/>
      <c r="BV53" s="373"/>
      <c r="BW53" s="444"/>
      <c r="BX53" s="377"/>
      <c r="BY53" s="373"/>
      <c r="BZ53" s="444" t="s">
        <v>6</v>
      </c>
      <c r="CA53" s="377"/>
      <c r="CB53" s="373"/>
      <c r="CC53" s="444" t="s">
        <v>6</v>
      </c>
      <c r="CD53" s="377"/>
      <c r="CE53" s="373"/>
      <c r="CF53" s="444" t="s">
        <v>6</v>
      </c>
      <c r="CG53" s="377"/>
      <c r="CH53" s="373"/>
      <c r="CI53" s="444"/>
      <c r="CJ53" s="377"/>
      <c r="CK53" s="373"/>
      <c r="CL53" s="444" t="s">
        <v>6</v>
      </c>
      <c r="CM53" s="377"/>
      <c r="CN53" s="373"/>
      <c r="CO53" s="444" t="s">
        <v>6</v>
      </c>
      <c r="CP53" s="377"/>
      <c r="CQ53" s="373"/>
      <c r="CR53" s="444" t="s">
        <v>6</v>
      </c>
      <c r="CS53" s="377"/>
      <c r="CT53" s="373"/>
      <c r="CU53" s="444"/>
      <c r="CV53" s="377">
        <v>5</v>
      </c>
      <c r="CW53" s="373">
        <v>2</v>
      </c>
      <c r="CX53" s="444">
        <v>71.400000000000006</v>
      </c>
      <c r="CY53" s="377">
        <v>4</v>
      </c>
      <c r="CZ53" s="373">
        <v>1</v>
      </c>
      <c r="DA53" s="444">
        <v>80</v>
      </c>
      <c r="DB53" s="377">
        <v>7</v>
      </c>
      <c r="DC53" s="373"/>
      <c r="DD53" s="444">
        <v>100</v>
      </c>
      <c r="DE53" s="377"/>
      <c r="DF53" s="373"/>
      <c r="DG53" s="444"/>
      <c r="DH53" s="377"/>
      <c r="DI53" s="373"/>
      <c r="DJ53" s="444" t="s">
        <v>6</v>
      </c>
      <c r="DK53" s="377"/>
      <c r="DL53" s="373"/>
      <c r="DM53" s="444" t="s">
        <v>6</v>
      </c>
      <c r="DN53" s="377"/>
      <c r="DO53" s="373"/>
      <c r="DP53" s="444" t="s">
        <v>6</v>
      </c>
      <c r="DQ53" s="377"/>
      <c r="DR53" s="373"/>
      <c r="DS53" s="444"/>
      <c r="DT53" s="377"/>
      <c r="DU53" s="373"/>
      <c r="DV53" s="444" t="s">
        <v>6</v>
      </c>
      <c r="DW53" s="377">
        <v>1</v>
      </c>
      <c r="DX53" s="373"/>
      <c r="DY53" s="444">
        <v>100</v>
      </c>
      <c r="DZ53" s="377">
        <v>1</v>
      </c>
      <c r="EA53" s="373"/>
      <c r="EB53" s="444">
        <v>100</v>
      </c>
      <c r="EC53" s="377"/>
      <c r="ED53" s="373"/>
      <c r="EE53" s="444"/>
      <c r="EF53" s="377">
        <v>89</v>
      </c>
      <c r="EG53" s="373">
        <v>64</v>
      </c>
      <c r="EH53" s="444">
        <v>58.2</v>
      </c>
      <c r="EI53" s="377">
        <v>73</v>
      </c>
      <c r="EJ53" s="373">
        <v>55</v>
      </c>
      <c r="EK53" s="444">
        <v>57</v>
      </c>
      <c r="EL53" s="377">
        <v>59</v>
      </c>
      <c r="EM53" s="373">
        <v>55</v>
      </c>
      <c r="EN53" s="444">
        <v>51.8</v>
      </c>
      <c r="EO53" s="377"/>
      <c r="EP53" s="373"/>
      <c r="EQ53" s="444"/>
      <c r="ER53" s="377"/>
      <c r="ES53" s="373"/>
      <c r="ET53" s="444" t="s">
        <v>6</v>
      </c>
      <c r="EU53" s="377">
        <v>1</v>
      </c>
      <c r="EV53" s="373"/>
      <c r="EW53" s="444">
        <v>100</v>
      </c>
      <c r="EX53" s="377"/>
      <c r="EY53" s="373"/>
      <c r="EZ53" s="444" t="s">
        <v>6</v>
      </c>
      <c r="FA53" s="377"/>
      <c r="FB53" s="373"/>
      <c r="FC53" s="444"/>
      <c r="FD53" s="377"/>
      <c r="FE53" s="373"/>
      <c r="FF53" s="444" t="s">
        <v>6</v>
      </c>
      <c r="FG53" s="377"/>
      <c r="FH53" s="373"/>
      <c r="FI53" s="444" t="s">
        <v>6</v>
      </c>
      <c r="FJ53" s="377"/>
      <c r="FK53" s="373"/>
      <c r="FL53" s="444" t="s">
        <v>6</v>
      </c>
      <c r="FM53" s="377"/>
      <c r="FN53" s="373"/>
      <c r="FO53" s="444"/>
      <c r="FP53" s="377">
        <v>18</v>
      </c>
      <c r="FQ53" s="373">
        <v>9</v>
      </c>
      <c r="FR53" s="444">
        <v>66.7</v>
      </c>
      <c r="FS53" s="377">
        <v>13</v>
      </c>
      <c r="FT53" s="373">
        <v>10</v>
      </c>
      <c r="FU53" s="444">
        <v>56.5</v>
      </c>
      <c r="FV53" s="377">
        <v>25</v>
      </c>
      <c r="FW53" s="373">
        <v>7</v>
      </c>
      <c r="FX53" s="444">
        <v>78.099999999999994</v>
      </c>
      <c r="FY53" s="377"/>
      <c r="FZ53" s="373"/>
      <c r="GA53" s="444"/>
      <c r="GB53" s="377">
        <v>1</v>
      </c>
      <c r="GC53" s="373"/>
      <c r="GD53" s="444">
        <v>100</v>
      </c>
      <c r="GE53" s="377">
        <v>1</v>
      </c>
      <c r="GF53" s="373"/>
      <c r="GG53" s="444">
        <v>100</v>
      </c>
      <c r="GH53" s="377">
        <v>1</v>
      </c>
      <c r="GI53" s="373"/>
      <c r="GJ53" s="444">
        <v>100</v>
      </c>
      <c r="GK53" s="377"/>
      <c r="GL53" s="373"/>
      <c r="GM53" s="444"/>
      <c r="GN53" s="377"/>
      <c r="GO53" s="373"/>
      <c r="GP53" s="444" t="s">
        <v>6</v>
      </c>
      <c r="GQ53" s="377"/>
      <c r="GR53" s="373"/>
      <c r="GS53" s="444" t="s">
        <v>6</v>
      </c>
      <c r="GT53" s="377">
        <v>1</v>
      </c>
      <c r="GU53" s="373"/>
      <c r="GV53" s="444">
        <v>100</v>
      </c>
      <c r="GW53" s="377"/>
      <c r="GX53" s="373"/>
      <c r="GY53" s="444"/>
      <c r="GZ53" s="377"/>
      <c r="HA53" s="373">
        <v>1</v>
      </c>
      <c r="HB53" s="444">
        <v>0</v>
      </c>
      <c r="HC53" s="377"/>
      <c r="HD53" s="373"/>
      <c r="HE53" s="444" t="s">
        <v>6</v>
      </c>
      <c r="HF53" s="377"/>
      <c r="HG53" s="373"/>
      <c r="HH53" s="444" t="s">
        <v>6</v>
      </c>
      <c r="HI53" s="377"/>
      <c r="HJ53" s="373"/>
      <c r="HK53" s="444"/>
      <c r="HL53" s="377">
        <v>4</v>
      </c>
      <c r="HM53" s="373">
        <v>2</v>
      </c>
      <c r="HN53" s="444">
        <v>66.7</v>
      </c>
      <c r="HO53" s="377">
        <v>3</v>
      </c>
      <c r="HP53" s="373">
        <v>1</v>
      </c>
      <c r="HQ53" s="444">
        <v>75</v>
      </c>
      <c r="HR53" s="377">
        <v>2</v>
      </c>
      <c r="HS53" s="373">
        <v>3</v>
      </c>
      <c r="HT53" s="444">
        <v>40</v>
      </c>
      <c r="HU53" s="377"/>
      <c r="HV53" s="373"/>
      <c r="HW53" s="444"/>
      <c r="HX53" s="377"/>
      <c r="HY53" s="373"/>
      <c r="HZ53" s="444" t="s">
        <v>6</v>
      </c>
      <c r="IA53" s="377"/>
      <c r="IB53" s="373"/>
      <c r="IC53" s="444" t="s">
        <v>6</v>
      </c>
      <c r="ID53" s="377"/>
      <c r="IE53" s="373"/>
      <c r="IF53" s="444" t="s">
        <v>6</v>
      </c>
      <c r="IG53" s="377"/>
      <c r="IH53" s="373"/>
      <c r="II53" s="444"/>
      <c r="IJ53" s="377">
        <v>1</v>
      </c>
      <c r="IK53" s="373"/>
      <c r="IL53" s="444">
        <v>100</v>
      </c>
      <c r="IM53" s="377">
        <v>1</v>
      </c>
      <c r="IN53" s="373"/>
      <c r="IO53" s="444">
        <v>100</v>
      </c>
      <c r="IP53" s="377"/>
      <c r="IQ53" s="373">
        <v>1</v>
      </c>
      <c r="IR53" s="444">
        <v>0</v>
      </c>
      <c r="IS53" s="377"/>
      <c r="IT53" s="373"/>
      <c r="IU53" s="444"/>
      <c r="IV53" s="377">
        <v>102</v>
      </c>
      <c r="IW53" s="373">
        <v>69</v>
      </c>
      <c r="IX53" s="444">
        <v>59.6</v>
      </c>
      <c r="IY53" s="377">
        <v>86</v>
      </c>
      <c r="IZ53" s="373">
        <v>57</v>
      </c>
      <c r="JA53" s="444">
        <v>60.1</v>
      </c>
      <c r="JB53" s="377">
        <v>76</v>
      </c>
      <c r="JC53" s="373">
        <v>61</v>
      </c>
      <c r="JD53" s="444">
        <v>55.5</v>
      </c>
      <c r="JE53" s="377"/>
      <c r="JF53" s="373"/>
      <c r="JG53" s="444"/>
      <c r="JH53" s="377">
        <v>17</v>
      </c>
      <c r="JI53" s="373">
        <v>6</v>
      </c>
      <c r="JJ53" s="444">
        <v>73.900000000000006</v>
      </c>
      <c r="JK53" s="377">
        <v>14</v>
      </c>
      <c r="JL53" s="373">
        <v>7</v>
      </c>
      <c r="JM53" s="444">
        <v>66.7</v>
      </c>
      <c r="JN53" s="377">
        <v>17</v>
      </c>
      <c r="JO53" s="373">
        <v>6</v>
      </c>
      <c r="JP53" s="444">
        <v>73.900000000000006</v>
      </c>
      <c r="JQ53" s="377"/>
      <c r="JR53" s="373"/>
      <c r="JS53" s="444"/>
      <c r="JT53" s="377"/>
      <c r="JU53" s="373"/>
      <c r="JV53" s="444" t="s">
        <v>6</v>
      </c>
      <c r="JW53" s="377"/>
      <c r="JX53" s="373"/>
      <c r="JY53" s="444" t="s">
        <v>6</v>
      </c>
      <c r="JZ53" s="377"/>
      <c r="KA53" s="373"/>
      <c r="KB53" s="444" t="s">
        <v>6</v>
      </c>
      <c r="KC53" s="377"/>
      <c r="KD53" s="373"/>
      <c r="KE53" s="444"/>
      <c r="KF53" s="377"/>
      <c r="KG53" s="373"/>
      <c r="KH53" s="444" t="s">
        <v>6</v>
      </c>
      <c r="KI53" s="377"/>
      <c r="KJ53" s="373"/>
      <c r="KK53" s="444" t="s">
        <v>6</v>
      </c>
      <c r="KL53" s="377"/>
      <c r="KM53" s="373"/>
      <c r="KN53" s="444" t="s">
        <v>6</v>
      </c>
      <c r="KO53" s="377"/>
      <c r="KP53" s="373"/>
      <c r="KQ53" s="444"/>
      <c r="KR53" s="377">
        <v>17</v>
      </c>
      <c r="KS53" s="373">
        <v>6</v>
      </c>
      <c r="KT53" s="444">
        <v>73.900000000000006</v>
      </c>
      <c r="KU53" s="377">
        <v>17</v>
      </c>
      <c r="KV53" s="373">
        <v>10</v>
      </c>
      <c r="KW53" s="444">
        <v>63</v>
      </c>
      <c r="KX53" s="377">
        <v>18</v>
      </c>
      <c r="KY53" s="373">
        <v>7</v>
      </c>
      <c r="KZ53" s="444">
        <v>72</v>
      </c>
      <c r="LA53" s="377"/>
      <c r="LB53" s="373"/>
      <c r="LC53" s="444"/>
      <c r="LD53" s="377">
        <v>387</v>
      </c>
      <c r="LE53" s="373">
        <v>72</v>
      </c>
      <c r="LF53" s="444">
        <v>84.3</v>
      </c>
      <c r="LG53" s="377">
        <v>107</v>
      </c>
      <c r="LH53" s="373">
        <v>67</v>
      </c>
      <c r="LI53" s="444">
        <v>61.5</v>
      </c>
      <c r="LJ53" s="377">
        <v>215</v>
      </c>
      <c r="LK53" s="373">
        <v>77</v>
      </c>
      <c r="LL53" s="444">
        <v>73.599999999999994</v>
      </c>
      <c r="LM53" s="377"/>
      <c r="LN53" s="373"/>
      <c r="LO53" s="444"/>
    </row>
    <row r="54" spans="1:327" s="259" customFormat="1" ht="13.5" thickBot="1" x14ac:dyDescent="0.25">
      <c r="A54" s="1002"/>
      <c r="B54" s="751"/>
      <c r="C54" s="277" t="s">
        <v>783</v>
      </c>
      <c r="D54" s="384">
        <v>1</v>
      </c>
      <c r="E54" s="385"/>
      <c r="F54" s="451">
        <v>100</v>
      </c>
      <c r="G54" s="384">
        <v>3</v>
      </c>
      <c r="H54" s="385"/>
      <c r="I54" s="451">
        <v>100</v>
      </c>
      <c r="J54" s="384">
        <v>2</v>
      </c>
      <c r="K54" s="385"/>
      <c r="L54" s="451">
        <v>100</v>
      </c>
      <c r="M54" s="384"/>
      <c r="N54" s="385"/>
      <c r="O54" s="451"/>
      <c r="P54" s="384">
        <v>1</v>
      </c>
      <c r="Q54" s="385"/>
      <c r="R54" s="451">
        <v>100</v>
      </c>
      <c r="S54" s="384">
        <v>2</v>
      </c>
      <c r="T54" s="385"/>
      <c r="U54" s="451">
        <v>100</v>
      </c>
      <c r="V54" s="384">
        <v>1</v>
      </c>
      <c r="W54" s="385"/>
      <c r="X54" s="451">
        <v>100</v>
      </c>
      <c r="Y54" s="384"/>
      <c r="Z54" s="385"/>
      <c r="AA54" s="451"/>
      <c r="AB54" s="384"/>
      <c r="AC54" s="385"/>
      <c r="AD54" s="451" t="s">
        <v>6</v>
      </c>
      <c r="AE54" s="384">
        <v>1</v>
      </c>
      <c r="AF54" s="385"/>
      <c r="AG54" s="451">
        <v>100</v>
      </c>
      <c r="AH54" s="384">
        <v>1</v>
      </c>
      <c r="AI54" s="385"/>
      <c r="AJ54" s="451">
        <v>100</v>
      </c>
      <c r="AK54" s="384"/>
      <c r="AL54" s="385"/>
      <c r="AM54" s="451"/>
      <c r="AN54" s="384">
        <v>96</v>
      </c>
      <c r="AO54" s="385">
        <v>17</v>
      </c>
      <c r="AP54" s="451">
        <v>85</v>
      </c>
      <c r="AQ54" s="384">
        <v>79</v>
      </c>
      <c r="AR54" s="385">
        <v>10</v>
      </c>
      <c r="AS54" s="451">
        <v>88.8</v>
      </c>
      <c r="AT54" s="384">
        <v>113</v>
      </c>
      <c r="AU54" s="385">
        <v>17</v>
      </c>
      <c r="AV54" s="451">
        <v>86.9</v>
      </c>
      <c r="AW54" s="384"/>
      <c r="AX54" s="385"/>
      <c r="AY54" s="451"/>
      <c r="AZ54" s="384">
        <v>53</v>
      </c>
      <c r="BA54" s="385">
        <v>16</v>
      </c>
      <c r="BB54" s="451">
        <v>76.8</v>
      </c>
      <c r="BC54" s="384">
        <v>48</v>
      </c>
      <c r="BD54" s="385">
        <v>7</v>
      </c>
      <c r="BE54" s="451">
        <v>87.3</v>
      </c>
      <c r="BF54" s="384">
        <v>56</v>
      </c>
      <c r="BG54" s="385">
        <v>13</v>
      </c>
      <c r="BH54" s="451">
        <v>81.2</v>
      </c>
      <c r="BI54" s="384"/>
      <c r="BJ54" s="385"/>
      <c r="BK54" s="451"/>
      <c r="BL54" s="384"/>
      <c r="BM54" s="385"/>
      <c r="BN54" s="451" t="s">
        <v>6</v>
      </c>
      <c r="BO54" s="384"/>
      <c r="BP54" s="385"/>
      <c r="BQ54" s="451" t="s">
        <v>6</v>
      </c>
      <c r="BR54" s="384"/>
      <c r="BS54" s="385">
        <v>1</v>
      </c>
      <c r="BT54" s="451">
        <v>0</v>
      </c>
      <c r="BU54" s="384"/>
      <c r="BV54" s="385"/>
      <c r="BW54" s="451"/>
      <c r="BX54" s="384"/>
      <c r="BY54" s="385"/>
      <c r="BZ54" s="451" t="s">
        <v>6</v>
      </c>
      <c r="CA54" s="384"/>
      <c r="CB54" s="385"/>
      <c r="CC54" s="451" t="s">
        <v>6</v>
      </c>
      <c r="CD54" s="384"/>
      <c r="CE54" s="385"/>
      <c r="CF54" s="451" t="s">
        <v>6</v>
      </c>
      <c r="CG54" s="384"/>
      <c r="CH54" s="385"/>
      <c r="CI54" s="451"/>
      <c r="CJ54" s="384"/>
      <c r="CK54" s="385"/>
      <c r="CL54" s="451" t="s">
        <v>6</v>
      </c>
      <c r="CM54" s="384">
        <v>2</v>
      </c>
      <c r="CN54" s="385"/>
      <c r="CO54" s="451">
        <v>100</v>
      </c>
      <c r="CP54" s="384">
        <v>1</v>
      </c>
      <c r="CQ54" s="385"/>
      <c r="CR54" s="451">
        <v>100</v>
      </c>
      <c r="CS54" s="384"/>
      <c r="CT54" s="385"/>
      <c r="CU54" s="451"/>
      <c r="CV54" s="384">
        <v>99</v>
      </c>
      <c r="CW54" s="385">
        <v>12</v>
      </c>
      <c r="CX54" s="451">
        <v>89.2</v>
      </c>
      <c r="CY54" s="384">
        <v>85</v>
      </c>
      <c r="CZ54" s="385">
        <v>14</v>
      </c>
      <c r="DA54" s="451">
        <v>85.9</v>
      </c>
      <c r="DB54" s="384">
        <v>117</v>
      </c>
      <c r="DC54" s="385">
        <v>12</v>
      </c>
      <c r="DD54" s="451">
        <v>90.7</v>
      </c>
      <c r="DE54" s="384"/>
      <c r="DF54" s="385"/>
      <c r="DG54" s="451"/>
      <c r="DH54" s="384">
        <v>6</v>
      </c>
      <c r="DI54" s="385"/>
      <c r="DJ54" s="451">
        <v>100</v>
      </c>
      <c r="DK54" s="384">
        <v>1</v>
      </c>
      <c r="DL54" s="385">
        <v>1</v>
      </c>
      <c r="DM54" s="451">
        <v>50</v>
      </c>
      <c r="DN54" s="384">
        <v>5</v>
      </c>
      <c r="DO54" s="385">
        <v>1</v>
      </c>
      <c r="DP54" s="451">
        <v>83.3</v>
      </c>
      <c r="DQ54" s="384"/>
      <c r="DR54" s="385"/>
      <c r="DS54" s="451"/>
      <c r="DT54" s="384">
        <v>7</v>
      </c>
      <c r="DU54" s="385"/>
      <c r="DV54" s="451">
        <v>100</v>
      </c>
      <c r="DW54" s="384">
        <v>5</v>
      </c>
      <c r="DX54" s="385"/>
      <c r="DY54" s="451">
        <v>100</v>
      </c>
      <c r="DZ54" s="384">
        <v>8</v>
      </c>
      <c r="EA54" s="385"/>
      <c r="EB54" s="451">
        <v>100</v>
      </c>
      <c r="EC54" s="384"/>
      <c r="ED54" s="385"/>
      <c r="EE54" s="451"/>
      <c r="EF54" s="384">
        <v>848</v>
      </c>
      <c r="EG54" s="385">
        <v>1562</v>
      </c>
      <c r="EH54" s="451">
        <v>35.200000000000003</v>
      </c>
      <c r="EI54" s="384">
        <v>837</v>
      </c>
      <c r="EJ54" s="385">
        <v>1296</v>
      </c>
      <c r="EK54" s="451">
        <v>39.200000000000003</v>
      </c>
      <c r="EL54" s="384">
        <v>845</v>
      </c>
      <c r="EM54" s="385">
        <v>1023</v>
      </c>
      <c r="EN54" s="451">
        <v>45.2</v>
      </c>
      <c r="EO54" s="384"/>
      <c r="EP54" s="385"/>
      <c r="EQ54" s="451"/>
      <c r="ER54" s="384">
        <v>2</v>
      </c>
      <c r="ES54" s="385"/>
      <c r="ET54" s="451">
        <v>100</v>
      </c>
      <c r="EU54" s="384">
        <v>2</v>
      </c>
      <c r="EV54" s="385"/>
      <c r="EW54" s="451">
        <v>100</v>
      </c>
      <c r="EX54" s="384">
        <v>1</v>
      </c>
      <c r="EY54" s="385">
        <v>1</v>
      </c>
      <c r="EZ54" s="451">
        <v>50</v>
      </c>
      <c r="FA54" s="384"/>
      <c r="FB54" s="385"/>
      <c r="FC54" s="451"/>
      <c r="FD54" s="384">
        <v>20</v>
      </c>
      <c r="FE54" s="385">
        <v>41</v>
      </c>
      <c r="FF54" s="451">
        <v>32.799999999999997</v>
      </c>
      <c r="FG54" s="384">
        <v>11</v>
      </c>
      <c r="FH54" s="385">
        <v>25</v>
      </c>
      <c r="FI54" s="451">
        <v>30.6</v>
      </c>
      <c r="FJ54" s="384">
        <v>3</v>
      </c>
      <c r="FK54" s="385">
        <v>11</v>
      </c>
      <c r="FL54" s="451">
        <v>21.4</v>
      </c>
      <c r="FM54" s="384"/>
      <c r="FN54" s="385"/>
      <c r="FO54" s="451"/>
      <c r="FP54" s="384">
        <v>140</v>
      </c>
      <c r="FQ54" s="385">
        <v>214</v>
      </c>
      <c r="FR54" s="451">
        <v>39.5</v>
      </c>
      <c r="FS54" s="384">
        <v>201</v>
      </c>
      <c r="FT54" s="385">
        <v>275</v>
      </c>
      <c r="FU54" s="451">
        <v>42.2</v>
      </c>
      <c r="FV54" s="384">
        <v>224</v>
      </c>
      <c r="FW54" s="385">
        <v>128</v>
      </c>
      <c r="FX54" s="451">
        <v>63.6</v>
      </c>
      <c r="FY54" s="384"/>
      <c r="FZ54" s="385"/>
      <c r="GA54" s="451"/>
      <c r="GB54" s="384">
        <v>22</v>
      </c>
      <c r="GC54" s="385">
        <v>2</v>
      </c>
      <c r="GD54" s="451">
        <v>91.7</v>
      </c>
      <c r="GE54" s="384">
        <v>14</v>
      </c>
      <c r="GF54" s="385"/>
      <c r="GG54" s="451">
        <v>100</v>
      </c>
      <c r="GH54" s="384">
        <v>14</v>
      </c>
      <c r="GI54" s="385"/>
      <c r="GJ54" s="451">
        <v>100</v>
      </c>
      <c r="GK54" s="384"/>
      <c r="GL54" s="385"/>
      <c r="GM54" s="451"/>
      <c r="GN54" s="384">
        <v>3</v>
      </c>
      <c r="GO54" s="385">
        <v>1</v>
      </c>
      <c r="GP54" s="451">
        <v>75</v>
      </c>
      <c r="GQ54" s="384">
        <v>11</v>
      </c>
      <c r="GR54" s="385">
        <v>3</v>
      </c>
      <c r="GS54" s="451">
        <v>78.599999999999994</v>
      </c>
      <c r="GT54" s="384">
        <v>9</v>
      </c>
      <c r="GU54" s="385">
        <v>3</v>
      </c>
      <c r="GV54" s="451">
        <v>75</v>
      </c>
      <c r="GW54" s="384"/>
      <c r="GX54" s="385"/>
      <c r="GY54" s="451"/>
      <c r="GZ54" s="384">
        <v>6</v>
      </c>
      <c r="HA54" s="385">
        <v>2</v>
      </c>
      <c r="HB54" s="451">
        <v>75</v>
      </c>
      <c r="HC54" s="384">
        <v>1</v>
      </c>
      <c r="HD54" s="385"/>
      <c r="HE54" s="451">
        <v>100</v>
      </c>
      <c r="HF54" s="384">
        <v>5</v>
      </c>
      <c r="HG54" s="385"/>
      <c r="HH54" s="451">
        <v>100</v>
      </c>
      <c r="HI54" s="384"/>
      <c r="HJ54" s="385"/>
      <c r="HK54" s="451"/>
      <c r="HL54" s="384">
        <v>29</v>
      </c>
      <c r="HM54" s="385">
        <v>79</v>
      </c>
      <c r="HN54" s="451">
        <v>26.9</v>
      </c>
      <c r="HO54" s="384">
        <v>77</v>
      </c>
      <c r="HP54" s="385">
        <v>83</v>
      </c>
      <c r="HQ54" s="451">
        <v>48.1</v>
      </c>
      <c r="HR54" s="384">
        <v>43</v>
      </c>
      <c r="HS54" s="385">
        <v>61</v>
      </c>
      <c r="HT54" s="451">
        <v>41.3</v>
      </c>
      <c r="HU54" s="384"/>
      <c r="HV54" s="385"/>
      <c r="HW54" s="451"/>
      <c r="HX54" s="384">
        <v>100</v>
      </c>
      <c r="HY54" s="385"/>
      <c r="HZ54" s="451">
        <v>100</v>
      </c>
      <c r="IA54" s="384">
        <v>12</v>
      </c>
      <c r="IB54" s="385">
        <v>1</v>
      </c>
      <c r="IC54" s="451">
        <v>92.3</v>
      </c>
      <c r="ID54" s="384">
        <v>5</v>
      </c>
      <c r="IE54" s="385"/>
      <c r="IF54" s="451">
        <v>100</v>
      </c>
      <c r="IG54" s="384"/>
      <c r="IH54" s="385"/>
      <c r="II54" s="451"/>
      <c r="IJ54" s="384">
        <v>4</v>
      </c>
      <c r="IK54" s="385">
        <v>4</v>
      </c>
      <c r="IL54" s="451">
        <v>50</v>
      </c>
      <c r="IM54" s="384">
        <v>18</v>
      </c>
      <c r="IN54" s="385">
        <v>4</v>
      </c>
      <c r="IO54" s="451">
        <v>81.8</v>
      </c>
      <c r="IP54" s="384">
        <v>8</v>
      </c>
      <c r="IQ54" s="385">
        <v>3</v>
      </c>
      <c r="IR54" s="451">
        <v>72.7</v>
      </c>
      <c r="IS54" s="384"/>
      <c r="IT54" s="385"/>
      <c r="IU54" s="451"/>
      <c r="IV54" s="384">
        <v>1221</v>
      </c>
      <c r="IW54" s="385">
        <v>1679</v>
      </c>
      <c r="IX54" s="451">
        <v>42.1</v>
      </c>
      <c r="IY54" s="384">
        <v>1145</v>
      </c>
      <c r="IZ54" s="385">
        <v>1412</v>
      </c>
      <c r="JA54" s="451">
        <v>44.8</v>
      </c>
      <c r="JB54" s="384">
        <v>1175</v>
      </c>
      <c r="JC54" s="385">
        <v>1120</v>
      </c>
      <c r="JD54" s="451">
        <v>51.2</v>
      </c>
      <c r="JE54" s="384"/>
      <c r="JF54" s="385"/>
      <c r="JG54" s="451"/>
      <c r="JH54" s="384">
        <v>312</v>
      </c>
      <c r="JI54" s="385">
        <v>276</v>
      </c>
      <c r="JJ54" s="451">
        <v>53.1</v>
      </c>
      <c r="JK54" s="384">
        <v>290</v>
      </c>
      <c r="JL54" s="385">
        <v>238</v>
      </c>
      <c r="JM54" s="451">
        <v>54.9</v>
      </c>
      <c r="JN54" s="384">
        <v>301</v>
      </c>
      <c r="JO54" s="385">
        <v>142</v>
      </c>
      <c r="JP54" s="451">
        <v>67.900000000000006</v>
      </c>
      <c r="JQ54" s="384"/>
      <c r="JR54" s="385"/>
      <c r="JS54" s="451"/>
      <c r="JT54" s="384">
        <v>11</v>
      </c>
      <c r="JU54" s="385">
        <v>4</v>
      </c>
      <c r="JV54" s="451">
        <v>73.3</v>
      </c>
      <c r="JW54" s="384">
        <v>4</v>
      </c>
      <c r="JX54" s="385"/>
      <c r="JY54" s="451">
        <v>100</v>
      </c>
      <c r="JZ54" s="384">
        <v>5</v>
      </c>
      <c r="KA54" s="385">
        <v>1</v>
      </c>
      <c r="KB54" s="451">
        <v>83.3</v>
      </c>
      <c r="KC54" s="384"/>
      <c r="KD54" s="385"/>
      <c r="KE54" s="451"/>
      <c r="KF54" s="384">
        <v>6</v>
      </c>
      <c r="KG54" s="385">
        <v>2</v>
      </c>
      <c r="KH54" s="451">
        <v>75</v>
      </c>
      <c r="KI54" s="384">
        <v>6</v>
      </c>
      <c r="KJ54" s="385">
        <v>2</v>
      </c>
      <c r="KK54" s="451">
        <v>75</v>
      </c>
      <c r="KL54" s="384">
        <v>4</v>
      </c>
      <c r="KM54" s="385"/>
      <c r="KN54" s="451">
        <v>100</v>
      </c>
      <c r="KO54" s="384"/>
      <c r="KP54" s="385"/>
      <c r="KQ54" s="451"/>
      <c r="KR54" s="384">
        <v>395</v>
      </c>
      <c r="KS54" s="385">
        <v>309</v>
      </c>
      <c r="KT54" s="451">
        <v>56.1</v>
      </c>
      <c r="KU54" s="384">
        <v>360</v>
      </c>
      <c r="KV54" s="385">
        <v>259</v>
      </c>
      <c r="KW54" s="451">
        <v>58.2</v>
      </c>
      <c r="KX54" s="384">
        <v>359</v>
      </c>
      <c r="KY54" s="385">
        <v>163</v>
      </c>
      <c r="KZ54" s="451">
        <v>68.8</v>
      </c>
      <c r="LA54" s="384"/>
      <c r="LB54" s="385"/>
      <c r="LC54" s="451"/>
      <c r="LD54" s="384">
        <v>2715</v>
      </c>
      <c r="LE54" s="385">
        <v>1939</v>
      </c>
      <c r="LF54" s="451">
        <v>58.3</v>
      </c>
      <c r="LG54" s="384">
        <v>2022</v>
      </c>
      <c r="LH54" s="385">
        <v>1685</v>
      </c>
      <c r="LI54" s="451">
        <v>54.5</v>
      </c>
      <c r="LJ54" s="384">
        <v>2210</v>
      </c>
      <c r="LK54" s="385">
        <v>1465</v>
      </c>
      <c r="LL54" s="451">
        <v>60.1</v>
      </c>
      <c r="LM54" s="384"/>
      <c r="LN54" s="385"/>
      <c r="LO54" s="451"/>
    </row>
    <row r="55" spans="1:327" x14ac:dyDescent="0.2">
      <c r="A55" s="1000" t="s">
        <v>581</v>
      </c>
      <c r="B55" s="749"/>
      <c r="C55" s="247" t="s">
        <v>582</v>
      </c>
      <c r="D55" s="441">
        <v>5</v>
      </c>
      <c r="E55" s="442">
        <v>1</v>
      </c>
      <c r="F55" s="443">
        <v>83.3</v>
      </c>
      <c r="G55" s="441">
        <v>3</v>
      </c>
      <c r="H55" s="442">
        <v>2</v>
      </c>
      <c r="I55" s="443">
        <v>60</v>
      </c>
      <c r="J55" s="441">
        <v>4</v>
      </c>
      <c r="K55" s="442"/>
      <c r="L55" s="443">
        <v>100</v>
      </c>
      <c r="M55" s="441"/>
      <c r="N55" s="442"/>
      <c r="O55" s="443"/>
      <c r="P55" s="441">
        <v>4</v>
      </c>
      <c r="Q55" s="442"/>
      <c r="R55" s="443">
        <v>100</v>
      </c>
      <c r="S55" s="441">
        <v>1</v>
      </c>
      <c r="T55" s="442">
        <v>2</v>
      </c>
      <c r="U55" s="443">
        <v>33.299999999999997</v>
      </c>
      <c r="V55" s="441">
        <v>4</v>
      </c>
      <c r="W55" s="442"/>
      <c r="X55" s="443">
        <v>100</v>
      </c>
      <c r="Y55" s="441"/>
      <c r="Z55" s="442"/>
      <c r="AA55" s="443"/>
      <c r="AB55" s="441">
        <v>1</v>
      </c>
      <c r="AC55" s="442"/>
      <c r="AD55" s="443">
        <v>100</v>
      </c>
      <c r="AE55" s="441">
        <v>2</v>
      </c>
      <c r="AF55" s="442"/>
      <c r="AG55" s="443">
        <v>100</v>
      </c>
      <c r="AH55" s="441"/>
      <c r="AI55" s="442"/>
      <c r="AJ55" s="443" t="s">
        <v>6</v>
      </c>
      <c r="AK55" s="441"/>
      <c r="AL55" s="442"/>
      <c r="AM55" s="443"/>
      <c r="AN55" s="441">
        <v>4</v>
      </c>
      <c r="AO55" s="442">
        <v>2</v>
      </c>
      <c r="AP55" s="443">
        <v>66.7</v>
      </c>
      <c r="AQ55" s="441">
        <v>8</v>
      </c>
      <c r="AR55" s="442">
        <v>2</v>
      </c>
      <c r="AS55" s="443">
        <v>80</v>
      </c>
      <c r="AT55" s="441">
        <v>20</v>
      </c>
      <c r="AU55" s="442">
        <v>1</v>
      </c>
      <c r="AV55" s="443">
        <v>95.2</v>
      </c>
      <c r="AW55" s="441"/>
      <c r="AX55" s="442"/>
      <c r="AY55" s="443"/>
      <c r="AZ55" s="441">
        <v>4</v>
      </c>
      <c r="BA55" s="442">
        <v>2</v>
      </c>
      <c r="BB55" s="443">
        <v>66.7</v>
      </c>
      <c r="BC55" s="441">
        <v>8</v>
      </c>
      <c r="BD55" s="442">
        <v>2</v>
      </c>
      <c r="BE55" s="443">
        <v>80</v>
      </c>
      <c r="BF55" s="441">
        <v>15</v>
      </c>
      <c r="BG55" s="442">
        <v>1</v>
      </c>
      <c r="BH55" s="443">
        <v>93.8</v>
      </c>
      <c r="BI55" s="441"/>
      <c r="BJ55" s="442"/>
      <c r="BK55" s="443"/>
      <c r="BL55" s="441"/>
      <c r="BM55" s="442"/>
      <c r="BN55" s="443" t="s">
        <v>6</v>
      </c>
      <c r="BO55" s="441">
        <v>2</v>
      </c>
      <c r="BP55" s="442">
        <v>1</v>
      </c>
      <c r="BQ55" s="443">
        <v>66.7</v>
      </c>
      <c r="BR55" s="441">
        <v>1</v>
      </c>
      <c r="BS55" s="442"/>
      <c r="BT55" s="443">
        <v>100</v>
      </c>
      <c r="BU55" s="441"/>
      <c r="BV55" s="442"/>
      <c r="BW55" s="443"/>
      <c r="BX55" s="441"/>
      <c r="BY55" s="442"/>
      <c r="BZ55" s="443" t="s">
        <v>6</v>
      </c>
      <c r="CA55" s="441"/>
      <c r="CB55" s="442"/>
      <c r="CC55" s="443" t="s">
        <v>6</v>
      </c>
      <c r="CD55" s="441">
        <v>1</v>
      </c>
      <c r="CE55" s="442"/>
      <c r="CF55" s="443">
        <v>100</v>
      </c>
      <c r="CG55" s="441"/>
      <c r="CH55" s="442"/>
      <c r="CI55" s="443"/>
      <c r="CJ55" s="441"/>
      <c r="CK55" s="442"/>
      <c r="CL55" s="443" t="s">
        <v>6</v>
      </c>
      <c r="CM55" s="441"/>
      <c r="CN55" s="442"/>
      <c r="CO55" s="443" t="s">
        <v>6</v>
      </c>
      <c r="CP55" s="441"/>
      <c r="CQ55" s="442"/>
      <c r="CR55" s="443" t="s">
        <v>6</v>
      </c>
      <c r="CS55" s="441"/>
      <c r="CT55" s="442"/>
      <c r="CU55" s="443"/>
      <c r="CV55" s="441"/>
      <c r="CW55" s="442"/>
      <c r="CX55" s="443" t="s">
        <v>6</v>
      </c>
      <c r="CY55" s="441">
        <v>1</v>
      </c>
      <c r="CZ55" s="442"/>
      <c r="DA55" s="443">
        <v>100</v>
      </c>
      <c r="DB55" s="441">
        <v>4</v>
      </c>
      <c r="DC55" s="442">
        <v>1</v>
      </c>
      <c r="DD55" s="443">
        <v>80</v>
      </c>
      <c r="DE55" s="441"/>
      <c r="DF55" s="442"/>
      <c r="DG55" s="443"/>
      <c r="DH55" s="441">
        <v>1</v>
      </c>
      <c r="DI55" s="442"/>
      <c r="DJ55" s="443">
        <v>100</v>
      </c>
      <c r="DK55" s="441"/>
      <c r="DL55" s="442"/>
      <c r="DM55" s="443" t="s">
        <v>6</v>
      </c>
      <c r="DN55" s="441"/>
      <c r="DO55" s="442"/>
      <c r="DP55" s="443" t="s">
        <v>6</v>
      </c>
      <c r="DQ55" s="441"/>
      <c r="DR55" s="442"/>
      <c r="DS55" s="443"/>
      <c r="DT55" s="441"/>
      <c r="DU55" s="442">
        <v>1</v>
      </c>
      <c r="DV55" s="443">
        <v>0</v>
      </c>
      <c r="DW55" s="441">
        <v>3</v>
      </c>
      <c r="DX55" s="442"/>
      <c r="DY55" s="443">
        <v>100</v>
      </c>
      <c r="DZ55" s="441">
        <v>6</v>
      </c>
      <c r="EA55" s="442"/>
      <c r="EB55" s="443">
        <v>100</v>
      </c>
      <c r="EC55" s="441"/>
      <c r="ED55" s="442"/>
      <c r="EE55" s="443"/>
      <c r="EF55" s="441"/>
      <c r="EG55" s="442">
        <v>3</v>
      </c>
      <c r="EH55" s="443">
        <v>0</v>
      </c>
      <c r="EI55" s="441"/>
      <c r="EJ55" s="442">
        <v>1</v>
      </c>
      <c r="EK55" s="443">
        <v>0</v>
      </c>
      <c r="EL55" s="441"/>
      <c r="EM55" s="442"/>
      <c r="EN55" s="443" t="s">
        <v>6</v>
      </c>
      <c r="EO55" s="441"/>
      <c r="EP55" s="442"/>
      <c r="EQ55" s="443"/>
      <c r="ER55" s="441"/>
      <c r="ES55" s="442"/>
      <c r="ET55" s="443" t="s">
        <v>6</v>
      </c>
      <c r="EU55" s="441"/>
      <c r="EV55" s="442"/>
      <c r="EW55" s="443" t="s">
        <v>6</v>
      </c>
      <c r="EX55" s="441"/>
      <c r="EY55" s="442"/>
      <c r="EZ55" s="443" t="s">
        <v>6</v>
      </c>
      <c r="FA55" s="441"/>
      <c r="FB55" s="442"/>
      <c r="FC55" s="443"/>
      <c r="FD55" s="441"/>
      <c r="FE55" s="442"/>
      <c r="FF55" s="443" t="s">
        <v>6</v>
      </c>
      <c r="FG55" s="441"/>
      <c r="FH55" s="442"/>
      <c r="FI55" s="443" t="s">
        <v>6</v>
      </c>
      <c r="FJ55" s="441"/>
      <c r="FK55" s="442"/>
      <c r="FL55" s="443" t="s">
        <v>6</v>
      </c>
      <c r="FM55" s="441"/>
      <c r="FN55" s="442"/>
      <c r="FO55" s="443"/>
      <c r="FP55" s="441"/>
      <c r="FQ55" s="442">
        <v>2</v>
      </c>
      <c r="FR55" s="443">
        <v>0</v>
      </c>
      <c r="FS55" s="441"/>
      <c r="FT55" s="442"/>
      <c r="FU55" s="443" t="s">
        <v>6</v>
      </c>
      <c r="FV55" s="441"/>
      <c r="FW55" s="442"/>
      <c r="FX55" s="443" t="s">
        <v>6</v>
      </c>
      <c r="FY55" s="441"/>
      <c r="FZ55" s="442"/>
      <c r="GA55" s="443"/>
      <c r="GB55" s="441">
        <v>2</v>
      </c>
      <c r="GC55" s="442"/>
      <c r="GD55" s="443">
        <v>100</v>
      </c>
      <c r="GE55" s="441">
        <v>4</v>
      </c>
      <c r="GF55" s="442"/>
      <c r="GG55" s="443">
        <v>100</v>
      </c>
      <c r="GH55" s="441"/>
      <c r="GI55" s="442">
        <v>1</v>
      </c>
      <c r="GJ55" s="443">
        <v>0</v>
      </c>
      <c r="GK55" s="441"/>
      <c r="GL55" s="442"/>
      <c r="GM55" s="443"/>
      <c r="GN55" s="441">
        <v>1</v>
      </c>
      <c r="GO55" s="442"/>
      <c r="GP55" s="443">
        <v>100</v>
      </c>
      <c r="GQ55" s="441"/>
      <c r="GR55" s="442"/>
      <c r="GS55" s="443" t="s">
        <v>6</v>
      </c>
      <c r="GT55" s="441"/>
      <c r="GU55" s="442"/>
      <c r="GV55" s="443" t="s">
        <v>6</v>
      </c>
      <c r="GW55" s="441"/>
      <c r="GX55" s="442"/>
      <c r="GY55" s="443"/>
      <c r="GZ55" s="441"/>
      <c r="HA55" s="442"/>
      <c r="HB55" s="443" t="s">
        <v>6</v>
      </c>
      <c r="HC55" s="441">
        <v>1</v>
      </c>
      <c r="HD55" s="442"/>
      <c r="HE55" s="443">
        <v>100</v>
      </c>
      <c r="HF55" s="441"/>
      <c r="HG55" s="442"/>
      <c r="HH55" s="443" t="s">
        <v>6</v>
      </c>
      <c r="HI55" s="441"/>
      <c r="HJ55" s="442"/>
      <c r="HK55" s="443"/>
      <c r="HL55" s="441"/>
      <c r="HM55" s="442"/>
      <c r="HN55" s="443" t="s">
        <v>6</v>
      </c>
      <c r="HO55" s="441"/>
      <c r="HP55" s="442"/>
      <c r="HQ55" s="443" t="s">
        <v>6</v>
      </c>
      <c r="HR55" s="441"/>
      <c r="HS55" s="442"/>
      <c r="HT55" s="443" t="s">
        <v>6</v>
      </c>
      <c r="HU55" s="441"/>
      <c r="HV55" s="442"/>
      <c r="HW55" s="443"/>
      <c r="HX55" s="441"/>
      <c r="HY55" s="442"/>
      <c r="HZ55" s="443" t="s">
        <v>6</v>
      </c>
      <c r="IA55" s="441"/>
      <c r="IB55" s="442"/>
      <c r="IC55" s="443" t="s">
        <v>6</v>
      </c>
      <c r="ID55" s="441"/>
      <c r="IE55" s="442"/>
      <c r="IF55" s="443" t="s">
        <v>6</v>
      </c>
      <c r="IG55" s="441"/>
      <c r="IH55" s="442"/>
      <c r="II55" s="443"/>
      <c r="IJ55" s="441"/>
      <c r="IK55" s="442"/>
      <c r="IL55" s="443" t="s">
        <v>6</v>
      </c>
      <c r="IM55" s="441"/>
      <c r="IN55" s="442"/>
      <c r="IO55" s="443" t="s">
        <v>6</v>
      </c>
      <c r="IP55" s="441"/>
      <c r="IQ55" s="442"/>
      <c r="IR55" s="443" t="s">
        <v>6</v>
      </c>
      <c r="IS55" s="441"/>
      <c r="IT55" s="442"/>
      <c r="IU55" s="443"/>
      <c r="IV55" s="441">
        <v>13</v>
      </c>
      <c r="IW55" s="442">
        <v>7</v>
      </c>
      <c r="IX55" s="443">
        <v>65</v>
      </c>
      <c r="IY55" s="441">
        <v>20</v>
      </c>
      <c r="IZ55" s="442">
        <v>5</v>
      </c>
      <c r="JA55" s="443">
        <v>80</v>
      </c>
      <c r="JB55" s="441">
        <v>35</v>
      </c>
      <c r="JC55" s="442">
        <v>3</v>
      </c>
      <c r="JD55" s="443">
        <v>92.1</v>
      </c>
      <c r="JE55" s="441"/>
      <c r="JF55" s="442"/>
      <c r="JG55" s="443"/>
      <c r="JH55" s="441">
        <v>1</v>
      </c>
      <c r="JI55" s="442">
        <v>2</v>
      </c>
      <c r="JJ55" s="443">
        <v>33.299999999999997</v>
      </c>
      <c r="JK55" s="441">
        <v>4</v>
      </c>
      <c r="JL55" s="442">
        <v>1</v>
      </c>
      <c r="JM55" s="443">
        <v>80</v>
      </c>
      <c r="JN55" s="441">
        <v>22</v>
      </c>
      <c r="JO55" s="442">
        <v>1</v>
      </c>
      <c r="JP55" s="443">
        <v>95.7</v>
      </c>
      <c r="JQ55" s="441"/>
      <c r="JR55" s="442"/>
      <c r="JS55" s="443"/>
      <c r="JT55" s="441">
        <v>1</v>
      </c>
      <c r="JU55" s="442"/>
      <c r="JV55" s="443">
        <v>100</v>
      </c>
      <c r="JW55" s="441"/>
      <c r="JX55" s="442">
        <v>1</v>
      </c>
      <c r="JY55" s="443">
        <v>0</v>
      </c>
      <c r="JZ55" s="441">
        <v>1</v>
      </c>
      <c r="KA55" s="442"/>
      <c r="KB55" s="443">
        <v>100</v>
      </c>
      <c r="KC55" s="441"/>
      <c r="KD55" s="442"/>
      <c r="KE55" s="443"/>
      <c r="KF55" s="441"/>
      <c r="KG55" s="442"/>
      <c r="KH55" s="443" t="s">
        <v>6</v>
      </c>
      <c r="KI55" s="441"/>
      <c r="KJ55" s="442"/>
      <c r="KK55" s="443" t="s">
        <v>6</v>
      </c>
      <c r="KL55" s="441"/>
      <c r="KM55" s="442"/>
      <c r="KN55" s="443" t="s">
        <v>6</v>
      </c>
      <c r="KO55" s="441"/>
      <c r="KP55" s="442"/>
      <c r="KQ55" s="443"/>
      <c r="KR55" s="441">
        <v>4</v>
      </c>
      <c r="KS55" s="442">
        <v>2</v>
      </c>
      <c r="KT55" s="443">
        <v>66.7</v>
      </c>
      <c r="KU55" s="441">
        <v>4</v>
      </c>
      <c r="KV55" s="442">
        <v>3</v>
      </c>
      <c r="KW55" s="443">
        <v>57.1</v>
      </c>
      <c r="KX55" s="441">
        <v>25</v>
      </c>
      <c r="KY55" s="442">
        <v>3</v>
      </c>
      <c r="KZ55" s="443">
        <v>89.3</v>
      </c>
      <c r="LA55" s="441"/>
      <c r="LB55" s="442"/>
      <c r="LC55" s="443"/>
      <c r="LD55" s="441">
        <v>57</v>
      </c>
      <c r="LE55" s="442">
        <v>22</v>
      </c>
      <c r="LF55" s="443">
        <v>72.2</v>
      </c>
      <c r="LG55" s="441">
        <v>52</v>
      </c>
      <c r="LH55" s="442">
        <v>14</v>
      </c>
      <c r="LI55" s="443">
        <v>78.8</v>
      </c>
      <c r="LJ55" s="441">
        <v>62</v>
      </c>
      <c r="LK55" s="442">
        <v>9</v>
      </c>
      <c r="LL55" s="443">
        <v>87.3</v>
      </c>
      <c r="LM55" s="441"/>
      <c r="LN55" s="442"/>
      <c r="LO55" s="443"/>
    </row>
    <row r="56" spans="1:327" x14ac:dyDescent="0.2">
      <c r="A56" s="1001"/>
      <c r="B56" s="747"/>
      <c r="C56" s="151" t="s">
        <v>668</v>
      </c>
      <c r="D56" s="377"/>
      <c r="E56" s="373"/>
      <c r="F56" s="444" t="s">
        <v>6</v>
      </c>
      <c r="G56" s="377"/>
      <c r="H56" s="373"/>
      <c r="I56" s="444" t="s">
        <v>6</v>
      </c>
      <c r="J56" s="377"/>
      <c r="K56" s="373"/>
      <c r="L56" s="444" t="s">
        <v>6</v>
      </c>
      <c r="M56" s="377"/>
      <c r="N56" s="373"/>
      <c r="O56" s="444"/>
      <c r="P56" s="377"/>
      <c r="Q56" s="373"/>
      <c r="R56" s="444" t="s">
        <v>6</v>
      </c>
      <c r="S56" s="377"/>
      <c r="T56" s="373"/>
      <c r="U56" s="444" t="s">
        <v>6</v>
      </c>
      <c r="V56" s="377"/>
      <c r="W56" s="373"/>
      <c r="X56" s="444" t="s">
        <v>6</v>
      </c>
      <c r="Y56" s="377"/>
      <c r="Z56" s="373"/>
      <c r="AA56" s="444"/>
      <c r="AB56" s="377"/>
      <c r="AC56" s="373"/>
      <c r="AD56" s="444" t="s">
        <v>6</v>
      </c>
      <c r="AE56" s="377"/>
      <c r="AF56" s="373"/>
      <c r="AG56" s="444" t="s">
        <v>6</v>
      </c>
      <c r="AH56" s="377"/>
      <c r="AI56" s="373"/>
      <c r="AJ56" s="444" t="s">
        <v>6</v>
      </c>
      <c r="AK56" s="377"/>
      <c r="AL56" s="373"/>
      <c r="AM56" s="444"/>
      <c r="AN56" s="377">
        <v>42</v>
      </c>
      <c r="AO56" s="373">
        <v>24</v>
      </c>
      <c r="AP56" s="444">
        <v>63.6</v>
      </c>
      <c r="AQ56" s="377">
        <v>51</v>
      </c>
      <c r="AR56" s="373">
        <v>15</v>
      </c>
      <c r="AS56" s="444">
        <v>77.3</v>
      </c>
      <c r="AT56" s="377">
        <v>81</v>
      </c>
      <c r="AU56" s="373">
        <v>13</v>
      </c>
      <c r="AV56" s="444">
        <v>86.2</v>
      </c>
      <c r="AW56" s="377"/>
      <c r="AX56" s="373"/>
      <c r="AY56" s="444"/>
      <c r="AZ56" s="377">
        <v>19</v>
      </c>
      <c r="BA56" s="373">
        <v>24</v>
      </c>
      <c r="BB56" s="444">
        <v>44.2</v>
      </c>
      <c r="BC56" s="377">
        <v>23</v>
      </c>
      <c r="BD56" s="373">
        <v>14</v>
      </c>
      <c r="BE56" s="444">
        <v>62.2</v>
      </c>
      <c r="BF56" s="377">
        <v>27</v>
      </c>
      <c r="BG56" s="373">
        <v>13</v>
      </c>
      <c r="BH56" s="444">
        <v>67.5</v>
      </c>
      <c r="BI56" s="377"/>
      <c r="BJ56" s="373"/>
      <c r="BK56" s="444"/>
      <c r="BL56" s="377"/>
      <c r="BM56" s="373"/>
      <c r="BN56" s="444" t="s">
        <v>6</v>
      </c>
      <c r="BO56" s="377"/>
      <c r="BP56" s="373"/>
      <c r="BQ56" s="444" t="s">
        <v>6</v>
      </c>
      <c r="BR56" s="377"/>
      <c r="BS56" s="373"/>
      <c r="BT56" s="444" t="s">
        <v>6</v>
      </c>
      <c r="BU56" s="377"/>
      <c r="BV56" s="373"/>
      <c r="BW56" s="444"/>
      <c r="BX56" s="377">
        <v>2</v>
      </c>
      <c r="BY56" s="373"/>
      <c r="BZ56" s="444">
        <v>100</v>
      </c>
      <c r="CA56" s="377">
        <v>2</v>
      </c>
      <c r="CB56" s="373"/>
      <c r="CC56" s="444">
        <v>100</v>
      </c>
      <c r="CD56" s="377">
        <v>1</v>
      </c>
      <c r="CE56" s="373"/>
      <c r="CF56" s="444">
        <v>100</v>
      </c>
      <c r="CG56" s="377"/>
      <c r="CH56" s="373"/>
      <c r="CI56" s="444"/>
      <c r="CJ56" s="377"/>
      <c r="CK56" s="373"/>
      <c r="CL56" s="444" t="s">
        <v>6</v>
      </c>
      <c r="CM56" s="377"/>
      <c r="CN56" s="373"/>
      <c r="CO56" s="444" t="s">
        <v>6</v>
      </c>
      <c r="CP56" s="377"/>
      <c r="CQ56" s="373"/>
      <c r="CR56" s="444" t="s">
        <v>6</v>
      </c>
      <c r="CS56" s="377"/>
      <c r="CT56" s="373"/>
      <c r="CU56" s="444"/>
      <c r="CV56" s="377">
        <v>98</v>
      </c>
      <c r="CW56" s="373">
        <v>65</v>
      </c>
      <c r="CX56" s="444">
        <v>60.1</v>
      </c>
      <c r="CY56" s="377">
        <v>124</v>
      </c>
      <c r="CZ56" s="373">
        <v>61</v>
      </c>
      <c r="DA56" s="444">
        <v>67</v>
      </c>
      <c r="DB56" s="377">
        <v>145</v>
      </c>
      <c r="DC56" s="373">
        <v>47</v>
      </c>
      <c r="DD56" s="444">
        <v>75.5</v>
      </c>
      <c r="DE56" s="377"/>
      <c r="DF56" s="373"/>
      <c r="DG56" s="444"/>
      <c r="DH56" s="377"/>
      <c r="DI56" s="373"/>
      <c r="DJ56" s="444" t="s">
        <v>6</v>
      </c>
      <c r="DK56" s="377">
        <v>2</v>
      </c>
      <c r="DL56" s="373">
        <v>1</v>
      </c>
      <c r="DM56" s="444">
        <v>66.7</v>
      </c>
      <c r="DN56" s="377">
        <v>1</v>
      </c>
      <c r="DO56" s="373">
        <v>1</v>
      </c>
      <c r="DP56" s="444">
        <v>50</v>
      </c>
      <c r="DQ56" s="377"/>
      <c r="DR56" s="373"/>
      <c r="DS56" s="444"/>
      <c r="DT56" s="377">
        <v>2</v>
      </c>
      <c r="DU56" s="373"/>
      <c r="DV56" s="444">
        <v>100</v>
      </c>
      <c r="DW56" s="377">
        <v>16</v>
      </c>
      <c r="DX56" s="373"/>
      <c r="DY56" s="444">
        <v>100</v>
      </c>
      <c r="DZ56" s="377">
        <v>31</v>
      </c>
      <c r="EA56" s="373"/>
      <c r="EB56" s="444">
        <v>100</v>
      </c>
      <c r="EC56" s="377"/>
      <c r="ED56" s="373"/>
      <c r="EE56" s="444"/>
      <c r="EF56" s="377">
        <v>585</v>
      </c>
      <c r="EG56" s="373">
        <v>2454</v>
      </c>
      <c r="EH56" s="444">
        <v>19.2</v>
      </c>
      <c r="EI56" s="377">
        <v>549</v>
      </c>
      <c r="EJ56" s="373">
        <v>1995</v>
      </c>
      <c r="EK56" s="444">
        <v>21.6</v>
      </c>
      <c r="EL56" s="377">
        <v>609</v>
      </c>
      <c r="EM56" s="373">
        <v>1725</v>
      </c>
      <c r="EN56" s="444">
        <v>26.1</v>
      </c>
      <c r="EO56" s="377"/>
      <c r="EP56" s="373"/>
      <c r="EQ56" s="444"/>
      <c r="ER56" s="377">
        <v>2</v>
      </c>
      <c r="ES56" s="373">
        <v>6</v>
      </c>
      <c r="ET56" s="444">
        <v>25</v>
      </c>
      <c r="EU56" s="377">
        <v>2</v>
      </c>
      <c r="EV56" s="373">
        <v>8</v>
      </c>
      <c r="EW56" s="444">
        <v>20</v>
      </c>
      <c r="EX56" s="377">
        <v>3</v>
      </c>
      <c r="EY56" s="373">
        <v>7</v>
      </c>
      <c r="EZ56" s="444">
        <v>30</v>
      </c>
      <c r="FA56" s="377"/>
      <c r="FB56" s="373"/>
      <c r="FC56" s="444"/>
      <c r="FD56" s="377">
        <v>29</v>
      </c>
      <c r="FE56" s="373">
        <v>57</v>
      </c>
      <c r="FF56" s="444">
        <v>33.700000000000003</v>
      </c>
      <c r="FG56" s="377">
        <v>6</v>
      </c>
      <c r="FH56" s="373">
        <v>53</v>
      </c>
      <c r="FI56" s="444">
        <v>10.199999999999999</v>
      </c>
      <c r="FJ56" s="377">
        <v>5</v>
      </c>
      <c r="FK56" s="373">
        <v>44</v>
      </c>
      <c r="FL56" s="444">
        <v>10.199999999999999</v>
      </c>
      <c r="FM56" s="377"/>
      <c r="FN56" s="373"/>
      <c r="FO56" s="444"/>
      <c r="FP56" s="377">
        <v>162</v>
      </c>
      <c r="FQ56" s="373">
        <v>429</v>
      </c>
      <c r="FR56" s="444">
        <v>27.4</v>
      </c>
      <c r="FS56" s="377">
        <v>105</v>
      </c>
      <c r="FT56" s="373">
        <v>367</v>
      </c>
      <c r="FU56" s="444">
        <v>22.2</v>
      </c>
      <c r="FV56" s="377">
        <v>202</v>
      </c>
      <c r="FW56" s="373">
        <v>314</v>
      </c>
      <c r="FX56" s="444">
        <v>39.1</v>
      </c>
      <c r="FY56" s="377"/>
      <c r="FZ56" s="373"/>
      <c r="GA56" s="444"/>
      <c r="GB56" s="377">
        <v>37</v>
      </c>
      <c r="GC56" s="373">
        <v>16</v>
      </c>
      <c r="GD56" s="444">
        <v>69.8</v>
      </c>
      <c r="GE56" s="377">
        <v>32</v>
      </c>
      <c r="GF56" s="373">
        <v>8</v>
      </c>
      <c r="GG56" s="444">
        <v>80</v>
      </c>
      <c r="GH56" s="377">
        <v>22</v>
      </c>
      <c r="GI56" s="373">
        <v>7</v>
      </c>
      <c r="GJ56" s="444">
        <v>75.900000000000006</v>
      </c>
      <c r="GK56" s="377"/>
      <c r="GL56" s="373"/>
      <c r="GM56" s="444"/>
      <c r="GN56" s="377">
        <v>28</v>
      </c>
      <c r="GO56" s="373">
        <v>15</v>
      </c>
      <c r="GP56" s="444">
        <v>65.099999999999994</v>
      </c>
      <c r="GQ56" s="377">
        <v>26</v>
      </c>
      <c r="GR56" s="373">
        <v>24</v>
      </c>
      <c r="GS56" s="444">
        <v>52</v>
      </c>
      <c r="GT56" s="377">
        <v>29</v>
      </c>
      <c r="GU56" s="373">
        <v>23</v>
      </c>
      <c r="GV56" s="444">
        <v>55.8</v>
      </c>
      <c r="GW56" s="377"/>
      <c r="GX56" s="373"/>
      <c r="GY56" s="444"/>
      <c r="GZ56" s="377">
        <v>2</v>
      </c>
      <c r="HA56" s="373">
        <v>3</v>
      </c>
      <c r="HB56" s="444">
        <v>40</v>
      </c>
      <c r="HC56" s="377"/>
      <c r="HD56" s="373">
        <v>1</v>
      </c>
      <c r="HE56" s="444">
        <v>0</v>
      </c>
      <c r="HF56" s="377">
        <v>2</v>
      </c>
      <c r="HG56" s="373"/>
      <c r="HH56" s="444">
        <v>100</v>
      </c>
      <c r="HI56" s="377"/>
      <c r="HJ56" s="373"/>
      <c r="HK56" s="444"/>
      <c r="HL56" s="377">
        <v>24</v>
      </c>
      <c r="HM56" s="373">
        <v>129</v>
      </c>
      <c r="HN56" s="444">
        <v>15.7</v>
      </c>
      <c r="HO56" s="377">
        <v>15</v>
      </c>
      <c r="HP56" s="373">
        <v>143</v>
      </c>
      <c r="HQ56" s="444">
        <v>9.5</v>
      </c>
      <c r="HR56" s="377">
        <v>34</v>
      </c>
      <c r="HS56" s="373">
        <v>111</v>
      </c>
      <c r="HT56" s="444">
        <v>23.4</v>
      </c>
      <c r="HU56" s="377"/>
      <c r="HV56" s="373"/>
      <c r="HW56" s="444"/>
      <c r="HX56" s="377">
        <v>6</v>
      </c>
      <c r="HY56" s="373"/>
      <c r="HZ56" s="444">
        <v>100</v>
      </c>
      <c r="IA56" s="377"/>
      <c r="IB56" s="373"/>
      <c r="IC56" s="444" t="s">
        <v>6</v>
      </c>
      <c r="ID56" s="377">
        <v>10</v>
      </c>
      <c r="IE56" s="373"/>
      <c r="IF56" s="444">
        <v>100</v>
      </c>
      <c r="IG56" s="377"/>
      <c r="IH56" s="373"/>
      <c r="II56" s="444"/>
      <c r="IJ56" s="377">
        <v>7</v>
      </c>
      <c r="IK56" s="373">
        <v>3</v>
      </c>
      <c r="IL56" s="444">
        <v>70</v>
      </c>
      <c r="IM56" s="377">
        <v>8</v>
      </c>
      <c r="IN56" s="373">
        <v>8</v>
      </c>
      <c r="IO56" s="444">
        <v>50</v>
      </c>
      <c r="IP56" s="377">
        <v>11</v>
      </c>
      <c r="IQ56" s="373">
        <v>7</v>
      </c>
      <c r="IR56" s="444">
        <v>61.1</v>
      </c>
      <c r="IS56" s="377"/>
      <c r="IT56" s="373"/>
      <c r="IU56" s="444"/>
      <c r="IV56" s="377">
        <v>833</v>
      </c>
      <c r="IW56" s="373">
        <v>2709</v>
      </c>
      <c r="IX56" s="444">
        <v>23.5</v>
      </c>
      <c r="IY56" s="377">
        <v>825</v>
      </c>
      <c r="IZ56" s="373">
        <v>2256</v>
      </c>
      <c r="JA56" s="444">
        <v>26.8</v>
      </c>
      <c r="JB56" s="377">
        <v>976</v>
      </c>
      <c r="JC56" s="373">
        <v>1934</v>
      </c>
      <c r="JD56" s="444">
        <v>33.5</v>
      </c>
      <c r="JE56" s="377"/>
      <c r="JF56" s="373"/>
      <c r="JG56" s="444"/>
      <c r="JH56" s="377">
        <v>156</v>
      </c>
      <c r="JI56" s="373">
        <v>413</v>
      </c>
      <c r="JJ56" s="444">
        <v>27.4</v>
      </c>
      <c r="JK56" s="377">
        <v>186</v>
      </c>
      <c r="JL56" s="373">
        <v>338</v>
      </c>
      <c r="JM56" s="444">
        <v>35.5</v>
      </c>
      <c r="JN56" s="377">
        <v>225</v>
      </c>
      <c r="JO56" s="373">
        <v>339</v>
      </c>
      <c r="JP56" s="444">
        <v>39.9</v>
      </c>
      <c r="JQ56" s="377"/>
      <c r="JR56" s="373"/>
      <c r="JS56" s="444"/>
      <c r="JT56" s="377">
        <v>5</v>
      </c>
      <c r="JU56" s="373">
        <v>1</v>
      </c>
      <c r="JV56" s="444">
        <v>83.3</v>
      </c>
      <c r="JW56" s="377">
        <v>6</v>
      </c>
      <c r="JX56" s="373">
        <v>4</v>
      </c>
      <c r="JY56" s="444">
        <v>60</v>
      </c>
      <c r="JZ56" s="377">
        <v>7</v>
      </c>
      <c r="KA56" s="373">
        <v>1</v>
      </c>
      <c r="KB56" s="444">
        <v>87.5</v>
      </c>
      <c r="KC56" s="377"/>
      <c r="KD56" s="373"/>
      <c r="KE56" s="444"/>
      <c r="KF56" s="377">
        <v>8</v>
      </c>
      <c r="KG56" s="373">
        <v>1</v>
      </c>
      <c r="KH56" s="444">
        <v>88.9</v>
      </c>
      <c r="KI56" s="377">
        <v>3</v>
      </c>
      <c r="KJ56" s="373">
        <v>1</v>
      </c>
      <c r="KK56" s="444">
        <v>75</v>
      </c>
      <c r="KL56" s="377">
        <v>5</v>
      </c>
      <c r="KM56" s="373">
        <v>2</v>
      </c>
      <c r="KN56" s="444">
        <v>71.400000000000006</v>
      </c>
      <c r="KO56" s="377"/>
      <c r="KP56" s="373"/>
      <c r="KQ56" s="444"/>
      <c r="KR56" s="377">
        <v>225</v>
      </c>
      <c r="KS56" s="373">
        <v>453</v>
      </c>
      <c r="KT56" s="444">
        <v>33.200000000000003</v>
      </c>
      <c r="KU56" s="377">
        <v>250</v>
      </c>
      <c r="KV56" s="373">
        <v>363</v>
      </c>
      <c r="KW56" s="444">
        <v>40.799999999999997</v>
      </c>
      <c r="KX56" s="377">
        <v>293</v>
      </c>
      <c r="KY56" s="373">
        <v>351</v>
      </c>
      <c r="KZ56" s="444">
        <v>45.5</v>
      </c>
      <c r="LA56" s="377"/>
      <c r="LB56" s="373"/>
      <c r="LC56" s="444"/>
      <c r="LD56" s="377">
        <v>1172</v>
      </c>
      <c r="LE56" s="373">
        <v>3004</v>
      </c>
      <c r="LF56" s="444">
        <v>28.1</v>
      </c>
      <c r="LG56" s="377">
        <v>1602</v>
      </c>
      <c r="LH56" s="373">
        <v>2598</v>
      </c>
      <c r="LI56" s="444">
        <v>38.1</v>
      </c>
      <c r="LJ56" s="377">
        <v>1933</v>
      </c>
      <c r="LK56" s="373">
        <v>2216</v>
      </c>
      <c r="LL56" s="444">
        <v>46.6</v>
      </c>
      <c r="LM56" s="377"/>
      <c r="LN56" s="373"/>
      <c r="LO56" s="444"/>
    </row>
    <row r="57" spans="1:327" x14ac:dyDescent="0.2">
      <c r="A57" s="1001"/>
      <c r="B57" s="747" t="s">
        <v>621</v>
      </c>
      <c r="C57" s="151" t="s">
        <v>669</v>
      </c>
      <c r="D57" s="377"/>
      <c r="E57" s="373"/>
      <c r="F57" s="444" t="s">
        <v>6</v>
      </c>
      <c r="G57" s="377"/>
      <c r="H57" s="373"/>
      <c r="I57" s="444" t="s">
        <v>6</v>
      </c>
      <c r="J57" s="377"/>
      <c r="K57" s="373"/>
      <c r="L57" s="444" t="s">
        <v>6</v>
      </c>
      <c r="M57" s="377"/>
      <c r="N57" s="373"/>
      <c r="O57" s="444"/>
      <c r="P57" s="377"/>
      <c r="Q57" s="373"/>
      <c r="R57" s="444" t="s">
        <v>6</v>
      </c>
      <c r="S57" s="377"/>
      <c r="T57" s="373"/>
      <c r="U57" s="444" t="s">
        <v>6</v>
      </c>
      <c r="V57" s="377"/>
      <c r="W57" s="373"/>
      <c r="X57" s="444" t="s">
        <v>6</v>
      </c>
      <c r="Y57" s="377"/>
      <c r="Z57" s="373"/>
      <c r="AA57" s="444"/>
      <c r="AB57" s="377"/>
      <c r="AC57" s="373"/>
      <c r="AD57" s="444" t="s">
        <v>6</v>
      </c>
      <c r="AE57" s="377"/>
      <c r="AF57" s="373"/>
      <c r="AG57" s="444" t="s">
        <v>6</v>
      </c>
      <c r="AH57" s="377"/>
      <c r="AI57" s="373"/>
      <c r="AJ57" s="444" t="s">
        <v>6</v>
      </c>
      <c r="AK57" s="377"/>
      <c r="AL57" s="373"/>
      <c r="AM57" s="444"/>
      <c r="AN57" s="377">
        <v>21</v>
      </c>
      <c r="AO57" s="373">
        <v>1</v>
      </c>
      <c r="AP57" s="444">
        <v>95.5</v>
      </c>
      <c r="AQ57" s="377">
        <v>8</v>
      </c>
      <c r="AR57" s="373">
        <v>2</v>
      </c>
      <c r="AS57" s="444">
        <v>80</v>
      </c>
      <c r="AT57" s="377">
        <v>7</v>
      </c>
      <c r="AU57" s="373"/>
      <c r="AV57" s="444">
        <v>100</v>
      </c>
      <c r="AW57" s="377"/>
      <c r="AX57" s="373"/>
      <c r="AY57" s="444"/>
      <c r="AZ57" s="377">
        <v>8</v>
      </c>
      <c r="BA57" s="373">
        <v>1</v>
      </c>
      <c r="BB57" s="444">
        <v>88.9</v>
      </c>
      <c r="BC57" s="377">
        <v>4</v>
      </c>
      <c r="BD57" s="373">
        <v>1</v>
      </c>
      <c r="BE57" s="444">
        <v>80</v>
      </c>
      <c r="BF57" s="377">
        <v>5</v>
      </c>
      <c r="BG57" s="373"/>
      <c r="BH57" s="444">
        <v>100</v>
      </c>
      <c r="BI57" s="377"/>
      <c r="BJ57" s="373"/>
      <c r="BK57" s="444"/>
      <c r="BL57" s="377"/>
      <c r="BM57" s="373"/>
      <c r="BN57" s="444" t="s">
        <v>6</v>
      </c>
      <c r="BO57" s="377"/>
      <c r="BP57" s="373"/>
      <c r="BQ57" s="444" t="s">
        <v>6</v>
      </c>
      <c r="BR57" s="377"/>
      <c r="BS57" s="373"/>
      <c r="BT57" s="444" t="s">
        <v>6</v>
      </c>
      <c r="BU57" s="377"/>
      <c r="BV57" s="373"/>
      <c r="BW57" s="444"/>
      <c r="BX57" s="377">
        <v>2</v>
      </c>
      <c r="BY57" s="373"/>
      <c r="BZ57" s="444">
        <v>100</v>
      </c>
      <c r="CA57" s="377"/>
      <c r="CB57" s="373"/>
      <c r="CC57" s="444" t="s">
        <v>6</v>
      </c>
      <c r="CD57" s="377"/>
      <c r="CE57" s="373"/>
      <c r="CF57" s="444" t="s">
        <v>6</v>
      </c>
      <c r="CG57" s="377"/>
      <c r="CH57" s="373"/>
      <c r="CI57" s="444"/>
      <c r="CJ57" s="377"/>
      <c r="CK57" s="373"/>
      <c r="CL57" s="444" t="s">
        <v>6</v>
      </c>
      <c r="CM57" s="377"/>
      <c r="CN57" s="373"/>
      <c r="CO57" s="444" t="s">
        <v>6</v>
      </c>
      <c r="CP57" s="377"/>
      <c r="CQ57" s="373"/>
      <c r="CR57" s="444" t="s">
        <v>6</v>
      </c>
      <c r="CS57" s="377"/>
      <c r="CT57" s="373"/>
      <c r="CU57" s="444"/>
      <c r="CV57" s="377">
        <v>43</v>
      </c>
      <c r="CW57" s="373">
        <v>4</v>
      </c>
      <c r="CX57" s="444">
        <v>91.5</v>
      </c>
      <c r="CY57" s="377">
        <v>37</v>
      </c>
      <c r="CZ57" s="373">
        <v>1</v>
      </c>
      <c r="DA57" s="444">
        <v>97.4</v>
      </c>
      <c r="DB57" s="377">
        <v>16</v>
      </c>
      <c r="DC57" s="373"/>
      <c r="DD57" s="444">
        <v>100</v>
      </c>
      <c r="DE57" s="377"/>
      <c r="DF57" s="373"/>
      <c r="DG57" s="444"/>
      <c r="DH57" s="377"/>
      <c r="DI57" s="373"/>
      <c r="DJ57" s="444" t="s">
        <v>6</v>
      </c>
      <c r="DK57" s="377">
        <v>2</v>
      </c>
      <c r="DL57" s="373"/>
      <c r="DM57" s="444">
        <v>100</v>
      </c>
      <c r="DN57" s="377"/>
      <c r="DO57" s="373"/>
      <c r="DP57" s="444" t="s">
        <v>6</v>
      </c>
      <c r="DQ57" s="377"/>
      <c r="DR57" s="373"/>
      <c r="DS57" s="444"/>
      <c r="DT57" s="377"/>
      <c r="DU57" s="373"/>
      <c r="DV57" s="444" t="s">
        <v>6</v>
      </c>
      <c r="DW57" s="377">
        <v>1</v>
      </c>
      <c r="DX57" s="373"/>
      <c r="DY57" s="444">
        <v>100</v>
      </c>
      <c r="DZ57" s="377"/>
      <c r="EA57" s="373"/>
      <c r="EB57" s="444" t="s">
        <v>6</v>
      </c>
      <c r="EC57" s="377"/>
      <c r="ED57" s="373"/>
      <c r="EE57" s="444"/>
      <c r="EF57" s="377">
        <v>115</v>
      </c>
      <c r="EG57" s="373">
        <v>107</v>
      </c>
      <c r="EH57" s="444">
        <v>51.8</v>
      </c>
      <c r="EI57" s="377">
        <v>85</v>
      </c>
      <c r="EJ57" s="373">
        <v>86</v>
      </c>
      <c r="EK57" s="444">
        <v>49.7</v>
      </c>
      <c r="EL57" s="377">
        <v>80</v>
      </c>
      <c r="EM57" s="373">
        <v>96</v>
      </c>
      <c r="EN57" s="444">
        <v>45.5</v>
      </c>
      <c r="EO57" s="377"/>
      <c r="EP57" s="373"/>
      <c r="EQ57" s="444"/>
      <c r="ER57" s="377"/>
      <c r="ES57" s="373"/>
      <c r="ET57" s="444" t="s">
        <v>6</v>
      </c>
      <c r="EU57" s="377"/>
      <c r="EV57" s="373"/>
      <c r="EW57" s="444" t="s">
        <v>6</v>
      </c>
      <c r="EX57" s="377"/>
      <c r="EY57" s="373"/>
      <c r="EZ57" s="444" t="s">
        <v>6</v>
      </c>
      <c r="FA57" s="377"/>
      <c r="FB57" s="373"/>
      <c r="FC57" s="444"/>
      <c r="FD57" s="377">
        <v>2</v>
      </c>
      <c r="FE57" s="373"/>
      <c r="FF57" s="444">
        <v>100</v>
      </c>
      <c r="FG57" s="377"/>
      <c r="FH57" s="373">
        <v>1</v>
      </c>
      <c r="FI57" s="444">
        <v>0</v>
      </c>
      <c r="FJ57" s="377">
        <v>1</v>
      </c>
      <c r="FK57" s="373">
        <v>3</v>
      </c>
      <c r="FL57" s="444">
        <v>25</v>
      </c>
      <c r="FM57" s="377"/>
      <c r="FN57" s="373"/>
      <c r="FO57" s="444"/>
      <c r="FP57" s="377">
        <v>21</v>
      </c>
      <c r="FQ57" s="373">
        <v>24</v>
      </c>
      <c r="FR57" s="444">
        <v>46.7</v>
      </c>
      <c r="FS57" s="377">
        <v>14</v>
      </c>
      <c r="FT57" s="373">
        <v>10</v>
      </c>
      <c r="FU57" s="444">
        <v>58.3</v>
      </c>
      <c r="FV57" s="377">
        <v>16</v>
      </c>
      <c r="FW57" s="373">
        <v>11</v>
      </c>
      <c r="FX57" s="444">
        <v>59.3</v>
      </c>
      <c r="FY57" s="377"/>
      <c r="FZ57" s="373"/>
      <c r="GA57" s="444"/>
      <c r="GB57" s="377"/>
      <c r="GC57" s="373"/>
      <c r="GD57" s="444" t="s">
        <v>6</v>
      </c>
      <c r="GE57" s="377">
        <v>2</v>
      </c>
      <c r="GF57" s="373"/>
      <c r="GG57" s="444">
        <v>100</v>
      </c>
      <c r="GH57" s="377"/>
      <c r="GI57" s="373"/>
      <c r="GJ57" s="444" t="s">
        <v>6</v>
      </c>
      <c r="GK57" s="377"/>
      <c r="GL57" s="373"/>
      <c r="GM57" s="444"/>
      <c r="GN57" s="377">
        <v>2</v>
      </c>
      <c r="GO57" s="373"/>
      <c r="GP57" s="444">
        <v>100</v>
      </c>
      <c r="GQ57" s="377">
        <v>1</v>
      </c>
      <c r="GR57" s="373"/>
      <c r="GS57" s="444">
        <v>100</v>
      </c>
      <c r="GT57" s="377"/>
      <c r="GU57" s="373"/>
      <c r="GV57" s="444" t="s">
        <v>6</v>
      </c>
      <c r="GW57" s="377"/>
      <c r="GX57" s="373"/>
      <c r="GY57" s="444"/>
      <c r="GZ57" s="377"/>
      <c r="HA57" s="373"/>
      <c r="HB57" s="444" t="s">
        <v>6</v>
      </c>
      <c r="HC57" s="377"/>
      <c r="HD57" s="373"/>
      <c r="HE57" s="444" t="s">
        <v>6</v>
      </c>
      <c r="HF57" s="377"/>
      <c r="HG57" s="373"/>
      <c r="HH57" s="444" t="s">
        <v>6</v>
      </c>
      <c r="HI57" s="377"/>
      <c r="HJ57" s="373"/>
      <c r="HK57" s="444"/>
      <c r="HL57" s="377">
        <v>10</v>
      </c>
      <c r="HM57" s="373">
        <v>8</v>
      </c>
      <c r="HN57" s="444">
        <v>55.6</v>
      </c>
      <c r="HO57" s="377">
        <v>1</v>
      </c>
      <c r="HP57" s="373">
        <v>5</v>
      </c>
      <c r="HQ57" s="444">
        <v>16.7</v>
      </c>
      <c r="HR57" s="377">
        <v>3</v>
      </c>
      <c r="HS57" s="373">
        <v>1</v>
      </c>
      <c r="HT57" s="444">
        <v>75</v>
      </c>
      <c r="HU57" s="377"/>
      <c r="HV57" s="373"/>
      <c r="HW57" s="444"/>
      <c r="HX57" s="377">
        <v>2</v>
      </c>
      <c r="HY57" s="373"/>
      <c r="HZ57" s="444">
        <v>100</v>
      </c>
      <c r="IA57" s="377">
        <v>1</v>
      </c>
      <c r="IB57" s="373"/>
      <c r="IC57" s="444">
        <v>100</v>
      </c>
      <c r="ID57" s="377"/>
      <c r="IE57" s="373"/>
      <c r="IF57" s="444" t="s">
        <v>6</v>
      </c>
      <c r="IG57" s="377"/>
      <c r="IH57" s="373"/>
      <c r="II57" s="444"/>
      <c r="IJ57" s="377">
        <v>2</v>
      </c>
      <c r="IK57" s="373"/>
      <c r="IL57" s="444">
        <v>100</v>
      </c>
      <c r="IM57" s="377">
        <v>2</v>
      </c>
      <c r="IN57" s="373"/>
      <c r="IO57" s="444">
        <v>100</v>
      </c>
      <c r="IP57" s="377"/>
      <c r="IQ57" s="373"/>
      <c r="IR57" s="444" t="s">
        <v>6</v>
      </c>
      <c r="IS57" s="377"/>
      <c r="IT57" s="373"/>
      <c r="IU57" s="444"/>
      <c r="IV57" s="377">
        <v>197</v>
      </c>
      <c r="IW57" s="373">
        <v>120</v>
      </c>
      <c r="IX57" s="444">
        <v>62.1</v>
      </c>
      <c r="IY57" s="377">
        <v>140</v>
      </c>
      <c r="IZ57" s="373">
        <v>94</v>
      </c>
      <c r="JA57" s="444">
        <v>59.8</v>
      </c>
      <c r="JB57" s="377">
        <v>106</v>
      </c>
      <c r="JC57" s="373">
        <v>97</v>
      </c>
      <c r="JD57" s="444">
        <v>52.2</v>
      </c>
      <c r="JE57" s="377"/>
      <c r="JF57" s="373"/>
      <c r="JG57" s="444"/>
      <c r="JH57" s="377">
        <v>18</v>
      </c>
      <c r="JI57" s="373">
        <v>4</v>
      </c>
      <c r="JJ57" s="444">
        <v>81.8</v>
      </c>
      <c r="JK57" s="377">
        <v>9</v>
      </c>
      <c r="JL57" s="373">
        <v>3</v>
      </c>
      <c r="JM57" s="444">
        <v>75</v>
      </c>
      <c r="JN57" s="377">
        <v>6</v>
      </c>
      <c r="JO57" s="373">
        <v>10</v>
      </c>
      <c r="JP57" s="444">
        <v>37.5</v>
      </c>
      <c r="JQ57" s="377"/>
      <c r="JR57" s="373"/>
      <c r="JS57" s="444"/>
      <c r="JT57" s="377"/>
      <c r="JU57" s="373"/>
      <c r="JV57" s="444" t="s">
        <v>6</v>
      </c>
      <c r="JW57" s="377">
        <v>2</v>
      </c>
      <c r="JX57" s="373"/>
      <c r="JY57" s="444">
        <v>100</v>
      </c>
      <c r="JZ57" s="377"/>
      <c r="KA57" s="373"/>
      <c r="KB57" s="444" t="s">
        <v>6</v>
      </c>
      <c r="KC57" s="377"/>
      <c r="KD57" s="373"/>
      <c r="KE57" s="444"/>
      <c r="KF57" s="377"/>
      <c r="KG57" s="373"/>
      <c r="KH57" s="444" t="s">
        <v>6</v>
      </c>
      <c r="KI57" s="377"/>
      <c r="KJ57" s="373"/>
      <c r="KK57" s="444" t="s">
        <v>6</v>
      </c>
      <c r="KL57" s="377"/>
      <c r="KM57" s="373"/>
      <c r="KN57" s="444" t="s">
        <v>6</v>
      </c>
      <c r="KO57" s="377"/>
      <c r="KP57" s="373"/>
      <c r="KQ57" s="444"/>
      <c r="KR57" s="377">
        <v>22</v>
      </c>
      <c r="KS57" s="373">
        <v>4</v>
      </c>
      <c r="KT57" s="444">
        <v>84.6</v>
      </c>
      <c r="KU57" s="377">
        <v>12</v>
      </c>
      <c r="KV57" s="373">
        <v>4</v>
      </c>
      <c r="KW57" s="444">
        <v>75</v>
      </c>
      <c r="KX57" s="377">
        <v>8</v>
      </c>
      <c r="KY57" s="373">
        <v>14</v>
      </c>
      <c r="KZ57" s="444">
        <v>36.4</v>
      </c>
      <c r="LA57" s="377"/>
      <c r="LB57" s="373"/>
      <c r="LC57" s="444"/>
      <c r="LD57" s="377">
        <v>258</v>
      </c>
      <c r="LE57" s="373">
        <v>129</v>
      </c>
      <c r="LF57" s="444">
        <v>66.7</v>
      </c>
      <c r="LG57" s="377">
        <v>234</v>
      </c>
      <c r="LH57" s="373">
        <v>106</v>
      </c>
      <c r="LI57" s="444">
        <v>68.8</v>
      </c>
      <c r="LJ57" s="377">
        <v>162</v>
      </c>
      <c r="LK57" s="373">
        <v>109</v>
      </c>
      <c r="LL57" s="444">
        <v>59.8</v>
      </c>
      <c r="LM57" s="377"/>
      <c r="LN57" s="373"/>
      <c r="LO57" s="444"/>
    </row>
    <row r="58" spans="1:327" x14ac:dyDescent="0.2">
      <c r="A58" s="1001"/>
      <c r="B58" s="747" t="s">
        <v>621</v>
      </c>
      <c r="C58" s="151" t="s">
        <v>670</v>
      </c>
      <c r="D58" s="377"/>
      <c r="E58" s="373"/>
      <c r="F58" s="444" t="s">
        <v>6</v>
      </c>
      <c r="G58" s="377"/>
      <c r="H58" s="373"/>
      <c r="I58" s="444" t="s">
        <v>6</v>
      </c>
      <c r="J58" s="377"/>
      <c r="K58" s="373"/>
      <c r="L58" s="444" t="s">
        <v>6</v>
      </c>
      <c r="M58" s="377"/>
      <c r="N58" s="373"/>
      <c r="O58" s="444"/>
      <c r="P58" s="377"/>
      <c r="Q58" s="373"/>
      <c r="R58" s="444" t="s">
        <v>6</v>
      </c>
      <c r="S58" s="377"/>
      <c r="T58" s="373"/>
      <c r="U58" s="444" t="s">
        <v>6</v>
      </c>
      <c r="V58" s="377"/>
      <c r="W58" s="373"/>
      <c r="X58" s="444" t="s">
        <v>6</v>
      </c>
      <c r="Y58" s="377"/>
      <c r="Z58" s="373"/>
      <c r="AA58" s="444"/>
      <c r="AB58" s="377"/>
      <c r="AC58" s="373"/>
      <c r="AD58" s="444" t="s">
        <v>6</v>
      </c>
      <c r="AE58" s="377"/>
      <c r="AF58" s="373"/>
      <c r="AG58" s="444" t="s">
        <v>6</v>
      </c>
      <c r="AH58" s="377"/>
      <c r="AI58" s="373"/>
      <c r="AJ58" s="444" t="s">
        <v>6</v>
      </c>
      <c r="AK58" s="377"/>
      <c r="AL58" s="373"/>
      <c r="AM58" s="444"/>
      <c r="AN58" s="377">
        <v>19</v>
      </c>
      <c r="AO58" s="373">
        <v>3</v>
      </c>
      <c r="AP58" s="444">
        <v>86.4</v>
      </c>
      <c r="AQ58" s="377">
        <v>27</v>
      </c>
      <c r="AR58" s="373">
        <v>1</v>
      </c>
      <c r="AS58" s="444">
        <v>96.4</v>
      </c>
      <c r="AT58" s="377">
        <v>20</v>
      </c>
      <c r="AU58" s="373">
        <v>1</v>
      </c>
      <c r="AV58" s="444">
        <v>95.2</v>
      </c>
      <c r="AW58" s="377"/>
      <c r="AX58" s="373"/>
      <c r="AY58" s="444"/>
      <c r="AZ58" s="377">
        <v>8</v>
      </c>
      <c r="BA58" s="373">
        <v>3</v>
      </c>
      <c r="BB58" s="444">
        <v>72.7</v>
      </c>
      <c r="BC58" s="377">
        <v>9</v>
      </c>
      <c r="BD58" s="373"/>
      <c r="BE58" s="444">
        <v>100</v>
      </c>
      <c r="BF58" s="377">
        <v>6</v>
      </c>
      <c r="BG58" s="373"/>
      <c r="BH58" s="444">
        <v>100</v>
      </c>
      <c r="BI58" s="377"/>
      <c r="BJ58" s="373"/>
      <c r="BK58" s="444"/>
      <c r="BL58" s="377"/>
      <c r="BM58" s="373"/>
      <c r="BN58" s="444" t="s">
        <v>6</v>
      </c>
      <c r="BO58" s="377"/>
      <c r="BP58" s="373"/>
      <c r="BQ58" s="444" t="s">
        <v>6</v>
      </c>
      <c r="BR58" s="377"/>
      <c r="BS58" s="373"/>
      <c r="BT58" s="444" t="s">
        <v>6</v>
      </c>
      <c r="BU58" s="377"/>
      <c r="BV58" s="373"/>
      <c r="BW58" s="444"/>
      <c r="BX58" s="377"/>
      <c r="BY58" s="373"/>
      <c r="BZ58" s="444" t="s">
        <v>6</v>
      </c>
      <c r="CA58" s="377"/>
      <c r="CB58" s="373"/>
      <c r="CC58" s="444" t="s">
        <v>6</v>
      </c>
      <c r="CD58" s="377"/>
      <c r="CE58" s="373"/>
      <c r="CF58" s="444" t="s">
        <v>6</v>
      </c>
      <c r="CG58" s="377"/>
      <c r="CH58" s="373"/>
      <c r="CI58" s="444"/>
      <c r="CJ58" s="377"/>
      <c r="CK58" s="373"/>
      <c r="CL58" s="444" t="s">
        <v>6</v>
      </c>
      <c r="CM58" s="377"/>
      <c r="CN58" s="373"/>
      <c r="CO58" s="444" t="s">
        <v>6</v>
      </c>
      <c r="CP58" s="377"/>
      <c r="CQ58" s="373"/>
      <c r="CR58" s="444" t="s">
        <v>6</v>
      </c>
      <c r="CS58" s="377"/>
      <c r="CT58" s="373"/>
      <c r="CU58" s="444"/>
      <c r="CV58" s="377">
        <v>41</v>
      </c>
      <c r="CW58" s="373">
        <v>5</v>
      </c>
      <c r="CX58" s="444">
        <v>89.1</v>
      </c>
      <c r="CY58" s="377">
        <v>44</v>
      </c>
      <c r="CZ58" s="373">
        <v>6</v>
      </c>
      <c r="DA58" s="444">
        <v>88</v>
      </c>
      <c r="DB58" s="377">
        <v>48</v>
      </c>
      <c r="DC58" s="373">
        <v>2</v>
      </c>
      <c r="DD58" s="444">
        <v>96</v>
      </c>
      <c r="DE58" s="377"/>
      <c r="DF58" s="373"/>
      <c r="DG58" s="444"/>
      <c r="DH58" s="377"/>
      <c r="DI58" s="373"/>
      <c r="DJ58" s="444" t="s">
        <v>6</v>
      </c>
      <c r="DK58" s="377">
        <v>1</v>
      </c>
      <c r="DL58" s="373"/>
      <c r="DM58" s="444">
        <v>100</v>
      </c>
      <c r="DN58" s="377"/>
      <c r="DO58" s="373"/>
      <c r="DP58" s="444" t="s">
        <v>6</v>
      </c>
      <c r="DQ58" s="377"/>
      <c r="DR58" s="373"/>
      <c r="DS58" s="444"/>
      <c r="DT58" s="377"/>
      <c r="DU58" s="373"/>
      <c r="DV58" s="444" t="s">
        <v>6</v>
      </c>
      <c r="DW58" s="377">
        <v>2</v>
      </c>
      <c r="DX58" s="373"/>
      <c r="DY58" s="444">
        <v>100</v>
      </c>
      <c r="DZ58" s="377">
        <v>3</v>
      </c>
      <c r="EA58" s="373"/>
      <c r="EB58" s="444">
        <v>100</v>
      </c>
      <c r="EC58" s="377"/>
      <c r="ED58" s="373"/>
      <c r="EE58" s="444"/>
      <c r="EF58" s="377">
        <v>172</v>
      </c>
      <c r="EG58" s="373">
        <v>391</v>
      </c>
      <c r="EH58" s="444">
        <v>30.6</v>
      </c>
      <c r="EI58" s="377">
        <v>231</v>
      </c>
      <c r="EJ58" s="373">
        <v>413</v>
      </c>
      <c r="EK58" s="444">
        <v>35.9</v>
      </c>
      <c r="EL58" s="377">
        <v>243</v>
      </c>
      <c r="EM58" s="373">
        <v>304</v>
      </c>
      <c r="EN58" s="444">
        <v>44.4</v>
      </c>
      <c r="EO58" s="377"/>
      <c r="EP58" s="373"/>
      <c r="EQ58" s="444"/>
      <c r="ER58" s="377"/>
      <c r="ES58" s="373">
        <v>1</v>
      </c>
      <c r="ET58" s="444">
        <v>0</v>
      </c>
      <c r="EU58" s="377"/>
      <c r="EV58" s="373"/>
      <c r="EW58" s="444" t="s">
        <v>6</v>
      </c>
      <c r="EX58" s="377">
        <v>1</v>
      </c>
      <c r="EY58" s="373"/>
      <c r="EZ58" s="444">
        <v>100</v>
      </c>
      <c r="FA58" s="377"/>
      <c r="FB58" s="373"/>
      <c r="FC58" s="444"/>
      <c r="FD58" s="377"/>
      <c r="FE58" s="373"/>
      <c r="FF58" s="444" t="s">
        <v>6</v>
      </c>
      <c r="FG58" s="377"/>
      <c r="FH58" s="373">
        <v>4</v>
      </c>
      <c r="FI58" s="444">
        <v>0</v>
      </c>
      <c r="FJ58" s="377">
        <v>1</v>
      </c>
      <c r="FK58" s="373">
        <v>1</v>
      </c>
      <c r="FL58" s="444">
        <v>50</v>
      </c>
      <c r="FM58" s="377"/>
      <c r="FN58" s="373"/>
      <c r="FO58" s="444"/>
      <c r="FP58" s="377">
        <v>44</v>
      </c>
      <c r="FQ58" s="373">
        <v>132</v>
      </c>
      <c r="FR58" s="444">
        <v>25</v>
      </c>
      <c r="FS58" s="377">
        <v>52</v>
      </c>
      <c r="FT58" s="373">
        <v>146</v>
      </c>
      <c r="FU58" s="444">
        <v>26.3</v>
      </c>
      <c r="FV58" s="377">
        <v>66</v>
      </c>
      <c r="FW58" s="373">
        <v>76</v>
      </c>
      <c r="FX58" s="444">
        <v>46.5</v>
      </c>
      <c r="FY58" s="377"/>
      <c r="FZ58" s="373"/>
      <c r="GA58" s="444"/>
      <c r="GB58" s="377">
        <v>4</v>
      </c>
      <c r="GC58" s="373">
        <v>1</v>
      </c>
      <c r="GD58" s="444">
        <v>80</v>
      </c>
      <c r="GE58" s="377">
        <v>3</v>
      </c>
      <c r="GF58" s="373">
        <v>1</v>
      </c>
      <c r="GG58" s="444">
        <v>75</v>
      </c>
      <c r="GH58" s="377">
        <v>6</v>
      </c>
      <c r="GI58" s="373"/>
      <c r="GJ58" s="444">
        <v>100</v>
      </c>
      <c r="GK58" s="377"/>
      <c r="GL58" s="373"/>
      <c r="GM58" s="444"/>
      <c r="GN58" s="377">
        <v>1</v>
      </c>
      <c r="GO58" s="373"/>
      <c r="GP58" s="444">
        <v>100</v>
      </c>
      <c r="GQ58" s="377">
        <v>3</v>
      </c>
      <c r="GR58" s="373"/>
      <c r="GS58" s="444">
        <v>100</v>
      </c>
      <c r="GT58" s="377"/>
      <c r="GU58" s="373">
        <v>1</v>
      </c>
      <c r="GV58" s="444">
        <v>0</v>
      </c>
      <c r="GW58" s="377"/>
      <c r="GX58" s="373"/>
      <c r="GY58" s="444"/>
      <c r="GZ58" s="377">
        <v>1</v>
      </c>
      <c r="HA58" s="373"/>
      <c r="HB58" s="444">
        <v>100</v>
      </c>
      <c r="HC58" s="377"/>
      <c r="HD58" s="373">
        <v>1</v>
      </c>
      <c r="HE58" s="444">
        <v>0</v>
      </c>
      <c r="HF58" s="377"/>
      <c r="HG58" s="373"/>
      <c r="HH58" s="444" t="s">
        <v>6</v>
      </c>
      <c r="HI58" s="377"/>
      <c r="HJ58" s="373"/>
      <c r="HK58" s="444"/>
      <c r="HL58" s="377">
        <v>74</v>
      </c>
      <c r="HM58" s="373">
        <v>15</v>
      </c>
      <c r="HN58" s="444">
        <v>83.1</v>
      </c>
      <c r="HO58" s="377">
        <v>8</v>
      </c>
      <c r="HP58" s="373">
        <v>17</v>
      </c>
      <c r="HQ58" s="444">
        <v>32</v>
      </c>
      <c r="HR58" s="377">
        <v>12</v>
      </c>
      <c r="HS58" s="373">
        <v>10</v>
      </c>
      <c r="HT58" s="444">
        <v>54.5</v>
      </c>
      <c r="HU58" s="377"/>
      <c r="HV58" s="373"/>
      <c r="HW58" s="444"/>
      <c r="HX58" s="377">
        <v>4</v>
      </c>
      <c r="HY58" s="373"/>
      <c r="HZ58" s="444">
        <v>100</v>
      </c>
      <c r="IA58" s="377">
        <v>14</v>
      </c>
      <c r="IB58" s="373"/>
      <c r="IC58" s="444">
        <v>100</v>
      </c>
      <c r="ID58" s="377">
        <v>2</v>
      </c>
      <c r="IE58" s="373"/>
      <c r="IF58" s="444">
        <v>100</v>
      </c>
      <c r="IG58" s="377"/>
      <c r="IH58" s="373"/>
      <c r="II58" s="444"/>
      <c r="IJ58" s="377">
        <v>2</v>
      </c>
      <c r="IK58" s="373">
        <v>1</v>
      </c>
      <c r="IL58" s="444">
        <v>66.7</v>
      </c>
      <c r="IM58" s="377"/>
      <c r="IN58" s="373"/>
      <c r="IO58" s="444" t="s">
        <v>6</v>
      </c>
      <c r="IP58" s="377">
        <v>4</v>
      </c>
      <c r="IQ58" s="373">
        <v>1</v>
      </c>
      <c r="IR58" s="444">
        <v>80</v>
      </c>
      <c r="IS58" s="377"/>
      <c r="IT58" s="373"/>
      <c r="IU58" s="444"/>
      <c r="IV58" s="377">
        <v>318</v>
      </c>
      <c r="IW58" s="373">
        <v>416</v>
      </c>
      <c r="IX58" s="444">
        <v>43.3</v>
      </c>
      <c r="IY58" s="377">
        <v>333</v>
      </c>
      <c r="IZ58" s="373">
        <v>439</v>
      </c>
      <c r="JA58" s="444">
        <v>43.1</v>
      </c>
      <c r="JB58" s="377">
        <v>338</v>
      </c>
      <c r="JC58" s="373">
        <v>319</v>
      </c>
      <c r="JD58" s="444">
        <v>51.4</v>
      </c>
      <c r="JE58" s="377"/>
      <c r="JF58" s="373"/>
      <c r="JG58" s="444"/>
      <c r="JH58" s="377">
        <v>42</v>
      </c>
      <c r="JI58" s="373">
        <v>20</v>
      </c>
      <c r="JJ58" s="444">
        <v>67.7</v>
      </c>
      <c r="JK58" s="377">
        <v>56</v>
      </c>
      <c r="JL58" s="373">
        <v>21</v>
      </c>
      <c r="JM58" s="444">
        <v>72.7</v>
      </c>
      <c r="JN58" s="377">
        <v>59</v>
      </c>
      <c r="JO58" s="373">
        <v>22</v>
      </c>
      <c r="JP58" s="444">
        <v>72.8</v>
      </c>
      <c r="JQ58" s="377"/>
      <c r="JR58" s="373"/>
      <c r="JS58" s="444"/>
      <c r="JT58" s="377"/>
      <c r="JU58" s="373"/>
      <c r="JV58" s="444" t="s">
        <v>6</v>
      </c>
      <c r="JW58" s="377"/>
      <c r="JX58" s="373"/>
      <c r="JY58" s="444" t="s">
        <v>6</v>
      </c>
      <c r="JZ58" s="377">
        <v>2</v>
      </c>
      <c r="KA58" s="373"/>
      <c r="KB58" s="444">
        <v>100</v>
      </c>
      <c r="KC58" s="377"/>
      <c r="KD58" s="373"/>
      <c r="KE58" s="444"/>
      <c r="KF58" s="377"/>
      <c r="KG58" s="373"/>
      <c r="KH58" s="444" t="s">
        <v>6</v>
      </c>
      <c r="KI58" s="377"/>
      <c r="KJ58" s="373"/>
      <c r="KK58" s="444" t="s">
        <v>6</v>
      </c>
      <c r="KL58" s="377"/>
      <c r="KM58" s="373"/>
      <c r="KN58" s="444" t="s">
        <v>6</v>
      </c>
      <c r="KO58" s="377"/>
      <c r="KP58" s="373"/>
      <c r="KQ58" s="444"/>
      <c r="KR58" s="377">
        <v>54</v>
      </c>
      <c r="KS58" s="373">
        <v>32</v>
      </c>
      <c r="KT58" s="444">
        <v>62.8</v>
      </c>
      <c r="KU58" s="377">
        <v>59</v>
      </c>
      <c r="KV58" s="373">
        <v>25</v>
      </c>
      <c r="KW58" s="444">
        <v>70.2</v>
      </c>
      <c r="KX58" s="377">
        <v>64</v>
      </c>
      <c r="KY58" s="373">
        <v>26</v>
      </c>
      <c r="KZ58" s="444">
        <v>71.099999999999994</v>
      </c>
      <c r="LA58" s="377"/>
      <c r="LB58" s="373"/>
      <c r="LC58" s="444"/>
      <c r="LD58" s="377">
        <v>458</v>
      </c>
      <c r="LE58" s="373">
        <v>451</v>
      </c>
      <c r="LF58" s="444">
        <v>50.4</v>
      </c>
      <c r="LG58" s="377">
        <v>423</v>
      </c>
      <c r="LH58" s="373">
        <v>480</v>
      </c>
      <c r="LI58" s="444">
        <v>46.8</v>
      </c>
      <c r="LJ58" s="377">
        <v>423</v>
      </c>
      <c r="LK58" s="373">
        <v>360</v>
      </c>
      <c r="LL58" s="444">
        <v>54</v>
      </c>
      <c r="LM58" s="377"/>
      <c r="LN58" s="373"/>
      <c r="LO58" s="444"/>
    </row>
    <row r="59" spans="1:327" x14ac:dyDescent="0.2">
      <c r="A59" s="1001"/>
      <c r="B59" s="747" t="s">
        <v>621</v>
      </c>
      <c r="C59" s="151" t="s">
        <v>671</v>
      </c>
      <c r="D59" s="377"/>
      <c r="E59" s="373"/>
      <c r="F59" s="444" t="s">
        <v>6</v>
      </c>
      <c r="G59" s="377"/>
      <c r="H59" s="373"/>
      <c r="I59" s="444" t="s">
        <v>6</v>
      </c>
      <c r="J59" s="377"/>
      <c r="K59" s="373"/>
      <c r="L59" s="444" t="s">
        <v>6</v>
      </c>
      <c r="M59" s="377"/>
      <c r="N59" s="373"/>
      <c r="O59" s="444"/>
      <c r="P59" s="377"/>
      <c r="Q59" s="373"/>
      <c r="R59" s="444" t="s">
        <v>6</v>
      </c>
      <c r="S59" s="377"/>
      <c r="T59" s="373"/>
      <c r="U59" s="444" t="s">
        <v>6</v>
      </c>
      <c r="V59" s="377"/>
      <c r="W59" s="373"/>
      <c r="X59" s="444" t="s">
        <v>6</v>
      </c>
      <c r="Y59" s="377"/>
      <c r="Z59" s="373"/>
      <c r="AA59" s="444"/>
      <c r="AB59" s="377"/>
      <c r="AC59" s="373"/>
      <c r="AD59" s="444" t="s">
        <v>6</v>
      </c>
      <c r="AE59" s="377"/>
      <c r="AF59" s="373"/>
      <c r="AG59" s="444" t="s">
        <v>6</v>
      </c>
      <c r="AH59" s="377"/>
      <c r="AI59" s="373"/>
      <c r="AJ59" s="444" t="s">
        <v>6</v>
      </c>
      <c r="AK59" s="377"/>
      <c r="AL59" s="373"/>
      <c r="AM59" s="444"/>
      <c r="AN59" s="377">
        <v>31</v>
      </c>
      <c r="AO59" s="373">
        <v>4</v>
      </c>
      <c r="AP59" s="444">
        <v>88.6</v>
      </c>
      <c r="AQ59" s="377">
        <v>40</v>
      </c>
      <c r="AR59" s="373">
        <v>4</v>
      </c>
      <c r="AS59" s="444">
        <v>90.9</v>
      </c>
      <c r="AT59" s="377">
        <v>31</v>
      </c>
      <c r="AU59" s="373">
        <v>5</v>
      </c>
      <c r="AV59" s="444">
        <v>86.1</v>
      </c>
      <c r="AW59" s="377"/>
      <c r="AX59" s="373"/>
      <c r="AY59" s="444"/>
      <c r="AZ59" s="377">
        <v>11</v>
      </c>
      <c r="BA59" s="373">
        <v>4</v>
      </c>
      <c r="BB59" s="444">
        <v>73.3</v>
      </c>
      <c r="BC59" s="377">
        <v>15</v>
      </c>
      <c r="BD59" s="373">
        <v>3</v>
      </c>
      <c r="BE59" s="444">
        <v>83.3</v>
      </c>
      <c r="BF59" s="377">
        <v>9</v>
      </c>
      <c r="BG59" s="373">
        <v>4</v>
      </c>
      <c r="BH59" s="444">
        <v>69.2</v>
      </c>
      <c r="BI59" s="377"/>
      <c r="BJ59" s="373"/>
      <c r="BK59" s="444"/>
      <c r="BL59" s="377"/>
      <c r="BM59" s="373"/>
      <c r="BN59" s="444" t="s">
        <v>6</v>
      </c>
      <c r="BO59" s="377"/>
      <c r="BP59" s="373"/>
      <c r="BQ59" s="444" t="s">
        <v>6</v>
      </c>
      <c r="BR59" s="377"/>
      <c r="BS59" s="373"/>
      <c r="BT59" s="444" t="s">
        <v>6</v>
      </c>
      <c r="BU59" s="377"/>
      <c r="BV59" s="373"/>
      <c r="BW59" s="444"/>
      <c r="BX59" s="377"/>
      <c r="BY59" s="373"/>
      <c r="BZ59" s="444" t="s">
        <v>6</v>
      </c>
      <c r="CA59" s="377"/>
      <c r="CB59" s="373"/>
      <c r="CC59" s="444" t="s">
        <v>6</v>
      </c>
      <c r="CD59" s="377"/>
      <c r="CE59" s="373"/>
      <c r="CF59" s="444" t="s">
        <v>6</v>
      </c>
      <c r="CG59" s="377"/>
      <c r="CH59" s="373"/>
      <c r="CI59" s="444"/>
      <c r="CJ59" s="377"/>
      <c r="CK59" s="373"/>
      <c r="CL59" s="444" t="s">
        <v>6</v>
      </c>
      <c r="CM59" s="377"/>
      <c r="CN59" s="373"/>
      <c r="CO59" s="444" t="s">
        <v>6</v>
      </c>
      <c r="CP59" s="377"/>
      <c r="CQ59" s="373"/>
      <c r="CR59" s="444" t="s">
        <v>6</v>
      </c>
      <c r="CS59" s="377"/>
      <c r="CT59" s="373"/>
      <c r="CU59" s="444"/>
      <c r="CV59" s="377">
        <v>80</v>
      </c>
      <c r="CW59" s="373">
        <v>14</v>
      </c>
      <c r="CX59" s="444">
        <v>85.1</v>
      </c>
      <c r="CY59" s="377">
        <v>69</v>
      </c>
      <c r="CZ59" s="373">
        <v>12</v>
      </c>
      <c r="DA59" s="444">
        <v>85.2</v>
      </c>
      <c r="DB59" s="377">
        <v>55</v>
      </c>
      <c r="DC59" s="373">
        <v>7</v>
      </c>
      <c r="DD59" s="444">
        <v>88.7</v>
      </c>
      <c r="DE59" s="377"/>
      <c r="DF59" s="373"/>
      <c r="DG59" s="444"/>
      <c r="DH59" s="377">
        <v>3</v>
      </c>
      <c r="DI59" s="373"/>
      <c r="DJ59" s="444">
        <v>100</v>
      </c>
      <c r="DK59" s="377"/>
      <c r="DL59" s="373"/>
      <c r="DM59" s="444" t="s">
        <v>6</v>
      </c>
      <c r="DN59" s="377"/>
      <c r="DO59" s="373"/>
      <c r="DP59" s="444" t="s">
        <v>6</v>
      </c>
      <c r="DQ59" s="377"/>
      <c r="DR59" s="373"/>
      <c r="DS59" s="444"/>
      <c r="DT59" s="377">
        <v>3</v>
      </c>
      <c r="DU59" s="373"/>
      <c r="DV59" s="444">
        <v>100</v>
      </c>
      <c r="DW59" s="377">
        <v>1</v>
      </c>
      <c r="DX59" s="373"/>
      <c r="DY59" s="444">
        <v>100</v>
      </c>
      <c r="DZ59" s="377">
        <v>4</v>
      </c>
      <c r="EA59" s="373"/>
      <c r="EB59" s="444">
        <v>100</v>
      </c>
      <c r="EC59" s="377"/>
      <c r="ED59" s="373"/>
      <c r="EE59" s="444"/>
      <c r="EF59" s="377">
        <v>225</v>
      </c>
      <c r="EG59" s="373">
        <v>276</v>
      </c>
      <c r="EH59" s="444">
        <v>44.9</v>
      </c>
      <c r="EI59" s="377">
        <v>194</v>
      </c>
      <c r="EJ59" s="373">
        <v>284</v>
      </c>
      <c r="EK59" s="444">
        <v>40.6</v>
      </c>
      <c r="EL59" s="377">
        <v>180</v>
      </c>
      <c r="EM59" s="373">
        <v>225</v>
      </c>
      <c r="EN59" s="444">
        <v>44.4</v>
      </c>
      <c r="EO59" s="377"/>
      <c r="EP59" s="373"/>
      <c r="EQ59" s="444"/>
      <c r="ER59" s="377"/>
      <c r="ES59" s="373"/>
      <c r="ET59" s="444" t="s">
        <v>6</v>
      </c>
      <c r="EU59" s="377"/>
      <c r="EV59" s="373"/>
      <c r="EW59" s="444" t="s">
        <v>6</v>
      </c>
      <c r="EX59" s="377">
        <v>1</v>
      </c>
      <c r="EY59" s="373">
        <v>1</v>
      </c>
      <c r="EZ59" s="444">
        <v>50</v>
      </c>
      <c r="FA59" s="377"/>
      <c r="FB59" s="373"/>
      <c r="FC59" s="444"/>
      <c r="FD59" s="377">
        <v>11</v>
      </c>
      <c r="FE59" s="373">
        <v>3</v>
      </c>
      <c r="FF59" s="444">
        <v>78.599999999999994</v>
      </c>
      <c r="FG59" s="377">
        <v>2</v>
      </c>
      <c r="FH59" s="373">
        <v>5</v>
      </c>
      <c r="FI59" s="444">
        <v>28.6</v>
      </c>
      <c r="FJ59" s="377">
        <v>4</v>
      </c>
      <c r="FK59" s="373">
        <v>2</v>
      </c>
      <c r="FL59" s="444">
        <v>66.7</v>
      </c>
      <c r="FM59" s="377"/>
      <c r="FN59" s="373"/>
      <c r="FO59" s="444"/>
      <c r="FP59" s="377">
        <v>57</v>
      </c>
      <c r="FQ59" s="373">
        <v>55</v>
      </c>
      <c r="FR59" s="444">
        <v>50.9</v>
      </c>
      <c r="FS59" s="377">
        <v>44</v>
      </c>
      <c r="FT59" s="373">
        <v>45</v>
      </c>
      <c r="FU59" s="444">
        <v>49.4</v>
      </c>
      <c r="FV59" s="377">
        <v>30</v>
      </c>
      <c r="FW59" s="373">
        <v>50</v>
      </c>
      <c r="FX59" s="444">
        <v>37.5</v>
      </c>
      <c r="FY59" s="377"/>
      <c r="FZ59" s="373"/>
      <c r="GA59" s="444"/>
      <c r="GB59" s="377">
        <v>10</v>
      </c>
      <c r="GC59" s="373"/>
      <c r="GD59" s="444">
        <v>100</v>
      </c>
      <c r="GE59" s="377">
        <v>8</v>
      </c>
      <c r="GF59" s="373"/>
      <c r="GG59" s="444">
        <v>100</v>
      </c>
      <c r="GH59" s="377">
        <v>4</v>
      </c>
      <c r="GI59" s="373">
        <v>1</v>
      </c>
      <c r="GJ59" s="444">
        <v>80</v>
      </c>
      <c r="GK59" s="377"/>
      <c r="GL59" s="373"/>
      <c r="GM59" s="444"/>
      <c r="GN59" s="377">
        <v>2</v>
      </c>
      <c r="GO59" s="373"/>
      <c r="GP59" s="444">
        <v>100</v>
      </c>
      <c r="GQ59" s="377">
        <v>9</v>
      </c>
      <c r="GR59" s="373">
        <v>2</v>
      </c>
      <c r="GS59" s="444">
        <v>81.8</v>
      </c>
      <c r="GT59" s="377">
        <v>4</v>
      </c>
      <c r="GU59" s="373"/>
      <c r="GV59" s="444">
        <v>100</v>
      </c>
      <c r="GW59" s="377"/>
      <c r="GX59" s="373"/>
      <c r="GY59" s="444"/>
      <c r="GZ59" s="377">
        <v>3</v>
      </c>
      <c r="HA59" s="373"/>
      <c r="HB59" s="444">
        <v>100</v>
      </c>
      <c r="HC59" s="377"/>
      <c r="HD59" s="373"/>
      <c r="HE59" s="444" t="s">
        <v>6</v>
      </c>
      <c r="HF59" s="377"/>
      <c r="HG59" s="373"/>
      <c r="HH59" s="444" t="s">
        <v>6</v>
      </c>
      <c r="HI59" s="377"/>
      <c r="HJ59" s="373"/>
      <c r="HK59" s="444"/>
      <c r="HL59" s="377">
        <v>12</v>
      </c>
      <c r="HM59" s="373">
        <v>34</v>
      </c>
      <c r="HN59" s="444">
        <v>26.1</v>
      </c>
      <c r="HO59" s="377">
        <v>11</v>
      </c>
      <c r="HP59" s="373">
        <v>17</v>
      </c>
      <c r="HQ59" s="444">
        <v>39.299999999999997</v>
      </c>
      <c r="HR59" s="377">
        <v>26</v>
      </c>
      <c r="HS59" s="373">
        <v>18</v>
      </c>
      <c r="HT59" s="444">
        <v>59.1</v>
      </c>
      <c r="HU59" s="377"/>
      <c r="HV59" s="373"/>
      <c r="HW59" s="444"/>
      <c r="HX59" s="377">
        <v>2</v>
      </c>
      <c r="HY59" s="373"/>
      <c r="HZ59" s="444">
        <v>100</v>
      </c>
      <c r="IA59" s="377">
        <v>2</v>
      </c>
      <c r="IB59" s="373"/>
      <c r="IC59" s="444">
        <v>100</v>
      </c>
      <c r="ID59" s="377">
        <v>2</v>
      </c>
      <c r="IE59" s="373"/>
      <c r="IF59" s="444">
        <v>100</v>
      </c>
      <c r="IG59" s="377"/>
      <c r="IH59" s="373"/>
      <c r="II59" s="444"/>
      <c r="IJ59" s="377"/>
      <c r="IK59" s="373">
        <v>1</v>
      </c>
      <c r="IL59" s="444">
        <v>0</v>
      </c>
      <c r="IM59" s="377">
        <v>4</v>
      </c>
      <c r="IN59" s="373">
        <v>2</v>
      </c>
      <c r="IO59" s="444">
        <v>66.7</v>
      </c>
      <c r="IP59" s="377">
        <v>2</v>
      </c>
      <c r="IQ59" s="373"/>
      <c r="IR59" s="444">
        <v>100</v>
      </c>
      <c r="IS59" s="377"/>
      <c r="IT59" s="373"/>
      <c r="IU59" s="444"/>
      <c r="IV59" s="377">
        <v>371</v>
      </c>
      <c r="IW59" s="373">
        <v>329</v>
      </c>
      <c r="IX59" s="444">
        <v>53</v>
      </c>
      <c r="IY59" s="377">
        <v>338</v>
      </c>
      <c r="IZ59" s="373">
        <v>321</v>
      </c>
      <c r="JA59" s="444">
        <v>51.3</v>
      </c>
      <c r="JB59" s="377">
        <v>308</v>
      </c>
      <c r="JC59" s="373">
        <v>256</v>
      </c>
      <c r="JD59" s="444">
        <v>54.6</v>
      </c>
      <c r="JE59" s="377"/>
      <c r="JF59" s="373"/>
      <c r="JG59" s="444"/>
      <c r="JH59" s="377">
        <v>108</v>
      </c>
      <c r="JI59" s="373">
        <v>46</v>
      </c>
      <c r="JJ59" s="444">
        <v>70.099999999999994</v>
      </c>
      <c r="JK59" s="377">
        <v>86</v>
      </c>
      <c r="JL59" s="373">
        <v>52</v>
      </c>
      <c r="JM59" s="444">
        <v>62.3</v>
      </c>
      <c r="JN59" s="377">
        <v>84</v>
      </c>
      <c r="JO59" s="373">
        <v>35</v>
      </c>
      <c r="JP59" s="444">
        <v>70.599999999999994</v>
      </c>
      <c r="JQ59" s="377"/>
      <c r="JR59" s="373"/>
      <c r="JS59" s="444"/>
      <c r="JT59" s="377">
        <v>3</v>
      </c>
      <c r="JU59" s="373"/>
      <c r="JV59" s="444">
        <v>100</v>
      </c>
      <c r="JW59" s="377"/>
      <c r="JX59" s="373"/>
      <c r="JY59" s="444" t="s">
        <v>6</v>
      </c>
      <c r="JZ59" s="377"/>
      <c r="KA59" s="373">
        <v>1</v>
      </c>
      <c r="KB59" s="444">
        <v>0</v>
      </c>
      <c r="KC59" s="377"/>
      <c r="KD59" s="373"/>
      <c r="KE59" s="444"/>
      <c r="KF59" s="377"/>
      <c r="KG59" s="373"/>
      <c r="KH59" s="444" t="s">
        <v>6</v>
      </c>
      <c r="KI59" s="377"/>
      <c r="KJ59" s="373"/>
      <c r="KK59" s="444" t="s">
        <v>6</v>
      </c>
      <c r="KL59" s="377">
        <v>1</v>
      </c>
      <c r="KM59" s="373"/>
      <c r="KN59" s="444">
        <v>100</v>
      </c>
      <c r="KO59" s="377"/>
      <c r="KP59" s="373"/>
      <c r="KQ59" s="444"/>
      <c r="KR59" s="377">
        <v>150</v>
      </c>
      <c r="KS59" s="373">
        <v>57</v>
      </c>
      <c r="KT59" s="444">
        <v>72.5</v>
      </c>
      <c r="KU59" s="377">
        <v>99</v>
      </c>
      <c r="KV59" s="373">
        <v>57</v>
      </c>
      <c r="KW59" s="444">
        <v>63.5</v>
      </c>
      <c r="KX59" s="377">
        <v>87</v>
      </c>
      <c r="KY59" s="373">
        <v>40</v>
      </c>
      <c r="KZ59" s="444">
        <v>68.5</v>
      </c>
      <c r="LA59" s="377"/>
      <c r="LB59" s="373"/>
      <c r="LC59" s="444"/>
      <c r="LD59" s="377">
        <v>581</v>
      </c>
      <c r="LE59" s="373">
        <v>377</v>
      </c>
      <c r="LF59" s="444">
        <v>60.6</v>
      </c>
      <c r="LG59" s="377">
        <v>402</v>
      </c>
      <c r="LH59" s="373">
        <v>367</v>
      </c>
      <c r="LI59" s="444">
        <v>52.3</v>
      </c>
      <c r="LJ59" s="377">
        <v>366</v>
      </c>
      <c r="LK59" s="373">
        <v>311</v>
      </c>
      <c r="LL59" s="444">
        <v>54.1</v>
      </c>
      <c r="LM59" s="377"/>
      <c r="LN59" s="373"/>
      <c r="LO59" s="444"/>
    </row>
    <row r="60" spans="1:327" x14ac:dyDescent="0.2">
      <c r="A60" s="1001"/>
      <c r="B60" s="747" t="s">
        <v>621</v>
      </c>
      <c r="C60" s="151" t="s">
        <v>672</v>
      </c>
      <c r="D60" s="377"/>
      <c r="E60" s="373"/>
      <c r="F60" s="444" t="s">
        <v>6</v>
      </c>
      <c r="G60" s="377"/>
      <c r="H60" s="373"/>
      <c r="I60" s="444" t="s">
        <v>6</v>
      </c>
      <c r="J60" s="377"/>
      <c r="K60" s="373"/>
      <c r="L60" s="444" t="s">
        <v>6</v>
      </c>
      <c r="M60" s="377"/>
      <c r="N60" s="373"/>
      <c r="O60" s="444"/>
      <c r="P60" s="377"/>
      <c r="Q60" s="373"/>
      <c r="R60" s="444" t="s">
        <v>6</v>
      </c>
      <c r="S60" s="377"/>
      <c r="T60" s="373"/>
      <c r="U60" s="444" t="s">
        <v>6</v>
      </c>
      <c r="V60" s="377"/>
      <c r="W60" s="373"/>
      <c r="X60" s="444" t="s">
        <v>6</v>
      </c>
      <c r="Y60" s="377"/>
      <c r="Z60" s="373"/>
      <c r="AA60" s="444"/>
      <c r="AB60" s="377"/>
      <c r="AC60" s="373"/>
      <c r="AD60" s="444" t="s">
        <v>6</v>
      </c>
      <c r="AE60" s="377"/>
      <c r="AF60" s="373"/>
      <c r="AG60" s="444" t="s">
        <v>6</v>
      </c>
      <c r="AH60" s="377"/>
      <c r="AI60" s="373"/>
      <c r="AJ60" s="444" t="s">
        <v>6</v>
      </c>
      <c r="AK60" s="377"/>
      <c r="AL60" s="373"/>
      <c r="AM60" s="444"/>
      <c r="AN60" s="377">
        <v>31</v>
      </c>
      <c r="AO60" s="373"/>
      <c r="AP60" s="444">
        <v>100</v>
      </c>
      <c r="AQ60" s="377">
        <v>23</v>
      </c>
      <c r="AR60" s="373">
        <v>4</v>
      </c>
      <c r="AS60" s="444">
        <v>85.2</v>
      </c>
      <c r="AT60" s="377">
        <v>21</v>
      </c>
      <c r="AU60" s="373">
        <v>1</v>
      </c>
      <c r="AV60" s="444">
        <v>95.5</v>
      </c>
      <c r="AW60" s="377"/>
      <c r="AX60" s="373"/>
      <c r="AY60" s="444"/>
      <c r="AZ60" s="377">
        <v>12</v>
      </c>
      <c r="BA60" s="373"/>
      <c r="BB60" s="444">
        <v>100</v>
      </c>
      <c r="BC60" s="377">
        <v>8</v>
      </c>
      <c r="BD60" s="373">
        <v>3</v>
      </c>
      <c r="BE60" s="444">
        <v>72.7</v>
      </c>
      <c r="BF60" s="377">
        <v>7</v>
      </c>
      <c r="BG60" s="373">
        <v>1</v>
      </c>
      <c r="BH60" s="444">
        <v>87.5</v>
      </c>
      <c r="BI60" s="377"/>
      <c r="BJ60" s="373"/>
      <c r="BK60" s="444"/>
      <c r="BL60" s="377"/>
      <c r="BM60" s="373"/>
      <c r="BN60" s="444" t="s">
        <v>6</v>
      </c>
      <c r="BO60" s="377"/>
      <c r="BP60" s="373"/>
      <c r="BQ60" s="444" t="s">
        <v>6</v>
      </c>
      <c r="BR60" s="377"/>
      <c r="BS60" s="373"/>
      <c r="BT60" s="444" t="s">
        <v>6</v>
      </c>
      <c r="BU60" s="377"/>
      <c r="BV60" s="373"/>
      <c r="BW60" s="444"/>
      <c r="BX60" s="377"/>
      <c r="BY60" s="373"/>
      <c r="BZ60" s="444" t="s">
        <v>6</v>
      </c>
      <c r="CA60" s="377"/>
      <c r="CB60" s="373"/>
      <c r="CC60" s="444" t="s">
        <v>6</v>
      </c>
      <c r="CD60" s="377"/>
      <c r="CE60" s="373"/>
      <c r="CF60" s="444" t="s">
        <v>6</v>
      </c>
      <c r="CG60" s="377"/>
      <c r="CH60" s="373"/>
      <c r="CI60" s="444"/>
      <c r="CJ60" s="377"/>
      <c r="CK60" s="373"/>
      <c r="CL60" s="444" t="s">
        <v>6</v>
      </c>
      <c r="CM60" s="377"/>
      <c r="CN60" s="373"/>
      <c r="CO60" s="444" t="s">
        <v>6</v>
      </c>
      <c r="CP60" s="377"/>
      <c r="CQ60" s="373"/>
      <c r="CR60" s="444" t="s">
        <v>6</v>
      </c>
      <c r="CS60" s="377"/>
      <c r="CT60" s="373"/>
      <c r="CU60" s="444"/>
      <c r="CV60" s="377">
        <v>126</v>
      </c>
      <c r="CW60" s="373">
        <v>15</v>
      </c>
      <c r="CX60" s="444">
        <v>89.4</v>
      </c>
      <c r="CY60" s="377">
        <v>109</v>
      </c>
      <c r="CZ60" s="373">
        <v>18</v>
      </c>
      <c r="DA60" s="444">
        <v>85.8</v>
      </c>
      <c r="DB60" s="377">
        <v>103</v>
      </c>
      <c r="DC60" s="373">
        <v>7</v>
      </c>
      <c r="DD60" s="444">
        <v>93.6</v>
      </c>
      <c r="DE60" s="377"/>
      <c r="DF60" s="373"/>
      <c r="DG60" s="444"/>
      <c r="DH60" s="377">
        <v>5</v>
      </c>
      <c r="DI60" s="373"/>
      <c r="DJ60" s="444">
        <v>100</v>
      </c>
      <c r="DK60" s="377">
        <v>5</v>
      </c>
      <c r="DL60" s="373"/>
      <c r="DM60" s="444">
        <v>100</v>
      </c>
      <c r="DN60" s="377"/>
      <c r="DO60" s="373"/>
      <c r="DP60" s="444" t="s">
        <v>6</v>
      </c>
      <c r="DQ60" s="377"/>
      <c r="DR60" s="373"/>
      <c r="DS60" s="444"/>
      <c r="DT60" s="377"/>
      <c r="DU60" s="373"/>
      <c r="DV60" s="444" t="s">
        <v>6</v>
      </c>
      <c r="DW60" s="377">
        <v>1</v>
      </c>
      <c r="DX60" s="373">
        <v>2</v>
      </c>
      <c r="DY60" s="444">
        <v>33.299999999999997</v>
      </c>
      <c r="DZ60" s="377">
        <v>3</v>
      </c>
      <c r="EA60" s="373">
        <v>1</v>
      </c>
      <c r="EB60" s="444">
        <v>75</v>
      </c>
      <c r="EC60" s="377"/>
      <c r="ED60" s="373"/>
      <c r="EE60" s="444"/>
      <c r="EF60" s="377">
        <v>126</v>
      </c>
      <c r="EG60" s="373">
        <v>274</v>
      </c>
      <c r="EH60" s="444">
        <v>31.5</v>
      </c>
      <c r="EI60" s="377">
        <v>146</v>
      </c>
      <c r="EJ60" s="373">
        <v>227</v>
      </c>
      <c r="EK60" s="444">
        <v>39.1</v>
      </c>
      <c r="EL60" s="377">
        <v>224</v>
      </c>
      <c r="EM60" s="373">
        <v>190</v>
      </c>
      <c r="EN60" s="444">
        <v>54.1</v>
      </c>
      <c r="EO60" s="377"/>
      <c r="EP60" s="373"/>
      <c r="EQ60" s="444"/>
      <c r="ER60" s="377"/>
      <c r="ES60" s="373"/>
      <c r="ET60" s="444" t="s">
        <v>6</v>
      </c>
      <c r="EU60" s="377"/>
      <c r="EV60" s="373"/>
      <c r="EW60" s="444" t="s">
        <v>6</v>
      </c>
      <c r="EX60" s="377"/>
      <c r="EY60" s="373"/>
      <c r="EZ60" s="444" t="s">
        <v>6</v>
      </c>
      <c r="FA60" s="377"/>
      <c r="FB60" s="373"/>
      <c r="FC60" s="444"/>
      <c r="FD60" s="377"/>
      <c r="FE60" s="373">
        <v>9</v>
      </c>
      <c r="FF60" s="444">
        <v>0</v>
      </c>
      <c r="FG60" s="377"/>
      <c r="FH60" s="373">
        <v>4</v>
      </c>
      <c r="FI60" s="444">
        <v>0</v>
      </c>
      <c r="FJ60" s="377"/>
      <c r="FK60" s="373">
        <v>5</v>
      </c>
      <c r="FL60" s="444">
        <v>0</v>
      </c>
      <c r="FM60" s="377"/>
      <c r="FN60" s="373"/>
      <c r="FO60" s="444"/>
      <c r="FP60" s="377">
        <v>27</v>
      </c>
      <c r="FQ60" s="373">
        <v>71</v>
      </c>
      <c r="FR60" s="444">
        <v>27.6</v>
      </c>
      <c r="FS60" s="377">
        <v>36</v>
      </c>
      <c r="FT60" s="373">
        <v>64</v>
      </c>
      <c r="FU60" s="444">
        <v>36</v>
      </c>
      <c r="FV60" s="377">
        <v>19</v>
      </c>
      <c r="FW60" s="373">
        <v>35</v>
      </c>
      <c r="FX60" s="444">
        <v>35.200000000000003</v>
      </c>
      <c r="FY60" s="377"/>
      <c r="FZ60" s="373"/>
      <c r="GA60" s="444"/>
      <c r="GB60" s="377">
        <v>3</v>
      </c>
      <c r="GC60" s="373"/>
      <c r="GD60" s="444">
        <v>100</v>
      </c>
      <c r="GE60" s="377">
        <v>5</v>
      </c>
      <c r="GF60" s="373">
        <v>1</v>
      </c>
      <c r="GG60" s="444">
        <v>83.3</v>
      </c>
      <c r="GH60" s="377">
        <v>4</v>
      </c>
      <c r="GI60" s="373"/>
      <c r="GJ60" s="444">
        <v>100</v>
      </c>
      <c r="GK60" s="377"/>
      <c r="GL60" s="373"/>
      <c r="GM60" s="444"/>
      <c r="GN60" s="377">
        <v>2</v>
      </c>
      <c r="GO60" s="373">
        <v>1</v>
      </c>
      <c r="GP60" s="444">
        <v>66.7</v>
      </c>
      <c r="GQ60" s="377">
        <v>3</v>
      </c>
      <c r="GR60" s="373"/>
      <c r="GS60" s="444">
        <v>100</v>
      </c>
      <c r="GT60" s="377">
        <v>2</v>
      </c>
      <c r="GU60" s="373"/>
      <c r="GV60" s="444">
        <v>100</v>
      </c>
      <c r="GW60" s="377"/>
      <c r="GX60" s="373"/>
      <c r="GY60" s="444"/>
      <c r="GZ60" s="377">
        <v>1</v>
      </c>
      <c r="HA60" s="373"/>
      <c r="HB60" s="444">
        <v>100</v>
      </c>
      <c r="HC60" s="377"/>
      <c r="HD60" s="373"/>
      <c r="HE60" s="444" t="s">
        <v>6</v>
      </c>
      <c r="HF60" s="377">
        <v>1</v>
      </c>
      <c r="HG60" s="373"/>
      <c r="HH60" s="444">
        <v>100</v>
      </c>
      <c r="HI60" s="377"/>
      <c r="HJ60" s="373"/>
      <c r="HK60" s="444"/>
      <c r="HL60" s="377">
        <v>9</v>
      </c>
      <c r="HM60" s="373">
        <v>11</v>
      </c>
      <c r="HN60" s="444">
        <v>45</v>
      </c>
      <c r="HO60" s="377">
        <v>5</v>
      </c>
      <c r="HP60" s="373">
        <v>7</v>
      </c>
      <c r="HQ60" s="444">
        <v>41.7</v>
      </c>
      <c r="HR60" s="377">
        <v>3</v>
      </c>
      <c r="HS60" s="373">
        <v>19</v>
      </c>
      <c r="HT60" s="444">
        <v>13.6</v>
      </c>
      <c r="HU60" s="377"/>
      <c r="HV60" s="373"/>
      <c r="HW60" s="444"/>
      <c r="HX60" s="377">
        <v>1</v>
      </c>
      <c r="HY60" s="373"/>
      <c r="HZ60" s="444">
        <v>100</v>
      </c>
      <c r="IA60" s="377">
        <v>2</v>
      </c>
      <c r="IB60" s="373"/>
      <c r="IC60" s="444">
        <v>100</v>
      </c>
      <c r="ID60" s="377"/>
      <c r="IE60" s="373"/>
      <c r="IF60" s="444" t="s">
        <v>6</v>
      </c>
      <c r="IG60" s="377"/>
      <c r="IH60" s="373"/>
      <c r="II60" s="444"/>
      <c r="IJ60" s="377">
        <v>4</v>
      </c>
      <c r="IK60" s="373"/>
      <c r="IL60" s="444">
        <v>100</v>
      </c>
      <c r="IM60" s="377">
        <v>1</v>
      </c>
      <c r="IN60" s="373">
        <v>1</v>
      </c>
      <c r="IO60" s="444">
        <v>50</v>
      </c>
      <c r="IP60" s="377">
        <v>6</v>
      </c>
      <c r="IQ60" s="373"/>
      <c r="IR60" s="444">
        <v>100</v>
      </c>
      <c r="IS60" s="377"/>
      <c r="IT60" s="373"/>
      <c r="IU60" s="444"/>
      <c r="IV60" s="377">
        <v>308</v>
      </c>
      <c r="IW60" s="373">
        <v>301</v>
      </c>
      <c r="IX60" s="444">
        <v>50.6</v>
      </c>
      <c r="IY60" s="377">
        <v>300</v>
      </c>
      <c r="IZ60" s="373">
        <v>260</v>
      </c>
      <c r="JA60" s="444">
        <v>53.6</v>
      </c>
      <c r="JB60" s="377">
        <v>367</v>
      </c>
      <c r="JC60" s="373">
        <v>218</v>
      </c>
      <c r="JD60" s="444">
        <v>62.7</v>
      </c>
      <c r="JE60" s="377"/>
      <c r="JF60" s="373"/>
      <c r="JG60" s="444"/>
      <c r="JH60" s="377">
        <v>113</v>
      </c>
      <c r="JI60" s="373">
        <v>78</v>
      </c>
      <c r="JJ60" s="444">
        <v>59.2</v>
      </c>
      <c r="JK60" s="377">
        <v>87</v>
      </c>
      <c r="JL60" s="373">
        <v>59</v>
      </c>
      <c r="JM60" s="444">
        <v>59.6</v>
      </c>
      <c r="JN60" s="377">
        <v>87</v>
      </c>
      <c r="JO60" s="373">
        <v>58</v>
      </c>
      <c r="JP60" s="444">
        <v>60</v>
      </c>
      <c r="JQ60" s="377"/>
      <c r="JR60" s="373"/>
      <c r="JS60" s="444"/>
      <c r="JT60" s="377"/>
      <c r="JU60" s="373"/>
      <c r="JV60" s="444" t="s">
        <v>6</v>
      </c>
      <c r="JW60" s="377"/>
      <c r="JX60" s="373">
        <v>1</v>
      </c>
      <c r="JY60" s="444">
        <v>0</v>
      </c>
      <c r="JZ60" s="377">
        <v>1</v>
      </c>
      <c r="KA60" s="373">
        <v>1</v>
      </c>
      <c r="KB60" s="444">
        <v>50</v>
      </c>
      <c r="KC60" s="377"/>
      <c r="KD60" s="373"/>
      <c r="KE60" s="444"/>
      <c r="KF60" s="377"/>
      <c r="KG60" s="373"/>
      <c r="KH60" s="444" t="s">
        <v>6</v>
      </c>
      <c r="KI60" s="377">
        <v>1</v>
      </c>
      <c r="KJ60" s="373"/>
      <c r="KK60" s="444">
        <v>100</v>
      </c>
      <c r="KL60" s="377">
        <v>1</v>
      </c>
      <c r="KM60" s="373"/>
      <c r="KN60" s="444">
        <v>100</v>
      </c>
      <c r="KO60" s="377"/>
      <c r="KP60" s="373"/>
      <c r="KQ60" s="444"/>
      <c r="KR60" s="377">
        <v>121</v>
      </c>
      <c r="KS60" s="373">
        <v>85</v>
      </c>
      <c r="KT60" s="444">
        <v>58.7</v>
      </c>
      <c r="KU60" s="377">
        <v>104</v>
      </c>
      <c r="KV60" s="373">
        <v>69</v>
      </c>
      <c r="KW60" s="444">
        <v>60.1</v>
      </c>
      <c r="KX60" s="377">
        <v>108</v>
      </c>
      <c r="KY60" s="373">
        <v>61</v>
      </c>
      <c r="KZ60" s="444">
        <v>63.9</v>
      </c>
      <c r="LA60" s="377"/>
      <c r="LB60" s="373"/>
      <c r="LC60" s="444"/>
      <c r="LD60" s="377">
        <v>468</v>
      </c>
      <c r="LE60" s="373">
        <v>340</v>
      </c>
      <c r="LF60" s="444">
        <v>57.9</v>
      </c>
      <c r="LG60" s="377">
        <v>369</v>
      </c>
      <c r="LH60" s="373">
        <v>292</v>
      </c>
      <c r="LI60" s="444">
        <v>55.8</v>
      </c>
      <c r="LJ60" s="377">
        <v>533</v>
      </c>
      <c r="LK60" s="373">
        <v>258</v>
      </c>
      <c r="LL60" s="444">
        <v>67.400000000000006</v>
      </c>
      <c r="LM60" s="377"/>
      <c r="LN60" s="373"/>
      <c r="LO60" s="444"/>
    </row>
    <row r="61" spans="1:327" x14ac:dyDescent="0.2">
      <c r="A61" s="1001"/>
      <c r="B61" s="747" t="s">
        <v>621</v>
      </c>
      <c r="C61" s="151" t="s">
        <v>673</v>
      </c>
      <c r="D61" s="377"/>
      <c r="E61" s="373"/>
      <c r="F61" s="444" t="s">
        <v>6</v>
      </c>
      <c r="G61" s="377"/>
      <c r="H61" s="373"/>
      <c r="I61" s="444" t="s">
        <v>6</v>
      </c>
      <c r="J61" s="377"/>
      <c r="K61" s="373"/>
      <c r="L61" s="444" t="s">
        <v>6</v>
      </c>
      <c r="M61" s="377"/>
      <c r="N61" s="373"/>
      <c r="O61" s="444"/>
      <c r="P61" s="377"/>
      <c r="Q61" s="373"/>
      <c r="R61" s="444" t="s">
        <v>6</v>
      </c>
      <c r="S61" s="377"/>
      <c r="T61" s="373"/>
      <c r="U61" s="444" t="s">
        <v>6</v>
      </c>
      <c r="V61" s="377"/>
      <c r="W61" s="373"/>
      <c r="X61" s="444" t="s">
        <v>6</v>
      </c>
      <c r="Y61" s="377"/>
      <c r="Z61" s="373"/>
      <c r="AA61" s="444"/>
      <c r="AB61" s="377"/>
      <c r="AC61" s="373"/>
      <c r="AD61" s="444" t="s">
        <v>6</v>
      </c>
      <c r="AE61" s="377"/>
      <c r="AF61" s="373"/>
      <c r="AG61" s="444" t="s">
        <v>6</v>
      </c>
      <c r="AH61" s="377"/>
      <c r="AI61" s="373"/>
      <c r="AJ61" s="444" t="s">
        <v>6</v>
      </c>
      <c r="AK61" s="377"/>
      <c r="AL61" s="373"/>
      <c r="AM61" s="444"/>
      <c r="AN61" s="377">
        <v>13</v>
      </c>
      <c r="AO61" s="373">
        <v>3</v>
      </c>
      <c r="AP61" s="444">
        <v>81.3</v>
      </c>
      <c r="AQ61" s="377">
        <v>16</v>
      </c>
      <c r="AR61" s="373"/>
      <c r="AS61" s="444">
        <v>100</v>
      </c>
      <c r="AT61" s="377">
        <v>9</v>
      </c>
      <c r="AU61" s="373">
        <v>1</v>
      </c>
      <c r="AV61" s="444">
        <v>90</v>
      </c>
      <c r="AW61" s="377"/>
      <c r="AX61" s="373"/>
      <c r="AY61" s="444"/>
      <c r="AZ61" s="377">
        <v>4</v>
      </c>
      <c r="BA61" s="373"/>
      <c r="BB61" s="444">
        <v>100</v>
      </c>
      <c r="BC61" s="377">
        <v>11</v>
      </c>
      <c r="BD61" s="373"/>
      <c r="BE61" s="444">
        <v>100</v>
      </c>
      <c r="BF61" s="377">
        <v>5</v>
      </c>
      <c r="BG61" s="373">
        <v>1</v>
      </c>
      <c r="BH61" s="444">
        <v>83.3</v>
      </c>
      <c r="BI61" s="377"/>
      <c r="BJ61" s="373"/>
      <c r="BK61" s="444"/>
      <c r="BL61" s="377"/>
      <c r="BM61" s="373"/>
      <c r="BN61" s="444" t="s">
        <v>6</v>
      </c>
      <c r="BO61" s="377"/>
      <c r="BP61" s="373"/>
      <c r="BQ61" s="444" t="s">
        <v>6</v>
      </c>
      <c r="BR61" s="377"/>
      <c r="BS61" s="373"/>
      <c r="BT61" s="444" t="s">
        <v>6</v>
      </c>
      <c r="BU61" s="377"/>
      <c r="BV61" s="373"/>
      <c r="BW61" s="444"/>
      <c r="BX61" s="377"/>
      <c r="BY61" s="373"/>
      <c r="BZ61" s="444" t="s">
        <v>6</v>
      </c>
      <c r="CA61" s="377">
        <v>1</v>
      </c>
      <c r="CB61" s="373"/>
      <c r="CC61" s="444">
        <v>100</v>
      </c>
      <c r="CD61" s="377"/>
      <c r="CE61" s="373"/>
      <c r="CF61" s="444" t="s">
        <v>6</v>
      </c>
      <c r="CG61" s="377"/>
      <c r="CH61" s="373"/>
      <c r="CI61" s="444"/>
      <c r="CJ61" s="377"/>
      <c r="CK61" s="373"/>
      <c r="CL61" s="444" t="s">
        <v>6</v>
      </c>
      <c r="CM61" s="377"/>
      <c r="CN61" s="373"/>
      <c r="CO61" s="444" t="s">
        <v>6</v>
      </c>
      <c r="CP61" s="377"/>
      <c r="CQ61" s="373"/>
      <c r="CR61" s="444" t="s">
        <v>6</v>
      </c>
      <c r="CS61" s="377"/>
      <c r="CT61" s="373"/>
      <c r="CU61" s="444"/>
      <c r="CV61" s="377">
        <v>23</v>
      </c>
      <c r="CW61" s="373">
        <v>8</v>
      </c>
      <c r="CX61" s="444">
        <v>74.2</v>
      </c>
      <c r="CY61" s="377">
        <v>19</v>
      </c>
      <c r="CZ61" s="373">
        <v>3</v>
      </c>
      <c r="DA61" s="444">
        <v>86.4</v>
      </c>
      <c r="DB61" s="377">
        <v>17</v>
      </c>
      <c r="DC61" s="373">
        <v>4</v>
      </c>
      <c r="DD61" s="444">
        <v>81</v>
      </c>
      <c r="DE61" s="377"/>
      <c r="DF61" s="373"/>
      <c r="DG61" s="444"/>
      <c r="DH61" s="377"/>
      <c r="DI61" s="373"/>
      <c r="DJ61" s="444" t="s">
        <v>6</v>
      </c>
      <c r="DK61" s="377">
        <v>1</v>
      </c>
      <c r="DL61" s="373"/>
      <c r="DM61" s="444">
        <v>100</v>
      </c>
      <c r="DN61" s="377"/>
      <c r="DO61" s="373"/>
      <c r="DP61" s="444" t="s">
        <v>6</v>
      </c>
      <c r="DQ61" s="377"/>
      <c r="DR61" s="373"/>
      <c r="DS61" s="444"/>
      <c r="DT61" s="377">
        <v>1</v>
      </c>
      <c r="DU61" s="373"/>
      <c r="DV61" s="444">
        <v>100</v>
      </c>
      <c r="DW61" s="377">
        <v>1</v>
      </c>
      <c r="DX61" s="373">
        <v>1</v>
      </c>
      <c r="DY61" s="444">
        <v>50</v>
      </c>
      <c r="DZ61" s="377"/>
      <c r="EA61" s="373"/>
      <c r="EB61" s="444" t="s">
        <v>6</v>
      </c>
      <c r="EC61" s="377"/>
      <c r="ED61" s="373"/>
      <c r="EE61" s="444"/>
      <c r="EF61" s="377">
        <v>107</v>
      </c>
      <c r="EG61" s="373">
        <v>226</v>
      </c>
      <c r="EH61" s="444">
        <v>32.1</v>
      </c>
      <c r="EI61" s="377">
        <v>109</v>
      </c>
      <c r="EJ61" s="373">
        <v>196</v>
      </c>
      <c r="EK61" s="444">
        <v>35.700000000000003</v>
      </c>
      <c r="EL61" s="377">
        <v>126</v>
      </c>
      <c r="EM61" s="373">
        <v>202</v>
      </c>
      <c r="EN61" s="444">
        <v>38.4</v>
      </c>
      <c r="EO61" s="377"/>
      <c r="EP61" s="373"/>
      <c r="EQ61" s="444"/>
      <c r="ER61" s="377"/>
      <c r="ES61" s="373"/>
      <c r="ET61" s="444" t="s">
        <v>6</v>
      </c>
      <c r="EU61" s="377">
        <v>1</v>
      </c>
      <c r="EV61" s="373"/>
      <c r="EW61" s="444">
        <v>100</v>
      </c>
      <c r="EX61" s="377"/>
      <c r="EY61" s="373"/>
      <c r="EZ61" s="444" t="s">
        <v>6</v>
      </c>
      <c r="FA61" s="377"/>
      <c r="FB61" s="373"/>
      <c r="FC61" s="444"/>
      <c r="FD61" s="377"/>
      <c r="FE61" s="373">
        <v>8</v>
      </c>
      <c r="FF61" s="444">
        <v>0</v>
      </c>
      <c r="FG61" s="377">
        <v>1</v>
      </c>
      <c r="FH61" s="373">
        <v>3</v>
      </c>
      <c r="FI61" s="444">
        <v>25</v>
      </c>
      <c r="FJ61" s="377">
        <v>1</v>
      </c>
      <c r="FK61" s="373">
        <v>4</v>
      </c>
      <c r="FL61" s="444">
        <v>20</v>
      </c>
      <c r="FM61" s="377"/>
      <c r="FN61" s="373"/>
      <c r="FO61" s="444"/>
      <c r="FP61" s="377">
        <v>37</v>
      </c>
      <c r="FQ61" s="373">
        <v>60</v>
      </c>
      <c r="FR61" s="444">
        <v>38.1</v>
      </c>
      <c r="FS61" s="377">
        <v>31</v>
      </c>
      <c r="FT61" s="373">
        <v>60</v>
      </c>
      <c r="FU61" s="444">
        <v>34.1</v>
      </c>
      <c r="FV61" s="377">
        <v>29</v>
      </c>
      <c r="FW61" s="373">
        <v>36</v>
      </c>
      <c r="FX61" s="444">
        <v>44.6</v>
      </c>
      <c r="FY61" s="377"/>
      <c r="FZ61" s="373"/>
      <c r="GA61" s="444"/>
      <c r="GB61" s="377">
        <v>6</v>
      </c>
      <c r="GC61" s="373"/>
      <c r="GD61" s="444">
        <v>100</v>
      </c>
      <c r="GE61" s="377">
        <v>2</v>
      </c>
      <c r="GF61" s="373"/>
      <c r="GG61" s="444">
        <v>100</v>
      </c>
      <c r="GH61" s="377">
        <v>2</v>
      </c>
      <c r="GI61" s="373"/>
      <c r="GJ61" s="444">
        <v>100</v>
      </c>
      <c r="GK61" s="377"/>
      <c r="GL61" s="373"/>
      <c r="GM61" s="444"/>
      <c r="GN61" s="377">
        <v>2</v>
      </c>
      <c r="GO61" s="373">
        <v>1</v>
      </c>
      <c r="GP61" s="444">
        <v>66.7</v>
      </c>
      <c r="GQ61" s="377">
        <v>1</v>
      </c>
      <c r="GR61" s="373">
        <v>1</v>
      </c>
      <c r="GS61" s="444">
        <v>50</v>
      </c>
      <c r="GT61" s="377">
        <v>2</v>
      </c>
      <c r="GU61" s="373">
        <v>1</v>
      </c>
      <c r="GV61" s="444">
        <v>66.7</v>
      </c>
      <c r="GW61" s="377"/>
      <c r="GX61" s="373"/>
      <c r="GY61" s="444"/>
      <c r="GZ61" s="377">
        <v>1</v>
      </c>
      <c r="HA61" s="373"/>
      <c r="HB61" s="444">
        <v>100</v>
      </c>
      <c r="HC61" s="377">
        <v>1</v>
      </c>
      <c r="HD61" s="373"/>
      <c r="HE61" s="444">
        <v>100</v>
      </c>
      <c r="HF61" s="377"/>
      <c r="HG61" s="373"/>
      <c r="HH61" s="444" t="s">
        <v>6</v>
      </c>
      <c r="HI61" s="377"/>
      <c r="HJ61" s="373"/>
      <c r="HK61" s="444"/>
      <c r="HL61" s="377">
        <v>1</v>
      </c>
      <c r="HM61" s="373">
        <v>5</v>
      </c>
      <c r="HN61" s="444">
        <v>16.7</v>
      </c>
      <c r="HO61" s="377">
        <v>5</v>
      </c>
      <c r="HP61" s="373">
        <v>5</v>
      </c>
      <c r="HQ61" s="444">
        <v>50</v>
      </c>
      <c r="HR61" s="377">
        <v>3</v>
      </c>
      <c r="HS61" s="373">
        <v>7</v>
      </c>
      <c r="HT61" s="444">
        <v>30</v>
      </c>
      <c r="HU61" s="377"/>
      <c r="HV61" s="373"/>
      <c r="HW61" s="444"/>
      <c r="HX61" s="377"/>
      <c r="HY61" s="373"/>
      <c r="HZ61" s="444" t="s">
        <v>6</v>
      </c>
      <c r="IA61" s="377"/>
      <c r="IB61" s="373"/>
      <c r="IC61" s="444" t="s">
        <v>6</v>
      </c>
      <c r="ID61" s="377">
        <v>2</v>
      </c>
      <c r="IE61" s="373"/>
      <c r="IF61" s="444">
        <v>100</v>
      </c>
      <c r="IG61" s="377"/>
      <c r="IH61" s="373"/>
      <c r="II61" s="444"/>
      <c r="IJ61" s="377">
        <v>1</v>
      </c>
      <c r="IK61" s="373"/>
      <c r="IL61" s="444">
        <v>100</v>
      </c>
      <c r="IM61" s="377">
        <v>3</v>
      </c>
      <c r="IN61" s="373">
        <v>1</v>
      </c>
      <c r="IO61" s="444">
        <v>75</v>
      </c>
      <c r="IP61" s="377">
        <v>1</v>
      </c>
      <c r="IQ61" s="373"/>
      <c r="IR61" s="444">
        <v>100</v>
      </c>
      <c r="IS61" s="377"/>
      <c r="IT61" s="373"/>
      <c r="IU61" s="444"/>
      <c r="IV61" s="377">
        <v>155</v>
      </c>
      <c r="IW61" s="373">
        <v>243</v>
      </c>
      <c r="IX61" s="444">
        <v>38.9</v>
      </c>
      <c r="IY61" s="377">
        <v>159</v>
      </c>
      <c r="IZ61" s="373">
        <v>207</v>
      </c>
      <c r="JA61" s="444">
        <v>43.4</v>
      </c>
      <c r="JB61" s="377">
        <v>162</v>
      </c>
      <c r="JC61" s="373">
        <v>215</v>
      </c>
      <c r="JD61" s="444">
        <v>43</v>
      </c>
      <c r="JE61" s="377"/>
      <c r="JF61" s="373"/>
      <c r="JG61" s="444"/>
      <c r="JH61" s="377">
        <v>29</v>
      </c>
      <c r="JI61" s="373">
        <v>24</v>
      </c>
      <c r="JJ61" s="444">
        <v>54.7</v>
      </c>
      <c r="JK61" s="377">
        <v>41</v>
      </c>
      <c r="JL61" s="373">
        <v>21</v>
      </c>
      <c r="JM61" s="444">
        <v>66.099999999999994</v>
      </c>
      <c r="JN61" s="377">
        <v>34</v>
      </c>
      <c r="JO61" s="373">
        <v>26</v>
      </c>
      <c r="JP61" s="444">
        <v>56.7</v>
      </c>
      <c r="JQ61" s="377"/>
      <c r="JR61" s="373"/>
      <c r="JS61" s="444"/>
      <c r="JT61" s="377">
        <v>2</v>
      </c>
      <c r="JU61" s="373"/>
      <c r="JV61" s="444">
        <v>100</v>
      </c>
      <c r="JW61" s="377"/>
      <c r="JX61" s="373"/>
      <c r="JY61" s="444" t="s">
        <v>6</v>
      </c>
      <c r="JZ61" s="377"/>
      <c r="KA61" s="373"/>
      <c r="KB61" s="444" t="s">
        <v>6</v>
      </c>
      <c r="KC61" s="377"/>
      <c r="KD61" s="373"/>
      <c r="KE61" s="444"/>
      <c r="KF61" s="377"/>
      <c r="KG61" s="373"/>
      <c r="KH61" s="444" t="s">
        <v>6</v>
      </c>
      <c r="KI61" s="377"/>
      <c r="KJ61" s="373"/>
      <c r="KK61" s="444" t="s">
        <v>6</v>
      </c>
      <c r="KL61" s="377">
        <v>1</v>
      </c>
      <c r="KM61" s="373"/>
      <c r="KN61" s="444">
        <v>100</v>
      </c>
      <c r="KO61" s="377"/>
      <c r="KP61" s="373"/>
      <c r="KQ61" s="444"/>
      <c r="KR61" s="377">
        <v>33</v>
      </c>
      <c r="KS61" s="373">
        <v>35</v>
      </c>
      <c r="KT61" s="444">
        <v>48.5</v>
      </c>
      <c r="KU61" s="377">
        <v>47</v>
      </c>
      <c r="KV61" s="373">
        <v>24</v>
      </c>
      <c r="KW61" s="444">
        <v>66.2</v>
      </c>
      <c r="KX61" s="377">
        <v>38</v>
      </c>
      <c r="KY61" s="373">
        <v>29</v>
      </c>
      <c r="KZ61" s="444">
        <v>56.7</v>
      </c>
      <c r="LA61" s="377"/>
      <c r="LB61" s="373"/>
      <c r="LC61" s="444"/>
      <c r="LD61" s="377">
        <v>227</v>
      </c>
      <c r="LE61" s="373">
        <v>277</v>
      </c>
      <c r="LF61" s="444">
        <v>45</v>
      </c>
      <c r="LG61" s="377">
        <v>218</v>
      </c>
      <c r="LH61" s="373">
        <v>238</v>
      </c>
      <c r="LI61" s="444">
        <v>47.8</v>
      </c>
      <c r="LJ61" s="377">
        <v>194</v>
      </c>
      <c r="LK61" s="373">
        <v>239</v>
      </c>
      <c r="LL61" s="444">
        <v>44.8</v>
      </c>
      <c r="LM61" s="377"/>
      <c r="LN61" s="373"/>
      <c r="LO61" s="444"/>
    </row>
    <row r="62" spans="1:327" x14ac:dyDescent="0.2">
      <c r="A62" s="1001"/>
      <c r="B62" s="747" t="s">
        <v>621</v>
      </c>
      <c r="C62" s="151" t="s">
        <v>674</v>
      </c>
      <c r="D62" s="377"/>
      <c r="E62" s="373"/>
      <c r="F62" s="444" t="s">
        <v>6</v>
      </c>
      <c r="G62" s="377"/>
      <c r="H62" s="373"/>
      <c r="I62" s="444" t="s">
        <v>6</v>
      </c>
      <c r="J62" s="377"/>
      <c r="K62" s="373"/>
      <c r="L62" s="444" t="s">
        <v>6</v>
      </c>
      <c r="M62" s="377"/>
      <c r="N62" s="373"/>
      <c r="O62" s="444"/>
      <c r="P62" s="377"/>
      <c r="Q62" s="373"/>
      <c r="R62" s="444" t="s">
        <v>6</v>
      </c>
      <c r="S62" s="377"/>
      <c r="T62" s="373"/>
      <c r="U62" s="444" t="s">
        <v>6</v>
      </c>
      <c r="V62" s="377"/>
      <c r="W62" s="373"/>
      <c r="X62" s="444" t="s">
        <v>6</v>
      </c>
      <c r="Y62" s="377"/>
      <c r="Z62" s="373"/>
      <c r="AA62" s="444"/>
      <c r="AB62" s="377"/>
      <c r="AC62" s="373"/>
      <c r="AD62" s="444" t="s">
        <v>6</v>
      </c>
      <c r="AE62" s="377"/>
      <c r="AF62" s="373"/>
      <c r="AG62" s="444" t="s">
        <v>6</v>
      </c>
      <c r="AH62" s="377"/>
      <c r="AI62" s="373"/>
      <c r="AJ62" s="444" t="s">
        <v>6</v>
      </c>
      <c r="AK62" s="377"/>
      <c r="AL62" s="373"/>
      <c r="AM62" s="444"/>
      <c r="AN62" s="377">
        <v>19</v>
      </c>
      <c r="AO62" s="373">
        <v>2</v>
      </c>
      <c r="AP62" s="444">
        <v>90.5</v>
      </c>
      <c r="AQ62" s="377">
        <v>70</v>
      </c>
      <c r="AR62" s="373">
        <v>5</v>
      </c>
      <c r="AS62" s="444">
        <v>93.3</v>
      </c>
      <c r="AT62" s="377">
        <v>54</v>
      </c>
      <c r="AU62" s="373">
        <v>7</v>
      </c>
      <c r="AV62" s="444">
        <v>88.5</v>
      </c>
      <c r="AW62" s="377"/>
      <c r="AX62" s="373"/>
      <c r="AY62" s="444"/>
      <c r="AZ62" s="377">
        <v>4</v>
      </c>
      <c r="BA62" s="373">
        <v>1</v>
      </c>
      <c r="BB62" s="444">
        <v>80</v>
      </c>
      <c r="BC62" s="377">
        <v>22</v>
      </c>
      <c r="BD62" s="373">
        <v>5</v>
      </c>
      <c r="BE62" s="444">
        <v>81.5</v>
      </c>
      <c r="BF62" s="377">
        <v>21</v>
      </c>
      <c r="BG62" s="373">
        <v>4</v>
      </c>
      <c r="BH62" s="444">
        <v>84</v>
      </c>
      <c r="BI62" s="377"/>
      <c r="BJ62" s="373"/>
      <c r="BK62" s="444"/>
      <c r="BL62" s="377"/>
      <c r="BM62" s="373"/>
      <c r="BN62" s="444" t="s">
        <v>6</v>
      </c>
      <c r="BO62" s="377"/>
      <c r="BP62" s="373"/>
      <c r="BQ62" s="444" t="s">
        <v>6</v>
      </c>
      <c r="BR62" s="377"/>
      <c r="BS62" s="373"/>
      <c r="BT62" s="444" t="s">
        <v>6</v>
      </c>
      <c r="BU62" s="377"/>
      <c r="BV62" s="373"/>
      <c r="BW62" s="444"/>
      <c r="BX62" s="377"/>
      <c r="BY62" s="373"/>
      <c r="BZ62" s="444" t="s">
        <v>6</v>
      </c>
      <c r="CA62" s="377"/>
      <c r="CB62" s="373"/>
      <c r="CC62" s="444" t="s">
        <v>6</v>
      </c>
      <c r="CD62" s="377"/>
      <c r="CE62" s="373"/>
      <c r="CF62" s="444" t="s">
        <v>6</v>
      </c>
      <c r="CG62" s="377"/>
      <c r="CH62" s="373"/>
      <c r="CI62" s="444"/>
      <c r="CJ62" s="377"/>
      <c r="CK62" s="373"/>
      <c r="CL62" s="444" t="s">
        <v>6</v>
      </c>
      <c r="CM62" s="377"/>
      <c r="CN62" s="373"/>
      <c r="CO62" s="444" t="s">
        <v>6</v>
      </c>
      <c r="CP62" s="377"/>
      <c r="CQ62" s="373"/>
      <c r="CR62" s="444" t="s">
        <v>6</v>
      </c>
      <c r="CS62" s="377"/>
      <c r="CT62" s="373"/>
      <c r="CU62" s="444"/>
      <c r="CV62" s="377">
        <v>25</v>
      </c>
      <c r="CW62" s="373">
        <v>15</v>
      </c>
      <c r="CX62" s="444">
        <v>62.5</v>
      </c>
      <c r="CY62" s="377">
        <v>116</v>
      </c>
      <c r="CZ62" s="373">
        <v>6</v>
      </c>
      <c r="DA62" s="444">
        <v>95.1</v>
      </c>
      <c r="DB62" s="377">
        <v>99</v>
      </c>
      <c r="DC62" s="373">
        <v>11</v>
      </c>
      <c r="DD62" s="444">
        <v>90</v>
      </c>
      <c r="DE62" s="377"/>
      <c r="DF62" s="373"/>
      <c r="DG62" s="444"/>
      <c r="DH62" s="377">
        <v>3</v>
      </c>
      <c r="DI62" s="373"/>
      <c r="DJ62" s="444">
        <v>100</v>
      </c>
      <c r="DK62" s="377">
        <v>1</v>
      </c>
      <c r="DL62" s="373"/>
      <c r="DM62" s="444">
        <v>100</v>
      </c>
      <c r="DN62" s="377">
        <v>3</v>
      </c>
      <c r="DO62" s="373"/>
      <c r="DP62" s="444">
        <v>100</v>
      </c>
      <c r="DQ62" s="377"/>
      <c r="DR62" s="373"/>
      <c r="DS62" s="444"/>
      <c r="DT62" s="377">
        <v>9</v>
      </c>
      <c r="DU62" s="373"/>
      <c r="DV62" s="444">
        <v>100</v>
      </c>
      <c r="DW62" s="377">
        <v>1</v>
      </c>
      <c r="DX62" s="373"/>
      <c r="DY62" s="444">
        <v>100</v>
      </c>
      <c r="DZ62" s="377">
        <v>7</v>
      </c>
      <c r="EA62" s="373"/>
      <c r="EB62" s="444">
        <v>100</v>
      </c>
      <c r="EC62" s="377"/>
      <c r="ED62" s="373"/>
      <c r="EE62" s="444"/>
      <c r="EF62" s="377">
        <v>145</v>
      </c>
      <c r="EG62" s="373">
        <v>520</v>
      </c>
      <c r="EH62" s="444">
        <v>21.8</v>
      </c>
      <c r="EI62" s="377">
        <v>243</v>
      </c>
      <c r="EJ62" s="373">
        <v>477</v>
      </c>
      <c r="EK62" s="444">
        <v>33.799999999999997</v>
      </c>
      <c r="EL62" s="377">
        <v>243</v>
      </c>
      <c r="EM62" s="373">
        <v>520</v>
      </c>
      <c r="EN62" s="444">
        <v>31.8</v>
      </c>
      <c r="EO62" s="377"/>
      <c r="EP62" s="373"/>
      <c r="EQ62" s="444"/>
      <c r="ER62" s="377"/>
      <c r="ES62" s="373"/>
      <c r="ET62" s="444" t="s">
        <v>6</v>
      </c>
      <c r="EU62" s="377">
        <v>8</v>
      </c>
      <c r="EV62" s="373">
        <v>1</v>
      </c>
      <c r="EW62" s="444">
        <v>88.9</v>
      </c>
      <c r="EX62" s="377">
        <v>1</v>
      </c>
      <c r="EY62" s="373"/>
      <c r="EZ62" s="444">
        <v>100</v>
      </c>
      <c r="FA62" s="377"/>
      <c r="FB62" s="373"/>
      <c r="FC62" s="444"/>
      <c r="FD62" s="377"/>
      <c r="FE62" s="373">
        <v>1</v>
      </c>
      <c r="FF62" s="444">
        <v>0</v>
      </c>
      <c r="FG62" s="377">
        <v>5</v>
      </c>
      <c r="FH62" s="373">
        <v>5</v>
      </c>
      <c r="FI62" s="444">
        <v>50</v>
      </c>
      <c r="FJ62" s="377">
        <v>1</v>
      </c>
      <c r="FK62" s="373">
        <v>8</v>
      </c>
      <c r="FL62" s="444">
        <v>11.1</v>
      </c>
      <c r="FM62" s="377"/>
      <c r="FN62" s="373"/>
      <c r="FO62" s="444"/>
      <c r="FP62" s="377">
        <v>46</v>
      </c>
      <c r="FQ62" s="373">
        <v>94</v>
      </c>
      <c r="FR62" s="444">
        <v>32.9</v>
      </c>
      <c r="FS62" s="377">
        <v>84</v>
      </c>
      <c r="FT62" s="373">
        <v>131</v>
      </c>
      <c r="FU62" s="444">
        <v>39.1</v>
      </c>
      <c r="FV62" s="377">
        <v>67</v>
      </c>
      <c r="FW62" s="373">
        <v>100</v>
      </c>
      <c r="FX62" s="444">
        <v>40.1</v>
      </c>
      <c r="FY62" s="377"/>
      <c r="FZ62" s="373"/>
      <c r="GA62" s="444"/>
      <c r="GB62" s="377">
        <v>9</v>
      </c>
      <c r="GC62" s="373">
        <v>2</v>
      </c>
      <c r="GD62" s="444">
        <v>81.8</v>
      </c>
      <c r="GE62" s="377">
        <v>14</v>
      </c>
      <c r="GF62" s="373">
        <v>2</v>
      </c>
      <c r="GG62" s="444">
        <v>87.5</v>
      </c>
      <c r="GH62" s="377">
        <v>20</v>
      </c>
      <c r="GI62" s="373">
        <v>1</v>
      </c>
      <c r="GJ62" s="444">
        <v>95.2</v>
      </c>
      <c r="GK62" s="377"/>
      <c r="GL62" s="373"/>
      <c r="GM62" s="444"/>
      <c r="GN62" s="377">
        <v>1</v>
      </c>
      <c r="GO62" s="373">
        <v>2</v>
      </c>
      <c r="GP62" s="444">
        <v>33.299999999999997</v>
      </c>
      <c r="GQ62" s="377">
        <v>3</v>
      </c>
      <c r="GR62" s="373">
        <v>2</v>
      </c>
      <c r="GS62" s="444">
        <v>60</v>
      </c>
      <c r="GT62" s="377">
        <v>14</v>
      </c>
      <c r="GU62" s="373">
        <v>1</v>
      </c>
      <c r="GV62" s="444">
        <v>93.3</v>
      </c>
      <c r="GW62" s="377"/>
      <c r="GX62" s="373"/>
      <c r="GY62" s="444"/>
      <c r="GZ62" s="377">
        <v>4</v>
      </c>
      <c r="HA62" s="373"/>
      <c r="HB62" s="444">
        <v>100</v>
      </c>
      <c r="HC62" s="377">
        <v>40</v>
      </c>
      <c r="HD62" s="373"/>
      <c r="HE62" s="444">
        <v>100</v>
      </c>
      <c r="HF62" s="377">
        <v>3</v>
      </c>
      <c r="HG62" s="373">
        <v>1</v>
      </c>
      <c r="HH62" s="444">
        <v>75</v>
      </c>
      <c r="HI62" s="377"/>
      <c r="HJ62" s="373"/>
      <c r="HK62" s="444"/>
      <c r="HL62" s="377">
        <v>4</v>
      </c>
      <c r="HM62" s="373">
        <v>18</v>
      </c>
      <c r="HN62" s="444">
        <v>18.2</v>
      </c>
      <c r="HO62" s="377">
        <v>10</v>
      </c>
      <c r="HP62" s="373">
        <v>23</v>
      </c>
      <c r="HQ62" s="444">
        <v>30.3</v>
      </c>
      <c r="HR62" s="377">
        <v>3</v>
      </c>
      <c r="HS62" s="373">
        <v>16</v>
      </c>
      <c r="HT62" s="444">
        <v>15.8</v>
      </c>
      <c r="HU62" s="377"/>
      <c r="HV62" s="373"/>
      <c r="HW62" s="444"/>
      <c r="HX62" s="377">
        <v>2</v>
      </c>
      <c r="HY62" s="373"/>
      <c r="HZ62" s="444">
        <v>100</v>
      </c>
      <c r="IA62" s="377">
        <v>2</v>
      </c>
      <c r="IB62" s="373"/>
      <c r="IC62" s="444">
        <v>100</v>
      </c>
      <c r="ID62" s="377">
        <v>3</v>
      </c>
      <c r="IE62" s="373"/>
      <c r="IF62" s="444">
        <v>100</v>
      </c>
      <c r="IG62" s="377"/>
      <c r="IH62" s="373"/>
      <c r="II62" s="444"/>
      <c r="IJ62" s="377">
        <v>3</v>
      </c>
      <c r="IK62" s="373">
        <v>4</v>
      </c>
      <c r="IL62" s="444">
        <v>42.9</v>
      </c>
      <c r="IM62" s="377">
        <v>2</v>
      </c>
      <c r="IN62" s="373"/>
      <c r="IO62" s="444">
        <v>100</v>
      </c>
      <c r="IP62" s="377">
        <v>4</v>
      </c>
      <c r="IQ62" s="373">
        <v>1</v>
      </c>
      <c r="IR62" s="444">
        <v>80</v>
      </c>
      <c r="IS62" s="377"/>
      <c r="IT62" s="373"/>
      <c r="IU62" s="444"/>
      <c r="IV62" s="377">
        <v>224</v>
      </c>
      <c r="IW62" s="373">
        <v>563</v>
      </c>
      <c r="IX62" s="444">
        <v>28.5</v>
      </c>
      <c r="IY62" s="377">
        <v>502</v>
      </c>
      <c r="IZ62" s="373">
        <v>515</v>
      </c>
      <c r="JA62" s="444">
        <v>49.4</v>
      </c>
      <c r="JB62" s="377">
        <v>453</v>
      </c>
      <c r="JC62" s="373">
        <v>558</v>
      </c>
      <c r="JD62" s="444">
        <v>44.8</v>
      </c>
      <c r="JE62" s="377"/>
      <c r="JF62" s="373"/>
      <c r="JG62" s="444"/>
      <c r="JH62" s="377">
        <v>37</v>
      </c>
      <c r="JI62" s="373">
        <v>56</v>
      </c>
      <c r="JJ62" s="444">
        <v>39.799999999999997</v>
      </c>
      <c r="JK62" s="377">
        <v>135</v>
      </c>
      <c r="JL62" s="373">
        <v>48</v>
      </c>
      <c r="JM62" s="444">
        <v>73.8</v>
      </c>
      <c r="JN62" s="377">
        <v>120</v>
      </c>
      <c r="JO62" s="373">
        <v>66</v>
      </c>
      <c r="JP62" s="444">
        <v>64.5</v>
      </c>
      <c r="JQ62" s="377"/>
      <c r="JR62" s="373"/>
      <c r="JS62" s="444"/>
      <c r="JT62" s="377"/>
      <c r="JU62" s="373">
        <v>2</v>
      </c>
      <c r="JV62" s="444">
        <v>0</v>
      </c>
      <c r="JW62" s="377">
        <v>1</v>
      </c>
      <c r="JX62" s="373"/>
      <c r="JY62" s="444">
        <v>100</v>
      </c>
      <c r="JZ62" s="377">
        <v>3</v>
      </c>
      <c r="KA62" s="373">
        <v>1</v>
      </c>
      <c r="KB62" s="444">
        <v>75</v>
      </c>
      <c r="KC62" s="377"/>
      <c r="KD62" s="373"/>
      <c r="KE62" s="444"/>
      <c r="KF62" s="377"/>
      <c r="KG62" s="373"/>
      <c r="KH62" s="444" t="s">
        <v>6</v>
      </c>
      <c r="KI62" s="377">
        <v>2</v>
      </c>
      <c r="KJ62" s="373">
        <v>1</v>
      </c>
      <c r="KK62" s="444">
        <v>66.7</v>
      </c>
      <c r="KL62" s="377">
        <v>1</v>
      </c>
      <c r="KM62" s="373"/>
      <c r="KN62" s="444">
        <v>100</v>
      </c>
      <c r="KO62" s="377"/>
      <c r="KP62" s="373"/>
      <c r="KQ62" s="444"/>
      <c r="KR62" s="377">
        <v>38</v>
      </c>
      <c r="KS62" s="373">
        <v>68</v>
      </c>
      <c r="KT62" s="444">
        <v>35.799999999999997</v>
      </c>
      <c r="KU62" s="377">
        <v>153</v>
      </c>
      <c r="KV62" s="373">
        <v>58</v>
      </c>
      <c r="KW62" s="444">
        <v>72.5</v>
      </c>
      <c r="KX62" s="377">
        <v>143</v>
      </c>
      <c r="KY62" s="373">
        <v>74</v>
      </c>
      <c r="KZ62" s="444">
        <v>65.900000000000006</v>
      </c>
      <c r="LA62" s="377"/>
      <c r="LB62" s="373"/>
      <c r="LC62" s="444"/>
      <c r="LD62" s="377">
        <v>312</v>
      </c>
      <c r="LE62" s="373">
        <v>646</v>
      </c>
      <c r="LF62" s="444">
        <v>32.6</v>
      </c>
      <c r="LG62" s="377">
        <v>639</v>
      </c>
      <c r="LH62" s="373">
        <v>589</v>
      </c>
      <c r="LI62" s="444">
        <v>52</v>
      </c>
      <c r="LJ62" s="377">
        <v>687</v>
      </c>
      <c r="LK62" s="373">
        <v>642</v>
      </c>
      <c r="LL62" s="444">
        <v>51.7</v>
      </c>
      <c r="LM62" s="377"/>
      <c r="LN62" s="373"/>
      <c r="LO62" s="444"/>
    </row>
    <row r="63" spans="1:327" x14ac:dyDescent="0.2">
      <c r="A63" s="1001"/>
      <c r="B63" s="747" t="s">
        <v>621</v>
      </c>
      <c r="C63" s="151" t="s">
        <v>675</v>
      </c>
      <c r="D63" s="377"/>
      <c r="E63" s="373"/>
      <c r="F63" s="444" t="s">
        <v>6</v>
      </c>
      <c r="G63" s="377"/>
      <c r="H63" s="373"/>
      <c r="I63" s="444" t="s">
        <v>6</v>
      </c>
      <c r="J63" s="377"/>
      <c r="K63" s="373"/>
      <c r="L63" s="444" t="s">
        <v>6</v>
      </c>
      <c r="M63" s="377"/>
      <c r="N63" s="373"/>
      <c r="O63" s="444"/>
      <c r="P63" s="377"/>
      <c r="Q63" s="373"/>
      <c r="R63" s="444" t="s">
        <v>6</v>
      </c>
      <c r="S63" s="377"/>
      <c r="T63" s="373"/>
      <c r="U63" s="444" t="s">
        <v>6</v>
      </c>
      <c r="V63" s="377"/>
      <c r="W63" s="373"/>
      <c r="X63" s="444" t="s">
        <v>6</v>
      </c>
      <c r="Y63" s="377"/>
      <c r="Z63" s="373"/>
      <c r="AA63" s="444"/>
      <c r="AB63" s="377"/>
      <c r="AC63" s="373"/>
      <c r="AD63" s="444" t="s">
        <v>6</v>
      </c>
      <c r="AE63" s="377"/>
      <c r="AF63" s="373"/>
      <c r="AG63" s="444" t="s">
        <v>6</v>
      </c>
      <c r="AH63" s="377"/>
      <c r="AI63" s="373"/>
      <c r="AJ63" s="444" t="s">
        <v>6</v>
      </c>
      <c r="AK63" s="377"/>
      <c r="AL63" s="373"/>
      <c r="AM63" s="444"/>
      <c r="AN63" s="377">
        <v>14</v>
      </c>
      <c r="AO63" s="373"/>
      <c r="AP63" s="444">
        <v>100</v>
      </c>
      <c r="AQ63" s="377">
        <v>20</v>
      </c>
      <c r="AR63" s="373">
        <v>1</v>
      </c>
      <c r="AS63" s="444">
        <v>95.2</v>
      </c>
      <c r="AT63" s="377">
        <v>17</v>
      </c>
      <c r="AU63" s="373"/>
      <c r="AV63" s="444">
        <v>100</v>
      </c>
      <c r="AW63" s="377"/>
      <c r="AX63" s="373"/>
      <c r="AY63" s="444"/>
      <c r="AZ63" s="377">
        <v>5</v>
      </c>
      <c r="BA63" s="373"/>
      <c r="BB63" s="444">
        <v>100</v>
      </c>
      <c r="BC63" s="377">
        <v>5</v>
      </c>
      <c r="BD63" s="373">
        <v>1</v>
      </c>
      <c r="BE63" s="444">
        <v>83.3</v>
      </c>
      <c r="BF63" s="377">
        <v>6</v>
      </c>
      <c r="BG63" s="373"/>
      <c r="BH63" s="444">
        <v>100</v>
      </c>
      <c r="BI63" s="377"/>
      <c r="BJ63" s="373"/>
      <c r="BK63" s="444"/>
      <c r="BL63" s="377"/>
      <c r="BM63" s="373"/>
      <c r="BN63" s="444" t="s">
        <v>6</v>
      </c>
      <c r="BO63" s="377"/>
      <c r="BP63" s="373"/>
      <c r="BQ63" s="444" t="s">
        <v>6</v>
      </c>
      <c r="BR63" s="377"/>
      <c r="BS63" s="373"/>
      <c r="BT63" s="444" t="s">
        <v>6</v>
      </c>
      <c r="BU63" s="377"/>
      <c r="BV63" s="373"/>
      <c r="BW63" s="444"/>
      <c r="BX63" s="377"/>
      <c r="BY63" s="373"/>
      <c r="BZ63" s="444" t="s">
        <v>6</v>
      </c>
      <c r="CA63" s="377"/>
      <c r="CB63" s="373"/>
      <c r="CC63" s="444" t="s">
        <v>6</v>
      </c>
      <c r="CD63" s="377"/>
      <c r="CE63" s="373"/>
      <c r="CF63" s="444" t="s">
        <v>6</v>
      </c>
      <c r="CG63" s="377"/>
      <c r="CH63" s="373"/>
      <c r="CI63" s="444"/>
      <c r="CJ63" s="377"/>
      <c r="CK63" s="373"/>
      <c r="CL63" s="444" t="s">
        <v>6</v>
      </c>
      <c r="CM63" s="377"/>
      <c r="CN63" s="373"/>
      <c r="CO63" s="444" t="s">
        <v>6</v>
      </c>
      <c r="CP63" s="377"/>
      <c r="CQ63" s="373"/>
      <c r="CR63" s="444" t="s">
        <v>6</v>
      </c>
      <c r="CS63" s="377"/>
      <c r="CT63" s="373"/>
      <c r="CU63" s="444"/>
      <c r="CV63" s="377">
        <v>26</v>
      </c>
      <c r="CW63" s="373">
        <v>5</v>
      </c>
      <c r="CX63" s="444">
        <v>83.9</v>
      </c>
      <c r="CY63" s="377">
        <v>19</v>
      </c>
      <c r="CZ63" s="373">
        <v>5</v>
      </c>
      <c r="DA63" s="444">
        <v>79.2</v>
      </c>
      <c r="DB63" s="377">
        <v>26</v>
      </c>
      <c r="DC63" s="373">
        <v>4</v>
      </c>
      <c r="DD63" s="444">
        <v>86.7</v>
      </c>
      <c r="DE63" s="377"/>
      <c r="DF63" s="373"/>
      <c r="DG63" s="444"/>
      <c r="DH63" s="377"/>
      <c r="DI63" s="373"/>
      <c r="DJ63" s="444" t="s">
        <v>6</v>
      </c>
      <c r="DK63" s="377">
        <v>1</v>
      </c>
      <c r="DL63" s="373"/>
      <c r="DM63" s="444">
        <v>100</v>
      </c>
      <c r="DN63" s="377"/>
      <c r="DO63" s="373"/>
      <c r="DP63" s="444" t="s">
        <v>6</v>
      </c>
      <c r="DQ63" s="377"/>
      <c r="DR63" s="373"/>
      <c r="DS63" s="444"/>
      <c r="DT63" s="377"/>
      <c r="DU63" s="373"/>
      <c r="DV63" s="444" t="s">
        <v>6</v>
      </c>
      <c r="DW63" s="377"/>
      <c r="DX63" s="373"/>
      <c r="DY63" s="444" t="s">
        <v>6</v>
      </c>
      <c r="DZ63" s="377"/>
      <c r="EA63" s="373"/>
      <c r="EB63" s="444" t="s">
        <v>6</v>
      </c>
      <c r="EC63" s="377"/>
      <c r="ED63" s="373"/>
      <c r="EE63" s="444"/>
      <c r="EF63" s="377">
        <v>119</v>
      </c>
      <c r="EG63" s="373">
        <v>79</v>
      </c>
      <c r="EH63" s="444">
        <v>60.1</v>
      </c>
      <c r="EI63" s="377">
        <v>146</v>
      </c>
      <c r="EJ63" s="373">
        <v>59</v>
      </c>
      <c r="EK63" s="444">
        <v>71.2</v>
      </c>
      <c r="EL63" s="377">
        <v>167</v>
      </c>
      <c r="EM63" s="373">
        <v>57</v>
      </c>
      <c r="EN63" s="444">
        <v>74.599999999999994</v>
      </c>
      <c r="EO63" s="377"/>
      <c r="EP63" s="373"/>
      <c r="EQ63" s="444"/>
      <c r="ER63" s="377"/>
      <c r="ES63" s="373"/>
      <c r="ET63" s="444" t="s">
        <v>6</v>
      </c>
      <c r="EU63" s="377"/>
      <c r="EV63" s="373"/>
      <c r="EW63" s="444" t="s">
        <v>6</v>
      </c>
      <c r="EX63" s="377"/>
      <c r="EY63" s="373"/>
      <c r="EZ63" s="444" t="s">
        <v>6</v>
      </c>
      <c r="FA63" s="377"/>
      <c r="FB63" s="373"/>
      <c r="FC63" s="444"/>
      <c r="FD63" s="377"/>
      <c r="FE63" s="373">
        <v>1</v>
      </c>
      <c r="FF63" s="444">
        <v>0</v>
      </c>
      <c r="FG63" s="377">
        <v>1</v>
      </c>
      <c r="FH63" s="373"/>
      <c r="FI63" s="444">
        <v>100</v>
      </c>
      <c r="FJ63" s="377">
        <v>3</v>
      </c>
      <c r="FK63" s="373">
        <v>1</v>
      </c>
      <c r="FL63" s="444">
        <v>75</v>
      </c>
      <c r="FM63" s="377"/>
      <c r="FN63" s="373"/>
      <c r="FO63" s="444"/>
      <c r="FP63" s="377">
        <v>25</v>
      </c>
      <c r="FQ63" s="373">
        <v>22</v>
      </c>
      <c r="FR63" s="444">
        <v>53.2</v>
      </c>
      <c r="FS63" s="377">
        <v>28</v>
      </c>
      <c r="FT63" s="373">
        <v>19</v>
      </c>
      <c r="FU63" s="444">
        <v>59.6</v>
      </c>
      <c r="FV63" s="377">
        <v>17</v>
      </c>
      <c r="FW63" s="373">
        <v>12</v>
      </c>
      <c r="FX63" s="444">
        <v>58.6</v>
      </c>
      <c r="FY63" s="377"/>
      <c r="FZ63" s="373"/>
      <c r="GA63" s="444"/>
      <c r="GB63" s="377">
        <v>1</v>
      </c>
      <c r="GC63" s="373"/>
      <c r="GD63" s="444">
        <v>100</v>
      </c>
      <c r="GE63" s="377">
        <v>1</v>
      </c>
      <c r="GF63" s="373"/>
      <c r="GG63" s="444">
        <v>100</v>
      </c>
      <c r="GH63" s="377"/>
      <c r="GI63" s="373"/>
      <c r="GJ63" s="444" t="s">
        <v>6</v>
      </c>
      <c r="GK63" s="377"/>
      <c r="GL63" s="373"/>
      <c r="GM63" s="444"/>
      <c r="GN63" s="377">
        <v>1</v>
      </c>
      <c r="GO63" s="373"/>
      <c r="GP63" s="444">
        <v>100</v>
      </c>
      <c r="GQ63" s="377"/>
      <c r="GR63" s="373"/>
      <c r="GS63" s="444" t="s">
        <v>6</v>
      </c>
      <c r="GT63" s="377"/>
      <c r="GU63" s="373"/>
      <c r="GV63" s="444" t="s">
        <v>6</v>
      </c>
      <c r="GW63" s="377"/>
      <c r="GX63" s="373"/>
      <c r="GY63" s="444"/>
      <c r="GZ63" s="377"/>
      <c r="HA63" s="373"/>
      <c r="HB63" s="444" t="s">
        <v>6</v>
      </c>
      <c r="HC63" s="377">
        <v>1</v>
      </c>
      <c r="HD63" s="373"/>
      <c r="HE63" s="444">
        <v>100</v>
      </c>
      <c r="HF63" s="377"/>
      <c r="HG63" s="373"/>
      <c r="HH63" s="444" t="s">
        <v>6</v>
      </c>
      <c r="HI63" s="377"/>
      <c r="HJ63" s="373"/>
      <c r="HK63" s="444"/>
      <c r="HL63" s="377">
        <v>3</v>
      </c>
      <c r="HM63" s="373">
        <v>2</v>
      </c>
      <c r="HN63" s="444">
        <v>60</v>
      </c>
      <c r="HO63" s="377">
        <v>5</v>
      </c>
      <c r="HP63" s="373">
        <v>8</v>
      </c>
      <c r="HQ63" s="444">
        <v>38.5</v>
      </c>
      <c r="HR63" s="377">
        <v>8</v>
      </c>
      <c r="HS63" s="373"/>
      <c r="HT63" s="444">
        <v>100</v>
      </c>
      <c r="HU63" s="377"/>
      <c r="HV63" s="373"/>
      <c r="HW63" s="444"/>
      <c r="HX63" s="377">
        <v>1</v>
      </c>
      <c r="HY63" s="373"/>
      <c r="HZ63" s="444">
        <v>100</v>
      </c>
      <c r="IA63" s="377"/>
      <c r="IB63" s="373"/>
      <c r="IC63" s="444" t="s">
        <v>6</v>
      </c>
      <c r="ID63" s="377">
        <v>4</v>
      </c>
      <c r="IE63" s="373"/>
      <c r="IF63" s="444">
        <v>100</v>
      </c>
      <c r="IG63" s="377"/>
      <c r="IH63" s="373"/>
      <c r="II63" s="444"/>
      <c r="IJ63" s="377"/>
      <c r="IK63" s="373"/>
      <c r="IL63" s="444" t="s">
        <v>6</v>
      </c>
      <c r="IM63" s="377">
        <v>1</v>
      </c>
      <c r="IN63" s="373"/>
      <c r="IO63" s="444">
        <v>100</v>
      </c>
      <c r="IP63" s="377"/>
      <c r="IQ63" s="373"/>
      <c r="IR63" s="444" t="s">
        <v>6</v>
      </c>
      <c r="IS63" s="377"/>
      <c r="IT63" s="373"/>
      <c r="IU63" s="444"/>
      <c r="IV63" s="377">
        <v>165</v>
      </c>
      <c r="IW63" s="373">
        <v>86</v>
      </c>
      <c r="IX63" s="444">
        <v>65.7</v>
      </c>
      <c r="IY63" s="377">
        <v>194</v>
      </c>
      <c r="IZ63" s="373">
        <v>73</v>
      </c>
      <c r="JA63" s="444">
        <v>72.7</v>
      </c>
      <c r="JB63" s="377">
        <v>222</v>
      </c>
      <c r="JC63" s="373">
        <v>61</v>
      </c>
      <c r="JD63" s="444">
        <v>78.400000000000006</v>
      </c>
      <c r="JE63" s="377"/>
      <c r="JF63" s="373"/>
      <c r="JG63" s="444"/>
      <c r="JH63" s="377">
        <v>43</v>
      </c>
      <c r="JI63" s="373">
        <v>7</v>
      </c>
      <c r="JJ63" s="444">
        <v>86</v>
      </c>
      <c r="JK63" s="377">
        <v>28</v>
      </c>
      <c r="JL63" s="373">
        <v>11</v>
      </c>
      <c r="JM63" s="444">
        <v>71.8</v>
      </c>
      <c r="JN63" s="377">
        <v>37</v>
      </c>
      <c r="JO63" s="373">
        <v>10</v>
      </c>
      <c r="JP63" s="444">
        <v>78.7</v>
      </c>
      <c r="JQ63" s="377"/>
      <c r="JR63" s="373"/>
      <c r="JS63" s="444"/>
      <c r="JT63" s="377"/>
      <c r="JU63" s="373"/>
      <c r="JV63" s="444" t="s">
        <v>6</v>
      </c>
      <c r="JW63" s="377">
        <v>1</v>
      </c>
      <c r="JX63" s="373"/>
      <c r="JY63" s="444">
        <v>100</v>
      </c>
      <c r="JZ63" s="377"/>
      <c r="KA63" s="373"/>
      <c r="KB63" s="444" t="s">
        <v>6</v>
      </c>
      <c r="KC63" s="377"/>
      <c r="KD63" s="373"/>
      <c r="KE63" s="444"/>
      <c r="KF63" s="377"/>
      <c r="KG63" s="373"/>
      <c r="KH63" s="444" t="s">
        <v>6</v>
      </c>
      <c r="KI63" s="377"/>
      <c r="KJ63" s="373"/>
      <c r="KK63" s="444" t="s">
        <v>6</v>
      </c>
      <c r="KL63" s="377"/>
      <c r="KM63" s="373"/>
      <c r="KN63" s="444" t="s">
        <v>6</v>
      </c>
      <c r="KO63" s="377"/>
      <c r="KP63" s="373"/>
      <c r="KQ63" s="444"/>
      <c r="KR63" s="377">
        <v>45</v>
      </c>
      <c r="KS63" s="373">
        <v>8</v>
      </c>
      <c r="KT63" s="444">
        <v>84.9</v>
      </c>
      <c r="KU63" s="377">
        <v>33</v>
      </c>
      <c r="KV63" s="373">
        <v>11</v>
      </c>
      <c r="KW63" s="444">
        <v>75</v>
      </c>
      <c r="KX63" s="377">
        <v>39</v>
      </c>
      <c r="KY63" s="373">
        <v>16</v>
      </c>
      <c r="KZ63" s="444">
        <v>70.900000000000006</v>
      </c>
      <c r="LA63" s="377"/>
      <c r="LB63" s="373"/>
      <c r="LC63" s="444"/>
      <c r="LD63" s="377">
        <v>214</v>
      </c>
      <c r="LE63" s="373">
        <v>99</v>
      </c>
      <c r="LF63" s="444">
        <v>68.400000000000006</v>
      </c>
      <c r="LG63" s="377">
        <v>283</v>
      </c>
      <c r="LH63" s="373">
        <v>88</v>
      </c>
      <c r="LI63" s="444">
        <v>76.3</v>
      </c>
      <c r="LJ63" s="377">
        <v>253</v>
      </c>
      <c r="LK63" s="373">
        <v>82</v>
      </c>
      <c r="LL63" s="444">
        <v>75.5</v>
      </c>
      <c r="LM63" s="377"/>
      <c r="LN63" s="373"/>
      <c r="LO63" s="444"/>
    </row>
    <row r="64" spans="1:327" x14ac:dyDescent="0.2">
      <c r="A64" s="1001"/>
      <c r="B64" s="747" t="s">
        <v>621</v>
      </c>
      <c r="C64" s="151" t="s">
        <v>676</v>
      </c>
      <c r="D64" s="377"/>
      <c r="E64" s="373"/>
      <c r="F64" s="444" t="s">
        <v>6</v>
      </c>
      <c r="G64" s="377"/>
      <c r="H64" s="373"/>
      <c r="I64" s="444" t="s">
        <v>6</v>
      </c>
      <c r="J64" s="377"/>
      <c r="K64" s="373"/>
      <c r="L64" s="444" t="s">
        <v>6</v>
      </c>
      <c r="M64" s="377"/>
      <c r="N64" s="373"/>
      <c r="O64" s="444"/>
      <c r="P64" s="377"/>
      <c r="Q64" s="373"/>
      <c r="R64" s="444" t="s">
        <v>6</v>
      </c>
      <c r="S64" s="377"/>
      <c r="T64" s="373"/>
      <c r="U64" s="444" t="s">
        <v>6</v>
      </c>
      <c r="V64" s="377"/>
      <c r="W64" s="373"/>
      <c r="X64" s="444" t="s">
        <v>6</v>
      </c>
      <c r="Y64" s="377"/>
      <c r="Z64" s="373"/>
      <c r="AA64" s="444"/>
      <c r="AB64" s="377"/>
      <c r="AC64" s="373"/>
      <c r="AD64" s="444" t="s">
        <v>6</v>
      </c>
      <c r="AE64" s="377"/>
      <c r="AF64" s="373"/>
      <c r="AG64" s="444" t="s">
        <v>6</v>
      </c>
      <c r="AH64" s="377"/>
      <c r="AI64" s="373"/>
      <c r="AJ64" s="444" t="s">
        <v>6</v>
      </c>
      <c r="AK64" s="377"/>
      <c r="AL64" s="373"/>
      <c r="AM64" s="444"/>
      <c r="AN64" s="377">
        <v>16</v>
      </c>
      <c r="AO64" s="373">
        <v>1</v>
      </c>
      <c r="AP64" s="444">
        <v>94.1</v>
      </c>
      <c r="AQ64" s="377">
        <v>28</v>
      </c>
      <c r="AR64" s="373">
        <v>1</v>
      </c>
      <c r="AS64" s="444">
        <v>96.6</v>
      </c>
      <c r="AT64" s="377">
        <v>27</v>
      </c>
      <c r="AU64" s="373"/>
      <c r="AV64" s="444">
        <v>100</v>
      </c>
      <c r="AW64" s="377"/>
      <c r="AX64" s="373"/>
      <c r="AY64" s="444"/>
      <c r="AZ64" s="377">
        <v>3</v>
      </c>
      <c r="BA64" s="373">
        <v>1</v>
      </c>
      <c r="BB64" s="444">
        <v>75</v>
      </c>
      <c r="BC64" s="377">
        <v>5</v>
      </c>
      <c r="BD64" s="373">
        <v>1</v>
      </c>
      <c r="BE64" s="444">
        <v>83.3</v>
      </c>
      <c r="BF64" s="377">
        <v>8</v>
      </c>
      <c r="BG64" s="373"/>
      <c r="BH64" s="444">
        <v>100</v>
      </c>
      <c r="BI64" s="377"/>
      <c r="BJ64" s="373"/>
      <c r="BK64" s="444"/>
      <c r="BL64" s="377"/>
      <c r="BM64" s="373"/>
      <c r="BN64" s="444" t="s">
        <v>6</v>
      </c>
      <c r="BO64" s="377"/>
      <c r="BP64" s="373"/>
      <c r="BQ64" s="444" t="s">
        <v>6</v>
      </c>
      <c r="BR64" s="377"/>
      <c r="BS64" s="373"/>
      <c r="BT64" s="444" t="s">
        <v>6</v>
      </c>
      <c r="BU64" s="377"/>
      <c r="BV64" s="373"/>
      <c r="BW64" s="444"/>
      <c r="BX64" s="377"/>
      <c r="BY64" s="373"/>
      <c r="BZ64" s="444" t="s">
        <v>6</v>
      </c>
      <c r="CA64" s="377"/>
      <c r="CB64" s="373"/>
      <c r="CC64" s="444" t="s">
        <v>6</v>
      </c>
      <c r="CD64" s="377"/>
      <c r="CE64" s="373"/>
      <c r="CF64" s="444" t="s">
        <v>6</v>
      </c>
      <c r="CG64" s="377"/>
      <c r="CH64" s="373"/>
      <c r="CI64" s="444"/>
      <c r="CJ64" s="377"/>
      <c r="CK64" s="373"/>
      <c r="CL64" s="444" t="s">
        <v>6</v>
      </c>
      <c r="CM64" s="377"/>
      <c r="CN64" s="373"/>
      <c r="CO64" s="444" t="s">
        <v>6</v>
      </c>
      <c r="CP64" s="377"/>
      <c r="CQ64" s="373"/>
      <c r="CR64" s="444" t="s">
        <v>6</v>
      </c>
      <c r="CS64" s="377"/>
      <c r="CT64" s="373"/>
      <c r="CU64" s="444"/>
      <c r="CV64" s="377">
        <v>25</v>
      </c>
      <c r="CW64" s="373">
        <v>2</v>
      </c>
      <c r="CX64" s="444">
        <v>92.6</v>
      </c>
      <c r="CY64" s="377">
        <v>47</v>
      </c>
      <c r="CZ64" s="373">
        <v>5</v>
      </c>
      <c r="DA64" s="444">
        <v>90.4</v>
      </c>
      <c r="DB64" s="377">
        <v>69</v>
      </c>
      <c r="DC64" s="373">
        <v>7</v>
      </c>
      <c r="DD64" s="444">
        <v>90.8</v>
      </c>
      <c r="DE64" s="377"/>
      <c r="DF64" s="373"/>
      <c r="DG64" s="444"/>
      <c r="DH64" s="377"/>
      <c r="DI64" s="373"/>
      <c r="DJ64" s="444" t="s">
        <v>6</v>
      </c>
      <c r="DK64" s="377"/>
      <c r="DL64" s="373"/>
      <c r="DM64" s="444" t="s">
        <v>6</v>
      </c>
      <c r="DN64" s="377">
        <v>2</v>
      </c>
      <c r="DO64" s="373"/>
      <c r="DP64" s="444">
        <v>100</v>
      </c>
      <c r="DQ64" s="377"/>
      <c r="DR64" s="373"/>
      <c r="DS64" s="444"/>
      <c r="DT64" s="377"/>
      <c r="DU64" s="373"/>
      <c r="DV64" s="444" t="s">
        <v>6</v>
      </c>
      <c r="DW64" s="377">
        <v>2</v>
      </c>
      <c r="DX64" s="373">
        <v>1</v>
      </c>
      <c r="DY64" s="444">
        <v>66.7</v>
      </c>
      <c r="DZ64" s="377"/>
      <c r="EA64" s="373"/>
      <c r="EB64" s="444" t="s">
        <v>6</v>
      </c>
      <c r="EC64" s="377"/>
      <c r="ED64" s="373"/>
      <c r="EE64" s="444"/>
      <c r="EF64" s="377">
        <v>112</v>
      </c>
      <c r="EG64" s="373">
        <v>229</v>
      </c>
      <c r="EH64" s="444">
        <v>32.799999999999997</v>
      </c>
      <c r="EI64" s="377">
        <v>99</v>
      </c>
      <c r="EJ64" s="373">
        <v>172</v>
      </c>
      <c r="EK64" s="444">
        <v>36.5</v>
      </c>
      <c r="EL64" s="377">
        <v>78</v>
      </c>
      <c r="EM64" s="373">
        <v>129</v>
      </c>
      <c r="EN64" s="444">
        <v>37.700000000000003</v>
      </c>
      <c r="EO64" s="377"/>
      <c r="EP64" s="373"/>
      <c r="EQ64" s="444"/>
      <c r="ER64" s="377"/>
      <c r="ES64" s="373"/>
      <c r="ET64" s="444" t="s">
        <v>6</v>
      </c>
      <c r="EU64" s="377"/>
      <c r="EV64" s="373">
        <v>1</v>
      </c>
      <c r="EW64" s="444">
        <v>0</v>
      </c>
      <c r="EX64" s="377"/>
      <c r="EY64" s="373"/>
      <c r="EZ64" s="444" t="s">
        <v>6</v>
      </c>
      <c r="FA64" s="377"/>
      <c r="FB64" s="373"/>
      <c r="FC64" s="444"/>
      <c r="FD64" s="377">
        <v>10</v>
      </c>
      <c r="FE64" s="373">
        <v>2</v>
      </c>
      <c r="FF64" s="444">
        <v>83.3</v>
      </c>
      <c r="FG64" s="377">
        <v>1</v>
      </c>
      <c r="FH64" s="373">
        <v>3</v>
      </c>
      <c r="FI64" s="444">
        <v>25</v>
      </c>
      <c r="FJ64" s="377"/>
      <c r="FK64" s="373">
        <v>6</v>
      </c>
      <c r="FL64" s="444">
        <v>0</v>
      </c>
      <c r="FM64" s="377"/>
      <c r="FN64" s="373"/>
      <c r="FO64" s="444"/>
      <c r="FP64" s="377">
        <v>15</v>
      </c>
      <c r="FQ64" s="373">
        <v>52</v>
      </c>
      <c r="FR64" s="444">
        <v>22.4</v>
      </c>
      <c r="FS64" s="377">
        <v>30</v>
      </c>
      <c r="FT64" s="373">
        <v>45</v>
      </c>
      <c r="FU64" s="444">
        <v>40</v>
      </c>
      <c r="FV64" s="377">
        <v>16</v>
      </c>
      <c r="FW64" s="373">
        <v>26</v>
      </c>
      <c r="FX64" s="444">
        <v>38.1</v>
      </c>
      <c r="FY64" s="377"/>
      <c r="FZ64" s="373"/>
      <c r="GA64" s="444"/>
      <c r="GB64" s="377">
        <v>2</v>
      </c>
      <c r="GC64" s="373"/>
      <c r="GD64" s="444">
        <v>100</v>
      </c>
      <c r="GE64" s="377">
        <v>3</v>
      </c>
      <c r="GF64" s="373"/>
      <c r="GG64" s="444">
        <v>100</v>
      </c>
      <c r="GH64" s="377">
        <v>1</v>
      </c>
      <c r="GI64" s="373"/>
      <c r="GJ64" s="444">
        <v>100</v>
      </c>
      <c r="GK64" s="377"/>
      <c r="GL64" s="373"/>
      <c r="GM64" s="444"/>
      <c r="GN64" s="377">
        <v>2</v>
      </c>
      <c r="GO64" s="373">
        <v>1</v>
      </c>
      <c r="GP64" s="444">
        <v>66.7</v>
      </c>
      <c r="GQ64" s="377">
        <v>1</v>
      </c>
      <c r="GR64" s="373"/>
      <c r="GS64" s="444">
        <v>100</v>
      </c>
      <c r="GT64" s="377">
        <v>2</v>
      </c>
      <c r="GU64" s="373"/>
      <c r="GV64" s="444">
        <v>100</v>
      </c>
      <c r="GW64" s="377"/>
      <c r="GX64" s="373"/>
      <c r="GY64" s="444"/>
      <c r="GZ64" s="377"/>
      <c r="HA64" s="373"/>
      <c r="HB64" s="444" t="s">
        <v>6</v>
      </c>
      <c r="HC64" s="377"/>
      <c r="HD64" s="373"/>
      <c r="HE64" s="444" t="s">
        <v>6</v>
      </c>
      <c r="HF64" s="377"/>
      <c r="HG64" s="373"/>
      <c r="HH64" s="444" t="s">
        <v>6</v>
      </c>
      <c r="HI64" s="377"/>
      <c r="HJ64" s="373"/>
      <c r="HK64" s="444"/>
      <c r="HL64" s="377">
        <v>3</v>
      </c>
      <c r="HM64" s="373">
        <v>13</v>
      </c>
      <c r="HN64" s="444">
        <v>18.8</v>
      </c>
      <c r="HO64" s="377">
        <v>7</v>
      </c>
      <c r="HP64" s="373">
        <v>9</v>
      </c>
      <c r="HQ64" s="444">
        <v>43.8</v>
      </c>
      <c r="HR64" s="377">
        <v>16</v>
      </c>
      <c r="HS64" s="373">
        <v>7</v>
      </c>
      <c r="HT64" s="444">
        <v>69.599999999999994</v>
      </c>
      <c r="HU64" s="377"/>
      <c r="HV64" s="373"/>
      <c r="HW64" s="444"/>
      <c r="HX64" s="377">
        <v>1</v>
      </c>
      <c r="HY64" s="373"/>
      <c r="HZ64" s="444">
        <v>100</v>
      </c>
      <c r="IA64" s="377"/>
      <c r="IB64" s="373"/>
      <c r="IC64" s="444" t="s">
        <v>6</v>
      </c>
      <c r="ID64" s="377"/>
      <c r="IE64" s="373"/>
      <c r="IF64" s="444" t="s">
        <v>6</v>
      </c>
      <c r="IG64" s="377"/>
      <c r="IH64" s="373"/>
      <c r="II64" s="444"/>
      <c r="IJ64" s="377">
        <v>2</v>
      </c>
      <c r="IK64" s="373"/>
      <c r="IL64" s="444">
        <v>100</v>
      </c>
      <c r="IM64" s="377">
        <v>5</v>
      </c>
      <c r="IN64" s="373">
        <v>1</v>
      </c>
      <c r="IO64" s="444">
        <v>83.3</v>
      </c>
      <c r="IP64" s="377">
        <v>4</v>
      </c>
      <c r="IQ64" s="373">
        <v>1</v>
      </c>
      <c r="IR64" s="444">
        <v>80</v>
      </c>
      <c r="IS64" s="377"/>
      <c r="IT64" s="373"/>
      <c r="IU64" s="444"/>
      <c r="IV64" s="377">
        <v>163</v>
      </c>
      <c r="IW64" s="373">
        <v>246</v>
      </c>
      <c r="IX64" s="444">
        <v>39.9</v>
      </c>
      <c r="IY64" s="377">
        <v>192</v>
      </c>
      <c r="IZ64" s="373">
        <v>189</v>
      </c>
      <c r="JA64" s="444">
        <v>50.4</v>
      </c>
      <c r="JB64" s="377">
        <v>199</v>
      </c>
      <c r="JC64" s="373">
        <v>144</v>
      </c>
      <c r="JD64" s="444">
        <v>58</v>
      </c>
      <c r="JE64" s="377"/>
      <c r="JF64" s="373"/>
      <c r="JG64" s="444"/>
      <c r="JH64" s="377">
        <v>47</v>
      </c>
      <c r="JI64" s="373">
        <v>26</v>
      </c>
      <c r="JJ64" s="444">
        <v>64.400000000000006</v>
      </c>
      <c r="JK64" s="377">
        <v>50</v>
      </c>
      <c r="JL64" s="373">
        <v>32</v>
      </c>
      <c r="JM64" s="444">
        <v>61</v>
      </c>
      <c r="JN64" s="377">
        <v>76</v>
      </c>
      <c r="JO64" s="373">
        <v>29</v>
      </c>
      <c r="JP64" s="444">
        <v>72.400000000000006</v>
      </c>
      <c r="JQ64" s="377"/>
      <c r="JR64" s="373"/>
      <c r="JS64" s="444"/>
      <c r="JT64" s="377"/>
      <c r="JU64" s="373"/>
      <c r="JV64" s="444" t="s">
        <v>6</v>
      </c>
      <c r="JW64" s="377"/>
      <c r="JX64" s="373"/>
      <c r="JY64" s="444" t="s">
        <v>6</v>
      </c>
      <c r="JZ64" s="377">
        <v>1</v>
      </c>
      <c r="KA64" s="373"/>
      <c r="KB64" s="444">
        <v>100</v>
      </c>
      <c r="KC64" s="377"/>
      <c r="KD64" s="373"/>
      <c r="KE64" s="444"/>
      <c r="KF64" s="377"/>
      <c r="KG64" s="373"/>
      <c r="KH64" s="444" t="s">
        <v>6</v>
      </c>
      <c r="KI64" s="377"/>
      <c r="KJ64" s="373"/>
      <c r="KK64" s="444" t="s">
        <v>6</v>
      </c>
      <c r="KL64" s="377"/>
      <c r="KM64" s="373"/>
      <c r="KN64" s="444" t="s">
        <v>6</v>
      </c>
      <c r="KO64" s="377"/>
      <c r="KP64" s="373"/>
      <c r="KQ64" s="444"/>
      <c r="KR64" s="377">
        <v>49</v>
      </c>
      <c r="KS64" s="373">
        <v>31</v>
      </c>
      <c r="KT64" s="444">
        <v>61.3</v>
      </c>
      <c r="KU64" s="377">
        <v>56</v>
      </c>
      <c r="KV64" s="373">
        <v>38</v>
      </c>
      <c r="KW64" s="444">
        <v>59.6</v>
      </c>
      <c r="KX64" s="377">
        <v>88</v>
      </c>
      <c r="KY64" s="373">
        <v>35</v>
      </c>
      <c r="KZ64" s="444">
        <v>71.5</v>
      </c>
      <c r="LA64" s="377"/>
      <c r="LB64" s="373"/>
      <c r="LC64" s="444"/>
      <c r="LD64" s="377">
        <v>230</v>
      </c>
      <c r="LE64" s="373">
        <v>282</v>
      </c>
      <c r="LF64" s="444">
        <v>44.9</v>
      </c>
      <c r="LG64" s="377">
        <v>260</v>
      </c>
      <c r="LH64" s="373">
        <v>218</v>
      </c>
      <c r="LI64" s="444">
        <v>54.4</v>
      </c>
      <c r="LJ64" s="377">
        <v>297</v>
      </c>
      <c r="LK64" s="373">
        <v>187</v>
      </c>
      <c r="LL64" s="444">
        <v>61.4</v>
      </c>
      <c r="LM64" s="377"/>
      <c r="LN64" s="373"/>
      <c r="LO64" s="444"/>
    </row>
    <row r="65" spans="1:327" ht="13.5" thickBot="1" x14ac:dyDescent="0.25">
      <c r="A65" s="1001"/>
      <c r="B65" s="748" t="s">
        <v>621</v>
      </c>
      <c r="C65" s="302" t="s">
        <v>677</v>
      </c>
      <c r="D65" s="377"/>
      <c r="E65" s="373"/>
      <c r="F65" s="444" t="s">
        <v>6</v>
      </c>
      <c r="G65" s="377"/>
      <c r="H65" s="373"/>
      <c r="I65" s="444" t="s">
        <v>6</v>
      </c>
      <c r="J65" s="377"/>
      <c r="K65" s="373"/>
      <c r="L65" s="444" t="s">
        <v>6</v>
      </c>
      <c r="M65" s="377"/>
      <c r="N65" s="373"/>
      <c r="O65" s="444"/>
      <c r="P65" s="377"/>
      <c r="Q65" s="373"/>
      <c r="R65" s="444" t="s">
        <v>6</v>
      </c>
      <c r="S65" s="377"/>
      <c r="T65" s="373"/>
      <c r="U65" s="444" t="s">
        <v>6</v>
      </c>
      <c r="V65" s="377"/>
      <c r="W65" s="373"/>
      <c r="X65" s="444" t="s">
        <v>6</v>
      </c>
      <c r="Y65" s="377"/>
      <c r="Z65" s="373"/>
      <c r="AA65" s="444"/>
      <c r="AB65" s="377"/>
      <c r="AC65" s="373"/>
      <c r="AD65" s="444" t="s">
        <v>6</v>
      </c>
      <c r="AE65" s="377"/>
      <c r="AF65" s="373"/>
      <c r="AG65" s="444" t="s">
        <v>6</v>
      </c>
      <c r="AH65" s="377"/>
      <c r="AI65" s="373"/>
      <c r="AJ65" s="444" t="s">
        <v>6</v>
      </c>
      <c r="AK65" s="377"/>
      <c r="AL65" s="373"/>
      <c r="AM65" s="444"/>
      <c r="AN65" s="377">
        <v>1</v>
      </c>
      <c r="AO65" s="373"/>
      <c r="AP65" s="444">
        <v>100</v>
      </c>
      <c r="AQ65" s="377">
        <v>2</v>
      </c>
      <c r="AR65" s="373"/>
      <c r="AS65" s="444">
        <v>100</v>
      </c>
      <c r="AT65" s="377">
        <v>7</v>
      </c>
      <c r="AU65" s="373"/>
      <c r="AV65" s="444">
        <v>100</v>
      </c>
      <c r="AW65" s="377"/>
      <c r="AX65" s="373"/>
      <c r="AY65" s="444"/>
      <c r="AZ65" s="377"/>
      <c r="BA65" s="373"/>
      <c r="BB65" s="444" t="s">
        <v>6</v>
      </c>
      <c r="BC65" s="377"/>
      <c r="BD65" s="373"/>
      <c r="BE65" s="444" t="s">
        <v>6</v>
      </c>
      <c r="BF65" s="377">
        <v>4</v>
      </c>
      <c r="BG65" s="373"/>
      <c r="BH65" s="444">
        <v>100</v>
      </c>
      <c r="BI65" s="377"/>
      <c r="BJ65" s="373"/>
      <c r="BK65" s="444"/>
      <c r="BL65" s="377"/>
      <c r="BM65" s="373"/>
      <c r="BN65" s="444" t="s">
        <v>6</v>
      </c>
      <c r="BO65" s="377"/>
      <c r="BP65" s="373"/>
      <c r="BQ65" s="444" t="s">
        <v>6</v>
      </c>
      <c r="BR65" s="377"/>
      <c r="BS65" s="373"/>
      <c r="BT65" s="444" t="s">
        <v>6</v>
      </c>
      <c r="BU65" s="377"/>
      <c r="BV65" s="373"/>
      <c r="BW65" s="444"/>
      <c r="BX65" s="377"/>
      <c r="BY65" s="373"/>
      <c r="BZ65" s="444" t="s">
        <v>6</v>
      </c>
      <c r="CA65" s="377"/>
      <c r="CB65" s="373"/>
      <c r="CC65" s="444" t="s">
        <v>6</v>
      </c>
      <c r="CD65" s="377"/>
      <c r="CE65" s="373"/>
      <c r="CF65" s="444" t="s">
        <v>6</v>
      </c>
      <c r="CG65" s="377"/>
      <c r="CH65" s="373"/>
      <c r="CI65" s="444"/>
      <c r="CJ65" s="377"/>
      <c r="CK65" s="373"/>
      <c r="CL65" s="444" t="s">
        <v>6</v>
      </c>
      <c r="CM65" s="377"/>
      <c r="CN65" s="373"/>
      <c r="CO65" s="444" t="s">
        <v>6</v>
      </c>
      <c r="CP65" s="377"/>
      <c r="CQ65" s="373"/>
      <c r="CR65" s="444" t="s">
        <v>6</v>
      </c>
      <c r="CS65" s="377"/>
      <c r="CT65" s="373"/>
      <c r="CU65" s="444"/>
      <c r="CV65" s="377">
        <v>6</v>
      </c>
      <c r="CW65" s="373"/>
      <c r="CX65" s="444">
        <v>100</v>
      </c>
      <c r="CY65" s="377">
        <v>4</v>
      </c>
      <c r="CZ65" s="373"/>
      <c r="DA65" s="444">
        <v>100</v>
      </c>
      <c r="DB65" s="377">
        <v>16</v>
      </c>
      <c r="DC65" s="373">
        <v>1</v>
      </c>
      <c r="DD65" s="444">
        <v>94.1</v>
      </c>
      <c r="DE65" s="377"/>
      <c r="DF65" s="373"/>
      <c r="DG65" s="444"/>
      <c r="DH65" s="377">
        <v>1</v>
      </c>
      <c r="DI65" s="373"/>
      <c r="DJ65" s="444">
        <v>100</v>
      </c>
      <c r="DK65" s="377"/>
      <c r="DL65" s="373"/>
      <c r="DM65" s="444" t="s">
        <v>6</v>
      </c>
      <c r="DN65" s="377"/>
      <c r="DO65" s="373"/>
      <c r="DP65" s="444" t="s">
        <v>6</v>
      </c>
      <c r="DQ65" s="377"/>
      <c r="DR65" s="373"/>
      <c r="DS65" s="444"/>
      <c r="DT65" s="377"/>
      <c r="DU65" s="373"/>
      <c r="DV65" s="444" t="s">
        <v>6</v>
      </c>
      <c r="DW65" s="377"/>
      <c r="DX65" s="373">
        <v>1</v>
      </c>
      <c r="DY65" s="444">
        <v>0</v>
      </c>
      <c r="DZ65" s="377">
        <v>1</v>
      </c>
      <c r="EA65" s="373"/>
      <c r="EB65" s="444">
        <v>100</v>
      </c>
      <c r="EC65" s="377"/>
      <c r="ED65" s="373"/>
      <c r="EE65" s="444"/>
      <c r="EF65" s="377">
        <v>73</v>
      </c>
      <c r="EG65" s="373">
        <v>92</v>
      </c>
      <c r="EH65" s="444">
        <v>44.2</v>
      </c>
      <c r="EI65" s="377">
        <v>63</v>
      </c>
      <c r="EJ65" s="373">
        <v>85</v>
      </c>
      <c r="EK65" s="444">
        <v>42.6</v>
      </c>
      <c r="EL65" s="377">
        <v>54</v>
      </c>
      <c r="EM65" s="373">
        <v>65</v>
      </c>
      <c r="EN65" s="444">
        <v>45.4</v>
      </c>
      <c r="EO65" s="377"/>
      <c r="EP65" s="373"/>
      <c r="EQ65" s="444"/>
      <c r="ER65" s="377"/>
      <c r="ES65" s="373"/>
      <c r="ET65" s="444" t="s">
        <v>6</v>
      </c>
      <c r="EU65" s="377"/>
      <c r="EV65" s="373"/>
      <c r="EW65" s="444" t="s">
        <v>6</v>
      </c>
      <c r="EX65" s="377"/>
      <c r="EY65" s="373"/>
      <c r="EZ65" s="444" t="s">
        <v>6</v>
      </c>
      <c r="FA65" s="377"/>
      <c r="FB65" s="373"/>
      <c r="FC65" s="444"/>
      <c r="FD65" s="377">
        <v>2</v>
      </c>
      <c r="FE65" s="373"/>
      <c r="FF65" s="444">
        <v>100</v>
      </c>
      <c r="FG65" s="377"/>
      <c r="FH65" s="373">
        <v>1</v>
      </c>
      <c r="FI65" s="444">
        <v>0</v>
      </c>
      <c r="FJ65" s="377"/>
      <c r="FK65" s="373"/>
      <c r="FL65" s="444" t="s">
        <v>6</v>
      </c>
      <c r="FM65" s="377"/>
      <c r="FN65" s="373"/>
      <c r="FO65" s="444"/>
      <c r="FP65" s="377">
        <v>18</v>
      </c>
      <c r="FQ65" s="373">
        <v>14</v>
      </c>
      <c r="FR65" s="444">
        <v>56.3</v>
      </c>
      <c r="FS65" s="377">
        <v>16</v>
      </c>
      <c r="FT65" s="373">
        <v>18</v>
      </c>
      <c r="FU65" s="444">
        <v>47.1</v>
      </c>
      <c r="FV65" s="377">
        <v>13</v>
      </c>
      <c r="FW65" s="373">
        <v>1</v>
      </c>
      <c r="FX65" s="444">
        <v>92.9</v>
      </c>
      <c r="FY65" s="377"/>
      <c r="FZ65" s="373"/>
      <c r="GA65" s="444"/>
      <c r="GB65" s="377">
        <v>2</v>
      </c>
      <c r="GC65" s="373"/>
      <c r="GD65" s="444">
        <v>100</v>
      </c>
      <c r="GE65" s="377"/>
      <c r="GF65" s="373"/>
      <c r="GG65" s="444" t="s">
        <v>6</v>
      </c>
      <c r="GH65" s="377"/>
      <c r="GI65" s="373"/>
      <c r="GJ65" s="444" t="s">
        <v>6</v>
      </c>
      <c r="GK65" s="377"/>
      <c r="GL65" s="373"/>
      <c r="GM65" s="444"/>
      <c r="GN65" s="377"/>
      <c r="GO65" s="373"/>
      <c r="GP65" s="444" t="s">
        <v>6</v>
      </c>
      <c r="GQ65" s="377"/>
      <c r="GR65" s="373"/>
      <c r="GS65" s="444" t="s">
        <v>6</v>
      </c>
      <c r="GT65" s="377">
        <v>1</v>
      </c>
      <c r="GU65" s="373"/>
      <c r="GV65" s="444">
        <v>100</v>
      </c>
      <c r="GW65" s="377"/>
      <c r="GX65" s="373"/>
      <c r="GY65" s="444"/>
      <c r="GZ65" s="377"/>
      <c r="HA65" s="373"/>
      <c r="HB65" s="444" t="s">
        <v>6</v>
      </c>
      <c r="HC65" s="377"/>
      <c r="HD65" s="373"/>
      <c r="HE65" s="444" t="s">
        <v>6</v>
      </c>
      <c r="HF65" s="377"/>
      <c r="HG65" s="373"/>
      <c r="HH65" s="444" t="s">
        <v>6</v>
      </c>
      <c r="HI65" s="377"/>
      <c r="HJ65" s="373"/>
      <c r="HK65" s="444"/>
      <c r="HL65" s="377">
        <v>1</v>
      </c>
      <c r="HM65" s="373">
        <v>3</v>
      </c>
      <c r="HN65" s="444">
        <v>25</v>
      </c>
      <c r="HO65" s="377">
        <v>2</v>
      </c>
      <c r="HP65" s="373">
        <v>2</v>
      </c>
      <c r="HQ65" s="444">
        <v>50</v>
      </c>
      <c r="HR65" s="377"/>
      <c r="HS65" s="373">
        <v>2</v>
      </c>
      <c r="HT65" s="444">
        <v>0</v>
      </c>
      <c r="HU65" s="377"/>
      <c r="HV65" s="373"/>
      <c r="HW65" s="444"/>
      <c r="HX65" s="377"/>
      <c r="HY65" s="373"/>
      <c r="HZ65" s="444" t="s">
        <v>6</v>
      </c>
      <c r="IA65" s="377">
        <v>1</v>
      </c>
      <c r="IB65" s="373"/>
      <c r="IC65" s="444">
        <v>100</v>
      </c>
      <c r="ID65" s="377"/>
      <c r="IE65" s="373"/>
      <c r="IF65" s="444" t="s">
        <v>6</v>
      </c>
      <c r="IG65" s="377"/>
      <c r="IH65" s="373"/>
      <c r="II65" s="444"/>
      <c r="IJ65" s="377"/>
      <c r="IK65" s="373"/>
      <c r="IL65" s="444" t="s">
        <v>6</v>
      </c>
      <c r="IM65" s="377">
        <v>1</v>
      </c>
      <c r="IN65" s="373"/>
      <c r="IO65" s="444">
        <v>100</v>
      </c>
      <c r="IP65" s="377"/>
      <c r="IQ65" s="373"/>
      <c r="IR65" s="444" t="s">
        <v>6</v>
      </c>
      <c r="IS65" s="377"/>
      <c r="IT65" s="373"/>
      <c r="IU65" s="444"/>
      <c r="IV65" s="377">
        <v>84</v>
      </c>
      <c r="IW65" s="373">
        <v>95</v>
      </c>
      <c r="IX65" s="444">
        <v>46.9</v>
      </c>
      <c r="IY65" s="377">
        <v>73</v>
      </c>
      <c r="IZ65" s="373">
        <v>88</v>
      </c>
      <c r="JA65" s="444">
        <v>45.3</v>
      </c>
      <c r="JB65" s="377">
        <v>79</v>
      </c>
      <c r="JC65" s="373">
        <v>68</v>
      </c>
      <c r="JD65" s="444">
        <v>53.7</v>
      </c>
      <c r="JE65" s="377"/>
      <c r="JF65" s="373"/>
      <c r="JG65" s="444"/>
      <c r="JH65" s="377">
        <v>6</v>
      </c>
      <c r="JI65" s="373">
        <v>7</v>
      </c>
      <c r="JJ65" s="444">
        <v>46.2</v>
      </c>
      <c r="JK65" s="377">
        <v>4</v>
      </c>
      <c r="JL65" s="373">
        <v>11</v>
      </c>
      <c r="JM65" s="444">
        <v>26.7</v>
      </c>
      <c r="JN65" s="377">
        <v>16</v>
      </c>
      <c r="JO65" s="373">
        <v>12</v>
      </c>
      <c r="JP65" s="444">
        <v>57.1</v>
      </c>
      <c r="JQ65" s="377"/>
      <c r="JR65" s="373"/>
      <c r="JS65" s="444"/>
      <c r="JT65" s="377"/>
      <c r="JU65" s="373"/>
      <c r="JV65" s="444" t="s">
        <v>6</v>
      </c>
      <c r="JW65" s="377"/>
      <c r="JX65" s="373"/>
      <c r="JY65" s="444" t="s">
        <v>6</v>
      </c>
      <c r="JZ65" s="377"/>
      <c r="KA65" s="373"/>
      <c r="KB65" s="444" t="s">
        <v>6</v>
      </c>
      <c r="KC65" s="377"/>
      <c r="KD65" s="373"/>
      <c r="KE65" s="444"/>
      <c r="KF65" s="377">
        <v>1</v>
      </c>
      <c r="KG65" s="373"/>
      <c r="KH65" s="444">
        <v>100</v>
      </c>
      <c r="KI65" s="377"/>
      <c r="KJ65" s="373"/>
      <c r="KK65" s="444" t="s">
        <v>6</v>
      </c>
      <c r="KL65" s="377"/>
      <c r="KM65" s="373"/>
      <c r="KN65" s="444" t="s">
        <v>6</v>
      </c>
      <c r="KO65" s="377"/>
      <c r="KP65" s="373"/>
      <c r="KQ65" s="444"/>
      <c r="KR65" s="377">
        <v>8</v>
      </c>
      <c r="KS65" s="373">
        <v>12</v>
      </c>
      <c r="KT65" s="444">
        <v>40</v>
      </c>
      <c r="KU65" s="377">
        <v>7</v>
      </c>
      <c r="KV65" s="373">
        <v>15</v>
      </c>
      <c r="KW65" s="444">
        <v>31.8</v>
      </c>
      <c r="KX65" s="377">
        <v>21</v>
      </c>
      <c r="KY65" s="373">
        <v>18</v>
      </c>
      <c r="KZ65" s="444">
        <v>53.8</v>
      </c>
      <c r="LA65" s="377"/>
      <c r="LB65" s="373"/>
      <c r="LC65" s="444"/>
      <c r="LD65" s="377">
        <v>105</v>
      </c>
      <c r="LE65" s="373">
        <v>116</v>
      </c>
      <c r="LF65" s="444">
        <v>47.5</v>
      </c>
      <c r="LG65" s="377">
        <v>101</v>
      </c>
      <c r="LH65" s="373">
        <v>103</v>
      </c>
      <c r="LI65" s="444">
        <v>49.5</v>
      </c>
      <c r="LJ65" s="377">
        <v>100</v>
      </c>
      <c r="LK65" s="373">
        <v>87</v>
      </c>
      <c r="LL65" s="444">
        <v>53.5</v>
      </c>
      <c r="LM65" s="377"/>
      <c r="LN65" s="373"/>
      <c r="LO65" s="444"/>
    </row>
    <row r="66" spans="1:327" s="259" customFormat="1" ht="26.25" thickBot="1" x14ac:dyDescent="0.25">
      <c r="A66" s="1002"/>
      <c r="B66" s="751"/>
      <c r="C66" s="277" t="s">
        <v>782</v>
      </c>
      <c r="D66" s="384">
        <v>5</v>
      </c>
      <c r="E66" s="385">
        <v>1</v>
      </c>
      <c r="F66" s="451">
        <v>83.3</v>
      </c>
      <c r="G66" s="384">
        <v>3</v>
      </c>
      <c r="H66" s="385">
        <v>2</v>
      </c>
      <c r="I66" s="451">
        <v>60</v>
      </c>
      <c r="J66" s="384">
        <v>4</v>
      </c>
      <c r="K66" s="385"/>
      <c r="L66" s="451">
        <v>100</v>
      </c>
      <c r="M66" s="384"/>
      <c r="N66" s="385"/>
      <c r="O66" s="451"/>
      <c r="P66" s="384">
        <v>4</v>
      </c>
      <c r="Q66" s="385"/>
      <c r="R66" s="451">
        <v>100</v>
      </c>
      <c r="S66" s="384">
        <v>1</v>
      </c>
      <c r="T66" s="385">
        <v>2</v>
      </c>
      <c r="U66" s="451">
        <v>33.299999999999997</v>
      </c>
      <c r="V66" s="384">
        <v>4</v>
      </c>
      <c r="W66" s="385"/>
      <c r="X66" s="451">
        <v>100</v>
      </c>
      <c r="Y66" s="384"/>
      <c r="Z66" s="385"/>
      <c r="AA66" s="451"/>
      <c r="AB66" s="384">
        <v>1</v>
      </c>
      <c r="AC66" s="385"/>
      <c r="AD66" s="451">
        <v>100</v>
      </c>
      <c r="AE66" s="384">
        <v>2</v>
      </c>
      <c r="AF66" s="385"/>
      <c r="AG66" s="451">
        <v>100</v>
      </c>
      <c r="AH66" s="384"/>
      <c r="AI66" s="385"/>
      <c r="AJ66" s="451" t="s">
        <v>6</v>
      </c>
      <c r="AK66" s="384"/>
      <c r="AL66" s="385"/>
      <c r="AM66" s="451"/>
      <c r="AN66" s="384">
        <v>211</v>
      </c>
      <c r="AO66" s="385">
        <v>40</v>
      </c>
      <c r="AP66" s="451">
        <v>84.1</v>
      </c>
      <c r="AQ66" s="384">
        <v>293</v>
      </c>
      <c r="AR66" s="385">
        <v>35</v>
      </c>
      <c r="AS66" s="451">
        <v>89.3</v>
      </c>
      <c r="AT66" s="384">
        <v>294</v>
      </c>
      <c r="AU66" s="385">
        <v>29</v>
      </c>
      <c r="AV66" s="451">
        <v>91</v>
      </c>
      <c r="AW66" s="384"/>
      <c r="AX66" s="385"/>
      <c r="AY66" s="451"/>
      <c r="AZ66" s="384">
        <v>78</v>
      </c>
      <c r="BA66" s="385">
        <v>36</v>
      </c>
      <c r="BB66" s="451">
        <v>68.400000000000006</v>
      </c>
      <c r="BC66" s="384">
        <v>110</v>
      </c>
      <c r="BD66" s="385">
        <v>30</v>
      </c>
      <c r="BE66" s="451">
        <v>78.599999999999994</v>
      </c>
      <c r="BF66" s="384">
        <v>113</v>
      </c>
      <c r="BG66" s="385">
        <v>24</v>
      </c>
      <c r="BH66" s="451">
        <v>82.5</v>
      </c>
      <c r="BI66" s="384"/>
      <c r="BJ66" s="385"/>
      <c r="BK66" s="451"/>
      <c r="BL66" s="384"/>
      <c r="BM66" s="385"/>
      <c r="BN66" s="451" t="s">
        <v>6</v>
      </c>
      <c r="BO66" s="384">
        <v>2</v>
      </c>
      <c r="BP66" s="385">
        <v>1</v>
      </c>
      <c r="BQ66" s="451">
        <v>66.7</v>
      </c>
      <c r="BR66" s="384">
        <v>1</v>
      </c>
      <c r="BS66" s="385"/>
      <c r="BT66" s="451">
        <v>100</v>
      </c>
      <c r="BU66" s="384"/>
      <c r="BV66" s="385"/>
      <c r="BW66" s="451"/>
      <c r="BX66" s="384">
        <v>4</v>
      </c>
      <c r="BY66" s="385"/>
      <c r="BZ66" s="451">
        <v>100</v>
      </c>
      <c r="CA66" s="384">
        <v>3</v>
      </c>
      <c r="CB66" s="385"/>
      <c r="CC66" s="451">
        <v>100</v>
      </c>
      <c r="CD66" s="384">
        <v>2</v>
      </c>
      <c r="CE66" s="385"/>
      <c r="CF66" s="451">
        <v>100</v>
      </c>
      <c r="CG66" s="384"/>
      <c r="CH66" s="385"/>
      <c r="CI66" s="451"/>
      <c r="CJ66" s="384"/>
      <c r="CK66" s="385"/>
      <c r="CL66" s="451" t="s">
        <v>6</v>
      </c>
      <c r="CM66" s="384"/>
      <c r="CN66" s="385"/>
      <c r="CO66" s="451" t="s">
        <v>6</v>
      </c>
      <c r="CP66" s="384"/>
      <c r="CQ66" s="385"/>
      <c r="CR66" s="451" t="s">
        <v>6</v>
      </c>
      <c r="CS66" s="384"/>
      <c r="CT66" s="385"/>
      <c r="CU66" s="451"/>
      <c r="CV66" s="384">
        <v>493</v>
      </c>
      <c r="CW66" s="385">
        <v>133</v>
      </c>
      <c r="CX66" s="451">
        <v>78.8</v>
      </c>
      <c r="CY66" s="384">
        <v>589</v>
      </c>
      <c r="CZ66" s="385">
        <v>117</v>
      </c>
      <c r="DA66" s="451">
        <v>83.4</v>
      </c>
      <c r="DB66" s="384">
        <v>598</v>
      </c>
      <c r="DC66" s="385">
        <v>91</v>
      </c>
      <c r="DD66" s="451">
        <v>86.8</v>
      </c>
      <c r="DE66" s="384"/>
      <c r="DF66" s="385"/>
      <c r="DG66" s="451"/>
      <c r="DH66" s="384">
        <v>13</v>
      </c>
      <c r="DI66" s="385"/>
      <c r="DJ66" s="451">
        <v>100</v>
      </c>
      <c r="DK66" s="384">
        <v>13</v>
      </c>
      <c r="DL66" s="385">
        <v>1</v>
      </c>
      <c r="DM66" s="451">
        <v>92.9</v>
      </c>
      <c r="DN66" s="384">
        <v>6</v>
      </c>
      <c r="DO66" s="385">
        <v>1</v>
      </c>
      <c r="DP66" s="451">
        <v>85.7</v>
      </c>
      <c r="DQ66" s="384"/>
      <c r="DR66" s="385"/>
      <c r="DS66" s="451"/>
      <c r="DT66" s="384">
        <v>15</v>
      </c>
      <c r="DU66" s="385">
        <v>1</v>
      </c>
      <c r="DV66" s="451">
        <v>93.8</v>
      </c>
      <c r="DW66" s="384">
        <v>28</v>
      </c>
      <c r="DX66" s="385">
        <v>5</v>
      </c>
      <c r="DY66" s="451">
        <v>84.8</v>
      </c>
      <c r="DZ66" s="384">
        <v>55</v>
      </c>
      <c r="EA66" s="385">
        <v>1</v>
      </c>
      <c r="EB66" s="451">
        <v>98.2</v>
      </c>
      <c r="EC66" s="384"/>
      <c r="ED66" s="385"/>
      <c r="EE66" s="451"/>
      <c r="EF66" s="384">
        <v>1779</v>
      </c>
      <c r="EG66" s="385">
        <v>4651</v>
      </c>
      <c r="EH66" s="451">
        <v>27.7</v>
      </c>
      <c r="EI66" s="384">
        <v>1865</v>
      </c>
      <c r="EJ66" s="385">
        <v>3995</v>
      </c>
      <c r="EK66" s="451">
        <v>31.8</v>
      </c>
      <c r="EL66" s="384">
        <v>2004</v>
      </c>
      <c r="EM66" s="385">
        <v>3513</v>
      </c>
      <c r="EN66" s="451">
        <v>36.299999999999997</v>
      </c>
      <c r="EO66" s="384"/>
      <c r="EP66" s="385"/>
      <c r="EQ66" s="451"/>
      <c r="ER66" s="384">
        <v>2</v>
      </c>
      <c r="ES66" s="385">
        <v>7</v>
      </c>
      <c r="ET66" s="451">
        <v>22.2</v>
      </c>
      <c r="EU66" s="384">
        <v>11</v>
      </c>
      <c r="EV66" s="385">
        <v>10</v>
      </c>
      <c r="EW66" s="451">
        <v>52.4</v>
      </c>
      <c r="EX66" s="384">
        <v>6</v>
      </c>
      <c r="EY66" s="385">
        <v>8</v>
      </c>
      <c r="EZ66" s="451">
        <v>42.9</v>
      </c>
      <c r="FA66" s="384"/>
      <c r="FB66" s="385"/>
      <c r="FC66" s="451"/>
      <c r="FD66" s="384">
        <v>54</v>
      </c>
      <c r="FE66" s="385">
        <v>81</v>
      </c>
      <c r="FF66" s="451">
        <v>40</v>
      </c>
      <c r="FG66" s="384">
        <v>16</v>
      </c>
      <c r="FH66" s="385">
        <v>79</v>
      </c>
      <c r="FI66" s="451">
        <v>16.8</v>
      </c>
      <c r="FJ66" s="384">
        <v>16</v>
      </c>
      <c r="FK66" s="385">
        <v>74</v>
      </c>
      <c r="FL66" s="451">
        <v>17.8</v>
      </c>
      <c r="FM66" s="384"/>
      <c r="FN66" s="385"/>
      <c r="FO66" s="451"/>
      <c r="FP66" s="384">
        <v>452</v>
      </c>
      <c r="FQ66" s="385">
        <v>955</v>
      </c>
      <c r="FR66" s="451">
        <v>32.1</v>
      </c>
      <c r="FS66" s="384">
        <v>440</v>
      </c>
      <c r="FT66" s="385">
        <v>905</v>
      </c>
      <c r="FU66" s="451">
        <v>32.700000000000003</v>
      </c>
      <c r="FV66" s="384">
        <v>475</v>
      </c>
      <c r="FW66" s="385">
        <v>661</v>
      </c>
      <c r="FX66" s="451">
        <v>41.8</v>
      </c>
      <c r="FY66" s="384"/>
      <c r="FZ66" s="385"/>
      <c r="GA66" s="451"/>
      <c r="GB66" s="384">
        <v>76</v>
      </c>
      <c r="GC66" s="385">
        <v>19</v>
      </c>
      <c r="GD66" s="451">
        <v>80</v>
      </c>
      <c r="GE66" s="384">
        <v>74</v>
      </c>
      <c r="GF66" s="385">
        <v>12</v>
      </c>
      <c r="GG66" s="451">
        <v>86</v>
      </c>
      <c r="GH66" s="384">
        <v>59</v>
      </c>
      <c r="GI66" s="385">
        <v>10</v>
      </c>
      <c r="GJ66" s="451">
        <v>85.5</v>
      </c>
      <c r="GK66" s="384"/>
      <c r="GL66" s="385"/>
      <c r="GM66" s="451"/>
      <c r="GN66" s="384">
        <v>42</v>
      </c>
      <c r="GO66" s="385">
        <v>20</v>
      </c>
      <c r="GP66" s="451">
        <v>67.7</v>
      </c>
      <c r="GQ66" s="384">
        <v>47</v>
      </c>
      <c r="GR66" s="385">
        <v>29</v>
      </c>
      <c r="GS66" s="451">
        <v>61.8</v>
      </c>
      <c r="GT66" s="384">
        <v>54</v>
      </c>
      <c r="GU66" s="385">
        <v>26</v>
      </c>
      <c r="GV66" s="451">
        <v>67.5</v>
      </c>
      <c r="GW66" s="384"/>
      <c r="GX66" s="385"/>
      <c r="GY66" s="451"/>
      <c r="GZ66" s="384">
        <v>12</v>
      </c>
      <c r="HA66" s="385">
        <v>3</v>
      </c>
      <c r="HB66" s="451">
        <v>80</v>
      </c>
      <c r="HC66" s="384">
        <v>43</v>
      </c>
      <c r="HD66" s="385">
        <v>2</v>
      </c>
      <c r="HE66" s="451">
        <v>95.6</v>
      </c>
      <c r="HF66" s="384">
        <v>6</v>
      </c>
      <c r="HG66" s="385">
        <v>1</v>
      </c>
      <c r="HH66" s="451">
        <v>85.7</v>
      </c>
      <c r="HI66" s="384"/>
      <c r="HJ66" s="385"/>
      <c r="HK66" s="451"/>
      <c r="HL66" s="384">
        <v>141</v>
      </c>
      <c r="HM66" s="385">
        <v>238</v>
      </c>
      <c r="HN66" s="451">
        <v>37.200000000000003</v>
      </c>
      <c r="HO66" s="384">
        <v>69</v>
      </c>
      <c r="HP66" s="385">
        <v>236</v>
      </c>
      <c r="HQ66" s="451">
        <v>22.6</v>
      </c>
      <c r="HR66" s="384">
        <v>108</v>
      </c>
      <c r="HS66" s="385">
        <v>191</v>
      </c>
      <c r="HT66" s="451">
        <v>36.1</v>
      </c>
      <c r="HU66" s="384"/>
      <c r="HV66" s="385"/>
      <c r="HW66" s="451"/>
      <c r="HX66" s="384">
        <v>19</v>
      </c>
      <c r="HY66" s="385"/>
      <c r="HZ66" s="451">
        <v>100</v>
      </c>
      <c r="IA66" s="384">
        <v>22</v>
      </c>
      <c r="IB66" s="385"/>
      <c r="IC66" s="451">
        <v>100</v>
      </c>
      <c r="ID66" s="384">
        <v>23</v>
      </c>
      <c r="IE66" s="385"/>
      <c r="IF66" s="451">
        <v>100</v>
      </c>
      <c r="IG66" s="384"/>
      <c r="IH66" s="385"/>
      <c r="II66" s="451"/>
      <c r="IJ66" s="384">
        <v>21</v>
      </c>
      <c r="IK66" s="385">
        <v>9</v>
      </c>
      <c r="IL66" s="451">
        <v>70</v>
      </c>
      <c r="IM66" s="384">
        <v>27</v>
      </c>
      <c r="IN66" s="385">
        <v>13</v>
      </c>
      <c r="IO66" s="451">
        <v>67.5</v>
      </c>
      <c r="IP66" s="384">
        <v>32</v>
      </c>
      <c r="IQ66" s="385">
        <v>10</v>
      </c>
      <c r="IR66" s="451">
        <v>76.2</v>
      </c>
      <c r="IS66" s="384"/>
      <c r="IT66" s="385"/>
      <c r="IU66" s="451"/>
      <c r="IV66" s="384">
        <v>2831</v>
      </c>
      <c r="IW66" s="385">
        <v>5115</v>
      </c>
      <c r="IX66" s="451">
        <v>35.6</v>
      </c>
      <c r="IY66" s="384">
        <v>3076</v>
      </c>
      <c r="IZ66" s="385">
        <v>4447</v>
      </c>
      <c r="JA66" s="451">
        <v>40.9</v>
      </c>
      <c r="JB66" s="384">
        <v>3245</v>
      </c>
      <c r="JC66" s="385">
        <v>3873</v>
      </c>
      <c r="JD66" s="451">
        <v>45.6</v>
      </c>
      <c r="JE66" s="384"/>
      <c r="JF66" s="385"/>
      <c r="JG66" s="451"/>
      <c r="JH66" s="384">
        <v>600</v>
      </c>
      <c r="JI66" s="385">
        <v>683</v>
      </c>
      <c r="JJ66" s="451">
        <v>46.8</v>
      </c>
      <c r="JK66" s="384">
        <v>686</v>
      </c>
      <c r="JL66" s="385">
        <v>597</v>
      </c>
      <c r="JM66" s="451">
        <v>53.5</v>
      </c>
      <c r="JN66" s="384">
        <v>766</v>
      </c>
      <c r="JO66" s="385">
        <v>608</v>
      </c>
      <c r="JP66" s="451">
        <v>55.7</v>
      </c>
      <c r="JQ66" s="384"/>
      <c r="JR66" s="385"/>
      <c r="JS66" s="451"/>
      <c r="JT66" s="384">
        <v>11</v>
      </c>
      <c r="JU66" s="385">
        <v>3</v>
      </c>
      <c r="JV66" s="451">
        <v>78.599999999999994</v>
      </c>
      <c r="JW66" s="384">
        <v>10</v>
      </c>
      <c r="JX66" s="385">
        <v>6</v>
      </c>
      <c r="JY66" s="451">
        <v>62.5</v>
      </c>
      <c r="JZ66" s="384">
        <v>15</v>
      </c>
      <c r="KA66" s="385">
        <v>4</v>
      </c>
      <c r="KB66" s="451">
        <v>78.900000000000006</v>
      </c>
      <c r="KC66" s="384"/>
      <c r="KD66" s="385"/>
      <c r="KE66" s="451"/>
      <c r="KF66" s="384">
        <v>9</v>
      </c>
      <c r="KG66" s="385">
        <v>1</v>
      </c>
      <c r="KH66" s="451">
        <v>90</v>
      </c>
      <c r="KI66" s="384">
        <v>6</v>
      </c>
      <c r="KJ66" s="385">
        <v>2</v>
      </c>
      <c r="KK66" s="451">
        <v>75</v>
      </c>
      <c r="KL66" s="384">
        <v>9</v>
      </c>
      <c r="KM66" s="385">
        <v>2</v>
      </c>
      <c r="KN66" s="451">
        <v>81.8</v>
      </c>
      <c r="KO66" s="384"/>
      <c r="KP66" s="385"/>
      <c r="KQ66" s="451"/>
      <c r="KR66" s="384">
        <v>749</v>
      </c>
      <c r="KS66" s="385">
        <v>787</v>
      </c>
      <c r="KT66" s="451">
        <v>48.8</v>
      </c>
      <c r="KU66" s="384">
        <v>824</v>
      </c>
      <c r="KV66" s="385">
        <v>667</v>
      </c>
      <c r="KW66" s="451">
        <v>55.3</v>
      </c>
      <c r="KX66" s="384">
        <v>914</v>
      </c>
      <c r="KY66" s="385">
        <v>667</v>
      </c>
      <c r="KZ66" s="451">
        <v>57.8</v>
      </c>
      <c r="LA66" s="384"/>
      <c r="LB66" s="385"/>
      <c r="LC66" s="451"/>
      <c r="LD66" s="384">
        <v>4082</v>
      </c>
      <c r="LE66" s="385">
        <v>5743</v>
      </c>
      <c r="LF66" s="451">
        <v>41.5</v>
      </c>
      <c r="LG66" s="384">
        <v>4583</v>
      </c>
      <c r="LH66" s="385">
        <v>5093</v>
      </c>
      <c r="LI66" s="451">
        <v>47.4</v>
      </c>
      <c r="LJ66" s="384">
        <v>5010</v>
      </c>
      <c r="LK66" s="385">
        <v>4500</v>
      </c>
      <c r="LL66" s="451">
        <v>52.7</v>
      </c>
      <c r="LM66" s="384"/>
      <c r="LN66" s="385"/>
      <c r="LO66" s="451"/>
    </row>
    <row r="67" spans="1:327" x14ac:dyDescent="0.2">
      <c r="A67" s="1000" t="s">
        <v>583</v>
      </c>
      <c r="B67" s="749"/>
      <c r="C67" s="146" t="s">
        <v>584</v>
      </c>
      <c r="D67" s="441">
        <v>2</v>
      </c>
      <c r="E67" s="442"/>
      <c r="F67" s="443">
        <v>100</v>
      </c>
      <c r="G67" s="441">
        <v>6</v>
      </c>
      <c r="H67" s="442"/>
      <c r="I67" s="443">
        <v>100</v>
      </c>
      <c r="J67" s="441">
        <v>3</v>
      </c>
      <c r="K67" s="442"/>
      <c r="L67" s="443">
        <v>100</v>
      </c>
      <c r="M67" s="441"/>
      <c r="N67" s="442"/>
      <c r="O67" s="443"/>
      <c r="P67" s="441">
        <v>1</v>
      </c>
      <c r="Q67" s="442"/>
      <c r="R67" s="443">
        <v>100</v>
      </c>
      <c r="S67" s="441"/>
      <c r="T67" s="442"/>
      <c r="U67" s="443" t="s">
        <v>6</v>
      </c>
      <c r="V67" s="441">
        <v>2</v>
      </c>
      <c r="W67" s="442"/>
      <c r="X67" s="443">
        <v>100</v>
      </c>
      <c r="Y67" s="441"/>
      <c r="Z67" s="442"/>
      <c r="AA67" s="443"/>
      <c r="AB67" s="441">
        <v>1</v>
      </c>
      <c r="AC67" s="442"/>
      <c r="AD67" s="443">
        <v>100</v>
      </c>
      <c r="AE67" s="441">
        <v>4</v>
      </c>
      <c r="AF67" s="442"/>
      <c r="AG67" s="443">
        <v>100</v>
      </c>
      <c r="AH67" s="441">
        <v>1</v>
      </c>
      <c r="AI67" s="442"/>
      <c r="AJ67" s="443">
        <v>100</v>
      </c>
      <c r="AK67" s="441"/>
      <c r="AL67" s="442"/>
      <c r="AM67" s="443"/>
      <c r="AN67" s="441">
        <v>4</v>
      </c>
      <c r="AO67" s="442">
        <v>1</v>
      </c>
      <c r="AP67" s="443">
        <v>80</v>
      </c>
      <c r="AQ67" s="441">
        <v>7</v>
      </c>
      <c r="AR67" s="442">
        <v>1</v>
      </c>
      <c r="AS67" s="443">
        <v>87.5</v>
      </c>
      <c r="AT67" s="441">
        <v>8</v>
      </c>
      <c r="AU67" s="442"/>
      <c r="AV67" s="443">
        <v>100</v>
      </c>
      <c r="AW67" s="441"/>
      <c r="AX67" s="442"/>
      <c r="AY67" s="443"/>
      <c r="AZ67" s="441">
        <v>2</v>
      </c>
      <c r="BA67" s="442">
        <v>1</v>
      </c>
      <c r="BB67" s="443">
        <v>66.7</v>
      </c>
      <c r="BC67" s="441">
        <v>6</v>
      </c>
      <c r="BD67" s="442">
        <v>1</v>
      </c>
      <c r="BE67" s="443">
        <v>85.7</v>
      </c>
      <c r="BF67" s="441">
        <v>8</v>
      </c>
      <c r="BG67" s="442"/>
      <c r="BH67" s="443">
        <v>100</v>
      </c>
      <c r="BI67" s="441"/>
      <c r="BJ67" s="442"/>
      <c r="BK67" s="443"/>
      <c r="BL67" s="441"/>
      <c r="BM67" s="442"/>
      <c r="BN67" s="443" t="s">
        <v>6</v>
      </c>
      <c r="BO67" s="441">
        <v>1</v>
      </c>
      <c r="BP67" s="442"/>
      <c r="BQ67" s="443">
        <v>100</v>
      </c>
      <c r="BR67" s="441">
        <v>1</v>
      </c>
      <c r="BS67" s="442"/>
      <c r="BT67" s="443">
        <v>100</v>
      </c>
      <c r="BU67" s="441"/>
      <c r="BV67" s="442"/>
      <c r="BW67" s="443"/>
      <c r="BX67" s="441"/>
      <c r="BY67" s="442"/>
      <c r="BZ67" s="443" t="s">
        <v>6</v>
      </c>
      <c r="CA67" s="441"/>
      <c r="CB67" s="442"/>
      <c r="CC67" s="443" t="s">
        <v>6</v>
      </c>
      <c r="CD67" s="441"/>
      <c r="CE67" s="442"/>
      <c r="CF67" s="443" t="s">
        <v>6</v>
      </c>
      <c r="CG67" s="441"/>
      <c r="CH67" s="442"/>
      <c r="CI67" s="443"/>
      <c r="CJ67" s="441">
        <v>10</v>
      </c>
      <c r="CK67" s="442">
        <v>11</v>
      </c>
      <c r="CL67" s="443">
        <v>47.6</v>
      </c>
      <c r="CM67" s="441">
        <v>4</v>
      </c>
      <c r="CN67" s="442">
        <v>13</v>
      </c>
      <c r="CO67" s="443">
        <v>23.5</v>
      </c>
      <c r="CP67" s="441">
        <v>8</v>
      </c>
      <c r="CQ67" s="442">
        <v>2</v>
      </c>
      <c r="CR67" s="443">
        <v>80</v>
      </c>
      <c r="CS67" s="441"/>
      <c r="CT67" s="442"/>
      <c r="CU67" s="443"/>
      <c r="CV67" s="441">
        <v>1</v>
      </c>
      <c r="CW67" s="442"/>
      <c r="CX67" s="443">
        <v>100</v>
      </c>
      <c r="CY67" s="441">
        <v>1</v>
      </c>
      <c r="CZ67" s="442"/>
      <c r="DA67" s="443">
        <v>100</v>
      </c>
      <c r="DB67" s="441">
        <v>3</v>
      </c>
      <c r="DC67" s="442"/>
      <c r="DD67" s="443">
        <v>100</v>
      </c>
      <c r="DE67" s="441"/>
      <c r="DF67" s="442"/>
      <c r="DG67" s="443"/>
      <c r="DH67" s="441"/>
      <c r="DI67" s="442"/>
      <c r="DJ67" s="443" t="s">
        <v>6</v>
      </c>
      <c r="DK67" s="441"/>
      <c r="DL67" s="442"/>
      <c r="DM67" s="443" t="s">
        <v>6</v>
      </c>
      <c r="DN67" s="441">
        <v>1</v>
      </c>
      <c r="DO67" s="442"/>
      <c r="DP67" s="443">
        <v>100</v>
      </c>
      <c r="DQ67" s="441"/>
      <c r="DR67" s="442"/>
      <c r="DS67" s="443"/>
      <c r="DT67" s="441"/>
      <c r="DU67" s="442"/>
      <c r="DV67" s="443" t="s">
        <v>6</v>
      </c>
      <c r="DW67" s="441"/>
      <c r="DX67" s="442"/>
      <c r="DY67" s="443" t="s">
        <v>6</v>
      </c>
      <c r="DZ67" s="441">
        <v>3</v>
      </c>
      <c r="EA67" s="442"/>
      <c r="EB67" s="443">
        <v>100</v>
      </c>
      <c r="EC67" s="441"/>
      <c r="ED67" s="442"/>
      <c r="EE67" s="443"/>
      <c r="EF67" s="441">
        <v>9</v>
      </c>
      <c r="EG67" s="442">
        <v>1</v>
      </c>
      <c r="EH67" s="443">
        <v>90</v>
      </c>
      <c r="EI67" s="441">
        <v>2</v>
      </c>
      <c r="EJ67" s="442"/>
      <c r="EK67" s="443">
        <v>100</v>
      </c>
      <c r="EL67" s="441">
        <v>5</v>
      </c>
      <c r="EM67" s="442">
        <v>1</v>
      </c>
      <c r="EN67" s="443">
        <v>83.3</v>
      </c>
      <c r="EO67" s="441"/>
      <c r="EP67" s="442"/>
      <c r="EQ67" s="443"/>
      <c r="ER67" s="441"/>
      <c r="ES67" s="442"/>
      <c r="ET67" s="443" t="s">
        <v>6</v>
      </c>
      <c r="EU67" s="441"/>
      <c r="EV67" s="442"/>
      <c r="EW67" s="443" t="s">
        <v>6</v>
      </c>
      <c r="EX67" s="441"/>
      <c r="EY67" s="442"/>
      <c r="EZ67" s="443" t="s">
        <v>6</v>
      </c>
      <c r="FA67" s="441"/>
      <c r="FB67" s="442"/>
      <c r="FC67" s="443"/>
      <c r="FD67" s="441"/>
      <c r="FE67" s="442"/>
      <c r="FF67" s="443" t="s">
        <v>6</v>
      </c>
      <c r="FG67" s="441"/>
      <c r="FH67" s="442"/>
      <c r="FI67" s="443" t="s">
        <v>6</v>
      </c>
      <c r="FJ67" s="441"/>
      <c r="FK67" s="442"/>
      <c r="FL67" s="443" t="s">
        <v>6</v>
      </c>
      <c r="FM67" s="441"/>
      <c r="FN67" s="442"/>
      <c r="FO67" s="443"/>
      <c r="FP67" s="441">
        <v>3</v>
      </c>
      <c r="FQ67" s="442"/>
      <c r="FR67" s="443">
        <v>100</v>
      </c>
      <c r="FS67" s="441"/>
      <c r="FT67" s="442"/>
      <c r="FU67" s="443" t="s">
        <v>6</v>
      </c>
      <c r="FV67" s="441"/>
      <c r="FW67" s="442"/>
      <c r="FX67" s="443" t="s">
        <v>6</v>
      </c>
      <c r="FY67" s="441"/>
      <c r="FZ67" s="442"/>
      <c r="GA67" s="443"/>
      <c r="GB67" s="441">
        <v>2</v>
      </c>
      <c r="GC67" s="442"/>
      <c r="GD67" s="443">
        <v>100</v>
      </c>
      <c r="GE67" s="441">
        <v>4</v>
      </c>
      <c r="GF67" s="442">
        <v>4</v>
      </c>
      <c r="GG67" s="443">
        <v>50</v>
      </c>
      <c r="GH67" s="441"/>
      <c r="GI67" s="442"/>
      <c r="GJ67" s="443" t="s">
        <v>6</v>
      </c>
      <c r="GK67" s="441"/>
      <c r="GL67" s="442"/>
      <c r="GM67" s="443"/>
      <c r="GN67" s="441"/>
      <c r="GO67" s="442"/>
      <c r="GP67" s="443" t="s">
        <v>6</v>
      </c>
      <c r="GQ67" s="441"/>
      <c r="GR67" s="442"/>
      <c r="GS67" s="443" t="s">
        <v>6</v>
      </c>
      <c r="GT67" s="441"/>
      <c r="GU67" s="442"/>
      <c r="GV67" s="443" t="s">
        <v>6</v>
      </c>
      <c r="GW67" s="441"/>
      <c r="GX67" s="442"/>
      <c r="GY67" s="443"/>
      <c r="GZ67" s="441"/>
      <c r="HA67" s="442"/>
      <c r="HB67" s="443" t="s">
        <v>6</v>
      </c>
      <c r="HC67" s="441"/>
      <c r="HD67" s="442"/>
      <c r="HE67" s="443" t="s">
        <v>6</v>
      </c>
      <c r="HF67" s="441"/>
      <c r="HG67" s="442"/>
      <c r="HH67" s="443" t="s">
        <v>6</v>
      </c>
      <c r="HI67" s="441"/>
      <c r="HJ67" s="442"/>
      <c r="HK67" s="443"/>
      <c r="HL67" s="441"/>
      <c r="HM67" s="442"/>
      <c r="HN67" s="443" t="s">
        <v>6</v>
      </c>
      <c r="HO67" s="441">
        <v>3</v>
      </c>
      <c r="HP67" s="442"/>
      <c r="HQ67" s="443">
        <v>100</v>
      </c>
      <c r="HR67" s="441"/>
      <c r="HS67" s="442">
        <v>1</v>
      </c>
      <c r="HT67" s="443">
        <v>0</v>
      </c>
      <c r="HU67" s="441"/>
      <c r="HV67" s="442"/>
      <c r="HW67" s="443"/>
      <c r="HX67" s="441"/>
      <c r="HY67" s="442"/>
      <c r="HZ67" s="443" t="s">
        <v>6</v>
      </c>
      <c r="IA67" s="441"/>
      <c r="IB67" s="442"/>
      <c r="IC67" s="443" t="s">
        <v>6</v>
      </c>
      <c r="ID67" s="441">
        <v>1</v>
      </c>
      <c r="IE67" s="442"/>
      <c r="IF67" s="443">
        <v>100</v>
      </c>
      <c r="IG67" s="441"/>
      <c r="IH67" s="442"/>
      <c r="II67" s="443"/>
      <c r="IJ67" s="441"/>
      <c r="IK67" s="442"/>
      <c r="IL67" s="443" t="s">
        <v>6</v>
      </c>
      <c r="IM67" s="441"/>
      <c r="IN67" s="442"/>
      <c r="IO67" s="443" t="s">
        <v>6</v>
      </c>
      <c r="IP67" s="441"/>
      <c r="IQ67" s="442"/>
      <c r="IR67" s="443" t="s">
        <v>6</v>
      </c>
      <c r="IS67" s="441"/>
      <c r="IT67" s="442"/>
      <c r="IU67" s="443"/>
      <c r="IV67" s="441">
        <v>28</v>
      </c>
      <c r="IW67" s="442">
        <v>13</v>
      </c>
      <c r="IX67" s="443">
        <v>68.3</v>
      </c>
      <c r="IY67" s="441">
        <v>27</v>
      </c>
      <c r="IZ67" s="442">
        <v>18</v>
      </c>
      <c r="JA67" s="443">
        <v>60</v>
      </c>
      <c r="JB67" s="441">
        <v>32</v>
      </c>
      <c r="JC67" s="442">
        <v>4</v>
      </c>
      <c r="JD67" s="443">
        <v>88.9</v>
      </c>
      <c r="JE67" s="441"/>
      <c r="JF67" s="442"/>
      <c r="JG67" s="443"/>
      <c r="JH67" s="441">
        <v>10</v>
      </c>
      <c r="JI67" s="442">
        <v>4</v>
      </c>
      <c r="JJ67" s="443">
        <v>71.400000000000006</v>
      </c>
      <c r="JK67" s="441">
        <v>10</v>
      </c>
      <c r="JL67" s="442">
        <v>4</v>
      </c>
      <c r="JM67" s="443">
        <v>71.400000000000006</v>
      </c>
      <c r="JN67" s="441">
        <v>8</v>
      </c>
      <c r="JO67" s="442">
        <v>2</v>
      </c>
      <c r="JP67" s="443">
        <v>80</v>
      </c>
      <c r="JQ67" s="441"/>
      <c r="JR67" s="442"/>
      <c r="JS67" s="443"/>
      <c r="JT67" s="441"/>
      <c r="JU67" s="442"/>
      <c r="JV67" s="443" t="s">
        <v>6</v>
      </c>
      <c r="JW67" s="441"/>
      <c r="JX67" s="442"/>
      <c r="JY67" s="443" t="s">
        <v>6</v>
      </c>
      <c r="JZ67" s="441"/>
      <c r="KA67" s="442"/>
      <c r="KB67" s="443" t="s">
        <v>6</v>
      </c>
      <c r="KC67" s="441"/>
      <c r="KD67" s="442"/>
      <c r="KE67" s="443"/>
      <c r="KF67" s="441"/>
      <c r="KG67" s="442"/>
      <c r="KH67" s="443" t="s">
        <v>6</v>
      </c>
      <c r="KI67" s="441"/>
      <c r="KJ67" s="442"/>
      <c r="KK67" s="443" t="s">
        <v>6</v>
      </c>
      <c r="KL67" s="441"/>
      <c r="KM67" s="442"/>
      <c r="KN67" s="443" t="s">
        <v>6</v>
      </c>
      <c r="KO67" s="441"/>
      <c r="KP67" s="442"/>
      <c r="KQ67" s="443"/>
      <c r="KR67" s="441">
        <v>14</v>
      </c>
      <c r="KS67" s="442">
        <v>4</v>
      </c>
      <c r="KT67" s="443">
        <v>77.8</v>
      </c>
      <c r="KU67" s="441">
        <v>11</v>
      </c>
      <c r="KV67" s="442">
        <v>4</v>
      </c>
      <c r="KW67" s="443">
        <v>73.3</v>
      </c>
      <c r="KX67" s="441">
        <v>10</v>
      </c>
      <c r="KY67" s="442">
        <v>3</v>
      </c>
      <c r="KZ67" s="443">
        <v>76.900000000000006</v>
      </c>
      <c r="LA67" s="441"/>
      <c r="LB67" s="442"/>
      <c r="LC67" s="443"/>
      <c r="LD67" s="441">
        <v>74</v>
      </c>
      <c r="LE67" s="442">
        <v>21</v>
      </c>
      <c r="LF67" s="443">
        <v>77.900000000000006</v>
      </c>
      <c r="LG67" s="441">
        <v>208</v>
      </c>
      <c r="LH67" s="442">
        <v>23</v>
      </c>
      <c r="LI67" s="443">
        <v>90</v>
      </c>
      <c r="LJ67" s="441">
        <v>56</v>
      </c>
      <c r="LK67" s="442">
        <v>36</v>
      </c>
      <c r="LL67" s="443">
        <v>60.9</v>
      </c>
      <c r="LM67" s="441"/>
      <c r="LN67" s="442"/>
      <c r="LO67" s="443"/>
    </row>
    <row r="68" spans="1:327" x14ac:dyDescent="0.2">
      <c r="A68" s="1001"/>
      <c r="B68" s="747"/>
      <c r="C68" s="151" t="s">
        <v>678</v>
      </c>
      <c r="D68" s="377"/>
      <c r="E68" s="373"/>
      <c r="F68" s="444" t="s">
        <v>6</v>
      </c>
      <c r="G68" s="377"/>
      <c r="H68" s="373"/>
      <c r="I68" s="444" t="s">
        <v>6</v>
      </c>
      <c r="J68" s="377"/>
      <c r="K68" s="373"/>
      <c r="L68" s="444" t="s">
        <v>6</v>
      </c>
      <c r="M68" s="377"/>
      <c r="N68" s="373"/>
      <c r="O68" s="444"/>
      <c r="P68" s="377"/>
      <c r="Q68" s="373"/>
      <c r="R68" s="444" t="s">
        <v>6</v>
      </c>
      <c r="S68" s="377"/>
      <c r="T68" s="373"/>
      <c r="U68" s="444" t="s">
        <v>6</v>
      </c>
      <c r="V68" s="377"/>
      <c r="W68" s="373"/>
      <c r="X68" s="444" t="s">
        <v>6</v>
      </c>
      <c r="Y68" s="377"/>
      <c r="Z68" s="373"/>
      <c r="AA68" s="444"/>
      <c r="AB68" s="377"/>
      <c r="AC68" s="373"/>
      <c r="AD68" s="444" t="s">
        <v>6</v>
      </c>
      <c r="AE68" s="377"/>
      <c r="AF68" s="373"/>
      <c r="AG68" s="444" t="s">
        <v>6</v>
      </c>
      <c r="AH68" s="377"/>
      <c r="AI68" s="373"/>
      <c r="AJ68" s="444" t="s">
        <v>6</v>
      </c>
      <c r="AK68" s="377"/>
      <c r="AL68" s="373"/>
      <c r="AM68" s="444"/>
      <c r="AN68" s="377">
        <v>38</v>
      </c>
      <c r="AO68" s="373">
        <v>20</v>
      </c>
      <c r="AP68" s="444">
        <v>65.5</v>
      </c>
      <c r="AQ68" s="377">
        <v>31</v>
      </c>
      <c r="AR68" s="373">
        <v>12</v>
      </c>
      <c r="AS68" s="444">
        <v>72.099999999999994</v>
      </c>
      <c r="AT68" s="377">
        <v>23</v>
      </c>
      <c r="AU68" s="373">
        <v>16</v>
      </c>
      <c r="AV68" s="444">
        <v>59</v>
      </c>
      <c r="AW68" s="377"/>
      <c r="AX68" s="373"/>
      <c r="AY68" s="444"/>
      <c r="AZ68" s="377">
        <v>16</v>
      </c>
      <c r="BA68" s="373">
        <v>19</v>
      </c>
      <c r="BB68" s="444">
        <v>45.7</v>
      </c>
      <c r="BC68" s="377">
        <v>14</v>
      </c>
      <c r="BD68" s="373">
        <v>10</v>
      </c>
      <c r="BE68" s="444">
        <v>58.3</v>
      </c>
      <c r="BF68" s="377">
        <v>11</v>
      </c>
      <c r="BG68" s="373">
        <v>15</v>
      </c>
      <c r="BH68" s="444">
        <v>42.3</v>
      </c>
      <c r="BI68" s="377"/>
      <c r="BJ68" s="373"/>
      <c r="BK68" s="444"/>
      <c r="BL68" s="377"/>
      <c r="BM68" s="373"/>
      <c r="BN68" s="444" t="s">
        <v>6</v>
      </c>
      <c r="BO68" s="377"/>
      <c r="BP68" s="373"/>
      <c r="BQ68" s="444" t="s">
        <v>6</v>
      </c>
      <c r="BR68" s="377"/>
      <c r="BS68" s="373"/>
      <c r="BT68" s="444" t="s">
        <v>6</v>
      </c>
      <c r="BU68" s="377"/>
      <c r="BV68" s="373"/>
      <c r="BW68" s="444"/>
      <c r="BX68" s="377">
        <v>1</v>
      </c>
      <c r="BY68" s="373">
        <v>1</v>
      </c>
      <c r="BZ68" s="444">
        <v>50</v>
      </c>
      <c r="CA68" s="377"/>
      <c r="CB68" s="373"/>
      <c r="CC68" s="444" t="s">
        <v>6</v>
      </c>
      <c r="CD68" s="377"/>
      <c r="CE68" s="373">
        <v>1</v>
      </c>
      <c r="CF68" s="444">
        <v>0</v>
      </c>
      <c r="CG68" s="377"/>
      <c r="CH68" s="373"/>
      <c r="CI68" s="444"/>
      <c r="CJ68" s="377"/>
      <c r="CK68" s="373"/>
      <c r="CL68" s="444" t="s">
        <v>6</v>
      </c>
      <c r="CM68" s="377"/>
      <c r="CN68" s="373"/>
      <c r="CO68" s="444" t="s">
        <v>6</v>
      </c>
      <c r="CP68" s="377"/>
      <c r="CQ68" s="373"/>
      <c r="CR68" s="444" t="s">
        <v>6</v>
      </c>
      <c r="CS68" s="377"/>
      <c r="CT68" s="373"/>
      <c r="CU68" s="444"/>
      <c r="CV68" s="377">
        <v>42</v>
      </c>
      <c r="CW68" s="373">
        <v>23</v>
      </c>
      <c r="CX68" s="444">
        <v>64.599999999999994</v>
      </c>
      <c r="CY68" s="377">
        <v>47</v>
      </c>
      <c r="CZ68" s="373">
        <v>28</v>
      </c>
      <c r="DA68" s="444">
        <v>62.7</v>
      </c>
      <c r="DB68" s="377">
        <v>31</v>
      </c>
      <c r="DC68" s="373">
        <v>26</v>
      </c>
      <c r="DD68" s="444">
        <v>54.4</v>
      </c>
      <c r="DE68" s="377"/>
      <c r="DF68" s="373"/>
      <c r="DG68" s="444"/>
      <c r="DH68" s="377">
        <v>2</v>
      </c>
      <c r="DI68" s="373">
        <v>1</v>
      </c>
      <c r="DJ68" s="444">
        <v>66.7</v>
      </c>
      <c r="DK68" s="377"/>
      <c r="DL68" s="373">
        <v>1</v>
      </c>
      <c r="DM68" s="444">
        <v>0</v>
      </c>
      <c r="DN68" s="377">
        <v>3</v>
      </c>
      <c r="DO68" s="373"/>
      <c r="DP68" s="444">
        <v>100</v>
      </c>
      <c r="DQ68" s="377"/>
      <c r="DR68" s="373"/>
      <c r="DS68" s="444"/>
      <c r="DT68" s="377"/>
      <c r="DU68" s="373">
        <v>1</v>
      </c>
      <c r="DV68" s="444">
        <v>0</v>
      </c>
      <c r="DW68" s="377">
        <v>5</v>
      </c>
      <c r="DX68" s="373"/>
      <c r="DY68" s="444">
        <v>100</v>
      </c>
      <c r="DZ68" s="377"/>
      <c r="EA68" s="373"/>
      <c r="EB68" s="444" t="s">
        <v>6</v>
      </c>
      <c r="EC68" s="377"/>
      <c r="ED68" s="373"/>
      <c r="EE68" s="444"/>
      <c r="EF68" s="377">
        <v>349</v>
      </c>
      <c r="EG68" s="373">
        <v>1599</v>
      </c>
      <c r="EH68" s="444">
        <v>17.899999999999999</v>
      </c>
      <c r="EI68" s="377">
        <v>294</v>
      </c>
      <c r="EJ68" s="373">
        <v>1325</v>
      </c>
      <c r="EK68" s="444">
        <v>18.2</v>
      </c>
      <c r="EL68" s="377">
        <v>227</v>
      </c>
      <c r="EM68" s="373">
        <v>1247</v>
      </c>
      <c r="EN68" s="444">
        <v>15.4</v>
      </c>
      <c r="EO68" s="377"/>
      <c r="EP68" s="373"/>
      <c r="EQ68" s="444"/>
      <c r="ER68" s="377">
        <v>6</v>
      </c>
      <c r="ES68" s="373">
        <v>9</v>
      </c>
      <c r="ET68" s="444">
        <v>40</v>
      </c>
      <c r="EU68" s="377"/>
      <c r="EV68" s="373">
        <v>5</v>
      </c>
      <c r="EW68" s="444">
        <v>0</v>
      </c>
      <c r="EX68" s="377"/>
      <c r="EY68" s="373">
        <v>7</v>
      </c>
      <c r="EZ68" s="444">
        <v>0</v>
      </c>
      <c r="FA68" s="377"/>
      <c r="FB68" s="373"/>
      <c r="FC68" s="444"/>
      <c r="FD68" s="377">
        <v>7</v>
      </c>
      <c r="FE68" s="373">
        <v>58</v>
      </c>
      <c r="FF68" s="444">
        <v>10.8</v>
      </c>
      <c r="FG68" s="377">
        <v>33</v>
      </c>
      <c r="FH68" s="373">
        <v>47</v>
      </c>
      <c r="FI68" s="444">
        <v>41.3</v>
      </c>
      <c r="FJ68" s="377"/>
      <c r="FK68" s="373">
        <v>22</v>
      </c>
      <c r="FL68" s="444">
        <v>0</v>
      </c>
      <c r="FM68" s="377"/>
      <c r="FN68" s="373"/>
      <c r="FO68" s="444"/>
      <c r="FP68" s="377">
        <v>70</v>
      </c>
      <c r="FQ68" s="373">
        <v>212</v>
      </c>
      <c r="FR68" s="444">
        <v>24.8</v>
      </c>
      <c r="FS68" s="377">
        <v>80</v>
      </c>
      <c r="FT68" s="373">
        <v>180</v>
      </c>
      <c r="FU68" s="444">
        <v>30.8</v>
      </c>
      <c r="FV68" s="377">
        <v>42</v>
      </c>
      <c r="FW68" s="373">
        <v>124</v>
      </c>
      <c r="FX68" s="444">
        <v>25.3</v>
      </c>
      <c r="FY68" s="377"/>
      <c r="FZ68" s="373"/>
      <c r="GA68" s="444"/>
      <c r="GB68" s="377">
        <v>11</v>
      </c>
      <c r="GC68" s="373">
        <v>8</v>
      </c>
      <c r="GD68" s="444">
        <v>57.9</v>
      </c>
      <c r="GE68" s="377">
        <v>22</v>
      </c>
      <c r="GF68" s="373">
        <v>7</v>
      </c>
      <c r="GG68" s="444">
        <v>75.900000000000006</v>
      </c>
      <c r="GH68" s="377">
        <v>12</v>
      </c>
      <c r="GI68" s="373">
        <v>5</v>
      </c>
      <c r="GJ68" s="444">
        <v>70.599999999999994</v>
      </c>
      <c r="GK68" s="377"/>
      <c r="GL68" s="373"/>
      <c r="GM68" s="444"/>
      <c r="GN68" s="377">
        <v>6</v>
      </c>
      <c r="GO68" s="373">
        <v>31</v>
      </c>
      <c r="GP68" s="444">
        <v>16.2</v>
      </c>
      <c r="GQ68" s="377">
        <v>36</v>
      </c>
      <c r="GR68" s="373">
        <v>34</v>
      </c>
      <c r="GS68" s="444">
        <v>51.4</v>
      </c>
      <c r="GT68" s="377">
        <v>4</v>
      </c>
      <c r="GU68" s="373">
        <v>28</v>
      </c>
      <c r="GV68" s="444">
        <v>12.5</v>
      </c>
      <c r="GW68" s="377"/>
      <c r="GX68" s="373"/>
      <c r="GY68" s="444"/>
      <c r="GZ68" s="377">
        <v>1</v>
      </c>
      <c r="HA68" s="373"/>
      <c r="HB68" s="444">
        <v>100</v>
      </c>
      <c r="HC68" s="377">
        <v>1</v>
      </c>
      <c r="HD68" s="373">
        <v>2</v>
      </c>
      <c r="HE68" s="444">
        <v>33.299999999999997</v>
      </c>
      <c r="HF68" s="377"/>
      <c r="HG68" s="373"/>
      <c r="HH68" s="444" t="s">
        <v>6</v>
      </c>
      <c r="HI68" s="377"/>
      <c r="HJ68" s="373"/>
      <c r="HK68" s="444"/>
      <c r="HL68" s="377">
        <v>14</v>
      </c>
      <c r="HM68" s="373">
        <v>133</v>
      </c>
      <c r="HN68" s="444">
        <v>9.5</v>
      </c>
      <c r="HO68" s="377">
        <v>16</v>
      </c>
      <c r="HP68" s="373">
        <v>125</v>
      </c>
      <c r="HQ68" s="444">
        <v>11.3</v>
      </c>
      <c r="HR68" s="377">
        <v>14</v>
      </c>
      <c r="HS68" s="373">
        <v>141</v>
      </c>
      <c r="HT68" s="444">
        <v>9</v>
      </c>
      <c r="HU68" s="377"/>
      <c r="HV68" s="373"/>
      <c r="HW68" s="444"/>
      <c r="HX68" s="377">
        <v>1</v>
      </c>
      <c r="HY68" s="373">
        <v>5</v>
      </c>
      <c r="HZ68" s="444">
        <v>16.7</v>
      </c>
      <c r="IA68" s="377">
        <v>3</v>
      </c>
      <c r="IB68" s="373"/>
      <c r="IC68" s="444">
        <v>100</v>
      </c>
      <c r="ID68" s="377">
        <v>3</v>
      </c>
      <c r="IE68" s="373"/>
      <c r="IF68" s="444">
        <v>100</v>
      </c>
      <c r="IG68" s="377"/>
      <c r="IH68" s="373"/>
      <c r="II68" s="444"/>
      <c r="IJ68" s="377">
        <v>4</v>
      </c>
      <c r="IK68" s="373">
        <v>15</v>
      </c>
      <c r="IL68" s="444">
        <v>21.1</v>
      </c>
      <c r="IM68" s="377">
        <v>32</v>
      </c>
      <c r="IN68" s="373">
        <v>11</v>
      </c>
      <c r="IO68" s="444">
        <v>74.400000000000006</v>
      </c>
      <c r="IP68" s="377">
        <v>1</v>
      </c>
      <c r="IQ68" s="373">
        <v>7</v>
      </c>
      <c r="IR68" s="444">
        <v>12.5</v>
      </c>
      <c r="IS68" s="377"/>
      <c r="IT68" s="373"/>
      <c r="IU68" s="444"/>
      <c r="IV68" s="377">
        <v>469</v>
      </c>
      <c r="IW68" s="373">
        <v>1837</v>
      </c>
      <c r="IX68" s="444">
        <v>20.3</v>
      </c>
      <c r="IY68" s="377">
        <v>487</v>
      </c>
      <c r="IZ68" s="373">
        <v>1545</v>
      </c>
      <c r="JA68" s="444">
        <v>24</v>
      </c>
      <c r="JB68" s="377">
        <v>318</v>
      </c>
      <c r="JC68" s="373">
        <v>1471</v>
      </c>
      <c r="JD68" s="444">
        <v>17.8</v>
      </c>
      <c r="JE68" s="377"/>
      <c r="JF68" s="373"/>
      <c r="JG68" s="444"/>
      <c r="JH68" s="377">
        <v>90</v>
      </c>
      <c r="JI68" s="373">
        <v>406</v>
      </c>
      <c r="JJ68" s="444">
        <v>18.100000000000001</v>
      </c>
      <c r="JK68" s="377">
        <v>137</v>
      </c>
      <c r="JL68" s="373">
        <v>315</v>
      </c>
      <c r="JM68" s="444">
        <v>30.3</v>
      </c>
      <c r="JN68" s="377">
        <v>71</v>
      </c>
      <c r="JO68" s="373">
        <v>193</v>
      </c>
      <c r="JP68" s="444">
        <v>26.9</v>
      </c>
      <c r="JQ68" s="377"/>
      <c r="JR68" s="373"/>
      <c r="JS68" s="444"/>
      <c r="JT68" s="377">
        <v>2</v>
      </c>
      <c r="JU68" s="373">
        <v>5</v>
      </c>
      <c r="JV68" s="444">
        <v>28.6</v>
      </c>
      <c r="JW68" s="377">
        <v>5</v>
      </c>
      <c r="JX68" s="373">
        <v>6</v>
      </c>
      <c r="JY68" s="444">
        <v>45.5</v>
      </c>
      <c r="JZ68" s="377"/>
      <c r="KA68" s="373">
        <v>4</v>
      </c>
      <c r="KB68" s="444">
        <v>0</v>
      </c>
      <c r="KC68" s="377"/>
      <c r="KD68" s="373"/>
      <c r="KE68" s="444"/>
      <c r="KF68" s="377">
        <v>2</v>
      </c>
      <c r="KG68" s="373"/>
      <c r="KH68" s="444">
        <v>100</v>
      </c>
      <c r="KI68" s="377">
        <v>1</v>
      </c>
      <c r="KJ68" s="373">
        <v>4</v>
      </c>
      <c r="KK68" s="444">
        <v>20</v>
      </c>
      <c r="KL68" s="377"/>
      <c r="KM68" s="373"/>
      <c r="KN68" s="444" t="s">
        <v>6</v>
      </c>
      <c r="KO68" s="377"/>
      <c r="KP68" s="373"/>
      <c r="KQ68" s="444"/>
      <c r="KR68" s="377">
        <v>108</v>
      </c>
      <c r="KS68" s="373">
        <v>442</v>
      </c>
      <c r="KT68" s="444">
        <v>19.600000000000001</v>
      </c>
      <c r="KU68" s="377">
        <v>157</v>
      </c>
      <c r="KV68" s="373">
        <v>346</v>
      </c>
      <c r="KW68" s="444">
        <v>31.2</v>
      </c>
      <c r="KX68" s="377">
        <v>79</v>
      </c>
      <c r="KY68" s="373">
        <v>217</v>
      </c>
      <c r="KZ68" s="444">
        <v>26.7</v>
      </c>
      <c r="LA68" s="377"/>
      <c r="LB68" s="373"/>
      <c r="LC68" s="444"/>
      <c r="LD68" s="377">
        <v>887</v>
      </c>
      <c r="LE68" s="373">
        <v>2280</v>
      </c>
      <c r="LF68" s="444">
        <v>28</v>
      </c>
      <c r="LG68" s="377">
        <v>939</v>
      </c>
      <c r="LH68" s="373">
        <v>2650</v>
      </c>
      <c r="LI68" s="444">
        <v>26.2</v>
      </c>
      <c r="LJ68" s="377">
        <v>518</v>
      </c>
      <c r="LK68" s="373">
        <v>2488</v>
      </c>
      <c r="LL68" s="444">
        <v>17.2</v>
      </c>
      <c r="LM68" s="377"/>
      <c r="LN68" s="373"/>
      <c r="LO68" s="444"/>
    </row>
    <row r="69" spans="1:327" x14ac:dyDescent="0.2">
      <c r="A69" s="1001"/>
      <c r="B69" s="747" t="s">
        <v>621</v>
      </c>
      <c r="C69" s="151" t="s">
        <v>679</v>
      </c>
      <c r="D69" s="377"/>
      <c r="E69" s="373"/>
      <c r="F69" s="444" t="s">
        <v>6</v>
      </c>
      <c r="G69" s="377"/>
      <c r="H69" s="373"/>
      <c r="I69" s="444" t="s">
        <v>6</v>
      </c>
      <c r="J69" s="377"/>
      <c r="K69" s="373"/>
      <c r="L69" s="444" t="s">
        <v>6</v>
      </c>
      <c r="M69" s="377"/>
      <c r="N69" s="373"/>
      <c r="O69" s="444"/>
      <c r="P69" s="377"/>
      <c r="Q69" s="373"/>
      <c r="R69" s="444" t="s">
        <v>6</v>
      </c>
      <c r="S69" s="377"/>
      <c r="T69" s="373"/>
      <c r="U69" s="444" t="s">
        <v>6</v>
      </c>
      <c r="V69" s="377"/>
      <c r="W69" s="373"/>
      <c r="X69" s="444" t="s">
        <v>6</v>
      </c>
      <c r="Y69" s="377"/>
      <c r="Z69" s="373"/>
      <c r="AA69" s="444"/>
      <c r="AB69" s="377"/>
      <c r="AC69" s="373"/>
      <c r="AD69" s="444" t="s">
        <v>6</v>
      </c>
      <c r="AE69" s="377"/>
      <c r="AF69" s="373"/>
      <c r="AG69" s="444" t="s">
        <v>6</v>
      </c>
      <c r="AH69" s="377"/>
      <c r="AI69" s="373"/>
      <c r="AJ69" s="444" t="s">
        <v>6</v>
      </c>
      <c r="AK69" s="377"/>
      <c r="AL69" s="373"/>
      <c r="AM69" s="444"/>
      <c r="AN69" s="377">
        <v>5</v>
      </c>
      <c r="AO69" s="373"/>
      <c r="AP69" s="444">
        <v>100</v>
      </c>
      <c r="AQ69" s="377">
        <v>3</v>
      </c>
      <c r="AR69" s="373"/>
      <c r="AS69" s="444">
        <v>100</v>
      </c>
      <c r="AT69" s="377">
        <v>1</v>
      </c>
      <c r="AU69" s="373"/>
      <c r="AV69" s="444">
        <v>100</v>
      </c>
      <c r="AW69" s="377"/>
      <c r="AX69" s="373"/>
      <c r="AY69" s="444"/>
      <c r="AZ69" s="377">
        <v>4</v>
      </c>
      <c r="BA69" s="373"/>
      <c r="BB69" s="444">
        <v>100</v>
      </c>
      <c r="BC69" s="377">
        <v>2</v>
      </c>
      <c r="BD69" s="373"/>
      <c r="BE69" s="444">
        <v>100</v>
      </c>
      <c r="BF69" s="377"/>
      <c r="BG69" s="373"/>
      <c r="BH69" s="444" t="s">
        <v>6</v>
      </c>
      <c r="BI69" s="377"/>
      <c r="BJ69" s="373"/>
      <c r="BK69" s="444"/>
      <c r="BL69" s="377"/>
      <c r="BM69" s="373"/>
      <c r="BN69" s="444" t="s">
        <v>6</v>
      </c>
      <c r="BO69" s="377"/>
      <c r="BP69" s="373"/>
      <c r="BQ69" s="444" t="s">
        <v>6</v>
      </c>
      <c r="BR69" s="377"/>
      <c r="BS69" s="373"/>
      <c r="BT69" s="444" t="s">
        <v>6</v>
      </c>
      <c r="BU69" s="377"/>
      <c r="BV69" s="373"/>
      <c r="BW69" s="444"/>
      <c r="BX69" s="377"/>
      <c r="BY69" s="373"/>
      <c r="BZ69" s="444" t="s">
        <v>6</v>
      </c>
      <c r="CA69" s="377"/>
      <c r="CB69" s="373"/>
      <c r="CC69" s="444" t="s">
        <v>6</v>
      </c>
      <c r="CD69" s="377"/>
      <c r="CE69" s="373"/>
      <c r="CF69" s="444" t="s">
        <v>6</v>
      </c>
      <c r="CG69" s="377"/>
      <c r="CH69" s="373"/>
      <c r="CI69" s="444"/>
      <c r="CJ69" s="377"/>
      <c r="CK69" s="373"/>
      <c r="CL69" s="444" t="s">
        <v>6</v>
      </c>
      <c r="CM69" s="377"/>
      <c r="CN69" s="373"/>
      <c r="CO69" s="444" t="s">
        <v>6</v>
      </c>
      <c r="CP69" s="377"/>
      <c r="CQ69" s="373"/>
      <c r="CR69" s="444" t="s">
        <v>6</v>
      </c>
      <c r="CS69" s="377"/>
      <c r="CT69" s="373"/>
      <c r="CU69" s="444"/>
      <c r="CV69" s="377">
        <v>12</v>
      </c>
      <c r="CW69" s="373">
        <v>1</v>
      </c>
      <c r="CX69" s="444">
        <v>92.3</v>
      </c>
      <c r="CY69" s="377">
        <v>10</v>
      </c>
      <c r="CZ69" s="373">
        <v>1</v>
      </c>
      <c r="DA69" s="444">
        <v>90.9</v>
      </c>
      <c r="DB69" s="377">
        <v>7</v>
      </c>
      <c r="DC69" s="373"/>
      <c r="DD69" s="444">
        <v>100</v>
      </c>
      <c r="DE69" s="377"/>
      <c r="DF69" s="373"/>
      <c r="DG69" s="444"/>
      <c r="DH69" s="377"/>
      <c r="DI69" s="373"/>
      <c r="DJ69" s="444" t="s">
        <v>6</v>
      </c>
      <c r="DK69" s="377"/>
      <c r="DL69" s="373"/>
      <c r="DM69" s="444" t="s">
        <v>6</v>
      </c>
      <c r="DN69" s="377"/>
      <c r="DO69" s="373"/>
      <c r="DP69" s="444" t="s">
        <v>6</v>
      </c>
      <c r="DQ69" s="377"/>
      <c r="DR69" s="373"/>
      <c r="DS69" s="444"/>
      <c r="DT69" s="377"/>
      <c r="DU69" s="373"/>
      <c r="DV69" s="444" t="s">
        <v>6</v>
      </c>
      <c r="DW69" s="377"/>
      <c r="DX69" s="373"/>
      <c r="DY69" s="444" t="s">
        <v>6</v>
      </c>
      <c r="DZ69" s="377"/>
      <c r="EA69" s="373"/>
      <c r="EB69" s="444" t="s">
        <v>6</v>
      </c>
      <c r="EC69" s="377"/>
      <c r="ED69" s="373"/>
      <c r="EE69" s="444"/>
      <c r="EF69" s="377">
        <v>84</v>
      </c>
      <c r="EG69" s="373">
        <v>90</v>
      </c>
      <c r="EH69" s="444">
        <v>48.3</v>
      </c>
      <c r="EI69" s="377">
        <v>53</v>
      </c>
      <c r="EJ69" s="373">
        <v>77</v>
      </c>
      <c r="EK69" s="444">
        <v>40.799999999999997</v>
      </c>
      <c r="EL69" s="377">
        <v>54</v>
      </c>
      <c r="EM69" s="373">
        <v>71</v>
      </c>
      <c r="EN69" s="444">
        <v>43.2</v>
      </c>
      <c r="EO69" s="377"/>
      <c r="EP69" s="373"/>
      <c r="EQ69" s="444"/>
      <c r="ER69" s="377"/>
      <c r="ES69" s="373"/>
      <c r="ET69" s="444" t="s">
        <v>6</v>
      </c>
      <c r="EU69" s="377"/>
      <c r="EV69" s="373">
        <v>1</v>
      </c>
      <c r="EW69" s="444">
        <v>0</v>
      </c>
      <c r="EX69" s="377"/>
      <c r="EY69" s="373"/>
      <c r="EZ69" s="444" t="s">
        <v>6</v>
      </c>
      <c r="FA69" s="377"/>
      <c r="FB69" s="373"/>
      <c r="FC69" s="444"/>
      <c r="FD69" s="377">
        <v>3</v>
      </c>
      <c r="FE69" s="373">
        <v>1</v>
      </c>
      <c r="FF69" s="444">
        <v>75</v>
      </c>
      <c r="FG69" s="377"/>
      <c r="FH69" s="373"/>
      <c r="FI69" s="444" t="s">
        <v>6</v>
      </c>
      <c r="FJ69" s="377">
        <v>2</v>
      </c>
      <c r="FK69" s="373">
        <v>2</v>
      </c>
      <c r="FL69" s="444">
        <v>50</v>
      </c>
      <c r="FM69" s="377"/>
      <c r="FN69" s="373"/>
      <c r="FO69" s="444"/>
      <c r="FP69" s="377">
        <v>10</v>
      </c>
      <c r="FQ69" s="373">
        <v>12</v>
      </c>
      <c r="FR69" s="444">
        <v>45.5</v>
      </c>
      <c r="FS69" s="377">
        <v>11</v>
      </c>
      <c r="FT69" s="373">
        <v>12</v>
      </c>
      <c r="FU69" s="444">
        <v>47.8</v>
      </c>
      <c r="FV69" s="377">
        <v>23</v>
      </c>
      <c r="FW69" s="373">
        <v>12</v>
      </c>
      <c r="FX69" s="444">
        <v>65.7</v>
      </c>
      <c r="FY69" s="377"/>
      <c r="FZ69" s="373"/>
      <c r="GA69" s="444"/>
      <c r="GB69" s="377"/>
      <c r="GC69" s="373">
        <v>1</v>
      </c>
      <c r="GD69" s="444">
        <v>0</v>
      </c>
      <c r="GE69" s="377">
        <v>1</v>
      </c>
      <c r="GF69" s="373"/>
      <c r="GG69" s="444">
        <v>100</v>
      </c>
      <c r="GH69" s="377"/>
      <c r="GI69" s="373"/>
      <c r="GJ69" s="444" t="s">
        <v>6</v>
      </c>
      <c r="GK69" s="377"/>
      <c r="GL69" s="373"/>
      <c r="GM69" s="444"/>
      <c r="GN69" s="377">
        <v>1</v>
      </c>
      <c r="GO69" s="373"/>
      <c r="GP69" s="444">
        <v>100</v>
      </c>
      <c r="GQ69" s="377">
        <v>1</v>
      </c>
      <c r="GR69" s="373"/>
      <c r="GS69" s="444">
        <v>100</v>
      </c>
      <c r="GT69" s="377">
        <v>1</v>
      </c>
      <c r="GU69" s="373"/>
      <c r="GV69" s="444">
        <v>100</v>
      </c>
      <c r="GW69" s="377"/>
      <c r="GX69" s="373"/>
      <c r="GY69" s="444"/>
      <c r="GZ69" s="377"/>
      <c r="HA69" s="373"/>
      <c r="HB69" s="444" t="s">
        <v>6</v>
      </c>
      <c r="HC69" s="377"/>
      <c r="HD69" s="373"/>
      <c r="HE69" s="444" t="s">
        <v>6</v>
      </c>
      <c r="HF69" s="377"/>
      <c r="HG69" s="373"/>
      <c r="HH69" s="444" t="s">
        <v>6</v>
      </c>
      <c r="HI69" s="377"/>
      <c r="HJ69" s="373"/>
      <c r="HK69" s="444"/>
      <c r="HL69" s="377"/>
      <c r="HM69" s="373">
        <v>7</v>
      </c>
      <c r="HN69" s="444">
        <v>0</v>
      </c>
      <c r="HO69" s="377"/>
      <c r="HP69" s="373">
        <v>4</v>
      </c>
      <c r="HQ69" s="444">
        <v>0</v>
      </c>
      <c r="HR69" s="377">
        <v>2</v>
      </c>
      <c r="HS69" s="373">
        <v>2</v>
      </c>
      <c r="HT69" s="444">
        <v>50</v>
      </c>
      <c r="HU69" s="377"/>
      <c r="HV69" s="373"/>
      <c r="HW69" s="444"/>
      <c r="HX69" s="377">
        <v>1</v>
      </c>
      <c r="HY69" s="373"/>
      <c r="HZ69" s="444">
        <v>100</v>
      </c>
      <c r="IA69" s="377"/>
      <c r="IB69" s="373"/>
      <c r="IC69" s="444" t="s">
        <v>6</v>
      </c>
      <c r="ID69" s="377"/>
      <c r="IE69" s="373"/>
      <c r="IF69" s="444" t="s">
        <v>6</v>
      </c>
      <c r="IG69" s="377"/>
      <c r="IH69" s="373"/>
      <c r="II69" s="444"/>
      <c r="IJ69" s="377">
        <v>7</v>
      </c>
      <c r="IK69" s="373"/>
      <c r="IL69" s="444">
        <v>100</v>
      </c>
      <c r="IM69" s="377">
        <v>1</v>
      </c>
      <c r="IN69" s="373"/>
      <c r="IO69" s="444">
        <v>100</v>
      </c>
      <c r="IP69" s="377"/>
      <c r="IQ69" s="373"/>
      <c r="IR69" s="444" t="s">
        <v>6</v>
      </c>
      <c r="IS69" s="377"/>
      <c r="IT69" s="373"/>
      <c r="IU69" s="444"/>
      <c r="IV69" s="377">
        <v>110</v>
      </c>
      <c r="IW69" s="373">
        <v>99</v>
      </c>
      <c r="IX69" s="444">
        <v>52.6</v>
      </c>
      <c r="IY69" s="377">
        <v>69</v>
      </c>
      <c r="IZ69" s="373">
        <v>82</v>
      </c>
      <c r="JA69" s="444">
        <v>45.7</v>
      </c>
      <c r="JB69" s="377">
        <v>65</v>
      </c>
      <c r="JC69" s="373">
        <v>73</v>
      </c>
      <c r="JD69" s="444">
        <v>47.1</v>
      </c>
      <c r="JE69" s="377"/>
      <c r="JF69" s="373"/>
      <c r="JG69" s="444"/>
      <c r="JH69" s="377">
        <v>43</v>
      </c>
      <c r="JI69" s="373">
        <v>11</v>
      </c>
      <c r="JJ69" s="444">
        <v>79.599999999999994</v>
      </c>
      <c r="JK69" s="377">
        <v>19</v>
      </c>
      <c r="JL69" s="373">
        <v>13</v>
      </c>
      <c r="JM69" s="444">
        <v>59.4</v>
      </c>
      <c r="JN69" s="377">
        <v>18</v>
      </c>
      <c r="JO69" s="373">
        <v>10</v>
      </c>
      <c r="JP69" s="444">
        <v>64.3</v>
      </c>
      <c r="JQ69" s="377"/>
      <c r="JR69" s="373"/>
      <c r="JS69" s="444"/>
      <c r="JT69" s="377"/>
      <c r="JU69" s="373"/>
      <c r="JV69" s="444" t="s">
        <v>6</v>
      </c>
      <c r="JW69" s="377">
        <v>2</v>
      </c>
      <c r="JX69" s="373"/>
      <c r="JY69" s="444">
        <v>100</v>
      </c>
      <c r="JZ69" s="377"/>
      <c r="KA69" s="373"/>
      <c r="KB69" s="444" t="s">
        <v>6</v>
      </c>
      <c r="KC69" s="377"/>
      <c r="KD69" s="373"/>
      <c r="KE69" s="444"/>
      <c r="KF69" s="377"/>
      <c r="KG69" s="373"/>
      <c r="KH69" s="444" t="s">
        <v>6</v>
      </c>
      <c r="KI69" s="377">
        <v>1</v>
      </c>
      <c r="KJ69" s="373"/>
      <c r="KK69" s="444">
        <v>100</v>
      </c>
      <c r="KL69" s="377">
        <v>1</v>
      </c>
      <c r="KM69" s="373">
        <v>1</v>
      </c>
      <c r="KN69" s="444">
        <v>50</v>
      </c>
      <c r="KO69" s="377"/>
      <c r="KP69" s="373"/>
      <c r="KQ69" s="444"/>
      <c r="KR69" s="377">
        <v>46</v>
      </c>
      <c r="KS69" s="373">
        <v>12</v>
      </c>
      <c r="KT69" s="444">
        <v>79.3</v>
      </c>
      <c r="KU69" s="377">
        <v>27</v>
      </c>
      <c r="KV69" s="373">
        <v>14</v>
      </c>
      <c r="KW69" s="444">
        <v>65.900000000000006</v>
      </c>
      <c r="KX69" s="377">
        <v>22</v>
      </c>
      <c r="KY69" s="373">
        <v>14</v>
      </c>
      <c r="KZ69" s="444">
        <v>61.1</v>
      </c>
      <c r="LA69" s="377"/>
      <c r="LB69" s="373"/>
      <c r="LC69" s="444"/>
      <c r="LD69" s="377">
        <v>138</v>
      </c>
      <c r="LE69" s="373">
        <v>113</v>
      </c>
      <c r="LF69" s="444">
        <v>55</v>
      </c>
      <c r="LG69" s="377">
        <v>108</v>
      </c>
      <c r="LH69" s="373">
        <v>95</v>
      </c>
      <c r="LI69" s="444">
        <v>53.2</v>
      </c>
      <c r="LJ69" s="377">
        <v>78</v>
      </c>
      <c r="LK69" s="373">
        <v>87</v>
      </c>
      <c r="LL69" s="444">
        <v>47.3</v>
      </c>
      <c r="LM69" s="377"/>
      <c r="LN69" s="373"/>
      <c r="LO69" s="444"/>
    </row>
    <row r="70" spans="1:327" x14ac:dyDescent="0.2">
      <c r="A70" s="1001"/>
      <c r="B70" s="747"/>
      <c r="C70" s="151" t="s">
        <v>680</v>
      </c>
      <c r="D70" s="377"/>
      <c r="E70" s="373"/>
      <c r="F70" s="444" t="s">
        <v>6</v>
      </c>
      <c r="G70" s="377"/>
      <c r="H70" s="373"/>
      <c r="I70" s="444" t="s">
        <v>6</v>
      </c>
      <c r="J70" s="377"/>
      <c r="K70" s="373"/>
      <c r="L70" s="444" t="s">
        <v>6</v>
      </c>
      <c r="M70" s="377"/>
      <c r="N70" s="373"/>
      <c r="O70" s="444"/>
      <c r="P70" s="377"/>
      <c r="Q70" s="373"/>
      <c r="R70" s="444" t="s">
        <v>6</v>
      </c>
      <c r="S70" s="377"/>
      <c r="T70" s="373"/>
      <c r="U70" s="444" t="s">
        <v>6</v>
      </c>
      <c r="V70" s="377"/>
      <c r="W70" s="373"/>
      <c r="X70" s="444" t="s">
        <v>6</v>
      </c>
      <c r="Y70" s="377"/>
      <c r="Z70" s="373"/>
      <c r="AA70" s="444"/>
      <c r="AB70" s="377"/>
      <c r="AC70" s="373"/>
      <c r="AD70" s="444" t="s">
        <v>6</v>
      </c>
      <c r="AE70" s="377"/>
      <c r="AF70" s="373"/>
      <c r="AG70" s="444" t="s">
        <v>6</v>
      </c>
      <c r="AH70" s="377"/>
      <c r="AI70" s="373"/>
      <c r="AJ70" s="444" t="s">
        <v>6</v>
      </c>
      <c r="AK70" s="377"/>
      <c r="AL70" s="373"/>
      <c r="AM70" s="444"/>
      <c r="AN70" s="377">
        <v>9</v>
      </c>
      <c r="AO70" s="373">
        <v>1</v>
      </c>
      <c r="AP70" s="444">
        <v>90</v>
      </c>
      <c r="AQ70" s="377">
        <v>15</v>
      </c>
      <c r="AR70" s="373">
        <v>2</v>
      </c>
      <c r="AS70" s="444">
        <v>88.2</v>
      </c>
      <c r="AT70" s="377">
        <v>13</v>
      </c>
      <c r="AU70" s="373"/>
      <c r="AV70" s="444">
        <v>100</v>
      </c>
      <c r="AW70" s="377"/>
      <c r="AX70" s="373"/>
      <c r="AY70" s="444"/>
      <c r="AZ70" s="377">
        <v>1</v>
      </c>
      <c r="BA70" s="373"/>
      <c r="BB70" s="444">
        <v>100</v>
      </c>
      <c r="BC70" s="377">
        <v>4</v>
      </c>
      <c r="BD70" s="373">
        <v>2</v>
      </c>
      <c r="BE70" s="444">
        <v>66.7</v>
      </c>
      <c r="BF70" s="377">
        <v>8</v>
      </c>
      <c r="BG70" s="373"/>
      <c r="BH70" s="444">
        <v>100</v>
      </c>
      <c r="BI70" s="377"/>
      <c r="BJ70" s="373"/>
      <c r="BK70" s="444"/>
      <c r="BL70" s="377"/>
      <c r="BM70" s="373"/>
      <c r="BN70" s="444" t="s">
        <v>6</v>
      </c>
      <c r="BO70" s="377"/>
      <c r="BP70" s="373"/>
      <c r="BQ70" s="444" t="s">
        <v>6</v>
      </c>
      <c r="BR70" s="377"/>
      <c r="BS70" s="373"/>
      <c r="BT70" s="444" t="s">
        <v>6</v>
      </c>
      <c r="BU70" s="377"/>
      <c r="BV70" s="373"/>
      <c r="BW70" s="444"/>
      <c r="BX70" s="377"/>
      <c r="BY70" s="373"/>
      <c r="BZ70" s="444" t="s">
        <v>6</v>
      </c>
      <c r="CA70" s="377"/>
      <c r="CB70" s="373"/>
      <c r="CC70" s="444" t="s">
        <v>6</v>
      </c>
      <c r="CD70" s="377"/>
      <c r="CE70" s="373"/>
      <c r="CF70" s="444" t="s">
        <v>6</v>
      </c>
      <c r="CG70" s="377"/>
      <c r="CH70" s="373"/>
      <c r="CI70" s="444"/>
      <c r="CJ70" s="377"/>
      <c r="CK70" s="373"/>
      <c r="CL70" s="444" t="s">
        <v>6</v>
      </c>
      <c r="CM70" s="377"/>
      <c r="CN70" s="373"/>
      <c r="CO70" s="444" t="s">
        <v>6</v>
      </c>
      <c r="CP70" s="377"/>
      <c r="CQ70" s="373"/>
      <c r="CR70" s="444" t="s">
        <v>6</v>
      </c>
      <c r="CS70" s="377"/>
      <c r="CT70" s="373"/>
      <c r="CU70" s="444"/>
      <c r="CV70" s="377">
        <v>26</v>
      </c>
      <c r="CW70" s="373">
        <v>1</v>
      </c>
      <c r="CX70" s="444">
        <v>96.3</v>
      </c>
      <c r="CY70" s="377">
        <v>17</v>
      </c>
      <c r="CZ70" s="373">
        <v>1</v>
      </c>
      <c r="DA70" s="444">
        <v>94.4</v>
      </c>
      <c r="DB70" s="377">
        <v>19</v>
      </c>
      <c r="DC70" s="373">
        <v>2</v>
      </c>
      <c r="DD70" s="444">
        <v>90.5</v>
      </c>
      <c r="DE70" s="377"/>
      <c r="DF70" s="373"/>
      <c r="DG70" s="444"/>
      <c r="DH70" s="377"/>
      <c r="DI70" s="373"/>
      <c r="DJ70" s="444" t="s">
        <v>6</v>
      </c>
      <c r="DK70" s="377"/>
      <c r="DL70" s="373"/>
      <c r="DM70" s="444" t="s">
        <v>6</v>
      </c>
      <c r="DN70" s="377"/>
      <c r="DO70" s="373"/>
      <c r="DP70" s="444" t="s">
        <v>6</v>
      </c>
      <c r="DQ70" s="377"/>
      <c r="DR70" s="373"/>
      <c r="DS70" s="444"/>
      <c r="DT70" s="377">
        <v>1</v>
      </c>
      <c r="DU70" s="373"/>
      <c r="DV70" s="444">
        <v>100</v>
      </c>
      <c r="DW70" s="377">
        <v>2</v>
      </c>
      <c r="DX70" s="373"/>
      <c r="DY70" s="444">
        <v>100</v>
      </c>
      <c r="DZ70" s="377">
        <v>2</v>
      </c>
      <c r="EA70" s="373"/>
      <c r="EB70" s="444">
        <v>100</v>
      </c>
      <c r="EC70" s="377"/>
      <c r="ED70" s="373"/>
      <c r="EE70" s="444"/>
      <c r="EF70" s="377">
        <v>127</v>
      </c>
      <c r="EG70" s="373">
        <v>225</v>
      </c>
      <c r="EH70" s="444">
        <v>36.1</v>
      </c>
      <c r="EI70" s="377">
        <v>117</v>
      </c>
      <c r="EJ70" s="373">
        <v>190</v>
      </c>
      <c r="EK70" s="444">
        <v>38.1</v>
      </c>
      <c r="EL70" s="377">
        <v>108</v>
      </c>
      <c r="EM70" s="373">
        <v>170</v>
      </c>
      <c r="EN70" s="444">
        <v>38.799999999999997</v>
      </c>
      <c r="EO70" s="377"/>
      <c r="EP70" s="373"/>
      <c r="EQ70" s="444"/>
      <c r="ER70" s="377">
        <v>2</v>
      </c>
      <c r="ES70" s="373"/>
      <c r="ET70" s="444">
        <v>100</v>
      </c>
      <c r="EU70" s="377">
        <v>1</v>
      </c>
      <c r="EV70" s="373"/>
      <c r="EW70" s="444">
        <v>100</v>
      </c>
      <c r="EX70" s="377">
        <v>1</v>
      </c>
      <c r="EY70" s="373"/>
      <c r="EZ70" s="444">
        <v>100</v>
      </c>
      <c r="FA70" s="377"/>
      <c r="FB70" s="373"/>
      <c r="FC70" s="444"/>
      <c r="FD70" s="377">
        <v>1</v>
      </c>
      <c r="FE70" s="373">
        <v>2</v>
      </c>
      <c r="FF70" s="444">
        <v>33.299999999999997</v>
      </c>
      <c r="FG70" s="377">
        <v>1</v>
      </c>
      <c r="FH70" s="373">
        <v>1</v>
      </c>
      <c r="FI70" s="444">
        <v>50</v>
      </c>
      <c r="FJ70" s="377">
        <v>1</v>
      </c>
      <c r="FK70" s="373"/>
      <c r="FL70" s="444">
        <v>100</v>
      </c>
      <c r="FM70" s="377"/>
      <c r="FN70" s="373"/>
      <c r="FO70" s="444"/>
      <c r="FP70" s="377">
        <v>28</v>
      </c>
      <c r="FQ70" s="373">
        <v>35</v>
      </c>
      <c r="FR70" s="444">
        <v>44.4</v>
      </c>
      <c r="FS70" s="377">
        <v>16</v>
      </c>
      <c r="FT70" s="373">
        <v>30</v>
      </c>
      <c r="FU70" s="444">
        <v>34.799999999999997</v>
      </c>
      <c r="FV70" s="377">
        <v>12</v>
      </c>
      <c r="FW70" s="373">
        <v>13</v>
      </c>
      <c r="FX70" s="444">
        <v>48</v>
      </c>
      <c r="FY70" s="377"/>
      <c r="FZ70" s="373"/>
      <c r="GA70" s="444"/>
      <c r="GB70" s="377">
        <v>4</v>
      </c>
      <c r="GC70" s="373"/>
      <c r="GD70" s="444">
        <v>100</v>
      </c>
      <c r="GE70" s="377"/>
      <c r="GF70" s="373"/>
      <c r="GG70" s="444" t="s">
        <v>6</v>
      </c>
      <c r="GH70" s="377">
        <v>1</v>
      </c>
      <c r="GI70" s="373"/>
      <c r="GJ70" s="444">
        <v>100</v>
      </c>
      <c r="GK70" s="377"/>
      <c r="GL70" s="373"/>
      <c r="GM70" s="444"/>
      <c r="GN70" s="377">
        <v>1</v>
      </c>
      <c r="GO70" s="373"/>
      <c r="GP70" s="444">
        <v>100</v>
      </c>
      <c r="GQ70" s="377"/>
      <c r="GR70" s="373"/>
      <c r="GS70" s="444" t="s">
        <v>6</v>
      </c>
      <c r="GT70" s="377">
        <v>1</v>
      </c>
      <c r="GU70" s="373"/>
      <c r="GV70" s="444">
        <v>100</v>
      </c>
      <c r="GW70" s="377"/>
      <c r="GX70" s="373"/>
      <c r="GY70" s="444"/>
      <c r="GZ70" s="377"/>
      <c r="HA70" s="373"/>
      <c r="HB70" s="444" t="s">
        <v>6</v>
      </c>
      <c r="HC70" s="377"/>
      <c r="HD70" s="373"/>
      <c r="HE70" s="444" t="s">
        <v>6</v>
      </c>
      <c r="HF70" s="377">
        <v>1</v>
      </c>
      <c r="HG70" s="373"/>
      <c r="HH70" s="444">
        <v>100</v>
      </c>
      <c r="HI70" s="377"/>
      <c r="HJ70" s="373"/>
      <c r="HK70" s="444"/>
      <c r="HL70" s="377">
        <v>7</v>
      </c>
      <c r="HM70" s="373">
        <v>15</v>
      </c>
      <c r="HN70" s="444">
        <v>31.8</v>
      </c>
      <c r="HO70" s="377">
        <v>4</v>
      </c>
      <c r="HP70" s="373">
        <v>11</v>
      </c>
      <c r="HQ70" s="444">
        <v>26.7</v>
      </c>
      <c r="HR70" s="377">
        <v>3</v>
      </c>
      <c r="HS70" s="373">
        <v>11</v>
      </c>
      <c r="HT70" s="444">
        <v>21.4</v>
      </c>
      <c r="HU70" s="377"/>
      <c r="HV70" s="373"/>
      <c r="HW70" s="444"/>
      <c r="HX70" s="377">
        <v>4</v>
      </c>
      <c r="HY70" s="373"/>
      <c r="HZ70" s="444">
        <v>100</v>
      </c>
      <c r="IA70" s="377">
        <v>2</v>
      </c>
      <c r="IB70" s="373"/>
      <c r="IC70" s="444">
        <v>100</v>
      </c>
      <c r="ID70" s="377">
        <v>1</v>
      </c>
      <c r="IE70" s="373"/>
      <c r="IF70" s="444">
        <v>100</v>
      </c>
      <c r="IG70" s="377"/>
      <c r="IH70" s="373"/>
      <c r="II70" s="444"/>
      <c r="IJ70" s="377"/>
      <c r="IK70" s="373"/>
      <c r="IL70" s="444" t="s">
        <v>6</v>
      </c>
      <c r="IM70" s="377">
        <v>1</v>
      </c>
      <c r="IN70" s="373"/>
      <c r="IO70" s="444">
        <v>100</v>
      </c>
      <c r="IP70" s="377">
        <v>5</v>
      </c>
      <c r="IQ70" s="373">
        <v>1</v>
      </c>
      <c r="IR70" s="444">
        <v>83.3</v>
      </c>
      <c r="IS70" s="377"/>
      <c r="IT70" s="373"/>
      <c r="IU70" s="444"/>
      <c r="IV70" s="377">
        <v>179</v>
      </c>
      <c r="IW70" s="373">
        <v>242</v>
      </c>
      <c r="IX70" s="444">
        <v>42.5</v>
      </c>
      <c r="IY70" s="377">
        <v>158</v>
      </c>
      <c r="IZ70" s="373">
        <v>204</v>
      </c>
      <c r="JA70" s="444">
        <v>43.6</v>
      </c>
      <c r="JB70" s="377">
        <v>154</v>
      </c>
      <c r="JC70" s="373">
        <v>184</v>
      </c>
      <c r="JD70" s="444">
        <v>45.6</v>
      </c>
      <c r="JE70" s="377"/>
      <c r="JF70" s="373"/>
      <c r="JG70" s="444"/>
      <c r="JH70" s="377">
        <v>48</v>
      </c>
      <c r="JI70" s="373">
        <v>59</v>
      </c>
      <c r="JJ70" s="444">
        <v>44.9</v>
      </c>
      <c r="JK70" s="377">
        <v>30</v>
      </c>
      <c r="JL70" s="373">
        <v>43</v>
      </c>
      <c r="JM70" s="444">
        <v>41.1</v>
      </c>
      <c r="JN70" s="377">
        <v>69</v>
      </c>
      <c r="JO70" s="373">
        <v>32</v>
      </c>
      <c r="JP70" s="444">
        <v>68.3</v>
      </c>
      <c r="JQ70" s="377"/>
      <c r="JR70" s="373"/>
      <c r="JS70" s="444"/>
      <c r="JT70" s="377">
        <v>2</v>
      </c>
      <c r="JU70" s="373">
        <v>1</v>
      </c>
      <c r="JV70" s="444">
        <v>66.7</v>
      </c>
      <c r="JW70" s="377"/>
      <c r="JX70" s="373">
        <v>1</v>
      </c>
      <c r="JY70" s="444">
        <v>0</v>
      </c>
      <c r="JZ70" s="377"/>
      <c r="KA70" s="373"/>
      <c r="KB70" s="444" t="s">
        <v>6</v>
      </c>
      <c r="KC70" s="377"/>
      <c r="KD70" s="373"/>
      <c r="KE70" s="444"/>
      <c r="KF70" s="377"/>
      <c r="KG70" s="373">
        <v>1</v>
      </c>
      <c r="KH70" s="444">
        <v>0</v>
      </c>
      <c r="KI70" s="377"/>
      <c r="KJ70" s="373"/>
      <c r="KK70" s="444" t="s">
        <v>6</v>
      </c>
      <c r="KL70" s="377">
        <v>1</v>
      </c>
      <c r="KM70" s="373"/>
      <c r="KN70" s="444">
        <v>100</v>
      </c>
      <c r="KO70" s="377"/>
      <c r="KP70" s="373"/>
      <c r="KQ70" s="444"/>
      <c r="KR70" s="377">
        <v>52</v>
      </c>
      <c r="KS70" s="373">
        <v>66</v>
      </c>
      <c r="KT70" s="444">
        <v>44.1</v>
      </c>
      <c r="KU70" s="377">
        <v>33</v>
      </c>
      <c r="KV70" s="373">
        <v>47</v>
      </c>
      <c r="KW70" s="444">
        <v>41.3</v>
      </c>
      <c r="KX70" s="377">
        <v>76</v>
      </c>
      <c r="KY70" s="373">
        <v>35</v>
      </c>
      <c r="KZ70" s="444">
        <v>68.5</v>
      </c>
      <c r="LA70" s="377"/>
      <c r="LB70" s="373"/>
      <c r="LC70" s="444"/>
      <c r="LD70" s="377">
        <v>237</v>
      </c>
      <c r="LE70" s="373">
        <v>279</v>
      </c>
      <c r="LF70" s="444">
        <v>45.9</v>
      </c>
      <c r="LG70" s="377">
        <v>222</v>
      </c>
      <c r="LH70" s="373">
        <v>246</v>
      </c>
      <c r="LI70" s="444">
        <v>47.4</v>
      </c>
      <c r="LJ70" s="377">
        <v>207</v>
      </c>
      <c r="LK70" s="373">
        <v>220</v>
      </c>
      <c r="LL70" s="444">
        <v>48.5</v>
      </c>
      <c r="LM70" s="377"/>
      <c r="LN70" s="373"/>
      <c r="LO70" s="444"/>
    </row>
    <row r="71" spans="1:327" x14ac:dyDescent="0.2">
      <c r="A71" s="1001"/>
      <c r="B71" s="747" t="s">
        <v>621</v>
      </c>
      <c r="C71" s="151" t="s">
        <v>681</v>
      </c>
      <c r="D71" s="377"/>
      <c r="E71" s="373"/>
      <c r="F71" s="444" t="s">
        <v>6</v>
      </c>
      <c r="G71" s="377"/>
      <c r="H71" s="373"/>
      <c r="I71" s="444" t="s">
        <v>6</v>
      </c>
      <c r="J71" s="377"/>
      <c r="K71" s="373"/>
      <c r="L71" s="444" t="s">
        <v>6</v>
      </c>
      <c r="M71" s="377"/>
      <c r="N71" s="373"/>
      <c r="O71" s="444"/>
      <c r="P71" s="377"/>
      <c r="Q71" s="373"/>
      <c r="R71" s="444" t="s">
        <v>6</v>
      </c>
      <c r="S71" s="377"/>
      <c r="T71" s="373"/>
      <c r="U71" s="444" t="s">
        <v>6</v>
      </c>
      <c r="V71" s="377"/>
      <c r="W71" s="373"/>
      <c r="X71" s="444" t="s">
        <v>6</v>
      </c>
      <c r="Y71" s="377"/>
      <c r="Z71" s="373"/>
      <c r="AA71" s="444"/>
      <c r="AB71" s="377"/>
      <c r="AC71" s="373"/>
      <c r="AD71" s="444" t="s">
        <v>6</v>
      </c>
      <c r="AE71" s="377"/>
      <c r="AF71" s="373"/>
      <c r="AG71" s="444" t="s">
        <v>6</v>
      </c>
      <c r="AH71" s="377"/>
      <c r="AI71" s="373"/>
      <c r="AJ71" s="444" t="s">
        <v>6</v>
      </c>
      <c r="AK71" s="377"/>
      <c r="AL71" s="373"/>
      <c r="AM71" s="444"/>
      <c r="AN71" s="377">
        <v>8</v>
      </c>
      <c r="AO71" s="373">
        <v>1</v>
      </c>
      <c r="AP71" s="444">
        <v>88.9</v>
      </c>
      <c r="AQ71" s="377">
        <v>11</v>
      </c>
      <c r="AR71" s="373"/>
      <c r="AS71" s="444">
        <v>100</v>
      </c>
      <c r="AT71" s="377">
        <v>8</v>
      </c>
      <c r="AU71" s="373"/>
      <c r="AV71" s="444">
        <v>100</v>
      </c>
      <c r="AW71" s="377"/>
      <c r="AX71" s="373"/>
      <c r="AY71" s="444"/>
      <c r="AZ71" s="377">
        <v>5</v>
      </c>
      <c r="BA71" s="373">
        <v>1</v>
      </c>
      <c r="BB71" s="444">
        <v>83.3</v>
      </c>
      <c r="BC71" s="377">
        <v>7</v>
      </c>
      <c r="BD71" s="373"/>
      <c r="BE71" s="444">
        <v>100</v>
      </c>
      <c r="BF71" s="377">
        <v>3</v>
      </c>
      <c r="BG71" s="373"/>
      <c r="BH71" s="444">
        <v>100</v>
      </c>
      <c r="BI71" s="377"/>
      <c r="BJ71" s="373"/>
      <c r="BK71" s="444"/>
      <c r="BL71" s="377"/>
      <c r="BM71" s="373"/>
      <c r="BN71" s="444" t="s">
        <v>6</v>
      </c>
      <c r="BO71" s="377"/>
      <c r="BP71" s="373"/>
      <c r="BQ71" s="444" t="s">
        <v>6</v>
      </c>
      <c r="BR71" s="377"/>
      <c r="BS71" s="373"/>
      <c r="BT71" s="444" t="s">
        <v>6</v>
      </c>
      <c r="BU71" s="377"/>
      <c r="BV71" s="373"/>
      <c r="BW71" s="444"/>
      <c r="BX71" s="377"/>
      <c r="BY71" s="373"/>
      <c r="BZ71" s="444" t="s">
        <v>6</v>
      </c>
      <c r="CA71" s="377"/>
      <c r="CB71" s="373"/>
      <c r="CC71" s="444" t="s">
        <v>6</v>
      </c>
      <c r="CD71" s="377"/>
      <c r="CE71" s="373"/>
      <c r="CF71" s="444" t="s">
        <v>6</v>
      </c>
      <c r="CG71" s="377"/>
      <c r="CH71" s="373"/>
      <c r="CI71" s="444"/>
      <c r="CJ71" s="377"/>
      <c r="CK71" s="373"/>
      <c r="CL71" s="444" t="s">
        <v>6</v>
      </c>
      <c r="CM71" s="377"/>
      <c r="CN71" s="373"/>
      <c r="CO71" s="444" t="s">
        <v>6</v>
      </c>
      <c r="CP71" s="377"/>
      <c r="CQ71" s="373"/>
      <c r="CR71" s="444" t="s">
        <v>6</v>
      </c>
      <c r="CS71" s="377"/>
      <c r="CT71" s="373"/>
      <c r="CU71" s="444"/>
      <c r="CV71" s="377">
        <v>9</v>
      </c>
      <c r="CW71" s="373"/>
      <c r="CX71" s="444">
        <v>100</v>
      </c>
      <c r="CY71" s="377">
        <v>8</v>
      </c>
      <c r="CZ71" s="373">
        <v>1</v>
      </c>
      <c r="DA71" s="444">
        <v>88.9</v>
      </c>
      <c r="DB71" s="377">
        <v>8</v>
      </c>
      <c r="DC71" s="373">
        <v>1</v>
      </c>
      <c r="DD71" s="444">
        <v>88.9</v>
      </c>
      <c r="DE71" s="377"/>
      <c r="DF71" s="373"/>
      <c r="DG71" s="444"/>
      <c r="DH71" s="377"/>
      <c r="DI71" s="373"/>
      <c r="DJ71" s="444" t="s">
        <v>6</v>
      </c>
      <c r="DK71" s="377">
        <v>3</v>
      </c>
      <c r="DL71" s="373"/>
      <c r="DM71" s="444">
        <v>100</v>
      </c>
      <c r="DN71" s="377"/>
      <c r="DO71" s="373"/>
      <c r="DP71" s="444" t="s">
        <v>6</v>
      </c>
      <c r="DQ71" s="377"/>
      <c r="DR71" s="373"/>
      <c r="DS71" s="444"/>
      <c r="DT71" s="377">
        <v>1</v>
      </c>
      <c r="DU71" s="373"/>
      <c r="DV71" s="444">
        <v>100</v>
      </c>
      <c r="DW71" s="377"/>
      <c r="DX71" s="373"/>
      <c r="DY71" s="444" t="s">
        <v>6</v>
      </c>
      <c r="DZ71" s="377"/>
      <c r="EA71" s="373"/>
      <c r="EB71" s="444" t="s">
        <v>6</v>
      </c>
      <c r="EC71" s="377"/>
      <c r="ED71" s="373"/>
      <c r="EE71" s="444"/>
      <c r="EF71" s="377">
        <v>106</v>
      </c>
      <c r="EG71" s="373">
        <v>121</v>
      </c>
      <c r="EH71" s="444">
        <v>46.7</v>
      </c>
      <c r="EI71" s="377">
        <v>114</v>
      </c>
      <c r="EJ71" s="373">
        <v>160</v>
      </c>
      <c r="EK71" s="444">
        <v>41.6</v>
      </c>
      <c r="EL71" s="377">
        <v>92</v>
      </c>
      <c r="EM71" s="373">
        <v>176</v>
      </c>
      <c r="EN71" s="444">
        <v>34.299999999999997</v>
      </c>
      <c r="EO71" s="377"/>
      <c r="EP71" s="373"/>
      <c r="EQ71" s="444"/>
      <c r="ER71" s="377"/>
      <c r="ES71" s="373"/>
      <c r="ET71" s="444" t="s">
        <v>6</v>
      </c>
      <c r="EU71" s="377">
        <v>1</v>
      </c>
      <c r="EV71" s="373"/>
      <c r="EW71" s="444">
        <v>100</v>
      </c>
      <c r="EX71" s="377"/>
      <c r="EY71" s="373"/>
      <c r="EZ71" s="444" t="s">
        <v>6</v>
      </c>
      <c r="FA71" s="377"/>
      <c r="FB71" s="373"/>
      <c r="FC71" s="444"/>
      <c r="FD71" s="377">
        <v>1</v>
      </c>
      <c r="FE71" s="373">
        <v>2</v>
      </c>
      <c r="FF71" s="444">
        <v>33.299999999999997</v>
      </c>
      <c r="FG71" s="377">
        <v>2</v>
      </c>
      <c r="FH71" s="373">
        <v>4</v>
      </c>
      <c r="FI71" s="444">
        <v>33.299999999999997</v>
      </c>
      <c r="FJ71" s="377">
        <v>1</v>
      </c>
      <c r="FK71" s="373">
        <v>2</v>
      </c>
      <c r="FL71" s="444">
        <v>33.299999999999997</v>
      </c>
      <c r="FM71" s="377"/>
      <c r="FN71" s="373"/>
      <c r="FO71" s="444"/>
      <c r="FP71" s="377">
        <v>7</v>
      </c>
      <c r="FQ71" s="373">
        <v>19</v>
      </c>
      <c r="FR71" s="444">
        <v>26.9</v>
      </c>
      <c r="FS71" s="377">
        <v>28</v>
      </c>
      <c r="FT71" s="373">
        <v>39</v>
      </c>
      <c r="FU71" s="444">
        <v>41.8</v>
      </c>
      <c r="FV71" s="377">
        <v>14</v>
      </c>
      <c r="FW71" s="373">
        <v>36</v>
      </c>
      <c r="FX71" s="444">
        <v>28</v>
      </c>
      <c r="FY71" s="377"/>
      <c r="FZ71" s="373"/>
      <c r="GA71" s="444"/>
      <c r="GB71" s="377">
        <v>4</v>
      </c>
      <c r="GC71" s="373"/>
      <c r="GD71" s="444">
        <v>100</v>
      </c>
      <c r="GE71" s="377">
        <v>3</v>
      </c>
      <c r="GF71" s="373"/>
      <c r="GG71" s="444">
        <v>100</v>
      </c>
      <c r="GH71" s="377">
        <v>2</v>
      </c>
      <c r="GI71" s="373">
        <v>2</v>
      </c>
      <c r="GJ71" s="444">
        <v>50</v>
      </c>
      <c r="GK71" s="377"/>
      <c r="GL71" s="373"/>
      <c r="GM71" s="444"/>
      <c r="GN71" s="377">
        <v>2</v>
      </c>
      <c r="GO71" s="373"/>
      <c r="GP71" s="444">
        <v>100</v>
      </c>
      <c r="GQ71" s="377">
        <v>1</v>
      </c>
      <c r="GR71" s="373">
        <v>1</v>
      </c>
      <c r="GS71" s="444">
        <v>50</v>
      </c>
      <c r="GT71" s="377">
        <v>1</v>
      </c>
      <c r="GU71" s="373">
        <v>4</v>
      </c>
      <c r="GV71" s="444">
        <v>20</v>
      </c>
      <c r="GW71" s="377"/>
      <c r="GX71" s="373"/>
      <c r="GY71" s="444"/>
      <c r="GZ71" s="377"/>
      <c r="HA71" s="373"/>
      <c r="HB71" s="444" t="s">
        <v>6</v>
      </c>
      <c r="HC71" s="377"/>
      <c r="HD71" s="373"/>
      <c r="HE71" s="444" t="s">
        <v>6</v>
      </c>
      <c r="HF71" s="377">
        <v>1</v>
      </c>
      <c r="HG71" s="373"/>
      <c r="HH71" s="444">
        <v>100</v>
      </c>
      <c r="HI71" s="377"/>
      <c r="HJ71" s="373"/>
      <c r="HK71" s="444"/>
      <c r="HL71" s="377">
        <v>2</v>
      </c>
      <c r="HM71" s="373">
        <v>1</v>
      </c>
      <c r="HN71" s="444">
        <v>66.7</v>
      </c>
      <c r="HO71" s="377">
        <v>6</v>
      </c>
      <c r="HP71" s="373">
        <v>5</v>
      </c>
      <c r="HQ71" s="444">
        <v>54.5</v>
      </c>
      <c r="HR71" s="377">
        <v>5</v>
      </c>
      <c r="HS71" s="373">
        <v>7</v>
      </c>
      <c r="HT71" s="444">
        <v>41.7</v>
      </c>
      <c r="HU71" s="377"/>
      <c r="HV71" s="373"/>
      <c r="HW71" s="444"/>
      <c r="HX71" s="377">
        <v>10</v>
      </c>
      <c r="HY71" s="373"/>
      <c r="HZ71" s="444">
        <v>100</v>
      </c>
      <c r="IA71" s="377">
        <v>2</v>
      </c>
      <c r="IB71" s="373"/>
      <c r="IC71" s="444">
        <v>100</v>
      </c>
      <c r="ID71" s="377"/>
      <c r="IE71" s="373"/>
      <c r="IF71" s="444" t="s">
        <v>6</v>
      </c>
      <c r="IG71" s="377"/>
      <c r="IH71" s="373"/>
      <c r="II71" s="444"/>
      <c r="IJ71" s="377"/>
      <c r="IK71" s="373"/>
      <c r="IL71" s="444" t="s">
        <v>6</v>
      </c>
      <c r="IM71" s="377">
        <v>2</v>
      </c>
      <c r="IN71" s="373"/>
      <c r="IO71" s="444">
        <v>100</v>
      </c>
      <c r="IP71" s="377"/>
      <c r="IQ71" s="373"/>
      <c r="IR71" s="444" t="s">
        <v>6</v>
      </c>
      <c r="IS71" s="377"/>
      <c r="IT71" s="373"/>
      <c r="IU71" s="444"/>
      <c r="IV71" s="377">
        <v>142</v>
      </c>
      <c r="IW71" s="373">
        <v>123</v>
      </c>
      <c r="IX71" s="444">
        <v>53.6</v>
      </c>
      <c r="IY71" s="377">
        <v>150</v>
      </c>
      <c r="IZ71" s="373">
        <v>167</v>
      </c>
      <c r="JA71" s="444">
        <v>47.3</v>
      </c>
      <c r="JB71" s="377">
        <v>117</v>
      </c>
      <c r="JC71" s="373">
        <v>190</v>
      </c>
      <c r="JD71" s="444">
        <v>38.1</v>
      </c>
      <c r="JE71" s="377"/>
      <c r="JF71" s="373"/>
      <c r="JG71" s="444"/>
      <c r="JH71" s="377">
        <v>55</v>
      </c>
      <c r="JI71" s="373">
        <v>35</v>
      </c>
      <c r="JJ71" s="444">
        <v>61.1</v>
      </c>
      <c r="JK71" s="377">
        <v>41</v>
      </c>
      <c r="JL71" s="373">
        <v>39</v>
      </c>
      <c r="JM71" s="444">
        <v>51.3</v>
      </c>
      <c r="JN71" s="377">
        <v>35</v>
      </c>
      <c r="JO71" s="373">
        <v>44</v>
      </c>
      <c r="JP71" s="444">
        <v>44.3</v>
      </c>
      <c r="JQ71" s="377"/>
      <c r="JR71" s="373"/>
      <c r="JS71" s="444"/>
      <c r="JT71" s="377"/>
      <c r="JU71" s="373"/>
      <c r="JV71" s="444" t="s">
        <v>6</v>
      </c>
      <c r="JW71" s="377"/>
      <c r="JX71" s="373"/>
      <c r="JY71" s="444" t="s">
        <v>6</v>
      </c>
      <c r="JZ71" s="377">
        <v>1</v>
      </c>
      <c r="KA71" s="373"/>
      <c r="KB71" s="444">
        <v>100</v>
      </c>
      <c r="KC71" s="377"/>
      <c r="KD71" s="373"/>
      <c r="KE71" s="444"/>
      <c r="KF71" s="377"/>
      <c r="KG71" s="373">
        <v>1</v>
      </c>
      <c r="KH71" s="444">
        <v>0</v>
      </c>
      <c r="KI71" s="377"/>
      <c r="KJ71" s="373"/>
      <c r="KK71" s="444" t="s">
        <v>6</v>
      </c>
      <c r="KL71" s="377"/>
      <c r="KM71" s="373"/>
      <c r="KN71" s="444" t="s">
        <v>6</v>
      </c>
      <c r="KO71" s="377"/>
      <c r="KP71" s="373"/>
      <c r="KQ71" s="444"/>
      <c r="KR71" s="377">
        <v>61</v>
      </c>
      <c r="KS71" s="373">
        <v>37</v>
      </c>
      <c r="KT71" s="444">
        <v>62.2</v>
      </c>
      <c r="KU71" s="377">
        <v>41</v>
      </c>
      <c r="KV71" s="373">
        <v>40</v>
      </c>
      <c r="KW71" s="444">
        <v>50.6</v>
      </c>
      <c r="KX71" s="377">
        <v>38</v>
      </c>
      <c r="KY71" s="373">
        <v>45</v>
      </c>
      <c r="KZ71" s="444">
        <v>45.8</v>
      </c>
      <c r="LA71" s="377"/>
      <c r="LB71" s="373"/>
      <c r="LC71" s="444"/>
      <c r="LD71" s="377">
        <v>401</v>
      </c>
      <c r="LE71" s="373">
        <v>152</v>
      </c>
      <c r="LF71" s="444">
        <v>72.5</v>
      </c>
      <c r="LG71" s="377">
        <v>294</v>
      </c>
      <c r="LH71" s="373">
        <v>208</v>
      </c>
      <c r="LI71" s="444">
        <v>58.6</v>
      </c>
      <c r="LJ71" s="377">
        <v>162</v>
      </c>
      <c r="LK71" s="373">
        <v>230</v>
      </c>
      <c r="LL71" s="444">
        <v>41.3</v>
      </c>
      <c r="LM71" s="377"/>
      <c r="LN71" s="373"/>
      <c r="LO71" s="444"/>
    </row>
    <row r="72" spans="1:327" x14ac:dyDescent="0.2">
      <c r="A72" s="1001"/>
      <c r="B72" s="747" t="s">
        <v>621</v>
      </c>
      <c r="C72" s="151" t="s">
        <v>682</v>
      </c>
      <c r="D72" s="377"/>
      <c r="E72" s="373"/>
      <c r="F72" s="444" t="s">
        <v>6</v>
      </c>
      <c r="G72" s="377"/>
      <c r="H72" s="373"/>
      <c r="I72" s="444" t="s">
        <v>6</v>
      </c>
      <c r="J72" s="377"/>
      <c r="K72" s="373"/>
      <c r="L72" s="444" t="s">
        <v>6</v>
      </c>
      <c r="M72" s="377"/>
      <c r="N72" s="373"/>
      <c r="O72" s="444"/>
      <c r="P72" s="377"/>
      <c r="Q72" s="373"/>
      <c r="R72" s="444" t="s">
        <v>6</v>
      </c>
      <c r="S72" s="377"/>
      <c r="T72" s="373"/>
      <c r="U72" s="444" t="s">
        <v>6</v>
      </c>
      <c r="V72" s="377"/>
      <c r="W72" s="373"/>
      <c r="X72" s="444" t="s">
        <v>6</v>
      </c>
      <c r="Y72" s="377"/>
      <c r="Z72" s="373"/>
      <c r="AA72" s="444"/>
      <c r="AB72" s="377"/>
      <c r="AC72" s="373"/>
      <c r="AD72" s="444" t="s">
        <v>6</v>
      </c>
      <c r="AE72" s="377"/>
      <c r="AF72" s="373"/>
      <c r="AG72" s="444" t="s">
        <v>6</v>
      </c>
      <c r="AH72" s="377"/>
      <c r="AI72" s="373"/>
      <c r="AJ72" s="444" t="s">
        <v>6</v>
      </c>
      <c r="AK72" s="377"/>
      <c r="AL72" s="373"/>
      <c r="AM72" s="444"/>
      <c r="AN72" s="377">
        <v>9</v>
      </c>
      <c r="AO72" s="373">
        <v>2</v>
      </c>
      <c r="AP72" s="444">
        <v>81.8</v>
      </c>
      <c r="AQ72" s="377">
        <v>9</v>
      </c>
      <c r="AR72" s="373">
        <v>1</v>
      </c>
      <c r="AS72" s="444">
        <v>90</v>
      </c>
      <c r="AT72" s="377">
        <v>3</v>
      </c>
      <c r="AU72" s="373"/>
      <c r="AV72" s="444">
        <v>100</v>
      </c>
      <c r="AW72" s="377"/>
      <c r="AX72" s="373"/>
      <c r="AY72" s="444"/>
      <c r="AZ72" s="377">
        <v>5</v>
      </c>
      <c r="BA72" s="373">
        <v>2</v>
      </c>
      <c r="BB72" s="444">
        <v>71.400000000000006</v>
      </c>
      <c r="BC72" s="377">
        <v>5</v>
      </c>
      <c r="BD72" s="373">
        <v>1</v>
      </c>
      <c r="BE72" s="444">
        <v>83.3</v>
      </c>
      <c r="BF72" s="377">
        <v>2</v>
      </c>
      <c r="BG72" s="373"/>
      <c r="BH72" s="444">
        <v>100</v>
      </c>
      <c r="BI72" s="377"/>
      <c r="BJ72" s="373"/>
      <c r="BK72" s="444"/>
      <c r="BL72" s="377"/>
      <c r="BM72" s="373"/>
      <c r="BN72" s="444" t="s">
        <v>6</v>
      </c>
      <c r="BO72" s="377"/>
      <c r="BP72" s="373"/>
      <c r="BQ72" s="444" t="s">
        <v>6</v>
      </c>
      <c r="BR72" s="377"/>
      <c r="BS72" s="373"/>
      <c r="BT72" s="444" t="s">
        <v>6</v>
      </c>
      <c r="BU72" s="377"/>
      <c r="BV72" s="373"/>
      <c r="BW72" s="444"/>
      <c r="BX72" s="377"/>
      <c r="BY72" s="373"/>
      <c r="BZ72" s="444" t="s">
        <v>6</v>
      </c>
      <c r="CA72" s="377"/>
      <c r="CB72" s="373"/>
      <c r="CC72" s="444" t="s">
        <v>6</v>
      </c>
      <c r="CD72" s="377"/>
      <c r="CE72" s="373"/>
      <c r="CF72" s="444" t="s">
        <v>6</v>
      </c>
      <c r="CG72" s="377"/>
      <c r="CH72" s="373"/>
      <c r="CI72" s="444"/>
      <c r="CJ72" s="377"/>
      <c r="CK72" s="373"/>
      <c r="CL72" s="444" t="s">
        <v>6</v>
      </c>
      <c r="CM72" s="377"/>
      <c r="CN72" s="373"/>
      <c r="CO72" s="444" t="s">
        <v>6</v>
      </c>
      <c r="CP72" s="377"/>
      <c r="CQ72" s="373"/>
      <c r="CR72" s="444" t="s">
        <v>6</v>
      </c>
      <c r="CS72" s="377"/>
      <c r="CT72" s="373"/>
      <c r="CU72" s="444"/>
      <c r="CV72" s="377">
        <v>14</v>
      </c>
      <c r="CW72" s="373"/>
      <c r="CX72" s="444">
        <v>100</v>
      </c>
      <c r="CY72" s="377">
        <v>15</v>
      </c>
      <c r="CZ72" s="373">
        <v>2</v>
      </c>
      <c r="DA72" s="444">
        <v>88.2</v>
      </c>
      <c r="DB72" s="377">
        <v>4</v>
      </c>
      <c r="DC72" s="373">
        <v>1</v>
      </c>
      <c r="DD72" s="444">
        <v>80</v>
      </c>
      <c r="DE72" s="377"/>
      <c r="DF72" s="373"/>
      <c r="DG72" s="444"/>
      <c r="DH72" s="377">
        <v>3</v>
      </c>
      <c r="DI72" s="373"/>
      <c r="DJ72" s="444">
        <v>100</v>
      </c>
      <c r="DK72" s="377"/>
      <c r="DL72" s="373"/>
      <c r="DM72" s="444" t="s">
        <v>6</v>
      </c>
      <c r="DN72" s="377"/>
      <c r="DO72" s="373"/>
      <c r="DP72" s="444" t="s">
        <v>6</v>
      </c>
      <c r="DQ72" s="377"/>
      <c r="DR72" s="373"/>
      <c r="DS72" s="444"/>
      <c r="DT72" s="377">
        <v>2</v>
      </c>
      <c r="DU72" s="373"/>
      <c r="DV72" s="444">
        <v>100</v>
      </c>
      <c r="DW72" s="377">
        <v>4</v>
      </c>
      <c r="DX72" s="373"/>
      <c r="DY72" s="444">
        <v>100</v>
      </c>
      <c r="DZ72" s="377">
        <v>9</v>
      </c>
      <c r="EA72" s="373"/>
      <c r="EB72" s="444">
        <v>100</v>
      </c>
      <c r="EC72" s="377"/>
      <c r="ED72" s="373"/>
      <c r="EE72" s="444"/>
      <c r="EF72" s="377">
        <v>122</v>
      </c>
      <c r="EG72" s="373">
        <v>231</v>
      </c>
      <c r="EH72" s="444">
        <v>34.6</v>
      </c>
      <c r="EI72" s="377">
        <v>221</v>
      </c>
      <c r="EJ72" s="373">
        <v>208</v>
      </c>
      <c r="EK72" s="444">
        <v>51.5</v>
      </c>
      <c r="EL72" s="377">
        <v>91</v>
      </c>
      <c r="EM72" s="373">
        <v>124</v>
      </c>
      <c r="EN72" s="444">
        <v>42.3</v>
      </c>
      <c r="EO72" s="377"/>
      <c r="EP72" s="373"/>
      <c r="EQ72" s="444"/>
      <c r="ER72" s="377"/>
      <c r="ES72" s="373"/>
      <c r="ET72" s="444" t="s">
        <v>6</v>
      </c>
      <c r="EU72" s="377">
        <v>2</v>
      </c>
      <c r="EV72" s="373"/>
      <c r="EW72" s="444">
        <v>100</v>
      </c>
      <c r="EX72" s="377"/>
      <c r="EY72" s="373"/>
      <c r="EZ72" s="444" t="s">
        <v>6</v>
      </c>
      <c r="FA72" s="377"/>
      <c r="FB72" s="373"/>
      <c r="FC72" s="444"/>
      <c r="FD72" s="377"/>
      <c r="FE72" s="373">
        <v>4</v>
      </c>
      <c r="FF72" s="444">
        <v>0</v>
      </c>
      <c r="FG72" s="377"/>
      <c r="FH72" s="373">
        <v>2</v>
      </c>
      <c r="FI72" s="444">
        <v>0</v>
      </c>
      <c r="FJ72" s="377">
        <v>4</v>
      </c>
      <c r="FK72" s="373">
        <v>2</v>
      </c>
      <c r="FL72" s="444">
        <v>66.7</v>
      </c>
      <c r="FM72" s="377"/>
      <c r="FN72" s="373"/>
      <c r="FO72" s="444"/>
      <c r="FP72" s="377">
        <v>16</v>
      </c>
      <c r="FQ72" s="373">
        <v>43</v>
      </c>
      <c r="FR72" s="444">
        <v>27.1</v>
      </c>
      <c r="FS72" s="377">
        <v>32</v>
      </c>
      <c r="FT72" s="373">
        <v>41</v>
      </c>
      <c r="FU72" s="444">
        <v>43.8</v>
      </c>
      <c r="FV72" s="377">
        <v>26</v>
      </c>
      <c r="FW72" s="373">
        <v>17</v>
      </c>
      <c r="FX72" s="444">
        <v>60.5</v>
      </c>
      <c r="FY72" s="377"/>
      <c r="FZ72" s="373"/>
      <c r="GA72" s="444"/>
      <c r="GB72" s="377">
        <v>2</v>
      </c>
      <c r="GC72" s="373"/>
      <c r="GD72" s="444">
        <v>100</v>
      </c>
      <c r="GE72" s="377">
        <v>3</v>
      </c>
      <c r="GF72" s="373"/>
      <c r="GG72" s="444">
        <v>100</v>
      </c>
      <c r="GH72" s="377"/>
      <c r="GI72" s="373"/>
      <c r="GJ72" s="444" t="s">
        <v>6</v>
      </c>
      <c r="GK72" s="377"/>
      <c r="GL72" s="373"/>
      <c r="GM72" s="444"/>
      <c r="GN72" s="377">
        <v>8</v>
      </c>
      <c r="GO72" s="373"/>
      <c r="GP72" s="444">
        <v>100</v>
      </c>
      <c r="GQ72" s="377">
        <v>16</v>
      </c>
      <c r="GR72" s="373"/>
      <c r="GS72" s="444">
        <v>100</v>
      </c>
      <c r="GT72" s="377">
        <v>2</v>
      </c>
      <c r="GU72" s="373"/>
      <c r="GV72" s="444">
        <v>100</v>
      </c>
      <c r="GW72" s="377"/>
      <c r="GX72" s="373"/>
      <c r="GY72" s="444"/>
      <c r="GZ72" s="377">
        <v>3</v>
      </c>
      <c r="HA72" s="373"/>
      <c r="HB72" s="444">
        <v>100</v>
      </c>
      <c r="HC72" s="377">
        <v>2</v>
      </c>
      <c r="HD72" s="373"/>
      <c r="HE72" s="444">
        <v>100</v>
      </c>
      <c r="HF72" s="377"/>
      <c r="HG72" s="373"/>
      <c r="HH72" s="444" t="s">
        <v>6</v>
      </c>
      <c r="HI72" s="377"/>
      <c r="HJ72" s="373"/>
      <c r="HK72" s="444"/>
      <c r="HL72" s="377">
        <v>6</v>
      </c>
      <c r="HM72" s="373">
        <v>2</v>
      </c>
      <c r="HN72" s="444">
        <v>75</v>
      </c>
      <c r="HO72" s="377">
        <v>9</v>
      </c>
      <c r="HP72" s="373">
        <v>10</v>
      </c>
      <c r="HQ72" s="444">
        <v>47.4</v>
      </c>
      <c r="HR72" s="377">
        <v>2</v>
      </c>
      <c r="HS72" s="373">
        <v>6</v>
      </c>
      <c r="HT72" s="444">
        <v>25</v>
      </c>
      <c r="HU72" s="377"/>
      <c r="HV72" s="373"/>
      <c r="HW72" s="444"/>
      <c r="HX72" s="377"/>
      <c r="HY72" s="373"/>
      <c r="HZ72" s="444" t="s">
        <v>6</v>
      </c>
      <c r="IA72" s="377">
        <v>15</v>
      </c>
      <c r="IB72" s="373"/>
      <c r="IC72" s="444">
        <v>100</v>
      </c>
      <c r="ID72" s="377">
        <v>6</v>
      </c>
      <c r="IE72" s="373"/>
      <c r="IF72" s="444">
        <v>100</v>
      </c>
      <c r="IG72" s="377"/>
      <c r="IH72" s="373"/>
      <c r="II72" s="444"/>
      <c r="IJ72" s="377">
        <v>2</v>
      </c>
      <c r="IK72" s="373"/>
      <c r="IL72" s="444">
        <v>100</v>
      </c>
      <c r="IM72" s="377"/>
      <c r="IN72" s="373"/>
      <c r="IO72" s="444" t="s">
        <v>6</v>
      </c>
      <c r="IP72" s="377"/>
      <c r="IQ72" s="373"/>
      <c r="IR72" s="444" t="s">
        <v>6</v>
      </c>
      <c r="IS72" s="377"/>
      <c r="IT72" s="373"/>
      <c r="IU72" s="444"/>
      <c r="IV72" s="377">
        <v>171</v>
      </c>
      <c r="IW72" s="373">
        <v>235</v>
      </c>
      <c r="IX72" s="444">
        <v>42.1</v>
      </c>
      <c r="IY72" s="377">
        <v>294</v>
      </c>
      <c r="IZ72" s="373">
        <v>221</v>
      </c>
      <c r="JA72" s="444">
        <v>57.1</v>
      </c>
      <c r="JB72" s="377">
        <v>117</v>
      </c>
      <c r="JC72" s="373">
        <v>131</v>
      </c>
      <c r="JD72" s="444">
        <v>47.2</v>
      </c>
      <c r="JE72" s="377"/>
      <c r="JF72" s="373"/>
      <c r="JG72" s="444"/>
      <c r="JH72" s="377">
        <v>38</v>
      </c>
      <c r="JI72" s="373">
        <v>59</v>
      </c>
      <c r="JJ72" s="444">
        <v>39.200000000000003</v>
      </c>
      <c r="JK72" s="377">
        <v>70</v>
      </c>
      <c r="JL72" s="373">
        <v>60</v>
      </c>
      <c r="JM72" s="444">
        <v>53.8</v>
      </c>
      <c r="JN72" s="377">
        <v>37</v>
      </c>
      <c r="JO72" s="373">
        <v>31</v>
      </c>
      <c r="JP72" s="444">
        <v>54.4</v>
      </c>
      <c r="JQ72" s="377"/>
      <c r="JR72" s="373"/>
      <c r="JS72" s="444"/>
      <c r="JT72" s="377"/>
      <c r="JU72" s="373"/>
      <c r="JV72" s="444" t="s">
        <v>6</v>
      </c>
      <c r="JW72" s="377">
        <v>2</v>
      </c>
      <c r="JX72" s="373"/>
      <c r="JY72" s="444">
        <v>100</v>
      </c>
      <c r="JZ72" s="377"/>
      <c r="KA72" s="373"/>
      <c r="KB72" s="444" t="s">
        <v>6</v>
      </c>
      <c r="KC72" s="377"/>
      <c r="KD72" s="373"/>
      <c r="KE72" s="444"/>
      <c r="KF72" s="377"/>
      <c r="KG72" s="373"/>
      <c r="KH72" s="444" t="s">
        <v>6</v>
      </c>
      <c r="KI72" s="377"/>
      <c r="KJ72" s="373"/>
      <c r="KK72" s="444" t="s">
        <v>6</v>
      </c>
      <c r="KL72" s="377"/>
      <c r="KM72" s="373"/>
      <c r="KN72" s="444" t="s">
        <v>6</v>
      </c>
      <c r="KO72" s="377"/>
      <c r="KP72" s="373"/>
      <c r="KQ72" s="444"/>
      <c r="KR72" s="377">
        <v>44</v>
      </c>
      <c r="KS72" s="373">
        <v>62</v>
      </c>
      <c r="KT72" s="444">
        <v>41.5</v>
      </c>
      <c r="KU72" s="377">
        <v>80</v>
      </c>
      <c r="KV72" s="373">
        <v>61</v>
      </c>
      <c r="KW72" s="444">
        <v>56.7</v>
      </c>
      <c r="KX72" s="377">
        <v>39</v>
      </c>
      <c r="KY72" s="373">
        <v>33</v>
      </c>
      <c r="KZ72" s="444">
        <v>54.2</v>
      </c>
      <c r="LA72" s="377"/>
      <c r="LB72" s="373"/>
      <c r="LC72" s="444"/>
      <c r="LD72" s="377">
        <v>285</v>
      </c>
      <c r="LE72" s="373">
        <v>265</v>
      </c>
      <c r="LF72" s="444">
        <v>51.8</v>
      </c>
      <c r="LG72" s="377">
        <v>469</v>
      </c>
      <c r="LH72" s="373">
        <v>257</v>
      </c>
      <c r="LI72" s="444">
        <v>64.599999999999994</v>
      </c>
      <c r="LJ72" s="377">
        <v>171</v>
      </c>
      <c r="LK72" s="373">
        <v>153</v>
      </c>
      <c r="LL72" s="444">
        <v>52.8</v>
      </c>
      <c r="LM72" s="377"/>
      <c r="LN72" s="373"/>
      <c r="LO72" s="444"/>
    </row>
    <row r="73" spans="1:327" ht="13.5" thickBot="1" x14ac:dyDescent="0.25">
      <c r="A73" s="1001"/>
      <c r="B73" s="748" t="s">
        <v>621</v>
      </c>
      <c r="C73" s="156" t="s">
        <v>683</v>
      </c>
      <c r="D73" s="377"/>
      <c r="E73" s="373"/>
      <c r="F73" s="444" t="s">
        <v>6</v>
      </c>
      <c r="G73" s="377"/>
      <c r="H73" s="373"/>
      <c r="I73" s="444" t="s">
        <v>6</v>
      </c>
      <c r="J73" s="377"/>
      <c r="K73" s="373"/>
      <c r="L73" s="444" t="s">
        <v>6</v>
      </c>
      <c r="M73" s="377"/>
      <c r="N73" s="373"/>
      <c r="O73" s="444"/>
      <c r="P73" s="377"/>
      <c r="Q73" s="373"/>
      <c r="R73" s="444" t="s">
        <v>6</v>
      </c>
      <c r="S73" s="377"/>
      <c r="T73" s="373"/>
      <c r="U73" s="444" t="s">
        <v>6</v>
      </c>
      <c r="V73" s="377"/>
      <c r="W73" s="373"/>
      <c r="X73" s="444" t="s">
        <v>6</v>
      </c>
      <c r="Y73" s="377"/>
      <c r="Z73" s="373"/>
      <c r="AA73" s="444"/>
      <c r="AB73" s="377"/>
      <c r="AC73" s="373"/>
      <c r="AD73" s="444" t="s">
        <v>6</v>
      </c>
      <c r="AE73" s="377"/>
      <c r="AF73" s="373"/>
      <c r="AG73" s="444" t="s">
        <v>6</v>
      </c>
      <c r="AH73" s="377"/>
      <c r="AI73" s="373"/>
      <c r="AJ73" s="444" t="s">
        <v>6</v>
      </c>
      <c r="AK73" s="377"/>
      <c r="AL73" s="373"/>
      <c r="AM73" s="444"/>
      <c r="AN73" s="377">
        <v>3</v>
      </c>
      <c r="AO73" s="373">
        <v>1</v>
      </c>
      <c r="AP73" s="444">
        <v>75</v>
      </c>
      <c r="AQ73" s="377">
        <v>2</v>
      </c>
      <c r="AR73" s="373">
        <v>1</v>
      </c>
      <c r="AS73" s="444">
        <v>66.7</v>
      </c>
      <c r="AT73" s="377">
        <v>7</v>
      </c>
      <c r="AU73" s="373"/>
      <c r="AV73" s="444">
        <v>100</v>
      </c>
      <c r="AW73" s="377"/>
      <c r="AX73" s="373"/>
      <c r="AY73" s="444"/>
      <c r="AZ73" s="377"/>
      <c r="BA73" s="373">
        <v>1</v>
      </c>
      <c r="BB73" s="444">
        <v>0</v>
      </c>
      <c r="BC73" s="377"/>
      <c r="BD73" s="373">
        <v>1</v>
      </c>
      <c r="BE73" s="444">
        <v>0</v>
      </c>
      <c r="BF73" s="377">
        <v>7</v>
      </c>
      <c r="BG73" s="373"/>
      <c r="BH73" s="444">
        <v>100</v>
      </c>
      <c r="BI73" s="377"/>
      <c r="BJ73" s="373"/>
      <c r="BK73" s="444"/>
      <c r="BL73" s="377"/>
      <c r="BM73" s="373"/>
      <c r="BN73" s="444" t="s">
        <v>6</v>
      </c>
      <c r="BO73" s="377"/>
      <c r="BP73" s="373"/>
      <c r="BQ73" s="444" t="s">
        <v>6</v>
      </c>
      <c r="BR73" s="377"/>
      <c r="BS73" s="373"/>
      <c r="BT73" s="444" t="s">
        <v>6</v>
      </c>
      <c r="BU73" s="377"/>
      <c r="BV73" s="373"/>
      <c r="BW73" s="444"/>
      <c r="BX73" s="377"/>
      <c r="BY73" s="373"/>
      <c r="BZ73" s="444" t="s">
        <v>6</v>
      </c>
      <c r="CA73" s="377">
        <v>1</v>
      </c>
      <c r="CB73" s="373"/>
      <c r="CC73" s="444">
        <v>100</v>
      </c>
      <c r="CD73" s="377"/>
      <c r="CE73" s="373"/>
      <c r="CF73" s="444" t="s">
        <v>6</v>
      </c>
      <c r="CG73" s="377"/>
      <c r="CH73" s="373"/>
      <c r="CI73" s="444"/>
      <c r="CJ73" s="377"/>
      <c r="CK73" s="373"/>
      <c r="CL73" s="444" t="s">
        <v>6</v>
      </c>
      <c r="CM73" s="377"/>
      <c r="CN73" s="373"/>
      <c r="CO73" s="444" t="s">
        <v>6</v>
      </c>
      <c r="CP73" s="377"/>
      <c r="CQ73" s="373"/>
      <c r="CR73" s="444" t="s">
        <v>6</v>
      </c>
      <c r="CS73" s="377"/>
      <c r="CT73" s="373"/>
      <c r="CU73" s="444"/>
      <c r="CV73" s="377">
        <v>5</v>
      </c>
      <c r="CW73" s="373">
        <v>2</v>
      </c>
      <c r="CX73" s="444">
        <v>71.400000000000006</v>
      </c>
      <c r="CY73" s="377">
        <v>4</v>
      </c>
      <c r="CZ73" s="373"/>
      <c r="DA73" s="444">
        <v>100</v>
      </c>
      <c r="DB73" s="377">
        <v>2</v>
      </c>
      <c r="DC73" s="373"/>
      <c r="DD73" s="444">
        <v>100</v>
      </c>
      <c r="DE73" s="377"/>
      <c r="DF73" s="373"/>
      <c r="DG73" s="444"/>
      <c r="DH73" s="377"/>
      <c r="DI73" s="373"/>
      <c r="DJ73" s="444" t="s">
        <v>6</v>
      </c>
      <c r="DK73" s="377"/>
      <c r="DL73" s="373"/>
      <c r="DM73" s="444" t="s">
        <v>6</v>
      </c>
      <c r="DN73" s="377">
        <v>1</v>
      </c>
      <c r="DO73" s="373"/>
      <c r="DP73" s="444">
        <v>100</v>
      </c>
      <c r="DQ73" s="377"/>
      <c r="DR73" s="373"/>
      <c r="DS73" s="444"/>
      <c r="DT73" s="377"/>
      <c r="DU73" s="373"/>
      <c r="DV73" s="444" t="s">
        <v>6</v>
      </c>
      <c r="DW73" s="377"/>
      <c r="DX73" s="373"/>
      <c r="DY73" s="444" t="s">
        <v>6</v>
      </c>
      <c r="DZ73" s="377"/>
      <c r="EA73" s="373">
        <v>2</v>
      </c>
      <c r="EB73" s="444">
        <v>0</v>
      </c>
      <c r="EC73" s="377"/>
      <c r="ED73" s="373"/>
      <c r="EE73" s="444"/>
      <c r="EF73" s="377">
        <v>26</v>
      </c>
      <c r="EG73" s="373">
        <v>80</v>
      </c>
      <c r="EH73" s="444">
        <v>24.5</v>
      </c>
      <c r="EI73" s="377">
        <v>30</v>
      </c>
      <c r="EJ73" s="373">
        <v>56</v>
      </c>
      <c r="EK73" s="444">
        <v>34.9</v>
      </c>
      <c r="EL73" s="377">
        <v>24</v>
      </c>
      <c r="EM73" s="373">
        <v>62</v>
      </c>
      <c r="EN73" s="444">
        <v>27.9</v>
      </c>
      <c r="EO73" s="377"/>
      <c r="EP73" s="373"/>
      <c r="EQ73" s="444"/>
      <c r="ER73" s="377"/>
      <c r="ES73" s="373"/>
      <c r="ET73" s="444" t="s">
        <v>6</v>
      </c>
      <c r="EU73" s="377"/>
      <c r="EV73" s="373"/>
      <c r="EW73" s="444" t="s">
        <v>6</v>
      </c>
      <c r="EX73" s="377"/>
      <c r="EY73" s="373"/>
      <c r="EZ73" s="444" t="s">
        <v>6</v>
      </c>
      <c r="FA73" s="377"/>
      <c r="FB73" s="373"/>
      <c r="FC73" s="444"/>
      <c r="FD73" s="377"/>
      <c r="FE73" s="373"/>
      <c r="FF73" s="444" t="s">
        <v>6</v>
      </c>
      <c r="FG73" s="377"/>
      <c r="FH73" s="373">
        <v>1</v>
      </c>
      <c r="FI73" s="444">
        <v>0</v>
      </c>
      <c r="FJ73" s="377"/>
      <c r="FK73" s="373">
        <v>2</v>
      </c>
      <c r="FL73" s="444">
        <v>0</v>
      </c>
      <c r="FM73" s="377"/>
      <c r="FN73" s="373"/>
      <c r="FO73" s="444"/>
      <c r="FP73" s="377">
        <v>7</v>
      </c>
      <c r="FQ73" s="373">
        <v>19</v>
      </c>
      <c r="FR73" s="444">
        <v>26.9</v>
      </c>
      <c r="FS73" s="377">
        <v>6</v>
      </c>
      <c r="FT73" s="373">
        <v>9</v>
      </c>
      <c r="FU73" s="444">
        <v>40</v>
      </c>
      <c r="FV73" s="377">
        <v>7</v>
      </c>
      <c r="FW73" s="373">
        <v>12</v>
      </c>
      <c r="FX73" s="444">
        <v>36.799999999999997</v>
      </c>
      <c r="FY73" s="377"/>
      <c r="FZ73" s="373"/>
      <c r="GA73" s="444"/>
      <c r="GB73" s="377">
        <v>1</v>
      </c>
      <c r="GC73" s="373"/>
      <c r="GD73" s="444">
        <v>100</v>
      </c>
      <c r="GE73" s="377">
        <v>1</v>
      </c>
      <c r="GF73" s="373"/>
      <c r="GG73" s="444">
        <v>100</v>
      </c>
      <c r="GH73" s="377">
        <v>1</v>
      </c>
      <c r="GI73" s="373"/>
      <c r="GJ73" s="444">
        <v>100</v>
      </c>
      <c r="GK73" s="377"/>
      <c r="GL73" s="373"/>
      <c r="GM73" s="444"/>
      <c r="GN73" s="377"/>
      <c r="GO73" s="373"/>
      <c r="GP73" s="444" t="s">
        <v>6</v>
      </c>
      <c r="GQ73" s="377">
        <v>2</v>
      </c>
      <c r="GR73" s="373"/>
      <c r="GS73" s="444">
        <v>100</v>
      </c>
      <c r="GT73" s="377">
        <v>1</v>
      </c>
      <c r="GU73" s="373"/>
      <c r="GV73" s="444">
        <v>100</v>
      </c>
      <c r="GW73" s="377"/>
      <c r="GX73" s="373"/>
      <c r="GY73" s="444"/>
      <c r="GZ73" s="377"/>
      <c r="HA73" s="373"/>
      <c r="HB73" s="444" t="s">
        <v>6</v>
      </c>
      <c r="HC73" s="377"/>
      <c r="HD73" s="373"/>
      <c r="HE73" s="444" t="s">
        <v>6</v>
      </c>
      <c r="HF73" s="377"/>
      <c r="HG73" s="373"/>
      <c r="HH73" s="444" t="s">
        <v>6</v>
      </c>
      <c r="HI73" s="377"/>
      <c r="HJ73" s="373"/>
      <c r="HK73" s="444"/>
      <c r="HL73" s="377">
        <v>1</v>
      </c>
      <c r="HM73" s="373">
        <v>4</v>
      </c>
      <c r="HN73" s="444">
        <v>20</v>
      </c>
      <c r="HO73" s="377">
        <v>1</v>
      </c>
      <c r="HP73" s="373">
        <v>2</v>
      </c>
      <c r="HQ73" s="444">
        <v>33.299999999999997</v>
      </c>
      <c r="HR73" s="377">
        <v>4</v>
      </c>
      <c r="HS73" s="373">
        <v>3</v>
      </c>
      <c r="HT73" s="444">
        <v>57.1</v>
      </c>
      <c r="HU73" s="377"/>
      <c r="HV73" s="373"/>
      <c r="HW73" s="444"/>
      <c r="HX73" s="377"/>
      <c r="HY73" s="373"/>
      <c r="HZ73" s="444" t="s">
        <v>6</v>
      </c>
      <c r="IA73" s="377">
        <v>2</v>
      </c>
      <c r="IB73" s="373"/>
      <c r="IC73" s="444">
        <v>100</v>
      </c>
      <c r="ID73" s="377">
        <v>1</v>
      </c>
      <c r="IE73" s="373"/>
      <c r="IF73" s="444">
        <v>100</v>
      </c>
      <c r="IG73" s="377"/>
      <c r="IH73" s="373"/>
      <c r="II73" s="444"/>
      <c r="IJ73" s="377"/>
      <c r="IK73" s="373"/>
      <c r="IL73" s="444" t="s">
        <v>6</v>
      </c>
      <c r="IM73" s="377"/>
      <c r="IN73" s="373"/>
      <c r="IO73" s="444" t="s">
        <v>6</v>
      </c>
      <c r="IP73" s="377"/>
      <c r="IQ73" s="373">
        <v>1</v>
      </c>
      <c r="IR73" s="444">
        <v>0</v>
      </c>
      <c r="IS73" s="377"/>
      <c r="IT73" s="373"/>
      <c r="IU73" s="444"/>
      <c r="IV73" s="377">
        <v>36</v>
      </c>
      <c r="IW73" s="373">
        <v>87</v>
      </c>
      <c r="IX73" s="444">
        <v>29.3</v>
      </c>
      <c r="IY73" s="377">
        <v>43</v>
      </c>
      <c r="IZ73" s="373">
        <v>59</v>
      </c>
      <c r="JA73" s="444">
        <v>42.2</v>
      </c>
      <c r="JB73" s="377">
        <v>41</v>
      </c>
      <c r="JC73" s="373">
        <v>68</v>
      </c>
      <c r="JD73" s="444">
        <v>37.6</v>
      </c>
      <c r="JE73" s="377"/>
      <c r="JF73" s="373"/>
      <c r="JG73" s="444"/>
      <c r="JH73" s="377">
        <v>4</v>
      </c>
      <c r="JI73" s="373">
        <v>8</v>
      </c>
      <c r="JJ73" s="444">
        <v>33.299999999999997</v>
      </c>
      <c r="JK73" s="377">
        <v>13</v>
      </c>
      <c r="JL73" s="373">
        <v>4</v>
      </c>
      <c r="JM73" s="444">
        <v>76.5</v>
      </c>
      <c r="JN73" s="377">
        <v>8</v>
      </c>
      <c r="JO73" s="373">
        <v>11</v>
      </c>
      <c r="JP73" s="444">
        <v>42.1</v>
      </c>
      <c r="JQ73" s="377"/>
      <c r="JR73" s="373"/>
      <c r="JS73" s="444"/>
      <c r="JT73" s="377"/>
      <c r="JU73" s="373"/>
      <c r="JV73" s="444" t="s">
        <v>6</v>
      </c>
      <c r="JW73" s="377"/>
      <c r="JX73" s="373"/>
      <c r="JY73" s="444" t="s">
        <v>6</v>
      </c>
      <c r="JZ73" s="377">
        <v>1</v>
      </c>
      <c r="KA73" s="373"/>
      <c r="KB73" s="444">
        <v>100</v>
      </c>
      <c r="KC73" s="377"/>
      <c r="KD73" s="373"/>
      <c r="KE73" s="444"/>
      <c r="KF73" s="377"/>
      <c r="KG73" s="373"/>
      <c r="KH73" s="444" t="s">
        <v>6</v>
      </c>
      <c r="KI73" s="377"/>
      <c r="KJ73" s="373"/>
      <c r="KK73" s="444" t="s">
        <v>6</v>
      </c>
      <c r="KL73" s="377"/>
      <c r="KM73" s="373"/>
      <c r="KN73" s="444" t="s">
        <v>6</v>
      </c>
      <c r="KO73" s="377"/>
      <c r="KP73" s="373"/>
      <c r="KQ73" s="444"/>
      <c r="KR73" s="377">
        <v>4</v>
      </c>
      <c r="KS73" s="373">
        <v>9</v>
      </c>
      <c r="KT73" s="444">
        <v>30.8</v>
      </c>
      <c r="KU73" s="377">
        <v>14</v>
      </c>
      <c r="KV73" s="373">
        <v>5</v>
      </c>
      <c r="KW73" s="444">
        <v>73.7</v>
      </c>
      <c r="KX73" s="377">
        <v>12</v>
      </c>
      <c r="KY73" s="373">
        <v>13</v>
      </c>
      <c r="KZ73" s="444">
        <v>48</v>
      </c>
      <c r="LA73" s="377"/>
      <c r="LB73" s="373"/>
      <c r="LC73" s="444"/>
      <c r="LD73" s="377">
        <v>51</v>
      </c>
      <c r="LE73" s="373">
        <v>92</v>
      </c>
      <c r="LF73" s="444">
        <v>35.700000000000003</v>
      </c>
      <c r="LG73" s="377">
        <v>82</v>
      </c>
      <c r="LH73" s="373">
        <v>75</v>
      </c>
      <c r="LI73" s="444">
        <v>52.2</v>
      </c>
      <c r="LJ73" s="377">
        <v>48</v>
      </c>
      <c r="LK73" s="373">
        <v>81</v>
      </c>
      <c r="LL73" s="444">
        <v>37.200000000000003</v>
      </c>
      <c r="LM73" s="377"/>
      <c r="LN73" s="373"/>
      <c r="LO73" s="444"/>
    </row>
    <row r="74" spans="1:327" s="259" customFormat="1" ht="13.5" thickBot="1" x14ac:dyDescent="0.25">
      <c r="A74" s="1002"/>
      <c r="B74" s="751"/>
      <c r="C74" s="189" t="s">
        <v>781</v>
      </c>
      <c r="D74" s="384">
        <v>2</v>
      </c>
      <c r="E74" s="385"/>
      <c r="F74" s="451">
        <v>100</v>
      </c>
      <c r="G74" s="384">
        <v>6</v>
      </c>
      <c r="H74" s="385"/>
      <c r="I74" s="451">
        <v>100</v>
      </c>
      <c r="J74" s="384">
        <v>3</v>
      </c>
      <c r="K74" s="385"/>
      <c r="L74" s="451">
        <v>100</v>
      </c>
      <c r="M74" s="384"/>
      <c r="N74" s="385"/>
      <c r="O74" s="451"/>
      <c r="P74" s="384">
        <v>1</v>
      </c>
      <c r="Q74" s="385"/>
      <c r="R74" s="451">
        <v>100</v>
      </c>
      <c r="S74" s="384"/>
      <c r="T74" s="385"/>
      <c r="U74" s="451" t="s">
        <v>6</v>
      </c>
      <c r="V74" s="384">
        <v>2</v>
      </c>
      <c r="W74" s="385"/>
      <c r="X74" s="451">
        <v>100</v>
      </c>
      <c r="Y74" s="384"/>
      <c r="Z74" s="385"/>
      <c r="AA74" s="451"/>
      <c r="AB74" s="384">
        <v>1</v>
      </c>
      <c r="AC74" s="385"/>
      <c r="AD74" s="451">
        <v>100</v>
      </c>
      <c r="AE74" s="384">
        <v>4</v>
      </c>
      <c r="AF74" s="385"/>
      <c r="AG74" s="451">
        <v>100</v>
      </c>
      <c r="AH74" s="384">
        <v>1</v>
      </c>
      <c r="AI74" s="385"/>
      <c r="AJ74" s="451">
        <v>100</v>
      </c>
      <c r="AK74" s="384"/>
      <c r="AL74" s="385"/>
      <c r="AM74" s="451"/>
      <c r="AN74" s="384">
        <v>76</v>
      </c>
      <c r="AO74" s="385">
        <v>26</v>
      </c>
      <c r="AP74" s="451">
        <v>74.5</v>
      </c>
      <c r="AQ74" s="384">
        <v>78</v>
      </c>
      <c r="AR74" s="385">
        <v>17</v>
      </c>
      <c r="AS74" s="451">
        <v>82.1</v>
      </c>
      <c r="AT74" s="384">
        <v>63</v>
      </c>
      <c r="AU74" s="385">
        <v>16</v>
      </c>
      <c r="AV74" s="451">
        <v>79.7</v>
      </c>
      <c r="AW74" s="384"/>
      <c r="AX74" s="385"/>
      <c r="AY74" s="451"/>
      <c r="AZ74" s="384">
        <v>33</v>
      </c>
      <c r="BA74" s="385">
        <v>24</v>
      </c>
      <c r="BB74" s="451">
        <v>57.9</v>
      </c>
      <c r="BC74" s="384">
        <v>38</v>
      </c>
      <c r="BD74" s="385">
        <v>15</v>
      </c>
      <c r="BE74" s="451">
        <v>71.7</v>
      </c>
      <c r="BF74" s="384">
        <v>39</v>
      </c>
      <c r="BG74" s="385">
        <v>15</v>
      </c>
      <c r="BH74" s="451">
        <v>72.2</v>
      </c>
      <c r="BI74" s="384"/>
      <c r="BJ74" s="385"/>
      <c r="BK74" s="451"/>
      <c r="BL74" s="384"/>
      <c r="BM74" s="385"/>
      <c r="BN74" s="451" t="s">
        <v>6</v>
      </c>
      <c r="BO74" s="384">
        <v>1</v>
      </c>
      <c r="BP74" s="385"/>
      <c r="BQ74" s="451">
        <v>100</v>
      </c>
      <c r="BR74" s="384">
        <v>1</v>
      </c>
      <c r="BS74" s="385"/>
      <c r="BT74" s="451">
        <v>100</v>
      </c>
      <c r="BU74" s="384"/>
      <c r="BV74" s="385"/>
      <c r="BW74" s="451"/>
      <c r="BX74" s="384">
        <v>1</v>
      </c>
      <c r="BY74" s="385">
        <v>1</v>
      </c>
      <c r="BZ74" s="451">
        <v>50</v>
      </c>
      <c r="CA74" s="384">
        <v>1</v>
      </c>
      <c r="CB74" s="385"/>
      <c r="CC74" s="451">
        <v>100</v>
      </c>
      <c r="CD74" s="384"/>
      <c r="CE74" s="385">
        <v>1</v>
      </c>
      <c r="CF74" s="451">
        <v>0</v>
      </c>
      <c r="CG74" s="384"/>
      <c r="CH74" s="385"/>
      <c r="CI74" s="451"/>
      <c r="CJ74" s="384">
        <v>10</v>
      </c>
      <c r="CK74" s="385">
        <v>11</v>
      </c>
      <c r="CL74" s="451">
        <v>47.6</v>
      </c>
      <c r="CM74" s="384">
        <v>4</v>
      </c>
      <c r="CN74" s="385">
        <v>13</v>
      </c>
      <c r="CO74" s="451">
        <v>23.5</v>
      </c>
      <c r="CP74" s="384">
        <v>8</v>
      </c>
      <c r="CQ74" s="385">
        <v>2</v>
      </c>
      <c r="CR74" s="451">
        <v>80</v>
      </c>
      <c r="CS74" s="384"/>
      <c r="CT74" s="385"/>
      <c r="CU74" s="451"/>
      <c r="CV74" s="384">
        <v>109</v>
      </c>
      <c r="CW74" s="385">
        <v>27</v>
      </c>
      <c r="CX74" s="451">
        <v>80.099999999999994</v>
      </c>
      <c r="CY74" s="384">
        <v>102</v>
      </c>
      <c r="CZ74" s="385">
        <v>33</v>
      </c>
      <c r="DA74" s="451">
        <v>75.599999999999994</v>
      </c>
      <c r="DB74" s="384">
        <v>74</v>
      </c>
      <c r="DC74" s="385">
        <v>30</v>
      </c>
      <c r="DD74" s="451">
        <v>71.2</v>
      </c>
      <c r="DE74" s="384"/>
      <c r="DF74" s="385"/>
      <c r="DG74" s="451"/>
      <c r="DH74" s="384">
        <v>5</v>
      </c>
      <c r="DI74" s="385">
        <v>1</v>
      </c>
      <c r="DJ74" s="451">
        <v>83.3</v>
      </c>
      <c r="DK74" s="384">
        <v>3</v>
      </c>
      <c r="DL74" s="385">
        <v>1</v>
      </c>
      <c r="DM74" s="451">
        <v>75</v>
      </c>
      <c r="DN74" s="384">
        <v>5</v>
      </c>
      <c r="DO74" s="385"/>
      <c r="DP74" s="451">
        <v>100</v>
      </c>
      <c r="DQ74" s="384"/>
      <c r="DR74" s="385"/>
      <c r="DS74" s="451"/>
      <c r="DT74" s="384">
        <v>4</v>
      </c>
      <c r="DU74" s="385">
        <v>1</v>
      </c>
      <c r="DV74" s="451">
        <v>80</v>
      </c>
      <c r="DW74" s="384">
        <v>11</v>
      </c>
      <c r="DX74" s="385"/>
      <c r="DY74" s="451">
        <v>100</v>
      </c>
      <c r="DZ74" s="384">
        <v>14</v>
      </c>
      <c r="EA74" s="385">
        <v>2</v>
      </c>
      <c r="EB74" s="451">
        <v>87.5</v>
      </c>
      <c r="EC74" s="384"/>
      <c r="ED74" s="385"/>
      <c r="EE74" s="451"/>
      <c r="EF74" s="384">
        <v>823</v>
      </c>
      <c r="EG74" s="385">
        <v>2347</v>
      </c>
      <c r="EH74" s="451">
        <v>26</v>
      </c>
      <c r="EI74" s="384">
        <v>831</v>
      </c>
      <c r="EJ74" s="385">
        <v>2016</v>
      </c>
      <c r="EK74" s="451">
        <v>29.2</v>
      </c>
      <c r="EL74" s="384">
        <v>601</v>
      </c>
      <c r="EM74" s="385">
        <v>1851</v>
      </c>
      <c r="EN74" s="451">
        <v>24.5</v>
      </c>
      <c r="EO74" s="384"/>
      <c r="EP74" s="385"/>
      <c r="EQ74" s="451"/>
      <c r="ER74" s="384">
        <v>8</v>
      </c>
      <c r="ES74" s="385">
        <v>9</v>
      </c>
      <c r="ET74" s="451">
        <v>47.1</v>
      </c>
      <c r="EU74" s="384">
        <v>4</v>
      </c>
      <c r="EV74" s="385">
        <v>6</v>
      </c>
      <c r="EW74" s="451">
        <v>40</v>
      </c>
      <c r="EX74" s="384">
        <v>1</v>
      </c>
      <c r="EY74" s="385">
        <v>7</v>
      </c>
      <c r="EZ74" s="451">
        <v>12.5</v>
      </c>
      <c r="FA74" s="384"/>
      <c r="FB74" s="385"/>
      <c r="FC74" s="451"/>
      <c r="FD74" s="384">
        <v>12</v>
      </c>
      <c r="FE74" s="385">
        <v>67</v>
      </c>
      <c r="FF74" s="451">
        <v>15.2</v>
      </c>
      <c r="FG74" s="384">
        <v>36</v>
      </c>
      <c r="FH74" s="385">
        <v>55</v>
      </c>
      <c r="FI74" s="451">
        <v>39.6</v>
      </c>
      <c r="FJ74" s="384">
        <v>8</v>
      </c>
      <c r="FK74" s="385">
        <v>30</v>
      </c>
      <c r="FL74" s="451">
        <v>21.1</v>
      </c>
      <c r="FM74" s="384"/>
      <c r="FN74" s="385"/>
      <c r="FO74" s="451"/>
      <c r="FP74" s="384">
        <v>141</v>
      </c>
      <c r="FQ74" s="385">
        <v>340</v>
      </c>
      <c r="FR74" s="451">
        <v>29.3</v>
      </c>
      <c r="FS74" s="384">
        <v>173</v>
      </c>
      <c r="FT74" s="385">
        <v>311</v>
      </c>
      <c r="FU74" s="451">
        <v>35.700000000000003</v>
      </c>
      <c r="FV74" s="384">
        <v>124</v>
      </c>
      <c r="FW74" s="385">
        <v>214</v>
      </c>
      <c r="FX74" s="451">
        <v>36.700000000000003</v>
      </c>
      <c r="FY74" s="384"/>
      <c r="FZ74" s="385"/>
      <c r="GA74" s="451"/>
      <c r="GB74" s="384">
        <v>24</v>
      </c>
      <c r="GC74" s="385">
        <v>9</v>
      </c>
      <c r="GD74" s="451">
        <v>72.7</v>
      </c>
      <c r="GE74" s="384">
        <v>34</v>
      </c>
      <c r="GF74" s="385">
        <v>11</v>
      </c>
      <c r="GG74" s="451">
        <v>75.599999999999994</v>
      </c>
      <c r="GH74" s="384">
        <v>16</v>
      </c>
      <c r="GI74" s="385">
        <v>7</v>
      </c>
      <c r="GJ74" s="451">
        <v>69.599999999999994</v>
      </c>
      <c r="GK74" s="384"/>
      <c r="GL74" s="385"/>
      <c r="GM74" s="451"/>
      <c r="GN74" s="384">
        <v>18</v>
      </c>
      <c r="GO74" s="385">
        <v>31</v>
      </c>
      <c r="GP74" s="451">
        <v>36.700000000000003</v>
      </c>
      <c r="GQ74" s="384">
        <v>56</v>
      </c>
      <c r="GR74" s="385">
        <v>35</v>
      </c>
      <c r="GS74" s="451">
        <v>61.5</v>
      </c>
      <c r="GT74" s="384">
        <v>10</v>
      </c>
      <c r="GU74" s="385">
        <v>32</v>
      </c>
      <c r="GV74" s="451">
        <v>23.8</v>
      </c>
      <c r="GW74" s="384"/>
      <c r="GX74" s="385"/>
      <c r="GY74" s="451"/>
      <c r="GZ74" s="384">
        <v>4</v>
      </c>
      <c r="HA74" s="385"/>
      <c r="HB74" s="451">
        <v>100</v>
      </c>
      <c r="HC74" s="384">
        <v>3</v>
      </c>
      <c r="HD74" s="385">
        <v>2</v>
      </c>
      <c r="HE74" s="451">
        <v>60</v>
      </c>
      <c r="HF74" s="384">
        <v>2</v>
      </c>
      <c r="HG74" s="385"/>
      <c r="HH74" s="451">
        <v>100</v>
      </c>
      <c r="HI74" s="384"/>
      <c r="HJ74" s="385"/>
      <c r="HK74" s="451"/>
      <c r="HL74" s="384">
        <v>30</v>
      </c>
      <c r="HM74" s="385">
        <v>162</v>
      </c>
      <c r="HN74" s="451">
        <v>15.6</v>
      </c>
      <c r="HO74" s="384">
        <v>39</v>
      </c>
      <c r="HP74" s="385">
        <v>157</v>
      </c>
      <c r="HQ74" s="451">
        <v>19.899999999999999</v>
      </c>
      <c r="HR74" s="384">
        <v>30</v>
      </c>
      <c r="HS74" s="385">
        <v>171</v>
      </c>
      <c r="HT74" s="451">
        <v>14.9</v>
      </c>
      <c r="HU74" s="384"/>
      <c r="HV74" s="385"/>
      <c r="HW74" s="451"/>
      <c r="HX74" s="384">
        <v>16</v>
      </c>
      <c r="HY74" s="385">
        <v>5</v>
      </c>
      <c r="HZ74" s="451">
        <v>76.2</v>
      </c>
      <c r="IA74" s="384">
        <v>24</v>
      </c>
      <c r="IB74" s="385"/>
      <c r="IC74" s="451">
        <v>100</v>
      </c>
      <c r="ID74" s="384">
        <v>12</v>
      </c>
      <c r="IE74" s="385"/>
      <c r="IF74" s="451">
        <v>100</v>
      </c>
      <c r="IG74" s="384"/>
      <c r="IH74" s="385"/>
      <c r="II74" s="451"/>
      <c r="IJ74" s="384">
        <v>13</v>
      </c>
      <c r="IK74" s="385">
        <v>15</v>
      </c>
      <c r="IL74" s="451">
        <v>46.4</v>
      </c>
      <c r="IM74" s="384">
        <v>36</v>
      </c>
      <c r="IN74" s="385">
        <v>11</v>
      </c>
      <c r="IO74" s="451">
        <v>76.599999999999994</v>
      </c>
      <c r="IP74" s="384">
        <v>6</v>
      </c>
      <c r="IQ74" s="385">
        <v>9</v>
      </c>
      <c r="IR74" s="451">
        <v>40</v>
      </c>
      <c r="IS74" s="384"/>
      <c r="IT74" s="385"/>
      <c r="IU74" s="451"/>
      <c r="IV74" s="384">
        <v>1135</v>
      </c>
      <c r="IW74" s="385">
        <v>2636</v>
      </c>
      <c r="IX74" s="451">
        <v>30.1</v>
      </c>
      <c r="IY74" s="384">
        <v>1228</v>
      </c>
      <c r="IZ74" s="385">
        <v>2296</v>
      </c>
      <c r="JA74" s="451">
        <v>34.799999999999997</v>
      </c>
      <c r="JB74" s="384">
        <v>844</v>
      </c>
      <c r="JC74" s="385">
        <v>2121</v>
      </c>
      <c r="JD74" s="451">
        <v>28.5</v>
      </c>
      <c r="JE74" s="384"/>
      <c r="JF74" s="385"/>
      <c r="JG74" s="451"/>
      <c r="JH74" s="384">
        <v>288</v>
      </c>
      <c r="JI74" s="385">
        <v>582</v>
      </c>
      <c r="JJ74" s="451">
        <v>33.1</v>
      </c>
      <c r="JK74" s="384">
        <v>320</v>
      </c>
      <c r="JL74" s="385">
        <v>478</v>
      </c>
      <c r="JM74" s="451">
        <v>40.1</v>
      </c>
      <c r="JN74" s="384">
        <v>246</v>
      </c>
      <c r="JO74" s="385">
        <v>323</v>
      </c>
      <c r="JP74" s="451">
        <v>43.2</v>
      </c>
      <c r="JQ74" s="384"/>
      <c r="JR74" s="385"/>
      <c r="JS74" s="451"/>
      <c r="JT74" s="384">
        <v>4</v>
      </c>
      <c r="JU74" s="385">
        <v>6</v>
      </c>
      <c r="JV74" s="451">
        <v>40</v>
      </c>
      <c r="JW74" s="384">
        <v>9</v>
      </c>
      <c r="JX74" s="385">
        <v>7</v>
      </c>
      <c r="JY74" s="451">
        <v>56.3</v>
      </c>
      <c r="JZ74" s="384">
        <v>2</v>
      </c>
      <c r="KA74" s="385">
        <v>4</v>
      </c>
      <c r="KB74" s="451">
        <v>33.299999999999997</v>
      </c>
      <c r="KC74" s="384"/>
      <c r="KD74" s="385"/>
      <c r="KE74" s="451"/>
      <c r="KF74" s="384">
        <v>2</v>
      </c>
      <c r="KG74" s="385">
        <v>2</v>
      </c>
      <c r="KH74" s="451">
        <v>50</v>
      </c>
      <c r="KI74" s="384">
        <v>2</v>
      </c>
      <c r="KJ74" s="385">
        <v>4</v>
      </c>
      <c r="KK74" s="451">
        <v>33.299999999999997</v>
      </c>
      <c r="KL74" s="384">
        <v>2</v>
      </c>
      <c r="KM74" s="385">
        <v>1</v>
      </c>
      <c r="KN74" s="451">
        <v>66.7</v>
      </c>
      <c r="KO74" s="384"/>
      <c r="KP74" s="385"/>
      <c r="KQ74" s="451"/>
      <c r="KR74" s="384">
        <v>329</v>
      </c>
      <c r="KS74" s="385">
        <v>632</v>
      </c>
      <c r="KT74" s="451">
        <v>34.200000000000003</v>
      </c>
      <c r="KU74" s="384">
        <v>363</v>
      </c>
      <c r="KV74" s="385">
        <v>517</v>
      </c>
      <c r="KW74" s="451">
        <v>41.3</v>
      </c>
      <c r="KX74" s="384">
        <v>276</v>
      </c>
      <c r="KY74" s="385">
        <v>360</v>
      </c>
      <c r="KZ74" s="451">
        <v>43.4</v>
      </c>
      <c r="LA74" s="384"/>
      <c r="LB74" s="385"/>
      <c r="LC74" s="451"/>
      <c r="LD74" s="384">
        <v>2073</v>
      </c>
      <c r="LE74" s="385">
        <v>3202</v>
      </c>
      <c r="LF74" s="451">
        <v>39.299999999999997</v>
      </c>
      <c r="LG74" s="384">
        <v>2322</v>
      </c>
      <c r="LH74" s="385">
        <v>3554</v>
      </c>
      <c r="LI74" s="451">
        <v>39.5</v>
      </c>
      <c r="LJ74" s="384">
        <v>1240</v>
      </c>
      <c r="LK74" s="385">
        <v>3295</v>
      </c>
      <c r="LL74" s="451">
        <v>27.3</v>
      </c>
      <c r="LM74" s="384"/>
      <c r="LN74" s="385"/>
      <c r="LO74" s="451"/>
    </row>
    <row r="75" spans="1:327" x14ac:dyDescent="0.2">
      <c r="A75" s="1000" t="s">
        <v>585</v>
      </c>
      <c r="B75" s="749"/>
      <c r="C75" s="146" t="s">
        <v>586</v>
      </c>
      <c r="D75" s="441">
        <v>4</v>
      </c>
      <c r="E75" s="442"/>
      <c r="F75" s="443">
        <v>100</v>
      </c>
      <c r="G75" s="441">
        <v>3</v>
      </c>
      <c r="H75" s="442"/>
      <c r="I75" s="443">
        <v>100</v>
      </c>
      <c r="J75" s="441">
        <v>4</v>
      </c>
      <c r="K75" s="442"/>
      <c r="L75" s="443">
        <v>100</v>
      </c>
      <c r="M75" s="441"/>
      <c r="N75" s="442"/>
      <c r="O75" s="443"/>
      <c r="P75" s="441">
        <v>2</v>
      </c>
      <c r="Q75" s="442"/>
      <c r="R75" s="443">
        <v>100</v>
      </c>
      <c r="S75" s="441">
        <v>3</v>
      </c>
      <c r="T75" s="442"/>
      <c r="U75" s="443">
        <v>100</v>
      </c>
      <c r="V75" s="441">
        <v>3</v>
      </c>
      <c r="W75" s="442"/>
      <c r="X75" s="443">
        <v>100</v>
      </c>
      <c r="Y75" s="441"/>
      <c r="Z75" s="442"/>
      <c r="AA75" s="443"/>
      <c r="AB75" s="441">
        <v>1</v>
      </c>
      <c r="AC75" s="442"/>
      <c r="AD75" s="443">
        <v>100</v>
      </c>
      <c r="AE75" s="441"/>
      <c r="AF75" s="442"/>
      <c r="AG75" s="443" t="s">
        <v>6</v>
      </c>
      <c r="AH75" s="441"/>
      <c r="AI75" s="442"/>
      <c r="AJ75" s="443" t="s">
        <v>6</v>
      </c>
      <c r="AK75" s="441"/>
      <c r="AL75" s="442"/>
      <c r="AM75" s="443"/>
      <c r="AN75" s="441">
        <v>5</v>
      </c>
      <c r="AO75" s="442">
        <v>1</v>
      </c>
      <c r="AP75" s="443">
        <v>83.3</v>
      </c>
      <c r="AQ75" s="441">
        <v>4</v>
      </c>
      <c r="AR75" s="442"/>
      <c r="AS75" s="443">
        <v>100</v>
      </c>
      <c r="AT75" s="441"/>
      <c r="AU75" s="442"/>
      <c r="AV75" s="443" t="s">
        <v>6</v>
      </c>
      <c r="AW75" s="441"/>
      <c r="AX75" s="442"/>
      <c r="AY75" s="443"/>
      <c r="AZ75" s="441">
        <v>5</v>
      </c>
      <c r="BA75" s="442">
        <v>1</v>
      </c>
      <c r="BB75" s="443">
        <v>83.3</v>
      </c>
      <c r="BC75" s="441">
        <v>4</v>
      </c>
      <c r="BD75" s="442"/>
      <c r="BE75" s="443">
        <v>100</v>
      </c>
      <c r="BF75" s="441"/>
      <c r="BG75" s="442"/>
      <c r="BH75" s="443" t="s">
        <v>6</v>
      </c>
      <c r="BI75" s="441"/>
      <c r="BJ75" s="442"/>
      <c r="BK75" s="443"/>
      <c r="BL75" s="441"/>
      <c r="BM75" s="442"/>
      <c r="BN75" s="443" t="s">
        <v>6</v>
      </c>
      <c r="BO75" s="441">
        <v>2</v>
      </c>
      <c r="BP75" s="442"/>
      <c r="BQ75" s="443">
        <v>100</v>
      </c>
      <c r="BR75" s="441"/>
      <c r="BS75" s="442"/>
      <c r="BT75" s="443" t="s">
        <v>6</v>
      </c>
      <c r="BU75" s="441"/>
      <c r="BV75" s="442"/>
      <c r="BW75" s="443"/>
      <c r="BX75" s="441"/>
      <c r="BY75" s="442"/>
      <c r="BZ75" s="443" t="s">
        <v>6</v>
      </c>
      <c r="CA75" s="441"/>
      <c r="CB75" s="442"/>
      <c r="CC75" s="443" t="s">
        <v>6</v>
      </c>
      <c r="CD75" s="441"/>
      <c r="CE75" s="442"/>
      <c r="CF75" s="443" t="s">
        <v>6</v>
      </c>
      <c r="CG75" s="441"/>
      <c r="CH75" s="442"/>
      <c r="CI75" s="443"/>
      <c r="CJ75" s="441">
        <v>8</v>
      </c>
      <c r="CK75" s="442"/>
      <c r="CL75" s="443">
        <v>100</v>
      </c>
      <c r="CM75" s="441">
        <v>1</v>
      </c>
      <c r="CN75" s="442"/>
      <c r="CO75" s="443">
        <v>100</v>
      </c>
      <c r="CP75" s="441">
        <v>5</v>
      </c>
      <c r="CQ75" s="442"/>
      <c r="CR75" s="443">
        <v>100</v>
      </c>
      <c r="CS75" s="441"/>
      <c r="CT75" s="442"/>
      <c r="CU75" s="443"/>
      <c r="CV75" s="441"/>
      <c r="CW75" s="442"/>
      <c r="CX75" s="443" t="s">
        <v>6</v>
      </c>
      <c r="CY75" s="441">
        <v>2</v>
      </c>
      <c r="CZ75" s="442"/>
      <c r="DA75" s="443">
        <v>100</v>
      </c>
      <c r="DB75" s="441"/>
      <c r="DC75" s="442"/>
      <c r="DD75" s="443" t="s">
        <v>6</v>
      </c>
      <c r="DE75" s="441"/>
      <c r="DF75" s="442"/>
      <c r="DG75" s="443"/>
      <c r="DH75" s="441">
        <v>1</v>
      </c>
      <c r="DI75" s="442"/>
      <c r="DJ75" s="443">
        <v>100</v>
      </c>
      <c r="DK75" s="441"/>
      <c r="DL75" s="442"/>
      <c r="DM75" s="443" t="s">
        <v>6</v>
      </c>
      <c r="DN75" s="441"/>
      <c r="DO75" s="442"/>
      <c r="DP75" s="443" t="s">
        <v>6</v>
      </c>
      <c r="DQ75" s="441"/>
      <c r="DR75" s="442"/>
      <c r="DS75" s="443"/>
      <c r="DT75" s="441">
        <v>2</v>
      </c>
      <c r="DU75" s="442"/>
      <c r="DV75" s="443">
        <v>100</v>
      </c>
      <c r="DW75" s="441"/>
      <c r="DX75" s="442"/>
      <c r="DY75" s="443" t="s">
        <v>6</v>
      </c>
      <c r="DZ75" s="441"/>
      <c r="EA75" s="442"/>
      <c r="EB75" s="443" t="s">
        <v>6</v>
      </c>
      <c r="EC75" s="441"/>
      <c r="ED75" s="442"/>
      <c r="EE75" s="443"/>
      <c r="EF75" s="441">
        <v>42</v>
      </c>
      <c r="EG75" s="442">
        <v>3</v>
      </c>
      <c r="EH75" s="443">
        <v>93.3</v>
      </c>
      <c r="EI75" s="441">
        <v>1</v>
      </c>
      <c r="EJ75" s="442">
        <v>1</v>
      </c>
      <c r="EK75" s="443">
        <v>50</v>
      </c>
      <c r="EL75" s="441">
        <v>5</v>
      </c>
      <c r="EM75" s="442">
        <v>2</v>
      </c>
      <c r="EN75" s="443">
        <v>71.400000000000006</v>
      </c>
      <c r="EO75" s="441"/>
      <c r="EP75" s="442"/>
      <c r="EQ75" s="443"/>
      <c r="ER75" s="441"/>
      <c r="ES75" s="442">
        <v>1</v>
      </c>
      <c r="ET75" s="443">
        <v>0</v>
      </c>
      <c r="EU75" s="441"/>
      <c r="EV75" s="442"/>
      <c r="EW75" s="443" t="s">
        <v>6</v>
      </c>
      <c r="EX75" s="441"/>
      <c r="EY75" s="442"/>
      <c r="EZ75" s="443" t="s">
        <v>6</v>
      </c>
      <c r="FA75" s="441"/>
      <c r="FB75" s="442"/>
      <c r="FC75" s="443"/>
      <c r="FD75" s="441"/>
      <c r="FE75" s="442"/>
      <c r="FF75" s="443" t="s">
        <v>6</v>
      </c>
      <c r="FG75" s="441"/>
      <c r="FH75" s="442"/>
      <c r="FI75" s="443" t="s">
        <v>6</v>
      </c>
      <c r="FJ75" s="441">
        <v>1</v>
      </c>
      <c r="FK75" s="442">
        <v>1</v>
      </c>
      <c r="FL75" s="443">
        <v>50</v>
      </c>
      <c r="FM75" s="441"/>
      <c r="FN75" s="442"/>
      <c r="FO75" s="443"/>
      <c r="FP75" s="441">
        <v>5</v>
      </c>
      <c r="FQ75" s="442">
        <v>1</v>
      </c>
      <c r="FR75" s="443">
        <v>83.3</v>
      </c>
      <c r="FS75" s="441"/>
      <c r="FT75" s="442"/>
      <c r="FU75" s="443" t="s">
        <v>6</v>
      </c>
      <c r="FV75" s="441">
        <v>3</v>
      </c>
      <c r="FW75" s="442"/>
      <c r="FX75" s="443">
        <v>100</v>
      </c>
      <c r="FY75" s="441"/>
      <c r="FZ75" s="442"/>
      <c r="GA75" s="443"/>
      <c r="GB75" s="441">
        <v>2</v>
      </c>
      <c r="GC75" s="442"/>
      <c r="GD75" s="443">
        <v>100</v>
      </c>
      <c r="GE75" s="441"/>
      <c r="GF75" s="442"/>
      <c r="GG75" s="443" t="s">
        <v>6</v>
      </c>
      <c r="GH75" s="441">
        <v>1</v>
      </c>
      <c r="GI75" s="442"/>
      <c r="GJ75" s="443">
        <v>100</v>
      </c>
      <c r="GK75" s="441"/>
      <c r="GL75" s="442"/>
      <c r="GM75" s="443"/>
      <c r="GN75" s="441"/>
      <c r="GO75" s="442"/>
      <c r="GP75" s="443" t="s">
        <v>6</v>
      </c>
      <c r="GQ75" s="441">
        <v>1</v>
      </c>
      <c r="GR75" s="442"/>
      <c r="GS75" s="443">
        <v>100</v>
      </c>
      <c r="GT75" s="441">
        <v>1</v>
      </c>
      <c r="GU75" s="442"/>
      <c r="GV75" s="443">
        <v>100</v>
      </c>
      <c r="GW75" s="441"/>
      <c r="GX75" s="442"/>
      <c r="GY75" s="443"/>
      <c r="GZ75" s="441">
        <v>1</v>
      </c>
      <c r="HA75" s="442"/>
      <c r="HB75" s="443">
        <v>100</v>
      </c>
      <c r="HC75" s="441"/>
      <c r="HD75" s="442"/>
      <c r="HE75" s="443" t="s">
        <v>6</v>
      </c>
      <c r="HF75" s="441"/>
      <c r="HG75" s="442"/>
      <c r="HH75" s="443" t="s">
        <v>6</v>
      </c>
      <c r="HI75" s="441"/>
      <c r="HJ75" s="442"/>
      <c r="HK75" s="443"/>
      <c r="HL75" s="441"/>
      <c r="HM75" s="442"/>
      <c r="HN75" s="443" t="s">
        <v>6</v>
      </c>
      <c r="HO75" s="441"/>
      <c r="HP75" s="442"/>
      <c r="HQ75" s="443" t="s">
        <v>6</v>
      </c>
      <c r="HR75" s="441"/>
      <c r="HS75" s="442"/>
      <c r="HT75" s="443" t="s">
        <v>6</v>
      </c>
      <c r="HU75" s="441"/>
      <c r="HV75" s="442"/>
      <c r="HW75" s="443"/>
      <c r="HX75" s="441"/>
      <c r="HY75" s="442">
        <v>1</v>
      </c>
      <c r="HZ75" s="443">
        <v>0</v>
      </c>
      <c r="IA75" s="441"/>
      <c r="IB75" s="442"/>
      <c r="IC75" s="443" t="s">
        <v>6</v>
      </c>
      <c r="ID75" s="441"/>
      <c r="IE75" s="442"/>
      <c r="IF75" s="443" t="s">
        <v>6</v>
      </c>
      <c r="IG75" s="441"/>
      <c r="IH75" s="442"/>
      <c r="II75" s="443"/>
      <c r="IJ75" s="441">
        <v>1</v>
      </c>
      <c r="IK75" s="442"/>
      <c r="IL75" s="443">
        <v>100</v>
      </c>
      <c r="IM75" s="441"/>
      <c r="IN75" s="442"/>
      <c r="IO75" s="443" t="s">
        <v>6</v>
      </c>
      <c r="IP75" s="441"/>
      <c r="IQ75" s="442"/>
      <c r="IR75" s="443" t="s">
        <v>6</v>
      </c>
      <c r="IS75" s="441"/>
      <c r="IT75" s="442"/>
      <c r="IU75" s="443"/>
      <c r="IV75" s="441">
        <v>66</v>
      </c>
      <c r="IW75" s="442">
        <v>5</v>
      </c>
      <c r="IX75" s="443">
        <v>93</v>
      </c>
      <c r="IY75" s="441">
        <v>12</v>
      </c>
      <c r="IZ75" s="442">
        <v>1</v>
      </c>
      <c r="JA75" s="443">
        <v>92.3</v>
      </c>
      <c r="JB75" s="441">
        <v>16</v>
      </c>
      <c r="JC75" s="442">
        <v>2</v>
      </c>
      <c r="JD75" s="443">
        <v>88.9</v>
      </c>
      <c r="JE75" s="441"/>
      <c r="JF75" s="442"/>
      <c r="JG75" s="443"/>
      <c r="JH75" s="441">
        <v>7</v>
      </c>
      <c r="JI75" s="442">
        <v>1</v>
      </c>
      <c r="JJ75" s="443">
        <v>87.5</v>
      </c>
      <c r="JK75" s="441">
        <v>3</v>
      </c>
      <c r="JL75" s="442"/>
      <c r="JM75" s="443">
        <v>100</v>
      </c>
      <c r="JN75" s="441">
        <v>2</v>
      </c>
      <c r="JO75" s="442">
        <v>1</v>
      </c>
      <c r="JP75" s="443">
        <v>66.7</v>
      </c>
      <c r="JQ75" s="441"/>
      <c r="JR75" s="442"/>
      <c r="JS75" s="443"/>
      <c r="JT75" s="441"/>
      <c r="JU75" s="442"/>
      <c r="JV75" s="443" t="s">
        <v>6</v>
      </c>
      <c r="JW75" s="441"/>
      <c r="JX75" s="442"/>
      <c r="JY75" s="443" t="s">
        <v>6</v>
      </c>
      <c r="JZ75" s="441"/>
      <c r="KA75" s="442"/>
      <c r="KB75" s="443" t="s">
        <v>6</v>
      </c>
      <c r="KC75" s="441"/>
      <c r="KD75" s="442"/>
      <c r="KE75" s="443"/>
      <c r="KF75" s="441"/>
      <c r="KG75" s="442"/>
      <c r="KH75" s="443" t="s">
        <v>6</v>
      </c>
      <c r="KI75" s="441"/>
      <c r="KJ75" s="442"/>
      <c r="KK75" s="443" t="s">
        <v>6</v>
      </c>
      <c r="KL75" s="441">
        <v>1</v>
      </c>
      <c r="KM75" s="442"/>
      <c r="KN75" s="443">
        <v>100</v>
      </c>
      <c r="KO75" s="441"/>
      <c r="KP75" s="442"/>
      <c r="KQ75" s="443"/>
      <c r="KR75" s="441">
        <v>8</v>
      </c>
      <c r="KS75" s="442">
        <v>2</v>
      </c>
      <c r="KT75" s="443">
        <v>80</v>
      </c>
      <c r="KU75" s="441">
        <v>7</v>
      </c>
      <c r="KV75" s="442"/>
      <c r="KW75" s="443">
        <v>100</v>
      </c>
      <c r="KX75" s="441">
        <v>8</v>
      </c>
      <c r="KY75" s="442">
        <v>2</v>
      </c>
      <c r="KZ75" s="443">
        <v>80</v>
      </c>
      <c r="LA75" s="441"/>
      <c r="LB75" s="442"/>
      <c r="LC75" s="443"/>
      <c r="LD75" s="441">
        <v>131</v>
      </c>
      <c r="LE75" s="442">
        <v>13</v>
      </c>
      <c r="LF75" s="443">
        <v>91</v>
      </c>
      <c r="LG75" s="441">
        <v>34</v>
      </c>
      <c r="LH75" s="442">
        <v>2</v>
      </c>
      <c r="LI75" s="443">
        <v>94.4</v>
      </c>
      <c r="LJ75" s="441">
        <v>36</v>
      </c>
      <c r="LK75" s="442">
        <v>8</v>
      </c>
      <c r="LL75" s="443">
        <v>81.8</v>
      </c>
      <c r="LM75" s="441"/>
      <c r="LN75" s="442"/>
      <c r="LO75" s="443"/>
    </row>
    <row r="76" spans="1:327" x14ac:dyDescent="0.2">
      <c r="A76" s="1001"/>
      <c r="B76" s="747"/>
      <c r="C76" s="151" t="s">
        <v>684</v>
      </c>
      <c r="D76" s="377"/>
      <c r="E76" s="373"/>
      <c r="F76" s="444" t="s">
        <v>6</v>
      </c>
      <c r="G76" s="377"/>
      <c r="H76" s="373"/>
      <c r="I76" s="444" t="s">
        <v>6</v>
      </c>
      <c r="J76" s="377"/>
      <c r="K76" s="373"/>
      <c r="L76" s="444" t="s">
        <v>6</v>
      </c>
      <c r="M76" s="377"/>
      <c r="N76" s="373"/>
      <c r="O76" s="444"/>
      <c r="P76" s="377"/>
      <c r="Q76" s="373"/>
      <c r="R76" s="444" t="s">
        <v>6</v>
      </c>
      <c r="S76" s="377"/>
      <c r="T76" s="373"/>
      <c r="U76" s="444" t="s">
        <v>6</v>
      </c>
      <c r="V76" s="377"/>
      <c r="W76" s="373"/>
      <c r="X76" s="444" t="s">
        <v>6</v>
      </c>
      <c r="Y76" s="377"/>
      <c r="Z76" s="373"/>
      <c r="AA76" s="444"/>
      <c r="AB76" s="377"/>
      <c r="AC76" s="373"/>
      <c r="AD76" s="444" t="s">
        <v>6</v>
      </c>
      <c r="AE76" s="377"/>
      <c r="AF76" s="373"/>
      <c r="AG76" s="444" t="s">
        <v>6</v>
      </c>
      <c r="AH76" s="377"/>
      <c r="AI76" s="373"/>
      <c r="AJ76" s="444" t="s">
        <v>6</v>
      </c>
      <c r="AK76" s="377"/>
      <c r="AL76" s="373"/>
      <c r="AM76" s="444"/>
      <c r="AN76" s="377">
        <v>30</v>
      </c>
      <c r="AO76" s="373">
        <v>19</v>
      </c>
      <c r="AP76" s="444">
        <v>61.2</v>
      </c>
      <c r="AQ76" s="377">
        <v>50</v>
      </c>
      <c r="AR76" s="373">
        <v>17</v>
      </c>
      <c r="AS76" s="444">
        <v>74.599999999999994</v>
      </c>
      <c r="AT76" s="377">
        <v>47</v>
      </c>
      <c r="AU76" s="373">
        <v>6</v>
      </c>
      <c r="AV76" s="444">
        <v>88.7</v>
      </c>
      <c r="AW76" s="377"/>
      <c r="AX76" s="373"/>
      <c r="AY76" s="444"/>
      <c r="AZ76" s="377">
        <v>20</v>
      </c>
      <c r="BA76" s="373">
        <v>17</v>
      </c>
      <c r="BB76" s="444">
        <v>54.1</v>
      </c>
      <c r="BC76" s="377">
        <v>37</v>
      </c>
      <c r="BD76" s="373">
        <v>16</v>
      </c>
      <c r="BE76" s="444">
        <v>69.8</v>
      </c>
      <c r="BF76" s="377">
        <v>31</v>
      </c>
      <c r="BG76" s="373">
        <v>6</v>
      </c>
      <c r="BH76" s="444">
        <v>83.8</v>
      </c>
      <c r="BI76" s="377"/>
      <c r="BJ76" s="373"/>
      <c r="BK76" s="444"/>
      <c r="BL76" s="377"/>
      <c r="BM76" s="373"/>
      <c r="BN76" s="444" t="s">
        <v>6</v>
      </c>
      <c r="BO76" s="377"/>
      <c r="BP76" s="373"/>
      <c r="BQ76" s="444" t="s">
        <v>6</v>
      </c>
      <c r="BR76" s="377"/>
      <c r="BS76" s="373"/>
      <c r="BT76" s="444" t="s">
        <v>6</v>
      </c>
      <c r="BU76" s="377"/>
      <c r="BV76" s="373"/>
      <c r="BW76" s="444"/>
      <c r="BX76" s="377"/>
      <c r="BY76" s="373"/>
      <c r="BZ76" s="444" t="s">
        <v>6</v>
      </c>
      <c r="CA76" s="377"/>
      <c r="CB76" s="373"/>
      <c r="CC76" s="444" t="s">
        <v>6</v>
      </c>
      <c r="CD76" s="377"/>
      <c r="CE76" s="373"/>
      <c r="CF76" s="444" t="s">
        <v>6</v>
      </c>
      <c r="CG76" s="377"/>
      <c r="CH76" s="373"/>
      <c r="CI76" s="444"/>
      <c r="CJ76" s="377"/>
      <c r="CK76" s="373"/>
      <c r="CL76" s="444" t="s">
        <v>6</v>
      </c>
      <c r="CM76" s="377"/>
      <c r="CN76" s="373"/>
      <c r="CO76" s="444" t="s">
        <v>6</v>
      </c>
      <c r="CP76" s="377"/>
      <c r="CQ76" s="373"/>
      <c r="CR76" s="444" t="s">
        <v>6</v>
      </c>
      <c r="CS76" s="377"/>
      <c r="CT76" s="373"/>
      <c r="CU76" s="444"/>
      <c r="CV76" s="377">
        <v>26</v>
      </c>
      <c r="CW76" s="373">
        <v>13</v>
      </c>
      <c r="CX76" s="444">
        <v>66.7</v>
      </c>
      <c r="CY76" s="377">
        <v>41</v>
      </c>
      <c r="CZ76" s="373">
        <v>9</v>
      </c>
      <c r="DA76" s="444">
        <v>82</v>
      </c>
      <c r="DB76" s="377">
        <v>46</v>
      </c>
      <c r="DC76" s="373">
        <v>5</v>
      </c>
      <c r="DD76" s="444">
        <v>90.2</v>
      </c>
      <c r="DE76" s="377"/>
      <c r="DF76" s="373"/>
      <c r="DG76" s="444"/>
      <c r="DH76" s="377"/>
      <c r="DI76" s="373"/>
      <c r="DJ76" s="444" t="s">
        <v>6</v>
      </c>
      <c r="DK76" s="377"/>
      <c r="DL76" s="373"/>
      <c r="DM76" s="444" t="s">
        <v>6</v>
      </c>
      <c r="DN76" s="377"/>
      <c r="DO76" s="373"/>
      <c r="DP76" s="444" t="s">
        <v>6</v>
      </c>
      <c r="DQ76" s="377"/>
      <c r="DR76" s="373"/>
      <c r="DS76" s="444"/>
      <c r="DT76" s="377"/>
      <c r="DU76" s="373"/>
      <c r="DV76" s="444" t="s">
        <v>6</v>
      </c>
      <c r="DW76" s="377">
        <v>5</v>
      </c>
      <c r="DX76" s="373"/>
      <c r="DY76" s="444">
        <v>100</v>
      </c>
      <c r="DZ76" s="377">
        <v>6</v>
      </c>
      <c r="EA76" s="373"/>
      <c r="EB76" s="444">
        <v>100</v>
      </c>
      <c r="EC76" s="377"/>
      <c r="ED76" s="373"/>
      <c r="EE76" s="444"/>
      <c r="EF76" s="377">
        <v>271</v>
      </c>
      <c r="EG76" s="373">
        <v>1148</v>
      </c>
      <c r="EH76" s="444">
        <v>19.100000000000001</v>
      </c>
      <c r="EI76" s="377">
        <v>176</v>
      </c>
      <c r="EJ76" s="373">
        <v>879</v>
      </c>
      <c r="EK76" s="444">
        <v>16.7</v>
      </c>
      <c r="EL76" s="377">
        <v>195</v>
      </c>
      <c r="EM76" s="373">
        <v>561</v>
      </c>
      <c r="EN76" s="444">
        <v>25.8</v>
      </c>
      <c r="EO76" s="377"/>
      <c r="EP76" s="373"/>
      <c r="EQ76" s="444"/>
      <c r="ER76" s="377">
        <v>5</v>
      </c>
      <c r="ES76" s="373">
        <v>12</v>
      </c>
      <c r="ET76" s="444">
        <v>29.4</v>
      </c>
      <c r="EU76" s="377">
        <v>1</v>
      </c>
      <c r="EV76" s="373">
        <v>5</v>
      </c>
      <c r="EW76" s="444">
        <v>16.7</v>
      </c>
      <c r="EX76" s="377">
        <v>1</v>
      </c>
      <c r="EY76" s="373">
        <v>4</v>
      </c>
      <c r="EZ76" s="444">
        <v>20</v>
      </c>
      <c r="FA76" s="377"/>
      <c r="FB76" s="373"/>
      <c r="FC76" s="444"/>
      <c r="FD76" s="377">
        <v>18</v>
      </c>
      <c r="FE76" s="373">
        <v>32</v>
      </c>
      <c r="FF76" s="444">
        <v>36</v>
      </c>
      <c r="FG76" s="377"/>
      <c r="FH76" s="373">
        <v>27</v>
      </c>
      <c r="FI76" s="444">
        <v>0</v>
      </c>
      <c r="FJ76" s="377">
        <v>3</v>
      </c>
      <c r="FK76" s="373">
        <v>2</v>
      </c>
      <c r="FL76" s="444">
        <v>60</v>
      </c>
      <c r="FM76" s="377"/>
      <c r="FN76" s="373"/>
      <c r="FO76" s="444"/>
      <c r="FP76" s="377">
        <v>55</v>
      </c>
      <c r="FQ76" s="373">
        <v>222</v>
      </c>
      <c r="FR76" s="444">
        <v>19.899999999999999</v>
      </c>
      <c r="FS76" s="377">
        <v>72</v>
      </c>
      <c r="FT76" s="373">
        <v>213</v>
      </c>
      <c r="FU76" s="444">
        <v>25.3</v>
      </c>
      <c r="FV76" s="377">
        <v>21</v>
      </c>
      <c r="FW76" s="373">
        <v>85</v>
      </c>
      <c r="FX76" s="444">
        <v>19.8</v>
      </c>
      <c r="FY76" s="377"/>
      <c r="FZ76" s="373"/>
      <c r="GA76" s="444"/>
      <c r="GB76" s="377">
        <v>11</v>
      </c>
      <c r="GC76" s="373">
        <v>3</v>
      </c>
      <c r="GD76" s="444">
        <v>78.599999999999994</v>
      </c>
      <c r="GE76" s="377">
        <v>4</v>
      </c>
      <c r="GF76" s="373">
        <v>1</v>
      </c>
      <c r="GG76" s="444">
        <v>80</v>
      </c>
      <c r="GH76" s="377">
        <v>4</v>
      </c>
      <c r="GI76" s="373"/>
      <c r="GJ76" s="444">
        <v>100</v>
      </c>
      <c r="GK76" s="377"/>
      <c r="GL76" s="373"/>
      <c r="GM76" s="444"/>
      <c r="GN76" s="377">
        <v>12</v>
      </c>
      <c r="GO76" s="373">
        <v>3</v>
      </c>
      <c r="GP76" s="444">
        <v>80</v>
      </c>
      <c r="GQ76" s="377">
        <v>13</v>
      </c>
      <c r="GR76" s="373">
        <v>2</v>
      </c>
      <c r="GS76" s="444">
        <v>86.7</v>
      </c>
      <c r="GT76" s="377">
        <v>15</v>
      </c>
      <c r="GU76" s="373">
        <v>6</v>
      </c>
      <c r="GV76" s="444">
        <v>71.400000000000006</v>
      </c>
      <c r="GW76" s="377"/>
      <c r="GX76" s="373"/>
      <c r="GY76" s="444"/>
      <c r="GZ76" s="377">
        <v>1</v>
      </c>
      <c r="HA76" s="373"/>
      <c r="HB76" s="444">
        <v>100</v>
      </c>
      <c r="HC76" s="377"/>
      <c r="HD76" s="373"/>
      <c r="HE76" s="444" t="s">
        <v>6</v>
      </c>
      <c r="HF76" s="377">
        <v>3</v>
      </c>
      <c r="HG76" s="373"/>
      <c r="HH76" s="444">
        <v>100</v>
      </c>
      <c r="HI76" s="377"/>
      <c r="HJ76" s="373"/>
      <c r="HK76" s="444"/>
      <c r="HL76" s="377">
        <v>19</v>
      </c>
      <c r="HM76" s="373">
        <v>91</v>
      </c>
      <c r="HN76" s="444">
        <v>17.3</v>
      </c>
      <c r="HO76" s="377">
        <v>14</v>
      </c>
      <c r="HP76" s="373">
        <v>71</v>
      </c>
      <c r="HQ76" s="444">
        <v>16.5</v>
      </c>
      <c r="HR76" s="377">
        <v>20</v>
      </c>
      <c r="HS76" s="373">
        <v>41</v>
      </c>
      <c r="HT76" s="444">
        <v>32.799999999999997</v>
      </c>
      <c r="HU76" s="377"/>
      <c r="HV76" s="373"/>
      <c r="HW76" s="444"/>
      <c r="HX76" s="377">
        <v>10</v>
      </c>
      <c r="HY76" s="373"/>
      <c r="HZ76" s="444">
        <v>100</v>
      </c>
      <c r="IA76" s="377"/>
      <c r="IB76" s="373"/>
      <c r="IC76" s="444" t="s">
        <v>6</v>
      </c>
      <c r="ID76" s="377"/>
      <c r="IE76" s="373"/>
      <c r="IF76" s="444" t="s">
        <v>6</v>
      </c>
      <c r="IG76" s="377"/>
      <c r="IH76" s="373"/>
      <c r="II76" s="444"/>
      <c r="IJ76" s="377">
        <v>5</v>
      </c>
      <c r="IK76" s="373">
        <v>2</v>
      </c>
      <c r="IL76" s="444">
        <v>71.400000000000006</v>
      </c>
      <c r="IM76" s="377">
        <v>1</v>
      </c>
      <c r="IN76" s="373"/>
      <c r="IO76" s="444">
        <v>100</v>
      </c>
      <c r="IP76" s="377">
        <v>7</v>
      </c>
      <c r="IQ76" s="373"/>
      <c r="IR76" s="444">
        <v>100</v>
      </c>
      <c r="IS76" s="377"/>
      <c r="IT76" s="373"/>
      <c r="IU76" s="444"/>
      <c r="IV76" s="377">
        <v>385</v>
      </c>
      <c r="IW76" s="373">
        <v>1279</v>
      </c>
      <c r="IX76" s="444">
        <v>23.1</v>
      </c>
      <c r="IY76" s="377">
        <v>304</v>
      </c>
      <c r="IZ76" s="373">
        <v>979</v>
      </c>
      <c r="JA76" s="444">
        <v>23.7</v>
      </c>
      <c r="JB76" s="377">
        <v>343</v>
      </c>
      <c r="JC76" s="373">
        <v>619</v>
      </c>
      <c r="JD76" s="444">
        <v>35.700000000000003</v>
      </c>
      <c r="JE76" s="377"/>
      <c r="JF76" s="373"/>
      <c r="JG76" s="444"/>
      <c r="JH76" s="377">
        <v>88</v>
      </c>
      <c r="JI76" s="373">
        <v>133</v>
      </c>
      <c r="JJ76" s="444">
        <v>39.799999999999997</v>
      </c>
      <c r="JK76" s="377">
        <v>69</v>
      </c>
      <c r="JL76" s="373">
        <v>44</v>
      </c>
      <c r="JM76" s="444">
        <v>61.1</v>
      </c>
      <c r="JN76" s="377">
        <v>69</v>
      </c>
      <c r="JO76" s="373">
        <v>17</v>
      </c>
      <c r="JP76" s="444">
        <v>80.2</v>
      </c>
      <c r="JQ76" s="377"/>
      <c r="JR76" s="373"/>
      <c r="JS76" s="444"/>
      <c r="JT76" s="377">
        <v>3</v>
      </c>
      <c r="JU76" s="373">
        <v>2</v>
      </c>
      <c r="JV76" s="444">
        <v>60</v>
      </c>
      <c r="JW76" s="377">
        <v>1</v>
      </c>
      <c r="JX76" s="373"/>
      <c r="JY76" s="444">
        <v>100</v>
      </c>
      <c r="JZ76" s="377">
        <v>3</v>
      </c>
      <c r="KA76" s="373"/>
      <c r="KB76" s="444">
        <v>100</v>
      </c>
      <c r="KC76" s="377"/>
      <c r="KD76" s="373"/>
      <c r="KE76" s="444"/>
      <c r="KF76" s="377">
        <v>4</v>
      </c>
      <c r="KG76" s="373">
        <v>1</v>
      </c>
      <c r="KH76" s="444">
        <v>80</v>
      </c>
      <c r="KI76" s="377">
        <v>1</v>
      </c>
      <c r="KJ76" s="373"/>
      <c r="KK76" s="444">
        <v>100</v>
      </c>
      <c r="KL76" s="377">
        <v>1</v>
      </c>
      <c r="KM76" s="373">
        <v>1</v>
      </c>
      <c r="KN76" s="444">
        <v>50</v>
      </c>
      <c r="KO76" s="377"/>
      <c r="KP76" s="373"/>
      <c r="KQ76" s="444"/>
      <c r="KR76" s="377">
        <v>103</v>
      </c>
      <c r="KS76" s="373">
        <v>162</v>
      </c>
      <c r="KT76" s="444">
        <v>38.9</v>
      </c>
      <c r="KU76" s="377">
        <v>91</v>
      </c>
      <c r="KV76" s="373">
        <v>69</v>
      </c>
      <c r="KW76" s="444">
        <v>56.9</v>
      </c>
      <c r="KX76" s="377">
        <v>102</v>
      </c>
      <c r="KY76" s="373">
        <v>30</v>
      </c>
      <c r="KZ76" s="444">
        <v>77.3</v>
      </c>
      <c r="LA76" s="377"/>
      <c r="LB76" s="373"/>
      <c r="LC76" s="444"/>
      <c r="LD76" s="377">
        <v>1252</v>
      </c>
      <c r="LE76" s="373">
        <v>1578</v>
      </c>
      <c r="LF76" s="444">
        <v>44.2</v>
      </c>
      <c r="LG76" s="377">
        <v>626</v>
      </c>
      <c r="LH76" s="373">
        <v>1241</v>
      </c>
      <c r="LI76" s="444">
        <v>33.5</v>
      </c>
      <c r="LJ76" s="377">
        <v>1037</v>
      </c>
      <c r="LK76" s="373">
        <v>969</v>
      </c>
      <c r="LL76" s="444">
        <v>51.7</v>
      </c>
      <c r="LM76" s="377"/>
      <c r="LN76" s="373"/>
      <c r="LO76" s="444"/>
    </row>
    <row r="77" spans="1:327" x14ac:dyDescent="0.2">
      <c r="A77" s="1001"/>
      <c r="B77" s="747" t="s">
        <v>621</v>
      </c>
      <c r="C77" s="151" t="s">
        <v>685</v>
      </c>
      <c r="D77" s="377"/>
      <c r="E77" s="373"/>
      <c r="F77" s="444" t="s">
        <v>6</v>
      </c>
      <c r="G77" s="377"/>
      <c r="H77" s="373"/>
      <c r="I77" s="444" t="s">
        <v>6</v>
      </c>
      <c r="J77" s="377"/>
      <c r="K77" s="373"/>
      <c r="L77" s="444" t="s">
        <v>6</v>
      </c>
      <c r="M77" s="377"/>
      <c r="N77" s="373"/>
      <c r="O77" s="444"/>
      <c r="P77" s="377"/>
      <c r="Q77" s="373"/>
      <c r="R77" s="444" t="s">
        <v>6</v>
      </c>
      <c r="S77" s="377"/>
      <c r="T77" s="373"/>
      <c r="U77" s="444" t="s">
        <v>6</v>
      </c>
      <c r="V77" s="377"/>
      <c r="W77" s="373"/>
      <c r="X77" s="444" t="s">
        <v>6</v>
      </c>
      <c r="Y77" s="377"/>
      <c r="Z77" s="373"/>
      <c r="AA77" s="444"/>
      <c r="AB77" s="377"/>
      <c r="AC77" s="373"/>
      <c r="AD77" s="444" t="s">
        <v>6</v>
      </c>
      <c r="AE77" s="377"/>
      <c r="AF77" s="373"/>
      <c r="AG77" s="444" t="s">
        <v>6</v>
      </c>
      <c r="AH77" s="377"/>
      <c r="AI77" s="373"/>
      <c r="AJ77" s="444" t="s">
        <v>6</v>
      </c>
      <c r="AK77" s="377"/>
      <c r="AL77" s="373"/>
      <c r="AM77" s="444"/>
      <c r="AN77" s="377">
        <v>38</v>
      </c>
      <c r="AO77" s="373"/>
      <c r="AP77" s="444">
        <v>100</v>
      </c>
      <c r="AQ77" s="377">
        <v>12</v>
      </c>
      <c r="AR77" s="373">
        <v>1</v>
      </c>
      <c r="AS77" s="444">
        <v>92.3</v>
      </c>
      <c r="AT77" s="377">
        <v>18</v>
      </c>
      <c r="AU77" s="373">
        <v>2</v>
      </c>
      <c r="AV77" s="444">
        <v>90</v>
      </c>
      <c r="AW77" s="377"/>
      <c r="AX77" s="373"/>
      <c r="AY77" s="444"/>
      <c r="AZ77" s="377">
        <v>11</v>
      </c>
      <c r="BA77" s="373"/>
      <c r="BB77" s="444">
        <v>100</v>
      </c>
      <c r="BC77" s="377">
        <v>8</v>
      </c>
      <c r="BD77" s="373">
        <v>1</v>
      </c>
      <c r="BE77" s="444">
        <v>88.9</v>
      </c>
      <c r="BF77" s="377">
        <v>4</v>
      </c>
      <c r="BG77" s="373">
        <v>1</v>
      </c>
      <c r="BH77" s="444">
        <v>80</v>
      </c>
      <c r="BI77" s="377"/>
      <c r="BJ77" s="373"/>
      <c r="BK77" s="444"/>
      <c r="BL77" s="377"/>
      <c r="BM77" s="373"/>
      <c r="BN77" s="444" t="s">
        <v>6</v>
      </c>
      <c r="BO77" s="377"/>
      <c r="BP77" s="373"/>
      <c r="BQ77" s="444" t="s">
        <v>6</v>
      </c>
      <c r="BR77" s="377"/>
      <c r="BS77" s="373"/>
      <c r="BT77" s="444" t="s">
        <v>6</v>
      </c>
      <c r="BU77" s="377"/>
      <c r="BV77" s="373"/>
      <c r="BW77" s="444"/>
      <c r="BX77" s="377"/>
      <c r="BY77" s="373"/>
      <c r="BZ77" s="444" t="s">
        <v>6</v>
      </c>
      <c r="CA77" s="377"/>
      <c r="CB77" s="373"/>
      <c r="CC77" s="444" t="s">
        <v>6</v>
      </c>
      <c r="CD77" s="377"/>
      <c r="CE77" s="373"/>
      <c r="CF77" s="444" t="s">
        <v>6</v>
      </c>
      <c r="CG77" s="377"/>
      <c r="CH77" s="373"/>
      <c r="CI77" s="444"/>
      <c r="CJ77" s="377"/>
      <c r="CK77" s="373"/>
      <c r="CL77" s="444" t="s">
        <v>6</v>
      </c>
      <c r="CM77" s="377"/>
      <c r="CN77" s="373"/>
      <c r="CO77" s="444" t="s">
        <v>6</v>
      </c>
      <c r="CP77" s="377"/>
      <c r="CQ77" s="373"/>
      <c r="CR77" s="444" t="s">
        <v>6</v>
      </c>
      <c r="CS77" s="377"/>
      <c r="CT77" s="373"/>
      <c r="CU77" s="444"/>
      <c r="CV77" s="377">
        <v>82</v>
      </c>
      <c r="CW77" s="373">
        <v>3</v>
      </c>
      <c r="CX77" s="444">
        <v>96.5</v>
      </c>
      <c r="CY77" s="377">
        <v>13</v>
      </c>
      <c r="CZ77" s="373"/>
      <c r="DA77" s="444">
        <v>100</v>
      </c>
      <c r="DB77" s="377">
        <v>38</v>
      </c>
      <c r="DC77" s="373">
        <v>1</v>
      </c>
      <c r="DD77" s="444">
        <v>97.4</v>
      </c>
      <c r="DE77" s="377"/>
      <c r="DF77" s="373"/>
      <c r="DG77" s="444"/>
      <c r="DH77" s="377"/>
      <c r="DI77" s="373"/>
      <c r="DJ77" s="444" t="s">
        <v>6</v>
      </c>
      <c r="DK77" s="377">
        <v>2</v>
      </c>
      <c r="DL77" s="373"/>
      <c r="DM77" s="444">
        <v>100</v>
      </c>
      <c r="DN77" s="377"/>
      <c r="DO77" s="373"/>
      <c r="DP77" s="444" t="s">
        <v>6</v>
      </c>
      <c r="DQ77" s="377"/>
      <c r="DR77" s="373"/>
      <c r="DS77" s="444"/>
      <c r="DT77" s="377"/>
      <c r="DU77" s="373"/>
      <c r="DV77" s="444" t="s">
        <v>6</v>
      </c>
      <c r="DW77" s="377">
        <v>1</v>
      </c>
      <c r="DX77" s="373"/>
      <c r="DY77" s="444">
        <v>100</v>
      </c>
      <c r="DZ77" s="377"/>
      <c r="EA77" s="373"/>
      <c r="EB77" s="444" t="s">
        <v>6</v>
      </c>
      <c r="EC77" s="377"/>
      <c r="ED77" s="373"/>
      <c r="EE77" s="444"/>
      <c r="EF77" s="377">
        <v>179</v>
      </c>
      <c r="EG77" s="373">
        <v>185</v>
      </c>
      <c r="EH77" s="444">
        <v>49.2</v>
      </c>
      <c r="EI77" s="377">
        <v>63</v>
      </c>
      <c r="EJ77" s="373">
        <v>148</v>
      </c>
      <c r="EK77" s="444">
        <v>29.9</v>
      </c>
      <c r="EL77" s="377">
        <v>108</v>
      </c>
      <c r="EM77" s="373">
        <v>165</v>
      </c>
      <c r="EN77" s="444">
        <v>39.6</v>
      </c>
      <c r="EO77" s="377"/>
      <c r="EP77" s="373"/>
      <c r="EQ77" s="444"/>
      <c r="ER77" s="377"/>
      <c r="ES77" s="373"/>
      <c r="ET77" s="444" t="s">
        <v>6</v>
      </c>
      <c r="EU77" s="377"/>
      <c r="EV77" s="373">
        <v>1</v>
      </c>
      <c r="EW77" s="444">
        <v>0</v>
      </c>
      <c r="EX77" s="377">
        <v>1</v>
      </c>
      <c r="EY77" s="373"/>
      <c r="EZ77" s="444">
        <v>100</v>
      </c>
      <c r="FA77" s="377"/>
      <c r="FB77" s="373"/>
      <c r="FC77" s="444"/>
      <c r="FD77" s="377">
        <v>1</v>
      </c>
      <c r="FE77" s="373">
        <v>5</v>
      </c>
      <c r="FF77" s="444">
        <v>16.7</v>
      </c>
      <c r="FG77" s="377">
        <v>2</v>
      </c>
      <c r="FH77" s="373">
        <v>3</v>
      </c>
      <c r="FI77" s="444">
        <v>40</v>
      </c>
      <c r="FJ77" s="377">
        <v>4</v>
      </c>
      <c r="FK77" s="373"/>
      <c r="FL77" s="444">
        <v>100</v>
      </c>
      <c r="FM77" s="377"/>
      <c r="FN77" s="373"/>
      <c r="FO77" s="444"/>
      <c r="FP77" s="377">
        <v>103</v>
      </c>
      <c r="FQ77" s="373">
        <v>20</v>
      </c>
      <c r="FR77" s="444">
        <v>83.7</v>
      </c>
      <c r="FS77" s="377">
        <v>30</v>
      </c>
      <c r="FT77" s="373">
        <v>21</v>
      </c>
      <c r="FU77" s="444">
        <v>58.8</v>
      </c>
      <c r="FV77" s="377">
        <v>33</v>
      </c>
      <c r="FW77" s="373">
        <v>16</v>
      </c>
      <c r="FX77" s="444">
        <v>67.3</v>
      </c>
      <c r="FY77" s="377"/>
      <c r="FZ77" s="373"/>
      <c r="GA77" s="444"/>
      <c r="GB77" s="377"/>
      <c r="GC77" s="373"/>
      <c r="GD77" s="444" t="s">
        <v>6</v>
      </c>
      <c r="GE77" s="377">
        <v>3</v>
      </c>
      <c r="GF77" s="373"/>
      <c r="GG77" s="444">
        <v>100</v>
      </c>
      <c r="GH77" s="377">
        <v>7</v>
      </c>
      <c r="GI77" s="373">
        <v>1</v>
      </c>
      <c r="GJ77" s="444">
        <v>87.5</v>
      </c>
      <c r="GK77" s="377"/>
      <c r="GL77" s="373"/>
      <c r="GM77" s="444"/>
      <c r="GN77" s="377">
        <v>1</v>
      </c>
      <c r="GO77" s="373"/>
      <c r="GP77" s="444">
        <v>100</v>
      </c>
      <c r="GQ77" s="377"/>
      <c r="GR77" s="373"/>
      <c r="GS77" s="444" t="s">
        <v>6</v>
      </c>
      <c r="GT77" s="377">
        <v>4</v>
      </c>
      <c r="GU77" s="373"/>
      <c r="GV77" s="444">
        <v>100</v>
      </c>
      <c r="GW77" s="377"/>
      <c r="GX77" s="373"/>
      <c r="GY77" s="444"/>
      <c r="GZ77" s="377"/>
      <c r="HA77" s="373"/>
      <c r="HB77" s="444" t="s">
        <v>6</v>
      </c>
      <c r="HC77" s="377"/>
      <c r="HD77" s="373"/>
      <c r="HE77" s="444" t="s">
        <v>6</v>
      </c>
      <c r="HF77" s="377"/>
      <c r="HG77" s="373"/>
      <c r="HH77" s="444" t="s">
        <v>6</v>
      </c>
      <c r="HI77" s="377"/>
      <c r="HJ77" s="373"/>
      <c r="HK77" s="444"/>
      <c r="HL77" s="377">
        <v>9</v>
      </c>
      <c r="HM77" s="373">
        <v>4</v>
      </c>
      <c r="HN77" s="444">
        <v>69.2</v>
      </c>
      <c r="HO77" s="377">
        <v>7</v>
      </c>
      <c r="HP77" s="373">
        <v>7</v>
      </c>
      <c r="HQ77" s="444">
        <v>50</v>
      </c>
      <c r="HR77" s="377">
        <v>7</v>
      </c>
      <c r="HS77" s="373">
        <v>8</v>
      </c>
      <c r="HT77" s="444">
        <v>46.7</v>
      </c>
      <c r="HU77" s="377"/>
      <c r="HV77" s="373"/>
      <c r="HW77" s="444"/>
      <c r="HX77" s="377"/>
      <c r="HY77" s="373"/>
      <c r="HZ77" s="444" t="s">
        <v>6</v>
      </c>
      <c r="IA77" s="377"/>
      <c r="IB77" s="373"/>
      <c r="IC77" s="444" t="s">
        <v>6</v>
      </c>
      <c r="ID77" s="377"/>
      <c r="IE77" s="373"/>
      <c r="IF77" s="444" t="s">
        <v>6</v>
      </c>
      <c r="IG77" s="377"/>
      <c r="IH77" s="373"/>
      <c r="II77" s="444"/>
      <c r="IJ77" s="377">
        <v>2</v>
      </c>
      <c r="IK77" s="373"/>
      <c r="IL77" s="444">
        <v>100</v>
      </c>
      <c r="IM77" s="377"/>
      <c r="IN77" s="373"/>
      <c r="IO77" s="444" t="s">
        <v>6</v>
      </c>
      <c r="IP77" s="377"/>
      <c r="IQ77" s="373"/>
      <c r="IR77" s="444" t="s">
        <v>6</v>
      </c>
      <c r="IS77" s="377"/>
      <c r="IT77" s="373"/>
      <c r="IU77" s="444"/>
      <c r="IV77" s="377">
        <v>311</v>
      </c>
      <c r="IW77" s="373">
        <v>192</v>
      </c>
      <c r="IX77" s="444">
        <v>61.8</v>
      </c>
      <c r="IY77" s="377">
        <v>101</v>
      </c>
      <c r="IZ77" s="373">
        <v>156</v>
      </c>
      <c r="JA77" s="444">
        <v>39.299999999999997</v>
      </c>
      <c r="JB77" s="377">
        <v>182</v>
      </c>
      <c r="JC77" s="373">
        <v>177</v>
      </c>
      <c r="JD77" s="444">
        <v>50.7</v>
      </c>
      <c r="JE77" s="377"/>
      <c r="JF77" s="373"/>
      <c r="JG77" s="444"/>
      <c r="JH77" s="377">
        <v>19</v>
      </c>
      <c r="JI77" s="373">
        <v>24</v>
      </c>
      <c r="JJ77" s="444">
        <v>44.2</v>
      </c>
      <c r="JK77" s="377">
        <v>12</v>
      </c>
      <c r="JL77" s="373">
        <v>6</v>
      </c>
      <c r="JM77" s="444">
        <v>66.7</v>
      </c>
      <c r="JN77" s="377">
        <v>40</v>
      </c>
      <c r="JO77" s="373">
        <v>6</v>
      </c>
      <c r="JP77" s="444">
        <v>87</v>
      </c>
      <c r="JQ77" s="377"/>
      <c r="JR77" s="373"/>
      <c r="JS77" s="444"/>
      <c r="JT77" s="377"/>
      <c r="JU77" s="373"/>
      <c r="JV77" s="444" t="s">
        <v>6</v>
      </c>
      <c r="JW77" s="377">
        <v>2</v>
      </c>
      <c r="JX77" s="373">
        <v>1</v>
      </c>
      <c r="JY77" s="444">
        <v>66.7</v>
      </c>
      <c r="JZ77" s="377"/>
      <c r="KA77" s="373"/>
      <c r="KB77" s="444" t="s">
        <v>6</v>
      </c>
      <c r="KC77" s="377"/>
      <c r="KD77" s="373"/>
      <c r="KE77" s="444"/>
      <c r="KF77" s="377"/>
      <c r="KG77" s="373">
        <v>1</v>
      </c>
      <c r="KH77" s="444">
        <v>0</v>
      </c>
      <c r="KI77" s="377"/>
      <c r="KJ77" s="373"/>
      <c r="KK77" s="444" t="s">
        <v>6</v>
      </c>
      <c r="KL77" s="377"/>
      <c r="KM77" s="373"/>
      <c r="KN77" s="444" t="s">
        <v>6</v>
      </c>
      <c r="KO77" s="377"/>
      <c r="KP77" s="373"/>
      <c r="KQ77" s="444"/>
      <c r="KR77" s="377">
        <v>23</v>
      </c>
      <c r="KS77" s="373">
        <v>28</v>
      </c>
      <c r="KT77" s="444">
        <v>45.1</v>
      </c>
      <c r="KU77" s="377">
        <v>19</v>
      </c>
      <c r="KV77" s="373">
        <v>9</v>
      </c>
      <c r="KW77" s="444">
        <v>67.900000000000006</v>
      </c>
      <c r="KX77" s="377">
        <v>47</v>
      </c>
      <c r="KY77" s="373">
        <v>12</v>
      </c>
      <c r="KZ77" s="444">
        <v>79.7</v>
      </c>
      <c r="LA77" s="377"/>
      <c r="LB77" s="373"/>
      <c r="LC77" s="444"/>
      <c r="LD77" s="377">
        <v>410</v>
      </c>
      <c r="LE77" s="373">
        <v>220</v>
      </c>
      <c r="LF77" s="444">
        <v>65.099999999999994</v>
      </c>
      <c r="LG77" s="377">
        <v>339</v>
      </c>
      <c r="LH77" s="373">
        <v>192</v>
      </c>
      <c r="LI77" s="444">
        <v>63.8</v>
      </c>
      <c r="LJ77" s="377">
        <v>236</v>
      </c>
      <c r="LK77" s="373">
        <v>216</v>
      </c>
      <c r="LL77" s="444">
        <v>52.2</v>
      </c>
      <c r="LM77" s="377"/>
      <c r="LN77" s="373"/>
      <c r="LO77" s="444"/>
    </row>
    <row r="78" spans="1:327" x14ac:dyDescent="0.2">
      <c r="A78" s="1001"/>
      <c r="B78" s="747"/>
      <c r="C78" s="151" t="s">
        <v>0</v>
      </c>
      <c r="D78" s="377"/>
      <c r="E78" s="373"/>
      <c r="F78" s="444" t="s">
        <v>6</v>
      </c>
      <c r="G78" s="377"/>
      <c r="H78" s="373"/>
      <c r="I78" s="444" t="s">
        <v>6</v>
      </c>
      <c r="J78" s="377"/>
      <c r="K78" s="373"/>
      <c r="L78" s="444" t="s">
        <v>6</v>
      </c>
      <c r="M78" s="377"/>
      <c r="N78" s="373"/>
      <c r="O78" s="444"/>
      <c r="P78" s="377"/>
      <c r="Q78" s="373"/>
      <c r="R78" s="444" t="s">
        <v>6</v>
      </c>
      <c r="S78" s="377"/>
      <c r="T78" s="373"/>
      <c r="U78" s="444" t="s">
        <v>6</v>
      </c>
      <c r="V78" s="377"/>
      <c r="W78" s="373"/>
      <c r="X78" s="444" t="s">
        <v>6</v>
      </c>
      <c r="Y78" s="377"/>
      <c r="Z78" s="373"/>
      <c r="AA78" s="444"/>
      <c r="AB78" s="377"/>
      <c r="AC78" s="373"/>
      <c r="AD78" s="444" t="s">
        <v>6</v>
      </c>
      <c r="AE78" s="377"/>
      <c r="AF78" s="373"/>
      <c r="AG78" s="444" t="s">
        <v>6</v>
      </c>
      <c r="AH78" s="377"/>
      <c r="AI78" s="373"/>
      <c r="AJ78" s="444" t="s">
        <v>6</v>
      </c>
      <c r="AK78" s="377"/>
      <c r="AL78" s="373"/>
      <c r="AM78" s="444"/>
      <c r="AN78" s="377">
        <v>36</v>
      </c>
      <c r="AO78" s="373">
        <v>8</v>
      </c>
      <c r="AP78" s="444">
        <v>81.8</v>
      </c>
      <c r="AQ78" s="377">
        <v>94</v>
      </c>
      <c r="AR78" s="373">
        <v>9</v>
      </c>
      <c r="AS78" s="444">
        <v>91.3</v>
      </c>
      <c r="AT78" s="377">
        <v>107</v>
      </c>
      <c r="AU78" s="373">
        <v>6</v>
      </c>
      <c r="AV78" s="444">
        <v>94.7</v>
      </c>
      <c r="AW78" s="377"/>
      <c r="AX78" s="373"/>
      <c r="AY78" s="444"/>
      <c r="AZ78" s="377">
        <v>18</v>
      </c>
      <c r="BA78" s="373">
        <v>8</v>
      </c>
      <c r="BB78" s="444">
        <v>69.2</v>
      </c>
      <c r="BC78" s="377">
        <v>24</v>
      </c>
      <c r="BD78" s="373">
        <v>7</v>
      </c>
      <c r="BE78" s="444">
        <v>77.400000000000006</v>
      </c>
      <c r="BF78" s="377">
        <v>23</v>
      </c>
      <c r="BG78" s="373">
        <v>5</v>
      </c>
      <c r="BH78" s="444">
        <v>82.1</v>
      </c>
      <c r="BI78" s="377"/>
      <c r="BJ78" s="373"/>
      <c r="BK78" s="444"/>
      <c r="BL78" s="377"/>
      <c r="BM78" s="373"/>
      <c r="BN78" s="444" t="s">
        <v>6</v>
      </c>
      <c r="BO78" s="377"/>
      <c r="BP78" s="373"/>
      <c r="BQ78" s="444" t="s">
        <v>6</v>
      </c>
      <c r="BR78" s="377"/>
      <c r="BS78" s="373"/>
      <c r="BT78" s="444" t="s">
        <v>6</v>
      </c>
      <c r="BU78" s="377"/>
      <c r="BV78" s="373"/>
      <c r="BW78" s="444"/>
      <c r="BX78" s="377"/>
      <c r="BY78" s="373"/>
      <c r="BZ78" s="444" t="s">
        <v>6</v>
      </c>
      <c r="CA78" s="377"/>
      <c r="CB78" s="373"/>
      <c r="CC78" s="444" t="s">
        <v>6</v>
      </c>
      <c r="CD78" s="377">
        <v>3</v>
      </c>
      <c r="CE78" s="373"/>
      <c r="CF78" s="444">
        <v>100</v>
      </c>
      <c r="CG78" s="377"/>
      <c r="CH78" s="373"/>
      <c r="CI78" s="444"/>
      <c r="CJ78" s="377"/>
      <c r="CK78" s="373"/>
      <c r="CL78" s="444" t="s">
        <v>6</v>
      </c>
      <c r="CM78" s="377"/>
      <c r="CN78" s="373"/>
      <c r="CO78" s="444" t="s">
        <v>6</v>
      </c>
      <c r="CP78" s="377"/>
      <c r="CQ78" s="373"/>
      <c r="CR78" s="444" t="s">
        <v>6</v>
      </c>
      <c r="CS78" s="377"/>
      <c r="CT78" s="373"/>
      <c r="CU78" s="444"/>
      <c r="CV78" s="377">
        <v>14</v>
      </c>
      <c r="CW78" s="373">
        <v>4</v>
      </c>
      <c r="CX78" s="444">
        <v>77.8</v>
      </c>
      <c r="CY78" s="377">
        <v>19</v>
      </c>
      <c r="CZ78" s="373">
        <v>2</v>
      </c>
      <c r="DA78" s="444">
        <v>90.5</v>
      </c>
      <c r="DB78" s="377">
        <v>26</v>
      </c>
      <c r="DC78" s="373">
        <v>4</v>
      </c>
      <c r="DD78" s="444">
        <v>86.7</v>
      </c>
      <c r="DE78" s="377"/>
      <c r="DF78" s="373"/>
      <c r="DG78" s="444"/>
      <c r="DH78" s="377"/>
      <c r="DI78" s="373"/>
      <c r="DJ78" s="444" t="s">
        <v>6</v>
      </c>
      <c r="DK78" s="377">
        <v>2</v>
      </c>
      <c r="DL78" s="373"/>
      <c r="DM78" s="444">
        <v>100</v>
      </c>
      <c r="DN78" s="377">
        <v>2</v>
      </c>
      <c r="DO78" s="373"/>
      <c r="DP78" s="444">
        <v>100</v>
      </c>
      <c r="DQ78" s="377"/>
      <c r="DR78" s="373"/>
      <c r="DS78" s="444"/>
      <c r="DT78" s="377">
        <v>7</v>
      </c>
      <c r="DU78" s="373"/>
      <c r="DV78" s="444">
        <v>100</v>
      </c>
      <c r="DW78" s="377">
        <v>3</v>
      </c>
      <c r="DX78" s="373"/>
      <c r="DY78" s="444">
        <v>100</v>
      </c>
      <c r="DZ78" s="377">
        <v>2</v>
      </c>
      <c r="EA78" s="373"/>
      <c r="EB78" s="444">
        <v>100</v>
      </c>
      <c r="EC78" s="377"/>
      <c r="ED78" s="373"/>
      <c r="EE78" s="444"/>
      <c r="EF78" s="377">
        <v>115</v>
      </c>
      <c r="EG78" s="373">
        <v>951</v>
      </c>
      <c r="EH78" s="444">
        <v>10.8</v>
      </c>
      <c r="EI78" s="377">
        <v>129</v>
      </c>
      <c r="EJ78" s="373">
        <v>492</v>
      </c>
      <c r="EK78" s="444">
        <v>20.8</v>
      </c>
      <c r="EL78" s="377">
        <v>188</v>
      </c>
      <c r="EM78" s="373">
        <v>470</v>
      </c>
      <c r="EN78" s="444">
        <v>28.6</v>
      </c>
      <c r="EO78" s="377"/>
      <c r="EP78" s="373"/>
      <c r="EQ78" s="444"/>
      <c r="ER78" s="377">
        <v>1</v>
      </c>
      <c r="ES78" s="373">
        <v>3</v>
      </c>
      <c r="ET78" s="444">
        <v>25</v>
      </c>
      <c r="EU78" s="377">
        <v>4</v>
      </c>
      <c r="EV78" s="373">
        <v>3</v>
      </c>
      <c r="EW78" s="444">
        <v>57.1</v>
      </c>
      <c r="EX78" s="377">
        <v>3</v>
      </c>
      <c r="EY78" s="373"/>
      <c r="EZ78" s="444">
        <v>100</v>
      </c>
      <c r="FA78" s="377"/>
      <c r="FB78" s="373"/>
      <c r="FC78" s="444"/>
      <c r="FD78" s="377">
        <v>3</v>
      </c>
      <c r="FE78" s="373">
        <v>32</v>
      </c>
      <c r="FF78" s="444">
        <v>8.6</v>
      </c>
      <c r="FG78" s="377">
        <v>1</v>
      </c>
      <c r="FH78" s="373">
        <v>8</v>
      </c>
      <c r="FI78" s="444">
        <v>11.1</v>
      </c>
      <c r="FJ78" s="377">
        <v>6</v>
      </c>
      <c r="FK78" s="373">
        <v>2</v>
      </c>
      <c r="FL78" s="444">
        <v>75</v>
      </c>
      <c r="FM78" s="377"/>
      <c r="FN78" s="373"/>
      <c r="FO78" s="444"/>
      <c r="FP78" s="377">
        <v>43</v>
      </c>
      <c r="FQ78" s="373">
        <v>293</v>
      </c>
      <c r="FR78" s="444">
        <v>12.8</v>
      </c>
      <c r="FS78" s="377">
        <v>49</v>
      </c>
      <c r="FT78" s="373">
        <v>96</v>
      </c>
      <c r="FU78" s="444">
        <v>33.799999999999997</v>
      </c>
      <c r="FV78" s="377">
        <v>59</v>
      </c>
      <c r="FW78" s="373">
        <v>98</v>
      </c>
      <c r="FX78" s="444">
        <v>37.6</v>
      </c>
      <c r="FY78" s="377"/>
      <c r="FZ78" s="373"/>
      <c r="GA78" s="444"/>
      <c r="GB78" s="377">
        <v>12</v>
      </c>
      <c r="GC78" s="373">
        <v>6</v>
      </c>
      <c r="GD78" s="444">
        <v>66.7</v>
      </c>
      <c r="GE78" s="377">
        <v>11</v>
      </c>
      <c r="GF78" s="373">
        <v>1</v>
      </c>
      <c r="GG78" s="444">
        <v>91.7</v>
      </c>
      <c r="GH78" s="377">
        <v>10</v>
      </c>
      <c r="GI78" s="373"/>
      <c r="GJ78" s="444">
        <v>100</v>
      </c>
      <c r="GK78" s="377"/>
      <c r="GL78" s="373"/>
      <c r="GM78" s="444"/>
      <c r="GN78" s="377">
        <v>1</v>
      </c>
      <c r="GO78" s="373">
        <v>3</v>
      </c>
      <c r="GP78" s="444">
        <v>25</v>
      </c>
      <c r="GQ78" s="377">
        <v>6</v>
      </c>
      <c r="GR78" s="373">
        <v>3</v>
      </c>
      <c r="GS78" s="444">
        <v>66.7</v>
      </c>
      <c r="GT78" s="377">
        <v>8</v>
      </c>
      <c r="GU78" s="373">
        <v>1</v>
      </c>
      <c r="GV78" s="444">
        <v>88.9</v>
      </c>
      <c r="GW78" s="377"/>
      <c r="GX78" s="373"/>
      <c r="GY78" s="444"/>
      <c r="GZ78" s="377">
        <v>8</v>
      </c>
      <c r="HA78" s="373"/>
      <c r="HB78" s="444">
        <v>100</v>
      </c>
      <c r="HC78" s="377"/>
      <c r="HD78" s="373"/>
      <c r="HE78" s="444" t="s">
        <v>6</v>
      </c>
      <c r="HF78" s="377">
        <v>2</v>
      </c>
      <c r="HG78" s="373"/>
      <c r="HH78" s="444">
        <v>100</v>
      </c>
      <c r="HI78" s="377"/>
      <c r="HJ78" s="373"/>
      <c r="HK78" s="444"/>
      <c r="HL78" s="377">
        <v>8</v>
      </c>
      <c r="HM78" s="373">
        <v>75</v>
      </c>
      <c r="HN78" s="444">
        <v>9.6</v>
      </c>
      <c r="HO78" s="377">
        <v>17</v>
      </c>
      <c r="HP78" s="373">
        <v>67</v>
      </c>
      <c r="HQ78" s="444">
        <v>20.2</v>
      </c>
      <c r="HR78" s="377">
        <v>21</v>
      </c>
      <c r="HS78" s="373">
        <v>58</v>
      </c>
      <c r="HT78" s="444">
        <v>26.6</v>
      </c>
      <c r="HU78" s="377"/>
      <c r="HV78" s="373"/>
      <c r="HW78" s="444"/>
      <c r="HX78" s="377"/>
      <c r="HY78" s="373"/>
      <c r="HZ78" s="444" t="s">
        <v>6</v>
      </c>
      <c r="IA78" s="377"/>
      <c r="IB78" s="373"/>
      <c r="IC78" s="444" t="s">
        <v>6</v>
      </c>
      <c r="ID78" s="377"/>
      <c r="IE78" s="373"/>
      <c r="IF78" s="444" t="s">
        <v>6</v>
      </c>
      <c r="IG78" s="377"/>
      <c r="IH78" s="373"/>
      <c r="II78" s="444"/>
      <c r="IJ78" s="377">
        <v>2</v>
      </c>
      <c r="IK78" s="373">
        <v>3</v>
      </c>
      <c r="IL78" s="444">
        <v>40</v>
      </c>
      <c r="IM78" s="377">
        <v>8</v>
      </c>
      <c r="IN78" s="373">
        <v>2</v>
      </c>
      <c r="IO78" s="444">
        <v>80</v>
      </c>
      <c r="IP78" s="377">
        <v>8</v>
      </c>
      <c r="IQ78" s="373"/>
      <c r="IR78" s="444">
        <v>100</v>
      </c>
      <c r="IS78" s="377"/>
      <c r="IT78" s="373"/>
      <c r="IU78" s="444"/>
      <c r="IV78" s="377">
        <v>203</v>
      </c>
      <c r="IW78" s="373">
        <v>1050</v>
      </c>
      <c r="IX78" s="444">
        <v>16.2</v>
      </c>
      <c r="IY78" s="377">
        <v>289</v>
      </c>
      <c r="IZ78" s="373">
        <v>576</v>
      </c>
      <c r="JA78" s="444">
        <v>33.4</v>
      </c>
      <c r="JB78" s="377">
        <v>377</v>
      </c>
      <c r="JC78" s="373">
        <v>539</v>
      </c>
      <c r="JD78" s="444">
        <v>41.2</v>
      </c>
      <c r="JE78" s="377"/>
      <c r="JF78" s="373"/>
      <c r="JG78" s="444"/>
      <c r="JH78" s="377">
        <v>38</v>
      </c>
      <c r="JI78" s="373">
        <v>67</v>
      </c>
      <c r="JJ78" s="444">
        <v>36.200000000000003</v>
      </c>
      <c r="JK78" s="377">
        <v>111</v>
      </c>
      <c r="JL78" s="373">
        <v>37</v>
      </c>
      <c r="JM78" s="444">
        <v>75</v>
      </c>
      <c r="JN78" s="377">
        <v>163</v>
      </c>
      <c r="JO78" s="373">
        <v>20</v>
      </c>
      <c r="JP78" s="444">
        <v>89.1</v>
      </c>
      <c r="JQ78" s="377"/>
      <c r="JR78" s="373"/>
      <c r="JS78" s="444"/>
      <c r="JT78" s="377">
        <v>3</v>
      </c>
      <c r="JU78" s="373"/>
      <c r="JV78" s="444">
        <v>100</v>
      </c>
      <c r="JW78" s="377"/>
      <c r="JX78" s="373">
        <v>1</v>
      </c>
      <c r="JY78" s="444">
        <v>0</v>
      </c>
      <c r="JZ78" s="377">
        <v>1</v>
      </c>
      <c r="KA78" s="373"/>
      <c r="KB78" s="444">
        <v>100</v>
      </c>
      <c r="KC78" s="377"/>
      <c r="KD78" s="373"/>
      <c r="KE78" s="444"/>
      <c r="KF78" s="377"/>
      <c r="KG78" s="373"/>
      <c r="KH78" s="444" t="s">
        <v>6</v>
      </c>
      <c r="KI78" s="377"/>
      <c r="KJ78" s="373"/>
      <c r="KK78" s="444" t="s">
        <v>6</v>
      </c>
      <c r="KL78" s="377"/>
      <c r="KM78" s="373"/>
      <c r="KN78" s="444" t="s">
        <v>6</v>
      </c>
      <c r="KO78" s="377"/>
      <c r="KP78" s="373"/>
      <c r="KQ78" s="444"/>
      <c r="KR78" s="377">
        <v>68</v>
      </c>
      <c r="KS78" s="373">
        <v>72</v>
      </c>
      <c r="KT78" s="444">
        <v>48.6</v>
      </c>
      <c r="KU78" s="377">
        <v>149</v>
      </c>
      <c r="KV78" s="373">
        <v>48</v>
      </c>
      <c r="KW78" s="444">
        <v>75.599999999999994</v>
      </c>
      <c r="KX78" s="377">
        <v>198</v>
      </c>
      <c r="KY78" s="373">
        <v>27</v>
      </c>
      <c r="KZ78" s="444">
        <v>88</v>
      </c>
      <c r="LA78" s="377"/>
      <c r="LB78" s="373"/>
      <c r="LC78" s="444"/>
      <c r="LD78" s="377">
        <v>635</v>
      </c>
      <c r="LE78" s="373">
        <v>1191</v>
      </c>
      <c r="LF78" s="444">
        <v>34.799999999999997</v>
      </c>
      <c r="LG78" s="377">
        <v>575</v>
      </c>
      <c r="LH78" s="373">
        <v>740</v>
      </c>
      <c r="LI78" s="444">
        <v>43.7</v>
      </c>
      <c r="LJ78" s="377">
        <v>856</v>
      </c>
      <c r="LK78" s="373">
        <v>717</v>
      </c>
      <c r="LL78" s="444">
        <v>54.4</v>
      </c>
      <c r="LM78" s="377"/>
      <c r="LN78" s="373"/>
      <c r="LO78" s="444"/>
    </row>
    <row r="79" spans="1:327" x14ac:dyDescent="0.2">
      <c r="A79" s="1001"/>
      <c r="B79" s="747" t="s">
        <v>621</v>
      </c>
      <c r="C79" s="151" t="s">
        <v>686</v>
      </c>
      <c r="D79" s="377"/>
      <c r="E79" s="373"/>
      <c r="F79" s="444" t="s">
        <v>6</v>
      </c>
      <c r="G79" s="377"/>
      <c r="H79" s="373"/>
      <c r="I79" s="444" t="s">
        <v>6</v>
      </c>
      <c r="J79" s="377"/>
      <c r="K79" s="373"/>
      <c r="L79" s="444" t="s">
        <v>6</v>
      </c>
      <c r="M79" s="377"/>
      <c r="N79" s="373"/>
      <c r="O79" s="444"/>
      <c r="P79" s="377"/>
      <c r="Q79" s="373"/>
      <c r="R79" s="444" t="s">
        <v>6</v>
      </c>
      <c r="S79" s="377"/>
      <c r="T79" s="373"/>
      <c r="U79" s="444" t="s">
        <v>6</v>
      </c>
      <c r="V79" s="377"/>
      <c r="W79" s="373"/>
      <c r="X79" s="444" t="s">
        <v>6</v>
      </c>
      <c r="Y79" s="377"/>
      <c r="Z79" s="373"/>
      <c r="AA79" s="444"/>
      <c r="AB79" s="377"/>
      <c r="AC79" s="373"/>
      <c r="AD79" s="444" t="s">
        <v>6</v>
      </c>
      <c r="AE79" s="377"/>
      <c r="AF79" s="373"/>
      <c r="AG79" s="444" t="s">
        <v>6</v>
      </c>
      <c r="AH79" s="377"/>
      <c r="AI79" s="373"/>
      <c r="AJ79" s="444" t="s">
        <v>6</v>
      </c>
      <c r="AK79" s="377"/>
      <c r="AL79" s="373"/>
      <c r="AM79" s="444"/>
      <c r="AN79" s="377">
        <v>8</v>
      </c>
      <c r="AO79" s="373">
        <v>1</v>
      </c>
      <c r="AP79" s="444">
        <v>88.9</v>
      </c>
      <c r="AQ79" s="377">
        <v>24</v>
      </c>
      <c r="AR79" s="373">
        <v>1</v>
      </c>
      <c r="AS79" s="444">
        <v>96</v>
      </c>
      <c r="AT79" s="377">
        <v>22</v>
      </c>
      <c r="AU79" s="373">
        <v>1</v>
      </c>
      <c r="AV79" s="444">
        <v>95.7</v>
      </c>
      <c r="AW79" s="377"/>
      <c r="AX79" s="373"/>
      <c r="AY79" s="444"/>
      <c r="AZ79" s="377">
        <v>8</v>
      </c>
      <c r="BA79" s="373">
        <v>1</v>
      </c>
      <c r="BB79" s="444">
        <v>88.9</v>
      </c>
      <c r="BC79" s="377">
        <v>8</v>
      </c>
      <c r="BD79" s="373">
        <v>1</v>
      </c>
      <c r="BE79" s="444">
        <v>88.9</v>
      </c>
      <c r="BF79" s="377">
        <v>5</v>
      </c>
      <c r="BG79" s="373"/>
      <c r="BH79" s="444">
        <v>100</v>
      </c>
      <c r="BI79" s="377"/>
      <c r="BJ79" s="373"/>
      <c r="BK79" s="444"/>
      <c r="BL79" s="377"/>
      <c r="BM79" s="373"/>
      <c r="BN79" s="444" t="s">
        <v>6</v>
      </c>
      <c r="BO79" s="377"/>
      <c r="BP79" s="373"/>
      <c r="BQ79" s="444" t="s">
        <v>6</v>
      </c>
      <c r="BR79" s="377"/>
      <c r="BS79" s="373"/>
      <c r="BT79" s="444" t="s">
        <v>6</v>
      </c>
      <c r="BU79" s="377"/>
      <c r="BV79" s="373"/>
      <c r="BW79" s="444"/>
      <c r="BX79" s="377"/>
      <c r="BY79" s="373"/>
      <c r="BZ79" s="444" t="s">
        <v>6</v>
      </c>
      <c r="CA79" s="377"/>
      <c r="CB79" s="373"/>
      <c r="CC79" s="444" t="s">
        <v>6</v>
      </c>
      <c r="CD79" s="377"/>
      <c r="CE79" s="373"/>
      <c r="CF79" s="444" t="s">
        <v>6</v>
      </c>
      <c r="CG79" s="377"/>
      <c r="CH79" s="373"/>
      <c r="CI79" s="444"/>
      <c r="CJ79" s="377"/>
      <c r="CK79" s="373"/>
      <c r="CL79" s="444" t="s">
        <v>6</v>
      </c>
      <c r="CM79" s="377"/>
      <c r="CN79" s="373"/>
      <c r="CO79" s="444" t="s">
        <v>6</v>
      </c>
      <c r="CP79" s="377"/>
      <c r="CQ79" s="373"/>
      <c r="CR79" s="444" t="s">
        <v>6</v>
      </c>
      <c r="CS79" s="377"/>
      <c r="CT79" s="373"/>
      <c r="CU79" s="444"/>
      <c r="CV79" s="377">
        <v>6</v>
      </c>
      <c r="CW79" s="373"/>
      <c r="CX79" s="444">
        <v>100</v>
      </c>
      <c r="CY79" s="377">
        <v>8</v>
      </c>
      <c r="CZ79" s="373">
        <v>1</v>
      </c>
      <c r="DA79" s="444">
        <v>88.9</v>
      </c>
      <c r="DB79" s="377">
        <v>9</v>
      </c>
      <c r="DC79" s="373"/>
      <c r="DD79" s="444">
        <v>100</v>
      </c>
      <c r="DE79" s="377"/>
      <c r="DF79" s="373"/>
      <c r="DG79" s="444"/>
      <c r="DH79" s="377">
        <v>1</v>
      </c>
      <c r="DI79" s="373"/>
      <c r="DJ79" s="444">
        <v>100</v>
      </c>
      <c r="DK79" s="377">
        <v>1</v>
      </c>
      <c r="DL79" s="373"/>
      <c r="DM79" s="444">
        <v>100</v>
      </c>
      <c r="DN79" s="377"/>
      <c r="DO79" s="373"/>
      <c r="DP79" s="444" t="s">
        <v>6</v>
      </c>
      <c r="DQ79" s="377"/>
      <c r="DR79" s="373"/>
      <c r="DS79" s="444"/>
      <c r="DT79" s="377">
        <v>2</v>
      </c>
      <c r="DU79" s="373"/>
      <c r="DV79" s="444">
        <v>100</v>
      </c>
      <c r="DW79" s="377"/>
      <c r="DX79" s="373"/>
      <c r="DY79" s="444" t="s">
        <v>6</v>
      </c>
      <c r="DZ79" s="377">
        <v>4</v>
      </c>
      <c r="EA79" s="373"/>
      <c r="EB79" s="444">
        <v>100</v>
      </c>
      <c r="EC79" s="377"/>
      <c r="ED79" s="373"/>
      <c r="EE79" s="444"/>
      <c r="EF79" s="377">
        <v>34</v>
      </c>
      <c r="EG79" s="373">
        <v>91</v>
      </c>
      <c r="EH79" s="444">
        <v>27.2</v>
      </c>
      <c r="EI79" s="377">
        <v>53</v>
      </c>
      <c r="EJ79" s="373">
        <v>90</v>
      </c>
      <c r="EK79" s="444">
        <v>37.1</v>
      </c>
      <c r="EL79" s="377">
        <v>39</v>
      </c>
      <c r="EM79" s="373">
        <v>64</v>
      </c>
      <c r="EN79" s="444">
        <v>37.9</v>
      </c>
      <c r="EO79" s="377"/>
      <c r="EP79" s="373"/>
      <c r="EQ79" s="444"/>
      <c r="ER79" s="377">
        <v>1</v>
      </c>
      <c r="ES79" s="373">
        <v>2</v>
      </c>
      <c r="ET79" s="444">
        <v>33.299999999999997</v>
      </c>
      <c r="EU79" s="377"/>
      <c r="EV79" s="373"/>
      <c r="EW79" s="444" t="s">
        <v>6</v>
      </c>
      <c r="EX79" s="377"/>
      <c r="EY79" s="373"/>
      <c r="EZ79" s="444" t="s">
        <v>6</v>
      </c>
      <c r="FA79" s="377"/>
      <c r="FB79" s="373"/>
      <c r="FC79" s="444"/>
      <c r="FD79" s="377">
        <v>2</v>
      </c>
      <c r="FE79" s="373">
        <v>1</v>
      </c>
      <c r="FF79" s="444">
        <v>66.7</v>
      </c>
      <c r="FG79" s="377"/>
      <c r="FH79" s="373">
        <v>1</v>
      </c>
      <c r="FI79" s="444">
        <v>0</v>
      </c>
      <c r="FJ79" s="377"/>
      <c r="FK79" s="373"/>
      <c r="FL79" s="444" t="s">
        <v>6</v>
      </c>
      <c r="FM79" s="377"/>
      <c r="FN79" s="373"/>
      <c r="FO79" s="444"/>
      <c r="FP79" s="377">
        <v>4</v>
      </c>
      <c r="FQ79" s="373">
        <v>15</v>
      </c>
      <c r="FR79" s="444">
        <v>21.1</v>
      </c>
      <c r="FS79" s="377">
        <v>5</v>
      </c>
      <c r="FT79" s="373">
        <v>20</v>
      </c>
      <c r="FU79" s="444">
        <v>20</v>
      </c>
      <c r="FV79" s="377">
        <v>10</v>
      </c>
      <c r="FW79" s="373">
        <v>8</v>
      </c>
      <c r="FX79" s="444">
        <v>55.6</v>
      </c>
      <c r="FY79" s="377"/>
      <c r="FZ79" s="373"/>
      <c r="GA79" s="444"/>
      <c r="GB79" s="377"/>
      <c r="GC79" s="373"/>
      <c r="GD79" s="444" t="s">
        <v>6</v>
      </c>
      <c r="GE79" s="377">
        <v>2</v>
      </c>
      <c r="GF79" s="373"/>
      <c r="GG79" s="444">
        <v>100</v>
      </c>
      <c r="GH79" s="377">
        <v>2</v>
      </c>
      <c r="GI79" s="373"/>
      <c r="GJ79" s="444">
        <v>100</v>
      </c>
      <c r="GK79" s="377"/>
      <c r="GL79" s="373"/>
      <c r="GM79" s="444"/>
      <c r="GN79" s="377"/>
      <c r="GO79" s="373"/>
      <c r="GP79" s="444" t="s">
        <v>6</v>
      </c>
      <c r="GQ79" s="377">
        <v>30</v>
      </c>
      <c r="GR79" s="373"/>
      <c r="GS79" s="444">
        <v>100</v>
      </c>
      <c r="GT79" s="377"/>
      <c r="GU79" s="373">
        <v>1</v>
      </c>
      <c r="GV79" s="444">
        <v>0</v>
      </c>
      <c r="GW79" s="377"/>
      <c r="GX79" s="373"/>
      <c r="GY79" s="444"/>
      <c r="GZ79" s="377"/>
      <c r="HA79" s="373"/>
      <c r="HB79" s="444" t="s">
        <v>6</v>
      </c>
      <c r="HC79" s="377">
        <v>1</v>
      </c>
      <c r="HD79" s="373"/>
      <c r="HE79" s="444">
        <v>100</v>
      </c>
      <c r="HF79" s="377">
        <v>8</v>
      </c>
      <c r="HG79" s="373"/>
      <c r="HH79" s="444">
        <v>100</v>
      </c>
      <c r="HI79" s="377"/>
      <c r="HJ79" s="373"/>
      <c r="HK79" s="444"/>
      <c r="HL79" s="377"/>
      <c r="HM79" s="373">
        <v>4</v>
      </c>
      <c r="HN79" s="444">
        <v>0</v>
      </c>
      <c r="HO79" s="377">
        <v>3</v>
      </c>
      <c r="HP79" s="373">
        <v>8</v>
      </c>
      <c r="HQ79" s="444">
        <v>27.3</v>
      </c>
      <c r="HR79" s="377">
        <v>7</v>
      </c>
      <c r="HS79" s="373">
        <v>5</v>
      </c>
      <c r="HT79" s="444">
        <v>58.3</v>
      </c>
      <c r="HU79" s="377"/>
      <c r="HV79" s="373"/>
      <c r="HW79" s="444"/>
      <c r="HX79" s="377"/>
      <c r="HY79" s="373"/>
      <c r="HZ79" s="444" t="s">
        <v>6</v>
      </c>
      <c r="IA79" s="377">
        <v>4</v>
      </c>
      <c r="IB79" s="373"/>
      <c r="IC79" s="444">
        <v>100</v>
      </c>
      <c r="ID79" s="377"/>
      <c r="IE79" s="373"/>
      <c r="IF79" s="444" t="s">
        <v>6</v>
      </c>
      <c r="IG79" s="377"/>
      <c r="IH79" s="373"/>
      <c r="II79" s="444"/>
      <c r="IJ79" s="377">
        <v>4</v>
      </c>
      <c r="IK79" s="373"/>
      <c r="IL79" s="444">
        <v>100</v>
      </c>
      <c r="IM79" s="377"/>
      <c r="IN79" s="373"/>
      <c r="IO79" s="444" t="s">
        <v>6</v>
      </c>
      <c r="IP79" s="377">
        <v>5</v>
      </c>
      <c r="IQ79" s="373">
        <v>1</v>
      </c>
      <c r="IR79" s="444">
        <v>83.3</v>
      </c>
      <c r="IS79" s="377"/>
      <c r="IT79" s="373"/>
      <c r="IU79" s="444"/>
      <c r="IV79" s="377">
        <v>55</v>
      </c>
      <c r="IW79" s="373">
        <v>96</v>
      </c>
      <c r="IX79" s="444">
        <v>36.4</v>
      </c>
      <c r="IY79" s="377">
        <v>126</v>
      </c>
      <c r="IZ79" s="373">
        <v>100</v>
      </c>
      <c r="JA79" s="444">
        <v>55.8</v>
      </c>
      <c r="JB79" s="377">
        <v>96</v>
      </c>
      <c r="JC79" s="373">
        <v>72</v>
      </c>
      <c r="JD79" s="444">
        <v>57.1</v>
      </c>
      <c r="JE79" s="377"/>
      <c r="JF79" s="373"/>
      <c r="JG79" s="444"/>
      <c r="JH79" s="377">
        <v>14</v>
      </c>
      <c r="JI79" s="373">
        <v>13</v>
      </c>
      <c r="JJ79" s="444">
        <v>51.9</v>
      </c>
      <c r="JK79" s="377">
        <v>33</v>
      </c>
      <c r="JL79" s="373">
        <v>5</v>
      </c>
      <c r="JM79" s="444">
        <v>86.8</v>
      </c>
      <c r="JN79" s="377">
        <v>46</v>
      </c>
      <c r="JO79" s="373"/>
      <c r="JP79" s="444">
        <v>100</v>
      </c>
      <c r="JQ79" s="377"/>
      <c r="JR79" s="373"/>
      <c r="JS79" s="444"/>
      <c r="JT79" s="377"/>
      <c r="JU79" s="373">
        <v>1</v>
      </c>
      <c r="JV79" s="444">
        <v>0</v>
      </c>
      <c r="JW79" s="377">
        <v>2</v>
      </c>
      <c r="JX79" s="373"/>
      <c r="JY79" s="444">
        <v>100</v>
      </c>
      <c r="JZ79" s="377">
        <v>1</v>
      </c>
      <c r="KA79" s="373"/>
      <c r="KB79" s="444">
        <v>100</v>
      </c>
      <c r="KC79" s="377"/>
      <c r="KD79" s="373"/>
      <c r="KE79" s="444"/>
      <c r="KF79" s="377">
        <v>1</v>
      </c>
      <c r="KG79" s="373"/>
      <c r="KH79" s="444">
        <v>100</v>
      </c>
      <c r="KI79" s="377">
        <v>1</v>
      </c>
      <c r="KJ79" s="373"/>
      <c r="KK79" s="444">
        <v>100</v>
      </c>
      <c r="KL79" s="377"/>
      <c r="KM79" s="373"/>
      <c r="KN79" s="444" t="s">
        <v>6</v>
      </c>
      <c r="KO79" s="377"/>
      <c r="KP79" s="373"/>
      <c r="KQ79" s="444"/>
      <c r="KR79" s="377">
        <v>24</v>
      </c>
      <c r="KS79" s="373">
        <v>25</v>
      </c>
      <c r="KT79" s="444">
        <v>49</v>
      </c>
      <c r="KU79" s="377">
        <v>47</v>
      </c>
      <c r="KV79" s="373">
        <v>8</v>
      </c>
      <c r="KW79" s="444">
        <v>85.5</v>
      </c>
      <c r="KX79" s="377">
        <v>60</v>
      </c>
      <c r="KY79" s="373">
        <v>4</v>
      </c>
      <c r="KZ79" s="444">
        <v>93.8</v>
      </c>
      <c r="LA79" s="377"/>
      <c r="LB79" s="373"/>
      <c r="LC79" s="444"/>
      <c r="LD79" s="377">
        <v>181</v>
      </c>
      <c r="LE79" s="373">
        <v>136</v>
      </c>
      <c r="LF79" s="444">
        <v>57.1</v>
      </c>
      <c r="LG79" s="377">
        <v>245</v>
      </c>
      <c r="LH79" s="373">
        <v>132</v>
      </c>
      <c r="LI79" s="444">
        <v>65</v>
      </c>
      <c r="LJ79" s="377">
        <v>174</v>
      </c>
      <c r="LK79" s="373">
        <v>105</v>
      </c>
      <c r="LL79" s="444">
        <v>62.4</v>
      </c>
      <c r="LM79" s="377"/>
      <c r="LN79" s="373"/>
      <c r="LO79" s="444"/>
    </row>
    <row r="80" spans="1:327" x14ac:dyDescent="0.2">
      <c r="A80" s="1001"/>
      <c r="B80" s="747" t="s">
        <v>621</v>
      </c>
      <c r="C80" s="151" t="s">
        <v>687</v>
      </c>
      <c r="D80" s="377"/>
      <c r="E80" s="373"/>
      <c r="F80" s="444" t="s">
        <v>6</v>
      </c>
      <c r="G80" s="377"/>
      <c r="H80" s="373"/>
      <c r="I80" s="444" t="s">
        <v>6</v>
      </c>
      <c r="J80" s="377"/>
      <c r="K80" s="373"/>
      <c r="L80" s="444" t="s">
        <v>6</v>
      </c>
      <c r="M80" s="377"/>
      <c r="N80" s="373"/>
      <c r="O80" s="444"/>
      <c r="P80" s="377"/>
      <c r="Q80" s="373"/>
      <c r="R80" s="444" t="s">
        <v>6</v>
      </c>
      <c r="S80" s="377"/>
      <c r="T80" s="373"/>
      <c r="U80" s="444" t="s">
        <v>6</v>
      </c>
      <c r="V80" s="377"/>
      <c r="W80" s="373"/>
      <c r="X80" s="444" t="s">
        <v>6</v>
      </c>
      <c r="Y80" s="377"/>
      <c r="Z80" s="373"/>
      <c r="AA80" s="444"/>
      <c r="AB80" s="377"/>
      <c r="AC80" s="373"/>
      <c r="AD80" s="444" t="s">
        <v>6</v>
      </c>
      <c r="AE80" s="377"/>
      <c r="AF80" s="373"/>
      <c r="AG80" s="444" t="s">
        <v>6</v>
      </c>
      <c r="AH80" s="377"/>
      <c r="AI80" s="373"/>
      <c r="AJ80" s="444" t="s">
        <v>6</v>
      </c>
      <c r="AK80" s="377"/>
      <c r="AL80" s="373"/>
      <c r="AM80" s="444"/>
      <c r="AN80" s="377">
        <v>29</v>
      </c>
      <c r="AO80" s="373">
        <v>6</v>
      </c>
      <c r="AP80" s="444">
        <v>82.9</v>
      </c>
      <c r="AQ80" s="377">
        <v>39</v>
      </c>
      <c r="AR80" s="373">
        <v>6</v>
      </c>
      <c r="AS80" s="444">
        <v>86.7</v>
      </c>
      <c r="AT80" s="377">
        <v>32</v>
      </c>
      <c r="AU80" s="373">
        <v>1</v>
      </c>
      <c r="AV80" s="444">
        <v>97</v>
      </c>
      <c r="AW80" s="377"/>
      <c r="AX80" s="373"/>
      <c r="AY80" s="444"/>
      <c r="AZ80" s="377">
        <v>9</v>
      </c>
      <c r="BA80" s="373">
        <v>6</v>
      </c>
      <c r="BB80" s="444">
        <v>60</v>
      </c>
      <c r="BC80" s="377">
        <v>18</v>
      </c>
      <c r="BD80" s="373">
        <v>6</v>
      </c>
      <c r="BE80" s="444">
        <v>75</v>
      </c>
      <c r="BF80" s="377">
        <v>7</v>
      </c>
      <c r="BG80" s="373">
        <v>1</v>
      </c>
      <c r="BH80" s="444">
        <v>87.5</v>
      </c>
      <c r="BI80" s="377"/>
      <c r="BJ80" s="373"/>
      <c r="BK80" s="444"/>
      <c r="BL80" s="377"/>
      <c r="BM80" s="373"/>
      <c r="BN80" s="444" t="s">
        <v>6</v>
      </c>
      <c r="BO80" s="377"/>
      <c r="BP80" s="373"/>
      <c r="BQ80" s="444" t="s">
        <v>6</v>
      </c>
      <c r="BR80" s="377"/>
      <c r="BS80" s="373"/>
      <c r="BT80" s="444" t="s">
        <v>6</v>
      </c>
      <c r="BU80" s="377"/>
      <c r="BV80" s="373"/>
      <c r="BW80" s="444"/>
      <c r="BX80" s="377"/>
      <c r="BY80" s="373"/>
      <c r="BZ80" s="444" t="s">
        <v>6</v>
      </c>
      <c r="CA80" s="377"/>
      <c r="CB80" s="373"/>
      <c r="CC80" s="444" t="s">
        <v>6</v>
      </c>
      <c r="CD80" s="377"/>
      <c r="CE80" s="373"/>
      <c r="CF80" s="444" t="s">
        <v>6</v>
      </c>
      <c r="CG80" s="377"/>
      <c r="CH80" s="373"/>
      <c r="CI80" s="444"/>
      <c r="CJ80" s="377"/>
      <c r="CK80" s="373"/>
      <c r="CL80" s="444" t="s">
        <v>6</v>
      </c>
      <c r="CM80" s="377"/>
      <c r="CN80" s="373"/>
      <c r="CO80" s="444" t="s">
        <v>6</v>
      </c>
      <c r="CP80" s="377"/>
      <c r="CQ80" s="373"/>
      <c r="CR80" s="444" t="s">
        <v>6</v>
      </c>
      <c r="CS80" s="377"/>
      <c r="CT80" s="373"/>
      <c r="CU80" s="444"/>
      <c r="CV80" s="377">
        <v>18</v>
      </c>
      <c r="CW80" s="373">
        <v>2</v>
      </c>
      <c r="CX80" s="444">
        <v>90</v>
      </c>
      <c r="CY80" s="377">
        <v>48</v>
      </c>
      <c r="CZ80" s="373">
        <v>9</v>
      </c>
      <c r="DA80" s="444">
        <v>84.2</v>
      </c>
      <c r="DB80" s="377">
        <v>27</v>
      </c>
      <c r="DC80" s="373">
        <v>3</v>
      </c>
      <c r="DD80" s="444">
        <v>90</v>
      </c>
      <c r="DE80" s="377"/>
      <c r="DF80" s="373"/>
      <c r="DG80" s="444"/>
      <c r="DH80" s="377">
        <v>1</v>
      </c>
      <c r="DI80" s="373"/>
      <c r="DJ80" s="444">
        <v>100</v>
      </c>
      <c r="DK80" s="377"/>
      <c r="DL80" s="373"/>
      <c r="DM80" s="444" t="s">
        <v>6</v>
      </c>
      <c r="DN80" s="377"/>
      <c r="DO80" s="373"/>
      <c r="DP80" s="444" t="s">
        <v>6</v>
      </c>
      <c r="DQ80" s="377"/>
      <c r="DR80" s="373"/>
      <c r="DS80" s="444"/>
      <c r="DT80" s="377"/>
      <c r="DU80" s="373"/>
      <c r="DV80" s="444" t="s">
        <v>6</v>
      </c>
      <c r="DW80" s="377">
        <v>8</v>
      </c>
      <c r="DX80" s="373"/>
      <c r="DY80" s="444">
        <v>100</v>
      </c>
      <c r="DZ80" s="377">
        <v>5</v>
      </c>
      <c r="EA80" s="373"/>
      <c r="EB80" s="444">
        <v>100</v>
      </c>
      <c r="EC80" s="377"/>
      <c r="ED80" s="373"/>
      <c r="EE80" s="444"/>
      <c r="EF80" s="377">
        <v>68</v>
      </c>
      <c r="EG80" s="373">
        <v>245</v>
      </c>
      <c r="EH80" s="444">
        <v>21.7</v>
      </c>
      <c r="EI80" s="377">
        <v>76</v>
      </c>
      <c r="EJ80" s="373">
        <v>167</v>
      </c>
      <c r="EK80" s="444">
        <v>31.3</v>
      </c>
      <c r="EL80" s="377">
        <v>66</v>
      </c>
      <c r="EM80" s="373">
        <v>118</v>
      </c>
      <c r="EN80" s="444">
        <v>35.9</v>
      </c>
      <c r="EO80" s="377"/>
      <c r="EP80" s="373"/>
      <c r="EQ80" s="444"/>
      <c r="ER80" s="377"/>
      <c r="ES80" s="373">
        <v>1</v>
      </c>
      <c r="ET80" s="444">
        <v>0</v>
      </c>
      <c r="EU80" s="377">
        <v>1</v>
      </c>
      <c r="EV80" s="373"/>
      <c r="EW80" s="444">
        <v>100</v>
      </c>
      <c r="EX80" s="377">
        <v>2</v>
      </c>
      <c r="EY80" s="373"/>
      <c r="EZ80" s="444">
        <v>100</v>
      </c>
      <c r="FA80" s="377"/>
      <c r="FB80" s="373"/>
      <c r="FC80" s="444"/>
      <c r="FD80" s="377">
        <v>1</v>
      </c>
      <c r="FE80" s="373">
        <v>6</v>
      </c>
      <c r="FF80" s="444">
        <v>14.3</v>
      </c>
      <c r="FG80" s="377">
        <v>1</v>
      </c>
      <c r="FH80" s="373">
        <v>2</v>
      </c>
      <c r="FI80" s="444">
        <v>33.299999999999997</v>
      </c>
      <c r="FJ80" s="377"/>
      <c r="FK80" s="373"/>
      <c r="FL80" s="444" t="s">
        <v>6</v>
      </c>
      <c r="FM80" s="377"/>
      <c r="FN80" s="373"/>
      <c r="FO80" s="444"/>
      <c r="FP80" s="377">
        <v>16</v>
      </c>
      <c r="FQ80" s="373">
        <v>41</v>
      </c>
      <c r="FR80" s="444">
        <v>28.1</v>
      </c>
      <c r="FS80" s="377">
        <v>32</v>
      </c>
      <c r="FT80" s="373">
        <v>26</v>
      </c>
      <c r="FU80" s="444">
        <v>55.2</v>
      </c>
      <c r="FV80" s="377">
        <v>26</v>
      </c>
      <c r="FW80" s="373">
        <v>15</v>
      </c>
      <c r="FX80" s="444">
        <v>63.4</v>
      </c>
      <c r="FY80" s="377"/>
      <c r="FZ80" s="373"/>
      <c r="GA80" s="444"/>
      <c r="GB80" s="377"/>
      <c r="GC80" s="373">
        <v>1</v>
      </c>
      <c r="GD80" s="444">
        <v>0</v>
      </c>
      <c r="GE80" s="377">
        <v>1</v>
      </c>
      <c r="GF80" s="373"/>
      <c r="GG80" s="444">
        <v>100</v>
      </c>
      <c r="GH80" s="377">
        <v>1</v>
      </c>
      <c r="GI80" s="373"/>
      <c r="GJ80" s="444">
        <v>100</v>
      </c>
      <c r="GK80" s="377"/>
      <c r="GL80" s="373"/>
      <c r="GM80" s="444"/>
      <c r="GN80" s="377"/>
      <c r="GO80" s="373">
        <v>2</v>
      </c>
      <c r="GP80" s="444">
        <v>0</v>
      </c>
      <c r="GQ80" s="377"/>
      <c r="GR80" s="373"/>
      <c r="GS80" s="444" t="s">
        <v>6</v>
      </c>
      <c r="GT80" s="377">
        <v>3</v>
      </c>
      <c r="GU80" s="373"/>
      <c r="GV80" s="444">
        <v>100</v>
      </c>
      <c r="GW80" s="377"/>
      <c r="GX80" s="373"/>
      <c r="GY80" s="444"/>
      <c r="GZ80" s="377">
        <v>1</v>
      </c>
      <c r="HA80" s="373"/>
      <c r="HB80" s="444">
        <v>100</v>
      </c>
      <c r="HC80" s="377"/>
      <c r="HD80" s="373"/>
      <c r="HE80" s="444" t="s">
        <v>6</v>
      </c>
      <c r="HF80" s="377">
        <v>2</v>
      </c>
      <c r="HG80" s="373"/>
      <c r="HH80" s="444">
        <v>100</v>
      </c>
      <c r="HI80" s="377"/>
      <c r="HJ80" s="373"/>
      <c r="HK80" s="444"/>
      <c r="HL80" s="377">
        <v>7</v>
      </c>
      <c r="HM80" s="373">
        <v>10</v>
      </c>
      <c r="HN80" s="444">
        <v>41.2</v>
      </c>
      <c r="HO80" s="377">
        <v>3</v>
      </c>
      <c r="HP80" s="373">
        <v>3</v>
      </c>
      <c r="HQ80" s="444">
        <v>50</v>
      </c>
      <c r="HR80" s="377">
        <v>6</v>
      </c>
      <c r="HS80" s="373">
        <v>3</v>
      </c>
      <c r="HT80" s="444">
        <v>66.7</v>
      </c>
      <c r="HU80" s="377"/>
      <c r="HV80" s="373"/>
      <c r="HW80" s="444"/>
      <c r="HX80" s="377"/>
      <c r="HY80" s="373"/>
      <c r="HZ80" s="444" t="s">
        <v>6</v>
      </c>
      <c r="IA80" s="377"/>
      <c r="IB80" s="373"/>
      <c r="IC80" s="444" t="s">
        <v>6</v>
      </c>
      <c r="ID80" s="377">
        <v>1</v>
      </c>
      <c r="IE80" s="373"/>
      <c r="IF80" s="444">
        <v>100</v>
      </c>
      <c r="IG80" s="377"/>
      <c r="IH80" s="373"/>
      <c r="II80" s="444"/>
      <c r="IJ80" s="377">
        <v>2</v>
      </c>
      <c r="IK80" s="373">
        <v>1</v>
      </c>
      <c r="IL80" s="444">
        <v>66.7</v>
      </c>
      <c r="IM80" s="377">
        <v>2</v>
      </c>
      <c r="IN80" s="373"/>
      <c r="IO80" s="444">
        <v>100</v>
      </c>
      <c r="IP80" s="377">
        <v>3</v>
      </c>
      <c r="IQ80" s="373"/>
      <c r="IR80" s="444">
        <v>100</v>
      </c>
      <c r="IS80" s="377"/>
      <c r="IT80" s="373"/>
      <c r="IU80" s="444"/>
      <c r="IV80" s="377">
        <v>126</v>
      </c>
      <c r="IW80" s="373">
        <v>267</v>
      </c>
      <c r="IX80" s="444">
        <v>32.1</v>
      </c>
      <c r="IY80" s="377">
        <v>177</v>
      </c>
      <c r="IZ80" s="373">
        <v>185</v>
      </c>
      <c r="JA80" s="444">
        <v>48.9</v>
      </c>
      <c r="JB80" s="377">
        <v>146</v>
      </c>
      <c r="JC80" s="373">
        <v>125</v>
      </c>
      <c r="JD80" s="444">
        <v>53.9</v>
      </c>
      <c r="JE80" s="377"/>
      <c r="JF80" s="373"/>
      <c r="JG80" s="444"/>
      <c r="JH80" s="377">
        <v>8</v>
      </c>
      <c r="JI80" s="373">
        <v>18</v>
      </c>
      <c r="JJ80" s="444">
        <v>30.8</v>
      </c>
      <c r="JK80" s="377">
        <v>47</v>
      </c>
      <c r="JL80" s="373">
        <v>15</v>
      </c>
      <c r="JM80" s="444">
        <v>75.8</v>
      </c>
      <c r="JN80" s="377">
        <v>62</v>
      </c>
      <c r="JO80" s="373">
        <v>11</v>
      </c>
      <c r="JP80" s="444">
        <v>84.9</v>
      </c>
      <c r="JQ80" s="377"/>
      <c r="JR80" s="373"/>
      <c r="JS80" s="444"/>
      <c r="JT80" s="377"/>
      <c r="JU80" s="373"/>
      <c r="JV80" s="444" t="s">
        <v>6</v>
      </c>
      <c r="JW80" s="377">
        <v>1</v>
      </c>
      <c r="JX80" s="373"/>
      <c r="JY80" s="444">
        <v>100</v>
      </c>
      <c r="JZ80" s="377"/>
      <c r="KA80" s="373">
        <v>1</v>
      </c>
      <c r="KB80" s="444">
        <v>0</v>
      </c>
      <c r="KC80" s="377"/>
      <c r="KD80" s="373"/>
      <c r="KE80" s="444"/>
      <c r="KF80" s="377"/>
      <c r="KG80" s="373"/>
      <c r="KH80" s="444" t="s">
        <v>6</v>
      </c>
      <c r="KI80" s="377"/>
      <c r="KJ80" s="373"/>
      <c r="KK80" s="444" t="s">
        <v>6</v>
      </c>
      <c r="KL80" s="377"/>
      <c r="KM80" s="373"/>
      <c r="KN80" s="444" t="s">
        <v>6</v>
      </c>
      <c r="KO80" s="377"/>
      <c r="KP80" s="373"/>
      <c r="KQ80" s="444"/>
      <c r="KR80" s="377">
        <v>28</v>
      </c>
      <c r="KS80" s="373">
        <v>28</v>
      </c>
      <c r="KT80" s="444">
        <v>50</v>
      </c>
      <c r="KU80" s="377">
        <v>96</v>
      </c>
      <c r="KV80" s="373">
        <v>24</v>
      </c>
      <c r="KW80" s="444">
        <v>80</v>
      </c>
      <c r="KX80" s="377">
        <v>128</v>
      </c>
      <c r="KY80" s="373">
        <v>17</v>
      </c>
      <c r="KZ80" s="444">
        <v>88.3</v>
      </c>
      <c r="LA80" s="377"/>
      <c r="LB80" s="373"/>
      <c r="LC80" s="444"/>
      <c r="LD80" s="377">
        <v>594</v>
      </c>
      <c r="LE80" s="373">
        <v>304</v>
      </c>
      <c r="LF80" s="444">
        <v>66.099999999999994</v>
      </c>
      <c r="LG80" s="377">
        <v>291</v>
      </c>
      <c r="LH80" s="373">
        <v>225</v>
      </c>
      <c r="LI80" s="444">
        <v>56.4</v>
      </c>
      <c r="LJ80" s="377">
        <v>253</v>
      </c>
      <c r="LK80" s="373">
        <v>158</v>
      </c>
      <c r="LL80" s="444">
        <v>61.6</v>
      </c>
      <c r="LM80" s="377"/>
      <c r="LN80" s="373"/>
      <c r="LO80" s="444"/>
    </row>
    <row r="81" spans="1:327" ht="13.5" thickBot="1" x14ac:dyDescent="0.25">
      <c r="A81" s="1001"/>
      <c r="B81" s="748" t="s">
        <v>621</v>
      </c>
      <c r="C81" s="156" t="s">
        <v>688</v>
      </c>
      <c r="D81" s="377"/>
      <c r="E81" s="373"/>
      <c r="F81" s="444" t="s">
        <v>6</v>
      </c>
      <c r="G81" s="377"/>
      <c r="H81" s="373"/>
      <c r="I81" s="444" t="s">
        <v>6</v>
      </c>
      <c r="J81" s="377"/>
      <c r="K81" s="373"/>
      <c r="L81" s="444" t="s">
        <v>6</v>
      </c>
      <c r="M81" s="377"/>
      <c r="N81" s="373"/>
      <c r="O81" s="444"/>
      <c r="P81" s="377"/>
      <c r="Q81" s="373"/>
      <c r="R81" s="444" t="s">
        <v>6</v>
      </c>
      <c r="S81" s="377"/>
      <c r="T81" s="373"/>
      <c r="U81" s="444" t="s">
        <v>6</v>
      </c>
      <c r="V81" s="377"/>
      <c r="W81" s="373"/>
      <c r="X81" s="444" t="s">
        <v>6</v>
      </c>
      <c r="Y81" s="377"/>
      <c r="Z81" s="373"/>
      <c r="AA81" s="444"/>
      <c r="AB81" s="377"/>
      <c r="AC81" s="373"/>
      <c r="AD81" s="444" t="s">
        <v>6</v>
      </c>
      <c r="AE81" s="377"/>
      <c r="AF81" s="373"/>
      <c r="AG81" s="444" t="s">
        <v>6</v>
      </c>
      <c r="AH81" s="377"/>
      <c r="AI81" s="373"/>
      <c r="AJ81" s="444" t="s">
        <v>6</v>
      </c>
      <c r="AK81" s="377"/>
      <c r="AL81" s="373"/>
      <c r="AM81" s="444"/>
      <c r="AN81" s="377">
        <v>7</v>
      </c>
      <c r="AO81" s="373">
        <v>5</v>
      </c>
      <c r="AP81" s="444">
        <v>58.3</v>
      </c>
      <c r="AQ81" s="377">
        <v>19</v>
      </c>
      <c r="AR81" s="373">
        <v>2</v>
      </c>
      <c r="AS81" s="444">
        <v>90.5</v>
      </c>
      <c r="AT81" s="377">
        <v>17</v>
      </c>
      <c r="AU81" s="373">
        <v>1</v>
      </c>
      <c r="AV81" s="444">
        <v>94.4</v>
      </c>
      <c r="AW81" s="377"/>
      <c r="AX81" s="373"/>
      <c r="AY81" s="444"/>
      <c r="AZ81" s="377">
        <v>5</v>
      </c>
      <c r="BA81" s="373">
        <v>5</v>
      </c>
      <c r="BB81" s="444">
        <v>50</v>
      </c>
      <c r="BC81" s="377">
        <v>8</v>
      </c>
      <c r="BD81" s="373">
        <v>1</v>
      </c>
      <c r="BE81" s="444">
        <v>88.9</v>
      </c>
      <c r="BF81" s="377">
        <v>13</v>
      </c>
      <c r="BG81" s="373">
        <v>1</v>
      </c>
      <c r="BH81" s="444">
        <v>92.9</v>
      </c>
      <c r="BI81" s="377"/>
      <c r="BJ81" s="373"/>
      <c r="BK81" s="444"/>
      <c r="BL81" s="377"/>
      <c r="BM81" s="373"/>
      <c r="BN81" s="444" t="s">
        <v>6</v>
      </c>
      <c r="BO81" s="377"/>
      <c r="BP81" s="373"/>
      <c r="BQ81" s="444" t="s">
        <v>6</v>
      </c>
      <c r="BR81" s="377"/>
      <c r="BS81" s="373"/>
      <c r="BT81" s="444" t="s">
        <v>6</v>
      </c>
      <c r="BU81" s="377"/>
      <c r="BV81" s="373"/>
      <c r="BW81" s="444"/>
      <c r="BX81" s="377"/>
      <c r="BY81" s="373"/>
      <c r="BZ81" s="444" t="s">
        <v>6</v>
      </c>
      <c r="CA81" s="377"/>
      <c r="CB81" s="373"/>
      <c r="CC81" s="444" t="s">
        <v>6</v>
      </c>
      <c r="CD81" s="377"/>
      <c r="CE81" s="373"/>
      <c r="CF81" s="444" t="s">
        <v>6</v>
      </c>
      <c r="CG81" s="377"/>
      <c r="CH81" s="373"/>
      <c r="CI81" s="444"/>
      <c r="CJ81" s="377">
        <v>1</v>
      </c>
      <c r="CK81" s="373"/>
      <c r="CL81" s="444">
        <v>100</v>
      </c>
      <c r="CM81" s="377"/>
      <c r="CN81" s="373"/>
      <c r="CO81" s="444" t="s">
        <v>6</v>
      </c>
      <c r="CP81" s="377">
        <v>1</v>
      </c>
      <c r="CQ81" s="373"/>
      <c r="CR81" s="444">
        <v>100</v>
      </c>
      <c r="CS81" s="377"/>
      <c r="CT81" s="373"/>
      <c r="CU81" s="444"/>
      <c r="CV81" s="377">
        <v>16</v>
      </c>
      <c r="CW81" s="373">
        <v>1</v>
      </c>
      <c r="CX81" s="444">
        <v>94.1</v>
      </c>
      <c r="CY81" s="377">
        <v>25</v>
      </c>
      <c r="CZ81" s="373">
        <v>1</v>
      </c>
      <c r="DA81" s="444">
        <v>96.2</v>
      </c>
      <c r="DB81" s="377">
        <v>10</v>
      </c>
      <c r="DC81" s="373">
        <v>1</v>
      </c>
      <c r="DD81" s="444">
        <v>90.9</v>
      </c>
      <c r="DE81" s="377"/>
      <c r="DF81" s="373"/>
      <c r="DG81" s="444"/>
      <c r="DH81" s="377"/>
      <c r="DI81" s="373"/>
      <c r="DJ81" s="444" t="s">
        <v>6</v>
      </c>
      <c r="DK81" s="377">
        <v>2</v>
      </c>
      <c r="DL81" s="373"/>
      <c r="DM81" s="444">
        <v>100</v>
      </c>
      <c r="DN81" s="377"/>
      <c r="DO81" s="373"/>
      <c r="DP81" s="444" t="s">
        <v>6</v>
      </c>
      <c r="DQ81" s="377"/>
      <c r="DR81" s="373"/>
      <c r="DS81" s="444"/>
      <c r="DT81" s="377">
        <v>1</v>
      </c>
      <c r="DU81" s="373"/>
      <c r="DV81" s="444">
        <v>100</v>
      </c>
      <c r="DW81" s="377"/>
      <c r="DX81" s="373"/>
      <c r="DY81" s="444" t="s">
        <v>6</v>
      </c>
      <c r="DZ81" s="377">
        <v>3</v>
      </c>
      <c r="EA81" s="373"/>
      <c r="EB81" s="444">
        <v>100</v>
      </c>
      <c r="EC81" s="377"/>
      <c r="ED81" s="373"/>
      <c r="EE81" s="444"/>
      <c r="EF81" s="377">
        <v>103</v>
      </c>
      <c r="EG81" s="373">
        <v>488</v>
      </c>
      <c r="EH81" s="444">
        <v>17.399999999999999</v>
      </c>
      <c r="EI81" s="377">
        <v>148</v>
      </c>
      <c r="EJ81" s="373">
        <v>439</v>
      </c>
      <c r="EK81" s="444">
        <v>25.2</v>
      </c>
      <c r="EL81" s="377">
        <v>332</v>
      </c>
      <c r="EM81" s="373">
        <v>388</v>
      </c>
      <c r="EN81" s="444">
        <v>46.1</v>
      </c>
      <c r="EO81" s="377"/>
      <c r="EP81" s="373"/>
      <c r="EQ81" s="444"/>
      <c r="ER81" s="377">
        <v>14</v>
      </c>
      <c r="ES81" s="373"/>
      <c r="ET81" s="444">
        <v>100</v>
      </c>
      <c r="EU81" s="377">
        <v>7</v>
      </c>
      <c r="EV81" s="373">
        <v>6</v>
      </c>
      <c r="EW81" s="444">
        <v>53.8</v>
      </c>
      <c r="EX81" s="377">
        <v>156</v>
      </c>
      <c r="EY81" s="373">
        <v>1</v>
      </c>
      <c r="EZ81" s="444">
        <v>99.4</v>
      </c>
      <c r="FA81" s="377"/>
      <c r="FB81" s="373"/>
      <c r="FC81" s="444"/>
      <c r="FD81" s="377">
        <v>7</v>
      </c>
      <c r="FE81" s="373">
        <v>9</v>
      </c>
      <c r="FF81" s="444">
        <v>43.8</v>
      </c>
      <c r="FG81" s="377">
        <v>13</v>
      </c>
      <c r="FH81" s="373">
        <v>13</v>
      </c>
      <c r="FI81" s="444">
        <v>50</v>
      </c>
      <c r="FJ81" s="377">
        <v>10</v>
      </c>
      <c r="FK81" s="373">
        <v>8</v>
      </c>
      <c r="FL81" s="444">
        <v>55.6</v>
      </c>
      <c r="FM81" s="377"/>
      <c r="FN81" s="373"/>
      <c r="FO81" s="444"/>
      <c r="FP81" s="377">
        <v>27</v>
      </c>
      <c r="FQ81" s="373">
        <v>73</v>
      </c>
      <c r="FR81" s="444">
        <v>27</v>
      </c>
      <c r="FS81" s="377">
        <v>60</v>
      </c>
      <c r="FT81" s="373">
        <v>78</v>
      </c>
      <c r="FU81" s="444">
        <v>43.5</v>
      </c>
      <c r="FV81" s="377">
        <v>68</v>
      </c>
      <c r="FW81" s="373">
        <v>39</v>
      </c>
      <c r="FX81" s="444">
        <v>63.6</v>
      </c>
      <c r="FY81" s="377"/>
      <c r="FZ81" s="373"/>
      <c r="GA81" s="444"/>
      <c r="GB81" s="377"/>
      <c r="GC81" s="373"/>
      <c r="GD81" s="444" t="s">
        <v>6</v>
      </c>
      <c r="GE81" s="377">
        <v>2</v>
      </c>
      <c r="GF81" s="373"/>
      <c r="GG81" s="444">
        <v>100</v>
      </c>
      <c r="GH81" s="377">
        <v>1</v>
      </c>
      <c r="GI81" s="373"/>
      <c r="GJ81" s="444">
        <v>100</v>
      </c>
      <c r="GK81" s="377"/>
      <c r="GL81" s="373"/>
      <c r="GM81" s="444"/>
      <c r="GN81" s="377"/>
      <c r="GO81" s="373"/>
      <c r="GP81" s="444" t="s">
        <v>6</v>
      </c>
      <c r="GQ81" s="377">
        <v>1</v>
      </c>
      <c r="GR81" s="373"/>
      <c r="GS81" s="444">
        <v>100</v>
      </c>
      <c r="GT81" s="377">
        <v>1</v>
      </c>
      <c r="GU81" s="373"/>
      <c r="GV81" s="444">
        <v>100</v>
      </c>
      <c r="GW81" s="377"/>
      <c r="GX81" s="373"/>
      <c r="GY81" s="444"/>
      <c r="GZ81" s="377">
        <v>1</v>
      </c>
      <c r="HA81" s="373"/>
      <c r="HB81" s="444">
        <v>100</v>
      </c>
      <c r="HC81" s="377"/>
      <c r="HD81" s="373"/>
      <c r="HE81" s="444" t="s">
        <v>6</v>
      </c>
      <c r="HF81" s="377">
        <v>1</v>
      </c>
      <c r="HG81" s="373"/>
      <c r="HH81" s="444">
        <v>100</v>
      </c>
      <c r="HI81" s="377"/>
      <c r="HJ81" s="373"/>
      <c r="HK81" s="444"/>
      <c r="HL81" s="377">
        <v>9</v>
      </c>
      <c r="HM81" s="373">
        <v>44</v>
      </c>
      <c r="HN81" s="444">
        <v>17</v>
      </c>
      <c r="HO81" s="377">
        <v>13</v>
      </c>
      <c r="HP81" s="373">
        <v>34</v>
      </c>
      <c r="HQ81" s="444">
        <v>27.7</v>
      </c>
      <c r="HR81" s="377">
        <v>14</v>
      </c>
      <c r="HS81" s="373">
        <v>38</v>
      </c>
      <c r="HT81" s="444">
        <v>26.9</v>
      </c>
      <c r="HU81" s="377"/>
      <c r="HV81" s="373"/>
      <c r="HW81" s="444"/>
      <c r="HX81" s="377">
        <v>2</v>
      </c>
      <c r="HY81" s="373">
        <v>1</v>
      </c>
      <c r="HZ81" s="444">
        <v>66.7</v>
      </c>
      <c r="IA81" s="377">
        <v>3</v>
      </c>
      <c r="IB81" s="373"/>
      <c r="IC81" s="444">
        <v>100</v>
      </c>
      <c r="ID81" s="377">
        <v>1</v>
      </c>
      <c r="IE81" s="373"/>
      <c r="IF81" s="444">
        <v>100</v>
      </c>
      <c r="IG81" s="377"/>
      <c r="IH81" s="373"/>
      <c r="II81" s="444"/>
      <c r="IJ81" s="377">
        <v>5</v>
      </c>
      <c r="IK81" s="373">
        <v>1</v>
      </c>
      <c r="IL81" s="444">
        <v>83.3</v>
      </c>
      <c r="IM81" s="377">
        <v>2</v>
      </c>
      <c r="IN81" s="373">
        <v>2</v>
      </c>
      <c r="IO81" s="444">
        <v>50</v>
      </c>
      <c r="IP81" s="377">
        <v>2</v>
      </c>
      <c r="IQ81" s="373"/>
      <c r="IR81" s="444">
        <v>100</v>
      </c>
      <c r="IS81" s="377"/>
      <c r="IT81" s="373"/>
      <c r="IU81" s="444"/>
      <c r="IV81" s="377">
        <v>145</v>
      </c>
      <c r="IW81" s="373">
        <v>540</v>
      </c>
      <c r="IX81" s="444">
        <v>21.2</v>
      </c>
      <c r="IY81" s="377">
        <v>215</v>
      </c>
      <c r="IZ81" s="373">
        <v>478</v>
      </c>
      <c r="JA81" s="444">
        <v>31</v>
      </c>
      <c r="JB81" s="377">
        <v>383</v>
      </c>
      <c r="JC81" s="373">
        <v>428</v>
      </c>
      <c r="JD81" s="444">
        <v>47.2</v>
      </c>
      <c r="JE81" s="377"/>
      <c r="JF81" s="373"/>
      <c r="JG81" s="444"/>
      <c r="JH81" s="377">
        <v>24</v>
      </c>
      <c r="JI81" s="373">
        <v>74</v>
      </c>
      <c r="JJ81" s="444">
        <v>24.5</v>
      </c>
      <c r="JK81" s="377">
        <v>91</v>
      </c>
      <c r="JL81" s="373">
        <v>33</v>
      </c>
      <c r="JM81" s="444">
        <v>73.400000000000006</v>
      </c>
      <c r="JN81" s="377">
        <v>232</v>
      </c>
      <c r="JO81" s="373">
        <v>16</v>
      </c>
      <c r="JP81" s="444">
        <v>93.5</v>
      </c>
      <c r="JQ81" s="377"/>
      <c r="JR81" s="373"/>
      <c r="JS81" s="444"/>
      <c r="JT81" s="377"/>
      <c r="JU81" s="373"/>
      <c r="JV81" s="444" t="s">
        <v>6</v>
      </c>
      <c r="JW81" s="377"/>
      <c r="JX81" s="373"/>
      <c r="JY81" s="444" t="s">
        <v>6</v>
      </c>
      <c r="JZ81" s="377">
        <v>1</v>
      </c>
      <c r="KA81" s="373"/>
      <c r="KB81" s="444">
        <v>100</v>
      </c>
      <c r="KC81" s="377"/>
      <c r="KD81" s="373"/>
      <c r="KE81" s="444"/>
      <c r="KF81" s="377"/>
      <c r="KG81" s="373"/>
      <c r="KH81" s="444" t="s">
        <v>6</v>
      </c>
      <c r="KI81" s="377"/>
      <c r="KJ81" s="373"/>
      <c r="KK81" s="444" t="s">
        <v>6</v>
      </c>
      <c r="KL81" s="377"/>
      <c r="KM81" s="373"/>
      <c r="KN81" s="444" t="s">
        <v>6</v>
      </c>
      <c r="KO81" s="377"/>
      <c r="KP81" s="373"/>
      <c r="KQ81" s="444"/>
      <c r="KR81" s="377">
        <v>29</v>
      </c>
      <c r="KS81" s="373">
        <v>78</v>
      </c>
      <c r="KT81" s="444">
        <v>27.1</v>
      </c>
      <c r="KU81" s="377">
        <v>102</v>
      </c>
      <c r="KV81" s="373">
        <v>35</v>
      </c>
      <c r="KW81" s="444">
        <v>74.5</v>
      </c>
      <c r="KX81" s="377">
        <v>237</v>
      </c>
      <c r="KY81" s="373">
        <v>22</v>
      </c>
      <c r="KZ81" s="444">
        <v>91.5</v>
      </c>
      <c r="LA81" s="377"/>
      <c r="LB81" s="373"/>
      <c r="LC81" s="444"/>
      <c r="LD81" s="377">
        <v>439</v>
      </c>
      <c r="LE81" s="373">
        <v>616</v>
      </c>
      <c r="LF81" s="444">
        <v>41.6</v>
      </c>
      <c r="LG81" s="377">
        <v>785</v>
      </c>
      <c r="LH81" s="373">
        <v>540</v>
      </c>
      <c r="LI81" s="444">
        <v>59.2</v>
      </c>
      <c r="LJ81" s="377">
        <v>554</v>
      </c>
      <c r="LK81" s="373">
        <v>533</v>
      </c>
      <c r="LL81" s="444">
        <v>51</v>
      </c>
      <c r="LM81" s="377"/>
      <c r="LN81" s="373"/>
      <c r="LO81" s="444"/>
    </row>
    <row r="82" spans="1:327" s="259" customFormat="1" ht="13.5" thickBot="1" x14ac:dyDescent="0.25">
      <c r="A82" s="1002"/>
      <c r="B82" s="751"/>
      <c r="C82" s="189" t="s">
        <v>780</v>
      </c>
      <c r="D82" s="384">
        <v>4</v>
      </c>
      <c r="E82" s="385"/>
      <c r="F82" s="451">
        <v>100</v>
      </c>
      <c r="G82" s="384">
        <v>3</v>
      </c>
      <c r="H82" s="385"/>
      <c r="I82" s="451">
        <v>100</v>
      </c>
      <c r="J82" s="384">
        <v>4</v>
      </c>
      <c r="K82" s="385"/>
      <c r="L82" s="451">
        <v>100</v>
      </c>
      <c r="M82" s="384"/>
      <c r="N82" s="385"/>
      <c r="O82" s="451"/>
      <c r="P82" s="384">
        <v>2</v>
      </c>
      <c r="Q82" s="385"/>
      <c r="R82" s="451">
        <v>100</v>
      </c>
      <c r="S82" s="384">
        <v>3</v>
      </c>
      <c r="T82" s="385"/>
      <c r="U82" s="451">
        <v>100</v>
      </c>
      <c r="V82" s="384">
        <v>3</v>
      </c>
      <c r="W82" s="385"/>
      <c r="X82" s="451">
        <v>100</v>
      </c>
      <c r="Y82" s="384"/>
      <c r="Z82" s="385"/>
      <c r="AA82" s="451"/>
      <c r="AB82" s="384">
        <v>1</v>
      </c>
      <c r="AC82" s="385"/>
      <c r="AD82" s="451">
        <v>100</v>
      </c>
      <c r="AE82" s="384"/>
      <c r="AF82" s="385"/>
      <c r="AG82" s="451" t="s">
        <v>6</v>
      </c>
      <c r="AH82" s="384"/>
      <c r="AI82" s="385"/>
      <c r="AJ82" s="451" t="s">
        <v>6</v>
      </c>
      <c r="AK82" s="384"/>
      <c r="AL82" s="385"/>
      <c r="AM82" s="451"/>
      <c r="AN82" s="384">
        <v>153</v>
      </c>
      <c r="AO82" s="385">
        <v>40</v>
      </c>
      <c r="AP82" s="451">
        <v>79.3</v>
      </c>
      <c r="AQ82" s="384">
        <v>242</v>
      </c>
      <c r="AR82" s="385">
        <v>36</v>
      </c>
      <c r="AS82" s="451">
        <v>87.1</v>
      </c>
      <c r="AT82" s="384">
        <v>243</v>
      </c>
      <c r="AU82" s="385">
        <v>17</v>
      </c>
      <c r="AV82" s="451">
        <v>93.5</v>
      </c>
      <c r="AW82" s="384"/>
      <c r="AX82" s="385"/>
      <c r="AY82" s="451"/>
      <c r="AZ82" s="384">
        <v>76</v>
      </c>
      <c r="BA82" s="385">
        <v>38</v>
      </c>
      <c r="BB82" s="451">
        <v>66.7</v>
      </c>
      <c r="BC82" s="384">
        <v>107</v>
      </c>
      <c r="BD82" s="385">
        <v>32</v>
      </c>
      <c r="BE82" s="451">
        <v>77</v>
      </c>
      <c r="BF82" s="384">
        <v>83</v>
      </c>
      <c r="BG82" s="385">
        <v>14</v>
      </c>
      <c r="BH82" s="451">
        <v>85.6</v>
      </c>
      <c r="BI82" s="384"/>
      <c r="BJ82" s="385"/>
      <c r="BK82" s="451"/>
      <c r="BL82" s="384"/>
      <c r="BM82" s="385"/>
      <c r="BN82" s="451" t="s">
        <v>6</v>
      </c>
      <c r="BO82" s="384">
        <v>2</v>
      </c>
      <c r="BP82" s="385"/>
      <c r="BQ82" s="451">
        <v>100</v>
      </c>
      <c r="BR82" s="384"/>
      <c r="BS82" s="385"/>
      <c r="BT82" s="451" t="s">
        <v>6</v>
      </c>
      <c r="BU82" s="384"/>
      <c r="BV82" s="385"/>
      <c r="BW82" s="451"/>
      <c r="BX82" s="384"/>
      <c r="BY82" s="385"/>
      <c r="BZ82" s="451" t="s">
        <v>6</v>
      </c>
      <c r="CA82" s="384"/>
      <c r="CB82" s="385"/>
      <c r="CC82" s="451" t="s">
        <v>6</v>
      </c>
      <c r="CD82" s="384">
        <v>3</v>
      </c>
      <c r="CE82" s="385"/>
      <c r="CF82" s="451">
        <v>100</v>
      </c>
      <c r="CG82" s="384"/>
      <c r="CH82" s="385"/>
      <c r="CI82" s="451"/>
      <c r="CJ82" s="384">
        <v>9</v>
      </c>
      <c r="CK82" s="385"/>
      <c r="CL82" s="451">
        <v>100</v>
      </c>
      <c r="CM82" s="384">
        <v>1</v>
      </c>
      <c r="CN82" s="385"/>
      <c r="CO82" s="451">
        <v>100</v>
      </c>
      <c r="CP82" s="384">
        <v>6</v>
      </c>
      <c r="CQ82" s="385"/>
      <c r="CR82" s="451">
        <v>100</v>
      </c>
      <c r="CS82" s="384"/>
      <c r="CT82" s="385"/>
      <c r="CU82" s="451"/>
      <c r="CV82" s="384">
        <v>162</v>
      </c>
      <c r="CW82" s="385">
        <v>23</v>
      </c>
      <c r="CX82" s="451">
        <v>87.6</v>
      </c>
      <c r="CY82" s="384">
        <v>156</v>
      </c>
      <c r="CZ82" s="385">
        <v>22</v>
      </c>
      <c r="DA82" s="451">
        <v>87.6</v>
      </c>
      <c r="DB82" s="384">
        <v>156</v>
      </c>
      <c r="DC82" s="385">
        <v>14</v>
      </c>
      <c r="DD82" s="451">
        <v>91.8</v>
      </c>
      <c r="DE82" s="384"/>
      <c r="DF82" s="385"/>
      <c r="DG82" s="451"/>
      <c r="DH82" s="384">
        <v>3</v>
      </c>
      <c r="DI82" s="385"/>
      <c r="DJ82" s="451">
        <v>100</v>
      </c>
      <c r="DK82" s="384">
        <v>7</v>
      </c>
      <c r="DL82" s="385"/>
      <c r="DM82" s="451">
        <v>100</v>
      </c>
      <c r="DN82" s="384">
        <v>2</v>
      </c>
      <c r="DO82" s="385"/>
      <c r="DP82" s="451">
        <v>100</v>
      </c>
      <c r="DQ82" s="384"/>
      <c r="DR82" s="385"/>
      <c r="DS82" s="451"/>
      <c r="DT82" s="384">
        <v>12</v>
      </c>
      <c r="DU82" s="385"/>
      <c r="DV82" s="451">
        <v>100</v>
      </c>
      <c r="DW82" s="384">
        <v>17</v>
      </c>
      <c r="DX82" s="385"/>
      <c r="DY82" s="451">
        <v>100</v>
      </c>
      <c r="DZ82" s="384">
        <v>20</v>
      </c>
      <c r="EA82" s="385"/>
      <c r="EB82" s="451">
        <v>100</v>
      </c>
      <c r="EC82" s="384"/>
      <c r="ED82" s="385"/>
      <c r="EE82" s="451"/>
      <c r="EF82" s="384">
        <v>812</v>
      </c>
      <c r="EG82" s="385">
        <v>3111</v>
      </c>
      <c r="EH82" s="451">
        <v>20.7</v>
      </c>
      <c r="EI82" s="384">
        <v>646</v>
      </c>
      <c r="EJ82" s="385">
        <v>2216</v>
      </c>
      <c r="EK82" s="451">
        <v>22.6</v>
      </c>
      <c r="EL82" s="384">
        <v>933</v>
      </c>
      <c r="EM82" s="385">
        <v>1768</v>
      </c>
      <c r="EN82" s="451">
        <v>34.5</v>
      </c>
      <c r="EO82" s="384"/>
      <c r="EP82" s="385"/>
      <c r="EQ82" s="451"/>
      <c r="ER82" s="384">
        <v>21</v>
      </c>
      <c r="ES82" s="385">
        <v>19</v>
      </c>
      <c r="ET82" s="451">
        <v>52.5</v>
      </c>
      <c r="EU82" s="384">
        <v>13</v>
      </c>
      <c r="EV82" s="385">
        <v>15</v>
      </c>
      <c r="EW82" s="451">
        <v>46.4</v>
      </c>
      <c r="EX82" s="384">
        <v>163</v>
      </c>
      <c r="EY82" s="385">
        <v>5</v>
      </c>
      <c r="EZ82" s="451">
        <v>97</v>
      </c>
      <c r="FA82" s="384"/>
      <c r="FB82" s="385"/>
      <c r="FC82" s="451"/>
      <c r="FD82" s="384">
        <v>32</v>
      </c>
      <c r="FE82" s="385">
        <v>85</v>
      </c>
      <c r="FF82" s="451">
        <v>27.4</v>
      </c>
      <c r="FG82" s="384">
        <v>17</v>
      </c>
      <c r="FH82" s="385">
        <v>54</v>
      </c>
      <c r="FI82" s="451">
        <v>23.9</v>
      </c>
      <c r="FJ82" s="384">
        <v>24</v>
      </c>
      <c r="FK82" s="385">
        <v>13</v>
      </c>
      <c r="FL82" s="451">
        <v>64.900000000000006</v>
      </c>
      <c r="FM82" s="384"/>
      <c r="FN82" s="385"/>
      <c r="FO82" s="451"/>
      <c r="FP82" s="384">
        <v>253</v>
      </c>
      <c r="FQ82" s="385">
        <v>665</v>
      </c>
      <c r="FR82" s="451">
        <v>27.6</v>
      </c>
      <c r="FS82" s="384">
        <v>248</v>
      </c>
      <c r="FT82" s="385">
        <v>454</v>
      </c>
      <c r="FU82" s="451">
        <v>35.299999999999997</v>
      </c>
      <c r="FV82" s="384">
        <v>220</v>
      </c>
      <c r="FW82" s="385">
        <v>261</v>
      </c>
      <c r="FX82" s="451">
        <v>45.7</v>
      </c>
      <c r="FY82" s="384"/>
      <c r="FZ82" s="385"/>
      <c r="GA82" s="451"/>
      <c r="GB82" s="384">
        <v>25</v>
      </c>
      <c r="GC82" s="385">
        <v>10</v>
      </c>
      <c r="GD82" s="451">
        <v>71.400000000000006</v>
      </c>
      <c r="GE82" s="384">
        <v>23</v>
      </c>
      <c r="GF82" s="385">
        <v>2</v>
      </c>
      <c r="GG82" s="451">
        <v>92</v>
      </c>
      <c r="GH82" s="384">
        <v>26</v>
      </c>
      <c r="GI82" s="385">
        <v>1</v>
      </c>
      <c r="GJ82" s="451">
        <v>96.3</v>
      </c>
      <c r="GK82" s="384"/>
      <c r="GL82" s="385"/>
      <c r="GM82" s="451"/>
      <c r="GN82" s="384">
        <v>14</v>
      </c>
      <c r="GO82" s="385">
        <v>8</v>
      </c>
      <c r="GP82" s="451">
        <v>63.6</v>
      </c>
      <c r="GQ82" s="384">
        <v>51</v>
      </c>
      <c r="GR82" s="385">
        <v>5</v>
      </c>
      <c r="GS82" s="451">
        <v>91.1</v>
      </c>
      <c r="GT82" s="384">
        <v>32</v>
      </c>
      <c r="GU82" s="385">
        <v>8</v>
      </c>
      <c r="GV82" s="451">
        <v>80</v>
      </c>
      <c r="GW82" s="384"/>
      <c r="GX82" s="385"/>
      <c r="GY82" s="451"/>
      <c r="GZ82" s="384">
        <v>12</v>
      </c>
      <c r="HA82" s="385"/>
      <c r="HB82" s="451">
        <v>100</v>
      </c>
      <c r="HC82" s="384">
        <v>1</v>
      </c>
      <c r="HD82" s="385"/>
      <c r="HE82" s="451">
        <v>100</v>
      </c>
      <c r="HF82" s="384">
        <v>16</v>
      </c>
      <c r="HG82" s="385"/>
      <c r="HH82" s="451">
        <v>100</v>
      </c>
      <c r="HI82" s="384"/>
      <c r="HJ82" s="385"/>
      <c r="HK82" s="451"/>
      <c r="HL82" s="384">
        <v>52</v>
      </c>
      <c r="HM82" s="385">
        <v>228</v>
      </c>
      <c r="HN82" s="451">
        <v>18.600000000000001</v>
      </c>
      <c r="HO82" s="384">
        <v>57</v>
      </c>
      <c r="HP82" s="385">
        <v>190</v>
      </c>
      <c r="HQ82" s="451">
        <v>23.1</v>
      </c>
      <c r="HR82" s="384">
        <v>75</v>
      </c>
      <c r="HS82" s="385">
        <v>153</v>
      </c>
      <c r="HT82" s="451">
        <v>32.9</v>
      </c>
      <c r="HU82" s="384"/>
      <c r="HV82" s="385"/>
      <c r="HW82" s="451"/>
      <c r="HX82" s="384">
        <v>12</v>
      </c>
      <c r="HY82" s="385">
        <v>2</v>
      </c>
      <c r="HZ82" s="451">
        <v>85.7</v>
      </c>
      <c r="IA82" s="384">
        <v>7</v>
      </c>
      <c r="IB82" s="385"/>
      <c r="IC82" s="451">
        <v>100</v>
      </c>
      <c r="ID82" s="384">
        <v>2</v>
      </c>
      <c r="IE82" s="385"/>
      <c r="IF82" s="451">
        <v>100</v>
      </c>
      <c r="IG82" s="384"/>
      <c r="IH82" s="385"/>
      <c r="II82" s="451"/>
      <c r="IJ82" s="384">
        <v>21</v>
      </c>
      <c r="IK82" s="385">
        <v>7</v>
      </c>
      <c r="IL82" s="451">
        <v>75</v>
      </c>
      <c r="IM82" s="384">
        <v>13</v>
      </c>
      <c r="IN82" s="385">
        <v>4</v>
      </c>
      <c r="IO82" s="451">
        <v>76.5</v>
      </c>
      <c r="IP82" s="384">
        <v>25</v>
      </c>
      <c r="IQ82" s="385">
        <v>1</v>
      </c>
      <c r="IR82" s="451">
        <v>96.2</v>
      </c>
      <c r="IS82" s="384"/>
      <c r="IT82" s="385"/>
      <c r="IU82" s="451"/>
      <c r="IV82" s="384">
        <v>1291</v>
      </c>
      <c r="IW82" s="385">
        <v>3429</v>
      </c>
      <c r="IX82" s="451">
        <v>27.4</v>
      </c>
      <c r="IY82" s="384">
        <v>1224</v>
      </c>
      <c r="IZ82" s="385">
        <v>2475</v>
      </c>
      <c r="JA82" s="451">
        <v>33.1</v>
      </c>
      <c r="JB82" s="384">
        <v>1543</v>
      </c>
      <c r="JC82" s="385">
        <v>1962</v>
      </c>
      <c r="JD82" s="451">
        <v>44</v>
      </c>
      <c r="JE82" s="384"/>
      <c r="JF82" s="385"/>
      <c r="JG82" s="451"/>
      <c r="JH82" s="384">
        <v>198</v>
      </c>
      <c r="JI82" s="385">
        <v>330</v>
      </c>
      <c r="JJ82" s="451">
        <v>37.5</v>
      </c>
      <c r="JK82" s="384">
        <v>366</v>
      </c>
      <c r="JL82" s="385">
        <v>140</v>
      </c>
      <c r="JM82" s="451">
        <v>72.3</v>
      </c>
      <c r="JN82" s="384">
        <v>614</v>
      </c>
      <c r="JO82" s="385">
        <v>71</v>
      </c>
      <c r="JP82" s="451">
        <v>89.6</v>
      </c>
      <c r="JQ82" s="384"/>
      <c r="JR82" s="385"/>
      <c r="JS82" s="451"/>
      <c r="JT82" s="384">
        <v>6</v>
      </c>
      <c r="JU82" s="385">
        <v>3</v>
      </c>
      <c r="JV82" s="451">
        <v>66.7</v>
      </c>
      <c r="JW82" s="384">
        <v>6</v>
      </c>
      <c r="JX82" s="385">
        <v>2</v>
      </c>
      <c r="JY82" s="451">
        <v>75</v>
      </c>
      <c r="JZ82" s="384">
        <v>6</v>
      </c>
      <c r="KA82" s="385">
        <v>1</v>
      </c>
      <c r="KB82" s="451">
        <v>85.7</v>
      </c>
      <c r="KC82" s="384"/>
      <c r="KD82" s="385"/>
      <c r="KE82" s="451"/>
      <c r="KF82" s="384">
        <v>5</v>
      </c>
      <c r="KG82" s="385">
        <v>2</v>
      </c>
      <c r="KH82" s="451">
        <v>71.400000000000006</v>
      </c>
      <c r="KI82" s="384">
        <v>2</v>
      </c>
      <c r="KJ82" s="385"/>
      <c r="KK82" s="451">
        <v>100</v>
      </c>
      <c r="KL82" s="384">
        <v>2</v>
      </c>
      <c r="KM82" s="385">
        <v>1</v>
      </c>
      <c r="KN82" s="451">
        <v>66.7</v>
      </c>
      <c r="KO82" s="384"/>
      <c r="KP82" s="385"/>
      <c r="KQ82" s="451"/>
      <c r="KR82" s="384">
        <v>283</v>
      </c>
      <c r="KS82" s="385">
        <v>395</v>
      </c>
      <c r="KT82" s="451">
        <v>41.7</v>
      </c>
      <c r="KU82" s="384">
        <v>511</v>
      </c>
      <c r="KV82" s="385">
        <v>193</v>
      </c>
      <c r="KW82" s="451">
        <v>72.599999999999994</v>
      </c>
      <c r="KX82" s="384">
        <v>780</v>
      </c>
      <c r="KY82" s="385">
        <v>114</v>
      </c>
      <c r="KZ82" s="451">
        <v>87.2</v>
      </c>
      <c r="LA82" s="384"/>
      <c r="LB82" s="385"/>
      <c r="LC82" s="451"/>
      <c r="LD82" s="384">
        <v>3642</v>
      </c>
      <c r="LE82" s="385">
        <v>4058</v>
      </c>
      <c r="LF82" s="451">
        <v>47.3</v>
      </c>
      <c r="LG82" s="384">
        <v>2895</v>
      </c>
      <c r="LH82" s="385">
        <v>3072</v>
      </c>
      <c r="LI82" s="451">
        <v>48.5</v>
      </c>
      <c r="LJ82" s="384">
        <v>3146</v>
      </c>
      <c r="LK82" s="385">
        <v>2706</v>
      </c>
      <c r="LL82" s="451">
        <v>53.8</v>
      </c>
      <c r="LM82" s="384"/>
      <c r="LN82" s="385"/>
      <c r="LO82" s="451"/>
    </row>
    <row r="83" spans="1:327" x14ac:dyDescent="0.2">
      <c r="A83" s="1000" t="s">
        <v>587</v>
      </c>
      <c r="B83" s="749"/>
      <c r="C83" s="146" t="s">
        <v>588</v>
      </c>
      <c r="D83" s="441">
        <v>3</v>
      </c>
      <c r="E83" s="442"/>
      <c r="F83" s="443">
        <v>100</v>
      </c>
      <c r="G83" s="441">
        <v>3</v>
      </c>
      <c r="H83" s="442"/>
      <c r="I83" s="443">
        <v>100</v>
      </c>
      <c r="J83" s="441">
        <v>4</v>
      </c>
      <c r="K83" s="442"/>
      <c r="L83" s="443">
        <v>100</v>
      </c>
      <c r="M83" s="441"/>
      <c r="N83" s="442"/>
      <c r="O83" s="443"/>
      <c r="P83" s="441">
        <v>2</v>
      </c>
      <c r="Q83" s="442"/>
      <c r="R83" s="443">
        <v>100</v>
      </c>
      <c r="S83" s="441">
        <v>1</v>
      </c>
      <c r="T83" s="442"/>
      <c r="U83" s="443">
        <v>100</v>
      </c>
      <c r="V83" s="441">
        <v>3</v>
      </c>
      <c r="W83" s="442"/>
      <c r="X83" s="443">
        <v>100</v>
      </c>
      <c r="Y83" s="441"/>
      <c r="Z83" s="442"/>
      <c r="AA83" s="443"/>
      <c r="AB83" s="441">
        <v>1</v>
      </c>
      <c r="AC83" s="442"/>
      <c r="AD83" s="443">
        <v>100</v>
      </c>
      <c r="AE83" s="441">
        <v>1</v>
      </c>
      <c r="AF83" s="442"/>
      <c r="AG83" s="443">
        <v>100</v>
      </c>
      <c r="AH83" s="441">
        <v>1</v>
      </c>
      <c r="AI83" s="442"/>
      <c r="AJ83" s="443">
        <v>100</v>
      </c>
      <c r="AK83" s="441"/>
      <c r="AL83" s="442"/>
      <c r="AM83" s="443"/>
      <c r="AN83" s="441">
        <v>6</v>
      </c>
      <c r="AO83" s="442"/>
      <c r="AP83" s="443">
        <v>100</v>
      </c>
      <c r="AQ83" s="441">
        <v>5</v>
      </c>
      <c r="AR83" s="442">
        <v>1</v>
      </c>
      <c r="AS83" s="443">
        <v>83.3</v>
      </c>
      <c r="AT83" s="441">
        <v>14</v>
      </c>
      <c r="AU83" s="442"/>
      <c r="AV83" s="443">
        <v>100</v>
      </c>
      <c r="AW83" s="441"/>
      <c r="AX83" s="442"/>
      <c r="AY83" s="443"/>
      <c r="AZ83" s="441">
        <v>5</v>
      </c>
      <c r="BA83" s="442"/>
      <c r="BB83" s="443">
        <v>100</v>
      </c>
      <c r="BC83" s="441">
        <v>5</v>
      </c>
      <c r="BD83" s="442">
        <v>1</v>
      </c>
      <c r="BE83" s="443">
        <v>83.3</v>
      </c>
      <c r="BF83" s="441">
        <v>14</v>
      </c>
      <c r="BG83" s="442"/>
      <c r="BH83" s="443">
        <v>100</v>
      </c>
      <c r="BI83" s="441"/>
      <c r="BJ83" s="442"/>
      <c r="BK83" s="443"/>
      <c r="BL83" s="441"/>
      <c r="BM83" s="442"/>
      <c r="BN83" s="443" t="s">
        <v>6</v>
      </c>
      <c r="BO83" s="441"/>
      <c r="BP83" s="442"/>
      <c r="BQ83" s="443" t="s">
        <v>6</v>
      </c>
      <c r="BR83" s="441"/>
      <c r="BS83" s="442"/>
      <c r="BT83" s="443" t="s">
        <v>6</v>
      </c>
      <c r="BU83" s="441"/>
      <c r="BV83" s="442"/>
      <c r="BW83" s="443"/>
      <c r="BX83" s="441"/>
      <c r="BY83" s="442"/>
      <c r="BZ83" s="443" t="s">
        <v>6</v>
      </c>
      <c r="CA83" s="441"/>
      <c r="CB83" s="442"/>
      <c r="CC83" s="443" t="s">
        <v>6</v>
      </c>
      <c r="CD83" s="441"/>
      <c r="CE83" s="442"/>
      <c r="CF83" s="443" t="s">
        <v>6</v>
      </c>
      <c r="CG83" s="441"/>
      <c r="CH83" s="442"/>
      <c r="CI83" s="443"/>
      <c r="CJ83" s="441">
        <v>2</v>
      </c>
      <c r="CK83" s="442">
        <v>4</v>
      </c>
      <c r="CL83" s="443">
        <v>33.299999999999997</v>
      </c>
      <c r="CM83" s="441">
        <v>2</v>
      </c>
      <c r="CN83" s="442">
        <v>1</v>
      </c>
      <c r="CO83" s="443">
        <v>66.7</v>
      </c>
      <c r="CP83" s="441">
        <v>4</v>
      </c>
      <c r="CQ83" s="442"/>
      <c r="CR83" s="443">
        <v>100</v>
      </c>
      <c r="CS83" s="441"/>
      <c r="CT83" s="442"/>
      <c r="CU83" s="443"/>
      <c r="CV83" s="441"/>
      <c r="CW83" s="442"/>
      <c r="CX83" s="443" t="s">
        <v>6</v>
      </c>
      <c r="CY83" s="441"/>
      <c r="CZ83" s="442"/>
      <c r="DA83" s="443" t="s">
        <v>6</v>
      </c>
      <c r="DB83" s="441">
        <v>1</v>
      </c>
      <c r="DC83" s="442"/>
      <c r="DD83" s="443">
        <v>100</v>
      </c>
      <c r="DE83" s="441"/>
      <c r="DF83" s="442"/>
      <c r="DG83" s="443"/>
      <c r="DH83" s="441"/>
      <c r="DI83" s="442"/>
      <c r="DJ83" s="443" t="s">
        <v>6</v>
      </c>
      <c r="DK83" s="441">
        <v>1</v>
      </c>
      <c r="DL83" s="442"/>
      <c r="DM83" s="443">
        <v>100</v>
      </c>
      <c r="DN83" s="441"/>
      <c r="DO83" s="442"/>
      <c r="DP83" s="443" t="s">
        <v>6</v>
      </c>
      <c r="DQ83" s="441"/>
      <c r="DR83" s="442"/>
      <c r="DS83" s="443"/>
      <c r="DT83" s="441">
        <v>1</v>
      </c>
      <c r="DU83" s="442"/>
      <c r="DV83" s="443">
        <v>100</v>
      </c>
      <c r="DW83" s="441">
        <v>4</v>
      </c>
      <c r="DX83" s="442"/>
      <c r="DY83" s="443">
        <v>100</v>
      </c>
      <c r="DZ83" s="441">
        <v>2</v>
      </c>
      <c r="EA83" s="442"/>
      <c r="EB83" s="443">
        <v>100</v>
      </c>
      <c r="EC83" s="441"/>
      <c r="ED83" s="442"/>
      <c r="EE83" s="443"/>
      <c r="EF83" s="441">
        <v>14</v>
      </c>
      <c r="EG83" s="442">
        <v>3</v>
      </c>
      <c r="EH83" s="443">
        <v>82.4</v>
      </c>
      <c r="EI83" s="441">
        <v>22</v>
      </c>
      <c r="EJ83" s="442">
        <v>3</v>
      </c>
      <c r="EK83" s="443">
        <v>88</v>
      </c>
      <c r="EL83" s="441">
        <v>12</v>
      </c>
      <c r="EM83" s="442">
        <v>4</v>
      </c>
      <c r="EN83" s="443">
        <v>75</v>
      </c>
      <c r="EO83" s="441"/>
      <c r="EP83" s="442"/>
      <c r="EQ83" s="443"/>
      <c r="ER83" s="441"/>
      <c r="ES83" s="442">
        <v>1</v>
      </c>
      <c r="ET83" s="443">
        <v>0</v>
      </c>
      <c r="EU83" s="441">
        <v>7</v>
      </c>
      <c r="EV83" s="442"/>
      <c r="EW83" s="443">
        <v>100</v>
      </c>
      <c r="EX83" s="441"/>
      <c r="EY83" s="442"/>
      <c r="EZ83" s="443" t="s">
        <v>6</v>
      </c>
      <c r="FA83" s="441"/>
      <c r="FB83" s="442"/>
      <c r="FC83" s="443"/>
      <c r="FD83" s="441"/>
      <c r="FE83" s="442"/>
      <c r="FF83" s="443" t="s">
        <v>6</v>
      </c>
      <c r="FG83" s="441"/>
      <c r="FH83" s="442"/>
      <c r="FI83" s="443" t="s">
        <v>6</v>
      </c>
      <c r="FJ83" s="441"/>
      <c r="FK83" s="442"/>
      <c r="FL83" s="443" t="s">
        <v>6</v>
      </c>
      <c r="FM83" s="441"/>
      <c r="FN83" s="442"/>
      <c r="FO83" s="443"/>
      <c r="FP83" s="441">
        <v>3</v>
      </c>
      <c r="FQ83" s="442">
        <v>1</v>
      </c>
      <c r="FR83" s="443">
        <v>75</v>
      </c>
      <c r="FS83" s="441">
        <v>6</v>
      </c>
      <c r="FT83" s="442">
        <v>2</v>
      </c>
      <c r="FU83" s="443">
        <v>75</v>
      </c>
      <c r="FV83" s="441">
        <v>4</v>
      </c>
      <c r="FW83" s="442">
        <v>1</v>
      </c>
      <c r="FX83" s="443">
        <v>80</v>
      </c>
      <c r="FY83" s="441"/>
      <c r="FZ83" s="442"/>
      <c r="GA83" s="443"/>
      <c r="GB83" s="441">
        <v>2</v>
      </c>
      <c r="GC83" s="442"/>
      <c r="GD83" s="443">
        <v>100</v>
      </c>
      <c r="GE83" s="441">
        <v>2</v>
      </c>
      <c r="GF83" s="442"/>
      <c r="GG83" s="443">
        <v>100</v>
      </c>
      <c r="GH83" s="441">
        <v>1</v>
      </c>
      <c r="GI83" s="442">
        <v>1</v>
      </c>
      <c r="GJ83" s="443">
        <v>50</v>
      </c>
      <c r="GK83" s="441"/>
      <c r="GL83" s="442"/>
      <c r="GM83" s="443"/>
      <c r="GN83" s="441">
        <v>1</v>
      </c>
      <c r="GO83" s="442"/>
      <c r="GP83" s="443">
        <v>100</v>
      </c>
      <c r="GQ83" s="441"/>
      <c r="GR83" s="442"/>
      <c r="GS83" s="443" t="s">
        <v>6</v>
      </c>
      <c r="GT83" s="441"/>
      <c r="GU83" s="442"/>
      <c r="GV83" s="443" t="s">
        <v>6</v>
      </c>
      <c r="GW83" s="441"/>
      <c r="GX83" s="442"/>
      <c r="GY83" s="443"/>
      <c r="GZ83" s="441"/>
      <c r="HA83" s="442"/>
      <c r="HB83" s="443" t="s">
        <v>6</v>
      </c>
      <c r="HC83" s="441"/>
      <c r="HD83" s="442"/>
      <c r="HE83" s="443" t="s">
        <v>6</v>
      </c>
      <c r="HF83" s="441"/>
      <c r="HG83" s="442"/>
      <c r="HH83" s="443" t="s">
        <v>6</v>
      </c>
      <c r="HI83" s="441"/>
      <c r="HJ83" s="442"/>
      <c r="HK83" s="443"/>
      <c r="HL83" s="441"/>
      <c r="HM83" s="442"/>
      <c r="HN83" s="443" t="s">
        <v>6</v>
      </c>
      <c r="HO83" s="441">
        <v>1</v>
      </c>
      <c r="HP83" s="442"/>
      <c r="HQ83" s="443">
        <v>100</v>
      </c>
      <c r="HR83" s="441">
        <v>1</v>
      </c>
      <c r="HS83" s="442"/>
      <c r="HT83" s="443">
        <v>100</v>
      </c>
      <c r="HU83" s="441"/>
      <c r="HV83" s="442"/>
      <c r="HW83" s="443"/>
      <c r="HX83" s="441">
        <v>4</v>
      </c>
      <c r="HY83" s="442">
        <v>1</v>
      </c>
      <c r="HZ83" s="443">
        <v>80</v>
      </c>
      <c r="IA83" s="441">
        <v>6</v>
      </c>
      <c r="IB83" s="442"/>
      <c r="IC83" s="443">
        <v>100</v>
      </c>
      <c r="ID83" s="441"/>
      <c r="IE83" s="442"/>
      <c r="IF83" s="443" t="s">
        <v>6</v>
      </c>
      <c r="IG83" s="441"/>
      <c r="IH83" s="442"/>
      <c r="II83" s="443"/>
      <c r="IJ83" s="441"/>
      <c r="IK83" s="442"/>
      <c r="IL83" s="443" t="s">
        <v>6</v>
      </c>
      <c r="IM83" s="441">
        <v>1</v>
      </c>
      <c r="IN83" s="442"/>
      <c r="IO83" s="443">
        <v>100</v>
      </c>
      <c r="IP83" s="441"/>
      <c r="IQ83" s="442"/>
      <c r="IR83" s="443" t="s">
        <v>6</v>
      </c>
      <c r="IS83" s="441"/>
      <c r="IT83" s="442"/>
      <c r="IU83" s="443"/>
      <c r="IV83" s="441">
        <v>33</v>
      </c>
      <c r="IW83" s="442">
        <v>8</v>
      </c>
      <c r="IX83" s="443">
        <v>80.5</v>
      </c>
      <c r="IY83" s="441">
        <v>47</v>
      </c>
      <c r="IZ83" s="442">
        <v>5</v>
      </c>
      <c r="JA83" s="443">
        <v>90.4</v>
      </c>
      <c r="JB83" s="441">
        <v>39</v>
      </c>
      <c r="JC83" s="442">
        <v>5</v>
      </c>
      <c r="JD83" s="443">
        <v>88.6</v>
      </c>
      <c r="JE83" s="441"/>
      <c r="JF83" s="442"/>
      <c r="JG83" s="443"/>
      <c r="JH83" s="441">
        <v>7</v>
      </c>
      <c r="JI83" s="442">
        <v>1</v>
      </c>
      <c r="JJ83" s="443">
        <v>87.5</v>
      </c>
      <c r="JK83" s="441">
        <v>3</v>
      </c>
      <c r="JL83" s="442">
        <v>1</v>
      </c>
      <c r="JM83" s="443">
        <v>75</v>
      </c>
      <c r="JN83" s="441">
        <v>9</v>
      </c>
      <c r="JO83" s="442"/>
      <c r="JP83" s="443">
        <v>100</v>
      </c>
      <c r="JQ83" s="441"/>
      <c r="JR83" s="442"/>
      <c r="JS83" s="443"/>
      <c r="JT83" s="441"/>
      <c r="JU83" s="442"/>
      <c r="JV83" s="443" t="s">
        <v>6</v>
      </c>
      <c r="JW83" s="441">
        <v>1</v>
      </c>
      <c r="JX83" s="442"/>
      <c r="JY83" s="443">
        <v>100</v>
      </c>
      <c r="JZ83" s="441">
        <v>1</v>
      </c>
      <c r="KA83" s="442"/>
      <c r="KB83" s="443">
        <v>100</v>
      </c>
      <c r="KC83" s="441"/>
      <c r="KD83" s="442"/>
      <c r="KE83" s="443"/>
      <c r="KF83" s="441"/>
      <c r="KG83" s="442"/>
      <c r="KH83" s="443" t="s">
        <v>6</v>
      </c>
      <c r="KI83" s="441"/>
      <c r="KJ83" s="442"/>
      <c r="KK83" s="443" t="s">
        <v>6</v>
      </c>
      <c r="KL83" s="441"/>
      <c r="KM83" s="442"/>
      <c r="KN83" s="443" t="s">
        <v>6</v>
      </c>
      <c r="KO83" s="441"/>
      <c r="KP83" s="442"/>
      <c r="KQ83" s="443"/>
      <c r="KR83" s="441">
        <v>14</v>
      </c>
      <c r="KS83" s="442">
        <v>1</v>
      </c>
      <c r="KT83" s="443">
        <v>93.3</v>
      </c>
      <c r="KU83" s="441">
        <v>12</v>
      </c>
      <c r="KV83" s="442">
        <v>1</v>
      </c>
      <c r="KW83" s="443">
        <v>92.3</v>
      </c>
      <c r="KX83" s="441">
        <v>9</v>
      </c>
      <c r="KY83" s="442"/>
      <c r="KZ83" s="443">
        <v>100</v>
      </c>
      <c r="LA83" s="441"/>
      <c r="LB83" s="442"/>
      <c r="LC83" s="443"/>
      <c r="LD83" s="441">
        <v>273</v>
      </c>
      <c r="LE83" s="442">
        <v>13</v>
      </c>
      <c r="LF83" s="443">
        <v>95.5</v>
      </c>
      <c r="LG83" s="441">
        <v>120</v>
      </c>
      <c r="LH83" s="442">
        <v>10</v>
      </c>
      <c r="LI83" s="443">
        <v>92.3</v>
      </c>
      <c r="LJ83" s="441">
        <v>177</v>
      </c>
      <c r="LK83" s="442">
        <v>11</v>
      </c>
      <c r="LL83" s="443">
        <v>94.1</v>
      </c>
      <c r="LM83" s="441"/>
      <c r="LN83" s="442"/>
      <c r="LO83" s="443"/>
    </row>
    <row r="84" spans="1:327" x14ac:dyDescent="0.2">
      <c r="A84" s="1001"/>
      <c r="B84" s="747"/>
      <c r="C84" s="151" t="s">
        <v>689</v>
      </c>
      <c r="D84" s="377"/>
      <c r="E84" s="373"/>
      <c r="F84" s="444" t="s">
        <v>6</v>
      </c>
      <c r="G84" s="377"/>
      <c r="H84" s="373"/>
      <c r="I84" s="444" t="s">
        <v>6</v>
      </c>
      <c r="J84" s="377"/>
      <c r="K84" s="373"/>
      <c r="L84" s="444" t="s">
        <v>6</v>
      </c>
      <c r="M84" s="377"/>
      <c r="N84" s="373"/>
      <c r="O84" s="444"/>
      <c r="P84" s="377"/>
      <c r="Q84" s="373"/>
      <c r="R84" s="444" t="s">
        <v>6</v>
      </c>
      <c r="S84" s="377"/>
      <c r="T84" s="373"/>
      <c r="U84" s="444" t="s">
        <v>6</v>
      </c>
      <c r="V84" s="377"/>
      <c r="W84" s="373"/>
      <c r="X84" s="444" t="s">
        <v>6</v>
      </c>
      <c r="Y84" s="377"/>
      <c r="Z84" s="373"/>
      <c r="AA84" s="444"/>
      <c r="AB84" s="377"/>
      <c r="AC84" s="373"/>
      <c r="AD84" s="444" t="s">
        <v>6</v>
      </c>
      <c r="AE84" s="377"/>
      <c r="AF84" s="373"/>
      <c r="AG84" s="444" t="s">
        <v>6</v>
      </c>
      <c r="AH84" s="377"/>
      <c r="AI84" s="373"/>
      <c r="AJ84" s="444" t="s">
        <v>6</v>
      </c>
      <c r="AK84" s="377"/>
      <c r="AL84" s="373"/>
      <c r="AM84" s="444"/>
      <c r="AN84" s="377">
        <v>28</v>
      </c>
      <c r="AO84" s="373">
        <v>26</v>
      </c>
      <c r="AP84" s="444">
        <v>51.9</v>
      </c>
      <c r="AQ84" s="377">
        <v>45</v>
      </c>
      <c r="AR84" s="373">
        <v>31</v>
      </c>
      <c r="AS84" s="444">
        <v>59.2</v>
      </c>
      <c r="AT84" s="377">
        <v>36</v>
      </c>
      <c r="AU84" s="373">
        <v>23</v>
      </c>
      <c r="AV84" s="444">
        <v>61</v>
      </c>
      <c r="AW84" s="377"/>
      <c r="AX84" s="373"/>
      <c r="AY84" s="444"/>
      <c r="AZ84" s="377">
        <v>17</v>
      </c>
      <c r="BA84" s="373">
        <v>23</v>
      </c>
      <c r="BB84" s="444">
        <v>42.5</v>
      </c>
      <c r="BC84" s="377">
        <v>27</v>
      </c>
      <c r="BD84" s="373">
        <v>28</v>
      </c>
      <c r="BE84" s="444">
        <v>49.1</v>
      </c>
      <c r="BF84" s="377">
        <v>27</v>
      </c>
      <c r="BG84" s="373">
        <v>19</v>
      </c>
      <c r="BH84" s="444">
        <v>58.7</v>
      </c>
      <c r="BI84" s="377"/>
      <c r="BJ84" s="373"/>
      <c r="BK84" s="444"/>
      <c r="BL84" s="377"/>
      <c r="BM84" s="373"/>
      <c r="BN84" s="444" t="s">
        <v>6</v>
      </c>
      <c r="BO84" s="377"/>
      <c r="BP84" s="373"/>
      <c r="BQ84" s="444" t="s">
        <v>6</v>
      </c>
      <c r="BR84" s="377"/>
      <c r="BS84" s="373"/>
      <c r="BT84" s="444" t="s">
        <v>6</v>
      </c>
      <c r="BU84" s="377"/>
      <c r="BV84" s="373"/>
      <c r="BW84" s="444"/>
      <c r="BX84" s="377"/>
      <c r="BY84" s="373">
        <v>1</v>
      </c>
      <c r="BZ84" s="444">
        <v>0</v>
      </c>
      <c r="CA84" s="377"/>
      <c r="CB84" s="373"/>
      <c r="CC84" s="444" t="s">
        <v>6</v>
      </c>
      <c r="CD84" s="377"/>
      <c r="CE84" s="373"/>
      <c r="CF84" s="444" t="s">
        <v>6</v>
      </c>
      <c r="CG84" s="377"/>
      <c r="CH84" s="373"/>
      <c r="CI84" s="444"/>
      <c r="CJ84" s="377"/>
      <c r="CK84" s="373"/>
      <c r="CL84" s="444" t="s">
        <v>6</v>
      </c>
      <c r="CM84" s="377"/>
      <c r="CN84" s="373"/>
      <c r="CO84" s="444" t="s">
        <v>6</v>
      </c>
      <c r="CP84" s="377"/>
      <c r="CQ84" s="373"/>
      <c r="CR84" s="444" t="s">
        <v>6</v>
      </c>
      <c r="CS84" s="377"/>
      <c r="CT84" s="373"/>
      <c r="CU84" s="444"/>
      <c r="CV84" s="377">
        <v>27</v>
      </c>
      <c r="CW84" s="373">
        <v>23</v>
      </c>
      <c r="CX84" s="444">
        <v>54</v>
      </c>
      <c r="CY84" s="377">
        <v>49</v>
      </c>
      <c r="CZ84" s="373">
        <v>8</v>
      </c>
      <c r="DA84" s="444">
        <v>86</v>
      </c>
      <c r="DB84" s="377">
        <v>45</v>
      </c>
      <c r="DC84" s="373">
        <v>18</v>
      </c>
      <c r="DD84" s="444">
        <v>71.400000000000006</v>
      </c>
      <c r="DE84" s="377"/>
      <c r="DF84" s="373"/>
      <c r="DG84" s="444"/>
      <c r="DH84" s="377">
        <v>1</v>
      </c>
      <c r="DI84" s="373">
        <v>1</v>
      </c>
      <c r="DJ84" s="444">
        <v>50</v>
      </c>
      <c r="DK84" s="377">
        <v>1</v>
      </c>
      <c r="DL84" s="373"/>
      <c r="DM84" s="444">
        <v>100</v>
      </c>
      <c r="DN84" s="377">
        <v>5</v>
      </c>
      <c r="DO84" s="373"/>
      <c r="DP84" s="444">
        <v>100</v>
      </c>
      <c r="DQ84" s="377"/>
      <c r="DR84" s="373"/>
      <c r="DS84" s="444"/>
      <c r="DT84" s="377">
        <v>5</v>
      </c>
      <c r="DU84" s="373"/>
      <c r="DV84" s="444">
        <v>100</v>
      </c>
      <c r="DW84" s="377">
        <v>2</v>
      </c>
      <c r="DX84" s="373"/>
      <c r="DY84" s="444">
        <v>100</v>
      </c>
      <c r="DZ84" s="377">
        <v>2</v>
      </c>
      <c r="EA84" s="373">
        <v>2</v>
      </c>
      <c r="EB84" s="444">
        <v>50</v>
      </c>
      <c r="EC84" s="377"/>
      <c r="ED84" s="373"/>
      <c r="EE84" s="444"/>
      <c r="EF84" s="377">
        <v>253</v>
      </c>
      <c r="EG84" s="373">
        <v>1793</v>
      </c>
      <c r="EH84" s="444">
        <v>12.4</v>
      </c>
      <c r="EI84" s="377">
        <v>345</v>
      </c>
      <c r="EJ84" s="373">
        <v>1335</v>
      </c>
      <c r="EK84" s="444">
        <v>20.5</v>
      </c>
      <c r="EL84" s="377">
        <v>357</v>
      </c>
      <c r="EM84" s="373">
        <v>963</v>
      </c>
      <c r="EN84" s="444">
        <v>27</v>
      </c>
      <c r="EO84" s="377"/>
      <c r="EP84" s="373"/>
      <c r="EQ84" s="444"/>
      <c r="ER84" s="377">
        <v>1</v>
      </c>
      <c r="ES84" s="373">
        <v>15</v>
      </c>
      <c r="ET84" s="444">
        <v>6.3</v>
      </c>
      <c r="EU84" s="377">
        <v>3</v>
      </c>
      <c r="EV84" s="373">
        <v>6</v>
      </c>
      <c r="EW84" s="444">
        <v>33.299999999999997</v>
      </c>
      <c r="EX84" s="377">
        <v>12</v>
      </c>
      <c r="EY84" s="373">
        <v>3</v>
      </c>
      <c r="EZ84" s="444">
        <v>80</v>
      </c>
      <c r="FA84" s="377"/>
      <c r="FB84" s="373"/>
      <c r="FC84" s="444"/>
      <c r="FD84" s="377">
        <v>4</v>
      </c>
      <c r="FE84" s="373">
        <v>106</v>
      </c>
      <c r="FF84" s="444">
        <v>3.6</v>
      </c>
      <c r="FG84" s="377">
        <v>12</v>
      </c>
      <c r="FH84" s="373">
        <v>78</v>
      </c>
      <c r="FI84" s="444">
        <v>13.3</v>
      </c>
      <c r="FJ84" s="377">
        <v>12</v>
      </c>
      <c r="FK84" s="373">
        <v>51</v>
      </c>
      <c r="FL84" s="444">
        <v>19</v>
      </c>
      <c r="FM84" s="377"/>
      <c r="FN84" s="373"/>
      <c r="FO84" s="444"/>
      <c r="FP84" s="377">
        <v>41</v>
      </c>
      <c r="FQ84" s="373">
        <v>219</v>
      </c>
      <c r="FR84" s="444">
        <v>15.8</v>
      </c>
      <c r="FS84" s="377">
        <v>32</v>
      </c>
      <c r="FT84" s="373">
        <v>189</v>
      </c>
      <c r="FU84" s="444">
        <v>14.5</v>
      </c>
      <c r="FV84" s="377">
        <v>66</v>
      </c>
      <c r="FW84" s="373">
        <v>130</v>
      </c>
      <c r="FX84" s="444">
        <v>33.700000000000003</v>
      </c>
      <c r="FY84" s="377"/>
      <c r="FZ84" s="373"/>
      <c r="GA84" s="444"/>
      <c r="GB84" s="377">
        <v>15</v>
      </c>
      <c r="GC84" s="373">
        <v>16</v>
      </c>
      <c r="GD84" s="444">
        <v>48.4</v>
      </c>
      <c r="GE84" s="377">
        <v>7</v>
      </c>
      <c r="GF84" s="373">
        <v>1</v>
      </c>
      <c r="GG84" s="444">
        <v>87.5</v>
      </c>
      <c r="GH84" s="377">
        <v>10</v>
      </c>
      <c r="GI84" s="373">
        <v>3</v>
      </c>
      <c r="GJ84" s="444">
        <v>76.900000000000006</v>
      </c>
      <c r="GK84" s="377"/>
      <c r="GL84" s="373"/>
      <c r="GM84" s="444"/>
      <c r="GN84" s="377">
        <v>7</v>
      </c>
      <c r="GO84" s="373">
        <v>5</v>
      </c>
      <c r="GP84" s="444">
        <v>58.3</v>
      </c>
      <c r="GQ84" s="377">
        <v>7</v>
      </c>
      <c r="GR84" s="373">
        <v>13</v>
      </c>
      <c r="GS84" s="444">
        <v>35</v>
      </c>
      <c r="GT84" s="377">
        <v>4</v>
      </c>
      <c r="GU84" s="373">
        <v>6</v>
      </c>
      <c r="GV84" s="444">
        <v>40</v>
      </c>
      <c r="GW84" s="377"/>
      <c r="GX84" s="373"/>
      <c r="GY84" s="444"/>
      <c r="GZ84" s="377">
        <v>1</v>
      </c>
      <c r="HA84" s="373">
        <v>1</v>
      </c>
      <c r="HB84" s="444">
        <v>50</v>
      </c>
      <c r="HC84" s="377"/>
      <c r="HD84" s="373">
        <v>1</v>
      </c>
      <c r="HE84" s="444">
        <v>0</v>
      </c>
      <c r="HF84" s="377">
        <v>2</v>
      </c>
      <c r="HG84" s="373"/>
      <c r="HH84" s="444">
        <v>100</v>
      </c>
      <c r="HI84" s="377"/>
      <c r="HJ84" s="373"/>
      <c r="HK84" s="444"/>
      <c r="HL84" s="377">
        <v>14</v>
      </c>
      <c r="HM84" s="373">
        <v>148</v>
      </c>
      <c r="HN84" s="444">
        <v>8.6</v>
      </c>
      <c r="HO84" s="377">
        <v>11</v>
      </c>
      <c r="HP84" s="373">
        <v>101</v>
      </c>
      <c r="HQ84" s="444">
        <v>9.8000000000000007</v>
      </c>
      <c r="HR84" s="377">
        <v>30</v>
      </c>
      <c r="HS84" s="373">
        <v>109</v>
      </c>
      <c r="HT84" s="444">
        <v>21.6</v>
      </c>
      <c r="HU84" s="377"/>
      <c r="HV84" s="373"/>
      <c r="HW84" s="444"/>
      <c r="HX84" s="377">
        <v>10</v>
      </c>
      <c r="HY84" s="373"/>
      <c r="HZ84" s="444">
        <v>100</v>
      </c>
      <c r="IA84" s="377">
        <v>4</v>
      </c>
      <c r="IB84" s="373"/>
      <c r="IC84" s="444">
        <v>100</v>
      </c>
      <c r="ID84" s="377">
        <v>3</v>
      </c>
      <c r="IE84" s="373">
        <v>1</v>
      </c>
      <c r="IF84" s="444">
        <v>75</v>
      </c>
      <c r="IG84" s="377"/>
      <c r="IH84" s="373"/>
      <c r="II84" s="444"/>
      <c r="IJ84" s="377">
        <v>3</v>
      </c>
      <c r="IK84" s="373">
        <v>10</v>
      </c>
      <c r="IL84" s="444">
        <v>23.1</v>
      </c>
      <c r="IM84" s="377">
        <v>5</v>
      </c>
      <c r="IN84" s="373">
        <v>11</v>
      </c>
      <c r="IO84" s="444">
        <v>31.3</v>
      </c>
      <c r="IP84" s="377">
        <v>11</v>
      </c>
      <c r="IQ84" s="373">
        <v>7</v>
      </c>
      <c r="IR84" s="444">
        <v>61.1</v>
      </c>
      <c r="IS84" s="377"/>
      <c r="IT84" s="373"/>
      <c r="IU84" s="444"/>
      <c r="IV84" s="377">
        <v>364</v>
      </c>
      <c r="IW84" s="373">
        <v>2024</v>
      </c>
      <c r="IX84" s="444">
        <v>15.2</v>
      </c>
      <c r="IY84" s="377">
        <v>476</v>
      </c>
      <c r="IZ84" s="373">
        <v>1501</v>
      </c>
      <c r="JA84" s="444">
        <v>24.1</v>
      </c>
      <c r="JB84" s="377">
        <v>505</v>
      </c>
      <c r="JC84" s="373">
        <v>1132</v>
      </c>
      <c r="JD84" s="444">
        <v>30.8</v>
      </c>
      <c r="JE84" s="377"/>
      <c r="JF84" s="373"/>
      <c r="JG84" s="444"/>
      <c r="JH84" s="377">
        <v>85</v>
      </c>
      <c r="JI84" s="373">
        <v>402</v>
      </c>
      <c r="JJ84" s="444">
        <v>17.5</v>
      </c>
      <c r="JK84" s="377">
        <v>126</v>
      </c>
      <c r="JL84" s="373">
        <v>158</v>
      </c>
      <c r="JM84" s="444">
        <v>44.4</v>
      </c>
      <c r="JN84" s="377">
        <v>76</v>
      </c>
      <c r="JO84" s="373">
        <v>115</v>
      </c>
      <c r="JP84" s="444">
        <v>39.799999999999997</v>
      </c>
      <c r="JQ84" s="377"/>
      <c r="JR84" s="373"/>
      <c r="JS84" s="444"/>
      <c r="JT84" s="377">
        <v>3</v>
      </c>
      <c r="JU84" s="373">
        <v>3</v>
      </c>
      <c r="JV84" s="444">
        <v>50</v>
      </c>
      <c r="JW84" s="377">
        <v>3</v>
      </c>
      <c r="JX84" s="373">
        <v>4</v>
      </c>
      <c r="JY84" s="444">
        <v>42.9</v>
      </c>
      <c r="JZ84" s="377">
        <v>11</v>
      </c>
      <c r="KA84" s="373">
        <v>2</v>
      </c>
      <c r="KB84" s="444">
        <v>84.6</v>
      </c>
      <c r="KC84" s="377"/>
      <c r="KD84" s="373"/>
      <c r="KE84" s="444"/>
      <c r="KF84" s="377">
        <v>5</v>
      </c>
      <c r="KG84" s="373">
        <v>2</v>
      </c>
      <c r="KH84" s="444">
        <v>71.400000000000006</v>
      </c>
      <c r="KI84" s="377">
        <v>4</v>
      </c>
      <c r="KJ84" s="373">
        <v>3</v>
      </c>
      <c r="KK84" s="444">
        <v>57.1</v>
      </c>
      <c r="KL84" s="377">
        <v>4</v>
      </c>
      <c r="KM84" s="373">
        <v>2</v>
      </c>
      <c r="KN84" s="444">
        <v>66.7</v>
      </c>
      <c r="KO84" s="377"/>
      <c r="KP84" s="373"/>
      <c r="KQ84" s="444"/>
      <c r="KR84" s="377">
        <v>107</v>
      </c>
      <c r="KS84" s="373">
        <v>424</v>
      </c>
      <c r="KT84" s="444">
        <v>20.2</v>
      </c>
      <c r="KU84" s="377">
        <v>160</v>
      </c>
      <c r="KV84" s="373">
        <v>176</v>
      </c>
      <c r="KW84" s="444">
        <v>47.6</v>
      </c>
      <c r="KX84" s="377">
        <v>115</v>
      </c>
      <c r="KY84" s="373">
        <v>135</v>
      </c>
      <c r="KZ84" s="444">
        <v>46</v>
      </c>
      <c r="LA84" s="377"/>
      <c r="LB84" s="373"/>
      <c r="LC84" s="444"/>
      <c r="LD84" s="377">
        <v>1146</v>
      </c>
      <c r="LE84" s="373">
        <v>2335</v>
      </c>
      <c r="LF84" s="444">
        <v>32.9</v>
      </c>
      <c r="LG84" s="377">
        <v>1275</v>
      </c>
      <c r="LH84" s="373">
        <v>1798</v>
      </c>
      <c r="LI84" s="444">
        <v>41.5</v>
      </c>
      <c r="LJ84" s="377">
        <v>842</v>
      </c>
      <c r="LK84" s="373">
        <v>1372</v>
      </c>
      <c r="LL84" s="444">
        <v>38</v>
      </c>
      <c r="LM84" s="377"/>
      <c r="LN84" s="373"/>
      <c r="LO84" s="444"/>
    </row>
    <row r="85" spans="1:327" x14ac:dyDescent="0.2">
      <c r="A85" s="1001"/>
      <c r="B85" s="747" t="s">
        <v>621</v>
      </c>
      <c r="C85" s="151" t="s">
        <v>690</v>
      </c>
      <c r="D85" s="377"/>
      <c r="E85" s="373"/>
      <c r="F85" s="444" t="s">
        <v>6</v>
      </c>
      <c r="G85" s="377"/>
      <c r="H85" s="373"/>
      <c r="I85" s="444" t="s">
        <v>6</v>
      </c>
      <c r="J85" s="377"/>
      <c r="K85" s="373"/>
      <c r="L85" s="444" t="s">
        <v>6</v>
      </c>
      <c r="M85" s="377"/>
      <c r="N85" s="373"/>
      <c r="O85" s="444"/>
      <c r="P85" s="377"/>
      <c r="Q85" s="373"/>
      <c r="R85" s="444" t="s">
        <v>6</v>
      </c>
      <c r="S85" s="377"/>
      <c r="T85" s="373"/>
      <c r="U85" s="444" t="s">
        <v>6</v>
      </c>
      <c r="V85" s="377"/>
      <c r="W85" s="373"/>
      <c r="X85" s="444" t="s">
        <v>6</v>
      </c>
      <c r="Y85" s="377"/>
      <c r="Z85" s="373"/>
      <c r="AA85" s="444"/>
      <c r="AB85" s="377"/>
      <c r="AC85" s="373"/>
      <c r="AD85" s="444" t="s">
        <v>6</v>
      </c>
      <c r="AE85" s="377"/>
      <c r="AF85" s="373"/>
      <c r="AG85" s="444" t="s">
        <v>6</v>
      </c>
      <c r="AH85" s="377"/>
      <c r="AI85" s="373"/>
      <c r="AJ85" s="444" t="s">
        <v>6</v>
      </c>
      <c r="AK85" s="377"/>
      <c r="AL85" s="373"/>
      <c r="AM85" s="444"/>
      <c r="AN85" s="377">
        <v>5</v>
      </c>
      <c r="AO85" s="373"/>
      <c r="AP85" s="444">
        <v>100</v>
      </c>
      <c r="AQ85" s="377">
        <v>5</v>
      </c>
      <c r="AR85" s="373">
        <v>3</v>
      </c>
      <c r="AS85" s="444">
        <v>62.5</v>
      </c>
      <c r="AT85" s="377">
        <v>5</v>
      </c>
      <c r="AU85" s="373"/>
      <c r="AV85" s="444">
        <v>100</v>
      </c>
      <c r="AW85" s="377"/>
      <c r="AX85" s="373"/>
      <c r="AY85" s="444"/>
      <c r="AZ85" s="377">
        <v>3</v>
      </c>
      <c r="BA85" s="373"/>
      <c r="BB85" s="444">
        <v>100</v>
      </c>
      <c r="BC85" s="377">
        <v>1</v>
      </c>
      <c r="BD85" s="373">
        <v>3</v>
      </c>
      <c r="BE85" s="444">
        <v>25</v>
      </c>
      <c r="BF85" s="377">
        <v>4</v>
      </c>
      <c r="BG85" s="373"/>
      <c r="BH85" s="444">
        <v>100</v>
      </c>
      <c r="BI85" s="377"/>
      <c r="BJ85" s="373"/>
      <c r="BK85" s="444"/>
      <c r="BL85" s="377"/>
      <c r="BM85" s="373"/>
      <c r="BN85" s="444" t="s">
        <v>6</v>
      </c>
      <c r="BO85" s="377"/>
      <c r="BP85" s="373"/>
      <c r="BQ85" s="444" t="s">
        <v>6</v>
      </c>
      <c r="BR85" s="377"/>
      <c r="BS85" s="373"/>
      <c r="BT85" s="444" t="s">
        <v>6</v>
      </c>
      <c r="BU85" s="377"/>
      <c r="BV85" s="373"/>
      <c r="BW85" s="444"/>
      <c r="BX85" s="377"/>
      <c r="BY85" s="373"/>
      <c r="BZ85" s="444" t="s">
        <v>6</v>
      </c>
      <c r="CA85" s="377"/>
      <c r="CB85" s="373"/>
      <c r="CC85" s="444" t="s">
        <v>6</v>
      </c>
      <c r="CD85" s="377"/>
      <c r="CE85" s="373"/>
      <c r="CF85" s="444" t="s">
        <v>6</v>
      </c>
      <c r="CG85" s="377"/>
      <c r="CH85" s="373"/>
      <c r="CI85" s="444"/>
      <c r="CJ85" s="377"/>
      <c r="CK85" s="373"/>
      <c r="CL85" s="444" t="s">
        <v>6</v>
      </c>
      <c r="CM85" s="377"/>
      <c r="CN85" s="373"/>
      <c r="CO85" s="444" t="s">
        <v>6</v>
      </c>
      <c r="CP85" s="377"/>
      <c r="CQ85" s="373"/>
      <c r="CR85" s="444" t="s">
        <v>6</v>
      </c>
      <c r="CS85" s="377"/>
      <c r="CT85" s="373"/>
      <c r="CU85" s="444"/>
      <c r="CV85" s="377">
        <v>4</v>
      </c>
      <c r="CW85" s="373"/>
      <c r="CX85" s="444">
        <v>100</v>
      </c>
      <c r="CY85" s="377">
        <v>8</v>
      </c>
      <c r="CZ85" s="373">
        <v>1</v>
      </c>
      <c r="DA85" s="444">
        <v>88.9</v>
      </c>
      <c r="DB85" s="377">
        <v>3</v>
      </c>
      <c r="DC85" s="373">
        <v>1</v>
      </c>
      <c r="DD85" s="444">
        <v>75</v>
      </c>
      <c r="DE85" s="377"/>
      <c r="DF85" s="373"/>
      <c r="DG85" s="444"/>
      <c r="DH85" s="377"/>
      <c r="DI85" s="373"/>
      <c r="DJ85" s="444" t="s">
        <v>6</v>
      </c>
      <c r="DK85" s="377"/>
      <c r="DL85" s="373"/>
      <c r="DM85" s="444" t="s">
        <v>6</v>
      </c>
      <c r="DN85" s="377"/>
      <c r="DO85" s="373"/>
      <c r="DP85" s="444" t="s">
        <v>6</v>
      </c>
      <c r="DQ85" s="377"/>
      <c r="DR85" s="373"/>
      <c r="DS85" s="444"/>
      <c r="DT85" s="377"/>
      <c r="DU85" s="373"/>
      <c r="DV85" s="444" t="s">
        <v>6</v>
      </c>
      <c r="DW85" s="377"/>
      <c r="DX85" s="373"/>
      <c r="DY85" s="444" t="s">
        <v>6</v>
      </c>
      <c r="DZ85" s="377"/>
      <c r="EA85" s="373"/>
      <c r="EB85" s="444" t="s">
        <v>6</v>
      </c>
      <c r="EC85" s="377"/>
      <c r="ED85" s="373"/>
      <c r="EE85" s="444"/>
      <c r="EF85" s="377">
        <v>55</v>
      </c>
      <c r="EG85" s="373">
        <v>139</v>
      </c>
      <c r="EH85" s="444">
        <v>28.4</v>
      </c>
      <c r="EI85" s="377">
        <v>60</v>
      </c>
      <c r="EJ85" s="373">
        <v>66</v>
      </c>
      <c r="EK85" s="444">
        <v>47.6</v>
      </c>
      <c r="EL85" s="377">
        <v>32</v>
      </c>
      <c r="EM85" s="373">
        <v>46</v>
      </c>
      <c r="EN85" s="444">
        <v>41</v>
      </c>
      <c r="EO85" s="377"/>
      <c r="EP85" s="373"/>
      <c r="EQ85" s="444"/>
      <c r="ER85" s="377"/>
      <c r="ES85" s="373"/>
      <c r="ET85" s="444" t="s">
        <v>6</v>
      </c>
      <c r="EU85" s="377"/>
      <c r="EV85" s="373"/>
      <c r="EW85" s="444" t="s">
        <v>6</v>
      </c>
      <c r="EX85" s="377"/>
      <c r="EY85" s="373"/>
      <c r="EZ85" s="444" t="s">
        <v>6</v>
      </c>
      <c r="FA85" s="377"/>
      <c r="FB85" s="373"/>
      <c r="FC85" s="444"/>
      <c r="FD85" s="377"/>
      <c r="FE85" s="373">
        <v>15</v>
      </c>
      <c r="FF85" s="444">
        <v>0</v>
      </c>
      <c r="FG85" s="377"/>
      <c r="FH85" s="373">
        <v>2</v>
      </c>
      <c r="FI85" s="444">
        <v>0</v>
      </c>
      <c r="FJ85" s="377"/>
      <c r="FK85" s="373">
        <v>4</v>
      </c>
      <c r="FL85" s="444">
        <v>0</v>
      </c>
      <c r="FM85" s="377"/>
      <c r="FN85" s="373"/>
      <c r="FO85" s="444"/>
      <c r="FP85" s="377">
        <v>16</v>
      </c>
      <c r="FQ85" s="373">
        <v>15</v>
      </c>
      <c r="FR85" s="444">
        <v>51.6</v>
      </c>
      <c r="FS85" s="377">
        <v>12</v>
      </c>
      <c r="FT85" s="373">
        <v>11</v>
      </c>
      <c r="FU85" s="444">
        <v>52.2</v>
      </c>
      <c r="FV85" s="377">
        <v>8</v>
      </c>
      <c r="FW85" s="373">
        <v>8</v>
      </c>
      <c r="FX85" s="444">
        <v>50</v>
      </c>
      <c r="FY85" s="377"/>
      <c r="FZ85" s="373"/>
      <c r="GA85" s="444"/>
      <c r="GB85" s="377">
        <v>2</v>
      </c>
      <c r="GC85" s="373"/>
      <c r="GD85" s="444">
        <v>100</v>
      </c>
      <c r="GE85" s="377"/>
      <c r="GF85" s="373"/>
      <c r="GG85" s="444" t="s">
        <v>6</v>
      </c>
      <c r="GH85" s="377"/>
      <c r="GI85" s="373"/>
      <c r="GJ85" s="444" t="s">
        <v>6</v>
      </c>
      <c r="GK85" s="377"/>
      <c r="GL85" s="373"/>
      <c r="GM85" s="444"/>
      <c r="GN85" s="377"/>
      <c r="GO85" s="373"/>
      <c r="GP85" s="444" t="s">
        <v>6</v>
      </c>
      <c r="GQ85" s="377"/>
      <c r="GR85" s="373"/>
      <c r="GS85" s="444" t="s">
        <v>6</v>
      </c>
      <c r="GT85" s="377"/>
      <c r="GU85" s="373"/>
      <c r="GV85" s="444" t="s">
        <v>6</v>
      </c>
      <c r="GW85" s="377"/>
      <c r="GX85" s="373"/>
      <c r="GY85" s="444"/>
      <c r="GZ85" s="377"/>
      <c r="HA85" s="373"/>
      <c r="HB85" s="444" t="s">
        <v>6</v>
      </c>
      <c r="HC85" s="377"/>
      <c r="HD85" s="373"/>
      <c r="HE85" s="444" t="s">
        <v>6</v>
      </c>
      <c r="HF85" s="377"/>
      <c r="HG85" s="373"/>
      <c r="HH85" s="444" t="s">
        <v>6</v>
      </c>
      <c r="HI85" s="377"/>
      <c r="HJ85" s="373"/>
      <c r="HK85" s="444"/>
      <c r="HL85" s="377">
        <v>1</v>
      </c>
      <c r="HM85" s="373">
        <v>4</v>
      </c>
      <c r="HN85" s="444">
        <v>20</v>
      </c>
      <c r="HO85" s="377">
        <v>2</v>
      </c>
      <c r="HP85" s="373">
        <v>5</v>
      </c>
      <c r="HQ85" s="444">
        <v>28.6</v>
      </c>
      <c r="HR85" s="377">
        <v>1</v>
      </c>
      <c r="HS85" s="373">
        <v>4</v>
      </c>
      <c r="HT85" s="444">
        <v>20</v>
      </c>
      <c r="HU85" s="377"/>
      <c r="HV85" s="373"/>
      <c r="HW85" s="444"/>
      <c r="HX85" s="377">
        <v>1</v>
      </c>
      <c r="HY85" s="373"/>
      <c r="HZ85" s="444">
        <v>100</v>
      </c>
      <c r="IA85" s="377">
        <v>1</v>
      </c>
      <c r="IB85" s="373"/>
      <c r="IC85" s="444">
        <v>100</v>
      </c>
      <c r="ID85" s="377"/>
      <c r="IE85" s="373"/>
      <c r="IF85" s="444" t="s">
        <v>6</v>
      </c>
      <c r="IG85" s="377"/>
      <c r="IH85" s="373"/>
      <c r="II85" s="444"/>
      <c r="IJ85" s="377">
        <v>1</v>
      </c>
      <c r="IK85" s="373"/>
      <c r="IL85" s="444">
        <v>100</v>
      </c>
      <c r="IM85" s="377">
        <v>2</v>
      </c>
      <c r="IN85" s="373"/>
      <c r="IO85" s="444">
        <v>100</v>
      </c>
      <c r="IP85" s="377"/>
      <c r="IQ85" s="373"/>
      <c r="IR85" s="444" t="s">
        <v>6</v>
      </c>
      <c r="IS85" s="377"/>
      <c r="IT85" s="373"/>
      <c r="IU85" s="444"/>
      <c r="IV85" s="377">
        <v>69</v>
      </c>
      <c r="IW85" s="373">
        <v>143</v>
      </c>
      <c r="IX85" s="444">
        <v>32.5</v>
      </c>
      <c r="IY85" s="377">
        <v>78</v>
      </c>
      <c r="IZ85" s="373">
        <v>75</v>
      </c>
      <c r="JA85" s="444">
        <v>51</v>
      </c>
      <c r="JB85" s="377">
        <v>41</v>
      </c>
      <c r="JC85" s="373">
        <v>51</v>
      </c>
      <c r="JD85" s="444">
        <v>44.6</v>
      </c>
      <c r="JE85" s="377"/>
      <c r="JF85" s="373"/>
      <c r="JG85" s="444"/>
      <c r="JH85" s="377">
        <v>3</v>
      </c>
      <c r="JI85" s="373">
        <v>18</v>
      </c>
      <c r="JJ85" s="444">
        <v>14.3</v>
      </c>
      <c r="JK85" s="377">
        <v>16</v>
      </c>
      <c r="JL85" s="373">
        <v>12</v>
      </c>
      <c r="JM85" s="444">
        <v>57.1</v>
      </c>
      <c r="JN85" s="377">
        <v>13</v>
      </c>
      <c r="JO85" s="373">
        <v>6</v>
      </c>
      <c r="JP85" s="444">
        <v>68.400000000000006</v>
      </c>
      <c r="JQ85" s="377"/>
      <c r="JR85" s="373"/>
      <c r="JS85" s="444"/>
      <c r="JT85" s="377">
        <v>1</v>
      </c>
      <c r="JU85" s="373">
        <v>2</v>
      </c>
      <c r="JV85" s="444">
        <v>33.299999999999997</v>
      </c>
      <c r="JW85" s="377">
        <v>1</v>
      </c>
      <c r="JX85" s="373"/>
      <c r="JY85" s="444">
        <v>100</v>
      </c>
      <c r="JZ85" s="377">
        <v>1</v>
      </c>
      <c r="KA85" s="373"/>
      <c r="KB85" s="444">
        <v>100</v>
      </c>
      <c r="KC85" s="377"/>
      <c r="KD85" s="373"/>
      <c r="KE85" s="444"/>
      <c r="KF85" s="377"/>
      <c r="KG85" s="373">
        <v>1</v>
      </c>
      <c r="KH85" s="444">
        <v>0</v>
      </c>
      <c r="KI85" s="377">
        <v>1</v>
      </c>
      <c r="KJ85" s="373"/>
      <c r="KK85" s="444">
        <v>100</v>
      </c>
      <c r="KL85" s="377"/>
      <c r="KM85" s="373"/>
      <c r="KN85" s="444" t="s">
        <v>6</v>
      </c>
      <c r="KO85" s="377"/>
      <c r="KP85" s="373"/>
      <c r="KQ85" s="444"/>
      <c r="KR85" s="377">
        <v>5</v>
      </c>
      <c r="KS85" s="373">
        <v>21</v>
      </c>
      <c r="KT85" s="444">
        <v>19.2</v>
      </c>
      <c r="KU85" s="377">
        <v>20</v>
      </c>
      <c r="KV85" s="373">
        <v>12</v>
      </c>
      <c r="KW85" s="444">
        <v>62.5</v>
      </c>
      <c r="KX85" s="377">
        <v>18</v>
      </c>
      <c r="KY85" s="373">
        <v>8</v>
      </c>
      <c r="KZ85" s="444">
        <v>69.2</v>
      </c>
      <c r="LA85" s="377"/>
      <c r="LB85" s="373"/>
      <c r="LC85" s="444"/>
      <c r="LD85" s="377">
        <v>175</v>
      </c>
      <c r="LE85" s="373">
        <v>171</v>
      </c>
      <c r="LF85" s="444">
        <v>50.6</v>
      </c>
      <c r="LG85" s="377">
        <v>130</v>
      </c>
      <c r="LH85" s="373">
        <v>94</v>
      </c>
      <c r="LI85" s="444">
        <v>58</v>
      </c>
      <c r="LJ85" s="377">
        <v>83</v>
      </c>
      <c r="LK85" s="373">
        <v>75</v>
      </c>
      <c r="LL85" s="444">
        <v>52.5</v>
      </c>
      <c r="LM85" s="377"/>
      <c r="LN85" s="373"/>
      <c r="LO85" s="444"/>
    </row>
    <row r="86" spans="1:327" x14ac:dyDescent="0.2">
      <c r="A86" s="1001"/>
      <c r="B86" s="747" t="s">
        <v>621</v>
      </c>
      <c r="C86" s="151" t="s">
        <v>691</v>
      </c>
      <c r="D86" s="377"/>
      <c r="E86" s="373"/>
      <c r="F86" s="444" t="s">
        <v>6</v>
      </c>
      <c r="G86" s="377"/>
      <c r="H86" s="373"/>
      <c r="I86" s="444" t="s">
        <v>6</v>
      </c>
      <c r="J86" s="377"/>
      <c r="K86" s="373"/>
      <c r="L86" s="444" t="s">
        <v>6</v>
      </c>
      <c r="M86" s="377"/>
      <c r="N86" s="373"/>
      <c r="O86" s="444"/>
      <c r="P86" s="377"/>
      <c r="Q86" s="373"/>
      <c r="R86" s="444" t="s">
        <v>6</v>
      </c>
      <c r="S86" s="377"/>
      <c r="T86" s="373"/>
      <c r="U86" s="444" t="s">
        <v>6</v>
      </c>
      <c r="V86" s="377"/>
      <c r="W86" s="373"/>
      <c r="X86" s="444" t="s">
        <v>6</v>
      </c>
      <c r="Y86" s="377"/>
      <c r="Z86" s="373"/>
      <c r="AA86" s="444"/>
      <c r="AB86" s="377"/>
      <c r="AC86" s="373"/>
      <c r="AD86" s="444" t="s">
        <v>6</v>
      </c>
      <c r="AE86" s="377"/>
      <c r="AF86" s="373"/>
      <c r="AG86" s="444" t="s">
        <v>6</v>
      </c>
      <c r="AH86" s="377"/>
      <c r="AI86" s="373"/>
      <c r="AJ86" s="444" t="s">
        <v>6</v>
      </c>
      <c r="AK86" s="377"/>
      <c r="AL86" s="373"/>
      <c r="AM86" s="444"/>
      <c r="AN86" s="377">
        <v>7</v>
      </c>
      <c r="AO86" s="373">
        <v>1</v>
      </c>
      <c r="AP86" s="444">
        <v>87.5</v>
      </c>
      <c r="AQ86" s="377">
        <v>13</v>
      </c>
      <c r="AR86" s="373">
        <v>1</v>
      </c>
      <c r="AS86" s="444">
        <v>92.9</v>
      </c>
      <c r="AT86" s="377">
        <v>20</v>
      </c>
      <c r="AU86" s="373"/>
      <c r="AV86" s="444">
        <v>100</v>
      </c>
      <c r="AW86" s="377"/>
      <c r="AX86" s="373"/>
      <c r="AY86" s="444"/>
      <c r="AZ86" s="377">
        <v>7</v>
      </c>
      <c r="BA86" s="373">
        <v>1</v>
      </c>
      <c r="BB86" s="444">
        <v>87.5</v>
      </c>
      <c r="BC86" s="377">
        <v>7</v>
      </c>
      <c r="BD86" s="373">
        <v>1</v>
      </c>
      <c r="BE86" s="444">
        <v>87.5</v>
      </c>
      <c r="BF86" s="377">
        <v>8</v>
      </c>
      <c r="BG86" s="373"/>
      <c r="BH86" s="444">
        <v>100</v>
      </c>
      <c r="BI86" s="377"/>
      <c r="BJ86" s="373"/>
      <c r="BK86" s="444"/>
      <c r="BL86" s="377"/>
      <c r="BM86" s="373"/>
      <c r="BN86" s="444" t="s">
        <v>6</v>
      </c>
      <c r="BO86" s="377"/>
      <c r="BP86" s="373"/>
      <c r="BQ86" s="444" t="s">
        <v>6</v>
      </c>
      <c r="BR86" s="377"/>
      <c r="BS86" s="373"/>
      <c r="BT86" s="444" t="s">
        <v>6</v>
      </c>
      <c r="BU86" s="377"/>
      <c r="BV86" s="373"/>
      <c r="BW86" s="444"/>
      <c r="BX86" s="377"/>
      <c r="BY86" s="373"/>
      <c r="BZ86" s="444" t="s">
        <v>6</v>
      </c>
      <c r="CA86" s="377"/>
      <c r="CB86" s="373"/>
      <c r="CC86" s="444" t="s">
        <v>6</v>
      </c>
      <c r="CD86" s="377"/>
      <c r="CE86" s="373"/>
      <c r="CF86" s="444" t="s">
        <v>6</v>
      </c>
      <c r="CG86" s="377"/>
      <c r="CH86" s="373"/>
      <c r="CI86" s="444"/>
      <c r="CJ86" s="377"/>
      <c r="CK86" s="373"/>
      <c r="CL86" s="444" t="s">
        <v>6</v>
      </c>
      <c r="CM86" s="377"/>
      <c r="CN86" s="373"/>
      <c r="CO86" s="444" t="s">
        <v>6</v>
      </c>
      <c r="CP86" s="377"/>
      <c r="CQ86" s="373"/>
      <c r="CR86" s="444" t="s">
        <v>6</v>
      </c>
      <c r="CS86" s="377"/>
      <c r="CT86" s="373"/>
      <c r="CU86" s="444"/>
      <c r="CV86" s="377">
        <v>9</v>
      </c>
      <c r="CW86" s="373"/>
      <c r="CX86" s="444">
        <v>100</v>
      </c>
      <c r="CY86" s="377">
        <v>10</v>
      </c>
      <c r="CZ86" s="373">
        <v>2</v>
      </c>
      <c r="DA86" s="444">
        <v>83.3</v>
      </c>
      <c r="DB86" s="377">
        <v>14</v>
      </c>
      <c r="DC86" s="373">
        <v>1</v>
      </c>
      <c r="DD86" s="444">
        <v>93.3</v>
      </c>
      <c r="DE86" s="377"/>
      <c r="DF86" s="373"/>
      <c r="DG86" s="444"/>
      <c r="DH86" s="377"/>
      <c r="DI86" s="373"/>
      <c r="DJ86" s="444" t="s">
        <v>6</v>
      </c>
      <c r="DK86" s="377"/>
      <c r="DL86" s="373"/>
      <c r="DM86" s="444" t="s">
        <v>6</v>
      </c>
      <c r="DN86" s="377">
        <v>1</v>
      </c>
      <c r="DO86" s="373"/>
      <c r="DP86" s="444">
        <v>100</v>
      </c>
      <c r="DQ86" s="377"/>
      <c r="DR86" s="373"/>
      <c r="DS86" s="444"/>
      <c r="DT86" s="377">
        <v>2</v>
      </c>
      <c r="DU86" s="373"/>
      <c r="DV86" s="444">
        <v>100</v>
      </c>
      <c r="DW86" s="377">
        <v>1</v>
      </c>
      <c r="DX86" s="373"/>
      <c r="DY86" s="444">
        <v>100</v>
      </c>
      <c r="DZ86" s="377"/>
      <c r="EA86" s="373"/>
      <c r="EB86" s="444" t="s">
        <v>6</v>
      </c>
      <c r="EC86" s="377"/>
      <c r="ED86" s="373"/>
      <c r="EE86" s="444"/>
      <c r="EF86" s="377">
        <v>22</v>
      </c>
      <c r="EG86" s="373">
        <v>39</v>
      </c>
      <c r="EH86" s="444">
        <v>36.1</v>
      </c>
      <c r="EI86" s="377">
        <v>20</v>
      </c>
      <c r="EJ86" s="373">
        <v>32</v>
      </c>
      <c r="EK86" s="444">
        <v>38.5</v>
      </c>
      <c r="EL86" s="377">
        <v>19</v>
      </c>
      <c r="EM86" s="373">
        <v>16</v>
      </c>
      <c r="EN86" s="444">
        <v>54.3</v>
      </c>
      <c r="EO86" s="377"/>
      <c r="EP86" s="373"/>
      <c r="EQ86" s="444"/>
      <c r="ER86" s="377">
        <v>1</v>
      </c>
      <c r="ES86" s="373">
        <v>2</v>
      </c>
      <c r="ET86" s="444">
        <v>33.299999999999997</v>
      </c>
      <c r="EU86" s="377"/>
      <c r="EV86" s="373"/>
      <c r="EW86" s="444" t="s">
        <v>6</v>
      </c>
      <c r="EX86" s="377"/>
      <c r="EY86" s="373"/>
      <c r="EZ86" s="444" t="s">
        <v>6</v>
      </c>
      <c r="FA86" s="377"/>
      <c r="FB86" s="373"/>
      <c r="FC86" s="444"/>
      <c r="FD86" s="377">
        <v>1</v>
      </c>
      <c r="FE86" s="373">
        <v>3</v>
      </c>
      <c r="FF86" s="444">
        <v>25</v>
      </c>
      <c r="FG86" s="377"/>
      <c r="FH86" s="373">
        <v>1</v>
      </c>
      <c r="FI86" s="444">
        <v>0</v>
      </c>
      <c r="FJ86" s="377">
        <v>2</v>
      </c>
      <c r="FK86" s="373"/>
      <c r="FL86" s="444">
        <v>100</v>
      </c>
      <c r="FM86" s="377"/>
      <c r="FN86" s="373"/>
      <c r="FO86" s="444"/>
      <c r="FP86" s="377">
        <v>1</v>
      </c>
      <c r="FQ86" s="373">
        <v>7</v>
      </c>
      <c r="FR86" s="444">
        <v>12.5</v>
      </c>
      <c r="FS86" s="377">
        <v>2</v>
      </c>
      <c r="FT86" s="373">
        <v>7</v>
      </c>
      <c r="FU86" s="444">
        <v>22.2</v>
      </c>
      <c r="FV86" s="377">
        <v>1</v>
      </c>
      <c r="FW86" s="373">
        <v>1</v>
      </c>
      <c r="FX86" s="444">
        <v>50</v>
      </c>
      <c r="FY86" s="377"/>
      <c r="FZ86" s="373"/>
      <c r="GA86" s="444"/>
      <c r="GB86" s="377">
        <v>1</v>
      </c>
      <c r="GC86" s="373"/>
      <c r="GD86" s="444">
        <v>100</v>
      </c>
      <c r="GE86" s="377"/>
      <c r="GF86" s="373"/>
      <c r="GG86" s="444" t="s">
        <v>6</v>
      </c>
      <c r="GH86" s="377">
        <v>1</v>
      </c>
      <c r="GI86" s="373"/>
      <c r="GJ86" s="444">
        <v>100</v>
      </c>
      <c r="GK86" s="377"/>
      <c r="GL86" s="373"/>
      <c r="GM86" s="444"/>
      <c r="GN86" s="377">
        <v>1</v>
      </c>
      <c r="GO86" s="373"/>
      <c r="GP86" s="444">
        <v>100</v>
      </c>
      <c r="GQ86" s="377">
        <v>3</v>
      </c>
      <c r="GR86" s="373">
        <v>1</v>
      </c>
      <c r="GS86" s="444">
        <v>75</v>
      </c>
      <c r="GT86" s="377"/>
      <c r="GU86" s="373">
        <v>1</v>
      </c>
      <c r="GV86" s="444">
        <v>0</v>
      </c>
      <c r="GW86" s="377"/>
      <c r="GX86" s="373"/>
      <c r="GY86" s="444"/>
      <c r="GZ86" s="377"/>
      <c r="HA86" s="373"/>
      <c r="HB86" s="444" t="s">
        <v>6</v>
      </c>
      <c r="HC86" s="377"/>
      <c r="HD86" s="373"/>
      <c r="HE86" s="444" t="s">
        <v>6</v>
      </c>
      <c r="HF86" s="377"/>
      <c r="HG86" s="373"/>
      <c r="HH86" s="444" t="s">
        <v>6</v>
      </c>
      <c r="HI86" s="377"/>
      <c r="HJ86" s="373"/>
      <c r="HK86" s="444"/>
      <c r="HL86" s="377">
        <v>2</v>
      </c>
      <c r="HM86" s="373">
        <v>4</v>
      </c>
      <c r="HN86" s="444">
        <v>33.299999999999997</v>
      </c>
      <c r="HO86" s="377">
        <v>5</v>
      </c>
      <c r="HP86" s="373"/>
      <c r="HQ86" s="444">
        <v>100</v>
      </c>
      <c r="HR86" s="377">
        <v>2</v>
      </c>
      <c r="HS86" s="373">
        <v>3</v>
      </c>
      <c r="HT86" s="444">
        <v>40</v>
      </c>
      <c r="HU86" s="377"/>
      <c r="HV86" s="373"/>
      <c r="HW86" s="444"/>
      <c r="HX86" s="377"/>
      <c r="HY86" s="373"/>
      <c r="HZ86" s="444" t="s">
        <v>6</v>
      </c>
      <c r="IA86" s="377"/>
      <c r="IB86" s="373"/>
      <c r="IC86" s="444" t="s">
        <v>6</v>
      </c>
      <c r="ID86" s="377"/>
      <c r="IE86" s="373"/>
      <c r="IF86" s="444" t="s">
        <v>6</v>
      </c>
      <c r="IG86" s="377"/>
      <c r="IH86" s="373"/>
      <c r="II86" s="444"/>
      <c r="IJ86" s="377">
        <v>2</v>
      </c>
      <c r="IK86" s="373"/>
      <c r="IL86" s="444">
        <v>100</v>
      </c>
      <c r="IM86" s="377">
        <v>2</v>
      </c>
      <c r="IN86" s="373"/>
      <c r="IO86" s="444">
        <v>100</v>
      </c>
      <c r="IP86" s="377">
        <v>2</v>
      </c>
      <c r="IQ86" s="373"/>
      <c r="IR86" s="444">
        <v>100</v>
      </c>
      <c r="IS86" s="377"/>
      <c r="IT86" s="373"/>
      <c r="IU86" s="444"/>
      <c r="IV86" s="377">
        <v>46</v>
      </c>
      <c r="IW86" s="373">
        <v>44</v>
      </c>
      <c r="IX86" s="444">
        <v>51.1</v>
      </c>
      <c r="IY86" s="377">
        <v>54</v>
      </c>
      <c r="IZ86" s="373">
        <v>36</v>
      </c>
      <c r="JA86" s="444">
        <v>60</v>
      </c>
      <c r="JB86" s="377">
        <v>59</v>
      </c>
      <c r="JC86" s="373">
        <v>21</v>
      </c>
      <c r="JD86" s="444">
        <v>73.8</v>
      </c>
      <c r="JE86" s="377"/>
      <c r="JF86" s="373"/>
      <c r="JG86" s="444"/>
      <c r="JH86" s="377">
        <v>14</v>
      </c>
      <c r="JI86" s="373">
        <v>3</v>
      </c>
      <c r="JJ86" s="444">
        <v>82.4</v>
      </c>
      <c r="JK86" s="377">
        <v>14</v>
      </c>
      <c r="JL86" s="373">
        <v>7</v>
      </c>
      <c r="JM86" s="444">
        <v>66.7</v>
      </c>
      <c r="JN86" s="377">
        <v>17</v>
      </c>
      <c r="JO86" s="373">
        <v>1</v>
      </c>
      <c r="JP86" s="444">
        <v>94.4</v>
      </c>
      <c r="JQ86" s="377"/>
      <c r="JR86" s="373"/>
      <c r="JS86" s="444"/>
      <c r="JT86" s="377"/>
      <c r="JU86" s="373"/>
      <c r="JV86" s="444" t="s">
        <v>6</v>
      </c>
      <c r="JW86" s="377"/>
      <c r="JX86" s="373"/>
      <c r="JY86" s="444" t="s">
        <v>6</v>
      </c>
      <c r="JZ86" s="377"/>
      <c r="KA86" s="373"/>
      <c r="KB86" s="444" t="s">
        <v>6</v>
      </c>
      <c r="KC86" s="377"/>
      <c r="KD86" s="373"/>
      <c r="KE86" s="444"/>
      <c r="KF86" s="377"/>
      <c r="KG86" s="373"/>
      <c r="KH86" s="444" t="s">
        <v>6</v>
      </c>
      <c r="KI86" s="377"/>
      <c r="KJ86" s="373"/>
      <c r="KK86" s="444" t="s">
        <v>6</v>
      </c>
      <c r="KL86" s="377"/>
      <c r="KM86" s="373"/>
      <c r="KN86" s="444" t="s">
        <v>6</v>
      </c>
      <c r="KO86" s="377"/>
      <c r="KP86" s="373"/>
      <c r="KQ86" s="444"/>
      <c r="KR86" s="377">
        <v>21</v>
      </c>
      <c r="KS86" s="373">
        <v>3</v>
      </c>
      <c r="KT86" s="444">
        <v>87.5</v>
      </c>
      <c r="KU86" s="377">
        <v>18</v>
      </c>
      <c r="KV86" s="373">
        <v>7</v>
      </c>
      <c r="KW86" s="444">
        <v>72</v>
      </c>
      <c r="KX86" s="377">
        <v>17</v>
      </c>
      <c r="KY86" s="373">
        <v>1</v>
      </c>
      <c r="KZ86" s="444">
        <v>94.4</v>
      </c>
      <c r="LA86" s="377"/>
      <c r="LB86" s="373"/>
      <c r="LC86" s="444"/>
      <c r="LD86" s="377">
        <v>75</v>
      </c>
      <c r="LE86" s="373">
        <v>59</v>
      </c>
      <c r="LF86" s="444">
        <v>56</v>
      </c>
      <c r="LG86" s="377">
        <v>89</v>
      </c>
      <c r="LH86" s="373">
        <v>45</v>
      </c>
      <c r="LI86" s="444">
        <v>66.400000000000006</v>
      </c>
      <c r="LJ86" s="377">
        <v>75</v>
      </c>
      <c r="LK86" s="373">
        <v>29</v>
      </c>
      <c r="LL86" s="444">
        <v>72.099999999999994</v>
      </c>
      <c r="LM86" s="377"/>
      <c r="LN86" s="373"/>
      <c r="LO86" s="444"/>
    </row>
    <row r="87" spans="1:327" x14ac:dyDescent="0.2">
      <c r="A87" s="1001"/>
      <c r="B87" s="747" t="s">
        <v>621</v>
      </c>
      <c r="C87" s="151" t="s">
        <v>692</v>
      </c>
      <c r="D87" s="377"/>
      <c r="E87" s="373"/>
      <c r="F87" s="444" t="s">
        <v>6</v>
      </c>
      <c r="G87" s="377"/>
      <c r="H87" s="373"/>
      <c r="I87" s="444" t="s">
        <v>6</v>
      </c>
      <c r="J87" s="377"/>
      <c r="K87" s="373"/>
      <c r="L87" s="444" t="s">
        <v>6</v>
      </c>
      <c r="M87" s="377"/>
      <c r="N87" s="373"/>
      <c r="O87" s="444"/>
      <c r="P87" s="377"/>
      <c r="Q87" s="373"/>
      <c r="R87" s="444" t="s">
        <v>6</v>
      </c>
      <c r="S87" s="377"/>
      <c r="T87" s="373"/>
      <c r="U87" s="444" t="s">
        <v>6</v>
      </c>
      <c r="V87" s="377"/>
      <c r="W87" s="373"/>
      <c r="X87" s="444" t="s">
        <v>6</v>
      </c>
      <c r="Y87" s="377"/>
      <c r="Z87" s="373"/>
      <c r="AA87" s="444"/>
      <c r="AB87" s="377"/>
      <c r="AC87" s="373"/>
      <c r="AD87" s="444" t="s">
        <v>6</v>
      </c>
      <c r="AE87" s="377"/>
      <c r="AF87" s="373"/>
      <c r="AG87" s="444" t="s">
        <v>6</v>
      </c>
      <c r="AH87" s="377"/>
      <c r="AI87" s="373"/>
      <c r="AJ87" s="444" t="s">
        <v>6</v>
      </c>
      <c r="AK87" s="377"/>
      <c r="AL87" s="373"/>
      <c r="AM87" s="444"/>
      <c r="AN87" s="377">
        <v>11</v>
      </c>
      <c r="AO87" s="373">
        <v>2</v>
      </c>
      <c r="AP87" s="444">
        <v>84.6</v>
      </c>
      <c r="AQ87" s="377">
        <v>16</v>
      </c>
      <c r="AR87" s="373">
        <v>5</v>
      </c>
      <c r="AS87" s="444">
        <v>76.2</v>
      </c>
      <c r="AT87" s="377">
        <v>11</v>
      </c>
      <c r="AU87" s="373">
        <v>4</v>
      </c>
      <c r="AV87" s="444">
        <v>73.3</v>
      </c>
      <c r="AW87" s="377"/>
      <c r="AX87" s="373"/>
      <c r="AY87" s="444"/>
      <c r="AZ87" s="377">
        <v>6</v>
      </c>
      <c r="BA87" s="373">
        <v>2</v>
      </c>
      <c r="BB87" s="444">
        <v>75</v>
      </c>
      <c r="BC87" s="377">
        <v>10</v>
      </c>
      <c r="BD87" s="373">
        <v>5</v>
      </c>
      <c r="BE87" s="444">
        <v>66.7</v>
      </c>
      <c r="BF87" s="377">
        <v>8</v>
      </c>
      <c r="BG87" s="373">
        <v>3</v>
      </c>
      <c r="BH87" s="444">
        <v>72.7</v>
      </c>
      <c r="BI87" s="377"/>
      <c r="BJ87" s="373"/>
      <c r="BK87" s="444"/>
      <c r="BL87" s="377"/>
      <c r="BM87" s="373"/>
      <c r="BN87" s="444" t="s">
        <v>6</v>
      </c>
      <c r="BO87" s="377"/>
      <c r="BP87" s="373"/>
      <c r="BQ87" s="444" t="s">
        <v>6</v>
      </c>
      <c r="BR87" s="377"/>
      <c r="BS87" s="373"/>
      <c r="BT87" s="444" t="s">
        <v>6</v>
      </c>
      <c r="BU87" s="377"/>
      <c r="BV87" s="373"/>
      <c r="BW87" s="444"/>
      <c r="BX87" s="377"/>
      <c r="BY87" s="373"/>
      <c r="BZ87" s="444" t="s">
        <v>6</v>
      </c>
      <c r="CA87" s="377">
        <v>1</v>
      </c>
      <c r="CB87" s="373"/>
      <c r="CC87" s="444">
        <v>100</v>
      </c>
      <c r="CD87" s="377"/>
      <c r="CE87" s="373"/>
      <c r="CF87" s="444" t="s">
        <v>6</v>
      </c>
      <c r="CG87" s="377"/>
      <c r="CH87" s="373"/>
      <c r="CI87" s="444"/>
      <c r="CJ87" s="377"/>
      <c r="CK87" s="373"/>
      <c r="CL87" s="444" t="s">
        <v>6</v>
      </c>
      <c r="CM87" s="377"/>
      <c r="CN87" s="373"/>
      <c r="CO87" s="444" t="s">
        <v>6</v>
      </c>
      <c r="CP87" s="377"/>
      <c r="CQ87" s="373"/>
      <c r="CR87" s="444" t="s">
        <v>6</v>
      </c>
      <c r="CS87" s="377"/>
      <c r="CT87" s="373"/>
      <c r="CU87" s="444"/>
      <c r="CV87" s="377">
        <v>15</v>
      </c>
      <c r="CW87" s="373">
        <v>10</v>
      </c>
      <c r="CX87" s="444">
        <v>60</v>
      </c>
      <c r="CY87" s="377">
        <v>22</v>
      </c>
      <c r="CZ87" s="373">
        <v>7</v>
      </c>
      <c r="DA87" s="444">
        <v>75.900000000000006</v>
      </c>
      <c r="DB87" s="377">
        <v>16</v>
      </c>
      <c r="DC87" s="373">
        <v>5</v>
      </c>
      <c r="DD87" s="444">
        <v>76.2</v>
      </c>
      <c r="DE87" s="377"/>
      <c r="DF87" s="373"/>
      <c r="DG87" s="444"/>
      <c r="DH87" s="377">
        <v>1</v>
      </c>
      <c r="DI87" s="373"/>
      <c r="DJ87" s="444">
        <v>100</v>
      </c>
      <c r="DK87" s="377"/>
      <c r="DL87" s="373"/>
      <c r="DM87" s="444" t="s">
        <v>6</v>
      </c>
      <c r="DN87" s="377"/>
      <c r="DO87" s="373"/>
      <c r="DP87" s="444" t="s">
        <v>6</v>
      </c>
      <c r="DQ87" s="377"/>
      <c r="DR87" s="373"/>
      <c r="DS87" s="444"/>
      <c r="DT87" s="377">
        <v>1</v>
      </c>
      <c r="DU87" s="373"/>
      <c r="DV87" s="444">
        <v>100</v>
      </c>
      <c r="DW87" s="377">
        <v>3</v>
      </c>
      <c r="DX87" s="373"/>
      <c r="DY87" s="444">
        <v>100</v>
      </c>
      <c r="DZ87" s="377">
        <v>1</v>
      </c>
      <c r="EA87" s="373"/>
      <c r="EB87" s="444">
        <v>100</v>
      </c>
      <c r="EC87" s="377"/>
      <c r="ED87" s="373"/>
      <c r="EE87" s="444"/>
      <c r="EF87" s="377">
        <v>103</v>
      </c>
      <c r="EG87" s="373">
        <v>521</v>
      </c>
      <c r="EH87" s="444">
        <v>16.5</v>
      </c>
      <c r="EI87" s="377">
        <v>102</v>
      </c>
      <c r="EJ87" s="373">
        <v>342</v>
      </c>
      <c r="EK87" s="444">
        <v>23</v>
      </c>
      <c r="EL87" s="377">
        <v>101</v>
      </c>
      <c r="EM87" s="373">
        <v>259</v>
      </c>
      <c r="EN87" s="444">
        <v>28.1</v>
      </c>
      <c r="EO87" s="377"/>
      <c r="EP87" s="373"/>
      <c r="EQ87" s="444"/>
      <c r="ER87" s="377"/>
      <c r="ES87" s="373">
        <v>3</v>
      </c>
      <c r="ET87" s="444">
        <v>0</v>
      </c>
      <c r="EU87" s="377">
        <v>1</v>
      </c>
      <c r="EV87" s="373">
        <v>4</v>
      </c>
      <c r="EW87" s="444">
        <v>20</v>
      </c>
      <c r="EX87" s="377">
        <v>2</v>
      </c>
      <c r="EY87" s="373"/>
      <c r="EZ87" s="444">
        <v>100</v>
      </c>
      <c r="FA87" s="377"/>
      <c r="FB87" s="373"/>
      <c r="FC87" s="444"/>
      <c r="FD87" s="377"/>
      <c r="FE87" s="373">
        <v>33</v>
      </c>
      <c r="FF87" s="444">
        <v>0</v>
      </c>
      <c r="FG87" s="377">
        <v>2</v>
      </c>
      <c r="FH87" s="373">
        <v>19</v>
      </c>
      <c r="FI87" s="444">
        <v>9.5</v>
      </c>
      <c r="FJ87" s="377"/>
      <c r="FK87" s="373">
        <v>4</v>
      </c>
      <c r="FL87" s="444">
        <v>0</v>
      </c>
      <c r="FM87" s="377"/>
      <c r="FN87" s="373"/>
      <c r="FO87" s="444"/>
      <c r="FP87" s="377">
        <v>15</v>
      </c>
      <c r="FQ87" s="373">
        <v>41</v>
      </c>
      <c r="FR87" s="444">
        <v>26.8</v>
      </c>
      <c r="FS87" s="377">
        <v>16</v>
      </c>
      <c r="FT87" s="373">
        <v>30</v>
      </c>
      <c r="FU87" s="444">
        <v>34.799999999999997</v>
      </c>
      <c r="FV87" s="377">
        <v>16</v>
      </c>
      <c r="FW87" s="373">
        <v>21</v>
      </c>
      <c r="FX87" s="444">
        <v>43.2</v>
      </c>
      <c r="FY87" s="377"/>
      <c r="FZ87" s="373"/>
      <c r="GA87" s="444"/>
      <c r="GB87" s="377">
        <v>4</v>
      </c>
      <c r="GC87" s="373">
        <v>1</v>
      </c>
      <c r="GD87" s="444">
        <v>80</v>
      </c>
      <c r="GE87" s="377">
        <v>1</v>
      </c>
      <c r="GF87" s="373">
        <v>3</v>
      </c>
      <c r="GG87" s="444">
        <v>25</v>
      </c>
      <c r="GH87" s="377">
        <v>4</v>
      </c>
      <c r="GI87" s="373">
        <v>2</v>
      </c>
      <c r="GJ87" s="444">
        <v>66.7</v>
      </c>
      <c r="GK87" s="377"/>
      <c r="GL87" s="373"/>
      <c r="GM87" s="444"/>
      <c r="GN87" s="377">
        <v>4</v>
      </c>
      <c r="GO87" s="373">
        <v>2</v>
      </c>
      <c r="GP87" s="444">
        <v>66.7</v>
      </c>
      <c r="GQ87" s="377">
        <v>3</v>
      </c>
      <c r="GR87" s="373">
        <v>5</v>
      </c>
      <c r="GS87" s="444">
        <v>37.5</v>
      </c>
      <c r="GT87" s="377"/>
      <c r="GU87" s="373">
        <v>2</v>
      </c>
      <c r="GV87" s="444">
        <v>0</v>
      </c>
      <c r="GW87" s="377"/>
      <c r="GX87" s="373"/>
      <c r="GY87" s="444"/>
      <c r="GZ87" s="377"/>
      <c r="HA87" s="373">
        <v>2</v>
      </c>
      <c r="HB87" s="444">
        <v>0</v>
      </c>
      <c r="HC87" s="377"/>
      <c r="HD87" s="373">
        <v>1</v>
      </c>
      <c r="HE87" s="444">
        <v>0</v>
      </c>
      <c r="HF87" s="377"/>
      <c r="HG87" s="373"/>
      <c r="HH87" s="444" t="s">
        <v>6</v>
      </c>
      <c r="HI87" s="377"/>
      <c r="HJ87" s="373"/>
      <c r="HK87" s="444"/>
      <c r="HL87" s="377">
        <v>4</v>
      </c>
      <c r="HM87" s="373">
        <v>50</v>
      </c>
      <c r="HN87" s="444">
        <v>7.4</v>
      </c>
      <c r="HO87" s="377">
        <v>10</v>
      </c>
      <c r="HP87" s="373">
        <v>25</v>
      </c>
      <c r="HQ87" s="444">
        <v>28.6</v>
      </c>
      <c r="HR87" s="377">
        <v>11</v>
      </c>
      <c r="HS87" s="373">
        <v>16</v>
      </c>
      <c r="HT87" s="444">
        <v>40.700000000000003</v>
      </c>
      <c r="HU87" s="377"/>
      <c r="HV87" s="373"/>
      <c r="HW87" s="444"/>
      <c r="HX87" s="377">
        <v>1</v>
      </c>
      <c r="HY87" s="373"/>
      <c r="HZ87" s="444">
        <v>100</v>
      </c>
      <c r="IA87" s="377">
        <v>3</v>
      </c>
      <c r="IB87" s="373"/>
      <c r="IC87" s="444">
        <v>100</v>
      </c>
      <c r="ID87" s="377">
        <v>3</v>
      </c>
      <c r="IE87" s="373"/>
      <c r="IF87" s="444">
        <v>100</v>
      </c>
      <c r="IG87" s="377"/>
      <c r="IH87" s="373"/>
      <c r="II87" s="444"/>
      <c r="IJ87" s="377">
        <v>3</v>
      </c>
      <c r="IK87" s="373">
        <v>2</v>
      </c>
      <c r="IL87" s="444">
        <v>60</v>
      </c>
      <c r="IM87" s="377"/>
      <c r="IN87" s="373">
        <v>3</v>
      </c>
      <c r="IO87" s="444">
        <v>0</v>
      </c>
      <c r="IP87" s="377">
        <v>5</v>
      </c>
      <c r="IQ87" s="373">
        <v>3</v>
      </c>
      <c r="IR87" s="444">
        <v>62.5</v>
      </c>
      <c r="IS87" s="377"/>
      <c r="IT87" s="373"/>
      <c r="IU87" s="444"/>
      <c r="IV87" s="377">
        <v>147</v>
      </c>
      <c r="IW87" s="373">
        <v>590</v>
      </c>
      <c r="IX87" s="444">
        <v>19.899999999999999</v>
      </c>
      <c r="IY87" s="377">
        <v>161</v>
      </c>
      <c r="IZ87" s="373">
        <v>391</v>
      </c>
      <c r="JA87" s="444">
        <v>29.2</v>
      </c>
      <c r="JB87" s="377">
        <v>152</v>
      </c>
      <c r="JC87" s="373">
        <v>291</v>
      </c>
      <c r="JD87" s="444">
        <v>34.299999999999997</v>
      </c>
      <c r="JE87" s="377"/>
      <c r="JF87" s="373"/>
      <c r="JG87" s="444"/>
      <c r="JH87" s="377">
        <v>20</v>
      </c>
      <c r="JI87" s="373">
        <v>115</v>
      </c>
      <c r="JJ87" s="444">
        <v>14.8</v>
      </c>
      <c r="JK87" s="377">
        <v>35</v>
      </c>
      <c r="JL87" s="373">
        <v>69</v>
      </c>
      <c r="JM87" s="444">
        <v>33.700000000000003</v>
      </c>
      <c r="JN87" s="377">
        <v>34</v>
      </c>
      <c r="JO87" s="373">
        <v>14</v>
      </c>
      <c r="JP87" s="444">
        <v>70.8</v>
      </c>
      <c r="JQ87" s="377"/>
      <c r="JR87" s="373"/>
      <c r="JS87" s="444"/>
      <c r="JT87" s="377">
        <v>1</v>
      </c>
      <c r="JU87" s="373">
        <v>1</v>
      </c>
      <c r="JV87" s="444">
        <v>50</v>
      </c>
      <c r="JW87" s="377">
        <v>4</v>
      </c>
      <c r="JX87" s="373">
        <v>1</v>
      </c>
      <c r="JY87" s="444">
        <v>80</v>
      </c>
      <c r="JZ87" s="377"/>
      <c r="KA87" s="373"/>
      <c r="KB87" s="444" t="s">
        <v>6</v>
      </c>
      <c r="KC87" s="377"/>
      <c r="KD87" s="373"/>
      <c r="KE87" s="444"/>
      <c r="KF87" s="377">
        <v>2</v>
      </c>
      <c r="KG87" s="373"/>
      <c r="KH87" s="444">
        <v>100</v>
      </c>
      <c r="KI87" s="377"/>
      <c r="KJ87" s="373"/>
      <c r="KK87" s="444" t="s">
        <v>6</v>
      </c>
      <c r="KL87" s="377">
        <v>1</v>
      </c>
      <c r="KM87" s="373"/>
      <c r="KN87" s="444">
        <v>100</v>
      </c>
      <c r="KO87" s="377"/>
      <c r="KP87" s="373"/>
      <c r="KQ87" s="444"/>
      <c r="KR87" s="377">
        <v>31</v>
      </c>
      <c r="KS87" s="373">
        <v>118</v>
      </c>
      <c r="KT87" s="444">
        <v>20.8</v>
      </c>
      <c r="KU87" s="377">
        <v>69</v>
      </c>
      <c r="KV87" s="373">
        <v>80</v>
      </c>
      <c r="KW87" s="444">
        <v>46.3</v>
      </c>
      <c r="KX87" s="377">
        <v>39</v>
      </c>
      <c r="KY87" s="373">
        <v>18</v>
      </c>
      <c r="KZ87" s="444">
        <v>68.400000000000006</v>
      </c>
      <c r="LA87" s="377"/>
      <c r="LB87" s="373"/>
      <c r="LC87" s="444"/>
      <c r="LD87" s="377">
        <v>258</v>
      </c>
      <c r="LE87" s="373">
        <v>664</v>
      </c>
      <c r="LF87" s="444">
        <v>28</v>
      </c>
      <c r="LG87" s="377">
        <v>313</v>
      </c>
      <c r="LH87" s="373">
        <v>481</v>
      </c>
      <c r="LI87" s="444">
        <v>39.4</v>
      </c>
      <c r="LJ87" s="377">
        <v>266</v>
      </c>
      <c r="LK87" s="373">
        <v>355</v>
      </c>
      <c r="LL87" s="444">
        <v>42.8</v>
      </c>
      <c r="LM87" s="377"/>
      <c r="LN87" s="373"/>
      <c r="LO87" s="444"/>
    </row>
    <row r="88" spans="1:327" ht="13.5" thickBot="1" x14ac:dyDescent="0.25">
      <c r="A88" s="1001"/>
      <c r="B88" s="748"/>
      <c r="C88" s="156" t="s">
        <v>693</v>
      </c>
      <c r="D88" s="377"/>
      <c r="E88" s="373"/>
      <c r="F88" s="444" t="s">
        <v>6</v>
      </c>
      <c r="G88" s="377"/>
      <c r="H88" s="373"/>
      <c r="I88" s="444" t="s">
        <v>6</v>
      </c>
      <c r="J88" s="377"/>
      <c r="K88" s="373"/>
      <c r="L88" s="444" t="s">
        <v>6</v>
      </c>
      <c r="M88" s="377"/>
      <c r="N88" s="373"/>
      <c r="O88" s="444"/>
      <c r="P88" s="377"/>
      <c r="Q88" s="373"/>
      <c r="R88" s="444" t="s">
        <v>6</v>
      </c>
      <c r="S88" s="377"/>
      <c r="T88" s="373"/>
      <c r="U88" s="444" t="s">
        <v>6</v>
      </c>
      <c r="V88" s="377"/>
      <c r="W88" s="373"/>
      <c r="X88" s="444" t="s">
        <v>6</v>
      </c>
      <c r="Y88" s="377"/>
      <c r="Z88" s="373"/>
      <c r="AA88" s="444"/>
      <c r="AB88" s="377"/>
      <c r="AC88" s="373"/>
      <c r="AD88" s="444" t="s">
        <v>6</v>
      </c>
      <c r="AE88" s="377"/>
      <c r="AF88" s="373"/>
      <c r="AG88" s="444" t="s">
        <v>6</v>
      </c>
      <c r="AH88" s="377"/>
      <c r="AI88" s="373"/>
      <c r="AJ88" s="444" t="s">
        <v>6</v>
      </c>
      <c r="AK88" s="377"/>
      <c r="AL88" s="373"/>
      <c r="AM88" s="444"/>
      <c r="AN88" s="377">
        <v>34</v>
      </c>
      <c r="AO88" s="373">
        <v>18</v>
      </c>
      <c r="AP88" s="444">
        <v>65.400000000000006</v>
      </c>
      <c r="AQ88" s="377">
        <v>37</v>
      </c>
      <c r="AR88" s="373">
        <v>5</v>
      </c>
      <c r="AS88" s="444">
        <v>88.1</v>
      </c>
      <c r="AT88" s="377">
        <v>36</v>
      </c>
      <c r="AU88" s="373">
        <v>10</v>
      </c>
      <c r="AV88" s="444">
        <v>78.3</v>
      </c>
      <c r="AW88" s="377"/>
      <c r="AX88" s="373"/>
      <c r="AY88" s="444"/>
      <c r="AZ88" s="377">
        <v>23</v>
      </c>
      <c r="BA88" s="373">
        <v>18</v>
      </c>
      <c r="BB88" s="444">
        <v>56.1</v>
      </c>
      <c r="BC88" s="377">
        <v>26</v>
      </c>
      <c r="BD88" s="373">
        <v>5</v>
      </c>
      <c r="BE88" s="444">
        <v>83.9</v>
      </c>
      <c r="BF88" s="377">
        <v>27</v>
      </c>
      <c r="BG88" s="373">
        <v>10</v>
      </c>
      <c r="BH88" s="444">
        <v>73</v>
      </c>
      <c r="BI88" s="377"/>
      <c r="BJ88" s="373"/>
      <c r="BK88" s="444"/>
      <c r="BL88" s="377"/>
      <c r="BM88" s="373"/>
      <c r="BN88" s="444" t="s">
        <v>6</v>
      </c>
      <c r="BO88" s="377"/>
      <c r="BP88" s="373"/>
      <c r="BQ88" s="444" t="s">
        <v>6</v>
      </c>
      <c r="BR88" s="377"/>
      <c r="BS88" s="373"/>
      <c r="BT88" s="444" t="s">
        <v>6</v>
      </c>
      <c r="BU88" s="377"/>
      <c r="BV88" s="373"/>
      <c r="BW88" s="444"/>
      <c r="BX88" s="377"/>
      <c r="BY88" s="373"/>
      <c r="BZ88" s="444" t="s">
        <v>6</v>
      </c>
      <c r="CA88" s="377"/>
      <c r="CB88" s="373"/>
      <c r="CC88" s="444" t="s">
        <v>6</v>
      </c>
      <c r="CD88" s="377"/>
      <c r="CE88" s="373"/>
      <c r="CF88" s="444" t="s">
        <v>6</v>
      </c>
      <c r="CG88" s="377"/>
      <c r="CH88" s="373"/>
      <c r="CI88" s="444"/>
      <c r="CJ88" s="377"/>
      <c r="CK88" s="373"/>
      <c r="CL88" s="444" t="s">
        <v>6</v>
      </c>
      <c r="CM88" s="377"/>
      <c r="CN88" s="373"/>
      <c r="CO88" s="444" t="s">
        <v>6</v>
      </c>
      <c r="CP88" s="377"/>
      <c r="CQ88" s="373"/>
      <c r="CR88" s="444" t="s">
        <v>6</v>
      </c>
      <c r="CS88" s="377"/>
      <c r="CT88" s="373"/>
      <c r="CU88" s="444"/>
      <c r="CV88" s="377">
        <v>28</v>
      </c>
      <c r="CW88" s="373">
        <v>33</v>
      </c>
      <c r="CX88" s="444">
        <v>45.9</v>
      </c>
      <c r="CY88" s="377">
        <v>39</v>
      </c>
      <c r="CZ88" s="373">
        <v>20</v>
      </c>
      <c r="DA88" s="444">
        <v>66.099999999999994</v>
      </c>
      <c r="DB88" s="377">
        <v>40</v>
      </c>
      <c r="DC88" s="373">
        <v>24</v>
      </c>
      <c r="DD88" s="444">
        <v>62.5</v>
      </c>
      <c r="DE88" s="377"/>
      <c r="DF88" s="373"/>
      <c r="DG88" s="444"/>
      <c r="DH88" s="377"/>
      <c r="DI88" s="373"/>
      <c r="DJ88" s="444" t="s">
        <v>6</v>
      </c>
      <c r="DK88" s="377">
        <v>3</v>
      </c>
      <c r="DL88" s="373"/>
      <c r="DM88" s="444">
        <v>100</v>
      </c>
      <c r="DN88" s="377"/>
      <c r="DO88" s="373"/>
      <c r="DP88" s="444" t="s">
        <v>6</v>
      </c>
      <c r="DQ88" s="377"/>
      <c r="DR88" s="373"/>
      <c r="DS88" s="444"/>
      <c r="DT88" s="377">
        <v>7</v>
      </c>
      <c r="DU88" s="373"/>
      <c r="DV88" s="444">
        <v>100</v>
      </c>
      <c r="DW88" s="377">
        <v>4</v>
      </c>
      <c r="DX88" s="373"/>
      <c r="DY88" s="444">
        <v>100</v>
      </c>
      <c r="DZ88" s="377">
        <v>5</v>
      </c>
      <c r="EA88" s="373"/>
      <c r="EB88" s="444">
        <v>100</v>
      </c>
      <c r="EC88" s="377"/>
      <c r="ED88" s="373"/>
      <c r="EE88" s="444"/>
      <c r="EF88" s="377">
        <v>106</v>
      </c>
      <c r="EG88" s="373">
        <v>382</v>
      </c>
      <c r="EH88" s="444">
        <v>21.7</v>
      </c>
      <c r="EI88" s="377">
        <v>140</v>
      </c>
      <c r="EJ88" s="373">
        <v>294</v>
      </c>
      <c r="EK88" s="444">
        <v>32.299999999999997</v>
      </c>
      <c r="EL88" s="377">
        <v>160</v>
      </c>
      <c r="EM88" s="373">
        <v>265</v>
      </c>
      <c r="EN88" s="444">
        <v>37.6</v>
      </c>
      <c r="EO88" s="377"/>
      <c r="EP88" s="373"/>
      <c r="EQ88" s="444"/>
      <c r="ER88" s="377"/>
      <c r="ES88" s="373">
        <v>1</v>
      </c>
      <c r="ET88" s="444">
        <v>0</v>
      </c>
      <c r="EU88" s="377">
        <v>2</v>
      </c>
      <c r="EV88" s="373">
        <v>1</v>
      </c>
      <c r="EW88" s="444">
        <v>66.7</v>
      </c>
      <c r="EX88" s="377">
        <v>6</v>
      </c>
      <c r="EY88" s="373">
        <v>1</v>
      </c>
      <c r="EZ88" s="444">
        <v>85.7</v>
      </c>
      <c r="FA88" s="377"/>
      <c r="FB88" s="373"/>
      <c r="FC88" s="444"/>
      <c r="FD88" s="377">
        <v>1</v>
      </c>
      <c r="FE88" s="373">
        <v>9</v>
      </c>
      <c r="FF88" s="444">
        <v>10</v>
      </c>
      <c r="FG88" s="377">
        <v>27</v>
      </c>
      <c r="FH88" s="373">
        <v>9</v>
      </c>
      <c r="FI88" s="444">
        <v>75</v>
      </c>
      <c r="FJ88" s="377">
        <v>10</v>
      </c>
      <c r="FK88" s="373">
        <v>12</v>
      </c>
      <c r="FL88" s="444">
        <v>45.5</v>
      </c>
      <c r="FM88" s="377"/>
      <c r="FN88" s="373"/>
      <c r="FO88" s="444"/>
      <c r="FP88" s="377">
        <v>14</v>
      </c>
      <c r="FQ88" s="373">
        <v>55</v>
      </c>
      <c r="FR88" s="444">
        <v>20.3</v>
      </c>
      <c r="FS88" s="377">
        <v>4</v>
      </c>
      <c r="FT88" s="373">
        <v>18</v>
      </c>
      <c r="FU88" s="444">
        <v>18.2</v>
      </c>
      <c r="FV88" s="377">
        <v>10</v>
      </c>
      <c r="FW88" s="373">
        <v>17</v>
      </c>
      <c r="FX88" s="444">
        <v>37</v>
      </c>
      <c r="FY88" s="377"/>
      <c r="FZ88" s="373"/>
      <c r="GA88" s="444"/>
      <c r="GB88" s="377">
        <v>3</v>
      </c>
      <c r="GC88" s="373">
        <v>1</v>
      </c>
      <c r="GD88" s="444">
        <v>75</v>
      </c>
      <c r="GE88" s="377">
        <v>3</v>
      </c>
      <c r="GF88" s="373">
        <v>1</v>
      </c>
      <c r="GG88" s="444">
        <v>75</v>
      </c>
      <c r="GH88" s="377">
        <v>9</v>
      </c>
      <c r="GI88" s="373"/>
      <c r="GJ88" s="444">
        <v>100</v>
      </c>
      <c r="GK88" s="377"/>
      <c r="GL88" s="373"/>
      <c r="GM88" s="444"/>
      <c r="GN88" s="377">
        <v>1</v>
      </c>
      <c r="GO88" s="373"/>
      <c r="GP88" s="444">
        <v>100</v>
      </c>
      <c r="GQ88" s="377">
        <v>7</v>
      </c>
      <c r="GR88" s="373">
        <v>1</v>
      </c>
      <c r="GS88" s="444">
        <v>87.5</v>
      </c>
      <c r="GT88" s="377">
        <v>1</v>
      </c>
      <c r="GU88" s="373">
        <v>3</v>
      </c>
      <c r="GV88" s="444">
        <v>25</v>
      </c>
      <c r="GW88" s="377"/>
      <c r="GX88" s="373"/>
      <c r="GY88" s="444"/>
      <c r="GZ88" s="377"/>
      <c r="HA88" s="373">
        <v>1</v>
      </c>
      <c r="HB88" s="444">
        <v>0</v>
      </c>
      <c r="HC88" s="377"/>
      <c r="HD88" s="373"/>
      <c r="HE88" s="444" t="s">
        <v>6</v>
      </c>
      <c r="HF88" s="377"/>
      <c r="HG88" s="373"/>
      <c r="HH88" s="444" t="s">
        <v>6</v>
      </c>
      <c r="HI88" s="377"/>
      <c r="HJ88" s="373"/>
      <c r="HK88" s="444"/>
      <c r="HL88" s="377">
        <v>6</v>
      </c>
      <c r="HM88" s="373">
        <v>75</v>
      </c>
      <c r="HN88" s="444">
        <v>7.4</v>
      </c>
      <c r="HO88" s="377">
        <v>21</v>
      </c>
      <c r="HP88" s="373">
        <v>58</v>
      </c>
      <c r="HQ88" s="444">
        <v>26.6</v>
      </c>
      <c r="HR88" s="377">
        <v>8</v>
      </c>
      <c r="HS88" s="373">
        <v>56</v>
      </c>
      <c r="HT88" s="444">
        <v>12.5</v>
      </c>
      <c r="HU88" s="377"/>
      <c r="HV88" s="373"/>
      <c r="HW88" s="444"/>
      <c r="HX88" s="377">
        <v>3</v>
      </c>
      <c r="HY88" s="373">
        <v>1</v>
      </c>
      <c r="HZ88" s="444">
        <v>75</v>
      </c>
      <c r="IA88" s="377">
        <v>2</v>
      </c>
      <c r="IB88" s="373"/>
      <c r="IC88" s="444">
        <v>100</v>
      </c>
      <c r="ID88" s="377">
        <v>4</v>
      </c>
      <c r="IE88" s="373"/>
      <c r="IF88" s="444">
        <v>100</v>
      </c>
      <c r="IG88" s="377"/>
      <c r="IH88" s="373"/>
      <c r="II88" s="444"/>
      <c r="IJ88" s="377">
        <v>1</v>
      </c>
      <c r="IK88" s="373">
        <v>3</v>
      </c>
      <c r="IL88" s="444">
        <v>25</v>
      </c>
      <c r="IM88" s="377"/>
      <c r="IN88" s="373">
        <v>3</v>
      </c>
      <c r="IO88" s="444">
        <v>0</v>
      </c>
      <c r="IP88" s="377">
        <v>2</v>
      </c>
      <c r="IQ88" s="373"/>
      <c r="IR88" s="444">
        <v>100</v>
      </c>
      <c r="IS88" s="377"/>
      <c r="IT88" s="373"/>
      <c r="IU88" s="444"/>
      <c r="IV88" s="377">
        <v>189</v>
      </c>
      <c r="IW88" s="373">
        <v>514</v>
      </c>
      <c r="IX88" s="444">
        <v>26.9</v>
      </c>
      <c r="IY88" s="377">
        <v>256</v>
      </c>
      <c r="IZ88" s="373">
        <v>382</v>
      </c>
      <c r="JA88" s="444">
        <v>40.1</v>
      </c>
      <c r="JB88" s="377">
        <v>265</v>
      </c>
      <c r="JC88" s="373">
        <v>358</v>
      </c>
      <c r="JD88" s="444">
        <v>42.5</v>
      </c>
      <c r="JE88" s="377"/>
      <c r="JF88" s="373"/>
      <c r="JG88" s="444"/>
      <c r="JH88" s="377">
        <v>51</v>
      </c>
      <c r="JI88" s="373">
        <v>114</v>
      </c>
      <c r="JJ88" s="444">
        <v>30.9</v>
      </c>
      <c r="JK88" s="377">
        <v>91</v>
      </c>
      <c r="JL88" s="373">
        <v>79</v>
      </c>
      <c r="JM88" s="444">
        <v>53.5</v>
      </c>
      <c r="JN88" s="377">
        <v>85</v>
      </c>
      <c r="JO88" s="373">
        <v>59</v>
      </c>
      <c r="JP88" s="444">
        <v>59</v>
      </c>
      <c r="JQ88" s="377"/>
      <c r="JR88" s="373"/>
      <c r="JS88" s="444"/>
      <c r="JT88" s="377">
        <v>2</v>
      </c>
      <c r="JU88" s="373"/>
      <c r="JV88" s="444">
        <v>100</v>
      </c>
      <c r="JW88" s="377">
        <v>4</v>
      </c>
      <c r="JX88" s="373"/>
      <c r="JY88" s="444">
        <v>100</v>
      </c>
      <c r="JZ88" s="377">
        <v>5</v>
      </c>
      <c r="KA88" s="373">
        <v>5</v>
      </c>
      <c r="KB88" s="444">
        <v>50</v>
      </c>
      <c r="KC88" s="377"/>
      <c r="KD88" s="373"/>
      <c r="KE88" s="444"/>
      <c r="KF88" s="377">
        <v>4</v>
      </c>
      <c r="KG88" s="373"/>
      <c r="KH88" s="444">
        <v>100</v>
      </c>
      <c r="KI88" s="377">
        <v>2</v>
      </c>
      <c r="KJ88" s="373"/>
      <c r="KK88" s="444">
        <v>100</v>
      </c>
      <c r="KL88" s="377">
        <v>5</v>
      </c>
      <c r="KM88" s="373"/>
      <c r="KN88" s="444">
        <v>100</v>
      </c>
      <c r="KO88" s="377"/>
      <c r="KP88" s="373"/>
      <c r="KQ88" s="444"/>
      <c r="KR88" s="377">
        <v>121</v>
      </c>
      <c r="KS88" s="373">
        <v>122</v>
      </c>
      <c r="KT88" s="444">
        <v>49.8</v>
      </c>
      <c r="KU88" s="377">
        <v>128</v>
      </c>
      <c r="KV88" s="373">
        <v>87</v>
      </c>
      <c r="KW88" s="444">
        <v>59.5</v>
      </c>
      <c r="KX88" s="377">
        <v>164</v>
      </c>
      <c r="KY88" s="373">
        <v>72</v>
      </c>
      <c r="KZ88" s="444">
        <v>69.5</v>
      </c>
      <c r="LA88" s="377"/>
      <c r="LB88" s="373"/>
      <c r="LC88" s="444"/>
      <c r="LD88" s="377">
        <v>432</v>
      </c>
      <c r="LE88" s="373">
        <v>629</v>
      </c>
      <c r="LF88" s="444">
        <v>40.700000000000003</v>
      </c>
      <c r="LG88" s="377">
        <v>481</v>
      </c>
      <c r="LH88" s="373">
        <v>507</v>
      </c>
      <c r="LI88" s="444">
        <v>48.7</v>
      </c>
      <c r="LJ88" s="377">
        <v>478</v>
      </c>
      <c r="LK88" s="373">
        <v>506</v>
      </c>
      <c r="LL88" s="444">
        <v>48.6</v>
      </c>
      <c r="LM88" s="377"/>
      <c r="LN88" s="373"/>
      <c r="LO88" s="444"/>
    </row>
    <row r="89" spans="1:327" s="259" customFormat="1" ht="26.25" thickBot="1" x14ac:dyDescent="0.25">
      <c r="A89" s="1002"/>
      <c r="B89" s="751"/>
      <c r="C89" s="189" t="s">
        <v>779</v>
      </c>
      <c r="D89" s="384">
        <v>3</v>
      </c>
      <c r="E89" s="385"/>
      <c r="F89" s="451">
        <v>100</v>
      </c>
      <c r="G89" s="384">
        <v>3</v>
      </c>
      <c r="H89" s="385"/>
      <c r="I89" s="451">
        <v>100</v>
      </c>
      <c r="J89" s="384">
        <v>4</v>
      </c>
      <c r="K89" s="385"/>
      <c r="L89" s="451">
        <v>100</v>
      </c>
      <c r="M89" s="384"/>
      <c r="N89" s="385"/>
      <c r="O89" s="451"/>
      <c r="P89" s="384">
        <v>2</v>
      </c>
      <c r="Q89" s="385"/>
      <c r="R89" s="451">
        <v>100</v>
      </c>
      <c r="S89" s="384">
        <v>1</v>
      </c>
      <c r="T89" s="385"/>
      <c r="U89" s="451">
        <v>100</v>
      </c>
      <c r="V89" s="384">
        <v>3</v>
      </c>
      <c r="W89" s="385"/>
      <c r="X89" s="451">
        <v>100</v>
      </c>
      <c r="Y89" s="384"/>
      <c r="Z89" s="385"/>
      <c r="AA89" s="451"/>
      <c r="AB89" s="384">
        <v>1</v>
      </c>
      <c r="AC89" s="385"/>
      <c r="AD89" s="451">
        <v>100</v>
      </c>
      <c r="AE89" s="384">
        <v>1</v>
      </c>
      <c r="AF89" s="385"/>
      <c r="AG89" s="451">
        <v>100</v>
      </c>
      <c r="AH89" s="384">
        <v>1</v>
      </c>
      <c r="AI89" s="385"/>
      <c r="AJ89" s="451">
        <v>100</v>
      </c>
      <c r="AK89" s="384"/>
      <c r="AL89" s="385"/>
      <c r="AM89" s="451"/>
      <c r="AN89" s="384">
        <v>91</v>
      </c>
      <c r="AO89" s="385">
        <v>47</v>
      </c>
      <c r="AP89" s="451">
        <v>65.900000000000006</v>
      </c>
      <c r="AQ89" s="384">
        <v>121</v>
      </c>
      <c r="AR89" s="385">
        <v>46</v>
      </c>
      <c r="AS89" s="451">
        <v>72.5</v>
      </c>
      <c r="AT89" s="384">
        <v>122</v>
      </c>
      <c r="AU89" s="385">
        <v>37</v>
      </c>
      <c r="AV89" s="451">
        <v>76.7</v>
      </c>
      <c r="AW89" s="384"/>
      <c r="AX89" s="385"/>
      <c r="AY89" s="451"/>
      <c r="AZ89" s="384">
        <v>61</v>
      </c>
      <c r="BA89" s="385">
        <v>44</v>
      </c>
      <c r="BB89" s="451">
        <v>58.1</v>
      </c>
      <c r="BC89" s="384">
        <v>76</v>
      </c>
      <c r="BD89" s="385">
        <v>43</v>
      </c>
      <c r="BE89" s="451">
        <v>63.9</v>
      </c>
      <c r="BF89" s="384">
        <v>88</v>
      </c>
      <c r="BG89" s="385">
        <v>32</v>
      </c>
      <c r="BH89" s="451">
        <v>73.3</v>
      </c>
      <c r="BI89" s="384"/>
      <c r="BJ89" s="385"/>
      <c r="BK89" s="451"/>
      <c r="BL89" s="384"/>
      <c r="BM89" s="385"/>
      <c r="BN89" s="451" t="s">
        <v>6</v>
      </c>
      <c r="BO89" s="384"/>
      <c r="BP89" s="385"/>
      <c r="BQ89" s="451" t="s">
        <v>6</v>
      </c>
      <c r="BR89" s="384"/>
      <c r="BS89" s="385"/>
      <c r="BT89" s="451" t="s">
        <v>6</v>
      </c>
      <c r="BU89" s="384"/>
      <c r="BV89" s="385"/>
      <c r="BW89" s="451"/>
      <c r="BX89" s="384"/>
      <c r="BY89" s="385">
        <v>1</v>
      </c>
      <c r="BZ89" s="451">
        <v>0</v>
      </c>
      <c r="CA89" s="384">
        <v>1</v>
      </c>
      <c r="CB89" s="385"/>
      <c r="CC89" s="451">
        <v>100</v>
      </c>
      <c r="CD89" s="384"/>
      <c r="CE89" s="385"/>
      <c r="CF89" s="451" t="s">
        <v>6</v>
      </c>
      <c r="CG89" s="384"/>
      <c r="CH89" s="385"/>
      <c r="CI89" s="451"/>
      <c r="CJ89" s="384">
        <v>2</v>
      </c>
      <c r="CK89" s="385">
        <v>4</v>
      </c>
      <c r="CL89" s="451">
        <v>33.299999999999997</v>
      </c>
      <c r="CM89" s="384">
        <v>2</v>
      </c>
      <c r="CN89" s="385">
        <v>1</v>
      </c>
      <c r="CO89" s="451">
        <v>66.7</v>
      </c>
      <c r="CP89" s="384">
        <v>4</v>
      </c>
      <c r="CQ89" s="385"/>
      <c r="CR89" s="451">
        <v>100</v>
      </c>
      <c r="CS89" s="384"/>
      <c r="CT89" s="385"/>
      <c r="CU89" s="451"/>
      <c r="CV89" s="384">
        <v>83</v>
      </c>
      <c r="CW89" s="385">
        <v>66</v>
      </c>
      <c r="CX89" s="451">
        <v>55.7</v>
      </c>
      <c r="CY89" s="384">
        <v>128</v>
      </c>
      <c r="CZ89" s="385">
        <v>38</v>
      </c>
      <c r="DA89" s="451">
        <v>77.099999999999994</v>
      </c>
      <c r="DB89" s="384">
        <v>119</v>
      </c>
      <c r="DC89" s="385">
        <v>49</v>
      </c>
      <c r="DD89" s="451">
        <v>70.8</v>
      </c>
      <c r="DE89" s="384"/>
      <c r="DF89" s="385"/>
      <c r="DG89" s="451"/>
      <c r="DH89" s="384">
        <v>2</v>
      </c>
      <c r="DI89" s="385">
        <v>1</v>
      </c>
      <c r="DJ89" s="451">
        <v>66.7</v>
      </c>
      <c r="DK89" s="384">
        <v>5</v>
      </c>
      <c r="DL89" s="385"/>
      <c r="DM89" s="451">
        <v>100</v>
      </c>
      <c r="DN89" s="384">
        <v>6</v>
      </c>
      <c r="DO89" s="385"/>
      <c r="DP89" s="451">
        <v>100</v>
      </c>
      <c r="DQ89" s="384"/>
      <c r="DR89" s="385"/>
      <c r="DS89" s="451"/>
      <c r="DT89" s="384">
        <v>16</v>
      </c>
      <c r="DU89" s="385"/>
      <c r="DV89" s="451">
        <v>100</v>
      </c>
      <c r="DW89" s="384">
        <v>14</v>
      </c>
      <c r="DX89" s="385"/>
      <c r="DY89" s="451">
        <v>100</v>
      </c>
      <c r="DZ89" s="384">
        <v>10</v>
      </c>
      <c r="EA89" s="385">
        <v>2</v>
      </c>
      <c r="EB89" s="451">
        <v>83.3</v>
      </c>
      <c r="EC89" s="384"/>
      <c r="ED89" s="385"/>
      <c r="EE89" s="451"/>
      <c r="EF89" s="384">
        <v>553</v>
      </c>
      <c r="EG89" s="385">
        <v>2877</v>
      </c>
      <c r="EH89" s="451">
        <v>16.100000000000001</v>
      </c>
      <c r="EI89" s="384">
        <v>689</v>
      </c>
      <c r="EJ89" s="385">
        <v>2072</v>
      </c>
      <c r="EK89" s="451">
        <v>25</v>
      </c>
      <c r="EL89" s="384">
        <v>681</v>
      </c>
      <c r="EM89" s="385">
        <v>1553</v>
      </c>
      <c r="EN89" s="451">
        <v>30.5</v>
      </c>
      <c r="EO89" s="384"/>
      <c r="EP89" s="385"/>
      <c r="EQ89" s="451"/>
      <c r="ER89" s="384">
        <v>2</v>
      </c>
      <c r="ES89" s="385">
        <v>22</v>
      </c>
      <c r="ET89" s="451">
        <v>8.3000000000000007</v>
      </c>
      <c r="EU89" s="384">
        <v>13</v>
      </c>
      <c r="EV89" s="385">
        <v>11</v>
      </c>
      <c r="EW89" s="451">
        <v>54.2</v>
      </c>
      <c r="EX89" s="384">
        <v>20</v>
      </c>
      <c r="EY89" s="385">
        <v>4</v>
      </c>
      <c r="EZ89" s="451">
        <v>83.3</v>
      </c>
      <c r="FA89" s="384"/>
      <c r="FB89" s="385"/>
      <c r="FC89" s="451"/>
      <c r="FD89" s="384">
        <v>6</v>
      </c>
      <c r="FE89" s="385">
        <v>166</v>
      </c>
      <c r="FF89" s="451">
        <v>3.5</v>
      </c>
      <c r="FG89" s="384">
        <v>41</v>
      </c>
      <c r="FH89" s="385">
        <v>109</v>
      </c>
      <c r="FI89" s="451">
        <v>27.3</v>
      </c>
      <c r="FJ89" s="384">
        <v>24</v>
      </c>
      <c r="FK89" s="385">
        <v>71</v>
      </c>
      <c r="FL89" s="451">
        <v>25.3</v>
      </c>
      <c r="FM89" s="384"/>
      <c r="FN89" s="385"/>
      <c r="FO89" s="451"/>
      <c r="FP89" s="384">
        <v>90</v>
      </c>
      <c r="FQ89" s="385">
        <v>338</v>
      </c>
      <c r="FR89" s="451">
        <v>21</v>
      </c>
      <c r="FS89" s="384">
        <v>72</v>
      </c>
      <c r="FT89" s="385">
        <v>257</v>
      </c>
      <c r="FU89" s="451">
        <v>21.9</v>
      </c>
      <c r="FV89" s="384">
        <v>105</v>
      </c>
      <c r="FW89" s="385">
        <v>178</v>
      </c>
      <c r="FX89" s="451">
        <v>37.1</v>
      </c>
      <c r="FY89" s="384"/>
      <c r="FZ89" s="385"/>
      <c r="GA89" s="451"/>
      <c r="GB89" s="384">
        <v>27</v>
      </c>
      <c r="GC89" s="385">
        <v>18</v>
      </c>
      <c r="GD89" s="451">
        <v>60</v>
      </c>
      <c r="GE89" s="384">
        <v>13</v>
      </c>
      <c r="GF89" s="385">
        <v>5</v>
      </c>
      <c r="GG89" s="451">
        <v>72.2</v>
      </c>
      <c r="GH89" s="384">
        <v>25</v>
      </c>
      <c r="GI89" s="385">
        <v>6</v>
      </c>
      <c r="GJ89" s="451">
        <v>80.599999999999994</v>
      </c>
      <c r="GK89" s="384"/>
      <c r="GL89" s="385"/>
      <c r="GM89" s="451"/>
      <c r="GN89" s="384">
        <v>14</v>
      </c>
      <c r="GO89" s="385">
        <v>7</v>
      </c>
      <c r="GP89" s="451">
        <v>66.7</v>
      </c>
      <c r="GQ89" s="384">
        <v>20</v>
      </c>
      <c r="GR89" s="385">
        <v>20</v>
      </c>
      <c r="GS89" s="451">
        <v>50</v>
      </c>
      <c r="GT89" s="384">
        <v>5</v>
      </c>
      <c r="GU89" s="385">
        <v>12</v>
      </c>
      <c r="GV89" s="451">
        <v>29.4</v>
      </c>
      <c r="GW89" s="384"/>
      <c r="GX89" s="385"/>
      <c r="GY89" s="451"/>
      <c r="GZ89" s="384">
        <v>1</v>
      </c>
      <c r="HA89" s="385">
        <v>4</v>
      </c>
      <c r="HB89" s="451">
        <v>20</v>
      </c>
      <c r="HC89" s="384"/>
      <c r="HD89" s="385">
        <v>2</v>
      </c>
      <c r="HE89" s="451">
        <v>0</v>
      </c>
      <c r="HF89" s="384">
        <v>2</v>
      </c>
      <c r="HG89" s="385"/>
      <c r="HH89" s="451">
        <v>100</v>
      </c>
      <c r="HI89" s="384"/>
      <c r="HJ89" s="385"/>
      <c r="HK89" s="451"/>
      <c r="HL89" s="384">
        <v>27</v>
      </c>
      <c r="HM89" s="385">
        <v>281</v>
      </c>
      <c r="HN89" s="451">
        <v>8.8000000000000007</v>
      </c>
      <c r="HO89" s="384">
        <v>50</v>
      </c>
      <c r="HP89" s="385">
        <v>189</v>
      </c>
      <c r="HQ89" s="451">
        <v>20.9</v>
      </c>
      <c r="HR89" s="384">
        <v>53</v>
      </c>
      <c r="HS89" s="385">
        <v>188</v>
      </c>
      <c r="HT89" s="451">
        <v>22</v>
      </c>
      <c r="HU89" s="384"/>
      <c r="HV89" s="385"/>
      <c r="HW89" s="451"/>
      <c r="HX89" s="384">
        <v>19</v>
      </c>
      <c r="HY89" s="385">
        <v>2</v>
      </c>
      <c r="HZ89" s="451">
        <v>90.5</v>
      </c>
      <c r="IA89" s="384">
        <v>16</v>
      </c>
      <c r="IB89" s="385"/>
      <c r="IC89" s="451">
        <v>100</v>
      </c>
      <c r="ID89" s="384">
        <v>10</v>
      </c>
      <c r="IE89" s="385">
        <v>1</v>
      </c>
      <c r="IF89" s="451">
        <v>90.9</v>
      </c>
      <c r="IG89" s="384"/>
      <c r="IH89" s="385"/>
      <c r="II89" s="451"/>
      <c r="IJ89" s="384">
        <v>10</v>
      </c>
      <c r="IK89" s="385">
        <v>15</v>
      </c>
      <c r="IL89" s="451">
        <v>40</v>
      </c>
      <c r="IM89" s="384">
        <v>10</v>
      </c>
      <c r="IN89" s="385">
        <v>17</v>
      </c>
      <c r="IO89" s="451">
        <v>37</v>
      </c>
      <c r="IP89" s="384">
        <v>20</v>
      </c>
      <c r="IQ89" s="385">
        <v>10</v>
      </c>
      <c r="IR89" s="451">
        <v>66.7</v>
      </c>
      <c r="IS89" s="384"/>
      <c r="IT89" s="385"/>
      <c r="IU89" s="451"/>
      <c r="IV89" s="384">
        <v>848</v>
      </c>
      <c r="IW89" s="385">
        <v>3323</v>
      </c>
      <c r="IX89" s="451">
        <v>20.3</v>
      </c>
      <c r="IY89" s="384">
        <v>1072</v>
      </c>
      <c r="IZ89" s="385">
        <v>2390</v>
      </c>
      <c r="JA89" s="451">
        <v>31</v>
      </c>
      <c r="JB89" s="384">
        <v>1061</v>
      </c>
      <c r="JC89" s="385">
        <v>1858</v>
      </c>
      <c r="JD89" s="451">
        <v>36.299999999999997</v>
      </c>
      <c r="JE89" s="384"/>
      <c r="JF89" s="385"/>
      <c r="JG89" s="451"/>
      <c r="JH89" s="384">
        <v>180</v>
      </c>
      <c r="JI89" s="385">
        <v>653</v>
      </c>
      <c r="JJ89" s="451">
        <v>21.6</v>
      </c>
      <c r="JK89" s="384">
        <v>285</v>
      </c>
      <c r="JL89" s="385">
        <v>326</v>
      </c>
      <c r="JM89" s="451">
        <v>46.6</v>
      </c>
      <c r="JN89" s="384">
        <v>234</v>
      </c>
      <c r="JO89" s="385">
        <v>195</v>
      </c>
      <c r="JP89" s="451">
        <v>54.5</v>
      </c>
      <c r="JQ89" s="384"/>
      <c r="JR89" s="385"/>
      <c r="JS89" s="451"/>
      <c r="JT89" s="384">
        <v>7</v>
      </c>
      <c r="JU89" s="385">
        <v>6</v>
      </c>
      <c r="JV89" s="451">
        <v>53.8</v>
      </c>
      <c r="JW89" s="384">
        <v>13</v>
      </c>
      <c r="JX89" s="385">
        <v>5</v>
      </c>
      <c r="JY89" s="451">
        <v>72.2</v>
      </c>
      <c r="JZ89" s="384">
        <v>18</v>
      </c>
      <c r="KA89" s="385">
        <v>7</v>
      </c>
      <c r="KB89" s="451">
        <v>72</v>
      </c>
      <c r="KC89" s="384"/>
      <c r="KD89" s="385"/>
      <c r="KE89" s="451"/>
      <c r="KF89" s="384">
        <v>11</v>
      </c>
      <c r="KG89" s="385">
        <v>3</v>
      </c>
      <c r="KH89" s="451">
        <v>78.599999999999994</v>
      </c>
      <c r="KI89" s="384">
        <v>7</v>
      </c>
      <c r="KJ89" s="385">
        <v>3</v>
      </c>
      <c r="KK89" s="451">
        <v>70</v>
      </c>
      <c r="KL89" s="384">
        <v>10</v>
      </c>
      <c r="KM89" s="385">
        <v>2</v>
      </c>
      <c r="KN89" s="451">
        <v>83.3</v>
      </c>
      <c r="KO89" s="384"/>
      <c r="KP89" s="385"/>
      <c r="KQ89" s="451"/>
      <c r="KR89" s="384">
        <v>299</v>
      </c>
      <c r="KS89" s="385">
        <v>689</v>
      </c>
      <c r="KT89" s="451">
        <v>30.3</v>
      </c>
      <c r="KU89" s="384">
        <v>407</v>
      </c>
      <c r="KV89" s="385">
        <v>363</v>
      </c>
      <c r="KW89" s="451">
        <v>52.9</v>
      </c>
      <c r="KX89" s="384">
        <v>362</v>
      </c>
      <c r="KY89" s="385">
        <v>234</v>
      </c>
      <c r="KZ89" s="451">
        <v>60.7</v>
      </c>
      <c r="LA89" s="384"/>
      <c r="LB89" s="385"/>
      <c r="LC89" s="451"/>
      <c r="LD89" s="384">
        <v>2359</v>
      </c>
      <c r="LE89" s="385">
        <v>3871</v>
      </c>
      <c r="LF89" s="451">
        <v>37.9</v>
      </c>
      <c r="LG89" s="384">
        <v>2408</v>
      </c>
      <c r="LH89" s="385">
        <v>2935</v>
      </c>
      <c r="LI89" s="451">
        <v>45.1</v>
      </c>
      <c r="LJ89" s="384">
        <v>1921</v>
      </c>
      <c r="LK89" s="385">
        <v>2348</v>
      </c>
      <c r="LL89" s="451">
        <v>45</v>
      </c>
      <c r="LM89" s="384"/>
      <c r="LN89" s="385"/>
      <c r="LO89" s="451"/>
    </row>
    <row r="90" spans="1:327" x14ac:dyDescent="0.2">
      <c r="A90" s="1000" t="s">
        <v>589</v>
      </c>
      <c r="B90" s="749"/>
      <c r="C90" s="146" t="s">
        <v>590</v>
      </c>
      <c r="D90" s="441">
        <v>5</v>
      </c>
      <c r="E90" s="442"/>
      <c r="F90" s="443">
        <v>100</v>
      </c>
      <c r="G90" s="441">
        <v>5</v>
      </c>
      <c r="H90" s="442">
        <v>1</v>
      </c>
      <c r="I90" s="443">
        <v>83.3</v>
      </c>
      <c r="J90" s="441">
        <v>6</v>
      </c>
      <c r="K90" s="442"/>
      <c r="L90" s="443">
        <v>100</v>
      </c>
      <c r="M90" s="441"/>
      <c r="N90" s="442"/>
      <c r="O90" s="443"/>
      <c r="P90" s="441">
        <v>3</v>
      </c>
      <c r="Q90" s="442"/>
      <c r="R90" s="443">
        <v>100</v>
      </c>
      <c r="S90" s="441">
        <v>1</v>
      </c>
      <c r="T90" s="442">
        <v>1</v>
      </c>
      <c r="U90" s="443">
        <v>50</v>
      </c>
      <c r="V90" s="441">
        <v>4</v>
      </c>
      <c r="W90" s="442"/>
      <c r="X90" s="443">
        <v>100</v>
      </c>
      <c r="Y90" s="441"/>
      <c r="Z90" s="442"/>
      <c r="AA90" s="443"/>
      <c r="AB90" s="441">
        <v>1</v>
      </c>
      <c r="AC90" s="442"/>
      <c r="AD90" s="443">
        <v>100</v>
      </c>
      <c r="AE90" s="441">
        <v>4</v>
      </c>
      <c r="AF90" s="442"/>
      <c r="AG90" s="443">
        <v>100</v>
      </c>
      <c r="AH90" s="441">
        <v>2</v>
      </c>
      <c r="AI90" s="442"/>
      <c r="AJ90" s="443">
        <v>100</v>
      </c>
      <c r="AK90" s="441"/>
      <c r="AL90" s="442"/>
      <c r="AM90" s="443"/>
      <c r="AN90" s="441">
        <v>13</v>
      </c>
      <c r="AO90" s="442"/>
      <c r="AP90" s="443">
        <v>100</v>
      </c>
      <c r="AQ90" s="441">
        <v>13</v>
      </c>
      <c r="AR90" s="442"/>
      <c r="AS90" s="443">
        <v>100</v>
      </c>
      <c r="AT90" s="441">
        <v>6</v>
      </c>
      <c r="AU90" s="442"/>
      <c r="AV90" s="443">
        <v>100</v>
      </c>
      <c r="AW90" s="441"/>
      <c r="AX90" s="442"/>
      <c r="AY90" s="443"/>
      <c r="AZ90" s="441">
        <v>13</v>
      </c>
      <c r="BA90" s="442"/>
      <c r="BB90" s="443">
        <v>100</v>
      </c>
      <c r="BC90" s="441">
        <v>11</v>
      </c>
      <c r="BD90" s="442"/>
      <c r="BE90" s="443">
        <v>100</v>
      </c>
      <c r="BF90" s="441">
        <v>6</v>
      </c>
      <c r="BG90" s="442"/>
      <c r="BH90" s="443">
        <v>100</v>
      </c>
      <c r="BI90" s="441"/>
      <c r="BJ90" s="442"/>
      <c r="BK90" s="443"/>
      <c r="BL90" s="441"/>
      <c r="BM90" s="442"/>
      <c r="BN90" s="443" t="s">
        <v>6</v>
      </c>
      <c r="BO90" s="441">
        <v>1</v>
      </c>
      <c r="BP90" s="442"/>
      <c r="BQ90" s="443">
        <v>100</v>
      </c>
      <c r="BR90" s="441"/>
      <c r="BS90" s="442"/>
      <c r="BT90" s="443" t="s">
        <v>6</v>
      </c>
      <c r="BU90" s="441"/>
      <c r="BV90" s="442"/>
      <c r="BW90" s="443"/>
      <c r="BX90" s="441"/>
      <c r="BY90" s="442"/>
      <c r="BZ90" s="443" t="s">
        <v>6</v>
      </c>
      <c r="CA90" s="441"/>
      <c r="CB90" s="442"/>
      <c r="CC90" s="443" t="s">
        <v>6</v>
      </c>
      <c r="CD90" s="441"/>
      <c r="CE90" s="442"/>
      <c r="CF90" s="443" t="s">
        <v>6</v>
      </c>
      <c r="CG90" s="441"/>
      <c r="CH90" s="442"/>
      <c r="CI90" s="443"/>
      <c r="CJ90" s="441"/>
      <c r="CK90" s="442">
        <v>1</v>
      </c>
      <c r="CL90" s="443">
        <v>0</v>
      </c>
      <c r="CM90" s="441"/>
      <c r="CN90" s="442"/>
      <c r="CO90" s="443" t="s">
        <v>6</v>
      </c>
      <c r="CP90" s="441">
        <v>1</v>
      </c>
      <c r="CQ90" s="442"/>
      <c r="CR90" s="443">
        <v>100</v>
      </c>
      <c r="CS90" s="441"/>
      <c r="CT90" s="442"/>
      <c r="CU90" s="443"/>
      <c r="CV90" s="441">
        <v>1</v>
      </c>
      <c r="CW90" s="442"/>
      <c r="CX90" s="443">
        <v>100</v>
      </c>
      <c r="CY90" s="441"/>
      <c r="CZ90" s="442"/>
      <c r="DA90" s="443" t="s">
        <v>6</v>
      </c>
      <c r="DB90" s="441"/>
      <c r="DC90" s="442"/>
      <c r="DD90" s="443" t="s">
        <v>6</v>
      </c>
      <c r="DE90" s="441"/>
      <c r="DF90" s="442"/>
      <c r="DG90" s="443"/>
      <c r="DH90" s="441"/>
      <c r="DI90" s="442"/>
      <c r="DJ90" s="443" t="s">
        <v>6</v>
      </c>
      <c r="DK90" s="441"/>
      <c r="DL90" s="442"/>
      <c r="DM90" s="443" t="s">
        <v>6</v>
      </c>
      <c r="DN90" s="441"/>
      <c r="DO90" s="442"/>
      <c r="DP90" s="443" t="s">
        <v>6</v>
      </c>
      <c r="DQ90" s="441"/>
      <c r="DR90" s="442"/>
      <c r="DS90" s="443"/>
      <c r="DT90" s="441">
        <v>10</v>
      </c>
      <c r="DU90" s="442">
        <v>1</v>
      </c>
      <c r="DV90" s="443">
        <v>90.9</v>
      </c>
      <c r="DW90" s="441">
        <v>6</v>
      </c>
      <c r="DX90" s="442"/>
      <c r="DY90" s="443">
        <v>100</v>
      </c>
      <c r="DZ90" s="441">
        <v>12</v>
      </c>
      <c r="EA90" s="442">
        <v>2</v>
      </c>
      <c r="EB90" s="443">
        <v>85.7</v>
      </c>
      <c r="EC90" s="441"/>
      <c r="ED90" s="442"/>
      <c r="EE90" s="443"/>
      <c r="EF90" s="441">
        <v>12</v>
      </c>
      <c r="EG90" s="442">
        <v>1</v>
      </c>
      <c r="EH90" s="443">
        <v>92.3</v>
      </c>
      <c r="EI90" s="441"/>
      <c r="EJ90" s="442">
        <v>1</v>
      </c>
      <c r="EK90" s="443">
        <v>0</v>
      </c>
      <c r="EL90" s="441">
        <v>31</v>
      </c>
      <c r="EM90" s="442">
        <v>2</v>
      </c>
      <c r="EN90" s="443">
        <v>93.9</v>
      </c>
      <c r="EO90" s="441"/>
      <c r="EP90" s="442"/>
      <c r="EQ90" s="443"/>
      <c r="ER90" s="441">
        <v>1</v>
      </c>
      <c r="ES90" s="442"/>
      <c r="ET90" s="443">
        <v>100</v>
      </c>
      <c r="EU90" s="441"/>
      <c r="EV90" s="442"/>
      <c r="EW90" s="443" t="s">
        <v>6</v>
      </c>
      <c r="EX90" s="441"/>
      <c r="EY90" s="442"/>
      <c r="EZ90" s="443" t="s">
        <v>6</v>
      </c>
      <c r="FA90" s="441"/>
      <c r="FB90" s="442"/>
      <c r="FC90" s="443"/>
      <c r="FD90" s="441"/>
      <c r="FE90" s="442"/>
      <c r="FF90" s="443" t="s">
        <v>6</v>
      </c>
      <c r="FG90" s="441"/>
      <c r="FH90" s="442"/>
      <c r="FI90" s="443" t="s">
        <v>6</v>
      </c>
      <c r="FJ90" s="441"/>
      <c r="FK90" s="442"/>
      <c r="FL90" s="443" t="s">
        <v>6</v>
      </c>
      <c r="FM90" s="441"/>
      <c r="FN90" s="442"/>
      <c r="FO90" s="443"/>
      <c r="FP90" s="441"/>
      <c r="FQ90" s="442">
        <v>1</v>
      </c>
      <c r="FR90" s="443">
        <v>0</v>
      </c>
      <c r="FS90" s="441"/>
      <c r="FT90" s="442"/>
      <c r="FU90" s="443" t="s">
        <v>6</v>
      </c>
      <c r="FV90" s="441"/>
      <c r="FW90" s="442"/>
      <c r="FX90" s="443" t="s">
        <v>6</v>
      </c>
      <c r="FY90" s="441"/>
      <c r="FZ90" s="442"/>
      <c r="GA90" s="443"/>
      <c r="GB90" s="441">
        <v>3</v>
      </c>
      <c r="GC90" s="442"/>
      <c r="GD90" s="443">
        <v>100</v>
      </c>
      <c r="GE90" s="441">
        <v>3</v>
      </c>
      <c r="GF90" s="442"/>
      <c r="GG90" s="443">
        <v>100</v>
      </c>
      <c r="GH90" s="441">
        <v>1</v>
      </c>
      <c r="GI90" s="442"/>
      <c r="GJ90" s="443">
        <v>100</v>
      </c>
      <c r="GK90" s="441"/>
      <c r="GL90" s="442"/>
      <c r="GM90" s="443"/>
      <c r="GN90" s="441"/>
      <c r="GO90" s="442"/>
      <c r="GP90" s="443" t="s">
        <v>6</v>
      </c>
      <c r="GQ90" s="441">
        <v>1</v>
      </c>
      <c r="GR90" s="442"/>
      <c r="GS90" s="443">
        <v>100</v>
      </c>
      <c r="GT90" s="441"/>
      <c r="GU90" s="442"/>
      <c r="GV90" s="443" t="s">
        <v>6</v>
      </c>
      <c r="GW90" s="441"/>
      <c r="GX90" s="442"/>
      <c r="GY90" s="443"/>
      <c r="GZ90" s="441"/>
      <c r="HA90" s="442"/>
      <c r="HB90" s="443" t="s">
        <v>6</v>
      </c>
      <c r="HC90" s="441">
        <v>1</v>
      </c>
      <c r="HD90" s="442"/>
      <c r="HE90" s="443">
        <v>100</v>
      </c>
      <c r="HF90" s="441"/>
      <c r="HG90" s="442"/>
      <c r="HH90" s="443" t="s">
        <v>6</v>
      </c>
      <c r="HI90" s="441"/>
      <c r="HJ90" s="442"/>
      <c r="HK90" s="443"/>
      <c r="HL90" s="441"/>
      <c r="HM90" s="442"/>
      <c r="HN90" s="443" t="s">
        <v>6</v>
      </c>
      <c r="HO90" s="441"/>
      <c r="HP90" s="442"/>
      <c r="HQ90" s="443" t="s">
        <v>6</v>
      </c>
      <c r="HR90" s="441"/>
      <c r="HS90" s="442"/>
      <c r="HT90" s="443" t="s">
        <v>6</v>
      </c>
      <c r="HU90" s="441"/>
      <c r="HV90" s="442"/>
      <c r="HW90" s="443"/>
      <c r="HX90" s="441">
        <v>1</v>
      </c>
      <c r="HY90" s="442"/>
      <c r="HZ90" s="443">
        <v>100</v>
      </c>
      <c r="IA90" s="441"/>
      <c r="IB90" s="442"/>
      <c r="IC90" s="443" t="s">
        <v>6</v>
      </c>
      <c r="ID90" s="441"/>
      <c r="IE90" s="442"/>
      <c r="IF90" s="443" t="s">
        <v>6</v>
      </c>
      <c r="IG90" s="441"/>
      <c r="IH90" s="442"/>
      <c r="II90" s="443"/>
      <c r="IJ90" s="441"/>
      <c r="IK90" s="442"/>
      <c r="IL90" s="443" t="s">
        <v>6</v>
      </c>
      <c r="IM90" s="441"/>
      <c r="IN90" s="442"/>
      <c r="IO90" s="443" t="s">
        <v>6</v>
      </c>
      <c r="IP90" s="441"/>
      <c r="IQ90" s="442"/>
      <c r="IR90" s="443" t="s">
        <v>6</v>
      </c>
      <c r="IS90" s="441"/>
      <c r="IT90" s="442"/>
      <c r="IU90" s="443"/>
      <c r="IV90" s="441">
        <v>45</v>
      </c>
      <c r="IW90" s="442">
        <v>3</v>
      </c>
      <c r="IX90" s="443">
        <v>93.8</v>
      </c>
      <c r="IY90" s="441">
        <v>29</v>
      </c>
      <c r="IZ90" s="442">
        <v>2</v>
      </c>
      <c r="JA90" s="443">
        <v>93.5</v>
      </c>
      <c r="JB90" s="441">
        <v>57</v>
      </c>
      <c r="JC90" s="442">
        <v>4</v>
      </c>
      <c r="JD90" s="443">
        <v>93.4</v>
      </c>
      <c r="JE90" s="441"/>
      <c r="JF90" s="442"/>
      <c r="JG90" s="443"/>
      <c r="JH90" s="441">
        <v>4</v>
      </c>
      <c r="JI90" s="442"/>
      <c r="JJ90" s="443">
        <v>100</v>
      </c>
      <c r="JK90" s="441">
        <v>10</v>
      </c>
      <c r="JL90" s="442"/>
      <c r="JM90" s="443">
        <v>100</v>
      </c>
      <c r="JN90" s="441">
        <v>5</v>
      </c>
      <c r="JO90" s="442"/>
      <c r="JP90" s="443">
        <v>100</v>
      </c>
      <c r="JQ90" s="441"/>
      <c r="JR90" s="442"/>
      <c r="JS90" s="443"/>
      <c r="JT90" s="441">
        <v>1</v>
      </c>
      <c r="JU90" s="442"/>
      <c r="JV90" s="443">
        <v>100</v>
      </c>
      <c r="JW90" s="441"/>
      <c r="JX90" s="442"/>
      <c r="JY90" s="443" t="s">
        <v>6</v>
      </c>
      <c r="JZ90" s="441"/>
      <c r="KA90" s="442"/>
      <c r="KB90" s="443" t="s">
        <v>6</v>
      </c>
      <c r="KC90" s="441"/>
      <c r="KD90" s="442"/>
      <c r="KE90" s="443"/>
      <c r="KF90" s="441"/>
      <c r="KG90" s="442"/>
      <c r="KH90" s="443" t="s">
        <v>6</v>
      </c>
      <c r="KI90" s="441"/>
      <c r="KJ90" s="442"/>
      <c r="KK90" s="443" t="s">
        <v>6</v>
      </c>
      <c r="KL90" s="441"/>
      <c r="KM90" s="442"/>
      <c r="KN90" s="443" t="s">
        <v>6</v>
      </c>
      <c r="KO90" s="441"/>
      <c r="KP90" s="442"/>
      <c r="KQ90" s="443"/>
      <c r="KR90" s="441">
        <v>8</v>
      </c>
      <c r="KS90" s="442"/>
      <c r="KT90" s="443">
        <v>100</v>
      </c>
      <c r="KU90" s="441">
        <v>13</v>
      </c>
      <c r="KV90" s="442"/>
      <c r="KW90" s="443">
        <v>100</v>
      </c>
      <c r="KX90" s="441">
        <v>6</v>
      </c>
      <c r="KY90" s="442"/>
      <c r="KZ90" s="443">
        <v>100</v>
      </c>
      <c r="LA90" s="441"/>
      <c r="LB90" s="442"/>
      <c r="LC90" s="443"/>
      <c r="LD90" s="441">
        <v>323</v>
      </c>
      <c r="LE90" s="442">
        <v>26</v>
      </c>
      <c r="LF90" s="443">
        <v>92.6</v>
      </c>
      <c r="LG90" s="441">
        <v>114</v>
      </c>
      <c r="LH90" s="442">
        <v>18</v>
      </c>
      <c r="LI90" s="443">
        <v>86.4</v>
      </c>
      <c r="LJ90" s="441">
        <v>190</v>
      </c>
      <c r="LK90" s="442">
        <v>14</v>
      </c>
      <c r="LL90" s="443">
        <v>93.1</v>
      </c>
      <c r="LM90" s="441"/>
      <c r="LN90" s="442"/>
      <c r="LO90" s="443"/>
    </row>
    <row r="91" spans="1:327" x14ac:dyDescent="0.2">
      <c r="A91" s="1001"/>
      <c r="B91" s="747"/>
      <c r="C91" s="151" t="s">
        <v>694</v>
      </c>
      <c r="D91" s="377"/>
      <c r="E91" s="373"/>
      <c r="F91" s="444" t="s">
        <v>6</v>
      </c>
      <c r="G91" s="377"/>
      <c r="H91" s="373"/>
      <c r="I91" s="444" t="s">
        <v>6</v>
      </c>
      <c r="J91" s="377"/>
      <c r="K91" s="373"/>
      <c r="L91" s="444" t="s">
        <v>6</v>
      </c>
      <c r="M91" s="377"/>
      <c r="N91" s="373"/>
      <c r="O91" s="444"/>
      <c r="P91" s="377"/>
      <c r="Q91" s="373"/>
      <c r="R91" s="444" t="s">
        <v>6</v>
      </c>
      <c r="S91" s="377"/>
      <c r="T91" s="373"/>
      <c r="U91" s="444" t="s">
        <v>6</v>
      </c>
      <c r="V91" s="377"/>
      <c r="W91" s="373"/>
      <c r="X91" s="444" t="s">
        <v>6</v>
      </c>
      <c r="Y91" s="377"/>
      <c r="Z91" s="373"/>
      <c r="AA91" s="444"/>
      <c r="AB91" s="377"/>
      <c r="AC91" s="373"/>
      <c r="AD91" s="444" t="s">
        <v>6</v>
      </c>
      <c r="AE91" s="377"/>
      <c r="AF91" s="373"/>
      <c r="AG91" s="444" t="s">
        <v>6</v>
      </c>
      <c r="AH91" s="377"/>
      <c r="AI91" s="373"/>
      <c r="AJ91" s="444" t="s">
        <v>6</v>
      </c>
      <c r="AK91" s="377"/>
      <c r="AL91" s="373"/>
      <c r="AM91" s="444"/>
      <c r="AN91" s="377">
        <v>26</v>
      </c>
      <c r="AO91" s="373">
        <v>31</v>
      </c>
      <c r="AP91" s="444">
        <v>45.6</v>
      </c>
      <c r="AQ91" s="377">
        <v>25</v>
      </c>
      <c r="AR91" s="373">
        <v>27</v>
      </c>
      <c r="AS91" s="444">
        <v>48.1</v>
      </c>
      <c r="AT91" s="377">
        <v>26</v>
      </c>
      <c r="AU91" s="373">
        <v>6</v>
      </c>
      <c r="AV91" s="444">
        <v>81.3</v>
      </c>
      <c r="AW91" s="377"/>
      <c r="AX91" s="373"/>
      <c r="AY91" s="444"/>
      <c r="AZ91" s="377">
        <v>19</v>
      </c>
      <c r="BA91" s="373">
        <v>27</v>
      </c>
      <c r="BB91" s="444">
        <v>41.3</v>
      </c>
      <c r="BC91" s="377">
        <v>21</v>
      </c>
      <c r="BD91" s="373">
        <v>25</v>
      </c>
      <c r="BE91" s="444">
        <v>45.7</v>
      </c>
      <c r="BF91" s="377">
        <v>19</v>
      </c>
      <c r="BG91" s="373">
        <v>6</v>
      </c>
      <c r="BH91" s="444">
        <v>76</v>
      </c>
      <c r="BI91" s="377"/>
      <c r="BJ91" s="373"/>
      <c r="BK91" s="444"/>
      <c r="BL91" s="377"/>
      <c r="BM91" s="373"/>
      <c r="BN91" s="444" t="s">
        <v>6</v>
      </c>
      <c r="BO91" s="377"/>
      <c r="BP91" s="373"/>
      <c r="BQ91" s="444" t="s">
        <v>6</v>
      </c>
      <c r="BR91" s="377"/>
      <c r="BS91" s="373"/>
      <c r="BT91" s="444" t="s">
        <v>6</v>
      </c>
      <c r="BU91" s="377"/>
      <c r="BV91" s="373"/>
      <c r="BW91" s="444"/>
      <c r="BX91" s="377"/>
      <c r="BY91" s="373"/>
      <c r="BZ91" s="444" t="s">
        <v>6</v>
      </c>
      <c r="CA91" s="377"/>
      <c r="CB91" s="373"/>
      <c r="CC91" s="444" t="s">
        <v>6</v>
      </c>
      <c r="CD91" s="377"/>
      <c r="CE91" s="373"/>
      <c r="CF91" s="444" t="s">
        <v>6</v>
      </c>
      <c r="CG91" s="377"/>
      <c r="CH91" s="373"/>
      <c r="CI91" s="444"/>
      <c r="CJ91" s="377"/>
      <c r="CK91" s="373"/>
      <c r="CL91" s="444" t="s">
        <v>6</v>
      </c>
      <c r="CM91" s="377"/>
      <c r="CN91" s="373"/>
      <c r="CO91" s="444" t="s">
        <v>6</v>
      </c>
      <c r="CP91" s="377"/>
      <c r="CQ91" s="373"/>
      <c r="CR91" s="444" t="s">
        <v>6</v>
      </c>
      <c r="CS91" s="377"/>
      <c r="CT91" s="373"/>
      <c r="CU91" s="444"/>
      <c r="CV91" s="377">
        <v>29</v>
      </c>
      <c r="CW91" s="373">
        <v>23</v>
      </c>
      <c r="CX91" s="444">
        <v>55.8</v>
      </c>
      <c r="CY91" s="377">
        <v>26</v>
      </c>
      <c r="CZ91" s="373">
        <v>22</v>
      </c>
      <c r="DA91" s="444">
        <v>54.2</v>
      </c>
      <c r="DB91" s="377">
        <v>23</v>
      </c>
      <c r="DC91" s="373">
        <v>13</v>
      </c>
      <c r="DD91" s="444">
        <v>63.9</v>
      </c>
      <c r="DE91" s="377"/>
      <c r="DF91" s="373"/>
      <c r="DG91" s="444"/>
      <c r="DH91" s="377"/>
      <c r="DI91" s="373"/>
      <c r="DJ91" s="444" t="s">
        <v>6</v>
      </c>
      <c r="DK91" s="377">
        <v>2</v>
      </c>
      <c r="DL91" s="373"/>
      <c r="DM91" s="444">
        <v>100</v>
      </c>
      <c r="DN91" s="377">
        <v>1</v>
      </c>
      <c r="DO91" s="373"/>
      <c r="DP91" s="444">
        <v>100</v>
      </c>
      <c r="DQ91" s="377"/>
      <c r="DR91" s="373"/>
      <c r="DS91" s="444"/>
      <c r="DT91" s="377">
        <v>2</v>
      </c>
      <c r="DU91" s="373">
        <v>3</v>
      </c>
      <c r="DV91" s="444">
        <v>40</v>
      </c>
      <c r="DW91" s="377"/>
      <c r="DX91" s="373">
        <v>2</v>
      </c>
      <c r="DY91" s="444">
        <v>0</v>
      </c>
      <c r="DZ91" s="377">
        <v>8</v>
      </c>
      <c r="EA91" s="373">
        <v>1</v>
      </c>
      <c r="EB91" s="444">
        <v>88.9</v>
      </c>
      <c r="EC91" s="377"/>
      <c r="ED91" s="373"/>
      <c r="EE91" s="444"/>
      <c r="EF91" s="377">
        <v>481</v>
      </c>
      <c r="EG91" s="373">
        <v>1458</v>
      </c>
      <c r="EH91" s="444">
        <v>24.8</v>
      </c>
      <c r="EI91" s="377">
        <v>702</v>
      </c>
      <c r="EJ91" s="373">
        <v>1236</v>
      </c>
      <c r="EK91" s="444">
        <v>36.200000000000003</v>
      </c>
      <c r="EL91" s="377">
        <v>517</v>
      </c>
      <c r="EM91" s="373">
        <v>654</v>
      </c>
      <c r="EN91" s="444">
        <v>44.2</v>
      </c>
      <c r="EO91" s="377"/>
      <c r="EP91" s="373"/>
      <c r="EQ91" s="444"/>
      <c r="ER91" s="377">
        <v>3</v>
      </c>
      <c r="ES91" s="373">
        <v>2</v>
      </c>
      <c r="ET91" s="444">
        <v>60</v>
      </c>
      <c r="EU91" s="377">
        <v>7</v>
      </c>
      <c r="EV91" s="373">
        <v>3</v>
      </c>
      <c r="EW91" s="444">
        <v>70</v>
      </c>
      <c r="EX91" s="377">
        <v>3</v>
      </c>
      <c r="EY91" s="373"/>
      <c r="EZ91" s="444">
        <v>100</v>
      </c>
      <c r="FA91" s="377"/>
      <c r="FB91" s="373"/>
      <c r="FC91" s="444"/>
      <c r="FD91" s="377">
        <v>22</v>
      </c>
      <c r="FE91" s="373">
        <v>52</v>
      </c>
      <c r="FF91" s="444">
        <v>29.7</v>
      </c>
      <c r="FG91" s="377">
        <v>86</v>
      </c>
      <c r="FH91" s="373">
        <v>70</v>
      </c>
      <c r="FI91" s="444">
        <v>55.1</v>
      </c>
      <c r="FJ91" s="377">
        <v>24</v>
      </c>
      <c r="FK91" s="373">
        <v>15</v>
      </c>
      <c r="FL91" s="444">
        <v>61.5</v>
      </c>
      <c r="FM91" s="377"/>
      <c r="FN91" s="373"/>
      <c r="FO91" s="444"/>
      <c r="FP91" s="377">
        <v>196</v>
      </c>
      <c r="FQ91" s="373">
        <v>243</v>
      </c>
      <c r="FR91" s="444">
        <v>44.6</v>
      </c>
      <c r="FS91" s="377">
        <v>224</v>
      </c>
      <c r="FT91" s="373">
        <v>163</v>
      </c>
      <c r="FU91" s="444">
        <v>57.9</v>
      </c>
      <c r="FV91" s="377">
        <v>138</v>
      </c>
      <c r="FW91" s="373">
        <v>75</v>
      </c>
      <c r="FX91" s="444">
        <v>64.8</v>
      </c>
      <c r="FY91" s="377"/>
      <c r="FZ91" s="373"/>
      <c r="GA91" s="444"/>
      <c r="GB91" s="377">
        <v>11</v>
      </c>
      <c r="GC91" s="373">
        <v>5</v>
      </c>
      <c r="GD91" s="444">
        <v>68.8</v>
      </c>
      <c r="GE91" s="377">
        <v>17</v>
      </c>
      <c r="GF91" s="373">
        <v>2</v>
      </c>
      <c r="GG91" s="444">
        <v>89.5</v>
      </c>
      <c r="GH91" s="377">
        <v>8</v>
      </c>
      <c r="GI91" s="373"/>
      <c r="GJ91" s="444">
        <v>100</v>
      </c>
      <c r="GK91" s="377"/>
      <c r="GL91" s="373"/>
      <c r="GM91" s="444"/>
      <c r="GN91" s="377">
        <v>11</v>
      </c>
      <c r="GO91" s="373">
        <v>24</v>
      </c>
      <c r="GP91" s="444">
        <v>31.4</v>
      </c>
      <c r="GQ91" s="377">
        <v>28</v>
      </c>
      <c r="GR91" s="373">
        <v>12</v>
      </c>
      <c r="GS91" s="444">
        <v>70</v>
      </c>
      <c r="GT91" s="377">
        <v>105</v>
      </c>
      <c r="GU91" s="373">
        <v>5</v>
      </c>
      <c r="GV91" s="444">
        <v>95.5</v>
      </c>
      <c r="GW91" s="377"/>
      <c r="GX91" s="373"/>
      <c r="GY91" s="444"/>
      <c r="GZ91" s="377">
        <v>1</v>
      </c>
      <c r="HA91" s="373"/>
      <c r="HB91" s="444">
        <v>100</v>
      </c>
      <c r="HC91" s="377">
        <v>3</v>
      </c>
      <c r="HD91" s="373"/>
      <c r="HE91" s="444">
        <v>100</v>
      </c>
      <c r="HF91" s="377"/>
      <c r="HG91" s="373"/>
      <c r="HH91" s="444" t="s">
        <v>6</v>
      </c>
      <c r="HI91" s="377"/>
      <c r="HJ91" s="373"/>
      <c r="HK91" s="444"/>
      <c r="HL91" s="377">
        <v>6</v>
      </c>
      <c r="HM91" s="373">
        <v>90</v>
      </c>
      <c r="HN91" s="444">
        <v>6.3</v>
      </c>
      <c r="HO91" s="377">
        <v>8</v>
      </c>
      <c r="HP91" s="373">
        <v>76</v>
      </c>
      <c r="HQ91" s="444">
        <v>9.5</v>
      </c>
      <c r="HR91" s="377">
        <v>37</v>
      </c>
      <c r="HS91" s="373">
        <v>36</v>
      </c>
      <c r="HT91" s="444">
        <v>50.7</v>
      </c>
      <c r="HU91" s="377"/>
      <c r="HV91" s="373"/>
      <c r="HW91" s="444"/>
      <c r="HX91" s="377">
        <v>24</v>
      </c>
      <c r="HY91" s="373"/>
      <c r="HZ91" s="444">
        <v>100</v>
      </c>
      <c r="IA91" s="377">
        <v>15</v>
      </c>
      <c r="IB91" s="373"/>
      <c r="IC91" s="444">
        <v>100</v>
      </c>
      <c r="ID91" s="377">
        <v>9</v>
      </c>
      <c r="IE91" s="373"/>
      <c r="IF91" s="444">
        <v>100</v>
      </c>
      <c r="IG91" s="377"/>
      <c r="IH91" s="373"/>
      <c r="II91" s="444"/>
      <c r="IJ91" s="377">
        <v>4</v>
      </c>
      <c r="IK91" s="373">
        <v>2</v>
      </c>
      <c r="IL91" s="444">
        <v>66.7</v>
      </c>
      <c r="IM91" s="377">
        <v>2</v>
      </c>
      <c r="IN91" s="373">
        <v>4</v>
      </c>
      <c r="IO91" s="444">
        <v>33.299999999999997</v>
      </c>
      <c r="IP91" s="377">
        <v>4</v>
      </c>
      <c r="IQ91" s="373">
        <v>1</v>
      </c>
      <c r="IR91" s="444">
        <v>80</v>
      </c>
      <c r="IS91" s="377"/>
      <c r="IT91" s="373"/>
      <c r="IU91" s="444"/>
      <c r="IV91" s="377">
        <v>595</v>
      </c>
      <c r="IW91" s="373">
        <v>1636</v>
      </c>
      <c r="IX91" s="444">
        <v>26.7</v>
      </c>
      <c r="IY91" s="377">
        <v>828</v>
      </c>
      <c r="IZ91" s="373">
        <v>1381</v>
      </c>
      <c r="JA91" s="444">
        <v>37.5</v>
      </c>
      <c r="JB91" s="377">
        <v>738</v>
      </c>
      <c r="JC91" s="373">
        <v>716</v>
      </c>
      <c r="JD91" s="444">
        <v>50.8</v>
      </c>
      <c r="JE91" s="377"/>
      <c r="JF91" s="373"/>
      <c r="JG91" s="444"/>
      <c r="JH91" s="377">
        <v>68</v>
      </c>
      <c r="JI91" s="373">
        <v>277</v>
      </c>
      <c r="JJ91" s="444">
        <v>19.7</v>
      </c>
      <c r="JK91" s="377">
        <v>157</v>
      </c>
      <c r="JL91" s="373">
        <v>293</v>
      </c>
      <c r="JM91" s="444">
        <v>34.9</v>
      </c>
      <c r="JN91" s="377">
        <v>135</v>
      </c>
      <c r="JO91" s="373">
        <v>78</v>
      </c>
      <c r="JP91" s="444">
        <v>63.4</v>
      </c>
      <c r="JQ91" s="377"/>
      <c r="JR91" s="373"/>
      <c r="JS91" s="444"/>
      <c r="JT91" s="377">
        <v>8</v>
      </c>
      <c r="JU91" s="373">
        <v>4</v>
      </c>
      <c r="JV91" s="444">
        <v>66.7</v>
      </c>
      <c r="JW91" s="377">
        <v>3</v>
      </c>
      <c r="JX91" s="373">
        <v>2</v>
      </c>
      <c r="JY91" s="444">
        <v>60</v>
      </c>
      <c r="JZ91" s="377">
        <v>5</v>
      </c>
      <c r="KA91" s="373">
        <v>2</v>
      </c>
      <c r="KB91" s="444">
        <v>71.400000000000006</v>
      </c>
      <c r="KC91" s="377"/>
      <c r="KD91" s="373"/>
      <c r="KE91" s="444"/>
      <c r="KF91" s="377">
        <v>3</v>
      </c>
      <c r="KG91" s="373">
        <v>1</v>
      </c>
      <c r="KH91" s="444">
        <v>75</v>
      </c>
      <c r="KI91" s="377">
        <v>3</v>
      </c>
      <c r="KJ91" s="373">
        <v>1</v>
      </c>
      <c r="KK91" s="444">
        <v>75</v>
      </c>
      <c r="KL91" s="377"/>
      <c r="KM91" s="373"/>
      <c r="KN91" s="444" t="s">
        <v>6</v>
      </c>
      <c r="KO91" s="377"/>
      <c r="KP91" s="373"/>
      <c r="KQ91" s="444"/>
      <c r="KR91" s="377">
        <v>92</v>
      </c>
      <c r="KS91" s="373">
        <v>300</v>
      </c>
      <c r="KT91" s="444">
        <v>23.5</v>
      </c>
      <c r="KU91" s="377">
        <v>184</v>
      </c>
      <c r="KV91" s="373">
        <v>318</v>
      </c>
      <c r="KW91" s="444">
        <v>36.700000000000003</v>
      </c>
      <c r="KX91" s="377">
        <v>153</v>
      </c>
      <c r="KY91" s="373">
        <v>97</v>
      </c>
      <c r="KZ91" s="444">
        <v>61.2</v>
      </c>
      <c r="LA91" s="377"/>
      <c r="LB91" s="373"/>
      <c r="LC91" s="444"/>
      <c r="LD91" s="377">
        <v>980</v>
      </c>
      <c r="LE91" s="373">
        <v>1861</v>
      </c>
      <c r="LF91" s="444">
        <v>34.5</v>
      </c>
      <c r="LG91" s="377">
        <v>3183</v>
      </c>
      <c r="LH91" s="373">
        <v>1700</v>
      </c>
      <c r="LI91" s="444">
        <v>65.2</v>
      </c>
      <c r="LJ91" s="377">
        <v>972</v>
      </c>
      <c r="LK91" s="373">
        <v>915</v>
      </c>
      <c r="LL91" s="444">
        <v>51.5</v>
      </c>
      <c r="LM91" s="377"/>
      <c r="LN91" s="373"/>
      <c r="LO91" s="444"/>
    </row>
    <row r="92" spans="1:327" x14ac:dyDescent="0.2">
      <c r="A92" s="1001"/>
      <c r="B92" s="747" t="s">
        <v>621</v>
      </c>
      <c r="C92" s="151" t="s">
        <v>695</v>
      </c>
      <c r="D92" s="377"/>
      <c r="E92" s="373"/>
      <c r="F92" s="444" t="s">
        <v>6</v>
      </c>
      <c r="G92" s="377"/>
      <c r="H92" s="373"/>
      <c r="I92" s="444" t="s">
        <v>6</v>
      </c>
      <c r="J92" s="377"/>
      <c r="K92" s="373"/>
      <c r="L92" s="444" t="s">
        <v>6</v>
      </c>
      <c r="M92" s="377"/>
      <c r="N92" s="373"/>
      <c r="O92" s="444"/>
      <c r="P92" s="377"/>
      <c r="Q92" s="373"/>
      <c r="R92" s="444" t="s">
        <v>6</v>
      </c>
      <c r="S92" s="377"/>
      <c r="T92" s="373"/>
      <c r="U92" s="444" t="s">
        <v>6</v>
      </c>
      <c r="V92" s="377"/>
      <c r="W92" s="373"/>
      <c r="X92" s="444" t="s">
        <v>6</v>
      </c>
      <c r="Y92" s="377"/>
      <c r="Z92" s="373"/>
      <c r="AA92" s="444"/>
      <c r="AB92" s="377"/>
      <c r="AC92" s="373"/>
      <c r="AD92" s="444" t="s">
        <v>6</v>
      </c>
      <c r="AE92" s="377"/>
      <c r="AF92" s="373"/>
      <c r="AG92" s="444" t="s">
        <v>6</v>
      </c>
      <c r="AH92" s="377"/>
      <c r="AI92" s="373"/>
      <c r="AJ92" s="444" t="s">
        <v>6</v>
      </c>
      <c r="AK92" s="377"/>
      <c r="AL92" s="373"/>
      <c r="AM92" s="444"/>
      <c r="AN92" s="377">
        <v>26</v>
      </c>
      <c r="AO92" s="373">
        <v>4</v>
      </c>
      <c r="AP92" s="444">
        <v>86.7</v>
      </c>
      <c r="AQ92" s="377">
        <v>11</v>
      </c>
      <c r="AR92" s="373">
        <v>2</v>
      </c>
      <c r="AS92" s="444">
        <v>84.6</v>
      </c>
      <c r="AT92" s="377">
        <v>8</v>
      </c>
      <c r="AU92" s="373">
        <v>4</v>
      </c>
      <c r="AV92" s="444">
        <v>66.7</v>
      </c>
      <c r="AW92" s="377"/>
      <c r="AX92" s="373"/>
      <c r="AY92" s="444"/>
      <c r="AZ92" s="377">
        <v>18</v>
      </c>
      <c r="BA92" s="373">
        <v>4</v>
      </c>
      <c r="BB92" s="444">
        <v>81.8</v>
      </c>
      <c r="BC92" s="377">
        <v>8</v>
      </c>
      <c r="BD92" s="373">
        <v>2</v>
      </c>
      <c r="BE92" s="444">
        <v>80</v>
      </c>
      <c r="BF92" s="377">
        <v>4</v>
      </c>
      <c r="BG92" s="373">
        <v>4</v>
      </c>
      <c r="BH92" s="444">
        <v>50</v>
      </c>
      <c r="BI92" s="377"/>
      <c r="BJ92" s="373"/>
      <c r="BK92" s="444"/>
      <c r="BL92" s="377"/>
      <c r="BM92" s="373"/>
      <c r="BN92" s="444" t="s">
        <v>6</v>
      </c>
      <c r="BO92" s="377"/>
      <c r="BP92" s="373"/>
      <c r="BQ92" s="444" t="s">
        <v>6</v>
      </c>
      <c r="BR92" s="377"/>
      <c r="BS92" s="373"/>
      <c r="BT92" s="444" t="s">
        <v>6</v>
      </c>
      <c r="BU92" s="377"/>
      <c r="BV92" s="373"/>
      <c r="BW92" s="444"/>
      <c r="BX92" s="377"/>
      <c r="BY92" s="373"/>
      <c r="BZ92" s="444" t="s">
        <v>6</v>
      </c>
      <c r="CA92" s="377"/>
      <c r="CB92" s="373"/>
      <c r="CC92" s="444" t="s">
        <v>6</v>
      </c>
      <c r="CD92" s="377"/>
      <c r="CE92" s="373"/>
      <c r="CF92" s="444" t="s">
        <v>6</v>
      </c>
      <c r="CG92" s="377"/>
      <c r="CH92" s="373"/>
      <c r="CI92" s="444"/>
      <c r="CJ92" s="377"/>
      <c r="CK92" s="373"/>
      <c r="CL92" s="444" t="s">
        <v>6</v>
      </c>
      <c r="CM92" s="377"/>
      <c r="CN92" s="373"/>
      <c r="CO92" s="444" t="s">
        <v>6</v>
      </c>
      <c r="CP92" s="377"/>
      <c r="CQ92" s="373"/>
      <c r="CR92" s="444" t="s">
        <v>6</v>
      </c>
      <c r="CS92" s="377"/>
      <c r="CT92" s="373"/>
      <c r="CU92" s="444"/>
      <c r="CV92" s="377">
        <v>18</v>
      </c>
      <c r="CW92" s="373">
        <v>8</v>
      </c>
      <c r="CX92" s="444">
        <v>69.2</v>
      </c>
      <c r="CY92" s="377">
        <v>17</v>
      </c>
      <c r="CZ92" s="373">
        <v>3</v>
      </c>
      <c r="DA92" s="444">
        <v>85</v>
      </c>
      <c r="DB92" s="377">
        <v>14</v>
      </c>
      <c r="DC92" s="373">
        <v>3</v>
      </c>
      <c r="DD92" s="444">
        <v>82.4</v>
      </c>
      <c r="DE92" s="377"/>
      <c r="DF92" s="373"/>
      <c r="DG92" s="444"/>
      <c r="DH92" s="377"/>
      <c r="DI92" s="373"/>
      <c r="DJ92" s="444" t="s">
        <v>6</v>
      </c>
      <c r="DK92" s="377">
        <v>2</v>
      </c>
      <c r="DL92" s="373"/>
      <c r="DM92" s="444">
        <v>100</v>
      </c>
      <c r="DN92" s="377"/>
      <c r="DO92" s="373"/>
      <c r="DP92" s="444" t="s">
        <v>6</v>
      </c>
      <c r="DQ92" s="377"/>
      <c r="DR92" s="373"/>
      <c r="DS92" s="444"/>
      <c r="DT92" s="377"/>
      <c r="DU92" s="373"/>
      <c r="DV92" s="444" t="s">
        <v>6</v>
      </c>
      <c r="DW92" s="377"/>
      <c r="DX92" s="373"/>
      <c r="DY92" s="444" t="s">
        <v>6</v>
      </c>
      <c r="DZ92" s="377"/>
      <c r="EA92" s="373">
        <v>2</v>
      </c>
      <c r="EB92" s="444">
        <v>0</v>
      </c>
      <c r="EC92" s="377"/>
      <c r="ED92" s="373"/>
      <c r="EE92" s="444"/>
      <c r="EF92" s="377">
        <v>110</v>
      </c>
      <c r="EG92" s="373">
        <v>278</v>
      </c>
      <c r="EH92" s="444">
        <v>28.4</v>
      </c>
      <c r="EI92" s="377">
        <v>150</v>
      </c>
      <c r="EJ92" s="373">
        <v>217</v>
      </c>
      <c r="EK92" s="444">
        <v>40.9</v>
      </c>
      <c r="EL92" s="377">
        <v>135</v>
      </c>
      <c r="EM92" s="373">
        <v>171</v>
      </c>
      <c r="EN92" s="444">
        <v>44.1</v>
      </c>
      <c r="EO92" s="377"/>
      <c r="EP92" s="373"/>
      <c r="EQ92" s="444"/>
      <c r="ER92" s="377">
        <v>1</v>
      </c>
      <c r="ES92" s="373">
        <v>1</v>
      </c>
      <c r="ET92" s="444">
        <v>50</v>
      </c>
      <c r="EU92" s="377"/>
      <c r="EV92" s="373">
        <v>1</v>
      </c>
      <c r="EW92" s="444">
        <v>0</v>
      </c>
      <c r="EX92" s="377"/>
      <c r="EY92" s="373"/>
      <c r="EZ92" s="444" t="s">
        <v>6</v>
      </c>
      <c r="FA92" s="377"/>
      <c r="FB92" s="373"/>
      <c r="FC92" s="444"/>
      <c r="FD92" s="377"/>
      <c r="FE92" s="373">
        <v>4</v>
      </c>
      <c r="FF92" s="444">
        <v>0</v>
      </c>
      <c r="FG92" s="377"/>
      <c r="FH92" s="373">
        <v>3</v>
      </c>
      <c r="FI92" s="444">
        <v>0</v>
      </c>
      <c r="FJ92" s="377"/>
      <c r="FK92" s="373">
        <v>1</v>
      </c>
      <c r="FL92" s="444">
        <v>0</v>
      </c>
      <c r="FM92" s="377"/>
      <c r="FN92" s="373"/>
      <c r="FO92" s="444"/>
      <c r="FP92" s="377">
        <v>32</v>
      </c>
      <c r="FQ92" s="373">
        <v>71</v>
      </c>
      <c r="FR92" s="444">
        <v>31.1</v>
      </c>
      <c r="FS92" s="377">
        <v>40</v>
      </c>
      <c r="FT92" s="373">
        <v>64</v>
      </c>
      <c r="FU92" s="444">
        <v>38.5</v>
      </c>
      <c r="FV92" s="377">
        <v>41</v>
      </c>
      <c r="FW92" s="373">
        <v>46</v>
      </c>
      <c r="FX92" s="444">
        <v>47.1</v>
      </c>
      <c r="FY92" s="377"/>
      <c r="FZ92" s="373"/>
      <c r="GA92" s="444"/>
      <c r="GB92" s="377">
        <v>5</v>
      </c>
      <c r="GC92" s="373"/>
      <c r="GD92" s="444">
        <v>100</v>
      </c>
      <c r="GE92" s="377">
        <v>3</v>
      </c>
      <c r="GF92" s="373"/>
      <c r="GG92" s="444">
        <v>100</v>
      </c>
      <c r="GH92" s="377">
        <v>3</v>
      </c>
      <c r="GI92" s="373"/>
      <c r="GJ92" s="444">
        <v>100</v>
      </c>
      <c r="GK92" s="377"/>
      <c r="GL92" s="373"/>
      <c r="GM92" s="444"/>
      <c r="GN92" s="377">
        <v>4</v>
      </c>
      <c r="GO92" s="373"/>
      <c r="GP92" s="444">
        <v>100</v>
      </c>
      <c r="GQ92" s="377">
        <v>2</v>
      </c>
      <c r="GR92" s="373"/>
      <c r="GS92" s="444">
        <v>100</v>
      </c>
      <c r="GT92" s="377">
        <v>7</v>
      </c>
      <c r="GU92" s="373">
        <v>2</v>
      </c>
      <c r="GV92" s="444">
        <v>77.8</v>
      </c>
      <c r="GW92" s="377"/>
      <c r="GX92" s="373"/>
      <c r="GY92" s="444"/>
      <c r="GZ92" s="377">
        <v>3</v>
      </c>
      <c r="HA92" s="373"/>
      <c r="HB92" s="444">
        <v>100</v>
      </c>
      <c r="HC92" s="377"/>
      <c r="HD92" s="373"/>
      <c r="HE92" s="444" t="s">
        <v>6</v>
      </c>
      <c r="HF92" s="377"/>
      <c r="HG92" s="373"/>
      <c r="HH92" s="444" t="s">
        <v>6</v>
      </c>
      <c r="HI92" s="377"/>
      <c r="HJ92" s="373"/>
      <c r="HK92" s="444"/>
      <c r="HL92" s="377">
        <v>2</v>
      </c>
      <c r="HM92" s="373">
        <v>14</v>
      </c>
      <c r="HN92" s="444">
        <v>12.5</v>
      </c>
      <c r="HO92" s="377">
        <v>9</v>
      </c>
      <c r="HP92" s="373">
        <v>8</v>
      </c>
      <c r="HQ92" s="444">
        <v>52.9</v>
      </c>
      <c r="HR92" s="377">
        <v>8</v>
      </c>
      <c r="HS92" s="373">
        <v>4</v>
      </c>
      <c r="HT92" s="444">
        <v>66.7</v>
      </c>
      <c r="HU92" s="377"/>
      <c r="HV92" s="373"/>
      <c r="HW92" s="444"/>
      <c r="HX92" s="377">
        <v>3</v>
      </c>
      <c r="HY92" s="373"/>
      <c r="HZ92" s="444">
        <v>100</v>
      </c>
      <c r="IA92" s="377">
        <v>1</v>
      </c>
      <c r="IB92" s="373"/>
      <c r="IC92" s="444">
        <v>100</v>
      </c>
      <c r="ID92" s="377">
        <v>3</v>
      </c>
      <c r="IE92" s="373"/>
      <c r="IF92" s="444">
        <v>100</v>
      </c>
      <c r="IG92" s="377"/>
      <c r="IH92" s="373"/>
      <c r="II92" s="444"/>
      <c r="IJ92" s="377">
        <v>2</v>
      </c>
      <c r="IK92" s="373">
        <v>1</v>
      </c>
      <c r="IL92" s="444">
        <v>66.7</v>
      </c>
      <c r="IM92" s="377">
        <v>2</v>
      </c>
      <c r="IN92" s="373">
        <v>1</v>
      </c>
      <c r="IO92" s="444">
        <v>66.7</v>
      </c>
      <c r="IP92" s="377">
        <v>1</v>
      </c>
      <c r="IQ92" s="373"/>
      <c r="IR92" s="444">
        <v>100</v>
      </c>
      <c r="IS92" s="377"/>
      <c r="IT92" s="373"/>
      <c r="IU92" s="444"/>
      <c r="IV92" s="377">
        <v>173</v>
      </c>
      <c r="IW92" s="373">
        <v>305</v>
      </c>
      <c r="IX92" s="444">
        <v>36.200000000000003</v>
      </c>
      <c r="IY92" s="377">
        <v>197</v>
      </c>
      <c r="IZ92" s="373">
        <v>231</v>
      </c>
      <c r="JA92" s="444">
        <v>46</v>
      </c>
      <c r="JB92" s="377">
        <v>179</v>
      </c>
      <c r="JC92" s="373">
        <v>186</v>
      </c>
      <c r="JD92" s="444">
        <v>49</v>
      </c>
      <c r="JE92" s="377"/>
      <c r="JF92" s="373"/>
      <c r="JG92" s="444"/>
      <c r="JH92" s="377">
        <v>34</v>
      </c>
      <c r="JI92" s="373">
        <v>31</v>
      </c>
      <c r="JJ92" s="444">
        <v>52.3</v>
      </c>
      <c r="JK92" s="377">
        <v>25</v>
      </c>
      <c r="JL92" s="373">
        <v>21</v>
      </c>
      <c r="JM92" s="444">
        <v>54.3</v>
      </c>
      <c r="JN92" s="377">
        <v>21</v>
      </c>
      <c r="JO92" s="373">
        <v>16</v>
      </c>
      <c r="JP92" s="444">
        <v>56.8</v>
      </c>
      <c r="JQ92" s="377"/>
      <c r="JR92" s="373"/>
      <c r="JS92" s="444"/>
      <c r="JT92" s="377">
        <v>4</v>
      </c>
      <c r="JU92" s="373">
        <v>1</v>
      </c>
      <c r="JV92" s="444">
        <v>80</v>
      </c>
      <c r="JW92" s="377">
        <v>3</v>
      </c>
      <c r="JX92" s="373">
        <v>1</v>
      </c>
      <c r="JY92" s="444">
        <v>75</v>
      </c>
      <c r="JZ92" s="377">
        <v>3</v>
      </c>
      <c r="KA92" s="373"/>
      <c r="KB92" s="444">
        <v>100</v>
      </c>
      <c r="KC92" s="377"/>
      <c r="KD92" s="373"/>
      <c r="KE92" s="444"/>
      <c r="KF92" s="377"/>
      <c r="KG92" s="373">
        <v>1</v>
      </c>
      <c r="KH92" s="444">
        <v>0</v>
      </c>
      <c r="KI92" s="377">
        <v>2</v>
      </c>
      <c r="KJ92" s="373"/>
      <c r="KK92" s="444">
        <v>100</v>
      </c>
      <c r="KL92" s="377">
        <v>1</v>
      </c>
      <c r="KM92" s="373"/>
      <c r="KN92" s="444">
        <v>100</v>
      </c>
      <c r="KO92" s="377"/>
      <c r="KP92" s="373"/>
      <c r="KQ92" s="444"/>
      <c r="KR92" s="377">
        <v>42</v>
      </c>
      <c r="KS92" s="373">
        <v>35</v>
      </c>
      <c r="KT92" s="444">
        <v>54.5</v>
      </c>
      <c r="KU92" s="377">
        <v>33</v>
      </c>
      <c r="KV92" s="373">
        <v>31</v>
      </c>
      <c r="KW92" s="444">
        <v>51.6</v>
      </c>
      <c r="KX92" s="377">
        <v>30</v>
      </c>
      <c r="KY92" s="373">
        <v>19</v>
      </c>
      <c r="KZ92" s="444">
        <v>61.2</v>
      </c>
      <c r="LA92" s="377"/>
      <c r="LB92" s="373"/>
      <c r="LC92" s="444"/>
      <c r="LD92" s="377">
        <v>321</v>
      </c>
      <c r="LE92" s="373">
        <v>334</v>
      </c>
      <c r="LF92" s="444">
        <v>49</v>
      </c>
      <c r="LG92" s="377">
        <v>246</v>
      </c>
      <c r="LH92" s="373">
        <v>282</v>
      </c>
      <c r="LI92" s="444">
        <v>46.6</v>
      </c>
      <c r="LJ92" s="377">
        <v>257</v>
      </c>
      <c r="LK92" s="373">
        <v>217</v>
      </c>
      <c r="LL92" s="444">
        <v>54.2</v>
      </c>
      <c r="LM92" s="377"/>
      <c r="LN92" s="373"/>
      <c r="LO92" s="444"/>
    </row>
    <row r="93" spans="1:327" x14ac:dyDescent="0.2">
      <c r="A93" s="1001"/>
      <c r="B93" s="747" t="s">
        <v>621</v>
      </c>
      <c r="C93" s="151" t="s">
        <v>773</v>
      </c>
      <c r="D93" s="377"/>
      <c r="E93" s="373"/>
      <c r="F93" s="444" t="s">
        <v>6</v>
      </c>
      <c r="G93" s="377"/>
      <c r="H93" s="373"/>
      <c r="I93" s="444" t="s">
        <v>6</v>
      </c>
      <c r="J93" s="377"/>
      <c r="K93" s="373"/>
      <c r="L93" s="444" t="s">
        <v>6</v>
      </c>
      <c r="M93" s="377"/>
      <c r="N93" s="373"/>
      <c r="O93" s="444"/>
      <c r="P93" s="377"/>
      <c r="Q93" s="373"/>
      <c r="R93" s="444" t="s">
        <v>6</v>
      </c>
      <c r="S93" s="377"/>
      <c r="T93" s="373"/>
      <c r="U93" s="444" t="s">
        <v>6</v>
      </c>
      <c r="V93" s="377"/>
      <c r="W93" s="373"/>
      <c r="X93" s="444" t="s">
        <v>6</v>
      </c>
      <c r="Y93" s="377"/>
      <c r="Z93" s="373"/>
      <c r="AA93" s="444"/>
      <c r="AB93" s="377"/>
      <c r="AC93" s="373"/>
      <c r="AD93" s="444" t="s">
        <v>6</v>
      </c>
      <c r="AE93" s="377"/>
      <c r="AF93" s="373"/>
      <c r="AG93" s="444" t="s">
        <v>6</v>
      </c>
      <c r="AH93" s="377"/>
      <c r="AI93" s="373"/>
      <c r="AJ93" s="444" t="s">
        <v>6</v>
      </c>
      <c r="AK93" s="377"/>
      <c r="AL93" s="373"/>
      <c r="AM93" s="444"/>
      <c r="AN93" s="377">
        <v>10</v>
      </c>
      <c r="AO93" s="373"/>
      <c r="AP93" s="444">
        <v>100</v>
      </c>
      <c r="AQ93" s="377">
        <v>7</v>
      </c>
      <c r="AR93" s="373">
        <v>6</v>
      </c>
      <c r="AS93" s="444">
        <v>53.8</v>
      </c>
      <c r="AT93" s="377">
        <v>7</v>
      </c>
      <c r="AU93" s="373">
        <v>6</v>
      </c>
      <c r="AV93" s="444">
        <v>53.8</v>
      </c>
      <c r="AW93" s="377"/>
      <c r="AX93" s="373"/>
      <c r="AY93" s="444"/>
      <c r="AZ93" s="377">
        <v>8</v>
      </c>
      <c r="BA93" s="373"/>
      <c r="BB93" s="444">
        <v>100</v>
      </c>
      <c r="BC93" s="377">
        <v>7</v>
      </c>
      <c r="BD93" s="373">
        <v>6</v>
      </c>
      <c r="BE93" s="444">
        <v>53.8</v>
      </c>
      <c r="BF93" s="377">
        <v>7</v>
      </c>
      <c r="BG93" s="373">
        <v>3</v>
      </c>
      <c r="BH93" s="444">
        <v>70</v>
      </c>
      <c r="BI93" s="377"/>
      <c r="BJ93" s="373"/>
      <c r="BK93" s="444"/>
      <c r="BL93" s="377"/>
      <c r="BM93" s="373"/>
      <c r="BN93" s="444" t="s">
        <v>6</v>
      </c>
      <c r="BO93" s="377"/>
      <c r="BP93" s="373"/>
      <c r="BQ93" s="444" t="s">
        <v>6</v>
      </c>
      <c r="BR93" s="377"/>
      <c r="BS93" s="373"/>
      <c r="BT93" s="444" t="s">
        <v>6</v>
      </c>
      <c r="BU93" s="377"/>
      <c r="BV93" s="373"/>
      <c r="BW93" s="444"/>
      <c r="BX93" s="377"/>
      <c r="BY93" s="373"/>
      <c r="BZ93" s="444" t="s">
        <v>6</v>
      </c>
      <c r="CA93" s="377"/>
      <c r="CB93" s="373">
        <v>1</v>
      </c>
      <c r="CC93" s="444">
        <v>0</v>
      </c>
      <c r="CD93" s="377"/>
      <c r="CE93" s="373"/>
      <c r="CF93" s="444" t="s">
        <v>6</v>
      </c>
      <c r="CG93" s="377"/>
      <c r="CH93" s="373"/>
      <c r="CI93" s="444"/>
      <c r="CJ93" s="377"/>
      <c r="CK93" s="373"/>
      <c r="CL93" s="444" t="s">
        <v>6</v>
      </c>
      <c r="CM93" s="377"/>
      <c r="CN93" s="373"/>
      <c r="CO93" s="444" t="s">
        <v>6</v>
      </c>
      <c r="CP93" s="377"/>
      <c r="CQ93" s="373"/>
      <c r="CR93" s="444" t="s">
        <v>6</v>
      </c>
      <c r="CS93" s="377"/>
      <c r="CT93" s="373"/>
      <c r="CU93" s="444"/>
      <c r="CV93" s="377">
        <v>9</v>
      </c>
      <c r="CW93" s="373">
        <v>2</v>
      </c>
      <c r="CX93" s="444">
        <v>81.8</v>
      </c>
      <c r="CY93" s="377">
        <v>8</v>
      </c>
      <c r="CZ93" s="373">
        <v>1</v>
      </c>
      <c r="DA93" s="444">
        <v>88.9</v>
      </c>
      <c r="DB93" s="377">
        <v>2</v>
      </c>
      <c r="DC93" s="373">
        <v>1</v>
      </c>
      <c r="DD93" s="444">
        <v>66.7</v>
      </c>
      <c r="DE93" s="377"/>
      <c r="DF93" s="373"/>
      <c r="DG93" s="444"/>
      <c r="DH93" s="377"/>
      <c r="DI93" s="373"/>
      <c r="DJ93" s="444" t="s">
        <v>6</v>
      </c>
      <c r="DK93" s="377"/>
      <c r="DL93" s="373"/>
      <c r="DM93" s="444" t="s">
        <v>6</v>
      </c>
      <c r="DN93" s="377"/>
      <c r="DO93" s="373"/>
      <c r="DP93" s="444" t="s">
        <v>6</v>
      </c>
      <c r="DQ93" s="377"/>
      <c r="DR93" s="373"/>
      <c r="DS93" s="444"/>
      <c r="DT93" s="377"/>
      <c r="DU93" s="373"/>
      <c r="DV93" s="444" t="s">
        <v>6</v>
      </c>
      <c r="DW93" s="377"/>
      <c r="DX93" s="373"/>
      <c r="DY93" s="444" t="s">
        <v>6</v>
      </c>
      <c r="DZ93" s="377"/>
      <c r="EA93" s="373"/>
      <c r="EB93" s="444" t="s">
        <v>6</v>
      </c>
      <c r="EC93" s="377"/>
      <c r="ED93" s="373"/>
      <c r="EE93" s="444"/>
      <c r="EF93" s="377">
        <v>182</v>
      </c>
      <c r="EG93" s="373">
        <v>175</v>
      </c>
      <c r="EH93" s="444">
        <v>51</v>
      </c>
      <c r="EI93" s="377">
        <v>146</v>
      </c>
      <c r="EJ93" s="373">
        <v>58</v>
      </c>
      <c r="EK93" s="444">
        <v>71.599999999999994</v>
      </c>
      <c r="EL93" s="377">
        <v>131</v>
      </c>
      <c r="EM93" s="373">
        <v>37</v>
      </c>
      <c r="EN93" s="444">
        <v>78</v>
      </c>
      <c r="EO93" s="377"/>
      <c r="EP93" s="373"/>
      <c r="EQ93" s="444"/>
      <c r="ER93" s="377"/>
      <c r="ES93" s="373"/>
      <c r="ET93" s="444" t="s">
        <v>6</v>
      </c>
      <c r="EU93" s="377">
        <v>1</v>
      </c>
      <c r="EV93" s="373"/>
      <c r="EW93" s="444">
        <v>100</v>
      </c>
      <c r="EX93" s="377"/>
      <c r="EY93" s="373"/>
      <c r="EZ93" s="444" t="s">
        <v>6</v>
      </c>
      <c r="FA93" s="377"/>
      <c r="FB93" s="373"/>
      <c r="FC93" s="444"/>
      <c r="FD93" s="377">
        <v>3</v>
      </c>
      <c r="FE93" s="373">
        <v>3</v>
      </c>
      <c r="FF93" s="444">
        <v>50</v>
      </c>
      <c r="FG93" s="377">
        <v>1</v>
      </c>
      <c r="FH93" s="373"/>
      <c r="FI93" s="444">
        <v>100</v>
      </c>
      <c r="FJ93" s="377">
        <v>1</v>
      </c>
      <c r="FK93" s="373"/>
      <c r="FL93" s="444">
        <v>100</v>
      </c>
      <c r="FM93" s="377"/>
      <c r="FN93" s="373"/>
      <c r="FO93" s="444"/>
      <c r="FP93" s="377">
        <v>34</v>
      </c>
      <c r="FQ93" s="373">
        <v>24</v>
      </c>
      <c r="FR93" s="444">
        <v>58.6</v>
      </c>
      <c r="FS93" s="377">
        <v>37</v>
      </c>
      <c r="FT93" s="373">
        <v>5</v>
      </c>
      <c r="FU93" s="444">
        <v>88.1</v>
      </c>
      <c r="FV93" s="377">
        <v>28</v>
      </c>
      <c r="FW93" s="373">
        <v>4</v>
      </c>
      <c r="FX93" s="444">
        <v>87.5</v>
      </c>
      <c r="FY93" s="377"/>
      <c r="FZ93" s="373"/>
      <c r="GA93" s="444"/>
      <c r="GB93" s="377">
        <v>3</v>
      </c>
      <c r="GC93" s="373"/>
      <c r="GD93" s="444">
        <v>100</v>
      </c>
      <c r="GE93" s="377">
        <v>2</v>
      </c>
      <c r="GF93" s="373"/>
      <c r="GG93" s="444">
        <v>100</v>
      </c>
      <c r="GH93" s="377">
        <v>2</v>
      </c>
      <c r="GI93" s="373">
        <v>1</v>
      </c>
      <c r="GJ93" s="444">
        <v>66.7</v>
      </c>
      <c r="GK93" s="377"/>
      <c r="GL93" s="373"/>
      <c r="GM93" s="444"/>
      <c r="GN93" s="377">
        <v>1</v>
      </c>
      <c r="GO93" s="373"/>
      <c r="GP93" s="444">
        <v>100</v>
      </c>
      <c r="GQ93" s="377">
        <v>8</v>
      </c>
      <c r="GR93" s="373">
        <v>1</v>
      </c>
      <c r="GS93" s="444">
        <v>88.9</v>
      </c>
      <c r="GT93" s="377">
        <v>2</v>
      </c>
      <c r="GU93" s="373"/>
      <c r="GV93" s="444">
        <v>100</v>
      </c>
      <c r="GW93" s="377"/>
      <c r="GX93" s="373"/>
      <c r="GY93" s="444"/>
      <c r="GZ93" s="377"/>
      <c r="HA93" s="373"/>
      <c r="HB93" s="444" t="s">
        <v>6</v>
      </c>
      <c r="HC93" s="377"/>
      <c r="HD93" s="373"/>
      <c r="HE93" s="444" t="s">
        <v>6</v>
      </c>
      <c r="HF93" s="377"/>
      <c r="HG93" s="373"/>
      <c r="HH93" s="444" t="s">
        <v>6</v>
      </c>
      <c r="HI93" s="377"/>
      <c r="HJ93" s="373"/>
      <c r="HK93" s="444"/>
      <c r="HL93" s="377">
        <v>11</v>
      </c>
      <c r="HM93" s="373">
        <v>3</v>
      </c>
      <c r="HN93" s="444">
        <v>78.599999999999994</v>
      </c>
      <c r="HO93" s="377">
        <v>9</v>
      </c>
      <c r="HP93" s="373">
        <v>2</v>
      </c>
      <c r="HQ93" s="444">
        <v>81.8</v>
      </c>
      <c r="HR93" s="377"/>
      <c r="HS93" s="373"/>
      <c r="HT93" s="444" t="s">
        <v>6</v>
      </c>
      <c r="HU93" s="377"/>
      <c r="HV93" s="373"/>
      <c r="HW93" s="444"/>
      <c r="HX93" s="377">
        <v>1</v>
      </c>
      <c r="HY93" s="373"/>
      <c r="HZ93" s="444">
        <v>100</v>
      </c>
      <c r="IA93" s="377">
        <v>2</v>
      </c>
      <c r="IB93" s="373">
        <v>1</v>
      </c>
      <c r="IC93" s="444">
        <v>66.7</v>
      </c>
      <c r="ID93" s="377">
        <v>2</v>
      </c>
      <c r="IE93" s="373"/>
      <c r="IF93" s="444">
        <v>100</v>
      </c>
      <c r="IG93" s="377"/>
      <c r="IH93" s="373"/>
      <c r="II93" s="444"/>
      <c r="IJ93" s="377">
        <v>1</v>
      </c>
      <c r="IK93" s="373"/>
      <c r="IL93" s="444">
        <v>100</v>
      </c>
      <c r="IM93" s="377">
        <v>1</v>
      </c>
      <c r="IN93" s="373"/>
      <c r="IO93" s="444">
        <v>100</v>
      </c>
      <c r="IP93" s="377"/>
      <c r="IQ93" s="373"/>
      <c r="IR93" s="444" t="s">
        <v>6</v>
      </c>
      <c r="IS93" s="377"/>
      <c r="IT93" s="373"/>
      <c r="IU93" s="444"/>
      <c r="IV93" s="377">
        <v>218</v>
      </c>
      <c r="IW93" s="373">
        <v>180</v>
      </c>
      <c r="IX93" s="444">
        <v>54.8</v>
      </c>
      <c r="IY93" s="377">
        <v>183</v>
      </c>
      <c r="IZ93" s="373">
        <v>70</v>
      </c>
      <c r="JA93" s="444">
        <v>72.3</v>
      </c>
      <c r="JB93" s="377">
        <v>146</v>
      </c>
      <c r="JC93" s="373">
        <v>45</v>
      </c>
      <c r="JD93" s="444">
        <v>76.400000000000006</v>
      </c>
      <c r="JE93" s="377"/>
      <c r="JF93" s="373"/>
      <c r="JG93" s="444"/>
      <c r="JH93" s="377">
        <v>38</v>
      </c>
      <c r="JI93" s="373">
        <v>15</v>
      </c>
      <c r="JJ93" s="444">
        <v>71.7</v>
      </c>
      <c r="JK93" s="377">
        <v>28</v>
      </c>
      <c r="JL93" s="373">
        <v>11</v>
      </c>
      <c r="JM93" s="444">
        <v>71.8</v>
      </c>
      <c r="JN93" s="377">
        <v>19</v>
      </c>
      <c r="JO93" s="373">
        <v>9</v>
      </c>
      <c r="JP93" s="444">
        <v>67.900000000000006</v>
      </c>
      <c r="JQ93" s="377"/>
      <c r="JR93" s="373"/>
      <c r="JS93" s="444"/>
      <c r="JT93" s="377"/>
      <c r="JU93" s="373"/>
      <c r="JV93" s="444" t="s">
        <v>6</v>
      </c>
      <c r="JW93" s="377"/>
      <c r="JX93" s="373"/>
      <c r="JY93" s="444" t="s">
        <v>6</v>
      </c>
      <c r="JZ93" s="377"/>
      <c r="KA93" s="373"/>
      <c r="KB93" s="444" t="s">
        <v>6</v>
      </c>
      <c r="KC93" s="377"/>
      <c r="KD93" s="373"/>
      <c r="KE93" s="444"/>
      <c r="KF93" s="377"/>
      <c r="KG93" s="373"/>
      <c r="KH93" s="444" t="s">
        <v>6</v>
      </c>
      <c r="KI93" s="377"/>
      <c r="KJ93" s="373"/>
      <c r="KK93" s="444" t="s">
        <v>6</v>
      </c>
      <c r="KL93" s="377"/>
      <c r="KM93" s="373"/>
      <c r="KN93" s="444" t="s">
        <v>6</v>
      </c>
      <c r="KO93" s="377"/>
      <c r="KP93" s="373"/>
      <c r="KQ93" s="444"/>
      <c r="KR93" s="377">
        <v>42</v>
      </c>
      <c r="KS93" s="373">
        <v>17</v>
      </c>
      <c r="KT93" s="444">
        <v>71.2</v>
      </c>
      <c r="KU93" s="377">
        <v>30</v>
      </c>
      <c r="KV93" s="373">
        <v>12</v>
      </c>
      <c r="KW93" s="444">
        <v>71.400000000000006</v>
      </c>
      <c r="KX93" s="377">
        <v>22</v>
      </c>
      <c r="KY93" s="373">
        <v>11</v>
      </c>
      <c r="KZ93" s="444">
        <v>66.7</v>
      </c>
      <c r="LA93" s="377"/>
      <c r="LB93" s="373"/>
      <c r="LC93" s="444"/>
      <c r="LD93" s="377">
        <v>278</v>
      </c>
      <c r="LE93" s="373">
        <v>199</v>
      </c>
      <c r="LF93" s="444">
        <v>58.3</v>
      </c>
      <c r="LG93" s="377">
        <v>223</v>
      </c>
      <c r="LH93" s="373">
        <v>78</v>
      </c>
      <c r="LI93" s="444">
        <v>74.099999999999994</v>
      </c>
      <c r="LJ93" s="377">
        <v>182</v>
      </c>
      <c r="LK93" s="373">
        <v>51</v>
      </c>
      <c r="LL93" s="444">
        <v>78.099999999999994</v>
      </c>
      <c r="LM93" s="377"/>
      <c r="LN93" s="373"/>
      <c r="LO93" s="444"/>
    </row>
    <row r="94" spans="1:327" x14ac:dyDescent="0.2">
      <c r="A94" s="1001"/>
      <c r="B94" s="747" t="s">
        <v>621</v>
      </c>
      <c r="C94" s="151" t="s">
        <v>696</v>
      </c>
      <c r="D94" s="377"/>
      <c r="E94" s="373"/>
      <c r="F94" s="444" t="s">
        <v>6</v>
      </c>
      <c r="G94" s="377"/>
      <c r="H94" s="373"/>
      <c r="I94" s="444" t="s">
        <v>6</v>
      </c>
      <c r="J94" s="377"/>
      <c r="K94" s="373"/>
      <c r="L94" s="444" t="s">
        <v>6</v>
      </c>
      <c r="M94" s="377"/>
      <c r="N94" s="373"/>
      <c r="O94" s="444"/>
      <c r="P94" s="377"/>
      <c r="Q94" s="373"/>
      <c r="R94" s="444" t="s">
        <v>6</v>
      </c>
      <c r="S94" s="377"/>
      <c r="T94" s="373"/>
      <c r="U94" s="444" t="s">
        <v>6</v>
      </c>
      <c r="V94" s="377"/>
      <c r="W94" s="373"/>
      <c r="X94" s="444" t="s">
        <v>6</v>
      </c>
      <c r="Y94" s="377"/>
      <c r="Z94" s="373"/>
      <c r="AA94" s="444"/>
      <c r="AB94" s="377"/>
      <c r="AC94" s="373"/>
      <c r="AD94" s="444" t="s">
        <v>6</v>
      </c>
      <c r="AE94" s="377"/>
      <c r="AF94" s="373"/>
      <c r="AG94" s="444" t="s">
        <v>6</v>
      </c>
      <c r="AH94" s="377"/>
      <c r="AI94" s="373"/>
      <c r="AJ94" s="444" t="s">
        <v>6</v>
      </c>
      <c r="AK94" s="377"/>
      <c r="AL94" s="373"/>
      <c r="AM94" s="444"/>
      <c r="AN94" s="377">
        <v>17</v>
      </c>
      <c r="AO94" s="373">
        <v>4</v>
      </c>
      <c r="AP94" s="444">
        <v>81</v>
      </c>
      <c r="AQ94" s="377">
        <v>30</v>
      </c>
      <c r="AR94" s="373">
        <v>2</v>
      </c>
      <c r="AS94" s="444">
        <v>93.8</v>
      </c>
      <c r="AT94" s="377">
        <v>16</v>
      </c>
      <c r="AU94" s="373"/>
      <c r="AV94" s="444">
        <v>100</v>
      </c>
      <c r="AW94" s="377"/>
      <c r="AX94" s="373"/>
      <c r="AY94" s="444"/>
      <c r="AZ94" s="377">
        <v>11</v>
      </c>
      <c r="BA94" s="373">
        <v>4</v>
      </c>
      <c r="BB94" s="444">
        <v>73.3</v>
      </c>
      <c r="BC94" s="377">
        <v>25</v>
      </c>
      <c r="BD94" s="373">
        <v>1</v>
      </c>
      <c r="BE94" s="444">
        <v>96.2</v>
      </c>
      <c r="BF94" s="377">
        <v>14</v>
      </c>
      <c r="BG94" s="373"/>
      <c r="BH94" s="444">
        <v>100</v>
      </c>
      <c r="BI94" s="377"/>
      <c r="BJ94" s="373"/>
      <c r="BK94" s="444"/>
      <c r="BL94" s="377"/>
      <c r="BM94" s="373"/>
      <c r="BN94" s="444" t="s">
        <v>6</v>
      </c>
      <c r="BO94" s="377"/>
      <c r="BP94" s="373"/>
      <c r="BQ94" s="444" t="s">
        <v>6</v>
      </c>
      <c r="BR94" s="377"/>
      <c r="BS94" s="373"/>
      <c r="BT94" s="444" t="s">
        <v>6</v>
      </c>
      <c r="BU94" s="377"/>
      <c r="BV94" s="373"/>
      <c r="BW94" s="444"/>
      <c r="BX94" s="377"/>
      <c r="BY94" s="373"/>
      <c r="BZ94" s="444" t="s">
        <v>6</v>
      </c>
      <c r="CA94" s="377"/>
      <c r="CB94" s="373"/>
      <c r="CC94" s="444" t="s">
        <v>6</v>
      </c>
      <c r="CD94" s="377"/>
      <c r="CE94" s="373"/>
      <c r="CF94" s="444" t="s">
        <v>6</v>
      </c>
      <c r="CG94" s="377"/>
      <c r="CH94" s="373"/>
      <c r="CI94" s="444"/>
      <c r="CJ94" s="377"/>
      <c r="CK94" s="373"/>
      <c r="CL94" s="444" t="s">
        <v>6</v>
      </c>
      <c r="CM94" s="377"/>
      <c r="CN94" s="373"/>
      <c r="CO94" s="444" t="s">
        <v>6</v>
      </c>
      <c r="CP94" s="377"/>
      <c r="CQ94" s="373"/>
      <c r="CR94" s="444" t="s">
        <v>6</v>
      </c>
      <c r="CS94" s="377"/>
      <c r="CT94" s="373"/>
      <c r="CU94" s="444"/>
      <c r="CV94" s="377">
        <v>24</v>
      </c>
      <c r="CW94" s="373">
        <v>2</v>
      </c>
      <c r="CX94" s="444">
        <v>92.3</v>
      </c>
      <c r="CY94" s="377">
        <v>20</v>
      </c>
      <c r="CZ94" s="373"/>
      <c r="DA94" s="444">
        <v>100</v>
      </c>
      <c r="DB94" s="377">
        <v>16</v>
      </c>
      <c r="DC94" s="373"/>
      <c r="DD94" s="444">
        <v>100</v>
      </c>
      <c r="DE94" s="377"/>
      <c r="DF94" s="373"/>
      <c r="DG94" s="444"/>
      <c r="DH94" s="377"/>
      <c r="DI94" s="373"/>
      <c r="DJ94" s="444" t="s">
        <v>6</v>
      </c>
      <c r="DK94" s="377">
        <v>1</v>
      </c>
      <c r="DL94" s="373"/>
      <c r="DM94" s="444">
        <v>100</v>
      </c>
      <c r="DN94" s="377">
        <v>1</v>
      </c>
      <c r="DO94" s="373"/>
      <c r="DP94" s="444">
        <v>100</v>
      </c>
      <c r="DQ94" s="377"/>
      <c r="DR94" s="373"/>
      <c r="DS94" s="444"/>
      <c r="DT94" s="377"/>
      <c r="DU94" s="373"/>
      <c r="DV94" s="444" t="s">
        <v>6</v>
      </c>
      <c r="DW94" s="377"/>
      <c r="DX94" s="373"/>
      <c r="DY94" s="444" t="s">
        <v>6</v>
      </c>
      <c r="DZ94" s="377"/>
      <c r="EA94" s="373"/>
      <c r="EB94" s="444" t="s">
        <v>6</v>
      </c>
      <c r="EC94" s="377"/>
      <c r="ED94" s="373"/>
      <c r="EE94" s="444"/>
      <c r="EF94" s="377">
        <v>58</v>
      </c>
      <c r="EG94" s="373">
        <v>67</v>
      </c>
      <c r="EH94" s="444">
        <v>46.4</v>
      </c>
      <c r="EI94" s="377">
        <v>84</v>
      </c>
      <c r="EJ94" s="373">
        <v>91</v>
      </c>
      <c r="EK94" s="444">
        <v>48</v>
      </c>
      <c r="EL94" s="377">
        <v>92</v>
      </c>
      <c r="EM94" s="373">
        <v>45</v>
      </c>
      <c r="EN94" s="444">
        <v>67.2</v>
      </c>
      <c r="EO94" s="377"/>
      <c r="EP94" s="373"/>
      <c r="EQ94" s="444"/>
      <c r="ER94" s="377"/>
      <c r="ES94" s="373"/>
      <c r="ET94" s="444" t="s">
        <v>6</v>
      </c>
      <c r="EU94" s="377"/>
      <c r="EV94" s="373"/>
      <c r="EW94" s="444" t="s">
        <v>6</v>
      </c>
      <c r="EX94" s="377"/>
      <c r="EY94" s="373"/>
      <c r="EZ94" s="444" t="s">
        <v>6</v>
      </c>
      <c r="FA94" s="377"/>
      <c r="FB94" s="373"/>
      <c r="FC94" s="444"/>
      <c r="FD94" s="377"/>
      <c r="FE94" s="373">
        <v>1</v>
      </c>
      <c r="FF94" s="444">
        <v>0</v>
      </c>
      <c r="FG94" s="377"/>
      <c r="FH94" s="373">
        <v>4</v>
      </c>
      <c r="FI94" s="444">
        <v>0</v>
      </c>
      <c r="FJ94" s="377">
        <v>2</v>
      </c>
      <c r="FK94" s="373">
        <v>1</v>
      </c>
      <c r="FL94" s="444">
        <v>66.7</v>
      </c>
      <c r="FM94" s="377"/>
      <c r="FN94" s="373"/>
      <c r="FO94" s="444"/>
      <c r="FP94" s="377">
        <v>6</v>
      </c>
      <c r="FQ94" s="373">
        <v>7</v>
      </c>
      <c r="FR94" s="444">
        <v>46.2</v>
      </c>
      <c r="FS94" s="377">
        <v>18</v>
      </c>
      <c r="FT94" s="373">
        <v>16</v>
      </c>
      <c r="FU94" s="444">
        <v>52.9</v>
      </c>
      <c r="FV94" s="377">
        <v>29</v>
      </c>
      <c r="FW94" s="373">
        <v>8</v>
      </c>
      <c r="FX94" s="444">
        <v>78.400000000000006</v>
      </c>
      <c r="FY94" s="377"/>
      <c r="FZ94" s="373"/>
      <c r="GA94" s="444"/>
      <c r="GB94" s="377"/>
      <c r="GC94" s="373"/>
      <c r="GD94" s="444" t="s">
        <v>6</v>
      </c>
      <c r="GE94" s="377"/>
      <c r="GF94" s="373"/>
      <c r="GG94" s="444" t="s">
        <v>6</v>
      </c>
      <c r="GH94" s="377">
        <v>2</v>
      </c>
      <c r="GI94" s="373"/>
      <c r="GJ94" s="444">
        <v>100</v>
      </c>
      <c r="GK94" s="377"/>
      <c r="GL94" s="373"/>
      <c r="GM94" s="444"/>
      <c r="GN94" s="377"/>
      <c r="GO94" s="373"/>
      <c r="GP94" s="444" t="s">
        <v>6</v>
      </c>
      <c r="GQ94" s="377"/>
      <c r="GR94" s="373"/>
      <c r="GS94" s="444" t="s">
        <v>6</v>
      </c>
      <c r="GT94" s="377">
        <v>1</v>
      </c>
      <c r="GU94" s="373"/>
      <c r="GV94" s="444">
        <v>100</v>
      </c>
      <c r="GW94" s="377"/>
      <c r="GX94" s="373"/>
      <c r="GY94" s="444"/>
      <c r="GZ94" s="377"/>
      <c r="HA94" s="373"/>
      <c r="HB94" s="444" t="s">
        <v>6</v>
      </c>
      <c r="HC94" s="377"/>
      <c r="HD94" s="373"/>
      <c r="HE94" s="444" t="s">
        <v>6</v>
      </c>
      <c r="HF94" s="377"/>
      <c r="HG94" s="373"/>
      <c r="HH94" s="444" t="s">
        <v>6</v>
      </c>
      <c r="HI94" s="377"/>
      <c r="HJ94" s="373"/>
      <c r="HK94" s="444"/>
      <c r="HL94" s="377">
        <v>8</v>
      </c>
      <c r="HM94" s="373">
        <v>7</v>
      </c>
      <c r="HN94" s="444">
        <v>53.3</v>
      </c>
      <c r="HO94" s="377">
        <v>7</v>
      </c>
      <c r="HP94" s="373">
        <v>2</v>
      </c>
      <c r="HQ94" s="444">
        <v>77.8</v>
      </c>
      <c r="HR94" s="377">
        <v>2</v>
      </c>
      <c r="HS94" s="373"/>
      <c r="HT94" s="444">
        <v>100</v>
      </c>
      <c r="HU94" s="377"/>
      <c r="HV94" s="373"/>
      <c r="HW94" s="444"/>
      <c r="HX94" s="377">
        <v>1</v>
      </c>
      <c r="HY94" s="373"/>
      <c r="HZ94" s="444">
        <v>100</v>
      </c>
      <c r="IA94" s="377"/>
      <c r="IB94" s="373"/>
      <c r="IC94" s="444" t="s">
        <v>6</v>
      </c>
      <c r="ID94" s="377">
        <v>1</v>
      </c>
      <c r="IE94" s="373">
        <v>1</v>
      </c>
      <c r="IF94" s="444">
        <v>50</v>
      </c>
      <c r="IG94" s="377"/>
      <c r="IH94" s="373"/>
      <c r="II94" s="444"/>
      <c r="IJ94" s="377"/>
      <c r="IK94" s="373">
        <v>1</v>
      </c>
      <c r="IL94" s="444">
        <v>0</v>
      </c>
      <c r="IM94" s="377"/>
      <c r="IN94" s="373"/>
      <c r="IO94" s="444" t="s">
        <v>6</v>
      </c>
      <c r="IP94" s="377">
        <v>1</v>
      </c>
      <c r="IQ94" s="373"/>
      <c r="IR94" s="444">
        <v>100</v>
      </c>
      <c r="IS94" s="377"/>
      <c r="IT94" s="373"/>
      <c r="IU94" s="444"/>
      <c r="IV94" s="377">
        <v>108</v>
      </c>
      <c r="IW94" s="373">
        <v>81</v>
      </c>
      <c r="IX94" s="444">
        <v>57.1</v>
      </c>
      <c r="IY94" s="377">
        <v>142</v>
      </c>
      <c r="IZ94" s="373">
        <v>95</v>
      </c>
      <c r="JA94" s="444">
        <v>59.9</v>
      </c>
      <c r="JB94" s="377">
        <v>132</v>
      </c>
      <c r="JC94" s="373">
        <v>46</v>
      </c>
      <c r="JD94" s="444">
        <v>74.2</v>
      </c>
      <c r="JE94" s="377"/>
      <c r="JF94" s="373"/>
      <c r="JG94" s="444"/>
      <c r="JH94" s="377">
        <v>40</v>
      </c>
      <c r="JI94" s="373">
        <v>15</v>
      </c>
      <c r="JJ94" s="444">
        <v>72.7</v>
      </c>
      <c r="JK94" s="377">
        <v>36</v>
      </c>
      <c r="JL94" s="373">
        <v>20</v>
      </c>
      <c r="JM94" s="444">
        <v>64.3</v>
      </c>
      <c r="JN94" s="377">
        <v>20</v>
      </c>
      <c r="JO94" s="373">
        <v>6</v>
      </c>
      <c r="JP94" s="444">
        <v>76.900000000000006</v>
      </c>
      <c r="JQ94" s="377"/>
      <c r="JR94" s="373"/>
      <c r="JS94" s="444"/>
      <c r="JT94" s="377"/>
      <c r="JU94" s="373"/>
      <c r="JV94" s="444" t="s">
        <v>6</v>
      </c>
      <c r="JW94" s="377"/>
      <c r="JX94" s="373"/>
      <c r="JY94" s="444" t="s">
        <v>6</v>
      </c>
      <c r="JZ94" s="377">
        <v>1</v>
      </c>
      <c r="KA94" s="373"/>
      <c r="KB94" s="444">
        <v>100</v>
      </c>
      <c r="KC94" s="377"/>
      <c r="KD94" s="373"/>
      <c r="KE94" s="444"/>
      <c r="KF94" s="377"/>
      <c r="KG94" s="373"/>
      <c r="KH94" s="444" t="s">
        <v>6</v>
      </c>
      <c r="KI94" s="377">
        <v>1</v>
      </c>
      <c r="KJ94" s="373"/>
      <c r="KK94" s="444">
        <v>100</v>
      </c>
      <c r="KL94" s="377">
        <v>1</v>
      </c>
      <c r="KM94" s="373"/>
      <c r="KN94" s="444">
        <v>100</v>
      </c>
      <c r="KO94" s="377"/>
      <c r="KP94" s="373"/>
      <c r="KQ94" s="444"/>
      <c r="KR94" s="377">
        <v>45</v>
      </c>
      <c r="KS94" s="373">
        <v>15</v>
      </c>
      <c r="KT94" s="444">
        <v>75</v>
      </c>
      <c r="KU94" s="377">
        <v>40</v>
      </c>
      <c r="KV94" s="373">
        <v>20</v>
      </c>
      <c r="KW94" s="444">
        <v>66.7</v>
      </c>
      <c r="KX94" s="377">
        <v>26</v>
      </c>
      <c r="KY94" s="373">
        <v>7</v>
      </c>
      <c r="KZ94" s="444">
        <v>78.8</v>
      </c>
      <c r="LA94" s="377"/>
      <c r="LB94" s="373"/>
      <c r="LC94" s="444"/>
      <c r="LD94" s="377">
        <v>153</v>
      </c>
      <c r="LE94" s="373">
        <v>100</v>
      </c>
      <c r="LF94" s="444">
        <v>60.5</v>
      </c>
      <c r="LG94" s="377">
        <v>181</v>
      </c>
      <c r="LH94" s="373">
        <v>117</v>
      </c>
      <c r="LI94" s="444">
        <v>60.7</v>
      </c>
      <c r="LJ94" s="377">
        <v>176</v>
      </c>
      <c r="LK94" s="373">
        <v>64</v>
      </c>
      <c r="LL94" s="444">
        <v>73.3</v>
      </c>
      <c r="LM94" s="377"/>
      <c r="LN94" s="373"/>
      <c r="LO94" s="444"/>
    </row>
    <row r="95" spans="1:327" x14ac:dyDescent="0.2">
      <c r="A95" s="1001"/>
      <c r="B95" s="747" t="s">
        <v>621</v>
      </c>
      <c r="C95" s="151" t="s">
        <v>697</v>
      </c>
      <c r="D95" s="377"/>
      <c r="E95" s="373"/>
      <c r="F95" s="444" t="s">
        <v>6</v>
      </c>
      <c r="G95" s="377"/>
      <c r="H95" s="373"/>
      <c r="I95" s="444" t="s">
        <v>6</v>
      </c>
      <c r="J95" s="377"/>
      <c r="K95" s="373"/>
      <c r="L95" s="444" t="s">
        <v>6</v>
      </c>
      <c r="M95" s="377"/>
      <c r="N95" s="373"/>
      <c r="O95" s="444"/>
      <c r="P95" s="377"/>
      <c r="Q95" s="373"/>
      <c r="R95" s="444" t="s">
        <v>6</v>
      </c>
      <c r="S95" s="377"/>
      <c r="T95" s="373"/>
      <c r="U95" s="444" t="s">
        <v>6</v>
      </c>
      <c r="V95" s="377"/>
      <c r="W95" s="373"/>
      <c r="X95" s="444" t="s">
        <v>6</v>
      </c>
      <c r="Y95" s="377"/>
      <c r="Z95" s="373"/>
      <c r="AA95" s="444"/>
      <c r="AB95" s="377"/>
      <c r="AC95" s="373"/>
      <c r="AD95" s="444" t="s">
        <v>6</v>
      </c>
      <c r="AE95" s="377"/>
      <c r="AF95" s="373"/>
      <c r="AG95" s="444" t="s">
        <v>6</v>
      </c>
      <c r="AH95" s="377"/>
      <c r="AI95" s="373"/>
      <c r="AJ95" s="444" t="s">
        <v>6</v>
      </c>
      <c r="AK95" s="377"/>
      <c r="AL95" s="373"/>
      <c r="AM95" s="444"/>
      <c r="AN95" s="377">
        <v>25</v>
      </c>
      <c r="AO95" s="373">
        <v>4</v>
      </c>
      <c r="AP95" s="444">
        <v>86.2</v>
      </c>
      <c r="AQ95" s="377">
        <v>32</v>
      </c>
      <c r="AR95" s="373">
        <v>2</v>
      </c>
      <c r="AS95" s="444">
        <v>94.1</v>
      </c>
      <c r="AT95" s="377">
        <v>30</v>
      </c>
      <c r="AU95" s="373">
        <v>1</v>
      </c>
      <c r="AV95" s="444">
        <v>96.8</v>
      </c>
      <c r="AW95" s="377"/>
      <c r="AX95" s="373"/>
      <c r="AY95" s="444"/>
      <c r="AZ95" s="377">
        <v>18</v>
      </c>
      <c r="BA95" s="373">
        <v>4</v>
      </c>
      <c r="BB95" s="444">
        <v>81.8</v>
      </c>
      <c r="BC95" s="377">
        <v>24</v>
      </c>
      <c r="BD95" s="373">
        <v>2</v>
      </c>
      <c r="BE95" s="444">
        <v>92.3</v>
      </c>
      <c r="BF95" s="377">
        <v>19</v>
      </c>
      <c r="BG95" s="373">
        <v>1</v>
      </c>
      <c r="BH95" s="444">
        <v>95</v>
      </c>
      <c r="BI95" s="377"/>
      <c r="BJ95" s="373"/>
      <c r="BK95" s="444"/>
      <c r="BL95" s="377"/>
      <c r="BM95" s="373"/>
      <c r="BN95" s="444" t="s">
        <v>6</v>
      </c>
      <c r="BO95" s="377"/>
      <c r="BP95" s="373"/>
      <c r="BQ95" s="444" t="s">
        <v>6</v>
      </c>
      <c r="BR95" s="377"/>
      <c r="BS95" s="373"/>
      <c r="BT95" s="444" t="s">
        <v>6</v>
      </c>
      <c r="BU95" s="377"/>
      <c r="BV95" s="373"/>
      <c r="BW95" s="444"/>
      <c r="BX95" s="377"/>
      <c r="BY95" s="373"/>
      <c r="BZ95" s="444" t="s">
        <v>6</v>
      </c>
      <c r="CA95" s="377"/>
      <c r="CB95" s="373"/>
      <c r="CC95" s="444" t="s">
        <v>6</v>
      </c>
      <c r="CD95" s="377"/>
      <c r="CE95" s="373"/>
      <c r="CF95" s="444" t="s">
        <v>6</v>
      </c>
      <c r="CG95" s="377"/>
      <c r="CH95" s="373"/>
      <c r="CI95" s="444"/>
      <c r="CJ95" s="377"/>
      <c r="CK95" s="373"/>
      <c r="CL95" s="444" t="s">
        <v>6</v>
      </c>
      <c r="CM95" s="377"/>
      <c r="CN95" s="373"/>
      <c r="CO95" s="444" t="s">
        <v>6</v>
      </c>
      <c r="CP95" s="377"/>
      <c r="CQ95" s="373"/>
      <c r="CR95" s="444" t="s">
        <v>6</v>
      </c>
      <c r="CS95" s="377"/>
      <c r="CT95" s="373"/>
      <c r="CU95" s="444"/>
      <c r="CV95" s="377">
        <v>13</v>
      </c>
      <c r="CW95" s="373">
        <v>1</v>
      </c>
      <c r="CX95" s="444">
        <v>92.9</v>
      </c>
      <c r="CY95" s="377">
        <v>16</v>
      </c>
      <c r="CZ95" s="373"/>
      <c r="DA95" s="444">
        <v>100</v>
      </c>
      <c r="DB95" s="377">
        <v>11</v>
      </c>
      <c r="DC95" s="373"/>
      <c r="DD95" s="444">
        <v>100</v>
      </c>
      <c r="DE95" s="377"/>
      <c r="DF95" s="373"/>
      <c r="DG95" s="444"/>
      <c r="DH95" s="377">
        <v>1</v>
      </c>
      <c r="DI95" s="373"/>
      <c r="DJ95" s="444">
        <v>100</v>
      </c>
      <c r="DK95" s="377"/>
      <c r="DL95" s="373"/>
      <c r="DM95" s="444" t="s">
        <v>6</v>
      </c>
      <c r="DN95" s="377">
        <v>1</v>
      </c>
      <c r="DO95" s="373"/>
      <c r="DP95" s="444">
        <v>100</v>
      </c>
      <c r="DQ95" s="377"/>
      <c r="DR95" s="373"/>
      <c r="DS95" s="444"/>
      <c r="DT95" s="377"/>
      <c r="DU95" s="373"/>
      <c r="DV95" s="444" t="s">
        <v>6</v>
      </c>
      <c r="DW95" s="377">
        <v>1</v>
      </c>
      <c r="DX95" s="373"/>
      <c r="DY95" s="444">
        <v>100</v>
      </c>
      <c r="DZ95" s="377"/>
      <c r="EA95" s="373"/>
      <c r="EB95" s="444" t="s">
        <v>6</v>
      </c>
      <c r="EC95" s="377"/>
      <c r="ED95" s="373"/>
      <c r="EE95" s="444"/>
      <c r="EF95" s="377">
        <v>86</v>
      </c>
      <c r="EG95" s="373">
        <v>121</v>
      </c>
      <c r="EH95" s="444">
        <v>41.5</v>
      </c>
      <c r="EI95" s="377">
        <v>99</v>
      </c>
      <c r="EJ95" s="373">
        <v>97</v>
      </c>
      <c r="EK95" s="444">
        <v>50.5</v>
      </c>
      <c r="EL95" s="377">
        <v>90</v>
      </c>
      <c r="EM95" s="373">
        <v>72</v>
      </c>
      <c r="EN95" s="444">
        <v>55.6</v>
      </c>
      <c r="EO95" s="377"/>
      <c r="EP95" s="373"/>
      <c r="EQ95" s="444"/>
      <c r="ER95" s="377"/>
      <c r="ES95" s="373"/>
      <c r="ET95" s="444" t="s">
        <v>6</v>
      </c>
      <c r="EU95" s="377"/>
      <c r="EV95" s="373"/>
      <c r="EW95" s="444" t="s">
        <v>6</v>
      </c>
      <c r="EX95" s="377"/>
      <c r="EY95" s="373"/>
      <c r="EZ95" s="444" t="s">
        <v>6</v>
      </c>
      <c r="FA95" s="377"/>
      <c r="FB95" s="373"/>
      <c r="FC95" s="444"/>
      <c r="FD95" s="377">
        <v>1</v>
      </c>
      <c r="FE95" s="373">
        <v>1</v>
      </c>
      <c r="FF95" s="444">
        <v>50</v>
      </c>
      <c r="FG95" s="377"/>
      <c r="FH95" s="373">
        <v>1</v>
      </c>
      <c r="FI95" s="444">
        <v>0</v>
      </c>
      <c r="FJ95" s="377">
        <v>2</v>
      </c>
      <c r="FK95" s="373">
        <v>2</v>
      </c>
      <c r="FL95" s="444">
        <v>50</v>
      </c>
      <c r="FM95" s="377"/>
      <c r="FN95" s="373"/>
      <c r="FO95" s="444"/>
      <c r="FP95" s="377">
        <v>34</v>
      </c>
      <c r="FQ95" s="373">
        <v>24</v>
      </c>
      <c r="FR95" s="444">
        <v>58.6</v>
      </c>
      <c r="FS95" s="377">
        <v>28</v>
      </c>
      <c r="FT95" s="373">
        <v>21</v>
      </c>
      <c r="FU95" s="444">
        <v>57.1</v>
      </c>
      <c r="FV95" s="377">
        <v>21</v>
      </c>
      <c r="FW95" s="373">
        <v>12</v>
      </c>
      <c r="FX95" s="444">
        <v>63.6</v>
      </c>
      <c r="FY95" s="377"/>
      <c r="FZ95" s="373"/>
      <c r="GA95" s="444"/>
      <c r="GB95" s="377">
        <v>1</v>
      </c>
      <c r="GC95" s="373"/>
      <c r="GD95" s="444">
        <v>100</v>
      </c>
      <c r="GE95" s="377">
        <v>3</v>
      </c>
      <c r="GF95" s="373"/>
      <c r="GG95" s="444">
        <v>100</v>
      </c>
      <c r="GH95" s="377">
        <v>1</v>
      </c>
      <c r="GI95" s="373"/>
      <c r="GJ95" s="444">
        <v>100</v>
      </c>
      <c r="GK95" s="377"/>
      <c r="GL95" s="373"/>
      <c r="GM95" s="444"/>
      <c r="GN95" s="377">
        <v>1</v>
      </c>
      <c r="GO95" s="373"/>
      <c r="GP95" s="444">
        <v>100</v>
      </c>
      <c r="GQ95" s="377">
        <v>7</v>
      </c>
      <c r="GR95" s="373"/>
      <c r="GS95" s="444">
        <v>100</v>
      </c>
      <c r="GT95" s="377">
        <v>1</v>
      </c>
      <c r="GU95" s="373">
        <v>1</v>
      </c>
      <c r="GV95" s="444">
        <v>50</v>
      </c>
      <c r="GW95" s="377"/>
      <c r="GX95" s="373"/>
      <c r="GY95" s="444"/>
      <c r="GZ95" s="377"/>
      <c r="HA95" s="373"/>
      <c r="HB95" s="444" t="s">
        <v>6</v>
      </c>
      <c r="HC95" s="377">
        <v>1</v>
      </c>
      <c r="HD95" s="373"/>
      <c r="HE95" s="444">
        <v>100</v>
      </c>
      <c r="HF95" s="377"/>
      <c r="HG95" s="373"/>
      <c r="HH95" s="444" t="s">
        <v>6</v>
      </c>
      <c r="HI95" s="377"/>
      <c r="HJ95" s="373"/>
      <c r="HK95" s="444"/>
      <c r="HL95" s="377">
        <v>26</v>
      </c>
      <c r="HM95" s="373">
        <v>7</v>
      </c>
      <c r="HN95" s="444">
        <v>78.8</v>
      </c>
      <c r="HO95" s="377">
        <v>5</v>
      </c>
      <c r="HP95" s="373">
        <v>3</v>
      </c>
      <c r="HQ95" s="444">
        <v>62.5</v>
      </c>
      <c r="HR95" s="377">
        <v>3</v>
      </c>
      <c r="HS95" s="373">
        <v>1</v>
      </c>
      <c r="HT95" s="444">
        <v>75</v>
      </c>
      <c r="HU95" s="377"/>
      <c r="HV95" s="373"/>
      <c r="HW95" s="444"/>
      <c r="HX95" s="377">
        <v>3</v>
      </c>
      <c r="HY95" s="373"/>
      <c r="HZ95" s="444">
        <v>100</v>
      </c>
      <c r="IA95" s="377"/>
      <c r="IB95" s="373"/>
      <c r="IC95" s="444" t="s">
        <v>6</v>
      </c>
      <c r="ID95" s="377"/>
      <c r="IE95" s="373"/>
      <c r="IF95" s="444" t="s">
        <v>6</v>
      </c>
      <c r="IG95" s="377"/>
      <c r="IH95" s="373"/>
      <c r="II95" s="444"/>
      <c r="IJ95" s="377"/>
      <c r="IK95" s="373">
        <v>1</v>
      </c>
      <c r="IL95" s="444">
        <v>0</v>
      </c>
      <c r="IM95" s="377"/>
      <c r="IN95" s="373"/>
      <c r="IO95" s="444" t="s">
        <v>6</v>
      </c>
      <c r="IP95" s="377">
        <v>2</v>
      </c>
      <c r="IQ95" s="373"/>
      <c r="IR95" s="444">
        <v>100</v>
      </c>
      <c r="IS95" s="377"/>
      <c r="IT95" s="373"/>
      <c r="IU95" s="444"/>
      <c r="IV95" s="377">
        <v>156</v>
      </c>
      <c r="IW95" s="373">
        <v>134</v>
      </c>
      <c r="IX95" s="444">
        <v>53.8</v>
      </c>
      <c r="IY95" s="377">
        <v>164</v>
      </c>
      <c r="IZ95" s="373">
        <v>102</v>
      </c>
      <c r="JA95" s="444">
        <v>61.7</v>
      </c>
      <c r="JB95" s="377">
        <v>139</v>
      </c>
      <c r="JC95" s="373">
        <v>75</v>
      </c>
      <c r="JD95" s="444">
        <v>65</v>
      </c>
      <c r="JE95" s="377"/>
      <c r="JF95" s="373"/>
      <c r="JG95" s="444"/>
      <c r="JH95" s="377">
        <v>41</v>
      </c>
      <c r="JI95" s="373">
        <v>24</v>
      </c>
      <c r="JJ95" s="444">
        <v>63.1</v>
      </c>
      <c r="JK95" s="377">
        <v>31</v>
      </c>
      <c r="JL95" s="373">
        <v>13</v>
      </c>
      <c r="JM95" s="444">
        <v>70.5</v>
      </c>
      <c r="JN95" s="377">
        <v>24</v>
      </c>
      <c r="JO95" s="373">
        <v>6</v>
      </c>
      <c r="JP95" s="444">
        <v>80</v>
      </c>
      <c r="JQ95" s="377"/>
      <c r="JR95" s="373"/>
      <c r="JS95" s="444"/>
      <c r="JT95" s="377">
        <v>1</v>
      </c>
      <c r="JU95" s="373"/>
      <c r="JV95" s="444">
        <v>100</v>
      </c>
      <c r="JW95" s="377">
        <v>4</v>
      </c>
      <c r="JX95" s="373">
        <v>1</v>
      </c>
      <c r="JY95" s="444">
        <v>80</v>
      </c>
      <c r="JZ95" s="377">
        <v>1</v>
      </c>
      <c r="KA95" s="373"/>
      <c r="KB95" s="444">
        <v>100</v>
      </c>
      <c r="KC95" s="377"/>
      <c r="KD95" s="373"/>
      <c r="KE95" s="444"/>
      <c r="KF95" s="377"/>
      <c r="KG95" s="373">
        <v>1</v>
      </c>
      <c r="KH95" s="444">
        <v>0</v>
      </c>
      <c r="KI95" s="377">
        <v>1</v>
      </c>
      <c r="KJ95" s="373"/>
      <c r="KK95" s="444">
        <v>100</v>
      </c>
      <c r="KL95" s="377"/>
      <c r="KM95" s="373"/>
      <c r="KN95" s="444" t="s">
        <v>6</v>
      </c>
      <c r="KO95" s="377"/>
      <c r="KP95" s="373"/>
      <c r="KQ95" s="444"/>
      <c r="KR95" s="377">
        <v>52</v>
      </c>
      <c r="KS95" s="373">
        <v>25</v>
      </c>
      <c r="KT95" s="444">
        <v>67.5</v>
      </c>
      <c r="KU95" s="377">
        <v>41</v>
      </c>
      <c r="KV95" s="373">
        <v>14</v>
      </c>
      <c r="KW95" s="444">
        <v>74.5</v>
      </c>
      <c r="KX95" s="377">
        <v>27</v>
      </c>
      <c r="KY95" s="373">
        <v>8</v>
      </c>
      <c r="KZ95" s="444">
        <v>77.099999999999994</v>
      </c>
      <c r="LA95" s="377"/>
      <c r="LB95" s="373"/>
      <c r="LC95" s="444"/>
      <c r="LD95" s="377">
        <v>298</v>
      </c>
      <c r="LE95" s="373">
        <v>164</v>
      </c>
      <c r="LF95" s="444">
        <v>64.5</v>
      </c>
      <c r="LG95" s="377">
        <v>376</v>
      </c>
      <c r="LH95" s="373">
        <v>118</v>
      </c>
      <c r="LI95" s="444">
        <v>76.099999999999994</v>
      </c>
      <c r="LJ95" s="377">
        <v>693</v>
      </c>
      <c r="LK95" s="373">
        <v>91</v>
      </c>
      <c r="LL95" s="444">
        <v>88.4</v>
      </c>
      <c r="LM95" s="377"/>
      <c r="LN95" s="373"/>
      <c r="LO95" s="444"/>
    </row>
    <row r="96" spans="1:327" x14ac:dyDescent="0.2">
      <c r="A96" s="1001"/>
      <c r="B96" s="747" t="s">
        <v>621</v>
      </c>
      <c r="C96" s="151" t="s">
        <v>698</v>
      </c>
      <c r="D96" s="377"/>
      <c r="E96" s="373"/>
      <c r="F96" s="444" t="s">
        <v>6</v>
      </c>
      <c r="G96" s="377"/>
      <c r="H96" s="373"/>
      <c r="I96" s="444" t="s">
        <v>6</v>
      </c>
      <c r="J96" s="377"/>
      <c r="K96" s="373"/>
      <c r="L96" s="444" t="s">
        <v>6</v>
      </c>
      <c r="M96" s="377"/>
      <c r="N96" s="373"/>
      <c r="O96" s="444"/>
      <c r="P96" s="377"/>
      <c r="Q96" s="373"/>
      <c r="R96" s="444" t="s">
        <v>6</v>
      </c>
      <c r="S96" s="377"/>
      <c r="T96" s="373"/>
      <c r="U96" s="444" t="s">
        <v>6</v>
      </c>
      <c r="V96" s="377"/>
      <c r="W96" s="373"/>
      <c r="X96" s="444" t="s">
        <v>6</v>
      </c>
      <c r="Y96" s="377"/>
      <c r="Z96" s="373"/>
      <c r="AA96" s="444"/>
      <c r="AB96" s="377"/>
      <c r="AC96" s="373"/>
      <c r="AD96" s="444" t="s">
        <v>6</v>
      </c>
      <c r="AE96" s="377"/>
      <c r="AF96" s="373"/>
      <c r="AG96" s="444" t="s">
        <v>6</v>
      </c>
      <c r="AH96" s="377"/>
      <c r="AI96" s="373"/>
      <c r="AJ96" s="444" t="s">
        <v>6</v>
      </c>
      <c r="AK96" s="377"/>
      <c r="AL96" s="373"/>
      <c r="AM96" s="444"/>
      <c r="AN96" s="377">
        <v>19</v>
      </c>
      <c r="AO96" s="373">
        <v>1</v>
      </c>
      <c r="AP96" s="444">
        <v>95</v>
      </c>
      <c r="AQ96" s="377">
        <v>17</v>
      </c>
      <c r="AR96" s="373">
        <v>2</v>
      </c>
      <c r="AS96" s="444">
        <v>89.5</v>
      </c>
      <c r="AT96" s="377">
        <v>17</v>
      </c>
      <c r="AU96" s="373"/>
      <c r="AV96" s="444">
        <v>100</v>
      </c>
      <c r="AW96" s="377"/>
      <c r="AX96" s="373"/>
      <c r="AY96" s="444"/>
      <c r="AZ96" s="377">
        <v>13</v>
      </c>
      <c r="BA96" s="373"/>
      <c r="BB96" s="444">
        <v>100</v>
      </c>
      <c r="BC96" s="377">
        <v>14</v>
      </c>
      <c r="BD96" s="373"/>
      <c r="BE96" s="444">
        <v>100</v>
      </c>
      <c r="BF96" s="377">
        <v>10</v>
      </c>
      <c r="BG96" s="373"/>
      <c r="BH96" s="444">
        <v>100</v>
      </c>
      <c r="BI96" s="377"/>
      <c r="BJ96" s="373"/>
      <c r="BK96" s="444"/>
      <c r="BL96" s="377"/>
      <c r="BM96" s="373"/>
      <c r="BN96" s="444" t="s">
        <v>6</v>
      </c>
      <c r="BO96" s="377"/>
      <c r="BP96" s="373"/>
      <c r="BQ96" s="444" t="s">
        <v>6</v>
      </c>
      <c r="BR96" s="377"/>
      <c r="BS96" s="373"/>
      <c r="BT96" s="444" t="s">
        <v>6</v>
      </c>
      <c r="BU96" s="377"/>
      <c r="BV96" s="373"/>
      <c r="BW96" s="444"/>
      <c r="BX96" s="377"/>
      <c r="BY96" s="373"/>
      <c r="BZ96" s="444" t="s">
        <v>6</v>
      </c>
      <c r="CA96" s="377"/>
      <c r="CB96" s="373"/>
      <c r="CC96" s="444" t="s">
        <v>6</v>
      </c>
      <c r="CD96" s="377"/>
      <c r="CE96" s="373"/>
      <c r="CF96" s="444" t="s">
        <v>6</v>
      </c>
      <c r="CG96" s="377"/>
      <c r="CH96" s="373"/>
      <c r="CI96" s="444"/>
      <c r="CJ96" s="377"/>
      <c r="CK96" s="373"/>
      <c r="CL96" s="444" t="s">
        <v>6</v>
      </c>
      <c r="CM96" s="377"/>
      <c r="CN96" s="373"/>
      <c r="CO96" s="444" t="s">
        <v>6</v>
      </c>
      <c r="CP96" s="377"/>
      <c r="CQ96" s="373"/>
      <c r="CR96" s="444" t="s">
        <v>6</v>
      </c>
      <c r="CS96" s="377"/>
      <c r="CT96" s="373"/>
      <c r="CU96" s="444"/>
      <c r="CV96" s="377">
        <v>15</v>
      </c>
      <c r="CW96" s="373">
        <v>2</v>
      </c>
      <c r="CX96" s="444">
        <v>88.2</v>
      </c>
      <c r="CY96" s="377">
        <v>10</v>
      </c>
      <c r="CZ96" s="373">
        <v>1</v>
      </c>
      <c r="DA96" s="444">
        <v>90.9</v>
      </c>
      <c r="DB96" s="377">
        <v>22</v>
      </c>
      <c r="DC96" s="373">
        <v>1</v>
      </c>
      <c r="DD96" s="444">
        <v>95.7</v>
      </c>
      <c r="DE96" s="377"/>
      <c r="DF96" s="373"/>
      <c r="DG96" s="444"/>
      <c r="DH96" s="377"/>
      <c r="DI96" s="373"/>
      <c r="DJ96" s="444" t="s">
        <v>6</v>
      </c>
      <c r="DK96" s="377"/>
      <c r="DL96" s="373"/>
      <c r="DM96" s="444" t="s">
        <v>6</v>
      </c>
      <c r="DN96" s="377"/>
      <c r="DO96" s="373"/>
      <c r="DP96" s="444" t="s">
        <v>6</v>
      </c>
      <c r="DQ96" s="377"/>
      <c r="DR96" s="373"/>
      <c r="DS96" s="444"/>
      <c r="DT96" s="377"/>
      <c r="DU96" s="373"/>
      <c r="DV96" s="444" t="s">
        <v>6</v>
      </c>
      <c r="DW96" s="377"/>
      <c r="DX96" s="373"/>
      <c r="DY96" s="444" t="s">
        <v>6</v>
      </c>
      <c r="DZ96" s="377"/>
      <c r="EA96" s="373"/>
      <c r="EB96" s="444" t="s">
        <v>6</v>
      </c>
      <c r="EC96" s="377"/>
      <c r="ED96" s="373"/>
      <c r="EE96" s="444"/>
      <c r="EF96" s="377">
        <v>106</v>
      </c>
      <c r="EG96" s="373">
        <v>124</v>
      </c>
      <c r="EH96" s="444">
        <v>46.1</v>
      </c>
      <c r="EI96" s="377">
        <v>110</v>
      </c>
      <c r="EJ96" s="373">
        <v>74</v>
      </c>
      <c r="EK96" s="444">
        <v>59.8</v>
      </c>
      <c r="EL96" s="377">
        <v>48</v>
      </c>
      <c r="EM96" s="373">
        <v>44</v>
      </c>
      <c r="EN96" s="444">
        <v>52.2</v>
      </c>
      <c r="EO96" s="377"/>
      <c r="EP96" s="373"/>
      <c r="EQ96" s="444"/>
      <c r="ER96" s="377"/>
      <c r="ES96" s="373"/>
      <c r="ET96" s="444" t="s">
        <v>6</v>
      </c>
      <c r="EU96" s="377"/>
      <c r="EV96" s="373"/>
      <c r="EW96" s="444" t="s">
        <v>6</v>
      </c>
      <c r="EX96" s="377"/>
      <c r="EY96" s="373"/>
      <c r="EZ96" s="444" t="s">
        <v>6</v>
      </c>
      <c r="FA96" s="377"/>
      <c r="FB96" s="373"/>
      <c r="FC96" s="444"/>
      <c r="FD96" s="377">
        <v>1</v>
      </c>
      <c r="FE96" s="373">
        <v>2</v>
      </c>
      <c r="FF96" s="444">
        <v>33.299999999999997</v>
      </c>
      <c r="FG96" s="377"/>
      <c r="FH96" s="373">
        <v>6</v>
      </c>
      <c r="FI96" s="444">
        <v>0</v>
      </c>
      <c r="FJ96" s="377"/>
      <c r="FK96" s="373">
        <v>1</v>
      </c>
      <c r="FL96" s="444">
        <v>0</v>
      </c>
      <c r="FM96" s="377"/>
      <c r="FN96" s="373"/>
      <c r="FO96" s="444"/>
      <c r="FP96" s="377">
        <v>8</v>
      </c>
      <c r="FQ96" s="373">
        <v>26</v>
      </c>
      <c r="FR96" s="444">
        <v>23.5</v>
      </c>
      <c r="FS96" s="377">
        <v>35</v>
      </c>
      <c r="FT96" s="373">
        <v>18</v>
      </c>
      <c r="FU96" s="444">
        <v>66</v>
      </c>
      <c r="FV96" s="377">
        <v>18</v>
      </c>
      <c r="FW96" s="373">
        <v>7</v>
      </c>
      <c r="FX96" s="444">
        <v>72</v>
      </c>
      <c r="FY96" s="377"/>
      <c r="FZ96" s="373"/>
      <c r="GA96" s="444"/>
      <c r="GB96" s="377">
        <v>4</v>
      </c>
      <c r="GC96" s="373"/>
      <c r="GD96" s="444">
        <v>100</v>
      </c>
      <c r="GE96" s="377">
        <v>1</v>
      </c>
      <c r="GF96" s="373"/>
      <c r="GG96" s="444">
        <v>100</v>
      </c>
      <c r="GH96" s="377"/>
      <c r="GI96" s="373"/>
      <c r="GJ96" s="444" t="s">
        <v>6</v>
      </c>
      <c r="GK96" s="377"/>
      <c r="GL96" s="373"/>
      <c r="GM96" s="444"/>
      <c r="GN96" s="377">
        <v>1</v>
      </c>
      <c r="GO96" s="373">
        <v>1</v>
      </c>
      <c r="GP96" s="444">
        <v>50</v>
      </c>
      <c r="GQ96" s="377">
        <v>2</v>
      </c>
      <c r="GR96" s="373"/>
      <c r="GS96" s="444">
        <v>100</v>
      </c>
      <c r="GT96" s="377"/>
      <c r="GU96" s="373"/>
      <c r="GV96" s="444" t="s">
        <v>6</v>
      </c>
      <c r="GW96" s="377"/>
      <c r="GX96" s="373"/>
      <c r="GY96" s="444"/>
      <c r="GZ96" s="377"/>
      <c r="HA96" s="373"/>
      <c r="HB96" s="444" t="s">
        <v>6</v>
      </c>
      <c r="HC96" s="377"/>
      <c r="HD96" s="373"/>
      <c r="HE96" s="444" t="s">
        <v>6</v>
      </c>
      <c r="HF96" s="377"/>
      <c r="HG96" s="373"/>
      <c r="HH96" s="444" t="s">
        <v>6</v>
      </c>
      <c r="HI96" s="377"/>
      <c r="HJ96" s="373"/>
      <c r="HK96" s="444"/>
      <c r="HL96" s="377">
        <v>3</v>
      </c>
      <c r="HM96" s="373">
        <v>6</v>
      </c>
      <c r="HN96" s="444">
        <v>33.299999999999997</v>
      </c>
      <c r="HO96" s="377">
        <v>2</v>
      </c>
      <c r="HP96" s="373">
        <v>6</v>
      </c>
      <c r="HQ96" s="444">
        <v>25</v>
      </c>
      <c r="HR96" s="377">
        <v>9</v>
      </c>
      <c r="HS96" s="373">
        <v>6</v>
      </c>
      <c r="HT96" s="444">
        <v>60</v>
      </c>
      <c r="HU96" s="377"/>
      <c r="HV96" s="373"/>
      <c r="HW96" s="444"/>
      <c r="HX96" s="377"/>
      <c r="HY96" s="373"/>
      <c r="HZ96" s="444" t="s">
        <v>6</v>
      </c>
      <c r="IA96" s="377"/>
      <c r="IB96" s="373"/>
      <c r="IC96" s="444" t="s">
        <v>6</v>
      </c>
      <c r="ID96" s="377">
        <v>1</v>
      </c>
      <c r="IE96" s="373"/>
      <c r="IF96" s="444">
        <v>100</v>
      </c>
      <c r="IG96" s="377"/>
      <c r="IH96" s="373"/>
      <c r="II96" s="444"/>
      <c r="IJ96" s="377"/>
      <c r="IK96" s="373"/>
      <c r="IL96" s="444" t="s">
        <v>6</v>
      </c>
      <c r="IM96" s="377">
        <v>2</v>
      </c>
      <c r="IN96" s="373"/>
      <c r="IO96" s="444">
        <v>100</v>
      </c>
      <c r="IP96" s="377"/>
      <c r="IQ96" s="373"/>
      <c r="IR96" s="444" t="s">
        <v>6</v>
      </c>
      <c r="IS96" s="377"/>
      <c r="IT96" s="373"/>
      <c r="IU96" s="444"/>
      <c r="IV96" s="377">
        <v>148</v>
      </c>
      <c r="IW96" s="373">
        <v>134</v>
      </c>
      <c r="IX96" s="444">
        <v>52.5</v>
      </c>
      <c r="IY96" s="377">
        <v>144</v>
      </c>
      <c r="IZ96" s="373">
        <v>83</v>
      </c>
      <c r="JA96" s="444">
        <v>63.4</v>
      </c>
      <c r="JB96" s="377">
        <v>97</v>
      </c>
      <c r="JC96" s="373">
        <v>51</v>
      </c>
      <c r="JD96" s="444">
        <v>65.5</v>
      </c>
      <c r="JE96" s="377"/>
      <c r="JF96" s="373"/>
      <c r="JG96" s="444"/>
      <c r="JH96" s="377">
        <v>17</v>
      </c>
      <c r="JI96" s="373">
        <v>16</v>
      </c>
      <c r="JJ96" s="444">
        <v>51.5</v>
      </c>
      <c r="JK96" s="377">
        <v>42</v>
      </c>
      <c r="JL96" s="373">
        <v>13</v>
      </c>
      <c r="JM96" s="444">
        <v>76.400000000000006</v>
      </c>
      <c r="JN96" s="377">
        <v>19</v>
      </c>
      <c r="JO96" s="373">
        <v>5</v>
      </c>
      <c r="JP96" s="444">
        <v>79.2</v>
      </c>
      <c r="JQ96" s="377"/>
      <c r="JR96" s="373"/>
      <c r="JS96" s="444"/>
      <c r="JT96" s="377"/>
      <c r="JU96" s="373"/>
      <c r="JV96" s="444" t="s">
        <v>6</v>
      </c>
      <c r="JW96" s="377">
        <v>1</v>
      </c>
      <c r="JX96" s="373"/>
      <c r="JY96" s="444">
        <v>100</v>
      </c>
      <c r="JZ96" s="377">
        <v>3</v>
      </c>
      <c r="KA96" s="373"/>
      <c r="KB96" s="444">
        <v>100</v>
      </c>
      <c r="KC96" s="377"/>
      <c r="KD96" s="373"/>
      <c r="KE96" s="444"/>
      <c r="KF96" s="377">
        <v>2</v>
      </c>
      <c r="KG96" s="373"/>
      <c r="KH96" s="444">
        <v>100</v>
      </c>
      <c r="KI96" s="377"/>
      <c r="KJ96" s="373"/>
      <c r="KK96" s="444" t="s">
        <v>6</v>
      </c>
      <c r="KL96" s="377">
        <v>1</v>
      </c>
      <c r="KM96" s="373"/>
      <c r="KN96" s="444">
        <v>100</v>
      </c>
      <c r="KO96" s="377"/>
      <c r="KP96" s="373"/>
      <c r="KQ96" s="444"/>
      <c r="KR96" s="377">
        <v>21</v>
      </c>
      <c r="KS96" s="373">
        <v>16</v>
      </c>
      <c r="KT96" s="444">
        <v>56.8</v>
      </c>
      <c r="KU96" s="377">
        <v>46</v>
      </c>
      <c r="KV96" s="373">
        <v>14</v>
      </c>
      <c r="KW96" s="444">
        <v>76.7</v>
      </c>
      <c r="KX96" s="377">
        <v>24</v>
      </c>
      <c r="KY96" s="373">
        <v>6</v>
      </c>
      <c r="KZ96" s="444">
        <v>80</v>
      </c>
      <c r="LA96" s="377"/>
      <c r="LB96" s="373"/>
      <c r="LC96" s="444"/>
      <c r="LD96" s="377">
        <v>205</v>
      </c>
      <c r="LE96" s="373">
        <v>146</v>
      </c>
      <c r="LF96" s="444">
        <v>58.4</v>
      </c>
      <c r="LG96" s="377">
        <v>172</v>
      </c>
      <c r="LH96" s="373">
        <v>94</v>
      </c>
      <c r="LI96" s="444">
        <v>64.7</v>
      </c>
      <c r="LJ96" s="377">
        <v>239</v>
      </c>
      <c r="LK96" s="373">
        <v>60</v>
      </c>
      <c r="LL96" s="444">
        <v>79.900000000000006</v>
      </c>
      <c r="LM96" s="377"/>
      <c r="LN96" s="373"/>
      <c r="LO96" s="444"/>
    </row>
    <row r="97" spans="1:327" x14ac:dyDescent="0.2">
      <c r="A97" s="1001"/>
      <c r="B97" s="747" t="s">
        <v>621</v>
      </c>
      <c r="C97" s="151" t="s">
        <v>699</v>
      </c>
      <c r="D97" s="377"/>
      <c r="E97" s="373"/>
      <c r="F97" s="444" t="s">
        <v>6</v>
      </c>
      <c r="G97" s="377"/>
      <c r="H97" s="373"/>
      <c r="I97" s="444" t="s">
        <v>6</v>
      </c>
      <c r="J97" s="377"/>
      <c r="K97" s="373"/>
      <c r="L97" s="444" t="s">
        <v>6</v>
      </c>
      <c r="M97" s="377"/>
      <c r="N97" s="373"/>
      <c r="O97" s="444"/>
      <c r="P97" s="377"/>
      <c r="Q97" s="373"/>
      <c r="R97" s="444" t="s">
        <v>6</v>
      </c>
      <c r="S97" s="377"/>
      <c r="T97" s="373"/>
      <c r="U97" s="444" t="s">
        <v>6</v>
      </c>
      <c r="V97" s="377"/>
      <c r="W97" s="373"/>
      <c r="X97" s="444" t="s">
        <v>6</v>
      </c>
      <c r="Y97" s="377"/>
      <c r="Z97" s="373"/>
      <c r="AA97" s="444"/>
      <c r="AB97" s="377"/>
      <c r="AC97" s="373"/>
      <c r="AD97" s="444" t="s">
        <v>6</v>
      </c>
      <c r="AE97" s="377"/>
      <c r="AF97" s="373"/>
      <c r="AG97" s="444" t="s">
        <v>6</v>
      </c>
      <c r="AH97" s="377"/>
      <c r="AI97" s="373"/>
      <c r="AJ97" s="444" t="s">
        <v>6</v>
      </c>
      <c r="AK97" s="377"/>
      <c r="AL97" s="373"/>
      <c r="AM97" s="444"/>
      <c r="AN97" s="377">
        <v>15</v>
      </c>
      <c r="AO97" s="373">
        <v>4</v>
      </c>
      <c r="AP97" s="444">
        <v>78.900000000000006</v>
      </c>
      <c r="AQ97" s="377">
        <v>10</v>
      </c>
      <c r="AR97" s="373"/>
      <c r="AS97" s="444">
        <v>100</v>
      </c>
      <c r="AT97" s="377">
        <v>9</v>
      </c>
      <c r="AU97" s="373">
        <v>2</v>
      </c>
      <c r="AV97" s="444">
        <v>81.8</v>
      </c>
      <c r="AW97" s="377"/>
      <c r="AX97" s="373"/>
      <c r="AY97" s="444"/>
      <c r="AZ97" s="377">
        <v>15</v>
      </c>
      <c r="BA97" s="373">
        <v>4</v>
      </c>
      <c r="BB97" s="444">
        <v>78.900000000000006</v>
      </c>
      <c r="BC97" s="377">
        <v>8</v>
      </c>
      <c r="BD97" s="373"/>
      <c r="BE97" s="444">
        <v>100</v>
      </c>
      <c r="BF97" s="377">
        <v>8</v>
      </c>
      <c r="BG97" s="373">
        <v>2</v>
      </c>
      <c r="BH97" s="444">
        <v>80</v>
      </c>
      <c r="BI97" s="377"/>
      <c r="BJ97" s="373"/>
      <c r="BK97" s="444"/>
      <c r="BL97" s="377"/>
      <c r="BM97" s="373"/>
      <c r="BN97" s="444" t="s">
        <v>6</v>
      </c>
      <c r="BO97" s="377"/>
      <c r="BP97" s="373"/>
      <c r="BQ97" s="444" t="s">
        <v>6</v>
      </c>
      <c r="BR97" s="377"/>
      <c r="BS97" s="373"/>
      <c r="BT97" s="444" t="s">
        <v>6</v>
      </c>
      <c r="BU97" s="377"/>
      <c r="BV97" s="373"/>
      <c r="BW97" s="444"/>
      <c r="BX97" s="377"/>
      <c r="BY97" s="373"/>
      <c r="BZ97" s="444" t="s">
        <v>6</v>
      </c>
      <c r="CA97" s="377"/>
      <c r="CB97" s="373"/>
      <c r="CC97" s="444" t="s">
        <v>6</v>
      </c>
      <c r="CD97" s="377"/>
      <c r="CE97" s="373"/>
      <c r="CF97" s="444" t="s">
        <v>6</v>
      </c>
      <c r="CG97" s="377"/>
      <c r="CH97" s="373"/>
      <c r="CI97" s="444"/>
      <c r="CJ97" s="377"/>
      <c r="CK97" s="373"/>
      <c r="CL97" s="444" t="s">
        <v>6</v>
      </c>
      <c r="CM97" s="377"/>
      <c r="CN97" s="373"/>
      <c r="CO97" s="444" t="s">
        <v>6</v>
      </c>
      <c r="CP97" s="377"/>
      <c r="CQ97" s="373"/>
      <c r="CR97" s="444" t="s">
        <v>6</v>
      </c>
      <c r="CS97" s="377"/>
      <c r="CT97" s="373"/>
      <c r="CU97" s="444"/>
      <c r="CV97" s="377">
        <v>8</v>
      </c>
      <c r="CW97" s="373">
        <v>3</v>
      </c>
      <c r="CX97" s="444">
        <v>72.7</v>
      </c>
      <c r="CY97" s="377">
        <v>11</v>
      </c>
      <c r="CZ97" s="373">
        <v>1</v>
      </c>
      <c r="DA97" s="444">
        <v>91.7</v>
      </c>
      <c r="DB97" s="377">
        <v>3</v>
      </c>
      <c r="DC97" s="373">
        <v>1</v>
      </c>
      <c r="DD97" s="444">
        <v>75</v>
      </c>
      <c r="DE97" s="377"/>
      <c r="DF97" s="373"/>
      <c r="DG97" s="444"/>
      <c r="DH97" s="377"/>
      <c r="DI97" s="373"/>
      <c r="DJ97" s="444" t="s">
        <v>6</v>
      </c>
      <c r="DK97" s="377"/>
      <c r="DL97" s="373"/>
      <c r="DM97" s="444" t="s">
        <v>6</v>
      </c>
      <c r="DN97" s="377"/>
      <c r="DO97" s="373"/>
      <c r="DP97" s="444" t="s">
        <v>6</v>
      </c>
      <c r="DQ97" s="377"/>
      <c r="DR97" s="373"/>
      <c r="DS97" s="444"/>
      <c r="DT97" s="377"/>
      <c r="DU97" s="373"/>
      <c r="DV97" s="444" t="s">
        <v>6</v>
      </c>
      <c r="DW97" s="377"/>
      <c r="DX97" s="373"/>
      <c r="DY97" s="444" t="s">
        <v>6</v>
      </c>
      <c r="DZ97" s="377">
        <v>1</v>
      </c>
      <c r="EA97" s="373"/>
      <c r="EB97" s="444">
        <v>100</v>
      </c>
      <c r="EC97" s="377"/>
      <c r="ED97" s="373"/>
      <c r="EE97" s="444"/>
      <c r="EF97" s="377">
        <v>104</v>
      </c>
      <c r="EG97" s="373">
        <v>148</v>
      </c>
      <c r="EH97" s="444">
        <v>41.3</v>
      </c>
      <c r="EI97" s="377">
        <v>105</v>
      </c>
      <c r="EJ97" s="373">
        <v>64</v>
      </c>
      <c r="EK97" s="444">
        <v>62.1</v>
      </c>
      <c r="EL97" s="377">
        <v>80</v>
      </c>
      <c r="EM97" s="373">
        <v>30</v>
      </c>
      <c r="EN97" s="444">
        <v>72.7</v>
      </c>
      <c r="EO97" s="377"/>
      <c r="EP97" s="373"/>
      <c r="EQ97" s="444"/>
      <c r="ER97" s="377"/>
      <c r="ES97" s="373"/>
      <c r="ET97" s="444" t="s">
        <v>6</v>
      </c>
      <c r="EU97" s="377"/>
      <c r="EV97" s="373"/>
      <c r="EW97" s="444" t="s">
        <v>6</v>
      </c>
      <c r="EX97" s="377"/>
      <c r="EY97" s="373"/>
      <c r="EZ97" s="444" t="s">
        <v>6</v>
      </c>
      <c r="FA97" s="377"/>
      <c r="FB97" s="373"/>
      <c r="FC97" s="444"/>
      <c r="FD97" s="377">
        <v>1</v>
      </c>
      <c r="FE97" s="373">
        <v>3</v>
      </c>
      <c r="FF97" s="444">
        <v>25</v>
      </c>
      <c r="FG97" s="377">
        <v>1</v>
      </c>
      <c r="FH97" s="373">
        <v>1</v>
      </c>
      <c r="FI97" s="444">
        <v>50</v>
      </c>
      <c r="FJ97" s="377"/>
      <c r="FK97" s="373"/>
      <c r="FL97" s="444" t="s">
        <v>6</v>
      </c>
      <c r="FM97" s="377"/>
      <c r="FN97" s="373"/>
      <c r="FO97" s="444"/>
      <c r="FP97" s="377">
        <v>20</v>
      </c>
      <c r="FQ97" s="373">
        <v>28</v>
      </c>
      <c r="FR97" s="444">
        <v>41.7</v>
      </c>
      <c r="FS97" s="377">
        <v>22</v>
      </c>
      <c r="FT97" s="373">
        <v>20</v>
      </c>
      <c r="FU97" s="444">
        <v>52.4</v>
      </c>
      <c r="FV97" s="377">
        <v>22</v>
      </c>
      <c r="FW97" s="373">
        <v>9</v>
      </c>
      <c r="FX97" s="444">
        <v>71</v>
      </c>
      <c r="FY97" s="377"/>
      <c r="FZ97" s="373"/>
      <c r="GA97" s="444"/>
      <c r="GB97" s="377">
        <v>2</v>
      </c>
      <c r="GC97" s="373"/>
      <c r="GD97" s="444">
        <v>100</v>
      </c>
      <c r="GE97" s="377">
        <v>2</v>
      </c>
      <c r="GF97" s="373"/>
      <c r="GG97" s="444">
        <v>100</v>
      </c>
      <c r="GH97" s="377">
        <v>1</v>
      </c>
      <c r="GI97" s="373"/>
      <c r="GJ97" s="444">
        <v>100</v>
      </c>
      <c r="GK97" s="377"/>
      <c r="GL97" s="373"/>
      <c r="GM97" s="444"/>
      <c r="GN97" s="377">
        <v>3</v>
      </c>
      <c r="GO97" s="373">
        <v>2</v>
      </c>
      <c r="GP97" s="444">
        <v>60</v>
      </c>
      <c r="GQ97" s="377">
        <v>1</v>
      </c>
      <c r="GR97" s="373"/>
      <c r="GS97" s="444">
        <v>100</v>
      </c>
      <c r="GT97" s="377">
        <v>2</v>
      </c>
      <c r="GU97" s="373"/>
      <c r="GV97" s="444">
        <v>100</v>
      </c>
      <c r="GW97" s="377"/>
      <c r="GX97" s="373"/>
      <c r="GY97" s="444"/>
      <c r="GZ97" s="377"/>
      <c r="HA97" s="373"/>
      <c r="HB97" s="444" t="s">
        <v>6</v>
      </c>
      <c r="HC97" s="377">
        <v>1</v>
      </c>
      <c r="HD97" s="373"/>
      <c r="HE97" s="444">
        <v>100</v>
      </c>
      <c r="HF97" s="377"/>
      <c r="HG97" s="373"/>
      <c r="HH97" s="444" t="s">
        <v>6</v>
      </c>
      <c r="HI97" s="377"/>
      <c r="HJ97" s="373"/>
      <c r="HK97" s="444"/>
      <c r="HL97" s="377">
        <v>3</v>
      </c>
      <c r="HM97" s="373">
        <v>6</v>
      </c>
      <c r="HN97" s="444">
        <v>33.299999999999997</v>
      </c>
      <c r="HO97" s="377">
        <v>10</v>
      </c>
      <c r="HP97" s="373">
        <v>2</v>
      </c>
      <c r="HQ97" s="444">
        <v>83.3</v>
      </c>
      <c r="HR97" s="377">
        <v>1</v>
      </c>
      <c r="HS97" s="373">
        <v>4</v>
      </c>
      <c r="HT97" s="444">
        <v>20</v>
      </c>
      <c r="HU97" s="377"/>
      <c r="HV97" s="373"/>
      <c r="HW97" s="444"/>
      <c r="HX97" s="377"/>
      <c r="HY97" s="373"/>
      <c r="HZ97" s="444" t="s">
        <v>6</v>
      </c>
      <c r="IA97" s="377"/>
      <c r="IB97" s="373"/>
      <c r="IC97" s="444" t="s">
        <v>6</v>
      </c>
      <c r="ID97" s="377"/>
      <c r="IE97" s="373"/>
      <c r="IF97" s="444" t="s">
        <v>6</v>
      </c>
      <c r="IG97" s="377"/>
      <c r="IH97" s="373"/>
      <c r="II97" s="444"/>
      <c r="IJ97" s="377">
        <v>1</v>
      </c>
      <c r="IK97" s="373"/>
      <c r="IL97" s="444">
        <v>100</v>
      </c>
      <c r="IM97" s="377"/>
      <c r="IN97" s="373"/>
      <c r="IO97" s="444" t="s">
        <v>6</v>
      </c>
      <c r="IP97" s="377"/>
      <c r="IQ97" s="373"/>
      <c r="IR97" s="444" t="s">
        <v>6</v>
      </c>
      <c r="IS97" s="377"/>
      <c r="IT97" s="373"/>
      <c r="IU97" s="444"/>
      <c r="IV97" s="377">
        <v>136</v>
      </c>
      <c r="IW97" s="373">
        <v>163</v>
      </c>
      <c r="IX97" s="444">
        <v>45.5</v>
      </c>
      <c r="IY97" s="377">
        <v>140</v>
      </c>
      <c r="IZ97" s="373">
        <v>67</v>
      </c>
      <c r="JA97" s="444">
        <v>67.599999999999994</v>
      </c>
      <c r="JB97" s="377">
        <v>97</v>
      </c>
      <c r="JC97" s="373">
        <v>37</v>
      </c>
      <c r="JD97" s="444">
        <v>72.400000000000006</v>
      </c>
      <c r="JE97" s="377"/>
      <c r="JF97" s="373"/>
      <c r="JG97" s="444"/>
      <c r="JH97" s="377">
        <v>36</v>
      </c>
      <c r="JI97" s="373">
        <v>31</v>
      </c>
      <c r="JJ97" s="444">
        <v>53.7</v>
      </c>
      <c r="JK97" s="377">
        <v>23</v>
      </c>
      <c r="JL97" s="373">
        <v>7</v>
      </c>
      <c r="JM97" s="444">
        <v>76.7</v>
      </c>
      <c r="JN97" s="377">
        <v>13</v>
      </c>
      <c r="JO97" s="373">
        <v>4</v>
      </c>
      <c r="JP97" s="444">
        <v>76.5</v>
      </c>
      <c r="JQ97" s="377"/>
      <c r="JR97" s="373"/>
      <c r="JS97" s="444"/>
      <c r="JT97" s="377">
        <v>1</v>
      </c>
      <c r="JU97" s="373">
        <v>1</v>
      </c>
      <c r="JV97" s="444">
        <v>50</v>
      </c>
      <c r="JW97" s="377">
        <v>2</v>
      </c>
      <c r="JX97" s="373"/>
      <c r="JY97" s="444">
        <v>100</v>
      </c>
      <c r="JZ97" s="377">
        <v>1</v>
      </c>
      <c r="KA97" s="373"/>
      <c r="KB97" s="444">
        <v>100</v>
      </c>
      <c r="KC97" s="377"/>
      <c r="KD97" s="373"/>
      <c r="KE97" s="444"/>
      <c r="KF97" s="377"/>
      <c r="KG97" s="373"/>
      <c r="KH97" s="444" t="s">
        <v>6</v>
      </c>
      <c r="KI97" s="377">
        <v>1</v>
      </c>
      <c r="KJ97" s="373"/>
      <c r="KK97" s="444">
        <v>100</v>
      </c>
      <c r="KL97" s="377"/>
      <c r="KM97" s="373"/>
      <c r="KN97" s="444" t="s">
        <v>6</v>
      </c>
      <c r="KO97" s="377"/>
      <c r="KP97" s="373"/>
      <c r="KQ97" s="444"/>
      <c r="KR97" s="377">
        <v>40</v>
      </c>
      <c r="KS97" s="373">
        <v>39</v>
      </c>
      <c r="KT97" s="444">
        <v>50.6</v>
      </c>
      <c r="KU97" s="377">
        <v>32</v>
      </c>
      <c r="KV97" s="373">
        <v>9</v>
      </c>
      <c r="KW97" s="444">
        <v>78</v>
      </c>
      <c r="KX97" s="377">
        <v>17</v>
      </c>
      <c r="KY97" s="373">
        <v>6</v>
      </c>
      <c r="KZ97" s="444">
        <v>73.900000000000006</v>
      </c>
      <c r="LA97" s="377"/>
      <c r="LB97" s="373"/>
      <c r="LC97" s="444"/>
      <c r="LD97" s="377">
        <v>227</v>
      </c>
      <c r="LE97" s="373">
        <v>182</v>
      </c>
      <c r="LF97" s="444">
        <v>55.5</v>
      </c>
      <c r="LG97" s="377">
        <v>183</v>
      </c>
      <c r="LH97" s="373">
        <v>80</v>
      </c>
      <c r="LI97" s="444">
        <v>69.599999999999994</v>
      </c>
      <c r="LJ97" s="377">
        <v>152</v>
      </c>
      <c r="LK97" s="373">
        <v>53</v>
      </c>
      <c r="LL97" s="444">
        <v>74.099999999999994</v>
      </c>
      <c r="LM97" s="377"/>
      <c r="LN97" s="373"/>
      <c r="LO97" s="444"/>
    </row>
    <row r="98" spans="1:327" ht="13.5" thickBot="1" x14ac:dyDescent="0.25">
      <c r="A98" s="1001"/>
      <c r="B98" s="748" t="s">
        <v>621</v>
      </c>
      <c r="C98" s="156" t="s">
        <v>700</v>
      </c>
      <c r="D98" s="377"/>
      <c r="E98" s="373"/>
      <c r="F98" s="444" t="s">
        <v>6</v>
      </c>
      <c r="G98" s="377"/>
      <c r="H98" s="373"/>
      <c r="I98" s="444" t="s">
        <v>6</v>
      </c>
      <c r="J98" s="377"/>
      <c r="K98" s="373"/>
      <c r="L98" s="444" t="s">
        <v>6</v>
      </c>
      <c r="M98" s="377"/>
      <c r="N98" s="373"/>
      <c r="O98" s="444"/>
      <c r="P98" s="377"/>
      <c r="Q98" s="373"/>
      <c r="R98" s="444" t="s">
        <v>6</v>
      </c>
      <c r="S98" s="377"/>
      <c r="T98" s="373"/>
      <c r="U98" s="444" t="s">
        <v>6</v>
      </c>
      <c r="V98" s="377"/>
      <c r="W98" s="373"/>
      <c r="X98" s="444" t="s">
        <v>6</v>
      </c>
      <c r="Y98" s="377"/>
      <c r="Z98" s="373"/>
      <c r="AA98" s="444"/>
      <c r="AB98" s="377"/>
      <c r="AC98" s="373"/>
      <c r="AD98" s="444" t="s">
        <v>6</v>
      </c>
      <c r="AE98" s="377"/>
      <c r="AF98" s="373"/>
      <c r="AG98" s="444" t="s">
        <v>6</v>
      </c>
      <c r="AH98" s="377"/>
      <c r="AI98" s="373"/>
      <c r="AJ98" s="444" t="s">
        <v>6</v>
      </c>
      <c r="AK98" s="377"/>
      <c r="AL98" s="373"/>
      <c r="AM98" s="444"/>
      <c r="AN98" s="377">
        <v>6</v>
      </c>
      <c r="AO98" s="373"/>
      <c r="AP98" s="444">
        <v>100</v>
      </c>
      <c r="AQ98" s="377">
        <v>11</v>
      </c>
      <c r="AR98" s="373"/>
      <c r="AS98" s="444">
        <v>100</v>
      </c>
      <c r="AT98" s="377">
        <v>3</v>
      </c>
      <c r="AU98" s="373">
        <v>1</v>
      </c>
      <c r="AV98" s="444">
        <v>75</v>
      </c>
      <c r="AW98" s="377"/>
      <c r="AX98" s="373"/>
      <c r="AY98" s="444"/>
      <c r="AZ98" s="377">
        <v>6</v>
      </c>
      <c r="BA98" s="373"/>
      <c r="BB98" s="444">
        <v>100</v>
      </c>
      <c r="BC98" s="377">
        <v>11</v>
      </c>
      <c r="BD98" s="373"/>
      <c r="BE98" s="444">
        <v>100</v>
      </c>
      <c r="BF98" s="377">
        <v>3</v>
      </c>
      <c r="BG98" s="373">
        <v>1</v>
      </c>
      <c r="BH98" s="444">
        <v>75</v>
      </c>
      <c r="BI98" s="377"/>
      <c r="BJ98" s="373"/>
      <c r="BK98" s="444"/>
      <c r="BL98" s="377"/>
      <c r="BM98" s="373"/>
      <c r="BN98" s="444" t="s">
        <v>6</v>
      </c>
      <c r="BO98" s="377"/>
      <c r="BP98" s="373"/>
      <c r="BQ98" s="444" t="s">
        <v>6</v>
      </c>
      <c r="BR98" s="377"/>
      <c r="BS98" s="373"/>
      <c r="BT98" s="444" t="s">
        <v>6</v>
      </c>
      <c r="BU98" s="377"/>
      <c r="BV98" s="373"/>
      <c r="BW98" s="444"/>
      <c r="BX98" s="377"/>
      <c r="BY98" s="373"/>
      <c r="BZ98" s="444" t="s">
        <v>6</v>
      </c>
      <c r="CA98" s="377"/>
      <c r="CB98" s="373"/>
      <c r="CC98" s="444" t="s">
        <v>6</v>
      </c>
      <c r="CD98" s="377"/>
      <c r="CE98" s="373"/>
      <c r="CF98" s="444" t="s">
        <v>6</v>
      </c>
      <c r="CG98" s="377"/>
      <c r="CH98" s="373"/>
      <c r="CI98" s="444"/>
      <c r="CJ98" s="377"/>
      <c r="CK98" s="373"/>
      <c r="CL98" s="444" t="s">
        <v>6</v>
      </c>
      <c r="CM98" s="377"/>
      <c r="CN98" s="373"/>
      <c r="CO98" s="444" t="s">
        <v>6</v>
      </c>
      <c r="CP98" s="377"/>
      <c r="CQ98" s="373"/>
      <c r="CR98" s="444" t="s">
        <v>6</v>
      </c>
      <c r="CS98" s="377"/>
      <c r="CT98" s="373"/>
      <c r="CU98" s="444"/>
      <c r="CV98" s="377">
        <v>8</v>
      </c>
      <c r="CW98" s="373">
        <v>3</v>
      </c>
      <c r="CX98" s="444">
        <v>72.7</v>
      </c>
      <c r="CY98" s="377">
        <v>6</v>
      </c>
      <c r="CZ98" s="373"/>
      <c r="DA98" s="444">
        <v>100</v>
      </c>
      <c r="DB98" s="377">
        <v>5</v>
      </c>
      <c r="DC98" s="373">
        <v>1</v>
      </c>
      <c r="DD98" s="444">
        <v>83.3</v>
      </c>
      <c r="DE98" s="377"/>
      <c r="DF98" s="373"/>
      <c r="DG98" s="444"/>
      <c r="DH98" s="377"/>
      <c r="DI98" s="373"/>
      <c r="DJ98" s="444" t="s">
        <v>6</v>
      </c>
      <c r="DK98" s="377"/>
      <c r="DL98" s="373"/>
      <c r="DM98" s="444" t="s">
        <v>6</v>
      </c>
      <c r="DN98" s="377"/>
      <c r="DO98" s="373"/>
      <c r="DP98" s="444" t="s">
        <v>6</v>
      </c>
      <c r="DQ98" s="377"/>
      <c r="DR98" s="373"/>
      <c r="DS98" s="444"/>
      <c r="DT98" s="377"/>
      <c r="DU98" s="373"/>
      <c r="DV98" s="444" t="s">
        <v>6</v>
      </c>
      <c r="DW98" s="377"/>
      <c r="DX98" s="373"/>
      <c r="DY98" s="444" t="s">
        <v>6</v>
      </c>
      <c r="DZ98" s="377"/>
      <c r="EA98" s="373">
        <v>1</v>
      </c>
      <c r="EB98" s="444">
        <v>0</v>
      </c>
      <c r="EC98" s="377"/>
      <c r="ED98" s="373"/>
      <c r="EE98" s="444"/>
      <c r="EF98" s="377">
        <v>107</v>
      </c>
      <c r="EG98" s="373">
        <v>94</v>
      </c>
      <c r="EH98" s="444">
        <v>53.2</v>
      </c>
      <c r="EI98" s="377">
        <v>130</v>
      </c>
      <c r="EJ98" s="373">
        <v>71</v>
      </c>
      <c r="EK98" s="444">
        <v>64.7</v>
      </c>
      <c r="EL98" s="377">
        <v>90</v>
      </c>
      <c r="EM98" s="373">
        <v>40</v>
      </c>
      <c r="EN98" s="444">
        <v>69.2</v>
      </c>
      <c r="EO98" s="377"/>
      <c r="EP98" s="373"/>
      <c r="EQ98" s="444"/>
      <c r="ER98" s="377"/>
      <c r="ES98" s="373"/>
      <c r="ET98" s="444" t="s">
        <v>6</v>
      </c>
      <c r="EU98" s="377"/>
      <c r="EV98" s="373"/>
      <c r="EW98" s="444" t="s">
        <v>6</v>
      </c>
      <c r="EX98" s="377"/>
      <c r="EY98" s="373"/>
      <c r="EZ98" s="444" t="s">
        <v>6</v>
      </c>
      <c r="FA98" s="377"/>
      <c r="FB98" s="373"/>
      <c r="FC98" s="444"/>
      <c r="FD98" s="377"/>
      <c r="FE98" s="373"/>
      <c r="FF98" s="444" t="s">
        <v>6</v>
      </c>
      <c r="FG98" s="377"/>
      <c r="FH98" s="373">
        <v>2</v>
      </c>
      <c r="FI98" s="444">
        <v>0</v>
      </c>
      <c r="FJ98" s="377"/>
      <c r="FK98" s="373"/>
      <c r="FL98" s="444" t="s">
        <v>6</v>
      </c>
      <c r="FM98" s="377"/>
      <c r="FN98" s="373"/>
      <c r="FO98" s="444"/>
      <c r="FP98" s="377">
        <v>24</v>
      </c>
      <c r="FQ98" s="373">
        <v>10</v>
      </c>
      <c r="FR98" s="444">
        <v>70.599999999999994</v>
      </c>
      <c r="FS98" s="377">
        <v>11</v>
      </c>
      <c r="FT98" s="373">
        <v>8</v>
      </c>
      <c r="FU98" s="444">
        <v>57.9</v>
      </c>
      <c r="FV98" s="377">
        <v>14</v>
      </c>
      <c r="FW98" s="373">
        <v>7</v>
      </c>
      <c r="FX98" s="444">
        <v>66.7</v>
      </c>
      <c r="FY98" s="377"/>
      <c r="FZ98" s="373"/>
      <c r="GA98" s="444"/>
      <c r="GB98" s="377">
        <v>1</v>
      </c>
      <c r="GC98" s="373"/>
      <c r="GD98" s="444">
        <v>100</v>
      </c>
      <c r="GE98" s="377">
        <v>3</v>
      </c>
      <c r="GF98" s="373"/>
      <c r="GG98" s="444">
        <v>100</v>
      </c>
      <c r="GH98" s="377"/>
      <c r="GI98" s="373"/>
      <c r="GJ98" s="444" t="s">
        <v>6</v>
      </c>
      <c r="GK98" s="377"/>
      <c r="GL98" s="373"/>
      <c r="GM98" s="444"/>
      <c r="GN98" s="377">
        <v>2</v>
      </c>
      <c r="GO98" s="373"/>
      <c r="GP98" s="444">
        <v>100</v>
      </c>
      <c r="GQ98" s="377">
        <v>2</v>
      </c>
      <c r="GR98" s="373"/>
      <c r="GS98" s="444">
        <v>100</v>
      </c>
      <c r="GT98" s="377"/>
      <c r="GU98" s="373">
        <v>1</v>
      </c>
      <c r="GV98" s="444">
        <v>0</v>
      </c>
      <c r="GW98" s="377"/>
      <c r="GX98" s="373"/>
      <c r="GY98" s="444"/>
      <c r="GZ98" s="377"/>
      <c r="HA98" s="373"/>
      <c r="HB98" s="444" t="s">
        <v>6</v>
      </c>
      <c r="HC98" s="377"/>
      <c r="HD98" s="373"/>
      <c r="HE98" s="444" t="s">
        <v>6</v>
      </c>
      <c r="HF98" s="377"/>
      <c r="HG98" s="373"/>
      <c r="HH98" s="444" t="s">
        <v>6</v>
      </c>
      <c r="HI98" s="377"/>
      <c r="HJ98" s="373"/>
      <c r="HK98" s="444"/>
      <c r="HL98" s="377">
        <v>3</v>
      </c>
      <c r="HM98" s="373">
        <v>2</v>
      </c>
      <c r="HN98" s="444">
        <v>60</v>
      </c>
      <c r="HO98" s="377">
        <v>2</v>
      </c>
      <c r="HP98" s="373">
        <v>1</v>
      </c>
      <c r="HQ98" s="444">
        <v>66.7</v>
      </c>
      <c r="HR98" s="377">
        <v>4</v>
      </c>
      <c r="HS98" s="373">
        <v>1</v>
      </c>
      <c r="HT98" s="444">
        <v>80</v>
      </c>
      <c r="HU98" s="377"/>
      <c r="HV98" s="373"/>
      <c r="HW98" s="444"/>
      <c r="HX98" s="377">
        <v>2</v>
      </c>
      <c r="HY98" s="373"/>
      <c r="HZ98" s="444">
        <v>100</v>
      </c>
      <c r="IA98" s="377">
        <v>1</v>
      </c>
      <c r="IB98" s="373"/>
      <c r="IC98" s="444">
        <v>100</v>
      </c>
      <c r="ID98" s="377">
        <v>3</v>
      </c>
      <c r="IE98" s="373"/>
      <c r="IF98" s="444">
        <v>100</v>
      </c>
      <c r="IG98" s="377"/>
      <c r="IH98" s="373"/>
      <c r="II98" s="444"/>
      <c r="IJ98" s="377"/>
      <c r="IK98" s="373"/>
      <c r="IL98" s="444" t="s">
        <v>6</v>
      </c>
      <c r="IM98" s="377"/>
      <c r="IN98" s="373"/>
      <c r="IO98" s="444" t="s">
        <v>6</v>
      </c>
      <c r="IP98" s="377">
        <v>1</v>
      </c>
      <c r="IQ98" s="373"/>
      <c r="IR98" s="444">
        <v>100</v>
      </c>
      <c r="IS98" s="377"/>
      <c r="IT98" s="373"/>
      <c r="IU98" s="444"/>
      <c r="IV98" s="377">
        <v>129</v>
      </c>
      <c r="IW98" s="373">
        <v>99</v>
      </c>
      <c r="IX98" s="444">
        <v>56.6</v>
      </c>
      <c r="IY98" s="377">
        <v>155</v>
      </c>
      <c r="IZ98" s="373">
        <v>72</v>
      </c>
      <c r="JA98" s="444">
        <v>68.3</v>
      </c>
      <c r="JB98" s="377">
        <v>106</v>
      </c>
      <c r="JC98" s="373">
        <v>45</v>
      </c>
      <c r="JD98" s="444">
        <v>70.2</v>
      </c>
      <c r="JE98" s="377"/>
      <c r="JF98" s="373"/>
      <c r="JG98" s="444"/>
      <c r="JH98" s="377">
        <v>21</v>
      </c>
      <c r="JI98" s="373">
        <v>13</v>
      </c>
      <c r="JJ98" s="444">
        <v>61.8</v>
      </c>
      <c r="JK98" s="377">
        <v>19</v>
      </c>
      <c r="JL98" s="373">
        <v>13</v>
      </c>
      <c r="JM98" s="444">
        <v>59.4</v>
      </c>
      <c r="JN98" s="377">
        <v>24</v>
      </c>
      <c r="JO98" s="373">
        <v>3</v>
      </c>
      <c r="JP98" s="444">
        <v>88.9</v>
      </c>
      <c r="JQ98" s="377"/>
      <c r="JR98" s="373"/>
      <c r="JS98" s="444"/>
      <c r="JT98" s="377"/>
      <c r="JU98" s="373"/>
      <c r="JV98" s="444" t="s">
        <v>6</v>
      </c>
      <c r="JW98" s="377"/>
      <c r="JX98" s="373"/>
      <c r="JY98" s="444" t="s">
        <v>6</v>
      </c>
      <c r="JZ98" s="377"/>
      <c r="KA98" s="373"/>
      <c r="KB98" s="444" t="s">
        <v>6</v>
      </c>
      <c r="KC98" s="377"/>
      <c r="KD98" s="373"/>
      <c r="KE98" s="444"/>
      <c r="KF98" s="377"/>
      <c r="KG98" s="373"/>
      <c r="KH98" s="444" t="s">
        <v>6</v>
      </c>
      <c r="KI98" s="377"/>
      <c r="KJ98" s="373"/>
      <c r="KK98" s="444" t="s">
        <v>6</v>
      </c>
      <c r="KL98" s="377"/>
      <c r="KM98" s="373"/>
      <c r="KN98" s="444" t="s">
        <v>6</v>
      </c>
      <c r="KO98" s="377"/>
      <c r="KP98" s="373"/>
      <c r="KQ98" s="444"/>
      <c r="KR98" s="377">
        <v>22</v>
      </c>
      <c r="KS98" s="373">
        <v>13</v>
      </c>
      <c r="KT98" s="444">
        <v>62.9</v>
      </c>
      <c r="KU98" s="377">
        <v>19</v>
      </c>
      <c r="KV98" s="373">
        <v>13</v>
      </c>
      <c r="KW98" s="444">
        <v>59.4</v>
      </c>
      <c r="KX98" s="377">
        <v>25</v>
      </c>
      <c r="KY98" s="373">
        <v>4</v>
      </c>
      <c r="KZ98" s="444">
        <v>86.2</v>
      </c>
      <c r="LA98" s="377"/>
      <c r="LB98" s="373"/>
      <c r="LC98" s="444"/>
      <c r="LD98" s="377">
        <v>149</v>
      </c>
      <c r="LE98" s="373">
        <v>114</v>
      </c>
      <c r="LF98" s="444">
        <v>56.7</v>
      </c>
      <c r="LG98" s="377">
        <v>189</v>
      </c>
      <c r="LH98" s="373">
        <v>78</v>
      </c>
      <c r="LI98" s="444">
        <v>70.8</v>
      </c>
      <c r="LJ98" s="377">
        <v>166</v>
      </c>
      <c r="LK98" s="373">
        <v>50</v>
      </c>
      <c r="LL98" s="444">
        <v>76.900000000000006</v>
      </c>
      <c r="LM98" s="377"/>
      <c r="LN98" s="373"/>
      <c r="LO98" s="444"/>
    </row>
    <row r="99" spans="1:327" s="259" customFormat="1" ht="13.5" thickBot="1" x14ac:dyDescent="0.25">
      <c r="A99" s="1002"/>
      <c r="B99" s="751"/>
      <c r="C99" s="189" t="s">
        <v>778</v>
      </c>
      <c r="D99" s="384">
        <v>5</v>
      </c>
      <c r="E99" s="385"/>
      <c r="F99" s="451">
        <v>100</v>
      </c>
      <c r="G99" s="384">
        <v>5</v>
      </c>
      <c r="H99" s="385">
        <v>1</v>
      </c>
      <c r="I99" s="451">
        <v>83.3</v>
      </c>
      <c r="J99" s="384">
        <v>6</v>
      </c>
      <c r="K99" s="385"/>
      <c r="L99" s="451">
        <v>100</v>
      </c>
      <c r="M99" s="384"/>
      <c r="N99" s="385"/>
      <c r="O99" s="451"/>
      <c r="P99" s="384">
        <v>3</v>
      </c>
      <c r="Q99" s="385"/>
      <c r="R99" s="451">
        <v>100</v>
      </c>
      <c r="S99" s="384">
        <v>1</v>
      </c>
      <c r="T99" s="385">
        <v>1</v>
      </c>
      <c r="U99" s="451">
        <v>50</v>
      </c>
      <c r="V99" s="384">
        <v>4</v>
      </c>
      <c r="W99" s="385"/>
      <c r="X99" s="451">
        <v>100</v>
      </c>
      <c r="Y99" s="384"/>
      <c r="Z99" s="385"/>
      <c r="AA99" s="451"/>
      <c r="AB99" s="384">
        <v>1</v>
      </c>
      <c r="AC99" s="385"/>
      <c r="AD99" s="451">
        <v>100</v>
      </c>
      <c r="AE99" s="384">
        <v>4</v>
      </c>
      <c r="AF99" s="385"/>
      <c r="AG99" s="451">
        <v>100</v>
      </c>
      <c r="AH99" s="384">
        <v>2</v>
      </c>
      <c r="AI99" s="385"/>
      <c r="AJ99" s="451">
        <v>100</v>
      </c>
      <c r="AK99" s="384"/>
      <c r="AL99" s="385"/>
      <c r="AM99" s="451"/>
      <c r="AN99" s="384">
        <v>157</v>
      </c>
      <c r="AO99" s="385">
        <v>48</v>
      </c>
      <c r="AP99" s="451">
        <v>76.599999999999994</v>
      </c>
      <c r="AQ99" s="384">
        <v>156</v>
      </c>
      <c r="AR99" s="385">
        <v>41</v>
      </c>
      <c r="AS99" s="451">
        <v>79.2</v>
      </c>
      <c r="AT99" s="384">
        <v>122</v>
      </c>
      <c r="AU99" s="385">
        <v>20</v>
      </c>
      <c r="AV99" s="451">
        <v>85.9</v>
      </c>
      <c r="AW99" s="384"/>
      <c r="AX99" s="385"/>
      <c r="AY99" s="451"/>
      <c r="AZ99" s="384">
        <v>121</v>
      </c>
      <c r="BA99" s="385">
        <v>43</v>
      </c>
      <c r="BB99" s="451">
        <v>73.8</v>
      </c>
      <c r="BC99" s="384">
        <v>129</v>
      </c>
      <c r="BD99" s="385">
        <v>36</v>
      </c>
      <c r="BE99" s="451">
        <v>78.2</v>
      </c>
      <c r="BF99" s="384">
        <v>90</v>
      </c>
      <c r="BG99" s="385">
        <v>17</v>
      </c>
      <c r="BH99" s="451">
        <v>84.1</v>
      </c>
      <c r="BI99" s="384"/>
      <c r="BJ99" s="385"/>
      <c r="BK99" s="451"/>
      <c r="BL99" s="384"/>
      <c r="BM99" s="385"/>
      <c r="BN99" s="451" t="s">
        <v>6</v>
      </c>
      <c r="BO99" s="384">
        <v>1</v>
      </c>
      <c r="BP99" s="385"/>
      <c r="BQ99" s="451">
        <v>100</v>
      </c>
      <c r="BR99" s="384"/>
      <c r="BS99" s="385"/>
      <c r="BT99" s="451" t="s">
        <v>6</v>
      </c>
      <c r="BU99" s="384"/>
      <c r="BV99" s="385"/>
      <c r="BW99" s="451"/>
      <c r="BX99" s="384"/>
      <c r="BY99" s="385"/>
      <c r="BZ99" s="451" t="s">
        <v>6</v>
      </c>
      <c r="CA99" s="384"/>
      <c r="CB99" s="385">
        <v>1</v>
      </c>
      <c r="CC99" s="451">
        <v>0</v>
      </c>
      <c r="CD99" s="384"/>
      <c r="CE99" s="385"/>
      <c r="CF99" s="451" t="s">
        <v>6</v>
      </c>
      <c r="CG99" s="384"/>
      <c r="CH99" s="385"/>
      <c r="CI99" s="451"/>
      <c r="CJ99" s="384"/>
      <c r="CK99" s="385">
        <v>1</v>
      </c>
      <c r="CL99" s="451">
        <v>0</v>
      </c>
      <c r="CM99" s="384"/>
      <c r="CN99" s="385"/>
      <c r="CO99" s="451" t="s">
        <v>6</v>
      </c>
      <c r="CP99" s="384">
        <v>1</v>
      </c>
      <c r="CQ99" s="385"/>
      <c r="CR99" s="451">
        <v>100</v>
      </c>
      <c r="CS99" s="384"/>
      <c r="CT99" s="385"/>
      <c r="CU99" s="451"/>
      <c r="CV99" s="384">
        <v>125</v>
      </c>
      <c r="CW99" s="385">
        <v>44</v>
      </c>
      <c r="CX99" s="451">
        <v>74</v>
      </c>
      <c r="CY99" s="384">
        <v>114</v>
      </c>
      <c r="CZ99" s="385">
        <v>28</v>
      </c>
      <c r="DA99" s="451">
        <v>80.3</v>
      </c>
      <c r="DB99" s="384">
        <v>96</v>
      </c>
      <c r="DC99" s="385">
        <v>20</v>
      </c>
      <c r="DD99" s="451">
        <v>82.8</v>
      </c>
      <c r="DE99" s="384"/>
      <c r="DF99" s="385"/>
      <c r="DG99" s="451"/>
      <c r="DH99" s="384">
        <v>1</v>
      </c>
      <c r="DI99" s="385"/>
      <c r="DJ99" s="451">
        <v>100</v>
      </c>
      <c r="DK99" s="384">
        <v>5</v>
      </c>
      <c r="DL99" s="385"/>
      <c r="DM99" s="451">
        <v>100</v>
      </c>
      <c r="DN99" s="384">
        <v>3</v>
      </c>
      <c r="DO99" s="385"/>
      <c r="DP99" s="451">
        <v>100</v>
      </c>
      <c r="DQ99" s="384"/>
      <c r="DR99" s="385"/>
      <c r="DS99" s="451"/>
      <c r="DT99" s="384">
        <v>12</v>
      </c>
      <c r="DU99" s="385">
        <v>4</v>
      </c>
      <c r="DV99" s="451">
        <v>75</v>
      </c>
      <c r="DW99" s="384">
        <v>7</v>
      </c>
      <c r="DX99" s="385">
        <v>2</v>
      </c>
      <c r="DY99" s="451">
        <v>77.8</v>
      </c>
      <c r="DZ99" s="384">
        <v>21</v>
      </c>
      <c r="EA99" s="385">
        <v>6</v>
      </c>
      <c r="EB99" s="451">
        <v>77.8</v>
      </c>
      <c r="EC99" s="384"/>
      <c r="ED99" s="385"/>
      <c r="EE99" s="451"/>
      <c r="EF99" s="384">
        <v>1246</v>
      </c>
      <c r="EG99" s="385">
        <v>2466</v>
      </c>
      <c r="EH99" s="451">
        <v>33.6</v>
      </c>
      <c r="EI99" s="384">
        <v>1526</v>
      </c>
      <c r="EJ99" s="385">
        <v>1909</v>
      </c>
      <c r="EK99" s="451">
        <v>44.4</v>
      </c>
      <c r="EL99" s="384">
        <v>1214</v>
      </c>
      <c r="EM99" s="385">
        <v>1095</v>
      </c>
      <c r="EN99" s="451">
        <v>52.6</v>
      </c>
      <c r="EO99" s="384"/>
      <c r="EP99" s="385"/>
      <c r="EQ99" s="451"/>
      <c r="ER99" s="384">
        <v>5</v>
      </c>
      <c r="ES99" s="385">
        <v>3</v>
      </c>
      <c r="ET99" s="451">
        <v>62.5</v>
      </c>
      <c r="EU99" s="384">
        <v>8</v>
      </c>
      <c r="EV99" s="385">
        <v>4</v>
      </c>
      <c r="EW99" s="451">
        <v>66.7</v>
      </c>
      <c r="EX99" s="384">
        <v>3</v>
      </c>
      <c r="EY99" s="385"/>
      <c r="EZ99" s="451">
        <v>100</v>
      </c>
      <c r="FA99" s="384"/>
      <c r="FB99" s="385"/>
      <c r="FC99" s="451"/>
      <c r="FD99" s="384">
        <v>28</v>
      </c>
      <c r="FE99" s="385">
        <v>66</v>
      </c>
      <c r="FF99" s="451">
        <v>29.8</v>
      </c>
      <c r="FG99" s="384">
        <v>88</v>
      </c>
      <c r="FH99" s="385">
        <v>87</v>
      </c>
      <c r="FI99" s="451">
        <v>50.3</v>
      </c>
      <c r="FJ99" s="384">
        <v>29</v>
      </c>
      <c r="FK99" s="385">
        <v>20</v>
      </c>
      <c r="FL99" s="451">
        <v>59.2</v>
      </c>
      <c r="FM99" s="384"/>
      <c r="FN99" s="385"/>
      <c r="FO99" s="451"/>
      <c r="FP99" s="384">
        <v>354</v>
      </c>
      <c r="FQ99" s="385">
        <v>434</v>
      </c>
      <c r="FR99" s="451">
        <v>44.9</v>
      </c>
      <c r="FS99" s="384">
        <v>415</v>
      </c>
      <c r="FT99" s="385">
        <v>315</v>
      </c>
      <c r="FU99" s="451">
        <v>56.8</v>
      </c>
      <c r="FV99" s="384">
        <v>311</v>
      </c>
      <c r="FW99" s="385">
        <v>168</v>
      </c>
      <c r="FX99" s="451">
        <v>64.900000000000006</v>
      </c>
      <c r="FY99" s="384"/>
      <c r="FZ99" s="385"/>
      <c r="GA99" s="451"/>
      <c r="GB99" s="384">
        <v>30</v>
      </c>
      <c r="GC99" s="385">
        <v>5</v>
      </c>
      <c r="GD99" s="451">
        <v>85.7</v>
      </c>
      <c r="GE99" s="384">
        <v>34</v>
      </c>
      <c r="GF99" s="385">
        <v>2</v>
      </c>
      <c r="GG99" s="451">
        <v>94.4</v>
      </c>
      <c r="GH99" s="384">
        <v>18</v>
      </c>
      <c r="GI99" s="385">
        <v>1</v>
      </c>
      <c r="GJ99" s="451">
        <v>94.7</v>
      </c>
      <c r="GK99" s="384"/>
      <c r="GL99" s="385"/>
      <c r="GM99" s="451"/>
      <c r="GN99" s="384">
        <v>23</v>
      </c>
      <c r="GO99" s="385">
        <v>27</v>
      </c>
      <c r="GP99" s="451">
        <v>46</v>
      </c>
      <c r="GQ99" s="384">
        <v>51</v>
      </c>
      <c r="GR99" s="385">
        <v>13</v>
      </c>
      <c r="GS99" s="451">
        <v>79.7</v>
      </c>
      <c r="GT99" s="384">
        <v>118</v>
      </c>
      <c r="GU99" s="385">
        <v>9</v>
      </c>
      <c r="GV99" s="451">
        <v>92.9</v>
      </c>
      <c r="GW99" s="384"/>
      <c r="GX99" s="385"/>
      <c r="GY99" s="451"/>
      <c r="GZ99" s="384">
        <v>4</v>
      </c>
      <c r="HA99" s="385"/>
      <c r="HB99" s="451">
        <v>100</v>
      </c>
      <c r="HC99" s="384">
        <v>6</v>
      </c>
      <c r="HD99" s="385"/>
      <c r="HE99" s="451">
        <v>100</v>
      </c>
      <c r="HF99" s="384"/>
      <c r="HG99" s="385"/>
      <c r="HH99" s="451" t="s">
        <v>6</v>
      </c>
      <c r="HI99" s="384"/>
      <c r="HJ99" s="385"/>
      <c r="HK99" s="451"/>
      <c r="HL99" s="384">
        <v>62</v>
      </c>
      <c r="HM99" s="385">
        <v>135</v>
      </c>
      <c r="HN99" s="451">
        <v>31.5</v>
      </c>
      <c r="HO99" s="384">
        <v>52</v>
      </c>
      <c r="HP99" s="385">
        <v>100</v>
      </c>
      <c r="HQ99" s="451">
        <v>34.200000000000003</v>
      </c>
      <c r="HR99" s="384">
        <v>64</v>
      </c>
      <c r="HS99" s="385">
        <v>52</v>
      </c>
      <c r="HT99" s="451">
        <v>55.2</v>
      </c>
      <c r="HU99" s="384"/>
      <c r="HV99" s="385"/>
      <c r="HW99" s="451"/>
      <c r="HX99" s="384">
        <v>35</v>
      </c>
      <c r="HY99" s="385"/>
      <c r="HZ99" s="451">
        <v>100</v>
      </c>
      <c r="IA99" s="384">
        <v>19</v>
      </c>
      <c r="IB99" s="385">
        <v>1</v>
      </c>
      <c r="IC99" s="451">
        <v>95</v>
      </c>
      <c r="ID99" s="384">
        <v>19</v>
      </c>
      <c r="IE99" s="385">
        <v>1</v>
      </c>
      <c r="IF99" s="451">
        <v>95</v>
      </c>
      <c r="IG99" s="384"/>
      <c r="IH99" s="385"/>
      <c r="II99" s="451"/>
      <c r="IJ99" s="384">
        <v>8</v>
      </c>
      <c r="IK99" s="385">
        <v>5</v>
      </c>
      <c r="IL99" s="451">
        <v>61.5</v>
      </c>
      <c r="IM99" s="384">
        <v>7</v>
      </c>
      <c r="IN99" s="385">
        <v>5</v>
      </c>
      <c r="IO99" s="451">
        <v>58.3</v>
      </c>
      <c r="IP99" s="384">
        <v>9</v>
      </c>
      <c r="IQ99" s="385">
        <v>1</v>
      </c>
      <c r="IR99" s="451">
        <v>90</v>
      </c>
      <c r="IS99" s="384"/>
      <c r="IT99" s="385"/>
      <c r="IU99" s="451"/>
      <c r="IV99" s="384">
        <v>1708</v>
      </c>
      <c r="IW99" s="385">
        <v>2735</v>
      </c>
      <c r="IX99" s="451">
        <v>38.4</v>
      </c>
      <c r="IY99" s="384">
        <v>1982</v>
      </c>
      <c r="IZ99" s="385">
        <v>2103</v>
      </c>
      <c r="JA99" s="451">
        <v>48.5</v>
      </c>
      <c r="JB99" s="384">
        <v>1691</v>
      </c>
      <c r="JC99" s="385">
        <v>1205</v>
      </c>
      <c r="JD99" s="451">
        <v>58.4</v>
      </c>
      <c r="JE99" s="384"/>
      <c r="JF99" s="385"/>
      <c r="JG99" s="451"/>
      <c r="JH99" s="384">
        <v>299</v>
      </c>
      <c r="JI99" s="385">
        <v>422</v>
      </c>
      <c r="JJ99" s="451">
        <v>41.5</v>
      </c>
      <c r="JK99" s="384">
        <v>371</v>
      </c>
      <c r="JL99" s="385">
        <v>391</v>
      </c>
      <c r="JM99" s="451">
        <v>48.7</v>
      </c>
      <c r="JN99" s="384">
        <v>280</v>
      </c>
      <c r="JO99" s="385">
        <v>127</v>
      </c>
      <c r="JP99" s="451">
        <v>68.8</v>
      </c>
      <c r="JQ99" s="384"/>
      <c r="JR99" s="385"/>
      <c r="JS99" s="451"/>
      <c r="JT99" s="384">
        <v>15</v>
      </c>
      <c r="JU99" s="385">
        <v>6</v>
      </c>
      <c r="JV99" s="451">
        <v>71.400000000000006</v>
      </c>
      <c r="JW99" s="384">
        <v>13</v>
      </c>
      <c r="JX99" s="385">
        <v>4</v>
      </c>
      <c r="JY99" s="451">
        <v>76.5</v>
      </c>
      <c r="JZ99" s="384">
        <v>14</v>
      </c>
      <c r="KA99" s="385">
        <v>2</v>
      </c>
      <c r="KB99" s="451">
        <v>87.5</v>
      </c>
      <c r="KC99" s="384"/>
      <c r="KD99" s="385"/>
      <c r="KE99" s="451"/>
      <c r="KF99" s="384">
        <v>5</v>
      </c>
      <c r="KG99" s="385">
        <v>3</v>
      </c>
      <c r="KH99" s="451">
        <v>62.5</v>
      </c>
      <c r="KI99" s="384">
        <v>8</v>
      </c>
      <c r="KJ99" s="385">
        <v>1</v>
      </c>
      <c r="KK99" s="451">
        <v>88.9</v>
      </c>
      <c r="KL99" s="384">
        <v>3</v>
      </c>
      <c r="KM99" s="385"/>
      <c r="KN99" s="451">
        <v>100</v>
      </c>
      <c r="KO99" s="384"/>
      <c r="KP99" s="385"/>
      <c r="KQ99" s="451"/>
      <c r="KR99" s="384">
        <v>364</v>
      </c>
      <c r="KS99" s="385">
        <v>460</v>
      </c>
      <c r="KT99" s="451">
        <v>44.2</v>
      </c>
      <c r="KU99" s="384">
        <v>438</v>
      </c>
      <c r="KV99" s="385">
        <v>431</v>
      </c>
      <c r="KW99" s="451">
        <v>50.4</v>
      </c>
      <c r="KX99" s="384">
        <v>330</v>
      </c>
      <c r="KY99" s="385">
        <v>158</v>
      </c>
      <c r="KZ99" s="451">
        <v>67.599999999999994</v>
      </c>
      <c r="LA99" s="384"/>
      <c r="LB99" s="385"/>
      <c r="LC99" s="451"/>
      <c r="LD99" s="384">
        <v>2934</v>
      </c>
      <c r="LE99" s="385">
        <v>3126</v>
      </c>
      <c r="LF99" s="451">
        <v>48.4</v>
      </c>
      <c r="LG99" s="384">
        <v>4867</v>
      </c>
      <c r="LH99" s="385">
        <v>2565</v>
      </c>
      <c r="LI99" s="451">
        <v>65.5</v>
      </c>
      <c r="LJ99" s="384">
        <v>3027</v>
      </c>
      <c r="LK99" s="385">
        <v>1515</v>
      </c>
      <c r="LL99" s="451">
        <v>66.599999999999994</v>
      </c>
      <c r="LM99" s="384"/>
      <c r="LN99" s="385"/>
      <c r="LO99" s="451"/>
    </row>
    <row r="100" spans="1:327" x14ac:dyDescent="0.2">
      <c r="A100" s="1000" t="s">
        <v>591</v>
      </c>
      <c r="B100" s="749"/>
      <c r="C100" s="146" t="s">
        <v>592</v>
      </c>
      <c r="D100" s="441">
        <v>2</v>
      </c>
      <c r="E100" s="442"/>
      <c r="F100" s="443">
        <v>100</v>
      </c>
      <c r="G100" s="441">
        <v>5</v>
      </c>
      <c r="H100" s="442">
        <v>1</v>
      </c>
      <c r="I100" s="443">
        <v>83.3</v>
      </c>
      <c r="J100" s="441">
        <v>4</v>
      </c>
      <c r="K100" s="442"/>
      <c r="L100" s="443">
        <v>100</v>
      </c>
      <c r="M100" s="441"/>
      <c r="N100" s="442"/>
      <c r="O100" s="443"/>
      <c r="P100" s="441">
        <v>2</v>
      </c>
      <c r="Q100" s="442"/>
      <c r="R100" s="443">
        <v>100</v>
      </c>
      <c r="S100" s="441">
        <v>4</v>
      </c>
      <c r="T100" s="442">
        <v>1</v>
      </c>
      <c r="U100" s="443">
        <v>80</v>
      </c>
      <c r="V100" s="441"/>
      <c r="W100" s="442"/>
      <c r="X100" s="443" t="s">
        <v>6</v>
      </c>
      <c r="Y100" s="441"/>
      <c r="Z100" s="442"/>
      <c r="AA100" s="443"/>
      <c r="AB100" s="441"/>
      <c r="AC100" s="442"/>
      <c r="AD100" s="443" t="s">
        <v>6</v>
      </c>
      <c r="AE100" s="441">
        <v>1</v>
      </c>
      <c r="AF100" s="442"/>
      <c r="AG100" s="443">
        <v>100</v>
      </c>
      <c r="AH100" s="441"/>
      <c r="AI100" s="442"/>
      <c r="AJ100" s="443" t="s">
        <v>6</v>
      </c>
      <c r="AK100" s="441"/>
      <c r="AL100" s="442"/>
      <c r="AM100" s="443"/>
      <c r="AN100" s="441">
        <v>7</v>
      </c>
      <c r="AO100" s="442">
        <v>1</v>
      </c>
      <c r="AP100" s="443">
        <v>87.5</v>
      </c>
      <c r="AQ100" s="441">
        <v>3</v>
      </c>
      <c r="AR100" s="442"/>
      <c r="AS100" s="443">
        <v>100</v>
      </c>
      <c r="AT100" s="441">
        <v>8</v>
      </c>
      <c r="AU100" s="442"/>
      <c r="AV100" s="443">
        <v>100</v>
      </c>
      <c r="AW100" s="441"/>
      <c r="AX100" s="442"/>
      <c r="AY100" s="443"/>
      <c r="AZ100" s="441">
        <v>4</v>
      </c>
      <c r="BA100" s="442"/>
      <c r="BB100" s="443">
        <v>100</v>
      </c>
      <c r="BC100" s="441">
        <v>2</v>
      </c>
      <c r="BD100" s="442"/>
      <c r="BE100" s="443">
        <v>100</v>
      </c>
      <c r="BF100" s="441">
        <v>6</v>
      </c>
      <c r="BG100" s="442"/>
      <c r="BH100" s="443">
        <v>100</v>
      </c>
      <c r="BI100" s="441"/>
      <c r="BJ100" s="442"/>
      <c r="BK100" s="443"/>
      <c r="BL100" s="441"/>
      <c r="BM100" s="442"/>
      <c r="BN100" s="443" t="s">
        <v>6</v>
      </c>
      <c r="BO100" s="441"/>
      <c r="BP100" s="442"/>
      <c r="BQ100" s="443" t="s">
        <v>6</v>
      </c>
      <c r="BR100" s="441">
        <v>1</v>
      </c>
      <c r="BS100" s="442"/>
      <c r="BT100" s="443">
        <v>100</v>
      </c>
      <c r="BU100" s="441"/>
      <c r="BV100" s="442"/>
      <c r="BW100" s="443"/>
      <c r="BX100" s="441"/>
      <c r="BY100" s="442"/>
      <c r="BZ100" s="443" t="s">
        <v>6</v>
      </c>
      <c r="CA100" s="441"/>
      <c r="CB100" s="442"/>
      <c r="CC100" s="443" t="s">
        <v>6</v>
      </c>
      <c r="CD100" s="441"/>
      <c r="CE100" s="442"/>
      <c r="CF100" s="443" t="s">
        <v>6</v>
      </c>
      <c r="CG100" s="441"/>
      <c r="CH100" s="442"/>
      <c r="CI100" s="443"/>
      <c r="CJ100" s="441"/>
      <c r="CK100" s="442"/>
      <c r="CL100" s="443" t="s">
        <v>6</v>
      </c>
      <c r="CM100" s="441"/>
      <c r="CN100" s="442"/>
      <c r="CO100" s="443" t="s">
        <v>6</v>
      </c>
      <c r="CP100" s="441"/>
      <c r="CQ100" s="442"/>
      <c r="CR100" s="443" t="s">
        <v>6</v>
      </c>
      <c r="CS100" s="441"/>
      <c r="CT100" s="442"/>
      <c r="CU100" s="443"/>
      <c r="CV100" s="441">
        <v>1</v>
      </c>
      <c r="CW100" s="442"/>
      <c r="CX100" s="443">
        <v>100</v>
      </c>
      <c r="CY100" s="441">
        <v>1</v>
      </c>
      <c r="CZ100" s="442"/>
      <c r="DA100" s="443">
        <v>100</v>
      </c>
      <c r="DB100" s="441"/>
      <c r="DC100" s="442"/>
      <c r="DD100" s="443" t="s">
        <v>6</v>
      </c>
      <c r="DE100" s="441"/>
      <c r="DF100" s="442"/>
      <c r="DG100" s="443"/>
      <c r="DH100" s="441"/>
      <c r="DI100" s="442"/>
      <c r="DJ100" s="443" t="s">
        <v>6</v>
      </c>
      <c r="DK100" s="441"/>
      <c r="DL100" s="442"/>
      <c r="DM100" s="443" t="s">
        <v>6</v>
      </c>
      <c r="DN100" s="441"/>
      <c r="DO100" s="442"/>
      <c r="DP100" s="443" t="s">
        <v>6</v>
      </c>
      <c r="DQ100" s="441"/>
      <c r="DR100" s="442"/>
      <c r="DS100" s="443"/>
      <c r="DT100" s="441">
        <v>1</v>
      </c>
      <c r="DU100" s="442"/>
      <c r="DV100" s="443">
        <v>100</v>
      </c>
      <c r="DW100" s="441">
        <v>5</v>
      </c>
      <c r="DX100" s="442"/>
      <c r="DY100" s="443">
        <v>100</v>
      </c>
      <c r="DZ100" s="441">
        <v>1</v>
      </c>
      <c r="EA100" s="442"/>
      <c r="EB100" s="443">
        <v>100</v>
      </c>
      <c r="EC100" s="441"/>
      <c r="ED100" s="442"/>
      <c r="EE100" s="443"/>
      <c r="EF100" s="441">
        <v>1</v>
      </c>
      <c r="EG100" s="442"/>
      <c r="EH100" s="443">
        <v>100</v>
      </c>
      <c r="EI100" s="441">
        <v>9</v>
      </c>
      <c r="EJ100" s="442">
        <v>2</v>
      </c>
      <c r="EK100" s="443">
        <v>81.8</v>
      </c>
      <c r="EL100" s="441">
        <v>6</v>
      </c>
      <c r="EM100" s="442">
        <v>1</v>
      </c>
      <c r="EN100" s="443">
        <v>85.7</v>
      </c>
      <c r="EO100" s="441"/>
      <c r="EP100" s="442"/>
      <c r="EQ100" s="443"/>
      <c r="ER100" s="441"/>
      <c r="ES100" s="442"/>
      <c r="ET100" s="443" t="s">
        <v>6</v>
      </c>
      <c r="EU100" s="441"/>
      <c r="EV100" s="442">
        <v>1</v>
      </c>
      <c r="EW100" s="443">
        <v>0</v>
      </c>
      <c r="EX100" s="441">
        <v>4</v>
      </c>
      <c r="EY100" s="442">
        <v>1</v>
      </c>
      <c r="EZ100" s="443">
        <v>80</v>
      </c>
      <c r="FA100" s="441"/>
      <c r="FB100" s="442"/>
      <c r="FC100" s="443"/>
      <c r="FD100" s="441"/>
      <c r="FE100" s="442"/>
      <c r="FF100" s="443" t="s">
        <v>6</v>
      </c>
      <c r="FG100" s="441"/>
      <c r="FH100" s="442"/>
      <c r="FI100" s="443" t="s">
        <v>6</v>
      </c>
      <c r="FJ100" s="441"/>
      <c r="FK100" s="442"/>
      <c r="FL100" s="443" t="s">
        <v>6</v>
      </c>
      <c r="FM100" s="441"/>
      <c r="FN100" s="442"/>
      <c r="FO100" s="443"/>
      <c r="FP100" s="441">
        <v>1</v>
      </c>
      <c r="FQ100" s="442"/>
      <c r="FR100" s="443">
        <v>100</v>
      </c>
      <c r="FS100" s="441"/>
      <c r="FT100" s="442">
        <v>1</v>
      </c>
      <c r="FU100" s="443">
        <v>0</v>
      </c>
      <c r="FV100" s="441">
        <v>2</v>
      </c>
      <c r="FW100" s="442"/>
      <c r="FX100" s="443">
        <v>100</v>
      </c>
      <c r="FY100" s="441"/>
      <c r="FZ100" s="442"/>
      <c r="GA100" s="443"/>
      <c r="GB100" s="441">
        <v>2</v>
      </c>
      <c r="GC100" s="442">
        <v>1</v>
      </c>
      <c r="GD100" s="443">
        <v>66.7</v>
      </c>
      <c r="GE100" s="441">
        <v>1</v>
      </c>
      <c r="GF100" s="442"/>
      <c r="GG100" s="443">
        <v>100</v>
      </c>
      <c r="GH100" s="441">
        <v>1</v>
      </c>
      <c r="GI100" s="442"/>
      <c r="GJ100" s="443">
        <v>100</v>
      </c>
      <c r="GK100" s="441"/>
      <c r="GL100" s="442"/>
      <c r="GM100" s="443"/>
      <c r="GN100" s="441"/>
      <c r="GO100" s="442"/>
      <c r="GP100" s="443" t="s">
        <v>6</v>
      </c>
      <c r="GQ100" s="441">
        <v>6</v>
      </c>
      <c r="GR100" s="442"/>
      <c r="GS100" s="443">
        <v>100</v>
      </c>
      <c r="GT100" s="441">
        <v>1</v>
      </c>
      <c r="GU100" s="442"/>
      <c r="GV100" s="443">
        <v>100</v>
      </c>
      <c r="GW100" s="441"/>
      <c r="GX100" s="442"/>
      <c r="GY100" s="443"/>
      <c r="GZ100" s="441"/>
      <c r="HA100" s="442"/>
      <c r="HB100" s="443" t="s">
        <v>6</v>
      </c>
      <c r="HC100" s="441"/>
      <c r="HD100" s="442"/>
      <c r="HE100" s="443" t="s">
        <v>6</v>
      </c>
      <c r="HF100" s="441"/>
      <c r="HG100" s="442"/>
      <c r="HH100" s="443" t="s">
        <v>6</v>
      </c>
      <c r="HI100" s="441"/>
      <c r="HJ100" s="442"/>
      <c r="HK100" s="443"/>
      <c r="HL100" s="441"/>
      <c r="HM100" s="442"/>
      <c r="HN100" s="443" t="s">
        <v>6</v>
      </c>
      <c r="HO100" s="441"/>
      <c r="HP100" s="442">
        <v>1</v>
      </c>
      <c r="HQ100" s="443">
        <v>0</v>
      </c>
      <c r="HR100" s="441"/>
      <c r="HS100" s="442"/>
      <c r="HT100" s="443" t="s">
        <v>6</v>
      </c>
      <c r="HU100" s="441"/>
      <c r="HV100" s="442"/>
      <c r="HW100" s="443"/>
      <c r="HX100" s="441"/>
      <c r="HY100" s="442"/>
      <c r="HZ100" s="443" t="s">
        <v>6</v>
      </c>
      <c r="IA100" s="441"/>
      <c r="IB100" s="442"/>
      <c r="IC100" s="443" t="s">
        <v>6</v>
      </c>
      <c r="ID100" s="441">
        <v>3</v>
      </c>
      <c r="IE100" s="442"/>
      <c r="IF100" s="443">
        <v>100</v>
      </c>
      <c r="IG100" s="441"/>
      <c r="IH100" s="442"/>
      <c r="II100" s="443"/>
      <c r="IJ100" s="441"/>
      <c r="IK100" s="442"/>
      <c r="IL100" s="443" t="s">
        <v>6</v>
      </c>
      <c r="IM100" s="441"/>
      <c r="IN100" s="442"/>
      <c r="IO100" s="443" t="s">
        <v>6</v>
      </c>
      <c r="IP100" s="441"/>
      <c r="IQ100" s="442"/>
      <c r="IR100" s="443" t="s">
        <v>6</v>
      </c>
      <c r="IS100" s="441"/>
      <c r="IT100" s="442"/>
      <c r="IU100" s="443"/>
      <c r="IV100" s="441">
        <v>14</v>
      </c>
      <c r="IW100" s="442">
        <v>2</v>
      </c>
      <c r="IX100" s="443">
        <v>87.5</v>
      </c>
      <c r="IY100" s="441">
        <v>30</v>
      </c>
      <c r="IZ100" s="442">
        <v>4</v>
      </c>
      <c r="JA100" s="443">
        <v>88.2</v>
      </c>
      <c r="JB100" s="441">
        <v>24</v>
      </c>
      <c r="JC100" s="442">
        <v>1</v>
      </c>
      <c r="JD100" s="443">
        <v>96</v>
      </c>
      <c r="JE100" s="441"/>
      <c r="JF100" s="442"/>
      <c r="JG100" s="443"/>
      <c r="JH100" s="441">
        <v>1</v>
      </c>
      <c r="JI100" s="442">
        <v>1</v>
      </c>
      <c r="JJ100" s="443">
        <v>50</v>
      </c>
      <c r="JK100" s="441">
        <v>3</v>
      </c>
      <c r="JL100" s="442"/>
      <c r="JM100" s="443">
        <v>100</v>
      </c>
      <c r="JN100" s="441">
        <v>7</v>
      </c>
      <c r="JO100" s="442">
        <v>1</v>
      </c>
      <c r="JP100" s="443">
        <v>87.5</v>
      </c>
      <c r="JQ100" s="441"/>
      <c r="JR100" s="442"/>
      <c r="JS100" s="443"/>
      <c r="JT100" s="441">
        <v>2</v>
      </c>
      <c r="JU100" s="442"/>
      <c r="JV100" s="443">
        <v>100</v>
      </c>
      <c r="JW100" s="441"/>
      <c r="JX100" s="442"/>
      <c r="JY100" s="443" t="s">
        <v>6</v>
      </c>
      <c r="JZ100" s="441"/>
      <c r="KA100" s="442"/>
      <c r="KB100" s="443" t="s">
        <v>6</v>
      </c>
      <c r="KC100" s="441"/>
      <c r="KD100" s="442"/>
      <c r="KE100" s="443"/>
      <c r="KF100" s="441"/>
      <c r="KG100" s="442"/>
      <c r="KH100" s="443" t="s">
        <v>6</v>
      </c>
      <c r="KI100" s="441"/>
      <c r="KJ100" s="442"/>
      <c r="KK100" s="443" t="s">
        <v>6</v>
      </c>
      <c r="KL100" s="441"/>
      <c r="KM100" s="442"/>
      <c r="KN100" s="443" t="s">
        <v>6</v>
      </c>
      <c r="KO100" s="441"/>
      <c r="KP100" s="442"/>
      <c r="KQ100" s="443"/>
      <c r="KR100" s="441">
        <v>6</v>
      </c>
      <c r="KS100" s="442">
        <v>2</v>
      </c>
      <c r="KT100" s="443">
        <v>75</v>
      </c>
      <c r="KU100" s="441">
        <v>7</v>
      </c>
      <c r="KV100" s="442"/>
      <c r="KW100" s="443">
        <v>100</v>
      </c>
      <c r="KX100" s="441">
        <v>9</v>
      </c>
      <c r="KY100" s="442">
        <v>1</v>
      </c>
      <c r="KZ100" s="443">
        <v>90</v>
      </c>
      <c r="LA100" s="441"/>
      <c r="LB100" s="442"/>
      <c r="LC100" s="443"/>
      <c r="LD100" s="441">
        <v>154</v>
      </c>
      <c r="LE100" s="442">
        <v>6</v>
      </c>
      <c r="LF100" s="443">
        <v>96.3</v>
      </c>
      <c r="LG100" s="441">
        <v>151</v>
      </c>
      <c r="LH100" s="442">
        <v>8</v>
      </c>
      <c r="LI100" s="443">
        <v>95</v>
      </c>
      <c r="LJ100" s="441">
        <v>273</v>
      </c>
      <c r="LK100" s="442">
        <v>15</v>
      </c>
      <c r="LL100" s="443">
        <v>94.8</v>
      </c>
      <c r="LM100" s="441"/>
      <c r="LN100" s="442"/>
      <c r="LO100" s="443"/>
    </row>
    <row r="101" spans="1:327" x14ac:dyDescent="0.2">
      <c r="A101" s="1001"/>
      <c r="B101" s="747"/>
      <c r="C101" s="151" t="s">
        <v>774</v>
      </c>
      <c r="D101" s="377"/>
      <c r="E101" s="373"/>
      <c r="F101" s="444" t="s">
        <v>6</v>
      </c>
      <c r="G101" s="377"/>
      <c r="H101" s="373"/>
      <c r="I101" s="444" t="s">
        <v>6</v>
      </c>
      <c r="J101" s="377"/>
      <c r="K101" s="373"/>
      <c r="L101" s="444" t="s">
        <v>6</v>
      </c>
      <c r="M101" s="377"/>
      <c r="N101" s="373"/>
      <c r="O101" s="444"/>
      <c r="P101" s="377"/>
      <c r="Q101" s="373"/>
      <c r="R101" s="444" t="s">
        <v>6</v>
      </c>
      <c r="S101" s="377"/>
      <c r="T101" s="373"/>
      <c r="U101" s="444" t="s">
        <v>6</v>
      </c>
      <c r="V101" s="377"/>
      <c r="W101" s="373"/>
      <c r="X101" s="444" t="s">
        <v>6</v>
      </c>
      <c r="Y101" s="377"/>
      <c r="Z101" s="373"/>
      <c r="AA101" s="444"/>
      <c r="AB101" s="377"/>
      <c r="AC101" s="373"/>
      <c r="AD101" s="444" t="s">
        <v>6</v>
      </c>
      <c r="AE101" s="377"/>
      <c r="AF101" s="373"/>
      <c r="AG101" s="444" t="s">
        <v>6</v>
      </c>
      <c r="AH101" s="377"/>
      <c r="AI101" s="373"/>
      <c r="AJ101" s="444" t="s">
        <v>6</v>
      </c>
      <c r="AK101" s="377"/>
      <c r="AL101" s="373"/>
      <c r="AM101" s="444"/>
      <c r="AN101" s="377">
        <v>41</v>
      </c>
      <c r="AO101" s="373">
        <v>11</v>
      </c>
      <c r="AP101" s="444">
        <v>78.8</v>
      </c>
      <c r="AQ101" s="377">
        <v>26</v>
      </c>
      <c r="AR101" s="373">
        <v>5</v>
      </c>
      <c r="AS101" s="444">
        <v>83.9</v>
      </c>
      <c r="AT101" s="377">
        <v>28</v>
      </c>
      <c r="AU101" s="373">
        <v>12</v>
      </c>
      <c r="AV101" s="444">
        <v>70</v>
      </c>
      <c r="AW101" s="377"/>
      <c r="AX101" s="373"/>
      <c r="AY101" s="444"/>
      <c r="AZ101" s="377">
        <v>24</v>
      </c>
      <c r="BA101" s="373">
        <v>10</v>
      </c>
      <c r="BB101" s="444">
        <v>70.599999999999994</v>
      </c>
      <c r="BC101" s="377">
        <v>9</v>
      </c>
      <c r="BD101" s="373">
        <v>5</v>
      </c>
      <c r="BE101" s="444">
        <v>64.3</v>
      </c>
      <c r="BF101" s="377">
        <v>20</v>
      </c>
      <c r="BG101" s="373">
        <v>4</v>
      </c>
      <c r="BH101" s="444">
        <v>83.3</v>
      </c>
      <c r="BI101" s="377"/>
      <c r="BJ101" s="373"/>
      <c r="BK101" s="444"/>
      <c r="BL101" s="377"/>
      <c r="BM101" s="373"/>
      <c r="BN101" s="444" t="s">
        <v>6</v>
      </c>
      <c r="BO101" s="377"/>
      <c r="BP101" s="373"/>
      <c r="BQ101" s="444" t="s">
        <v>6</v>
      </c>
      <c r="BR101" s="377"/>
      <c r="BS101" s="373"/>
      <c r="BT101" s="444" t="s">
        <v>6</v>
      </c>
      <c r="BU101" s="377"/>
      <c r="BV101" s="373"/>
      <c r="BW101" s="444"/>
      <c r="BX101" s="377">
        <v>3</v>
      </c>
      <c r="BY101" s="373"/>
      <c r="BZ101" s="444">
        <v>100</v>
      </c>
      <c r="CA101" s="377"/>
      <c r="CB101" s="373"/>
      <c r="CC101" s="444" t="s">
        <v>6</v>
      </c>
      <c r="CD101" s="377"/>
      <c r="CE101" s="373"/>
      <c r="CF101" s="444" t="s">
        <v>6</v>
      </c>
      <c r="CG101" s="377"/>
      <c r="CH101" s="373"/>
      <c r="CI101" s="444"/>
      <c r="CJ101" s="377"/>
      <c r="CK101" s="373"/>
      <c r="CL101" s="444" t="s">
        <v>6</v>
      </c>
      <c r="CM101" s="377"/>
      <c r="CN101" s="373"/>
      <c r="CO101" s="444" t="s">
        <v>6</v>
      </c>
      <c r="CP101" s="377"/>
      <c r="CQ101" s="373"/>
      <c r="CR101" s="444" t="s">
        <v>6</v>
      </c>
      <c r="CS101" s="377"/>
      <c r="CT101" s="373"/>
      <c r="CU101" s="444"/>
      <c r="CV101" s="377">
        <v>46</v>
      </c>
      <c r="CW101" s="373">
        <v>24</v>
      </c>
      <c r="CX101" s="444">
        <v>65.7</v>
      </c>
      <c r="CY101" s="377">
        <v>41</v>
      </c>
      <c r="CZ101" s="373">
        <v>7</v>
      </c>
      <c r="DA101" s="444">
        <v>85.4</v>
      </c>
      <c r="DB101" s="377">
        <v>35</v>
      </c>
      <c r="DC101" s="373">
        <v>11</v>
      </c>
      <c r="DD101" s="444">
        <v>76.099999999999994</v>
      </c>
      <c r="DE101" s="377"/>
      <c r="DF101" s="373"/>
      <c r="DG101" s="444"/>
      <c r="DH101" s="377">
        <v>1</v>
      </c>
      <c r="DI101" s="373"/>
      <c r="DJ101" s="444">
        <v>100</v>
      </c>
      <c r="DK101" s="377">
        <v>1</v>
      </c>
      <c r="DL101" s="373"/>
      <c r="DM101" s="444">
        <v>100</v>
      </c>
      <c r="DN101" s="377"/>
      <c r="DO101" s="373"/>
      <c r="DP101" s="444" t="s">
        <v>6</v>
      </c>
      <c r="DQ101" s="377"/>
      <c r="DR101" s="373"/>
      <c r="DS101" s="444"/>
      <c r="DT101" s="377"/>
      <c r="DU101" s="373"/>
      <c r="DV101" s="444" t="s">
        <v>6</v>
      </c>
      <c r="DW101" s="377"/>
      <c r="DX101" s="373"/>
      <c r="DY101" s="444" t="s">
        <v>6</v>
      </c>
      <c r="DZ101" s="377">
        <v>3</v>
      </c>
      <c r="EA101" s="373">
        <v>1</v>
      </c>
      <c r="EB101" s="444">
        <v>75</v>
      </c>
      <c r="EC101" s="377"/>
      <c r="ED101" s="373"/>
      <c r="EE101" s="444"/>
      <c r="EF101" s="377">
        <v>235</v>
      </c>
      <c r="EG101" s="373">
        <v>959</v>
      </c>
      <c r="EH101" s="444">
        <v>19.7</v>
      </c>
      <c r="EI101" s="377">
        <v>245</v>
      </c>
      <c r="EJ101" s="373">
        <v>712</v>
      </c>
      <c r="EK101" s="444">
        <v>25.6</v>
      </c>
      <c r="EL101" s="377">
        <v>163</v>
      </c>
      <c r="EM101" s="373">
        <v>563</v>
      </c>
      <c r="EN101" s="444">
        <v>22.5</v>
      </c>
      <c r="EO101" s="377"/>
      <c r="EP101" s="373"/>
      <c r="EQ101" s="444"/>
      <c r="ER101" s="377">
        <v>2</v>
      </c>
      <c r="ES101" s="373">
        <v>6</v>
      </c>
      <c r="ET101" s="444">
        <v>25</v>
      </c>
      <c r="EU101" s="377"/>
      <c r="EV101" s="373">
        <v>6</v>
      </c>
      <c r="EW101" s="444">
        <v>0</v>
      </c>
      <c r="EX101" s="377">
        <v>9</v>
      </c>
      <c r="EY101" s="373">
        <v>4</v>
      </c>
      <c r="EZ101" s="444">
        <v>69.2</v>
      </c>
      <c r="FA101" s="377"/>
      <c r="FB101" s="373"/>
      <c r="FC101" s="444"/>
      <c r="FD101" s="377">
        <v>1</v>
      </c>
      <c r="FE101" s="373">
        <v>25</v>
      </c>
      <c r="FF101" s="444">
        <v>3.8</v>
      </c>
      <c r="FG101" s="377">
        <v>4</v>
      </c>
      <c r="FH101" s="373">
        <v>28</v>
      </c>
      <c r="FI101" s="444">
        <v>12.5</v>
      </c>
      <c r="FJ101" s="377">
        <v>8</v>
      </c>
      <c r="FK101" s="373">
        <v>3</v>
      </c>
      <c r="FL101" s="444">
        <v>72.7</v>
      </c>
      <c r="FM101" s="377"/>
      <c r="FN101" s="373"/>
      <c r="FO101" s="444"/>
      <c r="FP101" s="377">
        <v>30</v>
      </c>
      <c r="FQ101" s="373">
        <v>130</v>
      </c>
      <c r="FR101" s="444">
        <v>18.8</v>
      </c>
      <c r="FS101" s="377">
        <v>41</v>
      </c>
      <c r="FT101" s="373">
        <v>99</v>
      </c>
      <c r="FU101" s="444">
        <v>29.3</v>
      </c>
      <c r="FV101" s="377">
        <v>14</v>
      </c>
      <c r="FW101" s="373">
        <v>72</v>
      </c>
      <c r="FX101" s="444">
        <v>16.3</v>
      </c>
      <c r="FY101" s="377"/>
      <c r="FZ101" s="373"/>
      <c r="GA101" s="444"/>
      <c r="GB101" s="377">
        <v>5</v>
      </c>
      <c r="GC101" s="373">
        <v>2</v>
      </c>
      <c r="GD101" s="444">
        <v>71.400000000000006</v>
      </c>
      <c r="GE101" s="377">
        <v>5</v>
      </c>
      <c r="GF101" s="373">
        <v>3</v>
      </c>
      <c r="GG101" s="444">
        <v>62.5</v>
      </c>
      <c r="GH101" s="377">
        <v>8</v>
      </c>
      <c r="GI101" s="373"/>
      <c r="GJ101" s="444">
        <v>100</v>
      </c>
      <c r="GK101" s="377"/>
      <c r="GL101" s="373"/>
      <c r="GM101" s="444"/>
      <c r="GN101" s="377">
        <v>6</v>
      </c>
      <c r="GO101" s="373">
        <v>7</v>
      </c>
      <c r="GP101" s="444">
        <v>46.2</v>
      </c>
      <c r="GQ101" s="377">
        <v>4</v>
      </c>
      <c r="GR101" s="373">
        <v>4</v>
      </c>
      <c r="GS101" s="444">
        <v>50</v>
      </c>
      <c r="GT101" s="377">
        <v>3</v>
      </c>
      <c r="GU101" s="373">
        <v>9</v>
      </c>
      <c r="GV101" s="444">
        <v>25</v>
      </c>
      <c r="GW101" s="377"/>
      <c r="GX101" s="373"/>
      <c r="GY101" s="444"/>
      <c r="GZ101" s="377">
        <v>2</v>
      </c>
      <c r="HA101" s="373"/>
      <c r="HB101" s="444">
        <v>100</v>
      </c>
      <c r="HC101" s="377">
        <v>1</v>
      </c>
      <c r="HD101" s="373"/>
      <c r="HE101" s="444">
        <v>100</v>
      </c>
      <c r="HF101" s="377">
        <v>1</v>
      </c>
      <c r="HG101" s="373"/>
      <c r="HH101" s="444">
        <v>100</v>
      </c>
      <c r="HI101" s="377"/>
      <c r="HJ101" s="373"/>
      <c r="HK101" s="444"/>
      <c r="HL101" s="377">
        <v>11</v>
      </c>
      <c r="HM101" s="373">
        <v>37</v>
      </c>
      <c r="HN101" s="444">
        <v>22.9</v>
      </c>
      <c r="HO101" s="377">
        <v>13</v>
      </c>
      <c r="HP101" s="373">
        <v>45</v>
      </c>
      <c r="HQ101" s="444">
        <v>22.4</v>
      </c>
      <c r="HR101" s="377">
        <v>9</v>
      </c>
      <c r="HS101" s="373">
        <v>44</v>
      </c>
      <c r="HT101" s="444">
        <v>17</v>
      </c>
      <c r="HU101" s="377"/>
      <c r="HV101" s="373"/>
      <c r="HW101" s="444"/>
      <c r="HX101" s="377">
        <v>2</v>
      </c>
      <c r="HY101" s="373">
        <v>1</v>
      </c>
      <c r="HZ101" s="444">
        <v>66.7</v>
      </c>
      <c r="IA101" s="377">
        <v>7</v>
      </c>
      <c r="IB101" s="373"/>
      <c r="IC101" s="444">
        <v>100</v>
      </c>
      <c r="ID101" s="377"/>
      <c r="IE101" s="373">
        <v>2</v>
      </c>
      <c r="IF101" s="444">
        <v>0</v>
      </c>
      <c r="IG101" s="377"/>
      <c r="IH101" s="373"/>
      <c r="II101" s="444"/>
      <c r="IJ101" s="377">
        <v>7</v>
      </c>
      <c r="IK101" s="373">
        <v>1</v>
      </c>
      <c r="IL101" s="444">
        <v>87.5</v>
      </c>
      <c r="IM101" s="377">
        <v>3</v>
      </c>
      <c r="IN101" s="373">
        <v>6</v>
      </c>
      <c r="IO101" s="444">
        <v>33.299999999999997</v>
      </c>
      <c r="IP101" s="377">
        <v>2</v>
      </c>
      <c r="IQ101" s="373"/>
      <c r="IR101" s="444">
        <v>100</v>
      </c>
      <c r="IS101" s="377"/>
      <c r="IT101" s="373"/>
      <c r="IU101" s="444"/>
      <c r="IV101" s="377">
        <v>359</v>
      </c>
      <c r="IW101" s="373">
        <v>1042</v>
      </c>
      <c r="IX101" s="444">
        <v>25.6</v>
      </c>
      <c r="IY101" s="377">
        <v>346</v>
      </c>
      <c r="IZ101" s="373">
        <v>782</v>
      </c>
      <c r="JA101" s="444">
        <v>30.7</v>
      </c>
      <c r="JB101" s="377">
        <v>252</v>
      </c>
      <c r="JC101" s="373">
        <v>642</v>
      </c>
      <c r="JD101" s="444">
        <v>28.2</v>
      </c>
      <c r="JE101" s="377"/>
      <c r="JF101" s="373"/>
      <c r="JG101" s="444"/>
      <c r="JH101" s="377">
        <v>60</v>
      </c>
      <c r="JI101" s="373">
        <v>90</v>
      </c>
      <c r="JJ101" s="444">
        <v>40</v>
      </c>
      <c r="JK101" s="377">
        <v>55</v>
      </c>
      <c r="JL101" s="373">
        <v>101</v>
      </c>
      <c r="JM101" s="444">
        <v>35.299999999999997</v>
      </c>
      <c r="JN101" s="377">
        <v>49</v>
      </c>
      <c r="JO101" s="373">
        <v>103</v>
      </c>
      <c r="JP101" s="444">
        <v>32.200000000000003</v>
      </c>
      <c r="JQ101" s="377"/>
      <c r="JR101" s="373"/>
      <c r="JS101" s="444"/>
      <c r="JT101" s="377">
        <v>1</v>
      </c>
      <c r="JU101" s="373">
        <v>1</v>
      </c>
      <c r="JV101" s="444">
        <v>50</v>
      </c>
      <c r="JW101" s="377">
        <v>1</v>
      </c>
      <c r="JX101" s="373">
        <v>1</v>
      </c>
      <c r="JY101" s="444">
        <v>50</v>
      </c>
      <c r="JZ101" s="377"/>
      <c r="KA101" s="373">
        <v>1</v>
      </c>
      <c r="KB101" s="444">
        <v>0</v>
      </c>
      <c r="KC101" s="377"/>
      <c r="KD101" s="373"/>
      <c r="KE101" s="444"/>
      <c r="KF101" s="377">
        <v>3</v>
      </c>
      <c r="KG101" s="373"/>
      <c r="KH101" s="444">
        <v>100</v>
      </c>
      <c r="KI101" s="377">
        <v>2</v>
      </c>
      <c r="KJ101" s="373">
        <v>1</v>
      </c>
      <c r="KK101" s="444">
        <v>66.7</v>
      </c>
      <c r="KL101" s="377"/>
      <c r="KM101" s="373"/>
      <c r="KN101" s="444" t="s">
        <v>6</v>
      </c>
      <c r="KO101" s="377"/>
      <c r="KP101" s="373"/>
      <c r="KQ101" s="444"/>
      <c r="KR101" s="377">
        <v>84</v>
      </c>
      <c r="KS101" s="373">
        <v>100</v>
      </c>
      <c r="KT101" s="444">
        <v>45.7</v>
      </c>
      <c r="KU101" s="377">
        <v>72</v>
      </c>
      <c r="KV101" s="373">
        <v>109</v>
      </c>
      <c r="KW101" s="444">
        <v>39.799999999999997</v>
      </c>
      <c r="KX101" s="377">
        <v>55</v>
      </c>
      <c r="KY101" s="373">
        <v>113</v>
      </c>
      <c r="KZ101" s="444">
        <v>32.700000000000003</v>
      </c>
      <c r="LA101" s="377"/>
      <c r="LB101" s="373"/>
      <c r="LC101" s="444"/>
      <c r="LD101" s="377">
        <v>566</v>
      </c>
      <c r="LE101" s="373">
        <v>1201</v>
      </c>
      <c r="LF101" s="444">
        <v>32</v>
      </c>
      <c r="LG101" s="377">
        <v>741</v>
      </c>
      <c r="LH101" s="373">
        <v>926</v>
      </c>
      <c r="LI101" s="444">
        <v>44.5</v>
      </c>
      <c r="LJ101" s="377">
        <v>373</v>
      </c>
      <c r="LK101" s="373">
        <v>846</v>
      </c>
      <c r="LL101" s="444">
        <v>30.6</v>
      </c>
      <c r="LM101" s="377"/>
      <c r="LN101" s="373"/>
      <c r="LO101" s="444"/>
    </row>
    <row r="102" spans="1:327" x14ac:dyDescent="0.2">
      <c r="A102" s="1001"/>
      <c r="B102" s="747" t="s">
        <v>621</v>
      </c>
      <c r="C102" s="151" t="s">
        <v>701</v>
      </c>
      <c r="D102" s="377"/>
      <c r="E102" s="373"/>
      <c r="F102" s="444" t="s">
        <v>6</v>
      </c>
      <c r="G102" s="377"/>
      <c r="H102" s="373"/>
      <c r="I102" s="444" t="s">
        <v>6</v>
      </c>
      <c r="J102" s="377"/>
      <c r="K102" s="373"/>
      <c r="L102" s="444" t="s">
        <v>6</v>
      </c>
      <c r="M102" s="377"/>
      <c r="N102" s="373"/>
      <c r="O102" s="444"/>
      <c r="P102" s="377"/>
      <c r="Q102" s="373"/>
      <c r="R102" s="444" t="s">
        <v>6</v>
      </c>
      <c r="S102" s="377"/>
      <c r="T102" s="373"/>
      <c r="U102" s="444" t="s">
        <v>6</v>
      </c>
      <c r="V102" s="377"/>
      <c r="W102" s="373"/>
      <c r="X102" s="444" t="s">
        <v>6</v>
      </c>
      <c r="Y102" s="377"/>
      <c r="Z102" s="373"/>
      <c r="AA102" s="444"/>
      <c r="AB102" s="377"/>
      <c r="AC102" s="373"/>
      <c r="AD102" s="444" t="s">
        <v>6</v>
      </c>
      <c r="AE102" s="377"/>
      <c r="AF102" s="373"/>
      <c r="AG102" s="444" t="s">
        <v>6</v>
      </c>
      <c r="AH102" s="377"/>
      <c r="AI102" s="373"/>
      <c r="AJ102" s="444" t="s">
        <v>6</v>
      </c>
      <c r="AK102" s="377"/>
      <c r="AL102" s="373"/>
      <c r="AM102" s="444"/>
      <c r="AN102" s="377">
        <v>22</v>
      </c>
      <c r="AO102" s="373">
        <v>2</v>
      </c>
      <c r="AP102" s="444">
        <v>91.7</v>
      </c>
      <c r="AQ102" s="377">
        <v>24</v>
      </c>
      <c r="AR102" s="373">
        <v>1</v>
      </c>
      <c r="AS102" s="444">
        <v>96</v>
      </c>
      <c r="AT102" s="377">
        <v>22</v>
      </c>
      <c r="AU102" s="373">
        <v>1</v>
      </c>
      <c r="AV102" s="444">
        <v>95.7</v>
      </c>
      <c r="AW102" s="377"/>
      <c r="AX102" s="373"/>
      <c r="AY102" s="444"/>
      <c r="AZ102" s="377">
        <v>9</v>
      </c>
      <c r="BA102" s="373">
        <v>2</v>
      </c>
      <c r="BB102" s="444">
        <v>81.8</v>
      </c>
      <c r="BC102" s="377">
        <v>9</v>
      </c>
      <c r="BD102" s="373">
        <v>1</v>
      </c>
      <c r="BE102" s="444">
        <v>90</v>
      </c>
      <c r="BF102" s="377">
        <v>5</v>
      </c>
      <c r="BG102" s="373">
        <v>1</v>
      </c>
      <c r="BH102" s="444">
        <v>83.3</v>
      </c>
      <c r="BI102" s="377"/>
      <c r="BJ102" s="373"/>
      <c r="BK102" s="444"/>
      <c r="BL102" s="377"/>
      <c r="BM102" s="373"/>
      <c r="BN102" s="444" t="s">
        <v>6</v>
      </c>
      <c r="BO102" s="377"/>
      <c r="BP102" s="373"/>
      <c r="BQ102" s="444" t="s">
        <v>6</v>
      </c>
      <c r="BR102" s="377"/>
      <c r="BS102" s="373"/>
      <c r="BT102" s="444" t="s">
        <v>6</v>
      </c>
      <c r="BU102" s="377"/>
      <c r="BV102" s="373"/>
      <c r="BW102" s="444"/>
      <c r="BX102" s="377"/>
      <c r="BY102" s="373"/>
      <c r="BZ102" s="444" t="s">
        <v>6</v>
      </c>
      <c r="CA102" s="377"/>
      <c r="CB102" s="373"/>
      <c r="CC102" s="444" t="s">
        <v>6</v>
      </c>
      <c r="CD102" s="377"/>
      <c r="CE102" s="373"/>
      <c r="CF102" s="444" t="s">
        <v>6</v>
      </c>
      <c r="CG102" s="377"/>
      <c r="CH102" s="373"/>
      <c r="CI102" s="444"/>
      <c r="CJ102" s="377"/>
      <c r="CK102" s="373"/>
      <c r="CL102" s="444" t="s">
        <v>6</v>
      </c>
      <c r="CM102" s="377"/>
      <c r="CN102" s="373"/>
      <c r="CO102" s="444" t="s">
        <v>6</v>
      </c>
      <c r="CP102" s="377"/>
      <c r="CQ102" s="373"/>
      <c r="CR102" s="444" t="s">
        <v>6</v>
      </c>
      <c r="CS102" s="377"/>
      <c r="CT102" s="373"/>
      <c r="CU102" s="444"/>
      <c r="CV102" s="377">
        <v>47</v>
      </c>
      <c r="CW102" s="373">
        <v>24</v>
      </c>
      <c r="CX102" s="444">
        <v>66.2</v>
      </c>
      <c r="CY102" s="377">
        <v>36</v>
      </c>
      <c r="CZ102" s="373">
        <v>12</v>
      </c>
      <c r="DA102" s="444">
        <v>75</v>
      </c>
      <c r="DB102" s="377">
        <v>26</v>
      </c>
      <c r="DC102" s="373">
        <v>5</v>
      </c>
      <c r="DD102" s="444">
        <v>83.9</v>
      </c>
      <c r="DE102" s="377"/>
      <c r="DF102" s="373"/>
      <c r="DG102" s="444"/>
      <c r="DH102" s="377">
        <v>1</v>
      </c>
      <c r="DI102" s="373"/>
      <c r="DJ102" s="444">
        <v>100</v>
      </c>
      <c r="DK102" s="377">
        <v>2</v>
      </c>
      <c r="DL102" s="373">
        <v>1</v>
      </c>
      <c r="DM102" s="444">
        <v>66.7</v>
      </c>
      <c r="DN102" s="377">
        <v>1</v>
      </c>
      <c r="DO102" s="373"/>
      <c r="DP102" s="444">
        <v>100</v>
      </c>
      <c r="DQ102" s="377"/>
      <c r="DR102" s="373"/>
      <c r="DS102" s="444"/>
      <c r="DT102" s="377"/>
      <c r="DU102" s="373"/>
      <c r="DV102" s="444" t="s">
        <v>6</v>
      </c>
      <c r="DW102" s="377"/>
      <c r="DX102" s="373"/>
      <c r="DY102" s="444" t="s">
        <v>6</v>
      </c>
      <c r="DZ102" s="377">
        <v>1</v>
      </c>
      <c r="EA102" s="373"/>
      <c r="EB102" s="444">
        <v>100</v>
      </c>
      <c r="EC102" s="377"/>
      <c r="ED102" s="373"/>
      <c r="EE102" s="444"/>
      <c r="EF102" s="377">
        <v>80</v>
      </c>
      <c r="EG102" s="373">
        <v>384</v>
      </c>
      <c r="EH102" s="444">
        <v>17.2</v>
      </c>
      <c r="EI102" s="377">
        <v>111</v>
      </c>
      <c r="EJ102" s="373">
        <v>268</v>
      </c>
      <c r="EK102" s="444">
        <v>29.3</v>
      </c>
      <c r="EL102" s="377">
        <v>84</v>
      </c>
      <c r="EM102" s="373">
        <v>265</v>
      </c>
      <c r="EN102" s="444">
        <v>24.1</v>
      </c>
      <c r="EO102" s="377"/>
      <c r="EP102" s="373"/>
      <c r="EQ102" s="444"/>
      <c r="ER102" s="377"/>
      <c r="ES102" s="373">
        <v>1</v>
      </c>
      <c r="ET102" s="444">
        <v>0</v>
      </c>
      <c r="EU102" s="377"/>
      <c r="EV102" s="373">
        <v>1</v>
      </c>
      <c r="EW102" s="444">
        <v>0</v>
      </c>
      <c r="EX102" s="377"/>
      <c r="EY102" s="373">
        <v>1</v>
      </c>
      <c r="EZ102" s="444">
        <v>0</v>
      </c>
      <c r="FA102" s="377"/>
      <c r="FB102" s="373"/>
      <c r="FC102" s="444"/>
      <c r="FD102" s="377"/>
      <c r="FE102" s="373">
        <v>2</v>
      </c>
      <c r="FF102" s="444">
        <v>0</v>
      </c>
      <c r="FG102" s="377">
        <v>5</v>
      </c>
      <c r="FH102" s="373">
        <v>2</v>
      </c>
      <c r="FI102" s="444">
        <v>71.400000000000006</v>
      </c>
      <c r="FJ102" s="377"/>
      <c r="FK102" s="373">
        <v>3</v>
      </c>
      <c r="FL102" s="444">
        <v>0</v>
      </c>
      <c r="FM102" s="377"/>
      <c r="FN102" s="373"/>
      <c r="FO102" s="444"/>
      <c r="FP102" s="377">
        <v>17</v>
      </c>
      <c r="FQ102" s="373">
        <v>89</v>
      </c>
      <c r="FR102" s="444">
        <v>16</v>
      </c>
      <c r="FS102" s="377">
        <v>16</v>
      </c>
      <c r="FT102" s="373">
        <v>56</v>
      </c>
      <c r="FU102" s="444">
        <v>22.2</v>
      </c>
      <c r="FV102" s="377">
        <v>22</v>
      </c>
      <c r="FW102" s="373">
        <v>53</v>
      </c>
      <c r="FX102" s="444">
        <v>29.3</v>
      </c>
      <c r="FY102" s="377"/>
      <c r="FZ102" s="373"/>
      <c r="GA102" s="444"/>
      <c r="GB102" s="377">
        <v>7</v>
      </c>
      <c r="GC102" s="373"/>
      <c r="GD102" s="444">
        <v>100</v>
      </c>
      <c r="GE102" s="377">
        <v>1</v>
      </c>
      <c r="GF102" s="373"/>
      <c r="GG102" s="444">
        <v>100</v>
      </c>
      <c r="GH102" s="377">
        <v>2</v>
      </c>
      <c r="GI102" s="373"/>
      <c r="GJ102" s="444">
        <v>100</v>
      </c>
      <c r="GK102" s="377"/>
      <c r="GL102" s="373"/>
      <c r="GM102" s="444"/>
      <c r="GN102" s="377">
        <v>1</v>
      </c>
      <c r="GO102" s="373">
        <v>2</v>
      </c>
      <c r="GP102" s="444">
        <v>33.299999999999997</v>
      </c>
      <c r="GQ102" s="377">
        <v>5</v>
      </c>
      <c r="GR102" s="373">
        <v>8</v>
      </c>
      <c r="GS102" s="444">
        <v>38.5</v>
      </c>
      <c r="GT102" s="377">
        <v>7</v>
      </c>
      <c r="GU102" s="373">
        <v>5</v>
      </c>
      <c r="GV102" s="444">
        <v>58.3</v>
      </c>
      <c r="GW102" s="377"/>
      <c r="GX102" s="373"/>
      <c r="GY102" s="444"/>
      <c r="GZ102" s="377"/>
      <c r="HA102" s="373">
        <v>2</v>
      </c>
      <c r="HB102" s="444">
        <v>0</v>
      </c>
      <c r="HC102" s="377">
        <v>1</v>
      </c>
      <c r="HD102" s="373"/>
      <c r="HE102" s="444">
        <v>100</v>
      </c>
      <c r="HF102" s="377"/>
      <c r="HG102" s="373"/>
      <c r="HH102" s="444" t="s">
        <v>6</v>
      </c>
      <c r="HI102" s="377"/>
      <c r="HJ102" s="373"/>
      <c r="HK102" s="444"/>
      <c r="HL102" s="377">
        <v>1</v>
      </c>
      <c r="HM102" s="373">
        <v>13</v>
      </c>
      <c r="HN102" s="444">
        <v>7.1</v>
      </c>
      <c r="HO102" s="377">
        <v>4</v>
      </c>
      <c r="HP102" s="373">
        <v>11</v>
      </c>
      <c r="HQ102" s="444">
        <v>26.7</v>
      </c>
      <c r="HR102" s="377">
        <v>3</v>
      </c>
      <c r="HS102" s="373">
        <v>17</v>
      </c>
      <c r="HT102" s="444">
        <v>15</v>
      </c>
      <c r="HU102" s="377"/>
      <c r="HV102" s="373"/>
      <c r="HW102" s="444"/>
      <c r="HX102" s="377">
        <v>1</v>
      </c>
      <c r="HY102" s="373">
        <v>1</v>
      </c>
      <c r="HZ102" s="444">
        <v>50</v>
      </c>
      <c r="IA102" s="377">
        <v>3</v>
      </c>
      <c r="IB102" s="373"/>
      <c r="IC102" s="444">
        <v>100</v>
      </c>
      <c r="ID102" s="377"/>
      <c r="IE102" s="373"/>
      <c r="IF102" s="444" t="s">
        <v>6</v>
      </c>
      <c r="IG102" s="377"/>
      <c r="IH102" s="373"/>
      <c r="II102" s="444"/>
      <c r="IJ102" s="377">
        <v>1</v>
      </c>
      <c r="IK102" s="373"/>
      <c r="IL102" s="444">
        <v>100</v>
      </c>
      <c r="IM102" s="377">
        <v>4</v>
      </c>
      <c r="IN102" s="373"/>
      <c r="IO102" s="444">
        <v>100</v>
      </c>
      <c r="IP102" s="377">
        <v>2</v>
      </c>
      <c r="IQ102" s="373"/>
      <c r="IR102" s="444">
        <v>100</v>
      </c>
      <c r="IS102" s="377"/>
      <c r="IT102" s="373"/>
      <c r="IU102" s="444"/>
      <c r="IV102" s="377">
        <v>161</v>
      </c>
      <c r="IW102" s="373">
        <v>428</v>
      </c>
      <c r="IX102" s="444">
        <v>27.3</v>
      </c>
      <c r="IY102" s="377">
        <v>191</v>
      </c>
      <c r="IZ102" s="373">
        <v>301</v>
      </c>
      <c r="JA102" s="444">
        <v>38.799999999999997</v>
      </c>
      <c r="JB102" s="377">
        <v>148</v>
      </c>
      <c r="JC102" s="373">
        <v>293</v>
      </c>
      <c r="JD102" s="444">
        <v>33.6</v>
      </c>
      <c r="JE102" s="377"/>
      <c r="JF102" s="373"/>
      <c r="JG102" s="444"/>
      <c r="JH102" s="377">
        <v>46</v>
      </c>
      <c r="JI102" s="373">
        <v>29</v>
      </c>
      <c r="JJ102" s="444">
        <v>61.3</v>
      </c>
      <c r="JK102" s="377">
        <v>42</v>
      </c>
      <c r="JL102" s="373">
        <v>32</v>
      </c>
      <c r="JM102" s="444">
        <v>56.8</v>
      </c>
      <c r="JN102" s="377">
        <v>35</v>
      </c>
      <c r="JO102" s="373">
        <v>21</v>
      </c>
      <c r="JP102" s="444">
        <v>62.5</v>
      </c>
      <c r="JQ102" s="377"/>
      <c r="JR102" s="373"/>
      <c r="JS102" s="444"/>
      <c r="JT102" s="377"/>
      <c r="JU102" s="373"/>
      <c r="JV102" s="444" t="s">
        <v>6</v>
      </c>
      <c r="JW102" s="377">
        <v>2</v>
      </c>
      <c r="JX102" s="373"/>
      <c r="JY102" s="444">
        <v>100</v>
      </c>
      <c r="JZ102" s="377"/>
      <c r="KA102" s="373"/>
      <c r="KB102" s="444" t="s">
        <v>6</v>
      </c>
      <c r="KC102" s="377"/>
      <c r="KD102" s="373"/>
      <c r="KE102" s="444"/>
      <c r="KF102" s="377"/>
      <c r="KG102" s="373"/>
      <c r="KH102" s="444" t="s">
        <v>6</v>
      </c>
      <c r="KI102" s="377">
        <v>1</v>
      </c>
      <c r="KJ102" s="373"/>
      <c r="KK102" s="444">
        <v>100</v>
      </c>
      <c r="KL102" s="377"/>
      <c r="KM102" s="373"/>
      <c r="KN102" s="444" t="s">
        <v>6</v>
      </c>
      <c r="KO102" s="377"/>
      <c r="KP102" s="373"/>
      <c r="KQ102" s="444"/>
      <c r="KR102" s="377">
        <v>58</v>
      </c>
      <c r="KS102" s="373">
        <v>46</v>
      </c>
      <c r="KT102" s="444">
        <v>55.8</v>
      </c>
      <c r="KU102" s="377">
        <v>49</v>
      </c>
      <c r="KV102" s="373">
        <v>46</v>
      </c>
      <c r="KW102" s="444">
        <v>51.6</v>
      </c>
      <c r="KX102" s="377">
        <v>42</v>
      </c>
      <c r="KY102" s="373">
        <v>35</v>
      </c>
      <c r="KZ102" s="444">
        <v>54.5</v>
      </c>
      <c r="LA102" s="377"/>
      <c r="LB102" s="373"/>
      <c r="LC102" s="444"/>
      <c r="LD102" s="377">
        <v>289</v>
      </c>
      <c r="LE102" s="373">
        <v>477</v>
      </c>
      <c r="LF102" s="444">
        <v>37.700000000000003</v>
      </c>
      <c r="LG102" s="377">
        <v>299</v>
      </c>
      <c r="LH102" s="373">
        <v>361</v>
      </c>
      <c r="LI102" s="444">
        <v>45.3</v>
      </c>
      <c r="LJ102" s="377">
        <v>252</v>
      </c>
      <c r="LK102" s="373">
        <v>337</v>
      </c>
      <c r="LL102" s="444">
        <v>42.8</v>
      </c>
      <c r="LM102" s="377"/>
      <c r="LN102" s="373"/>
      <c r="LO102" s="444"/>
    </row>
    <row r="103" spans="1:327" x14ac:dyDescent="0.2">
      <c r="A103" s="1001"/>
      <c r="B103" s="747" t="s">
        <v>621</v>
      </c>
      <c r="C103" s="151" t="s">
        <v>702</v>
      </c>
      <c r="D103" s="377"/>
      <c r="E103" s="373"/>
      <c r="F103" s="444" t="s">
        <v>6</v>
      </c>
      <c r="G103" s="377"/>
      <c r="H103" s="373"/>
      <c r="I103" s="444" t="s">
        <v>6</v>
      </c>
      <c r="J103" s="377"/>
      <c r="K103" s="373"/>
      <c r="L103" s="444" t="s">
        <v>6</v>
      </c>
      <c r="M103" s="377"/>
      <c r="N103" s="373"/>
      <c r="O103" s="444"/>
      <c r="P103" s="377"/>
      <c r="Q103" s="373"/>
      <c r="R103" s="444" t="s">
        <v>6</v>
      </c>
      <c r="S103" s="377"/>
      <c r="T103" s="373"/>
      <c r="U103" s="444" t="s">
        <v>6</v>
      </c>
      <c r="V103" s="377"/>
      <c r="W103" s="373"/>
      <c r="X103" s="444" t="s">
        <v>6</v>
      </c>
      <c r="Y103" s="377"/>
      <c r="Z103" s="373"/>
      <c r="AA103" s="444"/>
      <c r="AB103" s="377"/>
      <c r="AC103" s="373"/>
      <c r="AD103" s="444" t="s">
        <v>6</v>
      </c>
      <c r="AE103" s="377"/>
      <c r="AF103" s="373"/>
      <c r="AG103" s="444" t="s">
        <v>6</v>
      </c>
      <c r="AH103" s="377"/>
      <c r="AI103" s="373"/>
      <c r="AJ103" s="444" t="s">
        <v>6</v>
      </c>
      <c r="AK103" s="377"/>
      <c r="AL103" s="373"/>
      <c r="AM103" s="444"/>
      <c r="AN103" s="377">
        <v>23</v>
      </c>
      <c r="AO103" s="373">
        <v>1</v>
      </c>
      <c r="AP103" s="444">
        <v>95.8</v>
      </c>
      <c r="AQ103" s="377">
        <v>10</v>
      </c>
      <c r="AR103" s="373">
        <v>2</v>
      </c>
      <c r="AS103" s="444">
        <v>83.3</v>
      </c>
      <c r="AT103" s="377">
        <v>15</v>
      </c>
      <c r="AU103" s="373">
        <v>5</v>
      </c>
      <c r="AV103" s="444">
        <v>75</v>
      </c>
      <c r="AW103" s="377"/>
      <c r="AX103" s="373"/>
      <c r="AY103" s="444"/>
      <c r="AZ103" s="377">
        <v>2</v>
      </c>
      <c r="BA103" s="373">
        <v>1</v>
      </c>
      <c r="BB103" s="444">
        <v>66.7</v>
      </c>
      <c r="BC103" s="377">
        <v>2</v>
      </c>
      <c r="BD103" s="373">
        <v>1</v>
      </c>
      <c r="BE103" s="444">
        <v>66.7</v>
      </c>
      <c r="BF103" s="377">
        <v>6</v>
      </c>
      <c r="BG103" s="373">
        <v>2</v>
      </c>
      <c r="BH103" s="444">
        <v>75</v>
      </c>
      <c r="BI103" s="377"/>
      <c r="BJ103" s="373"/>
      <c r="BK103" s="444"/>
      <c r="BL103" s="377"/>
      <c r="BM103" s="373"/>
      <c r="BN103" s="444" t="s">
        <v>6</v>
      </c>
      <c r="BO103" s="377"/>
      <c r="BP103" s="373"/>
      <c r="BQ103" s="444" t="s">
        <v>6</v>
      </c>
      <c r="BR103" s="377"/>
      <c r="BS103" s="373"/>
      <c r="BT103" s="444" t="s">
        <v>6</v>
      </c>
      <c r="BU103" s="377"/>
      <c r="BV103" s="373"/>
      <c r="BW103" s="444"/>
      <c r="BX103" s="377"/>
      <c r="BY103" s="373"/>
      <c r="BZ103" s="444" t="s">
        <v>6</v>
      </c>
      <c r="CA103" s="377"/>
      <c r="CB103" s="373"/>
      <c r="CC103" s="444" t="s">
        <v>6</v>
      </c>
      <c r="CD103" s="377"/>
      <c r="CE103" s="373"/>
      <c r="CF103" s="444" t="s">
        <v>6</v>
      </c>
      <c r="CG103" s="377"/>
      <c r="CH103" s="373"/>
      <c r="CI103" s="444"/>
      <c r="CJ103" s="377"/>
      <c r="CK103" s="373"/>
      <c r="CL103" s="444" t="s">
        <v>6</v>
      </c>
      <c r="CM103" s="377"/>
      <c r="CN103" s="373"/>
      <c r="CO103" s="444" t="s">
        <v>6</v>
      </c>
      <c r="CP103" s="377"/>
      <c r="CQ103" s="373"/>
      <c r="CR103" s="444" t="s">
        <v>6</v>
      </c>
      <c r="CS103" s="377"/>
      <c r="CT103" s="373"/>
      <c r="CU103" s="444"/>
      <c r="CV103" s="377">
        <v>29</v>
      </c>
      <c r="CW103" s="373">
        <v>6</v>
      </c>
      <c r="CX103" s="444">
        <v>82.9</v>
      </c>
      <c r="CY103" s="377">
        <v>16</v>
      </c>
      <c r="CZ103" s="373">
        <v>10</v>
      </c>
      <c r="DA103" s="444">
        <v>61.5</v>
      </c>
      <c r="DB103" s="377">
        <v>15</v>
      </c>
      <c r="DC103" s="373">
        <v>7</v>
      </c>
      <c r="DD103" s="444">
        <v>68.2</v>
      </c>
      <c r="DE103" s="377"/>
      <c r="DF103" s="373"/>
      <c r="DG103" s="444"/>
      <c r="DH103" s="377"/>
      <c r="DI103" s="373"/>
      <c r="DJ103" s="444" t="s">
        <v>6</v>
      </c>
      <c r="DK103" s="377"/>
      <c r="DL103" s="373"/>
      <c r="DM103" s="444" t="s">
        <v>6</v>
      </c>
      <c r="DN103" s="377"/>
      <c r="DO103" s="373">
        <v>1</v>
      </c>
      <c r="DP103" s="444">
        <v>0</v>
      </c>
      <c r="DQ103" s="377"/>
      <c r="DR103" s="373"/>
      <c r="DS103" s="444"/>
      <c r="DT103" s="377">
        <v>1</v>
      </c>
      <c r="DU103" s="373"/>
      <c r="DV103" s="444">
        <v>100</v>
      </c>
      <c r="DW103" s="377"/>
      <c r="DX103" s="373">
        <v>1</v>
      </c>
      <c r="DY103" s="444">
        <v>0</v>
      </c>
      <c r="DZ103" s="377">
        <v>1</v>
      </c>
      <c r="EA103" s="373"/>
      <c r="EB103" s="444">
        <v>100</v>
      </c>
      <c r="EC103" s="377"/>
      <c r="ED103" s="373"/>
      <c r="EE103" s="444"/>
      <c r="EF103" s="377">
        <v>109</v>
      </c>
      <c r="EG103" s="373">
        <v>361</v>
      </c>
      <c r="EH103" s="444">
        <v>23.2</v>
      </c>
      <c r="EI103" s="377">
        <v>151</v>
      </c>
      <c r="EJ103" s="373">
        <v>352</v>
      </c>
      <c r="EK103" s="444">
        <v>30</v>
      </c>
      <c r="EL103" s="377">
        <v>281</v>
      </c>
      <c r="EM103" s="373">
        <v>378</v>
      </c>
      <c r="EN103" s="444">
        <v>42.6</v>
      </c>
      <c r="EO103" s="377"/>
      <c r="EP103" s="373"/>
      <c r="EQ103" s="444"/>
      <c r="ER103" s="377">
        <v>1</v>
      </c>
      <c r="ES103" s="373">
        <v>1</v>
      </c>
      <c r="ET103" s="444">
        <v>50</v>
      </c>
      <c r="EU103" s="377">
        <v>1</v>
      </c>
      <c r="EV103" s="373"/>
      <c r="EW103" s="444">
        <v>100</v>
      </c>
      <c r="EX103" s="377">
        <v>2</v>
      </c>
      <c r="EY103" s="373">
        <v>7</v>
      </c>
      <c r="EZ103" s="444">
        <v>22.2</v>
      </c>
      <c r="FA103" s="377"/>
      <c r="FB103" s="373"/>
      <c r="FC103" s="444"/>
      <c r="FD103" s="377">
        <v>2</v>
      </c>
      <c r="FE103" s="373">
        <v>8</v>
      </c>
      <c r="FF103" s="444">
        <v>20</v>
      </c>
      <c r="FG103" s="377">
        <v>10</v>
      </c>
      <c r="FH103" s="373">
        <v>15</v>
      </c>
      <c r="FI103" s="444">
        <v>40</v>
      </c>
      <c r="FJ103" s="377">
        <v>7</v>
      </c>
      <c r="FK103" s="373">
        <v>34</v>
      </c>
      <c r="FL103" s="444">
        <v>17.100000000000001</v>
      </c>
      <c r="FM103" s="377"/>
      <c r="FN103" s="373"/>
      <c r="FO103" s="444"/>
      <c r="FP103" s="377">
        <v>29</v>
      </c>
      <c r="FQ103" s="373">
        <v>75</v>
      </c>
      <c r="FR103" s="444">
        <v>27.9</v>
      </c>
      <c r="FS103" s="377">
        <v>28</v>
      </c>
      <c r="FT103" s="373">
        <v>62</v>
      </c>
      <c r="FU103" s="444">
        <v>31.1</v>
      </c>
      <c r="FV103" s="377">
        <v>41</v>
      </c>
      <c r="FW103" s="373">
        <v>48</v>
      </c>
      <c r="FX103" s="444">
        <v>46.1</v>
      </c>
      <c r="FY103" s="377"/>
      <c r="FZ103" s="373"/>
      <c r="GA103" s="444"/>
      <c r="GB103" s="377">
        <v>2</v>
      </c>
      <c r="GC103" s="373"/>
      <c r="GD103" s="444">
        <v>100</v>
      </c>
      <c r="GE103" s="377">
        <v>8</v>
      </c>
      <c r="GF103" s="373">
        <v>1</v>
      </c>
      <c r="GG103" s="444">
        <v>88.9</v>
      </c>
      <c r="GH103" s="377">
        <v>9</v>
      </c>
      <c r="GI103" s="373"/>
      <c r="GJ103" s="444">
        <v>100</v>
      </c>
      <c r="GK103" s="377"/>
      <c r="GL103" s="373"/>
      <c r="GM103" s="444"/>
      <c r="GN103" s="377">
        <v>2</v>
      </c>
      <c r="GO103" s="373">
        <v>1</v>
      </c>
      <c r="GP103" s="444">
        <v>66.7</v>
      </c>
      <c r="GQ103" s="377"/>
      <c r="GR103" s="373">
        <v>1</v>
      </c>
      <c r="GS103" s="444">
        <v>0</v>
      </c>
      <c r="GT103" s="377">
        <v>6</v>
      </c>
      <c r="GU103" s="373">
        <v>1</v>
      </c>
      <c r="GV103" s="444">
        <v>85.7</v>
      </c>
      <c r="GW103" s="377"/>
      <c r="GX103" s="373"/>
      <c r="GY103" s="444"/>
      <c r="GZ103" s="377">
        <v>1</v>
      </c>
      <c r="HA103" s="373"/>
      <c r="HB103" s="444">
        <v>100</v>
      </c>
      <c r="HC103" s="377"/>
      <c r="HD103" s="373"/>
      <c r="HE103" s="444" t="s">
        <v>6</v>
      </c>
      <c r="HF103" s="377">
        <v>1</v>
      </c>
      <c r="HG103" s="373">
        <v>2</v>
      </c>
      <c r="HH103" s="444">
        <v>33.299999999999997</v>
      </c>
      <c r="HI103" s="377"/>
      <c r="HJ103" s="373"/>
      <c r="HK103" s="444"/>
      <c r="HL103" s="377">
        <v>6</v>
      </c>
      <c r="HM103" s="373">
        <v>28</v>
      </c>
      <c r="HN103" s="444">
        <v>17.600000000000001</v>
      </c>
      <c r="HO103" s="377">
        <v>6</v>
      </c>
      <c r="HP103" s="373">
        <v>26</v>
      </c>
      <c r="HQ103" s="444">
        <v>18.8</v>
      </c>
      <c r="HR103" s="377">
        <v>17</v>
      </c>
      <c r="HS103" s="373">
        <v>24</v>
      </c>
      <c r="HT103" s="444">
        <v>41.5</v>
      </c>
      <c r="HU103" s="377"/>
      <c r="HV103" s="373"/>
      <c r="HW103" s="444"/>
      <c r="HX103" s="377"/>
      <c r="HY103" s="373"/>
      <c r="HZ103" s="444" t="s">
        <v>6</v>
      </c>
      <c r="IA103" s="377"/>
      <c r="IB103" s="373">
        <v>1</v>
      </c>
      <c r="IC103" s="444">
        <v>0</v>
      </c>
      <c r="ID103" s="377">
        <v>3</v>
      </c>
      <c r="IE103" s="373"/>
      <c r="IF103" s="444">
        <v>100</v>
      </c>
      <c r="IG103" s="377"/>
      <c r="IH103" s="373"/>
      <c r="II103" s="444"/>
      <c r="IJ103" s="377">
        <v>3</v>
      </c>
      <c r="IK103" s="373"/>
      <c r="IL103" s="444">
        <v>100</v>
      </c>
      <c r="IM103" s="377"/>
      <c r="IN103" s="373">
        <v>2</v>
      </c>
      <c r="IO103" s="444">
        <v>0</v>
      </c>
      <c r="IP103" s="377">
        <v>2</v>
      </c>
      <c r="IQ103" s="373">
        <v>1</v>
      </c>
      <c r="IR103" s="444">
        <v>66.7</v>
      </c>
      <c r="IS103" s="377"/>
      <c r="IT103" s="373"/>
      <c r="IU103" s="444"/>
      <c r="IV103" s="377">
        <v>176</v>
      </c>
      <c r="IW103" s="373">
        <v>397</v>
      </c>
      <c r="IX103" s="444">
        <v>30.7</v>
      </c>
      <c r="IY103" s="377">
        <v>191</v>
      </c>
      <c r="IZ103" s="373">
        <v>396</v>
      </c>
      <c r="JA103" s="444">
        <v>32.5</v>
      </c>
      <c r="JB103" s="377">
        <v>350</v>
      </c>
      <c r="JC103" s="373">
        <v>419</v>
      </c>
      <c r="JD103" s="444">
        <v>45.5</v>
      </c>
      <c r="JE103" s="377"/>
      <c r="JF103" s="373"/>
      <c r="JG103" s="444"/>
      <c r="JH103" s="377">
        <v>53</v>
      </c>
      <c r="JI103" s="373">
        <v>61</v>
      </c>
      <c r="JJ103" s="444">
        <v>46.5</v>
      </c>
      <c r="JK103" s="377">
        <v>49</v>
      </c>
      <c r="JL103" s="373">
        <v>91</v>
      </c>
      <c r="JM103" s="444">
        <v>35</v>
      </c>
      <c r="JN103" s="377">
        <v>50</v>
      </c>
      <c r="JO103" s="373">
        <v>95</v>
      </c>
      <c r="JP103" s="444">
        <v>34.5</v>
      </c>
      <c r="JQ103" s="377"/>
      <c r="JR103" s="373"/>
      <c r="JS103" s="444"/>
      <c r="JT103" s="377">
        <v>1</v>
      </c>
      <c r="JU103" s="373">
        <v>3</v>
      </c>
      <c r="JV103" s="444">
        <v>25</v>
      </c>
      <c r="JW103" s="377">
        <v>1</v>
      </c>
      <c r="JX103" s="373"/>
      <c r="JY103" s="444">
        <v>100</v>
      </c>
      <c r="JZ103" s="377">
        <v>1</v>
      </c>
      <c r="KA103" s="373"/>
      <c r="KB103" s="444">
        <v>100</v>
      </c>
      <c r="KC103" s="377"/>
      <c r="KD103" s="373"/>
      <c r="KE103" s="444"/>
      <c r="KF103" s="377"/>
      <c r="KG103" s="373">
        <v>1</v>
      </c>
      <c r="KH103" s="444">
        <v>0</v>
      </c>
      <c r="KI103" s="377"/>
      <c r="KJ103" s="373">
        <v>1</v>
      </c>
      <c r="KK103" s="444">
        <v>0</v>
      </c>
      <c r="KL103" s="377"/>
      <c r="KM103" s="373"/>
      <c r="KN103" s="444" t="s">
        <v>6</v>
      </c>
      <c r="KO103" s="377"/>
      <c r="KP103" s="373"/>
      <c r="KQ103" s="444"/>
      <c r="KR103" s="377">
        <v>56</v>
      </c>
      <c r="KS103" s="373">
        <v>76</v>
      </c>
      <c r="KT103" s="444">
        <v>42.4</v>
      </c>
      <c r="KU103" s="377">
        <v>51</v>
      </c>
      <c r="KV103" s="373">
        <v>98</v>
      </c>
      <c r="KW103" s="444">
        <v>34.200000000000003</v>
      </c>
      <c r="KX103" s="377">
        <v>60</v>
      </c>
      <c r="KY103" s="373">
        <v>99</v>
      </c>
      <c r="KZ103" s="444">
        <v>37.700000000000003</v>
      </c>
      <c r="LA103" s="377"/>
      <c r="LB103" s="373"/>
      <c r="LC103" s="444"/>
      <c r="LD103" s="377">
        <v>305</v>
      </c>
      <c r="LE103" s="373">
        <v>492</v>
      </c>
      <c r="LF103" s="444">
        <v>38.299999999999997</v>
      </c>
      <c r="LG103" s="377">
        <v>346</v>
      </c>
      <c r="LH103" s="373">
        <v>464</v>
      </c>
      <c r="LI103" s="444">
        <v>42.7</v>
      </c>
      <c r="LJ103" s="377">
        <v>437</v>
      </c>
      <c r="LK103" s="373">
        <v>493</v>
      </c>
      <c r="LL103" s="444">
        <v>47</v>
      </c>
      <c r="LM103" s="377"/>
      <c r="LN103" s="373"/>
      <c r="LO103" s="444"/>
    </row>
    <row r="104" spans="1:327" x14ac:dyDescent="0.2">
      <c r="A104" s="1001"/>
      <c r="B104" s="747" t="s">
        <v>621</v>
      </c>
      <c r="C104" s="151" t="s">
        <v>703</v>
      </c>
      <c r="D104" s="377"/>
      <c r="E104" s="373"/>
      <c r="F104" s="444" t="s">
        <v>6</v>
      </c>
      <c r="G104" s="377"/>
      <c r="H104" s="373"/>
      <c r="I104" s="444" t="s">
        <v>6</v>
      </c>
      <c r="J104" s="377"/>
      <c r="K104" s="373"/>
      <c r="L104" s="444" t="s">
        <v>6</v>
      </c>
      <c r="M104" s="377"/>
      <c r="N104" s="373"/>
      <c r="O104" s="444"/>
      <c r="P104" s="377"/>
      <c r="Q104" s="373"/>
      <c r="R104" s="444" t="s">
        <v>6</v>
      </c>
      <c r="S104" s="377"/>
      <c r="T104" s="373"/>
      <c r="U104" s="444" t="s">
        <v>6</v>
      </c>
      <c r="V104" s="377"/>
      <c r="W104" s="373"/>
      <c r="X104" s="444" t="s">
        <v>6</v>
      </c>
      <c r="Y104" s="377"/>
      <c r="Z104" s="373"/>
      <c r="AA104" s="444"/>
      <c r="AB104" s="377"/>
      <c r="AC104" s="373"/>
      <c r="AD104" s="444" t="s">
        <v>6</v>
      </c>
      <c r="AE104" s="377"/>
      <c r="AF104" s="373"/>
      <c r="AG104" s="444" t="s">
        <v>6</v>
      </c>
      <c r="AH104" s="377"/>
      <c r="AI104" s="373"/>
      <c r="AJ104" s="444" t="s">
        <v>6</v>
      </c>
      <c r="AK104" s="377"/>
      <c r="AL104" s="373"/>
      <c r="AM104" s="444"/>
      <c r="AN104" s="377">
        <v>5</v>
      </c>
      <c r="AO104" s="373"/>
      <c r="AP104" s="444">
        <v>100</v>
      </c>
      <c r="AQ104" s="377">
        <v>4</v>
      </c>
      <c r="AR104" s="373"/>
      <c r="AS104" s="444">
        <v>100</v>
      </c>
      <c r="AT104" s="377">
        <v>6</v>
      </c>
      <c r="AU104" s="373">
        <v>3</v>
      </c>
      <c r="AV104" s="444">
        <v>66.7</v>
      </c>
      <c r="AW104" s="377"/>
      <c r="AX104" s="373"/>
      <c r="AY104" s="444"/>
      <c r="AZ104" s="377">
        <v>4</v>
      </c>
      <c r="BA104" s="373"/>
      <c r="BB104" s="444">
        <v>100</v>
      </c>
      <c r="BC104" s="377">
        <v>2</v>
      </c>
      <c r="BD104" s="373"/>
      <c r="BE104" s="444">
        <v>100</v>
      </c>
      <c r="BF104" s="377">
        <v>1</v>
      </c>
      <c r="BG104" s="373">
        <v>3</v>
      </c>
      <c r="BH104" s="444">
        <v>25</v>
      </c>
      <c r="BI104" s="377"/>
      <c r="BJ104" s="373"/>
      <c r="BK104" s="444"/>
      <c r="BL104" s="377"/>
      <c r="BM104" s="373"/>
      <c r="BN104" s="444" t="s">
        <v>6</v>
      </c>
      <c r="BO104" s="377"/>
      <c r="BP104" s="373"/>
      <c r="BQ104" s="444" t="s">
        <v>6</v>
      </c>
      <c r="BR104" s="377"/>
      <c r="BS104" s="373"/>
      <c r="BT104" s="444" t="s">
        <v>6</v>
      </c>
      <c r="BU104" s="377"/>
      <c r="BV104" s="373"/>
      <c r="BW104" s="444"/>
      <c r="BX104" s="377"/>
      <c r="BY104" s="373"/>
      <c r="BZ104" s="444" t="s">
        <v>6</v>
      </c>
      <c r="CA104" s="377"/>
      <c r="CB104" s="373"/>
      <c r="CC104" s="444" t="s">
        <v>6</v>
      </c>
      <c r="CD104" s="377"/>
      <c r="CE104" s="373"/>
      <c r="CF104" s="444" t="s">
        <v>6</v>
      </c>
      <c r="CG104" s="377"/>
      <c r="CH104" s="373"/>
      <c r="CI104" s="444"/>
      <c r="CJ104" s="377"/>
      <c r="CK104" s="373"/>
      <c r="CL104" s="444" t="s">
        <v>6</v>
      </c>
      <c r="CM104" s="377"/>
      <c r="CN104" s="373"/>
      <c r="CO104" s="444" t="s">
        <v>6</v>
      </c>
      <c r="CP104" s="377"/>
      <c r="CQ104" s="373"/>
      <c r="CR104" s="444" t="s">
        <v>6</v>
      </c>
      <c r="CS104" s="377"/>
      <c r="CT104" s="373"/>
      <c r="CU104" s="444"/>
      <c r="CV104" s="377">
        <v>3</v>
      </c>
      <c r="CW104" s="373">
        <v>1</v>
      </c>
      <c r="CX104" s="444">
        <v>75</v>
      </c>
      <c r="CY104" s="377">
        <v>8</v>
      </c>
      <c r="CZ104" s="373"/>
      <c r="DA104" s="444">
        <v>100</v>
      </c>
      <c r="DB104" s="377">
        <v>13</v>
      </c>
      <c r="DC104" s="373">
        <v>2</v>
      </c>
      <c r="DD104" s="444">
        <v>86.7</v>
      </c>
      <c r="DE104" s="377"/>
      <c r="DF104" s="373"/>
      <c r="DG104" s="444"/>
      <c r="DH104" s="377"/>
      <c r="DI104" s="373"/>
      <c r="DJ104" s="444" t="s">
        <v>6</v>
      </c>
      <c r="DK104" s="377"/>
      <c r="DL104" s="373"/>
      <c r="DM104" s="444" t="s">
        <v>6</v>
      </c>
      <c r="DN104" s="377">
        <v>1</v>
      </c>
      <c r="DO104" s="373"/>
      <c r="DP104" s="444">
        <v>100</v>
      </c>
      <c r="DQ104" s="377"/>
      <c r="DR104" s="373"/>
      <c r="DS104" s="444"/>
      <c r="DT104" s="377">
        <v>1</v>
      </c>
      <c r="DU104" s="373"/>
      <c r="DV104" s="444">
        <v>100</v>
      </c>
      <c r="DW104" s="377"/>
      <c r="DX104" s="373"/>
      <c r="DY104" s="444" t="s">
        <v>6</v>
      </c>
      <c r="DZ104" s="377"/>
      <c r="EA104" s="373"/>
      <c r="EB104" s="444" t="s">
        <v>6</v>
      </c>
      <c r="EC104" s="377"/>
      <c r="ED104" s="373"/>
      <c r="EE104" s="444"/>
      <c r="EF104" s="377">
        <v>65</v>
      </c>
      <c r="EG104" s="373">
        <v>250</v>
      </c>
      <c r="EH104" s="444">
        <v>20.6</v>
      </c>
      <c r="EI104" s="377">
        <v>45</v>
      </c>
      <c r="EJ104" s="373">
        <v>158</v>
      </c>
      <c r="EK104" s="444">
        <v>22.2</v>
      </c>
      <c r="EL104" s="377">
        <v>106</v>
      </c>
      <c r="EM104" s="373">
        <v>184</v>
      </c>
      <c r="EN104" s="444">
        <v>36.6</v>
      </c>
      <c r="EO104" s="377"/>
      <c r="EP104" s="373"/>
      <c r="EQ104" s="444"/>
      <c r="ER104" s="377">
        <v>1</v>
      </c>
      <c r="ES104" s="373"/>
      <c r="ET104" s="444">
        <v>100</v>
      </c>
      <c r="EU104" s="377"/>
      <c r="EV104" s="373"/>
      <c r="EW104" s="444" t="s">
        <v>6</v>
      </c>
      <c r="EX104" s="377">
        <v>1</v>
      </c>
      <c r="EY104" s="373">
        <v>1</v>
      </c>
      <c r="EZ104" s="444">
        <v>50</v>
      </c>
      <c r="FA104" s="377"/>
      <c r="FB104" s="373"/>
      <c r="FC104" s="444"/>
      <c r="FD104" s="377">
        <v>4</v>
      </c>
      <c r="FE104" s="373">
        <v>14</v>
      </c>
      <c r="FF104" s="444">
        <v>22.2</v>
      </c>
      <c r="FG104" s="377">
        <v>2</v>
      </c>
      <c r="FH104" s="373">
        <v>11</v>
      </c>
      <c r="FI104" s="444">
        <v>15.4</v>
      </c>
      <c r="FJ104" s="377">
        <v>21</v>
      </c>
      <c r="FK104" s="373">
        <v>12</v>
      </c>
      <c r="FL104" s="444">
        <v>63.6</v>
      </c>
      <c r="FM104" s="377"/>
      <c r="FN104" s="373"/>
      <c r="FO104" s="444"/>
      <c r="FP104" s="377">
        <v>32</v>
      </c>
      <c r="FQ104" s="373">
        <v>48</v>
      </c>
      <c r="FR104" s="444">
        <v>40</v>
      </c>
      <c r="FS104" s="377">
        <v>8</v>
      </c>
      <c r="FT104" s="373">
        <v>27</v>
      </c>
      <c r="FU104" s="444">
        <v>22.9</v>
      </c>
      <c r="FV104" s="377">
        <v>15</v>
      </c>
      <c r="FW104" s="373">
        <v>15</v>
      </c>
      <c r="FX104" s="444">
        <v>50</v>
      </c>
      <c r="FY104" s="377"/>
      <c r="FZ104" s="373"/>
      <c r="GA104" s="444"/>
      <c r="GB104" s="377">
        <v>4</v>
      </c>
      <c r="GC104" s="373">
        <v>2</v>
      </c>
      <c r="GD104" s="444">
        <v>66.7</v>
      </c>
      <c r="GE104" s="377">
        <v>1</v>
      </c>
      <c r="GF104" s="373"/>
      <c r="GG104" s="444">
        <v>100</v>
      </c>
      <c r="GH104" s="377"/>
      <c r="GI104" s="373"/>
      <c r="GJ104" s="444" t="s">
        <v>6</v>
      </c>
      <c r="GK104" s="377"/>
      <c r="GL104" s="373"/>
      <c r="GM104" s="444"/>
      <c r="GN104" s="377"/>
      <c r="GO104" s="373">
        <v>1</v>
      </c>
      <c r="GP104" s="444">
        <v>0</v>
      </c>
      <c r="GQ104" s="377">
        <v>2</v>
      </c>
      <c r="GR104" s="373"/>
      <c r="GS104" s="444">
        <v>100</v>
      </c>
      <c r="GT104" s="377">
        <v>4</v>
      </c>
      <c r="GU104" s="373">
        <v>3</v>
      </c>
      <c r="GV104" s="444">
        <v>57.1</v>
      </c>
      <c r="GW104" s="377"/>
      <c r="GX104" s="373"/>
      <c r="GY104" s="444"/>
      <c r="GZ104" s="377"/>
      <c r="HA104" s="373"/>
      <c r="HB104" s="444" t="s">
        <v>6</v>
      </c>
      <c r="HC104" s="377"/>
      <c r="HD104" s="373"/>
      <c r="HE104" s="444" t="s">
        <v>6</v>
      </c>
      <c r="HF104" s="377"/>
      <c r="HG104" s="373"/>
      <c r="HH104" s="444" t="s">
        <v>6</v>
      </c>
      <c r="HI104" s="377"/>
      <c r="HJ104" s="373"/>
      <c r="HK104" s="444"/>
      <c r="HL104" s="377">
        <v>4</v>
      </c>
      <c r="HM104" s="373">
        <v>18</v>
      </c>
      <c r="HN104" s="444">
        <v>18.2</v>
      </c>
      <c r="HO104" s="377">
        <v>6</v>
      </c>
      <c r="HP104" s="373">
        <v>21</v>
      </c>
      <c r="HQ104" s="444">
        <v>22.2</v>
      </c>
      <c r="HR104" s="377">
        <v>3</v>
      </c>
      <c r="HS104" s="373">
        <v>16</v>
      </c>
      <c r="HT104" s="444">
        <v>15.8</v>
      </c>
      <c r="HU104" s="377"/>
      <c r="HV104" s="373"/>
      <c r="HW104" s="444"/>
      <c r="HX104" s="377"/>
      <c r="HY104" s="373"/>
      <c r="HZ104" s="444" t="s">
        <v>6</v>
      </c>
      <c r="IA104" s="377">
        <v>2</v>
      </c>
      <c r="IB104" s="373"/>
      <c r="IC104" s="444">
        <v>100</v>
      </c>
      <c r="ID104" s="377"/>
      <c r="IE104" s="373"/>
      <c r="IF104" s="444" t="s">
        <v>6</v>
      </c>
      <c r="IG104" s="377"/>
      <c r="IH104" s="373"/>
      <c r="II104" s="444"/>
      <c r="IJ104" s="377"/>
      <c r="IK104" s="373">
        <v>1</v>
      </c>
      <c r="IL104" s="444">
        <v>0</v>
      </c>
      <c r="IM104" s="377">
        <v>1</v>
      </c>
      <c r="IN104" s="373"/>
      <c r="IO104" s="444">
        <v>100</v>
      </c>
      <c r="IP104" s="377">
        <v>1</v>
      </c>
      <c r="IQ104" s="373">
        <v>1</v>
      </c>
      <c r="IR104" s="444">
        <v>50</v>
      </c>
      <c r="IS104" s="377"/>
      <c r="IT104" s="373"/>
      <c r="IU104" s="444"/>
      <c r="IV104" s="377">
        <v>82</v>
      </c>
      <c r="IW104" s="373">
        <v>273</v>
      </c>
      <c r="IX104" s="444">
        <v>23.1</v>
      </c>
      <c r="IY104" s="377">
        <v>69</v>
      </c>
      <c r="IZ104" s="373">
        <v>179</v>
      </c>
      <c r="JA104" s="444">
        <v>27.8</v>
      </c>
      <c r="JB104" s="377">
        <v>134</v>
      </c>
      <c r="JC104" s="373">
        <v>209</v>
      </c>
      <c r="JD104" s="444">
        <v>39.1</v>
      </c>
      <c r="JE104" s="377"/>
      <c r="JF104" s="373"/>
      <c r="JG104" s="444"/>
      <c r="JH104" s="377">
        <v>13</v>
      </c>
      <c r="JI104" s="373">
        <v>36</v>
      </c>
      <c r="JJ104" s="444">
        <v>26.5</v>
      </c>
      <c r="JK104" s="377">
        <v>15</v>
      </c>
      <c r="JL104" s="373">
        <v>26</v>
      </c>
      <c r="JM104" s="444">
        <v>36.6</v>
      </c>
      <c r="JN104" s="377">
        <v>50</v>
      </c>
      <c r="JO104" s="373">
        <v>29</v>
      </c>
      <c r="JP104" s="444">
        <v>63.3</v>
      </c>
      <c r="JQ104" s="377"/>
      <c r="JR104" s="373"/>
      <c r="JS104" s="444"/>
      <c r="JT104" s="377"/>
      <c r="JU104" s="373"/>
      <c r="JV104" s="444" t="s">
        <v>6</v>
      </c>
      <c r="JW104" s="377">
        <v>1</v>
      </c>
      <c r="JX104" s="373"/>
      <c r="JY104" s="444">
        <v>100</v>
      </c>
      <c r="JZ104" s="377"/>
      <c r="KA104" s="373"/>
      <c r="KB104" s="444" t="s">
        <v>6</v>
      </c>
      <c r="KC104" s="377"/>
      <c r="KD104" s="373"/>
      <c r="KE104" s="444"/>
      <c r="KF104" s="377"/>
      <c r="KG104" s="373"/>
      <c r="KH104" s="444" t="s">
        <v>6</v>
      </c>
      <c r="KI104" s="377"/>
      <c r="KJ104" s="373"/>
      <c r="KK104" s="444" t="s">
        <v>6</v>
      </c>
      <c r="KL104" s="377"/>
      <c r="KM104" s="373"/>
      <c r="KN104" s="444" t="s">
        <v>6</v>
      </c>
      <c r="KO104" s="377"/>
      <c r="KP104" s="373"/>
      <c r="KQ104" s="444"/>
      <c r="KR104" s="377">
        <v>16</v>
      </c>
      <c r="KS104" s="373">
        <v>48</v>
      </c>
      <c r="KT104" s="444">
        <v>25</v>
      </c>
      <c r="KU104" s="377">
        <v>18</v>
      </c>
      <c r="KV104" s="373">
        <v>32</v>
      </c>
      <c r="KW104" s="444">
        <v>36</v>
      </c>
      <c r="KX104" s="377">
        <v>54</v>
      </c>
      <c r="KY104" s="373">
        <v>33</v>
      </c>
      <c r="KZ104" s="444">
        <v>62.1</v>
      </c>
      <c r="LA104" s="377"/>
      <c r="LB104" s="373"/>
      <c r="LC104" s="444"/>
      <c r="LD104" s="377">
        <v>122</v>
      </c>
      <c r="LE104" s="373">
        <v>320</v>
      </c>
      <c r="LF104" s="444">
        <v>27.6</v>
      </c>
      <c r="LG104" s="377">
        <v>317</v>
      </c>
      <c r="LH104" s="373">
        <v>219</v>
      </c>
      <c r="LI104" s="444">
        <v>59.1</v>
      </c>
      <c r="LJ104" s="377">
        <v>173</v>
      </c>
      <c r="LK104" s="373">
        <v>249</v>
      </c>
      <c r="LL104" s="444">
        <v>41</v>
      </c>
      <c r="LM104" s="377"/>
      <c r="LN104" s="373"/>
      <c r="LO104" s="444"/>
    </row>
    <row r="105" spans="1:327" ht="13.5" thickBot="1" x14ac:dyDescent="0.25">
      <c r="A105" s="1001"/>
      <c r="B105" s="748" t="s">
        <v>621</v>
      </c>
      <c r="C105" s="156" t="s">
        <v>704</v>
      </c>
      <c r="D105" s="377"/>
      <c r="E105" s="373"/>
      <c r="F105" s="444" t="s">
        <v>6</v>
      </c>
      <c r="G105" s="377"/>
      <c r="H105" s="373"/>
      <c r="I105" s="444" t="s">
        <v>6</v>
      </c>
      <c r="J105" s="377"/>
      <c r="K105" s="373"/>
      <c r="L105" s="444" t="s">
        <v>6</v>
      </c>
      <c r="M105" s="377"/>
      <c r="N105" s="373"/>
      <c r="O105" s="444"/>
      <c r="P105" s="377"/>
      <c r="Q105" s="373"/>
      <c r="R105" s="444" t="s">
        <v>6</v>
      </c>
      <c r="S105" s="377"/>
      <c r="T105" s="373"/>
      <c r="U105" s="444" t="s">
        <v>6</v>
      </c>
      <c r="V105" s="377"/>
      <c r="W105" s="373"/>
      <c r="X105" s="444" t="s">
        <v>6</v>
      </c>
      <c r="Y105" s="377"/>
      <c r="Z105" s="373"/>
      <c r="AA105" s="444"/>
      <c r="AB105" s="377"/>
      <c r="AC105" s="373"/>
      <c r="AD105" s="444" t="s">
        <v>6</v>
      </c>
      <c r="AE105" s="377"/>
      <c r="AF105" s="373"/>
      <c r="AG105" s="444" t="s">
        <v>6</v>
      </c>
      <c r="AH105" s="377"/>
      <c r="AI105" s="373"/>
      <c r="AJ105" s="444" t="s">
        <v>6</v>
      </c>
      <c r="AK105" s="377"/>
      <c r="AL105" s="373"/>
      <c r="AM105" s="444"/>
      <c r="AN105" s="377">
        <v>13</v>
      </c>
      <c r="AO105" s="373">
        <v>1</v>
      </c>
      <c r="AP105" s="444">
        <v>92.9</v>
      </c>
      <c r="AQ105" s="377">
        <v>11</v>
      </c>
      <c r="AR105" s="373"/>
      <c r="AS105" s="444">
        <v>100</v>
      </c>
      <c r="AT105" s="377">
        <v>8</v>
      </c>
      <c r="AU105" s="373">
        <v>1</v>
      </c>
      <c r="AV105" s="444">
        <v>88.9</v>
      </c>
      <c r="AW105" s="377"/>
      <c r="AX105" s="373"/>
      <c r="AY105" s="444"/>
      <c r="AZ105" s="377">
        <v>8</v>
      </c>
      <c r="BA105" s="373">
        <v>1</v>
      </c>
      <c r="BB105" s="444">
        <v>88.9</v>
      </c>
      <c r="BC105" s="377">
        <v>5</v>
      </c>
      <c r="BD105" s="373"/>
      <c r="BE105" s="444">
        <v>100</v>
      </c>
      <c r="BF105" s="377">
        <v>5</v>
      </c>
      <c r="BG105" s="373">
        <v>1</v>
      </c>
      <c r="BH105" s="444">
        <v>83.3</v>
      </c>
      <c r="BI105" s="377"/>
      <c r="BJ105" s="373"/>
      <c r="BK105" s="444"/>
      <c r="BL105" s="377"/>
      <c r="BM105" s="373"/>
      <c r="BN105" s="444" t="s">
        <v>6</v>
      </c>
      <c r="BO105" s="377"/>
      <c r="BP105" s="373"/>
      <c r="BQ105" s="444" t="s">
        <v>6</v>
      </c>
      <c r="BR105" s="377"/>
      <c r="BS105" s="373"/>
      <c r="BT105" s="444" t="s">
        <v>6</v>
      </c>
      <c r="BU105" s="377"/>
      <c r="BV105" s="373"/>
      <c r="BW105" s="444"/>
      <c r="BX105" s="377">
        <v>1</v>
      </c>
      <c r="BY105" s="373"/>
      <c r="BZ105" s="444">
        <v>100</v>
      </c>
      <c r="CA105" s="377">
        <v>1</v>
      </c>
      <c r="CB105" s="373"/>
      <c r="CC105" s="444">
        <v>100</v>
      </c>
      <c r="CD105" s="377"/>
      <c r="CE105" s="373"/>
      <c r="CF105" s="444" t="s">
        <v>6</v>
      </c>
      <c r="CG105" s="377"/>
      <c r="CH105" s="373"/>
      <c r="CI105" s="444"/>
      <c r="CJ105" s="377"/>
      <c r="CK105" s="373"/>
      <c r="CL105" s="444" t="s">
        <v>6</v>
      </c>
      <c r="CM105" s="377"/>
      <c r="CN105" s="373"/>
      <c r="CO105" s="444" t="s">
        <v>6</v>
      </c>
      <c r="CP105" s="377"/>
      <c r="CQ105" s="373"/>
      <c r="CR105" s="444" t="s">
        <v>6</v>
      </c>
      <c r="CS105" s="377"/>
      <c r="CT105" s="373"/>
      <c r="CU105" s="444"/>
      <c r="CV105" s="377">
        <v>31</v>
      </c>
      <c r="CW105" s="373">
        <v>18</v>
      </c>
      <c r="CX105" s="444">
        <v>63.3</v>
      </c>
      <c r="CY105" s="377">
        <v>20</v>
      </c>
      <c r="CZ105" s="373">
        <v>6</v>
      </c>
      <c r="DA105" s="444">
        <v>76.900000000000006</v>
      </c>
      <c r="DB105" s="377">
        <v>11</v>
      </c>
      <c r="DC105" s="373">
        <v>4</v>
      </c>
      <c r="DD105" s="444">
        <v>73.3</v>
      </c>
      <c r="DE105" s="377"/>
      <c r="DF105" s="373"/>
      <c r="DG105" s="444"/>
      <c r="DH105" s="377"/>
      <c r="DI105" s="373"/>
      <c r="DJ105" s="444" t="s">
        <v>6</v>
      </c>
      <c r="DK105" s="377">
        <v>1</v>
      </c>
      <c r="DL105" s="373"/>
      <c r="DM105" s="444">
        <v>100</v>
      </c>
      <c r="DN105" s="377"/>
      <c r="DO105" s="373"/>
      <c r="DP105" s="444" t="s">
        <v>6</v>
      </c>
      <c r="DQ105" s="377"/>
      <c r="DR105" s="373"/>
      <c r="DS105" s="444"/>
      <c r="DT105" s="377"/>
      <c r="DU105" s="373"/>
      <c r="DV105" s="444" t="s">
        <v>6</v>
      </c>
      <c r="DW105" s="377">
        <v>1</v>
      </c>
      <c r="DX105" s="373"/>
      <c r="DY105" s="444">
        <v>100</v>
      </c>
      <c r="DZ105" s="377"/>
      <c r="EA105" s="373"/>
      <c r="EB105" s="444" t="s">
        <v>6</v>
      </c>
      <c r="EC105" s="377"/>
      <c r="ED105" s="373"/>
      <c r="EE105" s="444"/>
      <c r="EF105" s="377">
        <v>252</v>
      </c>
      <c r="EG105" s="373">
        <v>556</v>
      </c>
      <c r="EH105" s="444">
        <v>31.2</v>
      </c>
      <c r="EI105" s="377">
        <v>172</v>
      </c>
      <c r="EJ105" s="373">
        <v>425</v>
      </c>
      <c r="EK105" s="444">
        <v>28.8</v>
      </c>
      <c r="EL105" s="377">
        <v>224</v>
      </c>
      <c r="EM105" s="373">
        <v>416</v>
      </c>
      <c r="EN105" s="444">
        <v>35</v>
      </c>
      <c r="EO105" s="377"/>
      <c r="EP105" s="373"/>
      <c r="EQ105" s="444"/>
      <c r="ER105" s="377">
        <v>1</v>
      </c>
      <c r="ES105" s="373"/>
      <c r="ET105" s="444">
        <v>100</v>
      </c>
      <c r="EU105" s="377"/>
      <c r="EV105" s="373">
        <v>1</v>
      </c>
      <c r="EW105" s="444">
        <v>0</v>
      </c>
      <c r="EX105" s="377"/>
      <c r="EY105" s="373"/>
      <c r="EZ105" s="444" t="s">
        <v>6</v>
      </c>
      <c r="FA105" s="377"/>
      <c r="FB105" s="373"/>
      <c r="FC105" s="444"/>
      <c r="FD105" s="377"/>
      <c r="FE105" s="373">
        <v>5</v>
      </c>
      <c r="FF105" s="444">
        <v>0</v>
      </c>
      <c r="FG105" s="377">
        <v>2</v>
      </c>
      <c r="FH105" s="373">
        <v>6</v>
      </c>
      <c r="FI105" s="444">
        <v>25</v>
      </c>
      <c r="FJ105" s="377">
        <v>5</v>
      </c>
      <c r="FK105" s="373">
        <v>10</v>
      </c>
      <c r="FL105" s="444">
        <v>33.299999999999997</v>
      </c>
      <c r="FM105" s="377"/>
      <c r="FN105" s="373"/>
      <c r="FO105" s="444"/>
      <c r="FP105" s="377">
        <v>81</v>
      </c>
      <c r="FQ105" s="373">
        <v>237</v>
      </c>
      <c r="FR105" s="444">
        <v>25.5</v>
      </c>
      <c r="FS105" s="377">
        <v>65</v>
      </c>
      <c r="FT105" s="373">
        <v>178</v>
      </c>
      <c r="FU105" s="444">
        <v>26.7</v>
      </c>
      <c r="FV105" s="377">
        <v>44</v>
      </c>
      <c r="FW105" s="373">
        <v>99</v>
      </c>
      <c r="FX105" s="444">
        <v>30.8</v>
      </c>
      <c r="FY105" s="377"/>
      <c r="FZ105" s="373"/>
      <c r="GA105" s="444"/>
      <c r="GB105" s="377">
        <v>6</v>
      </c>
      <c r="GC105" s="373"/>
      <c r="GD105" s="444">
        <v>100</v>
      </c>
      <c r="GE105" s="377">
        <v>1</v>
      </c>
      <c r="GF105" s="373"/>
      <c r="GG105" s="444">
        <v>100</v>
      </c>
      <c r="GH105" s="377">
        <v>4</v>
      </c>
      <c r="GI105" s="373">
        <v>1</v>
      </c>
      <c r="GJ105" s="444">
        <v>80</v>
      </c>
      <c r="GK105" s="377"/>
      <c r="GL105" s="373"/>
      <c r="GM105" s="444"/>
      <c r="GN105" s="377">
        <v>2</v>
      </c>
      <c r="GO105" s="373">
        <v>1</v>
      </c>
      <c r="GP105" s="444">
        <v>66.7</v>
      </c>
      <c r="GQ105" s="377">
        <v>1</v>
      </c>
      <c r="GR105" s="373">
        <v>2</v>
      </c>
      <c r="GS105" s="444">
        <v>33.299999999999997</v>
      </c>
      <c r="GT105" s="377"/>
      <c r="GU105" s="373"/>
      <c r="GV105" s="444" t="s">
        <v>6</v>
      </c>
      <c r="GW105" s="377"/>
      <c r="GX105" s="373"/>
      <c r="GY105" s="444"/>
      <c r="GZ105" s="377">
        <v>2</v>
      </c>
      <c r="HA105" s="373"/>
      <c r="HB105" s="444">
        <v>100</v>
      </c>
      <c r="HC105" s="377"/>
      <c r="HD105" s="373"/>
      <c r="HE105" s="444" t="s">
        <v>6</v>
      </c>
      <c r="HF105" s="377"/>
      <c r="HG105" s="373"/>
      <c r="HH105" s="444" t="s">
        <v>6</v>
      </c>
      <c r="HI105" s="377"/>
      <c r="HJ105" s="373"/>
      <c r="HK105" s="444"/>
      <c r="HL105" s="377">
        <v>2</v>
      </c>
      <c r="HM105" s="373">
        <v>17</v>
      </c>
      <c r="HN105" s="444">
        <v>10.5</v>
      </c>
      <c r="HO105" s="377">
        <v>4</v>
      </c>
      <c r="HP105" s="373">
        <v>9</v>
      </c>
      <c r="HQ105" s="444">
        <v>30.8</v>
      </c>
      <c r="HR105" s="377">
        <v>5</v>
      </c>
      <c r="HS105" s="373">
        <v>1</v>
      </c>
      <c r="HT105" s="444">
        <v>83.3</v>
      </c>
      <c r="HU105" s="377"/>
      <c r="HV105" s="373"/>
      <c r="HW105" s="444"/>
      <c r="HX105" s="377">
        <v>1</v>
      </c>
      <c r="HY105" s="373"/>
      <c r="HZ105" s="444">
        <v>100</v>
      </c>
      <c r="IA105" s="377">
        <v>1</v>
      </c>
      <c r="IB105" s="373"/>
      <c r="IC105" s="444">
        <v>100</v>
      </c>
      <c r="ID105" s="377">
        <v>3</v>
      </c>
      <c r="IE105" s="373"/>
      <c r="IF105" s="444">
        <v>100</v>
      </c>
      <c r="IG105" s="377"/>
      <c r="IH105" s="373"/>
      <c r="II105" s="444"/>
      <c r="IJ105" s="377"/>
      <c r="IK105" s="373"/>
      <c r="IL105" s="444" t="s">
        <v>6</v>
      </c>
      <c r="IM105" s="377">
        <v>2</v>
      </c>
      <c r="IN105" s="373">
        <v>2</v>
      </c>
      <c r="IO105" s="444">
        <v>50</v>
      </c>
      <c r="IP105" s="377">
        <v>1</v>
      </c>
      <c r="IQ105" s="373">
        <v>1</v>
      </c>
      <c r="IR105" s="444">
        <v>50</v>
      </c>
      <c r="IS105" s="377"/>
      <c r="IT105" s="373"/>
      <c r="IU105" s="444"/>
      <c r="IV105" s="377">
        <v>310</v>
      </c>
      <c r="IW105" s="373">
        <v>593</v>
      </c>
      <c r="IX105" s="444">
        <v>34.299999999999997</v>
      </c>
      <c r="IY105" s="377">
        <v>215</v>
      </c>
      <c r="IZ105" s="373">
        <v>444</v>
      </c>
      <c r="JA105" s="444">
        <v>32.6</v>
      </c>
      <c r="JB105" s="377">
        <v>256</v>
      </c>
      <c r="JC105" s="373">
        <v>424</v>
      </c>
      <c r="JD105" s="444">
        <v>37.6</v>
      </c>
      <c r="JE105" s="377"/>
      <c r="JF105" s="373"/>
      <c r="JG105" s="444"/>
      <c r="JH105" s="377">
        <v>30</v>
      </c>
      <c r="JI105" s="373">
        <v>28</v>
      </c>
      <c r="JJ105" s="444">
        <v>51.7</v>
      </c>
      <c r="JK105" s="377">
        <v>18</v>
      </c>
      <c r="JL105" s="373">
        <v>17</v>
      </c>
      <c r="JM105" s="444">
        <v>51.4</v>
      </c>
      <c r="JN105" s="377">
        <v>109</v>
      </c>
      <c r="JO105" s="373">
        <v>11</v>
      </c>
      <c r="JP105" s="444">
        <v>90.8</v>
      </c>
      <c r="JQ105" s="377"/>
      <c r="JR105" s="373"/>
      <c r="JS105" s="444"/>
      <c r="JT105" s="377"/>
      <c r="JU105" s="373"/>
      <c r="JV105" s="444" t="s">
        <v>6</v>
      </c>
      <c r="JW105" s="377"/>
      <c r="JX105" s="373"/>
      <c r="JY105" s="444" t="s">
        <v>6</v>
      </c>
      <c r="JZ105" s="377"/>
      <c r="KA105" s="373"/>
      <c r="KB105" s="444" t="s">
        <v>6</v>
      </c>
      <c r="KC105" s="377"/>
      <c r="KD105" s="373"/>
      <c r="KE105" s="444"/>
      <c r="KF105" s="377"/>
      <c r="KG105" s="373"/>
      <c r="KH105" s="444" t="s">
        <v>6</v>
      </c>
      <c r="KI105" s="377"/>
      <c r="KJ105" s="373"/>
      <c r="KK105" s="444" t="s">
        <v>6</v>
      </c>
      <c r="KL105" s="377"/>
      <c r="KM105" s="373"/>
      <c r="KN105" s="444" t="s">
        <v>6</v>
      </c>
      <c r="KO105" s="377"/>
      <c r="KP105" s="373"/>
      <c r="KQ105" s="444"/>
      <c r="KR105" s="377">
        <v>32</v>
      </c>
      <c r="KS105" s="373">
        <v>33</v>
      </c>
      <c r="KT105" s="444">
        <v>49.2</v>
      </c>
      <c r="KU105" s="377">
        <v>21</v>
      </c>
      <c r="KV105" s="373">
        <v>19</v>
      </c>
      <c r="KW105" s="444">
        <v>52.5</v>
      </c>
      <c r="KX105" s="377">
        <v>111</v>
      </c>
      <c r="KY105" s="373">
        <v>17</v>
      </c>
      <c r="KZ105" s="444">
        <v>86.7</v>
      </c>
      <c r="LA105" s="377"/>
      <c r="LB105" s="373"/>
      <c r="LC105" s="444"/>
      <c r="LD105" s="377">
        <v>340</v>
      </c>
      <c r="LE105" s="373">
        <v>608</v>
      </c>
      <c r="LF105" s="444">
        <v>35.9</v>
      </c>
      <c r="LG105" s="377">
        <v>236</v>
      </c>
      <c r="LH105" s="373">
        <v>462</v>
      </c>
      <c r="LI105" s="444">
        <v>33.799999999999997</v>
      </c>
      <c r="LJ105" s="377">
        <v>287</v>
      </c>
      <c r="LK105" s="373">
        <v>446</v>
      </c>
      <c r="LL105" s="444">
        <v>39.200000000000003</v>
      </c>
      <c r="LM105" s="377"/>
      <c r="LN105" s="373"/>
      <c r="LO105" s="444"/>
    </row>
    <row r="106" spans="1:327" s="259" customFormat="1" ht="13.5" thickBot="1" x14ac:dyDescent="0.25">
      <c r="A106" s="1002"/>
      <c r="B106" s="751"/>
      <c r="C106" s="189" t="s">
        <v>777</v>
      </c>
      <c r="D106" s="384">
        <v>2</v>
      </c>
      <c r="E106" s="385"/>
      <c r="F106" s="451">
        <v>100</v>
      </c>
      <c r="G106" s="384">
        <v>5</v>
      </c>
      <c r="H106" s="385">
        <v>1</v>
      </c>
      <c r="I106" s="451">
        <v>83.3</v>
      </c>
      <c r="J106" s="384">
        <v>4</v>
      </c>
      <c r="K106" s="385"/>
      <c r="L106" s="451">
        <v>100</v>
      </c>
      <c r="M106" s="384"/>
      <c r="N106" s="385"/>
      <c r="O106" s="451"/>
      <c r="P106" s="384">
        <v>2</v>
      </c>
      <c r="Q106" s="385"/>
      <c r="R106" s="451">
        <v>100</v>
      </c>
      <c r="S106" s="384">
        <v>4</v>
      </c>
      <c r="T106" s="385">
        <v>1</v>
      </c>
      <c r="U106" s="451">
        <v>80</v>
      </c>
      <c r="V106" s="384"/>
      <c r="W106" s="385"/>
      <c r="X106" s="451" t="s">
        <v>6</v>
      </c>
      <c r="Y106" s="384"/>
      <c r="Z106" s="385"/>
      <c r="AA106" s="451"/>
      <c r="AB106" s="384"/>
      <c r="AC106" s="385"/>
      <c r="AD106" s="451" t="s">
        <v>6</v>
      </c>
      <c r="AE106" s="384">
        <v>1</v>
      </c>
      <c r="AF106" s="385"/>
      <c r="AG106" s="451">
        <v>100</v>
      </c>
      <c r="AH106" s="384"/>
      <c r="AI106" s="385"/>
      <c r="AJ106" s="451" t="s">
        <v>6</v>
      </c>
      <c r="AK106" s="384"/>
      <c r="AL106" s="385"/>
      <c r="AM106" s="451"/>
      <c r="AN106" s="384">
        <v>111</v>
      </c>
      <c r="AO106" s="385">
        <v>16</v>
      </c>
      <c r="AP106" s="451">
        <v>87.4</v>
      </c>
      <c r="AQ106" s="384">
        <v>78</v>
      </c>
      <c r="AR106" s="385">
        <v>8</v>
      </c>
      <c r="AS106" s="451">
        <v>90.7</v>
      </c>
      <c r="AT106" s="384">
        <v>87</v>
      </c>
      <c r="AU106" s="385">
        <v>22</v>
      </c>
      <c r="AV106" s="451">
        <v>79.8</v>
      </c>
      <c r="AW106" s="384"/>
      <c r="AX106" s="385"/>
      <c r="AY106" s="451"/>
      <c r="AZ106" s="384">
        <v>51</v>
      </c>
      <c r="BA106" s="385">
        <v>14</v>
      </c>
      <c r="BB106" s="451">
        <v>78.5</v>
      </c>
      <c r="BC106" s="384">
        <v>29</v>
      </c>
      <c r="BD106" s="385">
        <v>7</v>
      </c>
      <c r="BE106" s="451">
        <v>80.599999999999994</v>
      </c>
      <c r="BF106" s="384">
        <v>43</v>
      </c>
      <c r="BG106" s="385">
        <v>11</v>
      </c>
      <c r="BH106" s="451">
        <v>79.599999999999994</v>
      </c>
      <c r="BI106" s="384"/>
      <c r="BJ106" s="385"/>
      <c r="BK106" s="451"/>
      <c r="BL106" s="384"/>
      <c r="BM106" s="385"/>
      <c r="BN106" s="451" t="s">
        <v>6</v>
      </c>
      <c r="BO106" s="384"/>
      <c r="BP106" s="385"/>
      <c r="BQ106" s="451" t="s">
        <v>6</v>
      </c>
      <c r="BR106" s="384">
        <v>1</v>
      </c>
      <c r="BS106" s="385"/>
      <c r="BT106" s="451">
        <v>100</v>
      </c>
      <c r="BU106" s="384"/>
      <c r="BV106" s="385"/>
      <c r="BW106" s="451"/>
      <c r="BX106" s="384">
        <v>4</v>
      </c>
      <c r="BY106" s="385"/>
      <c r="BZ106" s="451">
        <v>100</v>
      </c>
      <c r="CA106" s="384">
        <v>1</v>
      </c>
      <c r="CB106" s="385"/>
      <c r="CC106" s="451">
        <v>100</v>
      </c>
      <c r="CD106" s="384"/>
      <c r="CE106" s="385"/>
      <c r="CF106" s="451" t="s">
        <v>6</v>
      </c>
      <c r="CG106" s="384"/>
      <c r="CH106" s="385"/>
      <c r="CI106" s="451"/>
      <c r="CJ106" s="384"/>
      <c r="CK106" s="385"/>
      <c r="CL106" s="451" t="s">
        <v>6</v>
      </c>
      <c r="CM106" s="384"/>
      <c r="CN106" s="385"/>
      <c r="CO106" s="451" t="s">
        <v>6</v>
      </c>
      <c r="CP106" s="384"/>
      <c r="CQ106" s="385"/>
      <c r="CR106" s="451" t="s">
        <v>6</v>
      </c>
      <c r="CS106" s="384"/>
      <c r="CT106" s="385"/>
      <c r="CU106" s="451"/>
      <c r="CV106" s="384">
        <v>157</v>
      </c>
      <c r="CW106" s="385">
        <v>73</v>
      </c>
      <c r="CX106" s="451">
        <v>68.3</v>
      </c>
      <c r="CY106" s="384">
        <v>122</v>
      </c>
      <c r="CZ106" s="385">
        <v>35</v>
      </c>
      <c r="DA106" s="451">
        <v>77.7</v>
      </c>
      <c r="DB106" s="384">
        <v>100</v>
      </c>
      <c r="DC106" s="385">
        <v>29</v>
      </c>
      <c r="DD106" s="451">
        <v>77.5</v>
      </c>
      <c r="DE106" s="384"/>
      <c r="DF106" s="385"/>
      <c r="DG106" s="451"/>
      <c r="DH106" s="384">
        <v>2</v>
      </c>
      <c r="DI106" s="385"/>
      <c r="DJ106" s="451">
        <v>100</v>
      </c>
      <c r="DK106" s="384">
        <v>4</v>
      </c>
      <c r="DL106" s="385">
        <v>1</v>
      </c>
      <c r="DM106" s="451">
        <v>80</v>
      </c>
      <c r="DN106" s="384">
        <v>2</v>
      </c>
      <c r="DO106" s="385">
        <v>1</v>
      </c>
      <c r="DP106" s="451">
        <v>66.7</v>
      </c>
      <c r="DQ106" s="384"/>
      <c r="DR106" s="385"/>
      <c r="DS106" s="451"/>
      <c r="DT106" s="384">
        <v>3</v>
      </c>
      <c r="DU106" s="385"/>
      <c r="DV106" s="451">
        <v>100</v>
      </c>
      <c r="DW106" s="384">
        <v>6</v>
      </c>
      <c r="DX106" s="385">
        <v>1</v>
      </c>
      <c r="DY106" s="451">
        <v>85.7</v>
      </c>
      <c r="DZ106" s="384">
        <v>6</v>
      </c>
      <c r="EA106" s="385">
        <v>1</v>
      </c>
      <c r="EB106" s="451">
        <v>85.7</v>
      </c>
      <c r="EC106" s="384"/>
      <c r="ED106" s="385"/>
      <c r="EE106" s="451"/>
      <c r="EF106" s="384">
        <v>742</v>
      </c>
      <c r="EG106" s="385">
        <v>2510</v>
      </c>
      <c r="EH106" s="451">
        <v>22.8</v>
      </c>
      <c r="EI106" s="384">
        <v>733</v>
      </c>
      <c r="EJ106" s="385">
        <v>1917</v>
      </c>
      <c r="EK106" s="451">
        <v>27.7</v>
      </c>
      <c r="EL106" s="384">
        <v>864</v>
      </c>
      <c r="EM106" s="385">
        <v>1807</v>
      </c>
      <c r="EN106" s="451">
        <v>32.299999999999997</v>
      </c>
      <c r="EO106" s="384"/>
      <c r="EP106" s="385"/>
      <c r="EQ106" s="451"/>
      <c r="ER106" s="384">
        <v>5</v>
      </c>
      <c r="ES106" s="385">
        <v>8</v>
      </c>
      <c r="ET106" s="451">
        <v>38.5</v>
      </c>
      <c r="EU106" s="384">
        <v>1</v>
      </c>
      <c r="EV106" s="385">
        <v>9</v>
      </c>
      <c r="EW106" s="451">
        <v>10</v>
      </c>
      <c r="EX106" s="384">
        <v>16</v>
      </c>
      <c r="EY106" s="385">
        <v>14</v>
      </c>
      <c r="EZ106" s="451">
        <v>53.3</v>
      </c>
      <c r="FA106" s="384"/>
      <c r="FB106" s="385"/>
      <c r="FC106" s="451"/>
      <c r="FD106" s="384">
        <v>7</v>
      </c>
      <c r="FE106" s="385">
        <v>54</v>
      </c>
      <c r="FF106" s="451">
        <v>11.5</v>
      </c>
      <c r="FG106" s="384">
        <v>23</v>
      </c>
      <c r="FH106" s="385">
        <v>62</v>
      </c>
      <c r="FI106" s="451">
        <v>27.1</v>
      </c>
      <c r="FJ106" s="384">
        <v>41</v>
      </c>
      <c r="FK106" s="385">
        <v>62</v>
      </c>
      <c r="FL106" s="451">
        <v>39.799999999999997</v>
      </c>
      <c r="FM106" s="384"/>
      <c r="FN106" s="385"/>
      <c r="FO106" s="451"/>
      <c r="FP106" s="384">
        <v>190</v>
      </c>
      <c r="FQ106" s="385">
        <v>579</v>
      </c>
      <c r="FR106" s="451">
        <v>24.7</v>
      </c>
      <c r="FS106" s="384">
        <v>158</v>
      </c>
      <c r="FT106" s="385">
        <v>423</v>
      </c>
      <c r="FU106" s="451">
        <v>27.2</v>
      </c>
      <c r="FV106" s="384">
        <v>138</v>
      </c>
      <c r="FW106" s="385">
        <v>287</v>
      </c>
      <c r="FX106" s="451">
        <v>32.5</v>
      </c>
      <c r="FY106" s="384"/>
      <c r="FZ106" s="385"/>
      <c r="GA106" s="451"/>
      <c r="GB106" s="384">
        <v>26</v>
      </c>
      <c r="GC106" s="385">
        <v>5</v>
      </c>
      <c r="GD106" s="451">
        <v>83.9</v>
      </c>
      <c r="GE106" s="384">
        <v>17</v>
      </c>
      <c r="GF106" s="385">
        <v>4</v>
      </c>
      <c r="GG106" s="451">
        <v>81</v>
      </c>
      <c r="GH106" s="384">
        <v>24</v>
      </c>
      <c r="GI106" s="385">
        <v>1</v>
      </c>
      <c r="GJ106" s="451">
        <v>96</v>
      </c>
      <c r="GK106" s="384"/>
      <c r="GL106" s="385"/>
      <c r="GM106" s="451"/>
      <c r="GN106" s="384">
        <v>11</v>
      </c>
      <c r="GO106" s="385">
        <v>12</v>
      </c>
      <c r="GP106" s="451">
        <v>47.8</v>
      </c>
      <c r="GQ106" s="384">
        <v>18</v>
      </c>
      <c r="GR106" s="385">
        <v>15</v>
      </c>
      <c r="GS106" s="451">
        <v>54.5</v>
      </c>
      <c r="GT106" s="384">
        <v>21</v>
      </c>
      <c r="GU106" s="385">
        <v>18</v>
      </c>
      <c r="GV106" s="451">
        <v>53.8</v>
      </c>
      <c r="GW106" s="384"/>
      <c r="GX106" s="385"/>
      <c r="GY106" s="451"/>
      <c r="GZ106" s="384">
        <v>5</v>
      </c>
      <c r="HA106" s="385">
        <v>2</v>
      </c>
      <c r="HB106" s="451">
        <v>71.400000000000006</v>
      </c>
      <c r="HC106" s="384">
        <v>2</v>
      </c>
      <c r="HD106" s="385"/>
      <c r="HE106" s="451">
        <v>100</v>
      </c>
      <c r="HF106" s="384">
        <v>2</v>
      </c>
      <c r="HG106" s="385">
        <v>2</v>
      </c>
      <c r="HH106" s="451">
        <v>50</v>
      </c>
      <c r="HI106" s="384"/>
      <c r="HJ106" s="385"/>
      <c r="HK106" s="451"/>
      <c r="HL106" s="384">
        <v>24</v>
      </c>
      <c r="HM106" s="385">
        <v>113</v>
      </c>
      <c r="HN106" s="451">
        <v>17.5</v>
      </c>
      <c r="HO106" s="384">
        <v>33</v>
      </c>
      <c r="HP106" s="385">
        <v>113</v>
      </c>
      <c r="HQ106" s="451">
        <v>22.6</v>
      </c>
      <c r="HR106" s="384">
        <v>37</v>
      </c>
      <c r="HS106" s="385">
        <v>102</v>
      </c>
      <c r="HT106" s="451">
        <v>26.6</v>
      </c>
      <c r="HU106" s="384"/>
      <c r="HV106" s="385"/>
      <c r="HW106" s="451"/>
      <c r="HX106" s="384">
        <v>4</v>
      </c>
      <c r="HY106" s="385">
        <v>2</v>
      </c>
      <c r="HZ106" s="451">
        <v>66.7</v>
      </c>
      <c r="IA106" s="384">
        <v>13</v>
      </c>
      <c r="IB106" s="385">
        <v>1</v>
      </c>
      <c r="IC106" s="451">
        <v>92.9</v>
      </c>
      <c r="ID106" s="384">
        <v>9</v>
      </c>
      <c r="IE106" s="385">
        <v>2</v>
      </c>
      <c r="IF106" s="451">
        <v>81.8</v>
      </c>
      <c r="IG106" s="384"/>
      <c r="IH106" s="385"/>
      <c r="II106" s="451"/>
      <c r="IJ106" s="384">
        <v>11</v>
      </c>
      <c r="IK106" s="385">
        <v>2</v>
      </c>
      <c r="IL106" s="451">
        <v>84.6</v>
      </c>
      <c r="IM106" s="384">
        <v>10</v>
      </c>
      <c r="IN106" s="385">
        <v>10</v>
      </c>
      <c r="IO106" s="451">
        <v>50</v>
      </c>
      <c r="IP106" s="384">
        <v>8</v>
      </c>
      <c r="IQ106" s="385">
        <v>3</v>
      </c>
      <c r="IR106" s="451">
        <v>72.7</v>
      </c>
      <c r="IS106" s="384"/>
      <c r="IT106" s="385"/>
      <c r="IU106" s="451"/>
      <c r="IV106" s="384">
        <v>1102</v>
      </c>
      <c r="IW106" s="385">
        <v>2735</v>
      </c>
      <c r="IX106" s="451">
        <v>28.7</v>
      </c>
      <c r="IY106" s="384">
        <v>1042</v>
      </c>
      <c r="IZ106" s="385">
        <v>2106</v>
      </c>
      <c r="JA106" s="451">
        <v>33.1</v>
      </c>
      <c r="JB106" s="384">
        <v>1164</v>
      </c>
      <c r="JC106" s="385">
        <v>1988</v>
      </c>
      <c r="JD106" s="451">
        <v>36.9</v>
      </c>
      <c r="JE106" s="384"/>
      <c r="JF106" s="385"/>
      <c r="JG106" s="451"/>
      <c r="JH106" s="384">
        <v>203</v>
      </c>
      <c r="JI106" s="385">
        <v>245</v>
      </c>
      <c r="JJ106" s="451">
        <v>45.3</v>
      </c>
      <c r="JK106" s="384">
        <v>182</v>
      </c>
      <c r="JL106" s="385">
        <v>267</v>
      </c>
      <c r="JM106" s="451">
        <v>40.5</v>
      </c>
      <c r="JN106" s="384">
        <v>300</v>
      </c>
      <c r="JO106" s="385">
        <v>260</v>
      </c>
      <c r="JP106" s="451">
        <v>53.6</v>
      </c>
      <c r="JQ106" s="384"/>
      <c r="JR106" s="385"/>
      <c r="JS106" s="451"/>
      <c r="JT106" s="384">
        <v>4</v>
      </c>
      <c r="JU106" s="385">
        <v>4</v>
      </c>
      <c r="JV106" s="451">
        <v>50</v>
      </c>
      <c r="JW106" s="384">
        <v>5</v>
      </c>
      <c r="JX106" s="385">
        <v>1</v>
      </c>
      <c r="JY106" s="451">
        <v>83.3</v>
      </c>
      <c r="JZ106" s="384">
        <v>1</v>
      </c>
      <c r="KA106" s="385">
        <v>1</v>
      </c>
      <c r="KB106" s="451">
        <v>50</v>
      </c>
      <c r="KC106" s="384"/>
      <c r="KD106" s="385"/>
      <c r="KE106" s="451"/>
      <c r="KF106" s="384">
        <v>3</v>
      </c>
      <c r="KG106" s="385">
        <v>1</v>
      </c>
      <c r="KH106" s="451">
        <v>75</v>
      </c>
      <c r="KI106" s="384">
        <v>3</v>
      </c>
      <c r="KJ106" s="385">
        <v>2</v>
      </c>
      <c r="KK106" s="451">
        <v>60</v>
      </c>
      <c r="KL106" s="384"/>
      <c r="KM106" s="385"/>
      <c r="KN106" s="451" t="s">
        <v>6</v>
      </c>
      <c r="KO106" s="384"/>
      <c r="KP106" s="385"/>
      <c r="KQ106" s="451"/>
      <c r="KR106" s="384">
        <v>252</v>
      </c>
      <c r="KS106" s="385">
        <v>305</v>
      </c>
      <c r="KT106" s="451">
        <v>45.2</v>
      </c>
      <c r="KU106" s="384">
        <v>218</v>
      </c>
      <c r="KV106" s="385">
        <v>304</v>
      </c>
      <c r="KW106" s="451">
        <v>41.8</v>
      </c>
      <c r="KX106" s="384">
        <v>331</v>
      </c>
      <c r="KY106" s="385">
        <v>298</v>
      </c>
      <c r="KZ106" s="451">
        <v>52.6</v>
      </c>
      <c r="LA106" s="384"/>
      <c r="LB106" s="385"/>
      <c r="LC106" s="451"/>
      <c r="LD106" s="384">
        <v>1776</v>
      </c>
      <c r="LE106" s="385">
        <v>3104</v>
      </c>
      <c r="LF106" s="451">
        <v>36.4</v>
      </c>
      <c r="LG106" s="384">
        <v>2090</v>
      </c>
      <c r="LH106" s="385">
        <v>2440</v>
      </c>
      <c r="LI106" s="451">
        <v>46.1</v>
      </c>
      <c r="LJ106" s="384">
        <v>1795</v>
      </c>
      <c r="LK106" s="385">
        <v>2386</v>
      </c>
      <c r="LL106" s="451">
        <v>42.9</v>
      </c>
      <c r="LM106" s="384"/>
      <c r="LN106" s="385"/>
      <c r="LO106" s="451"/>
    </row>
    <row r="107" spans="1:327" x14ac:dyDescent="0.2">
      <c r="A107" s="1000" t="s">
        <v>593</v>
      </c>
      <c r="B107" s="749"/>
      <c r="C107" s="146" t="s">
        <v>594</v>
      </c>
      <c r="D107" s="441">
        <v>7</v>
      </c>
      <c r="E107" s="442"/>
      <c r="F107" s="443">
        <v>100</v>
      </c>
      <c r="G107" s="441">
        <v>6</v>
      </c>
      <c r="H107" s="442"/>
      <c r="I107" s="443">
        <v>100</v>
      </c>
      <c r="J107" s="441">
        <v>4</v>
      </c>
      <c r="K107" s="442"/>
      <c r="L107" s="443">
        <v>100</v>
      </c>
      <c r="M107" s="441"/>
      <c r="N107" s="442"/>
      <c r="O107" s="443"/>
      <c r="P107" s="441">
        <v>5</v>
      </c>
      <c r="Q107" s="442"/>
      <c r="R107" s="443">
        <v>100</v>
      </c>
      <c r="S107" s="441">
        <v>3</v>
      </c>
      <c r="T107" s="442"/>
      <c r="U107" s="443">
        <v>100</v>
      </c>
      <c r="V107" s="441">
        <v>2</v>
      </c>
      <c r="W107" s="442"/>
      <c r="X107" s="443">
        <v>100</v>
      </c>
      <c r="Y107" s="441"/>
      <c r="Z107" s="442"/>
      <c r="AA107" s="443"/>
      <c r="AB107" s="441">
        <v>2</v>
      </c>
      <c r="AC107" s="442"/>
      <c r="AD107" s="443">
        <v>100</v>
      </c>
      <c r="AE107" s="441">
        <v>2</v>
      </c>
      <c r="AF107" s="442"/>
      <c r="AG107" s="443">
        <v>100</v>
      </c>
      <c r="AH107" s="441">
        <v>1</v>
      </c>
      <c r="AI107" s="442"/>
      <c r="AJ107" s="443">
        <v>100</v>
      </c>
      <c r="AK107" s="441"/>
      <c r="AL107" s="442"/>
      <c r="AM107" s="443"/>
      <c r="AN107" s="441">
        <v>4</v>
      </c>
      <c r="AO107" s="442"/>
      <c r="AP107" s="443">
        <v>100</v>
      </c>
      <c r="AQ107" s="441">
        <v>6</v>
      </c>
      <c r="AR107" s="442"/>
      <c r="AS107" s="443">
        <v>100</v>
      </c>
      <c r="AT107" s="441">
        <v>2</v>
      </c>
      <c r="AU107" s="442"/>
      <c r="AV107" s="443">
        <v>100</v>
      </c>
      <c r="AW107" s="441"/>
      <c r="AX107" s="442"/>
      <c r="AY107" s="443"/>
      <c r="AZ107" s="441">
        <v>4</v>
      </c>
      <c r="BA107" s="442"/>
      <c r="BB107" s="443">
        <v>100</v>
      </c>
      <c r="BC107" s="441">
        <v>6</v>
      </c>
      <c r="BD107" s="442"/>
      <c r="BE107" s="443">
        <v>100</v>
      </c>
      <c r="BF107" s="441">
        <v>2</v>
      </c>
      <c r="BG107" s="442"/>
      <c r="BH107" s="443">
        <v>100</v>
      </c>
      <c r="BI107" s="441"/>
      <c r="BJ107" s="442"/>
      <c r="BK107" s="443"/>
      <c r="BL107" s="441"/>
      <c r="BM107" s="442"/>
      <c r="BN107" s="443" t="s">
        <v>6</v>
      </c>
      <c r="BO107" s="441"/>
      <c r="BP107" s="442"/>
      <c r="BQ107" s="443" t="s">
        <v>6</v>
      </c>
      <c r="BR107" s="441"/>
      <c r="BS107" s="442"/>
      <c r="BT107" s="443" t="s">
        <v>6</v>
      </c>
      <c r="BU107" s="441"/>
      <c r="BV107" s="442"/>
      <c r="BW107" s="443"/>
      <c r="BX107" s="441"/>
      <c r="BY107" s="442"/>
      <c r="BZ107" s="443" t="s">
        <v>6</v>
      </c>
      <c r="CA107" s="441"/>
      <c r="CB107" s="442"/>
      <c r="CC107" s="443" t="s">
        <v>6</v>
      </c>
      <c r="CD107" s="441"/>
      <c r="CE107" s="442"/>
      <c r="CF107" s="443" t="s">
        <v>6</v>
      </c>
      <c r="CG107" s="441"/>
      <c r="CH107" s="442"/>
      <c r="CI107" s="443"/>
      <c r="CJ107" s="441">
        <v>8</v>
      </c>
      <c r="CK107" s="442">
        <v>3</v>
      </c>
      <c r="CL107" s="443">
        <v>72.7</v>
      </c>
      <c r="CM107" s="441">
        <v>2</v>
      </c>
      <c r="CN107" s="442">
        <v>3</v>
      </c>
      <c r="CO107" s="443">
        <v>40</v>
      </c>
      <c r="CP107" s="441">
        <v>3</v>
      </c>
      <c r="CQ107" s="442">
        <v>2</v>
      </c>
      <c r="CR107" s="443">
        <v>60</v>
      </c>
      <c r="CS107" s="441"/>
      <c r="CT107" s="442"/>
      <c r="CU107" s="443"/>
      <c r="CV107" s="441"/>
      <c r="CW107" s="442"/>
      <c r="CX107" s="443" t="s">
        <v>6</v>
      </c>
      <c r="CY107" s="441"/>
      <c r="CZ107" s="442"/>
      <c r="DA107" s="443" t="s">
        <v>6</v>
      </c>
      <c r="DB107" s="441"/>
      <c r="DC107" s="442"/>
      <c r="DD107" s="443" t="s">
        <v>6</v>
      </c>
      <c r="DE107" s="441"/>
      <c r="DF107" s="442"/>
      <c r="DG107" s="443"/>
      <c r="DH107" s="441"/>
      <c r="DI107" s="442"/>
      <c r="DJ107" s="443" t="s">
        <v>6</v>
      </c>
      <c r="DK107" s="441"/>
      <c r="DL107" s="442"/>
      <c r="DM107" s="443" t="s">
        <v>6</v>
      </c>
      <c r="DN107" s="441"/>
      <c r="DO107" s="442"/>
      <c r="DP107" s="443" t="s">
        <v>6</v>
      </c>
      <c r="DQ107" s="441"/>
      <c r="DR107" s="442"/>
      <c r="DS107" s="443"/>
      <c r="DT107" s="441"/>
      <c r="DU107" s="442"/>
      <c r="DV107" s="443" t="s">
        <v>6</v>
      </c>
      <c r="DW107" s="441">
        <v>1</v>
      </c>
      <c r="DX107" s="442"/>
      <c r="DY107" s="443">
        <v>100</v>
      </c>
      <c r="DZ107" s="441">
        <v>1</v>
      </c>
      <c r="EA107" s="442"/>
      <c r="EB107" s="443">
        <v>100</v>
      </c>
      <c r="EC107" s="441"/>
      <c r="ED107" s="442"/>
      <c r="EE107" s="443"/>
      <c r="EF107" s="441">
        <v>1</v>
      </c>
      <c r="EG107" s="442"/>
      <c r="EH107" s="443">
        <v>100</v>
      </c>
      <c r="EI107" s="441">
        <v>1</v>
      </c>
      <c r="EJ107" s="442">
        <v>1</v>
      </c>
      <c r="EK107" s="443">
        <v>50</v>
      </c>
      <c r="EL107" s="441"/>
      <c r="EM107" s="442"/>
      <c r="EN107" s="443" t="s">
        <v>6</v>
      </c>
      <c r="EO107" s="441"/>
      <c r="EP107" s="442"/>
      <c r="EQ107" s="443"/>
      <c r="ER107" s="441"/>
      <c r="ES107" s="442"/>
      <c r="ET107" s="443" t="s">
        <v>6</v>
      </c>
      <c r="EU107" s="441"/>
      <c r="EV107" s="442"/>
      <c r="EW107" s="443" t="s">
        <v>6</v>
      </c>
      <c r="EX107" s="441"/>
      <c r="EY107" s="442"/>
      <c r="EZ107" s="443" t="s">
        <v>6</v>
      </c>
      <c r="FA107" s="441"/>
      <c r="FB107" s="442"/>
      <c r="FC107" s="443"/>
      <c r="FD107" s="441"/>
      <c r="FE107" s="442"/>
      <c r="FF107" s="443" t="s">
        <v>6</v>
      </c>
      <c r="FG107" s="441"/>
      <c r="FH107" s="442"/>
      <c r="FI107" s="443" t="s">
        <v>6</v>
      </c>
      <c r="FJ107" s="441"/>
      <c r="FK107" s="442"/>
      <c r="FL107" s="443" t="s">
        <v>6</v>
      </c>
      <c r="FM107" s="441"/>
      <c r="FN107" s="442"/>
      <c r="FO107" s="443"/>
      <c r="FP107" s="441"/>
      <c r="FQ107" s="442"/>
      <c r="FR107" s="443" t="s">
        <v>6</v>
      </c>
      <c r="FS107" s="441"/>
      <c r="FT107" s="442"/>
      <c r="FU107" s="443" t="s">
        <v>6</v>
      </c>
      <c r="FV107" s="441"/>
      <c r="FW107" s="442"/>
      <c r="FX107" s="443" t="s">
        <v>6</v>
      </c>
      <c r="FY107" s="441"/>
      <c r="FZ107" s="442"/>
      <c r="GA107" s="443"/>
      <c r="GB107" s="441"/>
      <c r="GC107" s="442">
        <v>1</v>
      </c>
      <c r="GD107" s="443">
        <v>0</v>
      </c>
      <c r="GE107" s="441">
        <v>3</v>
      </c>
      <c r="GF107" s="442">
        <v>2</v>
      </c>
      <c r="GG107" s="443">
        <v>60</v>
      </c>
      <c r="GH107" s="441">
        <v>4</v>
      </c>
      <c r="GI107" s="442"/>
      <c r="GJ107" s="443">
        <v>100</v>
      </c>
      <c r="GK107" s="441"/>
      <c r="GL107" s="442"/>
      <c r="GM107" s="443"/>
      <c r="GN107" s="441">
        <v>1</v>
      </c>
      <c r="GO107" s="442"/>
      <c r="GP107" s="443">
        <v>100</v>
      </c>
      <c r="GQ107" s="441"/>
      <c r="GR107" s="442"/>
      <c r="GS107" s="443" t="s">
        <v>6</v>
      </c>
      <c r="GT107" s="441">
        <v>2</v>
      </c>
      <c r="GU107" s="442"/>
      <c r="GV107" s="443">
        <v>100</v>
      </c>
      <c r="GW107" s="441"/>
      <c r="GX107" s="442"/>
      <c r="GY107" s="443"/>
      <c r="GZ107" s="441"/>
      <c r="HA107" s="442"/>
      <c r="HB107" s="443" t="s">
        <v>6</v>
      </c>
      <c r="HC107" s="441"/>
      <c r="HD107" s="442"/>
      <c r="HE107" s="443" t="s">
        <v>6</v>
      </c>
      <c r="HF107" s="441"/>
      <c r="HG107" s="442"/>
      <c r="HH107" s="443" t="s">
        <v>6</v>
      </c>
      <c r="HI107" s="441"/>
      <c r="HJ107" s="442"/>
      <c r="HK107" s="443"/>
      <c r="HL107" s="441"/>
      <c r="HM107" s="442"/>
      <c r="HN107" s="443" t="s">
        <v>6</v>
      </c>
      <c r="HO107" s="441">
        <v>1</v>
      </c>
      <c r="HP107" s="442"/>
      <c r="HQ107" s="443">
        <v>100</v>
      </c>
      <c r="HR107" s="441"/>
      <c r="HS107" s="442"/>
      <c r="HT107" s="443" t="s">
        <v>6</v>
      </c>
      <c r="HU107" s="441"/>
      <c r="HV107" s="442"/>
      <c r="HW107" s="443"/>
      <c r="HX107" s="441">
        <v>1</v>
      </c>
      <c r="HY107" s="442"/>
      <c r="HZ107" s="443">
        <v>100</v>
      </c>
      <c r="IA107" s="441"/>
      <c r="IB107" s="442"/>
      <c r="IC107" s="443" t="s">
        <v>6</v>
      </c>
      <c r="ID107" s="441">
        <v>20</v>
      </c>
      <c r="IE107" s="442"/>
      <c r="IF107" s="443">
        <v>100</v>
      </c>
      <c r="IG107" s="441"/>
      <c r="IH107" s="442"/>
      <c r="II107" s="443"/>
      <c r="IJ107" s="441"/>
      <c r="IK107" s="442"/>
      <c r="IL107" s="443" t="s">
        <v>6</v>
      </c>
      <c r="IM107" s="441"/>
      <c r="IN107" s="442"/>
      <c r="IO107" s="443" t="s">
        <v>6</v>
      </c>
      <c r="IP107" s="441"/>
      <c r="IQ107" s="442"/>
      <c r="IR107" s="443" t="s">
        <v>6</v>
      </c>
      <c r="IS107" s="441"/>
      <c r="IT107" s="442"/>
      <c r="IU107" s="443"/>
      <c r="IV107" s="441">
        <v>22</v>
      </c>
      <c r="IW107" s="442">
        <v>4</v>
      </c>
      <c r="IX107" s="443">
        <v>84.6</v>
      </c>
      <c r="IY107" s="441">
        <v>20</v>
      </c>
      <c r="IZ107" s="442">
        <v>6</v>
      </c>
      <c r="JA107" s="443">
        <v>76.900000000000006</v>
      </c>
      <c r="JB107" s="441">
        <v>36</v>
      </c>
      <c r="JC107" s="442">
        <v>2</v>
      </c>
      <c r="JD107" s="443">
        <v>94.7</v>
      </c>
      <c r="JE107" s="441"/>
      <c r="JF107" s="442"/>
      <c r="JG107" s="443"/>
      <c r="JH107" s="441">
        <v>4</v>
      </c>
      <c r="JI107" s="442">
        <v>1</v>
      </c>
      <c r="JJ107" s="443">
        <v>80</v>
      </c>
      <c r="JK107" s="441">
        <v>4</v>
      </c>
      <c r="JL107" s="442">
        <v>2</v>
      </c>
      <c r="JM107" s="443">
        <v>66.7</v>
      </c>
      <c r="JN107" s="441">
        <v>5</v>
      </c>
      <c r="JO107" s="442"/>
      <c r="JP107" s="443">
        <v>100</v>
      </c>
      <c r="JQ107" s="441"/>
      <c r="JR107" s="442"/>
      <c r="JS107" s="443"/>
      <c r="JT107" s="441"/>
      <c r="JU107" s="442">
        <v>1</v>
      </c>
      <c r="JV107" s="443">
        <v>0</v>
      </c>
      <c r="JW107" s="441"/>
      <c r="JX107" s="442"/>
      <c r="JY107" s="443" t="s">
        <v>6</v>
      </c>
      <c r="JZ107" s="441">
        <v>1</v>
      </c>
      <c r="KA107" s="442"/>
      <c r="KB107" s="443">
        <v>100</v>
      </c>
      <c r="KC107" s="441"/>
      <c r="KD107" s="442"/>
      <c r="KE107" s="443"/>
      <c r="KF107" s="441"/>
      <c r="KG107" s="442"/>
      <c r="KH107" s="443" t="s">
        <v>6</v>
      </c>
      <c r="KI107" s="441"/>
      <c r="KJ107" s="442"/>
      <c r="KK107" s="443" t="s">
        <v>6</v>
      </c>
      <c r="KL107" s="441"/>
      <c r="KM107" s="442">
        <v>1</v>
      </c>
      <c r="KN107" s="443">
        <v>0</v>
      </c>
      <c r="KO107" s="441"/>
      <c r="KP107" s="442"/>
      <c r="KQ107" s="443"/>
      <c r="KR107" s="441">
        <v>4</v>
      </c>
      <c r="KS107" s="442">
        <v>2</v>
      </c>
      <c r="KT107" s="443">
        <v>66.7</v>
      </c>
      <c r="KU107" s="441">
        <v>5</v>
      </c>
      <c r="KV107" s="442">
        <v>2</v>
      </c>
      <c r="KW107" s="443">
        <v>71.400000000000006</v>
      </c>
      <c r="KX107" s="441">
        <v>9</v>
      </c>
      <c r="KY107" s="442">
        <v>1</v>
      </c>
      <c r="KZ107" s="443">
        <v>90</v>
      </c>
      <c r="LA107" s="441"/>
      <c r="LB107" s="442"/>
      <c r="LC107" s="443"/>
      <c r="LD107" s="441">
        <v>40</v>
      </c>
      <c r="LE107" s="442">
        <v>6</v>
      </c>
      <c r="LF107" s="443">
        <v>87</v>
      </c>
      <c r="LG107" s="441">
        <v>37</v>
      </c>
      <c r="LH107" s="442">
        <v>8</v>
      </c>
      <c r="LI107" s="443">
        <v>82.2</v>
      </c>
      <c r="LJ107" s="441">
        <v>74</v>
      </c>
      <c r="LK107" s="442">
        <v>4</v>
      </c>
      <c r="LL107" s="443">
        <v>94.9</v>
      </c>
      <c r="LM107" s="441"/>
      <c r="LN107" s="442"/>
      <c r="LO107" s="443"/>
    </row>
    <row r="108" spans="1:327" x14ac:dyDescent="0.2">
      <c r="A108" s="1001"/>
      <c r="B108" s="747"/>
      <c r="C108" s="151" t="s">
        <v>705</v>
      </c>
      <c r="D108" s="377"/>
      <c r="E108" s="373"/>
      <c r="F108" s="444" t="s">
        <v>6</v>
      </c>
      <c r="G108" s="377"/>
      <c r="H108" s="373"/>
      <c r="I108" s="444" t="s">
        <v>6</v>
      </c>
      <c r="J108" s="377"/>
      <c r="K108" s="373"/>
      <c r="L108" s="444" t="s">
        <v>6</v>
      </c>
      <c r="M108" s="377"/>
      <c r="N108" s="373"/>
      <c r="O108" s="444"/>
      <c r="P108" s="377"/>
      <c r="Q108" s="373"/>
      <c r="R108" s="444" t="s">
        <v>6</v>
      </c>
      <c r="S108" s="377"/>
      <c r="T108" s="373"/>
      <c r="U108" s="444" t="s">
        <v>6</v>
      </c>
      <c r="V108" s="377"/>
      <c r="W108" s="373"/>
      <c r="X108" s="444" t="s">
        <v>6</v>
      </c>
      <c r="Y108" s="377"/>
      <c r="Z108" s="373"/>
      <c r="AA108" s="444"/>
      <c r="AB108" s="377"/>
      <c r="AC108" s="373"/>
      <c r="AD108" s="444" t="s">
        <v>6</v>
      </c>
      <c r="AE108" s="377"/>
      <c r="AF108" s="373"/>
      <c r="AG108" s="444" t="s">
        <v>6</v>
      </c>
      <c r="AH108" s="377"/>
      <c r="AI108" s="373"/>
      <c r="AJ108" s="444" t="s">
        <v>6</v>
      </c>
      <c r="AK108" s="377"/>
      <c r="AL108" s="373"/>
      <c r="AM108" s="444"/>
      <c r="AN108" s="377">
        <v>12</v>
      </c>
      <c r="AO108" s="373">
        <v>4</v>
      </c>
      <c r="AP108" s="444">
        <v>75</v>
      </c>
      <c r="AQ108" s="377">
        <v>15</v>
      </c>
      <c r="AR108" s="373">
        <v>11</v>
      </c>
      <c r="AS108" s="444">
        <v>57.7</v>
      </c>
      <c r="AT108" s="377">
        <v>25</v>
      </c>
      <c r="AU108" s="373">
        <v>4</v>
      </c>
      <c r="AV108" s="444">
        <v>86.2</v>
      </c>
      <c r="AW108" s="377"/>
      <c r="AX108" s="373"/>
      <c r="AY108" s="444"/>
      <c r="AZ108" s="377">
        <v>11</v>
      </c>
      <c r="BA108" s="373">
        <v>3</v>
      </c>
      <c r="BB108" s="444">
        <v>78.599999999999994</v>
      </c>
      <c r="BC108" s="377">
        <v>12</v>
      </c>
      <c r="BD108" s="373">
        <v>10</v>
      </c>
      <c r="BE108" s="444">
        <v>54.5</v>
      </c>
      <c r="BF108" s="377">
        <v>12</v>
      </c>
      <c r="BG108" s="373">
        <v>3</v>
      </c>
      <c r="BH108" s="444">
        <v>80</v>
      </c>
      <c r="BI108" s="377"/>
      <c r="BJ108" s="373"/>
      <c r="BK108" s="444"/>
      <c r="BL108" s="377"/>
      <c r="BM108" s="373"/>
      <c r="BN108" s="444" t="s">
        <v>6</v>
      </c>
      <c r="BO108" s="377"/>
      <c r="BP108" s="373"/>
      <c r="BQ108" s="444" t="s">
        <v>6</v>
      </c>
      <c r="BR108" s="377"/>
      <c r="BS108" s="373"/>
      <c r="BT108" s="444" t="s">
        <v>6</v>
      </c>
      <c r="BU108" s="377"/>
      <c r="BV108" s="373"/>
      <c r="BW108" s="444"/>
      <c r="BX108" s="377"/>
      <c r="BY108" s="373"/>
      <c r="BZ108" s="444" t="s">
        <v>6</v>
      </c>
      <c r="CA108" s="377"/>
      <c r="CB108" s="373"/>
      <c r="CC108" s="444" t="s">
        <v>6</v>
      </c>
      <c r="CD108" s="377"/>
      <c r="CE108" s="373"/>
      <c r="CF108" s="444" t="s">
        <v>6</v>
      </c>
      <c r="CG108" s="377"/>
      <c r="CH108" s="373"/>
      <c r="CI108" s="444"/>
      <c r="CJ108" s="377"/>
      <c r="CK108" s="373"/>
      <c r="CL108" s="444" t="s">
        <v>6</v>
      </c>
      <c r="CM108" s="377"/>
      <c r="CN108" s="373"/>
      <c r="CO108" s="444" t="s">
        <v>6</v>
      </c>
      <c r="CP108" s="377"/>
      <c r="CQ108" s="373"/>
      <c r="CR108" s="444" t="s">
        <v>6</v>
      </c>
      <c r="CS108" s="377"/>
      <c r="CT108" s="373"/>
      <c r="CU108" s="444"/>
      <c r="CV108" s="377">
        <v>7</v>
      </c>
      <c r="CW108" s="373">
        <v>1</v>
      </c>
      <c r="CX108" s="444">
        <v>87.5</v>
      </c>
      <c r="CY108" s="377">
        <v>6</v>
      </c>
      <c r="CZ108" s="373">
        <v>2</v>
      </c>
      <c r="DA108" s="444">
        <v>75</v>
      </c>
      <c r="DB108" s="377">
        <v>15</v>
      </c>
      <c r="DC108" s="373"/>
      <c r="DD108" s="444">
        <v>100</v>
      </c>
      <c r="DE108" s="377"/>
      <c r="DF108" s="373"/>
      <c r="DG108" s="444"/>
      <c r="DH108" s="377">
        <v>1</v>
      </c>
      <c r="DI108" s="373"/>
      <c r="DJ108" s="444">
        <v>100</v>
      </c>
      <c r="DK108" s="377"/>
      <c r="DL108" s="373">
        <v>1</v>
      </c>
      <c r="DM108" s="444">
        <v>0</v>
      </c>
      <c r="DN108" s="377">
        <v>1</v>
      </c>
      <c r="DO108" s="373"/>
      <c r="DP108" s="444">
        <v>100</v>
      </c>
      <c r="DQ108" s="377"/>
      <c r="DR108" s="373"/>
      <c r="DS108" s="444"/>
      <c r="DT108" s="377"/>
      <c r="DU108" s="373"/>
      <c r="DV108" s="444" t="s">
        <v>6</v>
      </c>
      <c r="DW108" s="377"/>
      <c r="DX108" s="373"/>
      <c r="DY108" s="444" t="s">
        <v>6</v>
      </c>
      <c r="DZ108" s="377">
        <v>7</v>
      </c>
      <c r="EA108" s="373"/>
      <c r="EB108" s="444">
        <v>100</v>
      </c>
      <c r="EC108" s="377"/>
      <c r="ED108" s="373"/>
      <c r="EE108" s="444"/>
      <c r="EF108" s="377">
        <v>148</v>
      </c>
      <c r="EG108" s="373">
        <v>536</v>
      </c>
      <c r="EH108" s="444">
        <v>21.6</v>
      </c>
      <c r="EI108" s="377">
        <v>166</v>
      </c>
      <c r="EJ108" s="373">
        <v>445</v>
      </c>
      <c r="EK108" s="444">
        <v>27.2</v>
      </c>
      <c r="EL108" s="377">
        <v>108</v>
      </c>
      <c r="EM108" s="373">
        <v>321</v>
      </c>
      <c r="EN108" s="444">
        <v>25.2</v>
      </c>
      <c r="EO108" s="377"/>
      <c r="EP108" s="373"/>
      <c r="EQ108" s="444"/>
      <c r="ER108" s="377"/>
      <c r="ES108" s="373">
        <v>5</v>
      </c>
      <c r="ET108" s="444">
        <v>0</v>
      </c>
      <c r="EU108" s="377">
        <v>1</v>
      </c>
      <c r="EV108" s="373">
        <v>4</v>
      </c>
      <c r="EW108" s="444">
        <v>20</v>
      </c>
      <c r="EX108" s="377">
        <v>2</v>
      </c>
      <c r="EY108" s="373">
        <v>2</v>
      </c>
      <c r="EZ108" s="444">
        <v>50</v>
      </c>
      <c r="FA108" s="377"/>
      <c r="FB108" s="373"/>
      <c r="FC108" s="444"/>
      <c r="FD108" s="377"/>
      <c r="FE108" s="373">
        <v>14</v>
      </c>
      <c r="FF108" s="444">
        <v>0</v>
      </c>
      <c r="FG108" s="377">
        <v>2</v>
      </c>
      <c r="FH108" s="373">
        <v>15</v>
      </c>
      <c r="FI108" s="444">
        <v>11.8</v>
      </c>
      <c r="FJ108" s="377">
        <v>3</v>
      </c>
      <c r="FK108" s="373">
        <v>7</v>
      </c>
      <c r="FL108" s="444">
        <v>30</v>
      </c>
      <c r="FM108" s="377"/>
      <c r="FN108" s="373"/>
      <c r="FO108" s="444"/>
      <c r="FP108" s="377">
        <v>41</v>
      </c>
      <c r="FQ108" s="373">
        <v>86</v>
      </c>
      <c r="FR108" s="444">
        <v>32.299999999999997</v>
      </c>
      <c r="FS108" s="377">
        <v>49</v>
      </c>
      <c r="FT108" s="373">
        <v>68</v>
      </c>
      <c r="FU108" s="444">
        <v>41.9</v>
      </c>
      <c r="FV108" s="377">
        <v>27</v>
      </c>
      <c r="FW108" s="373">
        <v>38</v>
      </c>
      <c r="FX108" s="444">
        <v>41.5</v>
      </c>
      <c r="FY108" s="377"/>
      <c r="FZ108" s="373"/>
      <c r="GA108" s="444"/>
      <c r="GB108" s="377">
        <v>2</v>
      </c>
      <c r="GC108" s="373">
        <v>2</v>
      </c>
      <c r="GD108" s="444">
        <v>50</v>
      </c>
      <c r="GE108" s="377">
        <v>4</v>
      </c>
      <c r="GF108" s="373">
        <v>1</v>
      </c>
      <c r="GG108" s="444">
        <v>80</v>
      </c>
      <c r="GH108" s="377">
        <v>5</v>
      </c>
      <c r="GI108" s="373"/>
      <c r="GJ108" s="444">
        <v>100</v>
      </c>
      <c r="GK108" s="377"/>
      <c r="GL108" s="373"/>
      <c r="GM108" s="444"/>
      <c r="GN108" s="377">
        <v>4</v>
      </c>
      <c r="GO108" s="373">
        <v>8</v>
      </c>
      <c r="GP108" s="444">
        <v>33.299999999999997</v>
      </c>
      <c r="GQ108" s="377">
        <v>4</v>
      </c>
      <c r="GR108" s="373">
        <v>6</v>
      </c>
      <c r="GS108" s="444">
        <v>40</v>
      </c>
      <c r="GT108" s="377">
        <v>7</v>
      </c>
      <c r="GU108" s="373">
        <v>8</v>
      </c>
      <c r="GV108" s="444">
        <v>46.7</v>
      </c>
      <c r="GW108" s="377"/>
      <c r="GX108" s="373"/>
      <c r="GY108" s="444"/>
      <c r="GZ108" s="377">
        <v>2</v>
      </c>
      <c r="HA108" s="373"/>
      <c r="HB108" s="444">
        <v>100</v>
      </c>
      <c r="HC108" s="377"/>
      <c r="HD108" s="373"/>
      <c r="HE108" s="444" t="s">
        <v>6</v>
      </c>
      <c r="HF108" s="377">
        <v>2</v>
      </c>
      <c r="HG108" s="373"/>
      <c r="HH108" s="444">
        <v>100</v>
      </c>
      <c r="HI108" s="377"/>
      <c r="HJ108" s="373"/>
      <c r="HK108" s="444"/>
      <c r="HL108" s="377">
        <v>4</v>
      </c>
      <c r="HM108" s="373">
        <v>26</v>
      </c>
      <c r="HN108" s="444">
        <v>13.3</v>
      </c>
      <c r="HO108" s="377">
        <v>12</v>
      </c>
      <c r="HP108" s="373">
        <v>42</v>
      </c>
      <c r="HQ108" s="444">
        <v>22.2</v>
      </c>
      <c r="HR108" s="377">
        <v>16</v>
      </c>
      <c r="HS108" s="373">
        <v>27</v>
      </c>
      <c r="HT108" s="444">
        <v>37.200000000000003</v>
      </c>
      <c r="HU108" s="377"/>
      <c r="HV108" s="373"/>
      <c r="HW108" s="444"/>
      <c r="HX108" s="377">
        <v>1</v>
      </c>
      <c r="HY108" s="373"/>
      <c r="HZ108" s="444">
        <v>100</v>
      </c>
      <c r="IA108" s="377">
        <v>2</v>
      </c>
      <c r="IB108" s="373"/>
      <c r="IC108" s="444">
        <v>100</v>
      </c>
      <c r="ID108" s="377">
        <v>3</v>
      </c>
      <c r="IE108" s="373">
        <v>1</v>
      </c>
      <c r="IF108" s="444">
        <v>75</v>
      </c>
      <c r="IG108" s="377"/>
      <c r="IH108" s="373"/>
      <c r="II108" s="444"/>
      <c r="IJ108" s="377">
        <v>2</v>
      </c>
      <c r="IK108" s="373">
        <v>6</v>
      </c>
      <c r="IL108" s="444">
        <v>25</v>
      </c>
      <c r="IM108" s="377">
        <v>4</v>
      </c>
      <c r="IN108" s="373">
        <v>2</v>
      </c>
      <c r="IO108" s="444">
        <v>66.7</v>
      </c>
      <c r="IP108" s="377">
        <v>3</v>
      </c>
      <c r="IQ108" s="373">
        <v>2</v>
      </c>
      <c r="IR108" s="444">
        <v>60</v>
      </c>
      <c r="IS108" s="377"/>
      <c r="IT108" s="373"/>
      <c r="IU108" s="444"/>
      <c r="IV108" s="377">
        <v>183</v>
      </c>
      <c r="IW108" s="373">
        <v>583</v>
      </c>
      <c r="IX108" s="444">
        <v>23.9</v>
      </c>
      <c r="IY108" s="377">
        <v>213</v>
      </c>
      <c r="IZ108" s="373">
        <v>510</v>
      </c>
      <c r="JA108" s="444">
        <v>29.5</v>
      </c>
      <c r="JB108" s="377">
        <v>192</v>
      </c>
      <c r="JC108" s="373">
        <v>363</v>
      </c>
      <c r="JD108" s="444">
        <v>34.6</v>
      </c>
      <c r="JE108" s="377"/>
      <c r="JF108" s="373"/>
      <c r="JG108" s="444"/>
      <c r="JH108" s="377">
        <v>22</v>
      </c>
      <c r="JI108" s="373">
        <v>115</v>
      </c>
      <c r="JJ108" s="444">
        <v>16.100000000000001</v>
      </c>
      <c r="JK108" s="377">
        <v>33</v>
      </c>
      <c r="JL108" s="373">
        <v>81</v>
      </c>
      <c r="JM108" s="444">
        <v>28.9</v>
      </c>
      <c r="JN108" s="377">
        <v>63</v>
      </c>
      <c r="JO108" s="373">
        <v>28</v>
      </c>
      <c r="JP108" s="444">
        <v>69.2</v>
      </c>
      <c r="JQ108" s="377"/>
      <c r="JR108" s="373"/>
      <c r="JS108" s="444"/>
      <c r="JT108" s="377">
        <v>1</v>
      </c>
      <c r="JU108" s="373">
        <v>4</v>
      </c>
      <c r="JV108" s="444">
        <v>20</v>
      </c>
      <c r="JW108" s="377">
        <v>4</v>
      </c>
      <c r="JX108" s="373">
        <v>3</v>
      </c>
      <c r="JY108" s="444">
        <v>57.1</v>
      </c>
      <c r="JZ108" s="377">
        <v>2</v>
      </c>
      <c r="KA108" s="373">
        <v>1</v>
      </c>
      <c r="KB108" s="444">
        <v>66.7</v>
      </c>
      <c r="KC108" s="377"/>
      <c r="KD108" s="373"/>
      <c r="KE108" s="444"/>
      <c r="KF108" s="377">
        <v>1</v>
      </c>
      <c r="KG108" s="373">
        <v>1</v>
      </c>
      <c r="KH108" s="444">
        <v>50</v>
      </c>
      <c r="KI108" s="377"/>
      <c r="KJ108" s="373">
        <v>1</v>
      </c>
      <c r="KK108" s="444">
        <v>0</v>
      </c>
      <c r="KL108" s="377"/>
      <c r="KM108" s="373"/>
      <c r="KN108" s="444" t="s">
        <v>6</v>
      </c>
      <c r="KO108" s="377"/>
      <c r="KP108" s="373"/>
      <c r="KQ108" s="444"/>
      <c r="KR108" s="377">
        <v>32</v>
      </c>
      <c r="KS108" s="373">
        <v>127</v>
      </c>
      <c r="KT108" s="444">
        <v>20.100000000000001</v>
      </c>
      <c r="KU108" s="377">
        <v>47</v>
      </c>
      <c r="KV108" s="373">
        <v>98</v>
      </c>
      <c r="KW108" s="444">
        <v>32.4</v>
      </c>
      <c r="KX108" s="377">
        <v>83</v>
      </c>
      <c r="KY108" s="373">
        <v>36</v>
      </c>
      <c r="KZ108" s="444">
        <v>69.7</v>
      </c>
      <c r="LA108" s="377"/>
      <c r="LB108" s="373"/>
      <c r="LC108" s="444"/>
      <c r="LD108" s="377">
        <v>633</v>
      </c>
      <c r="LE108" s="373">
        <v>676</v>
      </c>
      <c r="LF108" s="444">
        <v>48.4</v>
      </c>
      <c r="LG108" s="377">
        <v>583</v>
      </c>
      <c r="LH108" s="373">
        <v>629</v>
      </c>
      <c r="LI108" s="444">
        <v>48.1</v>
      </c>
      <c r="LJ108" s="377">
        <v>366</v>
      </c>
      <c r="LK108" s="373">
        <v>493</v>
      </c>
      <c r="LL108" s="444">
        <v>42.6</v>
      </c>
      <c r="LM108" s="377"/>
      <c r="LN108" s="373"/>
      <c r="LO108" s="444"/>
    </row>
    <row r="109" spans="1:327" x14ac:dyDescent="0.2">
      <c r="A109" s="1001"/>
      <c r="B109" s="747" t="s">
        <v>621</v>
      </c>
      <c r="C109" s="151" t="s">
        <v>706</v>
      </c>
      <c r="D109" s="377"/>
      <c r="E109" s="373"/>
      <c r="F109" s="444" t="s">
        <v>6</v>
      </c>
      <c r="G109" s="377"/>
      <c r="H109" s="373"/>
      <c r="I109" s="444" t="s">
        <v>6</v>
      </c>
      <c r="J109" s="377"/>
      <c r="K109" s="373"/>
      <c r="L109" s="444" t="s">
        <v>6</v>
      </c>
      <c r="M109" s="377"/>
      <c r="N109" s="373"/>
      <c r="O109" s="444"/>
      <c r="P109" s="377"/>
      <c r="Q109" s="373"/>
      <c r="R109" s="444" t="s">
        <v>6</v>
      </c>
      <c r="S109" s="377"/>
      <c r="T109" s="373"/>
      <c r="U109" s="444" t="s">
        <v>6</v>
      </c>
      <c r="V109" s="377"/>
      <c r="W109" s="373"/>
      <c r="X109" s="444" t="s">
        <v>6</v>
      </c>
      <c r="Y109" s="377"/>
      <c r="Z109" s="373"/>
      <c r="AA109" s="444"/>
      <c r="AB109" s="377"/>
      <c r="AC109" s="373"/>
      <c r="AD109" s="444" t="s">
        <v>6</v>
      </c>
      <c r="AE109" s="377"/>
      <c r="AF109" s="373"/>
      <c r="AG109" s="444" t="s">
        <v>6</v>
      </c>
      <c r="AH109" s="377"/>
      <c r="AI109" s="373"/>
      <c r="AJ109" s="444" t="s">
        <v>6</v>
      </c>
      <c r="AK109" s="377"/>
      <c r="AL109" s="373"/>
      <c r="AM109" s="444"/>
      <c r="AN109" s="377">
        <v>5</v>
      </c>
      <c r="AO109" s="373">
        <v>1</v>
      </c>
      <c r="AP109" s="444">
        <v>83.3</v>
      </c>
      <c r="AQ109" s="377">
        <v>17</v>
      </c>
      <c r="AR109" s="373">
        <v>1</v>
      </c>
      <c r="AS109" s="444">
        <v>94.4</v>
      </c>
      <c r="AT109" s="377">
        <v>12</v>
      </c>
      <c r="AU109" s="373">
        <v>2</v>
      </c>
      <c r="AV109" s="444">
        <v>85.7</v>
      </c>
      <c r="AW109" s="377"/>
      <c r="AX109" s="373"/>
      <c r="AY109" s="444"/>
      <c r="AZ109" s="377">
        <v>4</v>
      </c>
      <c r="BA109" s="373">
        <v>1</v>
      </c>
      <c r="BB109" s="444">
        <v>80</v>
      </c>
      <c r="BC109" s="377">
        <v>12</v>
      </c>
      <c r="BD109" s="373">
        <v>1</v>
      </c>
      <c r="BE109" s="444">
        <v>92.3</v>
      </c>
      <c r="BF109" s="377">
        <v>6</v>
      </c>
      <c r="BG109" s="373">
        <v>1</v>
      </c>
      <c r="BH109" s="444">
        <v>85.7</v>
      </c>
      <c r="BI109" s="377"/>
      <c r="BJ109" s="373"/>
      <c r="BK109" s="444"/>
      <c r="BL109" s="377"/>
      <c r="BM109" s="373"/>
      <c r="BN109" s="444" t="s">
        <v>6</v>
      </c>
      <c r="BO109" s="377"/>
      <c r="BP109" s="373"/>
      <c r="BQ109" s="444" t="s">
        <v>6</v>
      </c>
      <c r="BR109" s="377"/>
      <c r="BS109" s="373"/>
      <c r="BT109" s="444" t="s">
        <v>6</v>
      </c>
      <c r="BU109" s="377"/>
      <c r="BV109" s="373"/>
      <c r="BW109" s="444"/>
      <c r="BX109" s="377"/>
      <c r="BY109" s="373"/>
      <c r="BZ109" s="444" t="s">
        <v>6</v>
      </c>
      <c r="CA109" s="377"/>
      <c r="CB109" s="373"/>
      <c r="CC109" s="444" t="s">
        <v>6</v>
      </c>
      <c r="CD109" s="377"/>
      <c r="CE109" s="373"/>
      <c r="CF109" s="444" t="s">
        <v>6</v>
      </c>
      <c r="CG109" s="377"/>
      <c r="CH109" s="373"/>
      <c r="CI109" s="444"/>
      <c r="CJ109" s="377"/>
      <c r="CK109" s="373"/>
      <c r="CL109" s="444" t="s">
        <v>6</v>
      </c>
      <c r="CM109" s="377"/>
      <c r="CN109" s="373"/>
      <c r="CO109" s="444" t="s">
        <v>6</v>
      </c>
      <c r="CP109" s="377"/>
      <c r="CQ109" s="373"/>
      <c r="CR109" s="444" t="s">
        <v>6</v>
      </c>
      <c r="CS109" s="377"/>
      <c r="CT109" s="373"/>
      <c r="CU109" s="444"/>
      <c r="CV109" s="377">
        <v>6</v>
      </c>
      <c r="CW109" s="373">
        <v>2</v>
      </c>
      <c r="CX109" s="444">
        <v>75</v>
      </c>
      <c r="CY109" s="377">
        <v>12</v>
      </c>
      <c r="CZ109" s="373">
        <v>2</v>
      </c>
      <c r="DA109" s="444">
        <v>85.7</v>
      </c>
      <c r="DB109" s="377">
        <v>15</v>
      </c>
      <c r="DC109" s="373">
        <v>3</v>
      </c>
      <c r="DD109" s="444">
        <v>83.3</v>
      </c>
      <c r="DE109" s="377"/>
      <c r="DF109" s="373"/>
      <c r="DG109" s="444"/>
      <c r="DH109" s="377">
        <v>1</v>
      </c>
      <c r="DI109" s="373"/>
      <c r="DJ109" s="444">
        <v>100</v>
      </c>
      <c r="DK109" s="377"/>
      <c r="DL109" s="373"/>
      <c r="DM109" s="444" t="s">
        <v>6</v>
      </c>
      <c r="DN109" s="377"/>
      <c r="DO109" s="373"/>
      <c r="DP109" s="444" t="s">
        <v>6</v>
      </c>
      <c r="DQ109" s="377"/>
      <c r="DR109" s="373"/>
      <c r="DS109" s="444"/>
      <c r="DT109" s="377">
        <v>1</v>
      </c>
      <c r="DU109" s="373"/>
      <c r="DV109" s="444">
        <v>100</v>
      </c>
      <c r="DW109" s="377"/>
      <c r="DX109" s="373"/>
      <c r="DY109" s="444" t="s">
        <v>6</v>
      </c>
      <c r="DZ109" s="377">
        <v>3</v>
      </c>
      <c r="EA109" s="373"/>
      <c r="EB109" s="444">
        <v>100</v>
      </c>
      <c r="EC109" s="377"/>
      <c r="ED109" s="373"/>
      <c r="EE109" s="444"/>
      <c r="EF109" s="377">
        <v>45</v>
      </c>
      <c r="EG109" s="373">
        <v>124</v>
      </c>
      <c r="EH109" s="444">
        <v>26.6</v>
      </c>
      <c r="EI109" s="377">
        <v>64</v>
      </c>
      <c r="EJ109" s="373">
        <v>95</v>
      </c>
      <c r="EK109" s="444">
        <v>40.299999999999997</v>
      </c>
      <c r="EL109" s="377">
        <v>34</v>
      </c>
      <c r="EM109" s="373">
        <v>77</v>
      </c>
      <c r="EN109" s="444">
        <v>30.6</v>
      </c>
      <c r="EO109" s="377"/>
      <c r="EP109" s="373"/>
      <c r="EQ109" s="444"/>
      <c r="ER109" s="377"/>
      <c r="ES109" s="373"/>
      <c r="ET109" s="444" t="s">
        <v>6</v>
      </c>
      <c r="EU109" s="377"/>
      <c r="EV109" s="373"/>
      <c r="EW109" s="444" t="s">
        <v>6</v>
      </c>
      <c r="EX109" s="377"/>
      <c r="EY109" s="373"/>
      <c r="EZ109" s="444" t="s">
        <v>6</v>
      </c>
      <c r="FA109" s="377"/>
      <c r="FB109" s="373"/>
      <c r="FC109" s="444"/>
      <c r="FD109" s="377">
        <v>1</v>
      </c>
      <c r="FE109" s="373">
        <v>1</v>
      </c>
      <c r="FF109" s="444">
        <v>50</v>
      </c>
      <c r="FG109" s="377"/>
      <c r="FH109" s="373">
        <v>1</v>
      </c>
      <c r="FI109" s="444">
        <v>0</v>
      </c>
      <c r="FJ109" s="377">
        <v>1</v>
      </c>
      <c r="FK109" s="373">
        <v>2</v>
      </c>
      <c r="FL109" s="444">
        <v>33.299999999999997</v>
      </c>
      <c r="FM109" s="377"/>
      <c r="FN109" s="373"/>
      <c r="FO109" s="444"/>
      <c r="FP109" s="377">
        <v>19</v>
      </c>
      <c r="FQ109" s="373">
        <v>22</v>
      </c>
      <c r="FR109" s="444">
        <v>46.3</v>
      </c>
      <c r="FS109" s="377">
        <v>15</v>
      </c>
      <c r="FT109" s="373">
        <v>17</v>
      </c>
      <c r="FU109" s="444">
        <v>46.9</v>
      </c>
      <c r="FV109" s="377">
        <v>9</v>
      </c>
      <c r="FW109" s="373">
        <v>10</v>
      </c>
      <c r="FX109" s="444">
        <v>47.4</v>
      </c>
      <c r="FY109" s="377"/>
      <c r="FZ109" s="373"/>
      <c r="GA109" s="444"/>
      <c r="GB109" s="377"/>
      <c r="GC109" s="373">
        <v>1</v>
      </c>
      <c r="GD109" s="444">
        <v>0</v>
      </c>
      <c r="GE109" s="377">
        <v>2</v>
      </c>
      <c r="GF109" s="373"/>
      <c r="GG109" s="444">
        <v>100</v>
      </c>
      <c r="GH109" s="377">
        <v>3</v>
      </c>
      <c r="GI109" s="373"/>
      <c r="GJ109" s="444">
        <v>100</v>
      </c>
      <c r="GK109" s="377"/>
      <c r="GL109" s="373"/>
      <c r="GM109" s="444"/>
      <c r="GN109" s="377"/>
      <c r="GO109" s="373"/>
      <c r="GP109" s="444" t="s">
        <v>6</v>
      </c>
      <c r="GQ109" s="377">
        <v>7</v>
      </c>
      <c r="GR109" s="373"/>
      <c r="GS109" s="444">
        <v>100</v>
      </c>
      <c r="GT109" s="377">
        <v>2</v>
      </c>
      <c r="GU109" s="373"/>
      <c r="GV109" s="444">
        <v>100</v>
      </c>
      <c r="GW109" s="377"/>
      <c r="GX109" s="373"/>
      <c r="GY109" s="444"/>
      <c r="GZ109" s="377"/>
      <c r="HA109" s="373">
        <v>1</v>
      </c>
      <c r="HB109" s="444">
        <v>0</v>
      </c>
      <c r="HC109" s="377"/>
      <c r="HD109" s="373"/>
      <c r="HE109" s="444" t="s">
        <v>6</v>
      </c>
      <c r="HF109" s="377">
        <v>3</v>
      </c>
      <c r="HG109" s="373"/>
      <c r="HH109" s="444">
        <v>100</v>
      </c>
      <c r="HI109" s="377"/>
      <c r="HJ109" s="373"/>
      <c r="HK109" s="444"/>
      <c r="HL109" s="377">
        <v>9</v>
      </c>
      <c r="HM109" s="373">
        <v>15</v>
      </c>
      <c r="HN109" s="444">
        <v>37.5</v>
      </c>
      <c r="HO109" s="377">
        <v>2</v>
      </c>
      <c r="HP109" s="373">
        <v>12</v>
      </c>
      <c r="HQ109" s="444">
        <v>14.3</v>
      </c>
      <c r="HR109" s="377">
        <v>20</v>
      </c>
      <c r="HS109" s="373">
        <v>8</v>
      </c>
      <c r="HT109" s="444">
        <v>71.400000000000006</v>
      </c>
      <c r="HU109" s="377"/>
      <c r="HV109" s="373"/>
      <c r="HW109" s="444"/>
      <c r="HX109" s="377"/>
      <c r="HY109" s="373"/>
      <c r="HZ109" s="444" t="s">
        <v>6</v>
      </c>
      <c r="IA109" s="377">
        <v>2</v>
      </c>
      <c r="IB109" s="373"/>
      <c r="IC109" s="444">
        <v>100</v>
      </c>
      <c r="ID109" s="377"/>
      <c r="IE109" s="373"/>
      <c r="IF109" s="444" t="s">
        <v>6</v>
      </c>
      <c r="IG109" s="377"/>
      <c r="IH109" s="373"/>
      <c r="II109" s="444"/>
      <c r="IJ109" s="377">
        <v>1</v>
      </c>
      <c r="IK109" s="373"/>
      <c r="IL109" s="444">
        <v>100</v>
      </c>
      <c r="IM109" s="377">
        <v>3</v>
      </c>
      <c r="IN109" s="373"/>
      <c r="IO109" s="444">
        <v>100</v>
      </c>
      <c r="IP109" s="377">
        <v>2</v>
      </c>
      <c r="IQ109" s="373">
        <v>1</v>
      </c>
      <c r="IR109" s="444">
        <v>66.7</v>
      </c>
      <c r="IS109" s="377"/>
      <c r="IT109" s="373"/>
      <c r="IU109" s="444"/>
      <c r="IV109" s="377">
        <v>68</v>
      </c>
      <c r="IW109" s="373">
        <v>144</v>
      </c>
      <c r="IX109" s="444">
        <v>32.1</v>
      </c>
      <c r="IY109" s="377">
        <v>109</v>
      </c>
      <c r="IZ109" s="373">
        <v>110</v>
      </c>
      <c r="JA109" s="444">
        <v>49.8</v>
      </c>
      <c r="JB109" s="377">
        <v>94</v>
      </c>
      <c r="JC109" s="373">
        <v>91</v>
      </c>
      <c r="JD109" s="444">
        <v>50.8</v>
      </c>
      <c r="JE109" s="377"/>
      <c r="JF109" s="373"/>
      <c r="JG109" s="444"/>
      <c r="JH109" s="377">
        <v>10</v>
      </c>
      <c r="JI109" s="373">
        <v>24</v>
      </c>
      <c r="JJ109" s="444">
        <v>29.4</v>
      </c>
      <c r="JK109" s="377">
        <v>23</v>
      </c>
      <c r="JL109" s="373">
        <v>13</v>
      </c>
      <c r="JM109" s="444">
        <v>63.9</v>
      </c>
      <c r="JN109" s="377">
        <v>49</v>
      </c>
      <c r="JO109" s="373">
        <v>4</v>
      </c>
      <c r="JP109" s="444">
        <v>92.5</v>
      </c>
      <c r="JQ109" s="377"/>
      <c r="JR109" s="373"/>
      <c r="JS109" s="444"/>
      <c r="JT109" s="377"/>
      <c r="JU109" s="373"/>
      <c r="JV109" s="444" t="s">
        <v>6</v>
      </c>
      <c r="JW109" s="377"/>
      <c r="JX109" s="373"/>
      <c r="JY109" s="444" t="s">
        <v>6</v>
      </c>
      <c r="JZ109" s="377"/>
      <c r="KA109" s="373"/>
      <c r="KB109" s="444" t="s">
        <v>6</v>
      </c>
      <c r="KC109" s="377"/>
      <c r="KD109" s="373"/>
      <c r="KE109" s="444"/>
      <c r="KF109" s="377"/>
      <c r="KG109" s="373"/>
      <c r="KH109" s="444" t="s">
        <v>6</v>
      </c>
      <c r="KI109" s="377"/>
      <c r="KJ109" s="373"/>
      <c r="KK109" s="444" t="s">
        <v>6</v>
      </c>
      <c r="KL109" s="377"/>
      <c r="KM109" s="373"/>
      <c r="KN109" s="444" t="s">
        <v>6</v>
      </c>
      <c r="KO109" s="377"/>
      <c r="KP109" s="373"/>
      <c r="KQ109" s="444"/>
      <c r="KR109" s="377">
        <v>11</v>
      </c>
      <c r="KS109" s="373">
        <v>25</v>
      </c>
      <c r="KT109" s="444">
        <v>30.6</v>
      </c>
      <c r="KU109" s="377">
        <v>27</v>
      </c>
      <c r="KV109" s="373">
        <v>14</v>
      </c>
      <c r="KW109" s="444">
        <v>65.900000000000006</v>
      </c>
      <c r="KX109" s="377">
        <v>54</v>
      </c>
      <c r="KY109" s="373">
        <v>4</v>
      </c>
      <c r="KZ109" s="444">
        <v>93.1</v>
      </c>
      <c r="LA109" s="377"/>
      <c r="LB109" s="373"/>
      <c r="LC109" s="444"/>
      <c r="LD109" s="377">
        <v>143</v>
      </c>
      <c r="LE109" s="373">
        <v>170</v>
      </c>
      <c r="LF109" s="444">
        <v>45.7</v>
      </c>
      <c r="LG109" s="377">
        <v>140</v>
      </c>
      <c r="LH109" s="373">
        <v>145</v>
      </c>
      <c r="LI109" s="444">
        <v>49.1</v>
      </c>
      <c r="LJ109" s="377">
        <v>267</v>
      </c>
      <c r="LK109" s="373">
        <v>113</v>
      </c>
      <c r="LL109" s="444">
        <v>70.3</v>
      </c>
      <c r="LM109" s="377"/>
      <c r="LN109" s="373"/>
      <c r="LO109" s="444"/>
    </row>
    <row r="110" spans="1:327" x14ac:dyDescent="0.2">
      <c r="A110" s="1001"/>
      <c r="B110" s="747" t="s">
        <v>621</v>
      </c>
      <c r="C110" s="151" t="s">
        <v>707</v>
      </c>
      <c r="D110" s="377"/>
      <c r="E110" s="373"/>
      <c r="F110" s="444" t="s">
        <v>6</v>
      </c>
      <c r="G110" s="377"/>
      <c r="H110" s="373"/>
      <c r="I110" s="444" t="s">
        <v>6</v>
      </c>
      <c r="J110" s="377"/>
      <c r="K110" s="373"/>
      <c r="L110" s="444" t="s">
        <v>6</v>
      </c>
      <c r="M110" s="377"/>
      <c r="N110" s="373"/>
      <c r="O110" s="444"/>
      <c r="P110" s="377"/>
      <c r="Q110" s="373"/>
      <c r="R110" s="444" t="s">
        <v>6</v>
      </c>
      <c r="S110" s="377"/>
      <c r="T110" s="373"/>
      <c r="U110" s="444" t="s">
        <v>6</v>
      </c>
      <c r="V110" s="377"/>
      <c r="W110" s="373"/>
      <c r="X110" s="444" t="s">
        <v>6</v>
      </c>
      <c r="Y110" s="377"/>
      <c r="Z110" s="373"/>
      <c r="AA110" s="444"/>
      <c r="AB110" s="377"/>
      <c r="AC110" s="373"/>
      <c r="AD110" s="444" t="s">
        <v>6</v>
      </c>
      <c r="AE110" s="377"/>
      <c r="AF110" s="373"/>
      <c r="AG110" s="444" t="s">
        <v>6</v>
      </c>
      <c r="AH110" s="377"/>
      <c r="AI110" s="373"/>
      <c r="AJ110" s="444" t="s">
        <v>6</v>
      </c>
      <c r="AK110" s="377"/>
      <c r="AL110" s="373"/>
      <c r="AM110" s="444"/>
      <c r="AN110" s="377">
        <v>20</v>
      </c>
      <c r="AO110" s="373">
        <v>3</v>
      </c>
      <c r="AP110" s="444">
        <v>87</v>
      </c>
      <c r="AQ110" s="377">
        <v>17</v>
      </c>
      <c r="AR110" s="373"/>
      <c r="AS110" s="444">
        <v>100</v>
      </c>
      <c r="AT110" s="377">
        <v>40</v>
      </c>
      <c r="AU110" s="373"/>
      <c r="AV110" s="444">
        <v>100</v>
      </c>
      <c r="AW110" s="377"/>
      <c r="AX110" s="373"/>
      <c r="AY110" s="444"/>
      <c r="AZ110" s="377">
        <v>11</v>
      </c>
      <c r="BA110" s="373">
        <v>2</v>
      </c>
      <c r="BB110" s="444">
        <v>84.6</v>
      </c>
      <c r="BC110" s="377">
        <v>11</v>
      </c>
      <c r="BD110" s="373"/>
      <c r="BE110" s="444">
        <v>100</v>
      </c>
      <c r="BF110" s="377">
        <v>15</v>
      </c>
      <c r="BG110" s="373"/>
      <c r="BH110" s="444">
        <v>100</v>
      </c>
      <c r="BI110" s="377"/>
      <c r="BJ110" s="373"/>
      <c r="BK110" s="444"/>
      <c r="BL110" s="377"/>
      <c r="BM110" s="373"/>
      <c r="BN110" s="444" t="s">
        <v>6</v>
      </c>
      <c r="BO110" s="377"/>
      <c r="BP110" s="373"/>
      <c r="BQ110" s="444" t="s">
        <v>6</v>
      </c>
      <c r="BR110" s="377"/>
      <c r="BS110" s="373"/>
      <c r="BT110" s="444" t="s">
        <v>6</v>
      </c>
      <c r="BU110" s="377"/>
      <c r="BV110" s="373"/>
      <c r="BW110" s="444"/>
      <c r="BX110" s="377"/>
      <c r="BY110" s="373"/>
      <c r="BZ110" s="444" t="s">
        <v>6</v>
      </c>
      <c r="CA110" s="377"/>
      <c r="CB110" s="373"/>
      <c r="CC110" s="444" t="s">
        <v>6</v>
      </c>
      <c r="CD110" s="377"/>
      <c r="CE110" s="373">
        <v>3</v>
      </c>
      <c r="CF110" s="444">
        <v>0</v>
      </c>
      <c r="CG110" s="377"/>
      <c r="CH110" s="373"/>
      <c r="CI110" s="444"/>
      <c r="CJ110" s="377"/>
      <c r="CK110" s="373"/>
      <c r="CL110" s="444" t="s">
        <v>6</v>
      </c>
      <c r="CM110" s="377"/>
      <c r="CN110" s="373"/>
      <c r="CO110" s="444" t="s">
        <v>6</v>
      </c>
      <c r="CP110" s="377"/>
      <c r="CQ110" s="373"/>
      <c r="CR110" s="444" t="s">
        <v>6</v>
      </c>
      <c r="CS110" s="377"/>
      <c r="CT110" s="373"/>
      <c r="CU110" s="444"/>
      <c r="CV110" s="377">
        <v>11</v>
      </c>
      <c r="CW110" s="373">
        <v>2</v>
      </c>
      <c r="CX110" s="444">
        <v>84.6</v>
      </c>
      <c r="CY110" s="377">
        <v>17</v>
      </c>
      <c r="CZ110" s="373">
        <v>2</v>
      </c>
      <c r="DA110" s="444">
        <v>89.5</v>
      </c>
      <c r="DB110" s="377">
        <v>17</v>
      </c>
      <c r="DC110" s="373"/>
      <c r="DD110" s="444">
        <v>100</v>
      </c>
      <c r="DE110" s="377"/>
      <c r="DF110" s="373"/>
      <c r="DG110" s="444"/>
      <c r="DH110" s="377"/>
      <c r="DI110" s="373"/>
      <c r="DJ110" s="444" t="s">
        <v>6</v>
      </c>
      <c r="DK110" s="377">
        <v>1</v>
      </c>
      <c r="DL110" s="373"/>
      <c r="DM110" s="444">
        <v>100</v>
      </c>
      <c r="DN110" s="377"/>
      <c r="DO110" s="373"/>
      <c r="DP110" s="444" t="s">
        <v>6</v>
      </c>
      <c r="DQ110" s="377"/>
      <c r="DR110" s="373"/>
      <c r="DS110" s="444"/>
      <c r="DT110" s="377">
        <v>1</v>
      </c>
      <c r="DU110" s="373"/>
      <c r="DV110" s="444">
        <v>100</v>
      </c>
      <c r="DW110" s="377">
        <v>5</v>
      </c>
      <c r="DX110" s="373"/>
      <c r="DY110" s="444">
        <v>100</v>
      </c>
      <c r="DZ110" s="377">
        <v>1</v>
      </c>
      <c r="EA110" s="373"/>
      <c r="EB110" s="444">
        <v>100</v>
      </c>
      <c r="EC110" s="377"/>
      <c r="ED110" s="373"/>
      <c r="EE110" s="444"/>
      <c r="EF110" s="377">
        <v>69</v>
      </c>
      <c r="EG110" s="373">
        <v>208</v>
      </c>
      <c r="EH110" s="444">
        <v>24.9</v>
      </c>
      <c r="EI110" s="377">
        <v>77</v>
      </c>
      <c r="EJ110" s="373">
        <v>151</v>
      </c>
      <c r="EK110" s="444">
        <v>33.799999999999997</v>
      </c>
      <c r="EL110" s="377">
        <v>94</v>
      </c>
      <c r="EM110" s="373">
        <v>100</v>
      </c>
      <c r="EN110" s="444">
        <v>48.5</v>
      </c>
      <c r="EO110" s="377"/>
      <c r="EP110" s="373"/>
      <c r="EQ110" s="444"/>
      <c r="ER110" s="377"/>
      <c r="ES110" s="373"/>
      <c r="ET110" s="444" t="s">
        <v>6</v>
      </c>
      <c r="EU110" s="377"/>
      <c r="EV110" s="373"/>
      <c r="EW110" s="444" t="s">
        <v>6</v>
      </c>
      <c r="EX110" s="377"/>
      <c r="EY110" s="373"/>
      <c r="EZ110" s="444" t="s">
        <v>6</v>
      </c>
      <c r="FA110" s="377"/>
      <c r="FB110" s="373"/>
      <c r="FC110" s="444"/>
      <c r="FD110" s="377">
        <v>1</v>
      </c>
      <c r="FE110" s="373">
        <v>12</v>
      </c>
      <c r="FF110" s="444">
        <v>7.7</v>
      </c>
      <c r="FG110" s="377">
        <v>1</v>
      </c>
      <c r="FH110" s="373">
        <v>5</v>
      </c>
      <c r="FI110" s="444">
        <v>16.7</v>
      </c>
      <c r="FJ110" s="377">
        <v>1</v>
      </c>
      <c r="FK110" s="373">
        <v>2</v>
      </c>
      <c r="FL110" s="444">
        <v>33.299999999999997</v>
      </c>
      <c r="FM110" s="377"/>
      <c r="FN110" s="373"/>
      <c r="FO110" s="444"/>
      <c r="FP110" s="377">
        <v>11</v>
      </c>
      <c r="FQ110" s="373">
        <v>13</v>
      </c>
      <c r="FR110" s="444">
        <v>45.8</v>
      </c>
      <c r="FS110" s="377">
        <v>14</v>
      </c>
      <c r="FT110" s="373">
        <v>11</v>
      </c>
      <c r="FU110" s="444">
        <v>56</v>
      </c>
      <c r="FV110" s="377">
        <v>11</v>
      </c>
      <c r="FW110" s="373">
        <v>3</v>
      </c>
      <c r="FX110" s="444">
        <v>78.599999999999994</v>
      </c>
      <c r="FY110" s="377"/>
      <c r="FZ110" s="373"/>
      <c r="GA110" s="444"/>
      <c r="GB110" s="377">
        <v>2</v>
      </c>
      <c r="GC110" s="373"/>
      <c r="GD110" s="444">
        <v>100</v>
      </c>
      <c r="GE110" s="377"/>
      <c r="GF110" s="373"/>
      <c r="GG110" s="444" t="s">
        <v>6</v>
      </c>
      <c r="GH110" s="377">
        <v>1</v>
      </c>
      <c r="GI110" s="373"/>
      <c r="GJ110" s="444">
        <v>100</v>
      </c>
      <c r="GK110" s="377"/>
      <c r="GL110" s="373"/>
      <c r="GM110" s="444"/>
      <c r="GN110" s="377">
        <v>2</v>
      </c>
      <c r="GO110" s="373">
        <v>1</v>
      </c>
      <c r="GP110" s="444">
        <v>66.7</v>
      </c>
      <c r="GQ110" s="377"/>
      <c r="GR110" s="373"/>
      <c r="GS110" s="444" t="s">
        <v>6</v>
      </c>
      <c r="GT110" s="377"/>
      <c r="GU110" s="373"/>
      <c r="GV110" s="444" t="s">
        <v>6</v>
      </c>
      <c r="GW110" s="377"/>
      <c r="GX110" s="373"/>
      <c r="GY110" s="444"/>
      <c r="GZ110" s="377">
        <v>1</v>
      </c>
      <c r="HA110" s="373"/>
      <c r="HB110" s="444">
        <v>100</v>
      </c>
      <c r="HC110" s="377"/>
      <c r="HD110" s="373"/>
      <c r="HE110" s="444" t="s">
        <v>6</v>
      </c>
      <c r="HF110" s="377">
        <v>1</v>
      </c>
      <c r="HG110" s="373"/>
      <c r="HH110" s="444">
        <v>100</v>
      </c>
      <c r="HI110" s="377"/>
      <c r="HJ110" s="373"/>
      <c r="HK110" s="444"/>
      <c r="HL110" s="377">
        <v>4</v>
      </c>
      <c r="HM110" s="373">
        <v>3</v>
      </c>
      <c r="HN110" s="444">
        <v>57.1</v>
      </c>
      <c r="HO110" s="377">
        <v>10</v>
      </c>
      <c r="HP110" s="373">
        <v>7</v>
      </c>
      <c r="HQ110" s="444">
        <v>58.8</v>
      </c>
      <c r="HR110" s="377">
        <v>5</v>
      </c>
      <c r="HS110" s="373">
        <v>6</v>
      </c>
      <c r="HT110" s="444">
        <v>45.5</v>
      </c>
      <c r="HU110" s="377"/>
      <c r="HV110" s="373"/>
      <c r="HW110" s="444"/>
      <c r="HX110" s="377"/>
      <c r="HY110" s="373">
        <v>1</v>
      </c>
      <c r="HZ110" s="444">
        <v>0</v>
      </c>
      <c r="IA110" s="377"/>
      <c r="IB110" s="373"/>
      <c r="IC110" s="444" t="s">
        <v>6</v>
      </c>
      <c r="ID110" s="377"/>
      <c r="IE110" s="373"/>
      <c r="IF110" s="444" t="s">
        <v>6</v>
      </c>
      <c r="IG110" s="377"/>
      <c r="IH110" s="373"/>
      <c r="II110" s="444"/>
      <c r="IJ110" s="377">
        <v>4</v>
      </c>
      <c r="IK110" s="373"/>
      <c r="IL110" s="444">
        <v>100</v>
      </c>
      <c r="IM110" s="377">
        <v>7</v>
      </c>
      <c r="IN110" s="373">
        <v>2</v>
      </c>
      <c r="IO110" s="444">
        <v>77.8</v>
      </c>
      <c r="IP110" s="377">
        <v>2</v>
      </c>
      <c r="IQ110" s="373"/>
      <c r="IR110" s="444">
        <v>100</v>
      </c>
      <c r="IS110" s="377"/>
      <c r="IT110" s="373"/>
      <c r="IU110" s="444"/>
      <c r="IV110" s="377">
        <v>114</v>
      </c>
      <c r="IW110" s="373">
        <v>218</v>
      </c>
      <c r="IX110" s="444">
        <v>34.299999999999997</v>
      </c>
      <c r="IY110" s="377">
        <v>134</v>
      </c>
      <c r="IZ110" s="373">
        <v>162</v>
      </c>
      <c r="JA110" s="444">
        <v>45.3</v>
      </c>
      <c r="JB110" s="377">
        <v>161</v>
      </c>
      <c r="JC110" s="373">
        <v>109</v>
      </c>
      <c r="JD110" s="444">
        <v>59.6</v>
      </c>
      <c r="JE110" s="377"/>
      <c r="JF110" s="373"/>
      <c r="JG110" s="444"/>
      <c r="JH110" s="377">
        <v>12</v>
      </c>
      <c r="JI110" s="373">
        <v>15</v>
      </c>
      <c r="JJ110" s="444">
        <v>44.4</v>
      </c>
      <c r="JK110" s="377">
        <v>42</v>
      </c>
      <c r="JL110" s="373">
        <v>10</v>
      </c>
      <c r="JM110" s="444">
        <v>80.8</v>
      </c>
      <c r="JN110" s="377">
        <v>62</v>
      </c>
      <c r="JO110" s="373">
        <v>8</v>
      </c>
      <c r="JP110" s="444">
        <v>88.6</v>
      </c>
      <c r="JQ110" s="377"/>
      <c r="JR110" s="373"/>
      <c r="JS110" s="444"/>
      <c r="JT110" s="377">
        <v>1</v>
      </c>
      <c r="JU110" s="373">
        <v>1</v>
      </c>
      <c r="JV110" s="444">
        <v>50</v>
      </c>
      <c r="JW110" s="377">
        <v>2</v>
      </c>
      <c r="JX110" s="373"/>
      <c r="JY110" s="444">
        <v>100</v>
      </c>
      <c r="JZ110" s="377"/>
      <c r="KA110" s="373">
        <v>1</v>
      </c>
      <c r="KB110" s="444">
        <v>0</v>
      </c>
      <c r="KC110" s="377"/>
      <c r="KD110" s="373"/>
      <c r="KE110" s="444"/>
      <c r="KF110" s="377">
        <v>2</v>
      </c>
      <c r="KG110" s="373">
        <v>3</v>
      </c>
      <c r="KH110" s="444">
        <v>40</v>
      </c>
      <c r="KI110" s="377">
        <v>1</v>
      </c>
      <c r="KJ110" s="373">
        <v>1</v>
      </c>
      <c r="KK110" s="444">
        <v>50</v>
      </c>
      <c r="KL110" s="377"/>
      <c r="KM110" s="373">
        <v>1</v>
      </c>
      <c r="KN110" s="444">
        <v>0</v>
      </c>
      <c r="KO110" s="377"/>
      <c r="KP110" s="373"/>
      <c r="KQ110" s="444"/>
      <c r="KR110" s="377">
        <v>18</v>
      </c>
      <c r="KS110" s="373">
        <v>21</v>
      </c>
      <c r="KT110" s="444">
        <v>46.2</v>
      </c>
      <c r="KU110" s="377">
        <v>52</v>
      </c>
      <c r="KV110" s="373">
        <v>13</v>
      </c>
      <c r="KW110" s="444">
        <v>80</v>
      </c>
      <c r="KX110" s="377">
        <v>77</v>
      </c>
      <c r="KY110" s="373">
        <v>13</v>
      </c>
      <c r="KZ110" s="444">
        <v>85.6</v>
      </c>
      <c r="LA110" s="377"/>
      <c r="LB110" s="373"/>
      <c r="LC110" s="444"/>
      <c r="LD110" s="377">
        <v>371</v>
      </c>
      <c r="LE110" s="373">
        <v>254</v>
      </c>
      <c r="LF110" s="444">
        <v>59.4</v>
      </c>
      <c r="LG110" s="377">
        <v>335</v>
      </c>
      <c r="LH110" s="373">
        <v>203</v>
      </c>
      <c r="LI110" s="444">
        <v>62.3</v>
      </c>
      <c r="LJ110" s="377">
        <v>272</v>
      </c>
      <c r="LK110" s="373">
        <v>136</v>
      </c>
      <c r="LL110" s="444">
        <v>66.7</v>
      </c>
      <c r="LM110" s="377"/>
      <c r="LN110" s="373"/>
      <c r="LO110" s="444"/>
    </row>
    <row r="111" spans="1:327" x14ac:dyDescent="0.2">
      <c r="A111" s="1001"/>
      <c r="B111" s="747" t="s">
        <v>621</v>
      </c>
      <c r="C111" s="151" t="s">
        <v>708</v>
      </c>
      <c r="D111" s="377"/>
      <c r="E111" s="373"/>
      <c r="F111" s="444" t="s">
        <v>6</v>
      </c>
      <c r="G111" s="377"/>
      <c r="H111" s="373"/>
      <c r="I111" s="444" t="s">
        <v>6</v>
      </c>
      <c r="J111" s="377"/>
      <c r="K111" s="373"/>
      <c r="L111" s="444" t="s">
        <v>6</v>
      </c>
      <c r="M111" s="377"/>
      <c r="N111" s="373"/>
      <c r="O111" s="444"/>
      <c r="P111" s="377"/>
      <c r="Q111" s="373"/>
      <c r="R111" s="444" t="s">
        <v>6</v>
      </c>
      <c r="S111" s="377"/>
      <c r="T111" s="373"/>
      <c r="U111" s="444" t="s">
        <v>6</v>
      </c>
      <c r="V111" s="377"/>
      <c r="W111" s="373"/>
      <c r="X111" s="444" t="s">
        <v>6</v>
      </c>
      <c r="Y111" s="377"/>
      <c r="Z111" s="373"/>
      <c r="AA111" s="444"/>
      <c r="AB111" s="377"/>
      <c r="AC111" s="373"/>
      <c r="AD111" s="444" t="s">
        <v>6</v>
      </c>
      <c r="AE111" s="377"/>
      <c r="AF111" s="373"/>
      <c r="AG111" s="444" t="s">
        <v>6</v>
      </c>
      <c r="AH111" s="377"/>
      <c r="AI111" s="373"/>
      <c r="AJ111" s="444" t="s">
        <v>6</v>
      </c>
      <c r="AK111" s="377"/>
      <c r="AL111" s="373"/>
      <c r="AM111" s="444"/>
      <c r="AN111" s="377">
        <v>8</v>
      </c>
      <c r="AO111" s="373">
        <v>1</v>
      </c>
      <c r="AP111" s="444">
        <v>88.9</v>
      </c>
      <c r="AQ111" s="377">
        <v>15</v>
      </c>
      <c r="AR111" s="373">
        <v>1</v>
      </c>
      <c r="AS111" s="444">
        <v>93.8</v>
      </c>
      <c r="AT111" s="377">
        <v>18</v>
      </c>
      <c r="AU111" s="373">
        <v>1</v>
      </c>
      <c r="AV111" s="444">
        <v>94.7</v>
      </c>
      <c r="AW111" s="377"/>
      <c r="AX111" s="373"/>
      <c r="AY111" s="444"/>
      <c r="AZ111" s="377">
        <v>2</v>
      </c>
      <c r="BA111" s="373">
        <v>1</v>
      </c>
      <c r="BB111" s="444">
        <v>66.7</v>
      </c>
      <c r="BC111" s="377">
        <v>10</v>
      </c>
      <c r="BD111" s="373">
        <v>1</v>
      </c>
      <c r="BE111" s="444">
        <v>90.9</v>
      </c>
      <c r="BF111" s="377">
        <v>16</v>
      </c>
      <c r="BG111" s="373">
        <v>1</v>
      </c>
      <c r="BH111" s="444">
        <v>94.1</v>
      </c>
      <c r="BI111" s="377"/>
      <c r="BJ111" s="373"/>
      <c r="BK111" s="444"/>
      <c r="BL111" s="377"/>
      <c r="BM111" s="373"/>
      <c r="BN111" s="444" t="s">
        <v>6</v>
      </c>
      <c r="BO111" s="377"/>
      <c r="BP111" s="373"/>
      <c r="BQ111" s="444" t="s">
        <v>6</v>
      </c>
      <c r="BR111" s="377"/>
      <c r="BS111" s="373"/>
      <c r="BT111" s="444" t="s">
        <v>6</v>
      </c>
      <c r="BU111" s="377"/>
      <c r="BV111" s="373"/>
      <c r="BW111" s="444"/>
      <c r="BX111" s="377"/>
      <c r="BY111" s="373"/>
      <c r="BZ111" s="444" t="s">
        <v>6</v>
      </c>
      <c r="CA111" s="377"/>
      <c r="CB111" s="373"/>
      <c r="CC111" s="444" t="s">
        <v>6</v>
      </c>
      <c r="CD111" s="377"/>
      <c r="CE111" s="373"/>
      <c r="CF111" s="444" t="s">
        <v>6</v>
      </c>
      <c r="CG111" s="377"/>
      <c r="CH111" s="373"/>
      <c r="CI111" s="444"/>
      <c r="CJ111" s="377"/>
      <c r="CK111" s="373"/>
      <c r="CL111" s="444" t="s">
        <v>6</v>
      </c>
      <c r="CM111" s="377"/>
      <c r="CN111" s="373"/>
      <c r="CO111" s="444" t="s">
        <v>6</v>
      </c>
      <c r="CP111" s="377"/>
      <c r="CQ111" s="373"/>
      <c r="CR111" s="444" t="s">
        <v>6</v>
      </c>
      <c r="CS111" s="377"/>
      <c r="CT111" s="373"/>
      <c r="CU111" s="444"/>
      <c r="CV111" s="377">
        <v>6</v>
      </c>
      <c r="CW111" s="373">
        <v>1</v>
      </c>
      <c r="CX111" s="444">
        <v>85.7</v>
      </c>
      <c r="CY111" s="377">
        <v>11</v>
      </c>
      <c r="CZ111" s="373">
        <v>2</v>
      </c>
      <c r="DA111" s="444">
        <v>84.6</v>
      </c>
      <c r="DB111" s="377">
        <v>8</v>
      </c>
      <c r="DC111" s="373"/>
      <c r="DD111" s="444">
        <v>100</v>
      </c>
      <c r="DE111" s="377"/>
      <c r="DF111" s="373"/>
      <c r="DG111" s="444"/>
      <c r="DH111" s="377"/>
      <c r="DI111" s="373"/>
      <c r="DJ111" s="444" t="s">
        <v>6</v>
      </c>
      <c r="DK111" s="377">
        <v>1</v>
      </c>
      <c r="DL111" s="373"/>
      <c r="DM111" s="444">
        <v>100</v>
      </c>
      <c r="DN111" s="377">
        <v>1</v>
      </c>
      <c r="DO111" s="373"/>
      <c r="DP111" s="444">
        <v>100</v>
      </c>
      <c r="DQ111" s="377"/>
      <c r="DR111" s="373"/>
      <c r="DS111" s="444"/>
      <c r="DT111" s="377"/>
      <c r="DU111" s="373"/>
      <c r="DV111" s="444" t="s">
        <v>6</v>
      </c>
      <c r="DW111" s="377">
        <v>3</v>
      </c>
      <c r="DX111" s="373"/>
      <c r="DY111" s="444">
        <v>100</v>
      </c>
      <c r="DZ111" s="377">
        <v>2</v>
      </c>
      <c r="EA111" s="373"/>
      <c r="EB111" s="444">
        <v>100</v>
      </c>
      <c r="EC111" s="377"/>
      <c r="ED111" s="373"/>
      <c r="EE111" s="444"/>
      <c r="EF111" s="377">
        <v>17</v>
      </c>
      <c r="EG111" s="373">
        <v>129</v>
      </c>
      <c r="EH111" s="444">
        <v>11.6</v>
      </c>
      <c r="EI111" s="377">
        <v>50</v>
      </c>
      <c r="EJ111" s="373">
        <v>82</v>
      </c>
      <c r="EK111" s="444">
        <v>37.9</v>
      </c>
      <c r="EL111" s="377">
        <v>60</v>
      </c>
      <c r="EM111" s="373">
        <v>72</v>
      </c>
      <c r="EN111" s="444">
        <v>45.5</v>
      </c>
      <c r="EO111" s="377"/>
      <c r="EP111" s="373"/>
      <c r="EQ111" s="444"/>
      <c r="ER111" s="377"/>
      <c r="ES111" s="373">
        <v>1</v>
      </c>
      <c r="ET111" s="444">
        <v>0</v>
      </c>
      <c r="EU111" s="377">
        <v>1</v>
      </c>
      <c r="EV111" s="373"/>
      <c r="EW111" s="444">
        <v>100</v>
      </c>
      <c r="EX111" s="377"/>
      <c r="EY111" s="373"/>
      <c r="EZ111" s="444" t="s">
        <v>6</v>
      </c>
      <c r="FA111" s="377"/>
      <c r="FB111" s="373"/>
      <c r="FC111" s="444"/>
      <c r="FD111" s="377"/>
      <c r="FE111" s="373">
        <v>3</v>
      </c>
      <c r="FF111" s="444">
        <v>0</v>
      </c>
      <c r="FG111" s="377">
        <v>1</v>
      </c>
      <c r="FH111" s="373">
        <v>3</v>
      </c>
      <c r="FI111" s="444">
        <v>25</v>
      </c>
      <c r="FJ111" s="377">
        <v>3</v>
      </c>
      <c r="FK111" s="373">
        <v>1</v>
      </c>
      <c r="FL111" s="444">
        <v>75</v>
      </c>
      <c r="FM111" s="377"/>
      <c r="FN111" s="373"/>
      <c r="FO111" s="444"/>
      <c r="FP111" s="377">
        <v>4</v>
      </c>
      <c r="FQ111" s="373">
        <v>10</v>
      </c>
      <c r="FR111" s="444">
        <v>28.6</v>
      </c>
      <c r="FS111" s="377">
        <v>14</v>
      </c>
      <c r="FT111" s="373">
        <v>5</v>
      </c>
      <c r="FU111" s="444">
        <v>73.7</v>
      </c>
      <c r="FV111" s="377">
        <v>24</v>
      </c>
      <c r="FW111" s="373">
        <v>7</v>
      </c>
      <c r="FX111" s="444">
        <v>77.400000000000006</v>
      </c>
      <c r="FY111" s="377"/>
      <c r="FZ111" s="373"/>
      <c r="GA111" s="444"/>
      <c r="GB111" s="377"/>
      <c r="GC111" s="373"/>
      <c r="GD111" s="444" t="s">
        <v>6</v>
      </c>
      <c r="GE111" s="377"/>
      <c r="GF111" s="373"/>
      <c r="GG111" s="444" t="s">
        <v>6</v>
      </c>
      <c r="GH111" s="377"/>
      <c r="GI111" s="373"/>
      <c r="GJ111" s="444" t="s">
        <v>6</v>
      </c>
      <c r="GK111" s="377"/>
      <c r="GL111" s="373"/>
      <c r="GM111" s="444"/>
      <c r="GN111" s="377">
        <v>2</v>
      </c>
      <c r="GO111" s="373">
        <v>4</v>
      </c>
      <c r="GP111" s="444">
        <v>33.299999999999997</v>
      </c>
      <c r="GQ111" s="377"/>
      <c r="GR111" s="373"/>
      <c r="GS111" s="444" t="s">
        <v>6</v>
      </c>
      <c r="GT111" s="377"/>
      <c r="GU111" s="373"/>
      <c r="GV111" s="444" t="s">
        <v>6</v>
      </c>
      <c r="GW111" s="377"/>
      <c r="GX111" s="373"/>
      <c r="GY111" s="444"/>
      <c r="GZ111" s="377"/>
      <c r="HA111" s="373"/>
      <c r="HB111" s="444" t="s">
        <v>6</v>
      </c>
      <c r="HC111" s="377"/>
      <c r="HD111" s="373"/>
      <c r="HE111" s="444" t="s">
        <v>6</v>
      </c>
      <c r="HF111" s="377"/>
      <c r="HG111" s="373"/>
      <c r="HH111" s="444" t="s">
        <v>6</v>
      </c>
      <c r="HI111" s="377"/>
      <c r="HJ111" s="373"/>
      <c r="HK111" s="444"/>
      <c r="HL111" s="377">
        <v>1</v>
      </c>
      <c r="HM111" s="373">
        <v>6</v>
      </c>
      <c r="HN111" s="444">
        <v>14.3</v>
      </c>
      <c r="HO111" s="377">
        <v>7</v>
      </c>
      <c r="HP111" s="373">
        <v>8</v>
      </c>
      <c r="HQ111" s="444">
        <v>46.7</v>
      </c>
      <c r="HR111" s="377">
        <v>5</v>
      </c>
      <c r="HS111" s="373">
        <v>8</v>
      </c>
      <c r="HT111" s="444">
        <v>38.5</v>
      </c>
      <c r="HU111" s="377"/>
      <c r="HV111" s="373"/>
      <c r="HW111" s="444"/>
      <c r="HX111" s="377"/>
      <c r="HY111" s="373"/>
      <c r="HZ111" s="444" t="s">
        <v>6</v>
      </c>
      <c r="IA111" s="377">
        <v>1</v>
      </c>
      <c r="IB111" s="373"/>
      <c r="IC111" s="444">
        <v>100</v>
      </c>
      <c r="ID111" s="377"/>
      <c r="IE111" s="373"/>
      <c r="IF111" s="444" t="s">
        <v>6</v>
      </c>
      <c r="IG111" s="377"/>
      <c r="IH111" s="373"/>
      <c r="II111" s="444"/>
      <c r="IJ111" s="377">
        <v>2</v>
      </c>
      <c r="IK111" s="373">
        <v>1</v>
      </c>
      <c r="IL111" s="444">
        <v>66.7</v>
      </c>
      <c r="IM111" s="377">
        <v>3</v>
      </c>
      <c r="IN111" s="373">
        <v>1</v>
      </c>
      <c r="IO111" s="444">
        <v>75</v>
      </c>
      <c r="IP111" s="377">
        <v>8</v>
      </c>
      <c r="IQ111" s="373"/>
      <c r="IR111" s="444">
        <v>100</v>
      </c>
      <c r="IS111" s="377"/>
      <c r="IT111" s="373"/>
      <c r="IU111" s="444"/>
      <c r="IV111" s="377">
        <v>36</v>
      </c>
      <c r="IW111" s="373">
        <v>142</v>
      </c>
      <c r="IX111" s="444">
        <v>20.2</v>
      </c>
      <c r="IY111" s="377">
        <v>91</v>
      </c>
      <c r="IZ111" s="373">
        <v>94</v>
      </c>
      <c r="JA111" s="444">
        <v>49.2</v>
      </c>
      <c r="JB111" s="377">
        <v>102</v>
      </c>
      <c r="JC111" s="373">
        <v>81</v>
      </c>
      <c r="JD111" s="444">
        <v>55.7</v>
      </c>
      <c r="JE111" s="377"/>
      <c r="JF111" s="373"/>
      <c r="JG111" s="444"/>
      <c r="JH111" s="377">
        <v>5</v>
      </c>
      <c r="JI111" s="373">
        <v>34</v>
      </c>
      <c r="JJ111" s="444">
        <v>12.8</v>
      </c>
      <c r="JK111" s="377">
        <v>32</v>
      </c>
      <c r="JL111" s="373">
        <v>17</v>
      </c>
      <c r="JM111" s="444">
        <v>65.3</v>
      </c>
      <c r="JN111" s="377">
        <v>34</v>
      </c>
      <c r="JO111" s="373">
        <v>10</v>
      </c>
      <c r="JP111" s="444">
        <v>77.3</v>
      </c>
      <c r="JQ111" s="377"/>
      <c r="JR111" s="373"/>
      <c r="JS111" s="444"/>
      <c r="JT111" s="377"/>
      <c r="JU111" s="373"/>
      <c r="JV111" s="444" t="s">
        <v>6</v>
      </c>
      <c r="JW111" s="377"/>
      <c r="JX111" s="373"/>
      <c r="JY111" s="444" t="s">
        <v>6</v>
      </c>
      <c r="JZ111" s="377"/>
      <c r="KA111" s="373"/>
      <c r="KB111" s="444" t="s">
        <v>6</v>
      </c>
      <c r="KC111" s="377"/>
      <c r="KD111" s="373"/>
      <c r="KE111" s="444"/>
      <c r="KF111" s="377"/>
      <c r="KG111" s="373"/>
      <c r="KH111" s="444" t="s">
        <v>6</v>
      </c>
      <c r="KI111" s="377"/>
      <c r="KJ111" s="373"/>
      <c r="KK111" s="444" t="s">
        <v>6</v>
      </c>
      <c r="KL111" s="377"/>
      <c r="KM111" s="373"/>
      <c r="KN111" s="444" t="s">
        <v>6</v>
      </c>
      <c r="KO111" s="377"/>
      <c r="KP111" s="373"/>
      <c r="KQ111" s="444"/>
      <c r="KR111" s="377">
        <v>8</v>
      </c>
      <c r="KS111" s="373">
        <v>34</v>
      </c>
      <c r="KT111" s="444">
        <v>19</v>
      </c>
      <c r="KU111" s="377">
        <v>34</v>
      </c>
      <c r="KV111" s="373">
        <v>17</v>
      </c>
      <c r="KW111" s="444">
        <v>66.7</v>
      </c>
      <c r="KX111" s="377">
        <v>38</v>
      </c>
      <c r="KY111" s="373">
        <v>10</v>
      </c>
      <c r="KZ111" s="444">
        <v>79.2</v>
      </c>
      <c r="LA111" s="377"/>
      <c r="LB111" s="373"/>
      <c r="LC111" s="444"/>
      <c r="LD111" s="377">
        <v>78</v>
      </c>
      <c r="LE111" s="373">
        <v>158</v>
      </c>
      <c r="LF111" s="444">
        <v>33.1</v>
      </c>
      <c r="LG111" s="377">
        <v>161</v>
      </c>
      <c r="LH111" s="373">
        <v>106</v>
      </c>
      <c r="LI111" s="444">
        <v>60.3</v>
      </c>
      <c r="LJ111" s="377">
        <v>139</v>
      </c>
      <c r="LK111" s="373">
        <v>96</v>
      </c>
      <c r="LL111" s="444">
        <v>59.1</v>
      </c>
      <c r="LM111" s="377"/>
      <c r="LN111" s="373"/>
      <c r="LO111" s="444"/>
    </row>
    <row r="112" spans="1:327" x14ac:dyDescent="0.2">
      <c r="A112" s="1001"/>
      <c r="B112" s="747" t="s">
        <v>621</v>
      </c>
      <c r="C112" s="151" t="s">
        <v>709</v>
      </c>
      <c r="D112" s="377"/>
      <c r="E112" s="373"/>
      <c r="F112" s="444" t="s">
        <v>6</v>
      </c>
      <c r="G112" s="377"/>
      <c r="H112" s="373"/>
      <c r="I112" s="444" t="s">
        <v>6</v>
      </c>
      <c r="J112" s="377"/>
      <c r="K112" s="373"/>
      <c r="L112" s="444" t="s">
        <v>6</v>
      </c>
      <c r="M112" s="377"/>
      <c r="N112" s="373"/>
      <c r="O112" s="444"/>
      <c r="P112" s="377"/>
      <c r="Q112" s="373"/>
      <c r="R112" s="444" t="s">
        <v>6</v>
      </c>
      <c r="S112" s="377"/>
      <c r="T112" s="373"/>
      <c r="U112" s="444" t="s">
        <v>6</v>
      </c>
      <c r="V112" s="377"/>
      <c r="W112" s="373"/>
      <c r="X112" s="444" t="s">
        <v>6</v>
      </c>
      <c r="Y112" s="377"/>
      <c r="Z112" s="373"/>
      <c r="AA112" s="444"/>
      <c r="AB112" s="377"/>
      <c r="AC112" s="373"/>
      <c r="AD112" s="444" t="s">
        <v>6</v>
      </c>
      <c r="AE112" s="377"/>
      <c r="AF112" s="373"/>
      <c r="AG112" s="444" t="s">
        <v>6</v>
      </c>
      <c r="AH112" s="377"/>
      <c r="AI112" s="373"/>
      <c r="AJ112" s="444" t="s">
        <v>6</v>
      </c>
      <c r="AK112" s="377"/>
      <c r="AL112" s="373"/>
      <c r="AM112" s="444"/>
      <c r="AN112" s="377">
        <v>3</v>
      </c>
      <c r="AO112" s="373"/>
      <c r="AP112" s="444">
        <v>100</v>
      </c>
      <c r="AQ112" s="377">
        <v>11</v>
      </c>
      <c r="AR112" s="373">
        <v>1</v>
      </c>
      <c r="AS112" s="444">
        <v>91.7</v>
      </c>
      <c r="AT112" s="377">
        <v>11</v>
      </c>
      <c r="AU112" s="373"/>
      <c r="AV112" s="444">
        <v>100</v>
      </c>
      <c r="AW112" s="377"/>
      <c r="AX112" s="373"/>
      <c r="AY112" s="444"/>
      <c r="AZ112" s="377">
        <v>3</v>
      </c>
      <c r="BA112" s="373"/>
      <c r="BB112" s="444">
        <v>100</v>
      </c>
      <c r="BC112" s="377">
        <v>8</v>
      </c>
      <c r="BD112" s="373">
        <v>1</v>
      </c>
      <c r="BE112" s="444">
        <v>88.9</v>
      </c>
      <c r="BF112" s="377">
        <v>10</v>
      </c>
      <c r="BG112" s="373"/>
      <c r="BH112" s="444">
        <v>100</v>
      </c>
      <c r="BI112" s="377"/>
      <c r="BJ112" s="373"/>
      <c r="BK112" s="444"/>
      <c r="BL112" s="377"/>
      <c r="BM112" s="373"/>
      <c r="BN112" s="444" t="s">
        <v>6</v>
      </c>
      <c r="BO112" s="377"/>
      <c r="BP112" s="373"/>
      <c r="BQ112" s="444" t="s">
        <v>6</v>
      </c>
      <c r="BR112" s="377"/>
      <c r="BS112" s="373"/>
      <c r="BT112" s="444" t="s">
        <v>6</v>
      </c>
      <c r="BU112" s="377"/>
      <c r="BV112" s="373"/>
      <c r="BW112" s="444"/>
      <c r="BX112" s="377"/>
      <c r="BY112" s="373"/>
      <c r="BZ112" s="444" t="s">
        <v>6</v>
      </c>
      <c r="CA112" s="377"/>
      <c r="CB112" s="373"/>
      <c r="CC112" s="444" t="s">
        <v>6</v>
      </c>
      <c r="CD112" s="377"/>
      <c r="CE112" s="373"/>
      <c r="CF112" s="444" t="s">
        <v>6</v>
      </c>
      <c r="CG112" s="377"/>
      <c r="CH112" s="373"/>
      <c r="CI112" s="444"/>
      <c r="CJ112" s="377"/>
      <c r="CK112" s="373"/>
      <c r="CL112" s="444" t="s">
        <v>6</v>
      </c>
      <c r="CM112" s="377"/>
      <c r="CN112" s="373"/>
      <c r="CO112" s="444" t="s">
        <v>6</v>
      </c>
      <c r="CP112" s="377"/>
      <c r="CQ112" s="373"/>
      <c r="CR112" s="444" t="s">
        <v>6</v>
      </c>
      <c r="CS112" s="377"/>
      <c r="CT112" s="373"/>
      <c r="CU112" s="444"/>
      <c r="CV112" s="377">
        <v>4</v>
      </c>
      <c r="CW112" s="373"/>
      <c r="CX112" s="444">
        <v>100</v>
      </c>
      <c r="CY112" s="377">
        <v>8</v>
      </c>
      <c r="CZ112" s="373"/>
      <c r="DA112" s="444">
        <v>100</v>
      </c>
      <c r="DB112" s="377">
        <v>5</v>
      </c>
      <c r="DC112" s="373"/>
      <c r="DD112" s="444">
        <v>100</v>
      </c>
      <c r="DE112" s="377"/>
      <c r="DF112" s="373"/>
      <c r="DG112" s="444"/>
      <c r="DH112" s="377"/>
      <c r="DI112" s="373"/>
      <c r="DJ112" s="444" t="s">
        <v>6</v>
      </c>
      <c r="DK112" s="377"/>
      <c r="DL112" s="373"/>
      <c r="DM112" s="444" t="s">
        <v>6</v>
      </c>
      <c r="DN112" s="377">
        <v>1</v>
      </c>
      <c r="DO112" s="373"/>
      <c r="DP112" s="444">
        <v>100</v>
      </c>
      <c r="DQ112" s="377"/>
      <c r="DR112" s="373"/>
      <c r="DS112" s="444"/>
      <c r="DT112" s="377"/>
      <c r="DU112" s="373"/>
      <c r="DV112" s="444" t="s">
        <v>6</v>
      </c>
      <c r="DW112" s="377">
        <v>1</v>
      </c>
      <c r="DX112" s="373"/>
      <c r="DY112" s="444">
        <v>100</v>
      </c>
      <c r="DZ112" s="377">
        <v>3</v>
      </c>
      <c r="EA112" s="373"/>
      <c r="EB112" s="444">
        <v>100</v>
      </c>
      <c r="EC112" s="377"/>
      <c r="ED112" s="373"/>
      <c r="EE112" s="444"/>
      <c r="EF112" s="377">
        <v>36</v>
      </c>
      <c r="EG112" s="373">
        <v>181</v>
      </c>
      <c r="EH112" s="444">
        <v>16.600000000000001</v>
      </c>
      <c r="EI112" s="377">
        <v>46</v>
      </c>
      <c r="EJ112" s="373">
        <v>114</v>
      </c>
      <c r="EK112" s="444">
        <v>28.8</v>
      </c>
      <c r="EL112" s="377">
        <v>26</v>
      </c>
      <c r="EM112" s="373">
        <v>70</v>
      </c>
      <c r="EN112" s="444">
        <v>27.1</v>
      </c>
      <c r="EO112" s="377"/>
      <c r="EP112" s="373"/>
      <c r="EQ112" s="444"/>
      <c r="ER112" s="377">
        <v>1</v>
      </c>
      <c r="ES112" s="373"/>
      <c r="ET112" s="444">
        <v>100</v>
      </c>
      <c r="EU112" s="377">
        <v>1</v>
      </c>
      <c r="EV112" s="373"/>
      <c r="EW112" s="444">
        <v>100</v>
      </c>
      <c r="EX112" s="377">
        <v>1</v>
      </c>
      <c r="EY112" s="373"/>
      <c r="EZ112" s="444">
        <v>100</v>
      </c>
      <c r="FA112" s="377"/>
      <c r="FB112" s="373"/>
      <c r="FC112" s="444"/>
      <c r="FD112" s="377">
        <v>1</v>
      </c>
      <c r="FE112" s="373">
        <v>12</v>
      </c>
      <c r="FF112" s="444">
        <v>7.7</v>
      </c>
      <c r="FG112" s="377">
        <v>2</v>
      </c>
      <c r="FH112" s="373">
        <v>12</v>
      </c>
      <c r="FI112" s="444">
        <v>14.3</v>
      </c>
      <c r="FJ112" s="377"/>
      <c r="FK112" s="373">
        <v>3</v>
      </c>
      <c r="FL112" s="444">
        <v>0</v>
      </c>
      <c r="FM112" s="377"/>
      <c r="FN112" s="373"/>
      <c r="FO112" s="444"/>
      <c r="FP112" s="377">
        <v>2</v>
      </c>
      <c r="FQ112" s="373">
        <v>33</v>
      </c>
      <c r="FR112" s="444">
        <v>5.7</v>
      </c>
      <c r="FS112" s="377">
        <v>10</v>
      </c>
      <c r="FT112" s="373">
        <v>12</v>
      </c>
      <c r="FU112" s="444">
        <v>45.5</v>
      </c>
      <c r="FV112" s="377">
        <v>11</v>
      </c>
      <c r="FW112" s="373">
        <v>3</v>
      </c>
      <c r="FX112" s="444">
        <v>78.599999999999994</v>
      </c>
      <c r="FY112" s="377"/>
      <c r="FZ112" s="373"/>
      <c r="GA112" s="444"/>
      <c r="GB112" s="377"/>
      <c r="GC112" s="373"/>
      <c r="GD112" s="444" t="s">
        <v>6</v>
      </c>
      <c r="GE112" s="377">
        <v>1</v>
      </c>
      <c r="GF112" s="373"/>
      <c r="GG112" s="444">
        <v>100</v>
      </c>
      <c r="GH112" s="377">
        <v>1</v>
      </c>
      <c r="GI112" s="373"/>
      <c r="GJ112" s="444">
        <v>100</v>
      </c>
      <c r="GK112" s="377"/>
      <c r="GL112" s="373"/>
      <c r="GM112" s="444"/>
      <c r="GN112" s="377">
        <v>2</v>
      </c>
      <c r="GO112" s="373"/>
      <c r="GP112" s="444">
        <v>100</v>
      </c>
      <c r="GQ112" s="377">
        <v>5</v>
      </c>
      <c r="GR112" s="373"/>
      <c r="GS112" s="444">
        <v>100</v>
      </c>
      <c r="GT112" s="377">
        <v>1</v>
      </c>
      <c r="GU112" s="373"/>
      <c r="GV112" s="444">
        <v>100</v>
      </c>
      <c r="GW112" s="377"/>
      <c r="GX112" s="373"/>
      <c r="GY112" s="444"/>
      <c r="GZ112" s="377"/>
      <c r="HA112" s="373"/>
      <c r="HB112" s="444" t="s">
        <v>6</v>
      </c>
      <c r="HC112" s="377"/>
      <c r="HD112" s="373"/>
      <c r="HE112" s="444" t="s">
        <v>6</v>
      </c>
      <c r="HF112" s="377"/>
      <c r="HG112" s="373"/>
      <c r="HH112" s="444" t="s">
        <v>6</v>
      </c>
      <c r="HI112" s="377"/>
      <c r="HJ112" s="373"/>
      <c r="HK112" s="444"/>
      <c r="HL112" s="377"/>
      <c r="HM112" s="373">
        <v>15</v>
      </c>
      <c r="HN112" s="444">
        <v>0</v>
      </c>
      <c r="HO112" s="377">
        <v>6</v>
      </c>
      <c r="HP112" s="373">
        <v>6</v>
      </c>
      <c r="HQ112" s="444">
        <v>50</v>
      </c>
      <c r="HR112" s="377">
        <v>5</v>
      </c>
      <c r="HS112" s="373">
        <v>4</v>
      </c>
      <c r="HT112" s="444">
        <v>55.6</v>
      </c>
      <c r="HU112" s="377"/>
      <c r="HV112" s="373"/>
      <c r="HW112" s="444"/>
      <c r="HX112" s="377">
        <v>4</v>
      </c>
      <c r="HY112" s="373"/>
      <c r="HZ112" s="444">
        <v>100</v>
      </c>
      <c r="IA112" s="377"/>
      <c r="IB112" s="373"/>
      <c r="IC112" s="444" t="s">
        <v>6</v>
      </c>
      <c r="ID112" s="377">
        <v>2</v>
      </c>
      <c r="IE112" s="373"/>
      <c r="IF112" s="444">
        <v>100</v>
      </c>
      <c r="IG112" s="377"/>
      <c r="IH112" s="373"/>
      <c r="II112" s="444"/>
      <c r="IJ112" s="377">
        <v>1</v>
      </c>
      <c r="IK112" s="373">
        <v>1</v>
      </c>
      <c r="IL112" s="444">
        <v>50</v>
      </c>
      <c r="IM112" s="377">
        <v>1</v>
      </c>
      <c r="IN112" s="373"/>
      <c r="IO112" s="444">
        <v>100</v>
      </c>
      <c r="IP112" s="377">
        <v>1</v>
      </c>
      <c r="IQ112" s="373"/>
      <c r="IR112" s="444">
        <v>100</v>
      </c>
      <c r="IS112" s="377"/>
      <c r="IT112" s="373"/>
      <c r="IU112" s="444"/>
      <c r="IV112" s="377">
        <v>50</v>
      </c>
      <c r="IW112" s="373">
        <v>197</v>
      </c>
      <c r="IX112" s="444">
        <v>20.2</v>
      </c>
      <c r="IY112" s="377">
        <v>79</v>
      </c>
      <c r="IZ112" s="373">
        <v>121</v>
      </c>
      <c r="JA112" s="444">
        <v>39.5</v>
      </c>
      <c r="JB112" s="377">
        <v>56</v>
      </c>
      <c r="JC112" s="373">
        <v>74</v>
      </c>
      <c r="JD112" s="444">
        <v>43.1</v>
      </c>
      <c r="JE112" s="377"/>
      <c r="JF112" s="373"/>
      <c r="JG112" s="444"/>
      <c r="JH112" s="377">
        <v>5</v>
      </c>
      <c r="JI112" s="373">
        <v>26</v>
      </c>
      <c r="JJ112" s="444">
        <v>16.100000000000001</v>
      </c>
      <c r="JK112" s="377">
        <v>19</v>
      </c>
      <c r="JL112" s="373">
        <v>9</v>
      </c>
      <c r="JM112" s="444">
        <v>67.900000000000006</v>
      </c>
      <c r="JN112" s="377">
        <v>18</v>
      </c>
      <c r="JO112" s="373">
        <v>2</v>
      </c>
      <c r="JP112" s="444">
        <v>90</v>
      </c>
      <c r="JQ112" s="377"/>
      <c r="JR112" s="373"/>
      <c r="JS112" s="444"/>
      <c r="JT112" s="377"/>
      <c r="JU112" s="373"/>
      <c r="JV112" s="444" t="s">
        <v>6</v>
      </c>
      <c r="JW112" s="377"/>
      <c r="JX112" s="373"/>
      <c r="JY112" s="444" t="s">
        <v>6</v>
      </c>
      <c r="JZ112" s="377"/>
      <c r="KA112" s="373"/>
      <c r="KB112" s="444" t="s">
        <v>6</v>
      </c>
      <c r="KC112" s="377"/>
      <c r="KD112" s="373"/>
      <c r="KE112" s="444"/>
      <c r="KF112" s="377"/>
      <c r="KG112" s="373"/>
      <c r="KH112" s="444" t="s">
        <v>6</v>
      </c>
      <c r="KI112" s="377"/>
      <c r="KJ112" s="373"/>
      <c r="KK112" s="444" t="s">
        <v>6</v>
      </c>
      <c r="KL112" s="377"/>
      <c r="KM112" s="373"/>
      <c r="KN112" s="444" t="s">
        <v>6</v>
      </c>
      <c r="KO112" s="377"/>
      <c r="KP112" s="373"/>
      <c r="KQ112" s="444"/>
      <c r="KR112" s="377">
        <v>6</v>
      </c>
      <c r="KS112" s="373">
        <v>26</v>
      </c>
      <c r="KT112" s="444">
        <v>18.8</v>
      </c>
      <c r="KU112" s="377">
        <v>21</v>
      </c>
      <c r="KV112" s="373">
        <v>12</v>
      </c>
      <c r="KW112" s="444">
        <v>63.6</v>
      </c>
      <c r="KX112" s="377">
        <v>18</v>
      </c>
      <c r="KY112" s="373">
        <v>3</v>
      </c>
      <c r="KZ112" s="444">
        <v>85.7</v>
      </c>
      <c r="LA112" s="377"/>
      <c r="LB112" s="373"/>
      <c r="LC112" s="444"/>
      <c r="LD112" s="377">
        <v>232</v>
      </c>
      <c r="LE112" s="373">
        <v>219</v>
      </c>
      <c r="LF112" s="444">
        <v>51.4</v>
      </c>
      <c r="LG112" s="377">
        <v>223</v>
      </c>
      <c r="LH112" s="373">
        <v>151</v>
      </c>
      <c r="LI112" s="444">
        <v>59.6</v>
      </c>
      <c r="LJ112" s="377">
        <v>127</v>
      </c>
      <c r="LK112" s="373">
        <v>102</v>
      </c>
      <c r="LL112" s="444">
        <v>55.5</v>
      </c>
      <c r="LM112" s="377"/>
      <c r="LN112" s="373"/>
      <c r="LO112" s="444"/>
    </row>
    <row r="113" spans="1:327" x14ac:dyDescent="0.2">
      <c r="A113" s="1001"/>
      <c r="B113" s="747" t="s">
        <v>621</v>
      </c>
      <c r="C113" s="151" t="s">
        <v>710</v>
      </c>
      <c r="D113" s="377"/>
      <c r="E113" s="373"/>
      <c r="F113" s="444" t="s">
        <v>6</v>
      </c>
      <c r="G113" s="377"/>
      <c r="H113" s="373"/>
      <c r="I113" s="444" t="s">
        <v>6</v>
      </c>
      <c r="J113" s="377"/>
      <c r="K113" s="373"/>
      <c r="L113" s="444" t="s">
        <v>6</v>
      </c>
      <c r="M113" s="377"/>
      <c r="N113" s="373"/>
      <c r="O113" s="444"/>
      <c r="P113" s="377"/>
      <c r="Q113" s="373"/>
      <c r="R113" s="444" t="s">
        <v>6</v>
      </c>
      <c r="S113" s="377"/>
      <c r="T113" s="373"/>
      <c r="U113" s="444" t="s">
        <v>6</v>
      </c>
      <c r="V113" s="377"/>
      <c r="W113" s="373"/>
      <c r="X113" s="444" t="s">
        <v>6</v>
      </c>
      <c r="Y113" s="377"/>
      <c r="Z113" s="373"/>
      <c r="AA113" s="444"/>
      <c r="AB113" s="377"/>
      <c r="AC113" s="373"/>
      <c r="AD113" s="444" t="s">
        <v>6</v>
      </c>
      <c r="AE113" s="377"/>
      <c r="AF113" s="373"/>
      <c r="AG113" s="444" t="s">
        <v>6</v>
      </c>
      <c r="AH113" s="377"/>
      <c r="AI113" s="373"/>
      <c r="AJ113" s="444" t="s">
        <v>6</v>
      </c>
      <c r="AK113" s="377"/>
      <c r="AL113" s="373"/>
      <c r="AM113" s="444"/>
      <c r="AN113" s="377">
        <v>14</v>
      </c>
      <c r="AO113" s="373">
        <v>3</v>
      </c>
      <c r="AP113" s="444">
        <v>82.4</v>
      </c>
      <c r="AQ113" s="377">
        <v>21</v>
      </c>
      <c r="AR113" s="373">
        <v>7</v>
      </c>
      <c r="AS113" s="444">
        <v>75</v>
      </c>
      <c r="AT113" s="377">
        <v>26</v>
      </c>
      <c r="AU113" s="373">
        <v>2</v>
      </c>
      <c r="AV113" s="444">
        <v>92.9</v>
      </c>
      <c r="AW113" s="377"/>
      <c r="AX113" s="373"/>
      <c r="AY113" s="444"/>
      <c r="AZ113" s="377">
        <v>11</v>
      </c>
      <c r="BA113" s="373">
        <v>3</v>
      </c>
      <c r="BB113" s="444">
        <v>78.599999999999994</v>
      </c>
      <c r="BC113" s="377">
        <v>13</v>
      </c>
      <c r="BD113" s="373">
        <v>6</v>
      </c>
      <c r="BE113" s="444">
        <v>68.400000000000006</v>
      </c>
      <c r="BF113" s="377">
        <v>22</v>
      </c>
      <c r="BG113" s="373">
        <v>2</v>
      </c>
      <c r="BH113" s="444">
        <v>91.7</v>
      </c>
      <c r="BI113" s="377"/>
      <c r="BJ113" s="373"/>
      <c r="BK113" s="444"/>
      <c r="BL113" s="377"/>
      <c r="BM113" s="373"/>
      <c r="BN113" s="444" t="s">
        <v>6</v>
      </c>
      <c r="BO113" s="377"/>
      <c r="BP113" s="373"/>
      <c r="BQ113" s="444" t="s">
        <v>6</v>
      </c>
      <c r="BR113" s="377"/>
      <c r="BS113" s="373"/>
      <c r="BT113" s="444" t="s">
        <v>6</v>
      </c>
      <c r="BU113" s="377"/>
      <c r="BV113" s="373"/>
      <c r="BW113" s="444"/>
      <c r="BX113" s="377"/>
      <c r="BY113" s="373"/>
      <c r="BZ113" s="444" t="s">
        <v>6</v>
      </c>
      <c r="CA113" s="377"/>
      <c r="CB113" s="373"/>
      <c r="CC113" s="444" t="s">
        <v>6</v>
      </c>
      <c r="CD113" s="377"/>
      <c r="CE113" s="373"/>
      <c r="CF113" s="444" t="s">
        <v>6</v>
      </c>
      <c r="CG113" s="377"/>
      <c r="CH113" s="373"/>
      <c r="CI113" s="444"/>
      <c r="CJ113" s="377"/>
      <c r="CK113" s="373"/>
      <c r="CL113" s="444" t="s">
        <v>6</v>
      </c>
      <c r="CM113" s="377"/>
      <c r="CN113" s="373"/>
      <c r="CO113" s="444" t="s">
        <v>6</v>
      </c>
      <c r="CP113" s="377"/>
      <c r="CQ113" s="373"/>
      <c r="CR113" s="444" t="s">
        <v>6</v>
      </c>
      <c r="CS113" s="377"/>
      <c r="CT113" s="373"/>
      <c r="CU113" s="444"/>
      <c r="CV113" s="377">
        <v>15</v>
      </c>
      <c r="CW113" s="373">
        <v>5</v>
      </c>
      <c r="CX113" s="444">
        <v>75</v>
      </c>
      <c r="CY113" s="377">
        <v>14</v>
      </c>
      <c r="CZ113" s="373">
        <v>7</v>
      </c>
      <c r="DA113" s="444">
        <v>66.7</v>
      </c>
      <c r="DB113" s="377">
        <v>24</v>
      </c>
      <c r="DC113" s="373">
        <v>2</v>
      </c>
      <c r="DD113" s="444">
        <v>92.3</v>
      </c>
      <c r="DE113" s="377"/>
      <c r="DF113" s="373"/>
      <c r="DG113" s="444"/>
      <c r="DH113" s="377">
        <v>2</v>
      </c>
      <c r="DI113" s="373"/>
      <c r="DJ113" s="444">
        <v>100</v>
      </c>
      <c r="DK113" s="377"/>
      <c r="DL113" s="373"/>
      <c r="DM113" s="444" t="s">
        <v>6</v>
      </c>
      <c r="DN113" s="377">
        <v>2</v>
      </c>
      <c r="DO113" s="373"/>
      <c r="DP113" s="444">
        <v>100</v>
      </c>
      <c r="DQ113" s="377"/>
      <c r="DR113" s="373"/>
      <c r="DS113" s="444"/>
      <c r="DT113" s="377"/>
      <c r="DU113" s="373"/>
      <c r="DV113" s="444" t="s">
        <v>6</v>
      </c>
      <c r="DW113" s="377"/>
      <c r="DX113" s="373"/>
      <c r="DY113" s="444" t="s">
        <v>6</v>
      </c>
      <c r="DZ113" s="377">
        <v>1</v>
      </c>
      <c r="EA113" s="373"/>
      <c r="EB113" s="444">
        <v>100</v>
      </c>
      <c r="EC113" s="377"/>
      <c r="ED113" s="373"/>
      <c r="EE113" s="444"/>
      <c r="EF113" s="377">
        <v>70</v>
      </c>
      <c r="EG113" s="373">
        <v>327</v>
      </c>
      <c r="EH113" s="444">
        <v>17.600000000000001</v>
      </c>
      <c r="EI113" s="377">
        <v>137</v>
      </c>
      <c r="EJ113" s="373">
        <v>311</v>
      </c>
      <c r="EK113" s="444">
        <v>30.6</v>
      </c>
      <c r="EL113" s="377">
        <v>56</v>
      </c>
      <c r="EM113" s="373">
        <v>149</v>
      </c>
      <c r="EN113" s="444">
        <v>27.3</v>
      </c>
      <c r="EO113" s="377"/>
      <c r="EP113" s="373"/>
      <c r="EQ113" s="444"/>
      <c r="ER113" s="377">
        <v>1</v>
      </c>
      <c r="ES113" s="373">
        <v>4</v>
      </c>
      <c r="ET113" s="444">
        <v>20</v>
      </c>
      <c r="EU113" s="377"/>
      <c r="EV113" s="373">
        <v>5</v>
      </c>
      <c r="EW113" s="444">
        <v>0</v>
      </c>
      <c r="EX113" s="377"/>
      <c r="EY113" s="373">
        <v>1</v>
      </c>
      <c r="EZ113" s="444">
        <v>0</v>
      </c>
      <c r="FA113" s="377"/>
      <c r="FB113" s="373"/>
      <c r="FC113" s="444"/>
      <c r="FD113" s="377"/>
      <c r="FE113" s="373">
        <v>8</v>
      </c>
      <c r="FF113" s="444">
        <v>0</v>
      </c>
      <c r="FG113" s="377">
        <v>6</v>
      </c>
      <c r="FH113" s="373">
        <v>14</v>
      </c>
      <c r="FI113" s="444">
        <v>30</v>
      </c>
      <c r="FJ113" s="377">
        <v>1</v>
      </c>
      <c r="FK113" s="373">
        <v>5</v>
      </c>
      <c r="FL113" s="444">
        <v>16.7</v>
      </c>
      <c r="FM113" s="377"/>
      <c r="FN113" s="373"/>
      <c r="FO113" s="444"/>
      <c r="FP113" s="377">
        <v>14</v>
      </c>
      <c r="FQ113" s="373">
        <v>54</v>
      </c>
      <c r="FR113" s="444">
        <v>20.6</v>
      </c>
      <c r="FS113" s="377">
        <v>25</v>
      </c>
      <c r="FT113" s="373">
        <v>53</v>
      </c>
      <c r="FU113" s="444">
        <v>32.1</v>
      </c>
      <c r="FV113" s="377">
        <v>9</v>
      </c>
      <c r="FW113" s="373">
        <v>12</v>
      </c>
      <c r="FX113" s="444">
        <v>42.9</v>
      </c>
      <c r="FY113" s="377"/>
      <c r="FZ113" s="373"/>
      <c r="GA113" s="444"/>
      <c r="GB113" s="377">
        <v>2</v>
      </c>
      <c r="GC113" s="373">
        <v>1</v>
      </c>
      <c r="GD113" s="444">
        <v>66.7</v>
      </c>
      <c r="GE113" s="377">
        <v>2</v>
      </c>
      <c r="GF113" s="373">
        <v>1</v>
      </c>
      <c r="GG113" s="444">
        <v>66.7</v>
      </c>
      <c r="GH113" s="377">
        <v>1</v>
      </c>
      <c r="GI113" s="373"/>
      <c r="GJ113" s="444">
        <v>100</v>
      </c>
      <c r="GK113" s="377"/>
      <c r="GL113" s="373"/>
      <c r="GM113" s="444"/>
      <c r="GN113" s="377">
        <v>2</v>
      </c>
      <c r="GO113" s="373">
        <v>3</v>
      </c>
      <c r="GP113" s="444">
        <v>40</v>
      </c>
      <c r="GQ113" s="377">
        <v>2</v>
      </c>
      <c r="GR113" s="373"/>
      <c r="GS113" s="444">
        <v>100</v>
      </c>
      <c r="GT113" s="377"/>
      <c r="GU113" s="373">
        <v>5</v>
      </c>
      <c r="GV113" s="444">
        <v>0</v>
      </c>
      <c r="GW113" s="377"/>
      <c r="GX113" s="373"/>
      <c r="GY113" s="444"/>
      <c r="GZ113" s="377"/>
      <c r="HA113" s="373"/>
      <c r="HB113" s="444" t="s">
        <v>6</v>
      </c>
      <c r="HC113" s="377"/>
      <c r="HD113" s="373"/>
      <c r="HE113" s="444" t="s">
        <v>6</v>
      </c>
      <c r="HF113" s="377">
        <v>1</v>
      </c>
      <c r="HG113" s="373"/>
      <c r="HH113" s="444">
        <v>100</v>
      </c>
      <c r="HI113" s="377"/>
      <c r="HJ113" s="373"/>
      <c r="HK113" s="444"/>
      <c r="HL113" s="377">
        <v>2</v>
      </c>
      <c r="HM113" s="373">
        <v>24</v>
      </c>
      <c r="HN113" s="444">
        <v>7.7</v>
      </c>
      <c r="HO113" s="377">
        <v>3</v>
      </c>
      <c r="HP113" s="373">
        <v>19</v>
      </c>
      <c r="HQ113" s="444">
        <v>13.6</v>
      </c>
      <c r="HR113" s="377">
        <v>11</v>
      </c>
      <c r="HS113" s="373">
        <v>17</v>
      </c>
      <c r="HT113" s="444">
        <v>39.299999999999997</v>
      </c>
      <c r="HU113" s="377"/>
      <c r="HV113" s="373"/>
      <c r="HW113" s="444"/>
      <c r="HX113" s="377">
        <v>3</v>
      </c>
      <c r="HY113" s="373"/>
      <c r="HZ113" s="444">
        <v>100</v>
      </c>
      <c r="IA113" s="377">
        <v>1</v>
      </c>
      <c r="IB113" s="373"/>
      <c r="IC113" s="444">
        <v>100</v>
      </c>
      <c r="ID113" s="377"/>
      <c r="IE113" s="373"/>
      <c r="IF113" s="444" t="s">
        <v>6</v>
      </c>
      <c r="IG113" s="377"/>
      <c r="IH113" s="373"/>
      <c r="II113" s="444"/>
      <c r="IJ113" s="377"/>
      <c r="IK113" s="373"/>
      <c r="IL113" s="444" t="s">
        <v>6</v>
      </c>
      <c r="IM113" s="377"/>
      <c r="IN113" s="373">
        <v>1</v>
      </c>
      <c r="IO113" s="444">
        <v>0</v>
      </c>
      <c r="IP113" s="377">
        <v>2</v>
      </c>
      <c r="IQ113" s="373"/>
      <c r="IR113" s="444">
        <v>100</v>
      </c>
      <c r="IS113" s="377"/>
      <c r="IT113" s="373"/>
      <c r="IU113" s="444"/>
      <c r="IV113" s="377">
        <v>110</v>
      </c>
      <c r="IW113" s="373">
        <v>363</v>
      </c>
      <c r="IX113" s="444">
        <v>23.3</v>
      </c>
      <c r="IY113" s="377">
        <v>180</v>
      </c>
      <c r="IZ113" s="373">
        <v>346</v>
      </c>
      <c r="JA113" s="444">
        <v>34.200000000000003</v>
      </c>
      <c r="JB113" s="377">
        <v>124</v>
      </c>
      <c r="JC113" s="373">
        <v>175</v>
      </c>
      <c r="JD113" s="444">
        <v>41.5</v>
      </c>
      <c r="JE113" s="377"/>
      <c r="JF113" s="373"/>
      <c r="JG113" s="444"/>
      <c r="JH113" s="377">
        <v>22</v>
      </c>
      <c r="JI113" s="373">
        <v>52</v>
      </c>
      <c r="JJ113" s="444">
        <v>29.7</v>
      </c>
      <c r="JK113" s="377">
        <v>25</v>
      </c>
      <c r="JL113" s="373">
        <v>51</v>
      </c>
      <c r="JM113" s="444">
        <v>32.9</v>
      </c>
      <c r="JN113" s="377">
        <v>50</v>
      </c>
      <c r="JO113" s="373">
        <v>33</v>
      </c>
      <c r="JP113" s="444">
        <v>60.2</v>
      </c>
      <c r="JQ113" s="377"/>
      <c r="JR113" s="373"/>
      <c r="JS113" s="444"/>
      <c r="JT113" s="377">
        <v>1</v>
      </c>
      <c r="JU113" s="373">
        <v>2</v>
      </c>
      <c r="JV113" s="444">
        <v>33.299999999999997</v>
      </c>
      <c r="JW113" s="377">
        <v>2</v>
      </c>
      <c r="JX113" s="373">
        <v>2</v>
      </c>
      <c r="JY113" s="444">
        <v>50</v>
      </c>
      <c r="JZ113" s="377"/>
      <c r="KA113" s="373">
        <v>1</v>
      </c>
      <c r="KB113" s="444">
        <v>0</v>
      </c>
      <c r="KC113" s="377"/>
      <c r="KD113" s="373"/>
      <c r="KE113" s="444"/>
      <c r="KF113" s="377"/>
      <c r="KG113" s="373">
        <v>1</v>
      </c>
      <c r="KH113" s="444">
        <v>0</v>
      </c>
      <c r="KI113" s="377"/>
      <c r="KJ113" s="373"/>
      <c r="KK113" s="444" t="s">
        <v>6</v>
      </c>
      <c r="KL113" s="377"/>
      <c r="KM113" s="373"/>
      <c r="KN113" s="444" t="s">
        <v>6</v>
      </c>
      <c r="KO113" s="377"/>
      <c r="KP113" s="373"/>
      <c r="KQ113" s="444"/>
      <c r="KR113" s="377">
        <v>32</v>
      </c>
      <c r="KS113" s="373">
        <v>65</v>
      </c>
      <c r="KT113" s="444">
        <v>33</v>
      </c>
      <c r="KU113" s="377">
        <v>32</v>
      </c>
      <c r="KV113" s="373">
        <v>61</v>
      </c>
      <c r="KW113" s="444">
        <v>34.4</v>
      </c>
      <c r="KX113" s="377">
        <v>55</v>
      </c>
      <c r="KY113" s="373">
        <v>39</v>
      </c>
      <c r="KZ113" s="444">
        <v>58.5</v>
      </c>
      <c r="LA113" s="377"/>
      <c r="LB113" s="373"/>
      <c r="LC113" s="444"/>
      <c r="LD113" s="377">
        <v>526</v>
      </c>
      <c r="LE113" s="373">
        <v>453</v>
      </c>
      <c r="LF113" s="444">
        <v>53.7</v>
      </c>
      <c r="LG113" s="377">
        <v>422</v>
      </c>
      <c r="LH113" s="373">
        <v>440</v>
      </c>
      <c r="LI113" s="444">
        <v>49</v>
      </c>
      <c r="LJ113" s="377">
        <v>383</v>
      </c>
      <c r="LK113" s="373">
        <v>246</v>
      </c>
      <c r="LL113" s="444">
        <v>60.9</v>
      </c>
      <c r="LM113" s="377"/>
      <c r="LN113" s="373"/>
      <c r="LO113" s="444"/>
    </row>
    <row r="114" spans="1:327" ht="13.5" thickBot="1" x14ac:dyDescent="0.25">
      <c r="A114" s="1001"/>
      <c r="B114" s="748" t="s">
        <v>621</v>
      </c>
      <c r="C114" s="156" t="s">
        <v>711</v>
      </c>
      <c r="D114" s="377"/>
      <c r="E114" s="373"/>
      <c r="F114" s="444" t="s">
        <v>6</v>
      </c>
      <c r="G114" s="377"/>
      <c r="H114" s="373"/>
      <c r="I114" s="444" t="s">
        <v>6</v>
      </c>
      <c r="J114" s="377"/>
      <c r="K114" s="373"/>
      <c r="L114" s="444" t="s">
        <v>6</v>
      </c>
      <c r="M114" s="377"/>
      <c r="N114" s="373"/>
      <c r="O114" s="444"/>
      <c r="P114" s="377"/>
      <c r="Q114" s="373"/>
      <c r="R114" s="444" t="s">
        <v>6</v>
      </c>
      <c r="S114" s="377"/>
      <c r="T114" s="373"/>
      <c r="U114" s="444" t="s">
        <v>6</v>
      </c>
      <c r="V114" s="377"/>
      <c r="W114" s="373"/>
      <c r="X114" s="444" t="s">
        <v>6</v>
      </c>
      <c r="Y114" s="377"/>
      <c r="Z114" s="373"/>
      <c r="AA114" s="444"/>
      <c r="AB114" s="377"/>
      <c r="AC114" s="373"/>
      <c r="AD114" s="444" t="s">
        <v>6</v>
      </c>
      <c r="AE114" s="377"/>
      <c r="AF114" s="373"/>
      <c r="AG114" s="444" t="s">
        <v>6</v>
      </c>
      <c r="AH114" s="377"/>
      <c r="AI114" s="373"/>
      <c r="AJ114" s="444" t="s">
        <v>6</v>
      </c>
      <c r="AK114" s="377"/>
      <c r="AL114" s="373"/>
      <c r="AM114" s="444"/>
      <c r="AN114" s="377">
        <v>3</v>
      </c>
      <c r="AO114" s="373"/>
      <c r="AP114" s="444">
        <v>100</v>
      </c>
      <c r="AQ114" s="377">
        <v>7</v>
      </c>
      <c r="AR114" s="373"/>
      <c r="AS114" s="444">
        <v>100</v>
      </c>
      <c r="AT114" s="377">
        <v>5</v>
      </c>
      <c r="AU114" s="373">
        <v>2</v>
      </c>
      <c r="AV114" s="444">
        <v>71.400000000000006</v>
      </c>
      <c r="AW114" s="377"/>
      <c r="AX114" s="373"/>
      <c r="AY114" s="444"/>
      <c r="AZ114" s="377">
        <v>2</v>
      </c>
      <c r="BA114" s="373"/>
      <c r="BB114" s="444">
        <v>100</v>
      </c>
      <c r="BC114" s="377">
        <v>4</v>
      </c>
      <c r="BD114" s="373"/>
      <c r="BE114" s="444">
        <v>100</v>
      </c>
      <c r="BF114" s="377">
        <v>3</v>
      </c>
      <c r="BG114" s="373">
        <v>2</v>
      </c>
      <c r="BH114" s="444">
        <v>60</v>
      </c>
      <c r="BI114" s="377"/>
      <c r="BJ114" s="373"/>
      <c r="BK114" s="444"/>
      <c r="BL114" s="377"/>
      <c r="BM114" s="373"/>
      <c r="BN114" s="444" t="s">
        <v>6</v>
      </c>
      <c r="BO114" s="377"/>
      <c r="BP114" s="373"/>
      <c r="BQ114" s="444" t="s">
        <v>6</v>
      </c>
      <c r="BR114" s="377"/>
      <c r="BS114" s="373"/>
      <c r="BT114" s="444" t="s">
        <v>6</v>
      </c>
      <c r="BU114" s="377"/>
      <c r="BV114" s="373"/>
      <c r="BW114" s="444"/>
      <c r="BX114" s="377"/>
      <c r="BY114" s="373"/>
      <c r="BZ114" s="444" t="s">
        <v>6</v>
      </c>
      <c r="CA114" s="377"/>
      <c r="CB114" s="373"/>
      <c r="CC114" s="444" t="s">
        <v>6</v>
      </c>
      <c r="CD114" s="377"/>
      <c r="CE114" s="373"/>
      <c r="CF114" s="444" t="s">
        <v>6</v>
      </c>
      <c r="CG114" s="377"/>
      <c r="CH114" s="373"/>
      <c r="CI114" s="444"/>
      <c r="CJ114" s="377"/>
      <c r="CK114" s="373"/>
      <c r="CL114" s="444" t="s">
        <v>6</v>
      </c>
      <c r="CM114" s="377"/>
      <c r="CN114" s="373"/>
      <c r="CO114" s="444" t="s">
        <v>6</v>
      </c>
      <c r="CP114" s="377"/>
      <c r="CQ114" s="373"/>
      <c r="CR114" s="444" t="s">
        <v>6</v>
      </c>
      <c r="CS114" s="377"/>
      <c r="CT114" s="373"/>
      <c r="CU114" s="444"/>
      <c r="CV114" s="377"/>
      <c r="CW114" s="373"/>
      <c r="CX114" s="444" t="s">
        <v>6</v>
      </c>
      <c r="CY114" s="377">
        <v>4</v>
      </c>
      <c r="CZ114" s="373"/>
      <c r="DA114" s="444">
        <v>100</v>
      </c>
      <c r="DB114" s="377">
        <v>2</v>
      </c>
      <c r="DC114" s="373">
        <v>1</v>
      </c>
      <c r="DD114" s="444">
        <v>66.7</v>
      </c>
      <c r="DE114" s="377"/>
      <c r="DF114" s="373"/>
      <c r="DG114" s="444"/>
      <c r="DH114" s="377"/>
      <c r="DI114" s="373"/>
      <c r="DJ114" s="444" t="s">
        <v>6</v>
      </c>
      <c r="DK114" s="377"/>
      <c r="DL114" s="373"/>
      <c r="DM114" s="444" t="s">
        <v>6</v>
      </c>
      <c r="DN114" s="377"/>
      <c r="DO114" s="373"/>
      <c r="DP114" s="444" t="s">
        <v>6</v>
      </c>
      <c r="DQ114" s="377"/>
      <c r="DR114" s="373"/>
      <c r="DS114" s="444"/>
      <c r="DT114" s="377">
        <v>1</v>
      </c>
      <c r="DU114" s="373"/>
      <c r="DV114" s="444">
        <v>100</v>
      </c>
      <c r="DW114" s="377">
        <v>1</v>
      </c>
      <c r="DX114" s="373"/>
      <c r="DY114" s="444">
        <v>100</v>
      </c>
      <c r="DZ114" s="377">
        <v>1</v>
      </c>
      <c r="EA114" s="373">
        <v>1</v>
      </c>
      <c r="EB114" s="444">
        <v>50</v>
      </c>
      <c r="EC114" s="377"/>
      <c r="ED114" s="373"/>
      <c r="EE114" s="444"/>
      <c r="EF114" s="377">
        <v>20</v>
      </c>
      <c r="EG114" s="373">
        <v>57</v>
      </c>
      <c r="EH114" s="444">
        <v>26</v>
      </c>
      <c r="EI114" s="377">
        <v>19</v>
      </c>
      <c r="EJ114" s="373">
        <v>56</v>
      </c>
      <c r="EK114" s="444">
        <v>25.3</v>
      </c>
      <c r="EL114" s="377">
        <v>19</v>
      </c>
      <c r="EM114" s="373">
        <v>28</v>
      </c>
      <c r="EN114" s="444">
        <v>40.4</v>
      </c>
      <c r="EO114" s="377"/>
      <c r="EP114" s="373"/>
      <c r="EQ114" s="444"/>
      <c r="ER114" s="377"/>
      <c r="ES114" s="373"/>
      <c r="ET114" s="444" t="s">
        <v>6</v>
      </c>
      <c r="EU114" s="377"/>
      <c r="EV114" s="373"/>
      <c r="EW114" s="444" t="s">
        <v>6</v>
      </c>
      <c r="EX114" s="377"/>
      <c r="EY114" s="373"/>
      <c r="EZ114" s="444" t="s">
        <v>6</v>
      </c>
      <c r="FA114" s="377"/>
      <c r="FB114" s="373"/>
      <c r="FC114" s="444"/>
      <c r="FD114" s="377"/>
      <c r="FE114" s="373">
        <v>2</v>
      </c>
      <c r="FF114" s="444">
        <v>0</v>
      </c>
      <c r="FG114" s="377"/>
      <c r="FH114" s="373">
        <v>1</v>
      </c>
      <c r="FI114" s="444">
        <v>0</v>
      </c>
      <c r="FJ114" s="377"/>
      <c r="FK114" s="373">
        <v>1</v>
      </c>
      <c r="FL114" s="444">
        <v>0</v>
      </c>
      <c r="FM114" s="377"/>
      <c r="FN114" s="373"/>
      <c r="FO114" s="444"/>
      <c r="FP114" s="377">
        <v>2</v>
      </c>
      <c r="FQ114" s="373">
        <v>7</v>
      </c>
      <c r="FR114" s="444">
        <v>22.2</v>
      </c>
      <c r="FS114" s="377">
        <v>6</v>
      </c>
      <c r="FT114" s="373">
        <v>8</v>
      </c>
      <c r="FU114" s="444">
        <v>42.9</v>
      </c>
      <c r="FV114" s="377">
        <v>3</v>
      </c>
      <c r="FW114" s="373">
        <v>8</v>
      </c>
      <c r="FX114" s="444">
        <v>27.3</v>
      </c>
      <c r="FY114" s="377"/>
      <c r="FZ114" s="373"/>
      <c r="GA114" s="444"/>
      <c r="GB114" s="377"/>
      <c r="GC114" s="373"/>
      <c r="GD114" s="444" t="s">
        <v>6</v>
      </c>
      <c r="GE114" s="377"/>
      <c r="GF114" s="373"/>
      <c r="GG114" s="444" t="s">
        <v>6</v>
      </c>
      <c r="GH114" s="377"/>
      <c r="GI114" s="373"/>
      <c r="GJ114" s="444" t="s">
        <v>6</v>
      </c>
      <c r="GK114" s="377"/>
      <c r="GL114" s="373"/>
      <c r="GM114" s="444"/>
      <c r="GN114" s="377"/>
      <c r="GO114" s="373"/>
      <c r="GP114" s="444" t="s">
        <v>6</v>
      </c>
      <c r="GQ114" s="377"/>
      <c r="GR114" s="373"/>
      <c r="GS114" s="444" t="s">
        <v>6</v>
      </c>
      <c r="GT114" s="377"/>
      <c r="GU114" s="373"/>
      <c r="GV114" s="444" t="s">
        <v>6</v>
      </c>
      <c r="GW114" s="377"/>
      <c r="GX114" s="373"/>
      <c r="GY114" s="444"/>
      <c r="GZ114" s="377">
        <v>1</v>
      </c>
      <c r="HA114" s="373"/>
      <c r="HB114" s="444">
        <v>100</v>
      </c>
      <c r="HC114" s="377"/>
      <c r="HD114" s="373"/>
      <c r="HE114" s="444" t="s">
        <v>6</v>
      </c>
      <c r="HF114" s="377">
        <v>1</v>
      </c>
      <c r="HG114" s="373"/>
      <c r="HH114" s="444">
        <v>100</v>
      </c>
      <c r="HI114" s="377"/>
      <c r="HJ114" s="373"/>
      <c r="HK114" s="444"/>
      <c r="HL114" s="377"/>
      <c r="HM114" s="373">
        <v>2</v>
      </c>
      <c r="HN114" s="444">
        <v>0</v>
      </c>
      <c r="HO114" s="377"/>
      <c r="HP114" s="373">
        <v>3</v>
      </c>
      <c r="HQ114" s="444">
        <v>0</v>
      </c>
      <c r="HR114" s="377"/>
      <c r="HS114" s="373">
        <v>2</v>
      </c>
      <c r="HT114" s="444">
        <v>0</v>
      </c>
      <c r="HU114" s="377"/>
      <c r="HV114" s="373"/>
      <c r="HW114" s="444"/>
      <c r="HX114" s="377"/>
      <c r="HY114" s="373"/>
      <c r="HZ114" s="444" t="s">
        <v>6</v>
      </c>
      <c r="IA114" s="377"/>
      <c r="IB114" s="373"/>
      <c r="IC114" s="444" t="s">
        <v>6</v>
      </c>
      <c r="ID114" s="377"/>
      <c r="IE114" s="373"/>
      <c r="IF114" s="444" t="s">
        <v>6</v>
      </c>
      <c r="IG114" s="377"/>
      <c r="IH114" s="373"/>
      <c r="II114" s="444"/>
      <c r="IJ114" s="377"/>
      <c r="IK114" s="373">
        <v>1</v>
      </c>
      <c r="IL114" s="444">
        <v>0</v>
      </c>
      <c r="IM114" s="377">
        <v>2</v>
      </c>
      <c r="IN114" s="373"/>
      <c r="IO114" s="444">
        <v>100</v>
      </c>
      <c r="IP114" s="377">
        <v>3</v>
      </c>
      <c r="IQ114" s="373"/>
      <c r="IR114" s="444">
        <v>100</v>
      </c>
      <c r="IS114" s="377"/>
      <c r="IT114" s="373"/>
      <c r="IU114" s="444"/>
      <c r="IV114" s="377">
        <v>25</v>
      </c>
      <c r="IW114" s="373">
        <v>60</v>
      </c>
      <c r="IX114" s="444">
        <v>29.4</v>
      </c>
      <c r="IY114" s="377">
        <v>33</v>
      </c>
      <c r="IZ114" s="373">
        <v>59</v>
      </c>
      <c r="JA114" s="444">
        <v>35.9</v>
      </c>
      <c r="JB114" s="377">
        <v>31</v>
      </c>
      <c r="JC114" s="373">
        <v>34</v>
      </c>
      <c r="JD114" s="444">
        <v>47.7</v>
      </c>
      <c r="JE114" s="377"/>
      <c r="JF114" s="373"/>
      <c r="JG114" s="444"/>
      <c r="JH114" s="377">
        <v>1</v>
      </c>
      <c r="JI114" s="373">
        <v>10</v>
      </c>
      <c r="JJ114" s="444">
        <v>9.1</v>
      </c>
      <c r="JK114" s="377">
        <v>9</v>
      </c>
      <c r="JL114" s="373">
        <v>4</v>
      </c>
      <c r="JM114" s="444">
        <v>69.2</v>
      </c>
      <c r="JN114" s="377">
        <v>6</v>
      </c>
      <c r="JO114" s="373">
        <v>5</v>
      </c>
      <c r="JP114" s="444">
        <v>54.5</v>
      </c>
      <c r="JQ114" s="377"/>
      <c r="JR114" s="373"/>
      <c r="JS114" s="444"/>
      <c r="JT114" s="377"/>
      <c r="JU114" s="373"/>
      <c r="JV114" s="444" t="s">
        <v>6</v>
      </c>
      <c r="JW114" s="377"/>
      <c r="JX114" s="373"/>
      <c r="JY114" s="444" t="s">
        <v>6</v>
      </c>
      <c r="JZ114" s="377"/>
      <c r="KA114" s="373"/>
      <c r="KB114" s="444" t="s">
        <v>6</v>
      </c>
      <c r="KC114" s="377"/>
      <c r="KD114" s="373"/>
      <c r="KE114" s="444"/>
      <c r="KF114" s="377"/>
      <c r="KG114" s="373"/>
      <c r="KH114" s="444" t="s">
        <v>6</v>
      </c>
      <c r="KI114" s="377"/>
      <c r="KJ114" s="373"/>
      <c r="KK114" s="444" t="s">
        <v>6</v>
      </c>
      <c r="KL114" s="377"/>
      <c r="KM114" s="373"/>
      <c r="KN114" s="444" t="s">
        <v>6</v>
      </c>
      <c r="KO114" s="377"/>
      <c r="KP114" s="373"/>
      <c r="KQ114" s="444"/>
      <c r="KR114" s="377">
        <v>1</v>
      </c>
      <c r="KS114" s="373">
        <v>10</v>
      </c>
      <c r="KT114" s="444">
        <v>9.1</v>
      </c>
      <c r="KU114" s="377">
        <v>13</v>
      </c>
      <c r="KV114" s="373">
        <v>4</v>
      </c>
      <c r="KW114" s="444">
        <v>76.5</v>
      </c>
      <c r="KX114" s="377">
        <v>6</v>
      </c>
      <c r="KY114" s="373">
        <v>5</v>
      </c>
      <c r="KZ114" s="444">
        <v>54.5</v>
      </c>
      <c r="LA114" s="377"/>
      <c r="LB114" s="373"/>
      <c r="LC114" s="444"/>
      <c r="LD114" s="377">
        <v>74</v>
      </c>
      <c r="LE114" s="373">
        <v>69</v>
      </c>
      <c r="LF114" s="444">
        <v>51.7</v>
      </c>
      <c r="LG114" s="377">
        <v>58</v>
      </c>
      <c r="LH114" s="373">
        <v>67</v>
      </c>
      <c r="LI114" s="444">
        <v>46.4</v>
      </c>
      <c r="LJ114" s="377">
        <v>50</v>
      </c>
      <c r="LK114" s="373">
        <v>50</v>
      </c>
      <c r="LL114" s="444">
        <v>50</v>
      </c>
      <c r="LM114" s="377"/>
      <c r="LN114" s="373"/>
      <c r="LO114" s="444"/>
    </row>
    <row r="115" spans="1:327" s="259" customFormat="1" ht="26.25" thickBot="1" x14ac:dyDescent="0.25">
      <c r="A115" s="1002"/>
      <c r="B115" s="751"/>
      <c r="C115" s="189" t="s">
        <v>776</v>
      </c>
      <c r="D115" s="384">
        <v>7</v>
      </c>
      <c r="E115" s="385"/>
      <c r="F115" s="451">
        <v>100</v>
      </c>
      <c r="G115" s="384">
        <v>6</v>
      </c>
      <c r="H115" s="385"/>
      <c r="I115" s="451">
        <v>100</v>
      </c>
      <c r="J115" s="384">
        <v>4</v>
      </c>
      <c r="K115" s="385"/>
      <c r="L115" s="451">
        <v>100</v>
      </c>
      <c r="M115" s="384"/>
      <c r="N115" s="385"/>
      <c r="O115" s="451"/>
      <c r="P115" s="384">
        <v>5</v>
      </c>
      <c r="Q115" s="385"/>
      <c r="R115" s="451">
        <v>100</v>
      </c>
      <c r="S115" s="384">
        <v>3</v>
      </c>
      <c r="T115" s="385"/>
      <c r="U115" s="451">
        <v>100</v>
      </c>
      <c r="V115" s="384">
        <v>2</v>
      </c>
      <c r="W115" s="385"/>
      <c r="X115" s="451">
        <v>100</v>
      </c>
      <c r="Y115" s="384"/>
      <c r="Z115" s="385"/>
      <c r="AA115" s="451"/>
      <c r="AB115" s="384">
        <v>2</v>
      </c>
      <c r="AC115" s="385"/>
      <c r="AD115" s="451">
        <v>100</v>
      </c>
      <c r="AE115" s="384">
        <v>2</v>
      </c>
      <c r="AF115" s="385"/>
      <c r="AG115" s="451">
        <v>100</v>
      </c>
      <c r="AH115" s="384">
        <v>1</v>
      </c>
      <c r="AI115" s="385"/>
      <c r="AJ115" s="451">
        <v>100</v>
      </c>
      <c r="AK115" s="384"/>
      <c r="AL115" s="385"/>
      <c r="AM115" s="451"/>
      <c r="AN115" s="384">
        <v>69</v>
      </c>
      <c r="AO115" s="385">
        <v>12</v>
      </c>
      <c r="AP115" s="451">
        <v>85.2</v>
      </c>
      <c r="AQ115" s="384">
        <v>109</v>
      </c>
      <c r="AR115" s="385">
        <v>21</v>
      </c>
      <c r="AS115" s="451">
        <v>83.8</v>
      </c>
      <c r="AT115" s="384">
        <v>139</v>
      </c>
      <c r="AU115" s="385">
        <v>11</v>
      </c>
      <c r="AV115" s="451">
        <v>92.7</v>
      </c>
      <c r="AW115" s="384"/>
      <c r="AX115" s="385"/>
      <c r="AY115" s="451"/>
      <c r="AZ115" s="384">
        <v>48</v>
      </c>
      <c r="BA115" s="385">
        <v>10</v>
      </c>
      <c r="BB115" s="451">
        <v>82.8</v>
      </c>
      <c r="BC115" s="384">
        <v>76</v>
      </c>
      <c r="BD115" s="385">
        <v>19</v>
      </c>
      <c r="BE115" s="451">
        <v>80</v>
      </c>
      <c r="BF115" s="384">
        <v>86</v>
      </c>
      <c r="BG115" s="385">
        <v>9</v>
      </c>
      <c r="BH115" s="451">
        <v>90.5</v>
      </c>
      <c r="BI115" s="384"/>
      <c r="BJ115" s="385"/>
      <c r="BK115" s="451"/>
      <c r="BL115" s="384"/>
      <c r="BM115" s="385"/>
      <c r="BN115" s="451" t="s">
        <v>6</v>
      </c>
      <c r="BO115" s="384"/>
      <c r="BP115" s="385"/>
      <c r="BQ115" s="451" t="s">
        <v>6</v>
      </c>
      <c r="BR115" s="384"/>
      <c r="BS115" s="385"/>
      <c r="BT115" s="451" t="s">
        <v>6</v>
      </c>
      <c r="BU115" s="384"/>
      <c r="BV115" s="385"/>
      <c r="BW115" s="451"/>
      <c r="BX115" s="384"/>
      <c r="BY115" s="385"/>
      <c r="BZ115" s="451" t="s">
        <v>6</v>
      </c>
      <c r="CA115" s="384"/>
      <c r="CB115" s="385"/>
      <c r="CC115" s="451" t="s">
        <v>6</v>
      </c>
      <c r="CD115" s="384"/>
      <c r="CE115" s="385">
        <v>3</v>
      </c>
      <c r="CF115" s="451">
        <v>0</v>
      </c>
      <c r="CG115" s="384"/>
      <c r="CH115" s="385"/>
      <c r="CI115" s="451"/>
      <c r="CJ115" s="384">
        <v>8</v>
      </c>
      <c r="CK115" s="385">
        <v>3</v>
      </c>
      <c r="CL115" s="451">
        <v>72.7</v>
      </c>
      <c r="CM115" s="384">
        <v>2</v>
      </c>
      <c r="CN115" s="385">
        <v>3</v>
      </c>
      <c r="CO115" s="451">
        <v>40</v>
      </c>
      <c r="CP115" s="384">
        <v>3</v>
      </c>
      <c r="CQ115" s="385">
        <v>2</v>
      </c>
      <c r="CR115" s="451">
        <v>60</v>
      </c>
      <c r="CS115" s="384"/>
      <c r="CT115" s="385"/>
      <c r="CU115" s="451"/>
      <c r="CV115" s="384">
        <v>49</v>
      </c>
      <c r="CW115" s="385">
        <v>11</v>
      </c>
      <c r="CX115" s="451">
        <v>81.7</v>
      </c>
      <c r="CY115" s="384">
        <v>72</v>
      </c>
      <c r="CZ115" s="385">
        <v>15</v>
      </c>
      <c r="DA115" s="451">
        <v>82.8</v>
      </c>
      <c r="DB115" s="384">
        <v>86</v>
      </c>
      <c r="DC115" s="385">
        <v>6</v>
      </c>
      <c r="DD115" s="451">
        <v>93.5</v>
      </c>
      <c r="DE115" s="384"/>
      <c r="DF115" s="385"/>
      <c r="DG115" s="451"/>
      <c r="DH115" s="384">
        <v>4</v>
      </c>
      <c r="DI115" s="385"/>
      <c r="DJ115" s="451">
        <v>100</v>
      </c>
      <c r="DK115" s="384">
        <v>2</v>
      </c>
      <c r="DL115" s="385">
        <v>1</v>
      </c>
      <c r="DM115" s="451">
        <v>66.7</v>
      </c>
      <c r="DN115" s="384">
        <v>5</v>
      </c>
      <c r="DO115" s="385"/>
      <c r="DP115" s="451">
        <v>100</v>
      </c>
      <c r="DQ115" s="384"/>
      <c r="DR115" s="385"/>
      <c r="DS115" s="451"/>
      <c r="DT115" s="384">
        <v>3</v>
      </c>
      <c r="DU115" s="385"/>
      <c r="DV115" s="451">
        <v>100</v>
      </c>
      <c r="DW115" s="384">
        <v>11</v>
      </c>
      <c r="DX115" s="385"/>
      <c r="DY115" s="451">
        <v>100</v>
      </c>
      <c r="DZ115" s="384">
        <v>19</v>
      </c>
      <c r="EA115" s="385">
        <v>1</v>
      </c>
      <c r="EB115" s="451">
        <v>95</v>
      </c>
      <c r="EC115" s="384"/>
      <c r="ED115" s="385"/>
      <c r="EE115" s="451"/>
      <c r="EF115" s="384">
        <v>406</v>
      </c>
      <c r="EG115" s="385">
        <v>1562</v>
      </c>
      <c r="EH115" s="451">
        <v>20.6</v>
      </c>
      <c r="EI115" s="384">
        <v>560</v>
      </c>
      <c r="EJ115" s="385">
        <v>1255</v>
      </c>
      <c r="EK115" s="451">
        <v>30.9</v>
      </c>
      <c r="EL115" s="384">
        <v>397</v>
      </c>
      <c r="EM115" s="385">
        <v>817</v>
      </c>
      <c r="EN115" s="451">
        <v>32.700000000000003</v>
      </c>
      <c r="EO115" s="384"/>
      <c r="EP115" s="385"/>
      <c r="EQ115" s="451"/>
      <c r="ER115" s="384">
        <v>2</v>
      </c>
      <c r="ES115" s="385">
        <v>10</v>
      </c>
      <c r="ET115" s="451">
        <v>16.7</v>
      </c>
      <c r="EU115" s="384">
        <v>3</v>
      </c>
      <c r="EV115" s="385">
        <v>9</v>
      </c>
      <c r="EW115" s="451">
        <v>25</v>
      </c>
      <c r="EX115" s="384">
        <v>3</v>
      </c>
      <c r="EY115" s="385">
        <v>3</v>
      </c>
      <c r="EZ115" s="451">
        <v>50</v>
      </c>
      <c r="FA115" s="384"/>
      <c r="FB115" s="385"/>
      <c r="FC115" s="451"/>
      <c r="FD115" s="384">
        <v>3</v>
      </c>
      <c r="FE115" s="385">
        <v>52</v>
      </c>
      <c r="FF115" s="451">
        <v>5.5</v>
      </c>
      <c r="FG115" s="384">
        <v>12</v>
      </c>
      <c r="FH115" s="385">
        <v>51</v>
      </c>
      <c r="FI115" s="451">
        <v>19</v>
      </c>
      <c r="FJ115" s="384">
        <v>9</v>
      </c>
      <c r="FK115" s="385">
        <v>21</v>
      </c>
      <c r="FL115" s="451">
        <v>30</v>
      </c>
      <c r="FM115" s="384"/>
      <c r="FN115" s="385"/>
      <c r="FO115" s="451"/>
      <c r="FP115" s="384">
        <v>93</v>
      </c>
      <c r="FQ115" s="385">
        <v>225</v>
      </c>
      <c r="FR115" s="451">
        <v>29.2</v>
      </c>
      <c r="FS115" s="384">
        <v>133</v>
      </c>
      <c r="FT115" s="385">
        <v>174</v>
      </c>
      <c r="FU115" s="451">
        <v>43.3</v>
      </c>
      <c r="FV115" s="384">
        <v>94</v>
      </c>
      <c r="FW115" s="385">
        <v>81</v>
      </c>
      <c r="FX115" s="451">
        <v>53.7</v>
      </c>
      <c r="FY115" s="384"/>
      <c r="FZ115" s="385"/>
      <c r="GA115" s="451"/>
      <c r="GB115" s="384">
        <v>6</v>
      </c>
      <c r="GC115" s="385">
        <v>5</v>
      </c>
      <c r="GD115" s="451">
        <v>54.5</v>
      </c>
      <c r="GE115" s="384">
        <v>12</v>
      </c>
      <c r="GF115" s="385">
        <v>4</v>
      </c>
      <c r="GG115" s="451">
        <v>75</v>
      </c>
      <c r="GH115" s="384">
        <v>15</v>
      </c>
      <c r="GI115" s="385"/>
      <c r="GJ115" s="451">
        <v>100</v>
      </c>
      <c r="GK115" s="384"/>
      <c r="GL115" s="385"/>
      <c r="GM115" s="451"/>
      <c r="GN115" s="384">
        <v>13</v>
      </c>
      <c r="GO115" s="385">
        <v>16</v>
      </c>
      <c r="GP115" s="451">
        <v>44.8</v>
      </c>
      <c r="GQ115" s="384">
        <v>18</v>
      </c>
      <c r="GR115" s="385">
        <v>6</v>
      </c>
      <c r="GS115" s="451">
        <v>75</v>
      </c>
      <c r="GT115" s="384">
        <v>12</v>
      </c>
      <c r="GU115" s="385">
        <v>13</v>
      </c>
      <c r="GV115" s="451">
        <v>48</v>
      </c>
      <c r="GW115" s="384"/>
      <c r="GX115" s="385"/>
      <c r="GY115" s="451"/>
      <c r="GZ115" s="384">
        <v>4</v>
      </c>
      <c r="HA115" s="385">
        <v>1</v>
      </c>
      <c r="HB115" s="451">
        <v>80</v>
      </c>
      <c r="HC115" s="384"/>
      <c r="HD115" s="385"/>
      <c r="HE115" s="451" t="s">
        <v>6</v>
      </c>
      <c r="HF115" s="384">
        <v>8</v>
      </c>
      <c r="HG115" s="385"/>
      <c r="HH115" s="451">
        <v>100</v>
      </c>
      <c r="HI115" s="384"/>
      <c r="HJ115" s="385"/>
      <c r="HK115" s="451"/>
      <c r="HL115" s="384">
        <v>20</v>
      </c>
      <c r="HM115" s="385">
        <v>91</v>
      </c>
      <c r="HN115" s="451">
        <v>18</v>
      </c>
      <c r="HO115" s="384">
        <v>41</v>
      </c>
      <c r="HP115" s="385">
        <v>97</v>
      </c>
      <c r="HQ115" s="451">
        <v>29.7</v>
      </c>
      <c r="HR115" s="384">
        <v>62</v>
      </c>
      <c r="HS115" s="385">
        <v>72</v>
      </c>
      <c r="HT115" s="451">
        <v>46.3</v>
      </c>
      <c r="HU115" s="384"/>
      <c r="HV115" s="385"/>
      <c r="HW115" s="451"/>
      <c r="HX115" s="384">
        <v>9</v>
      </c>
      <c r="HY115" s="385">
        <v>1</v>
      </c>
      <c r="HZ115" s="451">
        <v>90</v>
      </c>
      <c r="IA115" s="384">
        <v>6</v>
      </c>
      <c r="IB115" s="385"/>
      <c r="IC115" s="451">
        <v>100</v>
      </c>
      <c r="ID115" s="384">
        <v>25</v>
      </c>
      <c r="IE115" s="385">
        <v>1</v>
      </c>
      <c r="IF115" s="451">
        <v>96.2</v>
      </c>
      <c r="IG115" s="384"/>
      <c r="IH115" s="385"/>
      <c r="II115" s="451"/>
      <c r="IJ115" s="384">
        <v>10</v>
      </c>
      <c r="IK115" s="385">
        <v>9</v>
      </c>
      <c r="IL115" s="451">
        <v>52.6</v>
      </c>
      <c r="IM115" s="384">
        <v>20</v>
      </c>
      <c r="IN115" s="385">
        <v>6</v>
      </c>
      <c r="IO115" s="451">
        <v>76.900000000000006</v>
      </c>
      <c r="IP115" s="384">
        <v>21</v>
      </c>
      <c r="IQ115" s="385">
        <v>3</v>
      </c>
      <c r="IR115" s="451">
        <v>87.5</v>
      </c>
      <c r="IS115" s="384"/>
      <c r="IT115" s="385"/>
      <c r="IU115" s="451"/>
      <c r="IV115" s="384">
        <v>608</v>
      </c>
      <c r="IW115" s="385">
        <v>1711</v>
      </c>
      <c r="IX115" s="451">
        <v>26.2</v>
      </c>
      <c r="IY115" s="384">
        <v>859</v>
      </c>
      <c r="IZ115" s="385">
        <v>1408</v>
      </c>
      <c r="JA115" s="451">
        <v>37.9</v>
      </c>
      <c r="JB115" s="384">
        <v>796</v>
      </c>
      <c r="JC115" s="385">
        <v>929</v>
      </c>
      <c r="JD115" s="451">
        <v>46.1</v>
      </c>
      <c r="JE115" s="384"/>
      <c r="JF115" s="385"/>
      <c r="JG115" s="451"/>
      <c r="JH115" s="384">
        <v>81</v>
      </c>
      <c r="JI115" s="385">
        <v>277</v>
      </c>
      <c r="JJ115" s="451">
        <v>22.6</v>
      </c>
      <c r="JK115" s="384">
        <v>187</v>
      </c>
      <c r="JL115" s="385">
        <v>187</v>
      </c>
      <c r="JM115" s="451">
        <v>50</v>
      </c>
      <c r="JN115" s="384">
        <v>287</v>
      </c>
      <c r="JO115" s="385">
        <v>90</v>
      </c>
      <c r="JP115" s="451">
        <v>76.099999999999994</v>
      </c>
      <c r="JQ115" s="384"/>
      <c r="JR115" s="385"/>
      <c r="JS115" s="451"/>
      <c r="JT115" s="384">
        <v>3</v>
      </c>
      <c r="JU115" s="385">
        <v>8</v>
      </c>
      <c r="JV115" s="451">
        <v>27.3</v>
      </c>
      <c r="JW115" s="384">
        <v>8</v>
      </c>
      <c r="JX115" s="385">
        <v>5</v>
      </c>
      <c r="JY115" s="451">
        <v>61.5</v>
      </c>
      <c r="JZ115" s="384">
        <v>3</v>
      </c>
      <c r="KA115" s="385">
        <v>3</v>
      </c>
      <c r="KB115" s="451">
        <v>50</v>
      </c>
      <c r="KC115" s="384"/>
      <c r="KD115" s="385"/>
      <c r="KE115" s="451"/>
      <c r="KF115" s="384">
        <v>3</v>
      </c>
      <c r="KG115" s="385">
        <v>5</v>
      </c>
      <c r="KH115" s="451">
        <v>37.5</v>
      </c>
      <c r="KI115" s="384">
        <v>1</v>
      </c>
      <c r="KJ115" s="385">
        <v>2</v>
      </c>
      <c r="KK115" s="451">
        <v>33.299999999999997</v>
      </c>
      <c r="KL115" s="384"/>
      <c r="KM115" s="385">
        <v>2</v>
      </c>
      <c r="KN115" s="451">
        <v>0</v>
      </c>
      <c r="KO115" s="384"/>
      <c r="KP115" s="385"/>
      <c r="KQ115" s="451"/>
      <c r="KR115" s="384">
        <v>112</v>
      </c>
      <c r="KS115" s="385">
        <v>310</v>
      </c>
      <c r="KT115" s="451">
        <v>26.5</v>
      </c>
      <c r="KU115" s="384">
        <v>231</v>
      </c>
      <c r="KV115" s="385">
        <v>221</v>
      </c>
      <c r="KW115" s="451">
        <v>51.1</v>
      </c>
      <c r="KX115" s="384">
        <v>340</v>
      </c>
      <c r="KY115" s="385">
        <v>111</v>
      </c>
      <c r="KZ115" s="451">
        <v>75.400000000000006</v>
      </c>
      <c r="LA115" s="384"/>
      <c r="LB115" s="385"/>
      <c r="LC115" s="451"/>
      <c r="LD115" s="384">
        <v>2097</v>
      </c>
      <c r="LE115" s="385">
        <v>2005</v>
      </c>
      <c r="LF115" s="451">
        <v>51.1</v>
      </c>
      <c r="LG115" s="384">
        <v>1959</v>
      </c>
      <c r="LH115" s="385">
        <v>1749</v>
      </c>
      <c r="LI115" s="451">
        <v>52.8</v>
      </c>
      <c r="LJ115" s="384">
        <v>1678</v>
      </c>
      <c r="LK115" s="385">
        <v>1240</v>
      </c>
      <c r="LL115" s="451">
        <v>57.5</v>
      </c>
      <c r="LM115" s="384"/>
      <c r="LN115" s="385"/>
      <c r="LO115" s="451"/>
    </row>
    <row r="116" spans="1:327" x14ac:dyDescent="0.2">
      <c r="A116" s="1000" t="s">
        <v>595</v>
      </c>
      <c r="B116" s="749"/>
      <c r="C116" s="146" t="s">
        <v>596</v>
      </c>
      <c r="D116" s="441">
        <v>2</v>
      </c>
      <c r="E116" s="442"/>
      <c r="F116" s="443">
        <v>100</v>
      </c>
      <c r="G116" s="441">
        <v>1</v>
      </c>
      <c r="H116" s="442"/>
      <c r="I116" s="443">
        <v>100</v>
      </c>
      <c r="J116" s="441">
        <v>4</v>
      </c>
      <c r="K116" s="442"/>
      <c r="L116" s="443">
        <v>100</v>
      </c>
      <c r="M116" s="441"/>
      <c r="N116" s="442"/>
      <c r="O116" s="443"/>
      <c r="P116" s="441">
        <v>1</v>
      </c>
      <c r="Q116" s="442"/>
      <c r="R116" s="443">
        <v>100</v>
      </c>
      <c r="S116" s="441">
        <v>1</v>
      </c>
      <c r="T116" s="442"/>
      <c r="U116" s="443">
        <v>100</v>
      </c>
      <c r="V116" s="441">
        <v>2</v>
      </c>
      <c r="W116" s="442"/>
      <c r="X116" s="443">
        <v>100</v>
      </c>
      <c r="Y116" s="441"/>
      <c r="Z116" s="442"/>
      <c r="AA116" s="443"/>
      <c r="AB116" s="441">
        <v>1</v>
      </c>
      <c r="AC116" s="442"/>
      <c r="AD116" s="443">
        <v>100</v>
      </c>
      <c r="AE116" s="441"/>
      <c r="AF116" s="442"/>
      <c r="AG116" s="443" t="s">
        <v>6</v>
      </c>
      <c r="AH116" s="441"/>
      <c r="AI116" s="442"/>
      <c r="AJ116" s="443" t="s">
        <v>6</v>
      </c>
      <c r="AK116" s="441"/>
      <c r="AL116" s="442"/>
      <c r="AM116" s="443"/>
      <c r="AN116" s="441">
        <v>2</v>
      </c>
      <c r="AO116" s="442"/>
      <c r="AP116" s="443">
        <v>100</v>
      </c>
      <c r="AQ116" s="441">
        <v>3</v>
      </c>
      <c r="AR116" s="442"/>
      <c r="AS116" s="443">
        <v>100</v>
      </c>
      <c r="AT116" s="441">
        <v>1</v>
      </c>
      <c r="AU116" s="442"/>
      <c r="AV116" s="443">
        <v>100</v>
      </c>
      <c r="AW116" s="441"/>
      <c r="AX116" s="442"/>
      <c r="AY116" s="443"/>
      <c r="AZ116" s="441">
        <v>1</v>
      </c>
      <c r="BA116" s="442"/>
      <c r="BB116" s="443">
        <v>100</v>
      </c>
      <c r="BC116" s="441">
        <v>2</v>
      </c>
      <c r="BD116" s="442"/>
      <c r="BE116" s="443">
        <v>100</v>
      </c>
      <c r="BF116" s="441">
        <v>1</v>
      </c>
      <c r="BG116" s="442"/>
      <c r="BH116" s="443">
        <v>100</v>
      </c>
      <c r="BI116" s="441"/>
      <c r="BJ116" s="442"/>
      <c r="BK116" s="443"/>
      <c r="BL116" s="441"/>
      <c r="BM116" s="442"/>
      <c r="BN116" s="443" t="s">
        <v>6</v>
      </c>
      <c r="BO116" s="441"/>
      <c r="BP116" s="442"/>
      <c r="BQ116" s="443" t="s">
        <v>6</v>
      </c>
      <c r="BR116" s="441"/>
      <c r="BS116" s="442"/>
      <c r="BT116" s="443" t="s">
        <v>6</v>
      </c>
      <c r="BU116" s="441"/>
      <c r="BV116" s="442"/>
      <c r="BW116" s="443"/>
      <c r="BX116" s="441"/>
      <c r="BY116" s="442"/>
      <c r="BZ116" s="443" t="s">
        <v>6</v>
      </c>
      <c r="CA116" s="441"/>
      <c r="CB116" s="442"/>
      <c r="CC116" s="443" t="s">
        <v>6</v>
      </c>
      <c r="CD116" s="441"/>
      <c r="CE116" s="442"/>
      <c r="CF116" s="443" t="s">
        <v>6</v>
      </c>
      <c r="CG116" s="441"/>
      <c r="CH116" s="442"/>
      <c r="CI116" s="443"/>
      <c r="CJ116" s="441"/>
      <c r="CK116" s="442"/>
      <c r="CL116" s="443" t="s">
        <v>6</v>
      </c>
      <c r="CM116" s="441"/>
      <c r="CN116" s="442"/>
      <c r="CO116" s="443" t="s">
        <v>6</v>
      </c>
      <c r="CP116" s="441"/>
      <c r="CQ116" s="442"/>
      <c r="CR116" s="443" t="s">
        <v>6</v>
      </c>
      <c r="CS116" s="441"/>
      <c r="CT116" s="442"/>
      <c r="CU116" s="443"/>
      <c r="CV116" s="441">
        <v>1</v>
      </c>
      <c r="CW116" s="442"/>
      <c r="CX116" s="443">
        <v>100</v>
      </c>
      <c r="CY116" s="441"/>
      <c r="CZ116" s="442"/>
      <c r="DA116" s="443" t="s">
        <v>6</v>
      </c>
      <c r="DB116" s="441"/>
      <c r="DC116" s="442"/>
      <c r="DD116" s="443" t="s">
        <v>6</v>
      </c>
      <c r="DE116" s="441"/>
      <c r="DF116" s="442"/>
      <c r="DG116" s="443"/>
      <c r="DH116" s="441"/>
      <c r="DI116" s="442"/>
      <c r="DJ116" s="443" t="s">
        <v>6</v>
      </c>
      <c r="DK116" s="441">
        <v>1</v>
      </c>
      <c r="DL116" s="442"/>
      <c r="DM116" s="443">
        <v>100</v>
      </c>
      <c r="DN116" s="441"/>
      <c r="DO116" s="442"/>
      <c r="DP116" s="443" t="s">
        <v>6</v>
      </c>
      <c r="DQ116" s="441"/>
      <c r="DR116" s="442"/>
      <c r="DS116" s="443"/>
      <c r="DT116" s="441">
        <v>5</v>
      </c>
      <c r="DU116" s="442"/>
      <c r="DV116" s="443">
        <v>100</v>
      </c>
      <c r="DW116" s="441">
        <v>2</v>
      </c>
      <c r="DX116" s="442"/>
      <c r="DY116" s="443">
        <v>100</v>
      </c>
      <c r="DZ116" s="441">
        <v>1</v>
      </c>
      <c r="EA116" s="442"/>
      <c r="EB116" s="443">
        <v>100</v>
      </c>
      <c r="EC116" s="441"/>
      <c r="ED116" s="442"/>
      <c r="EE116" s="443"/>
      <c r="EF116" s="441">
        <v>1</v>
      </c>
      <c r="EG116" s="442">
        <v>1</v>
      </c>
      <c r="EH116" s="443">
        <v>50</v>
      </c>
      <c r="EI116" s="441">
        <v>16</v>
      </c>
      <c r="EJ116" s="442">
        <v>1</v>
      </c>
      <c r="EK116" s="443">
        <v>94.1</v>
      </c>
      <c r="EL116" s="441">
        <v>21</v>
      </c>
      <c r="EM116" s="442">
        <v>2</v>
      </c>
      <c r="EN116" s="443">
        <v>91.3</v>
      </c>
      <c r="EO116" s="441"/>
      <c r="EP116" s="442"/>
      <c r="EQ116" s="443"/>
      <c r="ER116" s="441"/>
      <c r="ES116" s="442"/>
      <c r="ET116" s="443" t="s">
        <v>6</v>
      </c>
      <c r="EU116" s="441"/>
      <c r="EV116" s="442"/>
      <c r="EW116" s="443" t="s">
        <v>6</v>
      </c>
      <c r="EX116" s="441"/>
      <c r="EY116" s="442"/>
      <c r="EZ116" s="443" t="s">
        <v>6</v>
      </c>
      <c r="FA116" s="441"/>
      <c r="FB116" s="442"/>
      <c r="FC116" s="443"/>
      <c r="FD116" s="441"/>
      <c r="FE116" s="442"/>
      <c r="FF116" s="443" t="s">
        <v>6</v>
      </c>
      <c r="FG116" s="441"/>
      <c r="FH116" s="442"/>
      <c r="FI116" s="443" t="s">
        <v>6</v>
      </c>
      <c r="FJ116" s="441"/>
      <c r="FK116" s="442"/>
      <c r="FL116" s="443" t="s">
        <v>6</v>
      </c>
      <c r="FM116" s="441"/>
      <c r="FN116" s="442"/>
      <c r="FO116" s="443"/>
      <c r="FP116" s="441"/>
      <c r="FQ116" s="442"/>
      <c r="FR116" s="443" t="s">
        <v>6</v>
      </c>
      <c r="FS116" s="441"/>
      <c r="FT116" s="442"/>
      <c r="FU116" s="443" t="s">
        <v>6</v>
      </c>
      <c r="FV116" s="441">
        <v>8</v>
      </c>
      <c r="FW116" s="442"/>
      <c r="FX116" s="443">
        <v>100</v>
      </c>
      <c r="FY116" s="441"/>
      <c r="FZ116" s="442"/>
      <c r="GA116" s="443"/>
      <c r="GB116" s="441">
        <v>2</v>
      </c>
      <c r="GC116" s="442"/>
      <c r="GD116" s="443">
        <v>100</v>
      </c>
      <c r="GE116" s="441">
        <v>1</v>
      </c>
      <c r="GF116" s="442"/>
      <c r="GG116" s="443">
        <v>100</v>
      </c>
      <c r="GH116" s="441"/>
      <c r="GI116" s="442"/>
      <c r="GJ116" s="443" t="s">
        <v>6</v>
      </c>
      <c r="GK116" s="441"/>
      <c r="GL116" s="442"/>
      <c r="GM116" s="443"/>
      <c r="GN116" s="441"/>
      <c r="GO116" s="442"/>
      <c r="GP116" s="443" t="s">
        <v>6</v>
      </c>
      <c r="GQ116" s="441"/>
      <c r="GR116" s="442"/>
      <c r="GS116" s="443" t="s">
        <v>6</v>
      </c>
      <c r="GT116" s="441"/>
      <c r="GU116" s="442"/>
      <c r="GV116" s="443" t="s">
        <v>6</v>
      </c>
      <c r="GW116" s="441"/>
      <c r="GX116" s="442"/>
      <c r="GY116" s="443"/>
      <c r="GZ116" s="441"/>
      <c r="HA116" s="442"/>
      <c r="HB116" s="443" t="s">
        <v>6</v>
      </c>
      <c r="HC116" s="441"/>
      <c r="HD116" s="442"/>
      <c r="HE116" s="443" t="s">
        <v>6</v>
      </c>
      <c r="HF116" s="441"/>
      <c r="HG116" s="442"/>
      <c r="HH116" s="443" t="s">
        <v>6</v>
      </c>
      <c r="HI116" s="441"/>
      <c r="HJ116" s="442"/>
      <c r="HK116" s="443"/>
      <c r="HL116" s="441">
        <v>1</v>
      </c>
      <c r="HM116" s="442"/>
      <c r="HN116" s="443">
        <v>100</v>
      </c>
      <c r="HO116" s="441"/>
      <c r="HP116" s="442"/>
      <c r="HQ116" s="443" t="s">
        <v>6</v>
      </c>
      <c r="HR116" s="441"/>
      <c r="HS116" s="442"/>
      <c r="HT116" s="443" t="s">
        <v>6</v>
      </c>
      <c r="HU116" s="441"/>
      <c r="HV116" s="442"/>
      <c r="HW116" s="443"/>
      <c r="HX116" s="441"/>
      <c r="HY116" s="442"/>
      <c r="HZ116" s="443" t="s">
        <v>6</v>
      </c>
      <c r="IA116" s="441"/>
      <c r="IB116" s="442"/>
      <c r="IC116" s="443" t="s">
        <v>6</v>
      </c>
      <c r="ID116" s="441"/>
      <c r="IE116" s="442"/>
      <c r="IF116" s="443" t="s">
        <v>6</v>
      </c>
      <c r="IG116" s="441"/>
      <c r="IH116" s="442"/>
      <c r="II116" s="443"/>
      <c r="IJ116" s="441"/>
      <c r="IK116" s="442"/>
      <c r="IL116" s="443" t="s">
        <v>6</v>
      </c>
      <c r="IM116" s="441">
        <v>1</v>
      </c>
      <c r="IN116" s="442"/>
      <c r="IO116" s="443">
        <v>100</v>
      </c>
      <c r="IP116" s="441"/>
      <c r="IQ116" s="442"/>
      <c r="IR116" s="443" t="s">
        <v>6</v>
      </c>
      <c r="IS116" s="441"/>
      <c r="IT116" s="442"/>
      <c r="IU116" s="443"/>
      <c r="IV116" s="441">
        <v>14</v>
      </c>
      <c r="IW116" s="442">
        <v>1</v>
      </c>
      <c r="IX116" s="443">
        <v>93.3</v>
      </c>
      <c r="IY116" s="441">
        <v>25</v>
      </c>
      <c r="IZ116" s="442">
        <v>1</v>
      </c>
      <c r="JA116" s="443">
        <v>96.2</v>
      </c>
      <c r="JB116" s="441">
        <v>27</v>
      </c>
      <c r="JC116" s="442">
        <v>2</v>
      </c>
      <c r="JD116" s="443">
        <v>93.1</v>
      </c>
      <c r="JE116" s="441"/>
      <c r="JF116" s="442"/>
      <c r="JG116" s="443"/>
      <c r="JH116" s="441">
        <v>3</v>
      </c>
      <c r="JI116" s="442"/>
      <c r="JJ116" s="443">
        <v>100</v>
      </c>
      <c r="JK116" s="441">
        <v>2</v>
      </c>
      <c r="JL116" s="442">
        <v>1</v>
      </c>
      <c r="JM116" s="443">
        <v>66.7</v>
      </c>
      <c r="JN116" s="441">
        <v>2</v>
      </c>
      <c r="JO116" s="442"/>
      <c r="JP116" s="443">
        <v>100</v>
      </c>
      <c r="JQ116" s="441"/>
      <c r="JR116" s="442"/>
      <c r="JS116" s="443"/>
      <c r="JT116" s="441">
        <v>3</v>
      </c>
      <c r="JU116" s="442">
        <v>6</v>
      </c>
      <c r="JV116" s="443">
        <v>33.299999999999997</v>
      </c>
      <c r="JW116" s="441">
        <v>2</v>
      </c>
      <c r="JX116" s="442">
        <v>4</v>
      </c>
      <c r="JY116" s="443">
        <v>33.299999999999997</v>
      </c>
      <c r="JZ116" s="441">
        <v>12</v>
      </c>
      <c r="KA116" s="442">
        <v>2</v>
      </c>
      <c r="KB116" s="443">
        <v>85.7</v>
      </c>
      <c r="KC116" s="441"/>
      <c r="KD116" s="442"/>
      <c r="KE116" s="443"/>
      <c r="KF116" s="441"/>
      <c r="KG116" s="442">
        <v>2</v>
      </c>
      <c r="KH116" s="443">
        <v>0</v>
      </c>
      <c r="KI116" s="441">
        <v>2</v>
      </c>
      <c r="KJ116" s="442"/>
      <c r="KK116" s="443">
        <v>100</v>
      </c>
      <c r="KL116" s="441">
        <v>5</v>
      </c>
      <c r="KM116" s="442">
        <v>1</v>
      </c>
      <c r="KN116" s="443">
        <v>83.3</v>
      </c>
      <c r="KO116" s="441"/>
      <c r="KP116" s="442"/>
      <c r="KQ116" s="443"/>
      <c r="KR116" s="441">
        <v>14</v>
      </c>
      <c r="KS116" s="442">
        <v>16</v>
      </c>
      <c r="KT116" s="443">
        <v>46.7</v>
      </c>
      <c r="KU116" s="441">
        <v>14</v>
      </c>
      <c r="KV116" s="442">
        <v>8</v>
      </c>
      <c r="KW116" s="443">
        <v>63.6</v>
      </c>
      <c r="KX116" s="441">
        <v>27</v>
      </c>
      <c r="KY116" s="442">
        <v>6</v>
      </c>
      <c r="KZ116" s="443">
        <v>81.8</v>
      </c>
      <c r="LA116" s="441"/>
      <c r="LB116" s="442"/>
      <c r="LC116" s="443"/>
      <c r="LD116" s="441">
        <v>69</v>
      </c>
      <c r="LE116" s="442">
        <v>18</v>
      </c>
      <c r="LF116" s="443">
        <v>79.3</v>
      </c>
      <c r="LG116" s="441">
        <v>41</v>
      </c>
      <c r="LH116" s="442">
        <v>10</v>
      </c>
      <c r="LI116" s="443">
        <v>80.400000000000006</v>
      </c>
      <c r="LJ116" s="441">
        <v>80</v>
      </c>
      <c r="LK116" s="442">
        <v>9</v>
      </c>
      <c r="LL116" s="443">
        <v>89.9</v>
      </c>
      <c r="LM116" s="441"/>
      <c r="LN116" s="442"/>
      <c r="LO116" s="443"/>
    </row>
    <row r="117" spans="1:327" x14ac:dyDescent="0.2">
      <c r="A117" s="1001"/>
      <c r="B117" s="747"/>
      <c r="C117" s="151" t="s">
        <v>712</v>
      </c>
      <c r="D117" s="377"/>
      <c r="E117" s="373"/>
      <c r="F117" s="444" t="s">
        <v>6</v>
      </c>
      <c r="G117" s="377"/>
      <c r="H117" s="373"/>
      <c r="I117" s="444" t="s">
        <v>6</v>
      </c>
      <c r="J117" s="377"/>
      <c r="K117" s="373"/>
      <c r="L117" s="444" t="s">
        <v>6</v>
      </c>
      <c r="M117" s="377"/>
      <c r="N117" s="373"/>
      <c r="O117" s="444"/>
      <c r="P117" s="377"/>
      <c r="Q117" s="373"/>
      <c r="R117" s="444" t="s">
        <v>6</v>
      </c>
      <c r="S117" s="377"/>
      <c r="T117" s="373"/>
      <c r="U117" s="444" t="s">
        <v>6</v>
      </c>
      <c r="V117" s="377"/>
      <c r="W117" s="373"/>
      <c r="X117" s="444" t="s">
        <v>6</v>
      </c>
      <c r="Y117" s="377"/>
      <c r="Z117" s="373"/>
      <c r="AA117" s="444"/>
      <c r="AB117" s="377"/>
      <c r="AC117" s="373"/>
      <c r="AD117" s="444" t="s">
        <v>6</v>
      </c>
      <c r="AE117" s="377"/>
      <c r="AF117" s="373"/>
      <c r="AG117" s="444" t="s">
        <v>6</v>
      </c>
      <c r="AH117" s="377"/>
      <c r="AI117" s="373"/>
      <c r="AJ117" s="444" t="s">
        <v>6</v>
      </c>
      <c r="AK117" s="377"/>
      <c r="AL117" s="373"/>
      <c r="AM117" s="444"/>
      <c r="AN117" s="377">
        <v>43</v>
      </c>
      <c r="AO117" s="373">
        <v>6</v>
      </c>
      <c r="AP117" s="444">
        <v>87.8</v>
      </c>
      <c r="AQ117" s="377">
        <v>16</v>
      </c>
      <c r="AR117" s="373">
        <v>4</v>
      </c>
      <c r="AS117" s="444">
        <v>80</v>
      </c>
      <c r="AT117" s="377">
        <v>25</v>
      </c>
      <c r="AU117" s="373">
        <v>9</v>
      </c>
      <c r="AV117" s="444">
        <v>73.5</v>
      </c>
      <c r="AW117" s="377"/>
      <c r="AX117" s="373"/>
      <c r="AY117" s="444"/>
      <c r="AZ117" s="377">
        <v>32</v>
      </c>
      <c r="BA117" s="373">
        <v>4</v>
      </c>
      <c r="BB117" s="444">
        <v>88.9</v>
      </c>
      <c r="BC117" s="377">
        <v>9</v>
      </c>
      <c r="BD117" s="373">
        <v>3</v>
      </c>
      <c r="BE117" s="444">
        <v>75</v>
      </c>
      <c r="BF117" s="377">
        <v>17</v>
      </c>
      <c r="BG117" s="373">
        <v>9</v>
      </c>
      <c r="BH117" s="444">
        <v>65.400000000000006</v>
      </c>
      <c r="BI117" s="377"/>
      <c r="BJ117" s="373"/>
      <c r="BK117" s="444"/>
      <c r="BL117" s="377"/>
      <c r="BM117" s="373"/>
      <c r="BN117" s="444" t="s">
        <v>6</v>
      </c>
      <c r="BO117" s="377"/>
      <c r="BP117" s="373"/>
      <c r="BQ117" s="444" t="s">
        <v>6</v>
      </c>
      <c r="BR117" s="377"/>
      <c r="BS117" s="373"/>
      <c r="BT117" s="444" t="s">
        <v>6</v>
      </c>
      <c r="BU117" s="377"/>
      <c r="BV117" s="373"/>
      <c r="BW117" s="444"/>
      <c r="BX117" s="377">
        <v>1</v>
      </c>
      <c r="BY117" s="373"/>
      <c r="BZ117" s="444">
        <v>100</v>
      </c>
      <c r="CA117" s="377"/>
      <c r="CB117" s="373"/>
      <c r="CC117" s="444" t="s">
        <v>6</v>
      </c>
      <c r="CD117" s="377"/>
      <c r="CE117" s="373"/>
      <c r="CF117" s="444" t="s">
        <v>6</v>
      </c>
      <c r="CG117" s="377"/>
      <c r="CH117" s="373"/>
      <c r="CI117" s="444"/>
      <c r="CJ117" s="377"/>
      <c r="CK117" s="373"/>
      <c r="CL117" s="444" t="s">
        <v>6</v>
      </c>
      <c r="CM117" s="377"/>
      <c r="CN117" s="373"/>
      <c r="CO117" s="444" t="s">
        <v>6</v>
      </c>
      <c r="CP117" s="377"/>
      <c r="CQ117" s="373"/>
      <c r="CR117" s="444" t="s">
        <v>6</v>
      </c>
      <c r="CS117" s="377"/>
      <c r="CT117" s="373"/>
      <c r="CU117" s="444"/>
      <c r="CV117" s="377">
        <v>58</v>
      </c>
      <c r="CW117" s="373">
        <v>10</v>
      </c>
      <c r="CX117" s="444">
        <v>85.3</v>
      </c>
      <c r="CY117" s="377">
        <v>22</v>
      </c>
      <c r="CZ117" s="373">
        <v>15</v>
      </c>
      <c r="DA117" s="444">
        <v>59.5</v>
      </c>
      <c r="DB117" s="377">
        <v>40</v>
      </c>
      <c r="DC117" s="373">
        <v>10</v>
      </c>
      <c r="DD117" s="444">
        <v>80</v>
      </c>
      <c r="DE117" s="377"/>
      <c r="DF117" s="373"/>
      <c r="DG117" s="444"/>
      <c r="DH117" s="377">
        <v>2</v>
      </c>
      <c r="DI117" s="373"/>
      <c r="DJ117" s="444">
        <v>100</v>
      </c>
      <c r="DK117" s="377"/>
      <c r="DL117" s="373"/>
      <c r="DM117" s="444" t="s">
        <v>6</v>
      </c>
      <c r="DN117" s="377">
        <v>2</v>
      </c>
      <c r="DO117" s="373"/>
      <c r="DP117" s="444">
        <v>100</v>
      </c>
      <c r="DQ117" s="377"/>
      <c r="DR117" s="373"/>
      <c r="DS117" s="444"/>
      <c r="DT117" s="377">
        <v>3</v>
      </c>
      <c r="DU117" s="373"/>
      <c r="DV117" s="444">
        <v>100</v>
      </c>
      <c r="DW117" s="377">
        <v>3</v>
      </c>
      <c r="DX117" s="373">
        <v>1</v>
      </c>
      <c r="DY117" s="444">
        <v>75</v>
      </c>
      <c r="DZ117" s="377">
        <v>4</v>
      </c>
      <c r="EA117" s="373"/>
      <c r="EB117" s="444">
        <v>100</v>
      </c>
      <c r="EC117" s="377"/>
      <c r="ED117" s="373"/>
      <c r="EE117" s="444"/>
      <c r="EF117" s="377">
        <v>250</v>
      </c>
      <c r="EG117" s="373">
        <v>373</v>
      </c>
      <c r="EH117" s="444">
        <v>40.1</v>
      </c>
      <c r="EI117" s="377">
        <v>161</v>
      </c>
      <c r="EJ117" s="373">
        <v>313</v>
      </c>
      <c r="EK117" s="444">
        <v>34</v>
      </c>
      <c r="EL117" s="377">
        <v>184</v>
      </c>
      <c r="EM117" s="373">
        <v>232</v>
      </c>
      <c r="EN117" s="444">
        <v>44.2</v>
      </c>
      <c r="EO117" s="377"/>
      <c r="EP117" s="373"/>
      <c r="EQ117" s="444"/>
      <c r="ER117" s="377">
        <v>8</v>
      </c>
      <c r="ES117" s="373">
        <v>2</v>
      </c>
      <c r="ET117" s="444">
        <v>80</v>
      </c>
      <c r="EU117" s="377"/>
      <c r="EV117" s="373"/>
      <c r="EW117" s="444" t="s">
        <v>6</v>
      </c>
      <c r="EX117" s="377"/>
      <c r="EY117" s="373">
        <v>1</v>
      </c>
      <c r="EZ117" s="444">
        <v>0</v>
      </c>
      <c r="FA117" s="377"/>
      <c r="FB117" s="373"/>
      <c r="FC117" s="444"/>
      <c r="FD117" s="377">
        <v>10</v>
      </c>
      <c r="FE117" s="373">
        <v>8</v>
      </c>
      <c r="FF117" s="444">
        <v>55.6</v>
      </c>
      <c r="FG117" s="377"/>
      <c r="FH117" s="373">
        <v>6</v>
      </c>
      <c r="FI117" s="444">
        <v>0</v>
      </c>
      <c r="FJ117" s="377">
        <v>10</v>
      </c>
      <c r="FK117" s="373">
        <v>4</v>
      </c>
      <c r="FL117" s="444">
        <v>71.400000000000006</v>
      </c>
      <c r="FM117" s="377"/>
      <c r="FN117" s="373"/>
      <c r="FO117" s="444"/>
      <c r="FP117" s="377">
        <v>65</v>
      </c>
      <c r="FQ117" s="373">
        <v>52</v>
      </c>
      <c r="FR117" s="444">
        <v>55.6</v>
      </c>
      <c r="FS117" s="377">
        <v>34</v>
      </c>
      <c r="FT117" s="373">
        <v>42</v>
      </c>
      <c r="FU117" s="444">
        <v>44.7</v>
      </c>
      <c r="FV117" s="377">
        <v>35</v>
      </c>
      <c r="FW117" s="373">
        <v>25</v>
      </c>
      <c r="FX117" s="444">
        <v>58.3</v>
      </c>
      <c r="FY117" s="377"/>
      <c r="FZ117" s="373"/>
      <c r="GA117" s="444"/>
      <c r="GB117" s="377">
        <v>14</v>
      </c>
      <c r="GC117" s="373"/>
      <c r="GD117" s="444">
        <v>100</v>
      </c>
      <c r="GE117" s="377">
        <v>4</v>
      </c>
      <c r="GF117" s="373"/>
      <c r="GG117" s="444">
        <v>100</v>
      </c>
      <c r="GH117" s="377">
        <v>4</v>
      </c>
      <c r="GI117" s="373"/>
      <c r="GJ117" s="444">
        <v>100</v>
      </c>
      <c r="GK117" s="377"/>
      <c r="GL117" s="373"/>
      <c r="GM117" s="444"/>
      <c r="GN117" s="377">
        <v>3</v>
      </c>
      <c r="GO117" s="373"/>
      <c r="GP117" s="444">
        <v>100</v>
      </c>
      <c r="GQ117" s="377">
        <v>3</v>
      </c>
      <c r="GR117" s="373"/>
      <c r="GS117" s="444">
        <v>100</v>
      </c>
      <c r="GT117" s="377">
        <v>10</v>
      </c>
      <c r="GU117" s="373"/>
      <c r="GV117" s="444">
        <v>100</v>
      </c>
      <c r="GW117" s="377"/>
      <c r="GX117" s="373"/>
      <c r="GY117" s="444"/>
      <c r="GZ117" s="377">
        <v>9</v>
      </c>
      <c r="HA117" s="373"/>
      <c r="HB117" s="444">
        <v>100</v>
      </c>
      <c r="HC117" s="377"/>
      <c r="HD117" s="373"/>
      <c r="HE117" s="444" t="s">
        <v>6</v>
      </c>
      <c r="HF117" s="377">
        <v>2</v>
      </c>
      <c r="HG117" s="373">
        <v>1</v>
      </c>
      <c r="HH117" s="444">
        <v>66.7</v>
      </c>
      <c r="HI117" s="377"/>
      <c r="HJ117" s="373"/>
      <c r="HK117" s="444"/>
      <c r="HL117" s="377">
        <v>3</v>
      </c>
      <c r="HM117" s="373">
        <v>31</v>
      </c>
      <c r="HN117" s="444">
        <v>8.8000000000000007</v>
      </c>
      <c r="HO117" s="377">
        <v>4</v>
      </c>
      <c r="HP117" s="373">
        <v>10</v>
      </c>
      <c r="HQ117" s="444">
        <v>28.6</v>
      </c>
      <c r="HR117" s="377">
        <v>12</v>
      </c>
      <c r="HS117" s="373">
        <v>16</v>
      </c>
      <c r="HT117" s="444">
        <v>42.9</v>
      </c>
      <c r="HU117" s="377"/>
      <c r="HV117" s="373"/>
      <c r="HW117" s="444"/>
      <c r="HX117" s="377">
        <v>5</v>
      </c>
      <c r="HY117" s="373"/>
      <c r="HZ117" s="444">
        <v>100</v>
      </c>
      <c r="IA117" s="377">
        <v>3</v>
      </c>
      <c r="IB117" s="373"/>
      <c r="IC117" s="444">
        <v>100</v>
      </c>
      <c r="ID117" s="377"/>
      <c r="IE117" s="373"/>
      <c r="IF117" s="444" t="s">
        <v>6</v>
      </c>
      <c r="IG117" s="377"/>
      <c r="IH117" s="373"/>
      <c r="II117" s="444"/>
      <c r="IJ117" s="377">
        <v>4</v>
      </c>
      <c r="IK117" s="373">
        <v>1</v>
      </c>
      <c r="IL117" s="444">
        <v>80</v>
      </c>
      <c r="IM117" s="377">
        <v>1</v>
      </c>
      <c r="IN117" s="373">
        <v>1</v>
      </c>
      <c r="IO117" s="444">
        <v>50</v>
      </c>
      <c r="IP117" s="377">
        <v>3</v>
      </c>
      <c r="IQ117" s="373"/>
      <c r="IR117" s="444">
        <v>100</v>
      </c>
      <c r="IS117" s="377"/>
      <c r="IT117" s="373"/>
      <c r="IU117" s="444"/>
      <c r="IV117" s="377">
        <v>395</v>
      </c>
      <c r="IW117" s="373">
        <v>421</v>
      </c>
      <c r="IX117" s="444">
        <v>48.4</v>
      </c>
      <c r="IY117" s="377">
        <v>217</v>
      </c>
      <c r="IZ117" s="373">
        <v>344</v>
      </c>
      <c r="JA117" s="444">
        <v>38.700000000000003</v>
      </c>
      <c r="JB117" s="377">
        <v>286</v>
      </c>
      <c r="JC117" s="373">
        <v>268</v>
      </c>
      <c r="JD117" s="444">
        <v>51.6</v>
      </c>
      <c r="JE117" s="377"/>
      <c r="JF117" s="373"/>
      <c r="JG117" s="444"/>
      <c r="JH117" s="377">
        <v>75</v>
      </c>
      <c r="JI117" s="373">
        <v>70</v>
      </c>
      <c r="JJ117" s="444">
        <v>51.7</v>
      </c>
      <c r="JK117" s="377">
        <v>41</v>
      </c>
      <c r="JL117" s="373">
        <v>63</v>
      </c>
      <c r="JM117" s="444">
        <v>39.4</v>
      </c>
      <c r="JN117" s="377">
        <v>67</v>
      </c>
      <c r="JO117" s="373">
        <v>68</v>
      </c>
      <c r="JP117" s="444">
        <v>49.6</v>
      </c>
      <c r="JQ117" s="377"/>
      <c r="JR117" s="373"/>
      <c r="JS117" s="444"/>
      <c r="JT117" s="377"/>
      <c r="JU117" s="373"/>
      <c r="JV117" s="444" t="s">
        <v>6</v>
      </c>
      <c r="JW117" s="377"/>
      <c r="JX117" s="373"/>
      <c r="JY117" s="444" t="s">
        <v>6</v>
      </c>
      <c r="JZ117" s="377"/>
      <c r="KA117" s="373"/>
      <c r="KB117" s="444" t="s">
        <v>6</v>
      </c>
      <c r="KC117" s="377"/>
      <c r="KD117" s="373"/>
      <c r="KE117" s="444"/>
      <c r="KF117" s="377"/>
      <c r="KG117" s="373"/>
      <c r="KH117" s="444" t="s">
        <v>6</v>
      </c>
      <c r="KI117" s="377"/>
      <c r="KJ117" s="373"/>
      <c r="KK117" s="444" t="s">
        <v>6</v>
      </c>
      <c r="KL117" s="377"/>
      <c r="KM117" s="373"/>
      <c r="KN117" s="444" t="s">
        <v>6</v>
      </c>
      <c r="KO117" s="377"/>
      <c r="KP117" s="373"/>
      <c r="KQ117" s="444"/>
      <c r="KR117" s="377">
        <v>84</v>
      </c>
      <c r="KS117" s="373">
        <v>73</v>
      </c>
      <c r="KT117" s="444">
        <v>53.5</v>
      </c>
      <c r="KU117" s="377">
        <v>53</v>
      </c>
      <c r="KV117" s="373">
        <v>65</v>
      </c>
      <c r="KW117" s="444">
        <v>44.9</v>
      </c>
      <c r="KX117" s="377">
        <v>75</v>
      </c>
      <c r="KY117" s="373">
        <v>71</v>
      </c>
      <c r="KZ117" s="444">
        <v>51.4</v>
      </c>
      <c r="LA117" s="377"/>
      <c r="LB117" s="373"/>
      <c r="LC117" s="444"/>
      <c r="LD117" s="377">
        <v>510</v>
      </c>
      <c r="LE117" s="373">
        <v>497</v>
      </c>
      <c r="LF117" s="444">
        <v>50.6</v>
      </c>
      <c r="LG117" s="377">
        <v>386</v>
      </c>
      <c r="LH117" s="373">
        <v>404</v>
      </c>
      <c r="LI117" s="444">
        <v>48.9</v>
      </c>
      <c r="LJ117" s="377">
        <v>410</v>
      </c>
      <c r="LK117" s="373">
        <v>341</v>
      </c>
      <c r="LL117" s="444">
        <v>54.6</v>
      </c>
      <c r="LM117" s="377"/>
      <c r="LN117" s="373"/>
      <c r="LO117" s="444"/>
    </row>
    <row r="118" spans="1:327" x14ac:dyDescent="0.2">
      <c r="A118" s="1001"/>
      <c r="B118" s="747" t="s">
        <v>621</v>
      </c>
      <c r="C118" s="151" t="s">
        <v>713</v>
      </c>
      <c r="D118" s="377"/>
      <c r="E118" s="373"/>
      <c r="F118" s="444" t="s">
        <v>6</v>
      </c>
      <c r="G118" s="377"/>
      <c r="H118" s="373"/>
      <c r="I118" s="444" t="s">
        <v>6</v>
      </c>
      <c r="J118" s="377"/>
      <c r="K118" s="373"/>
      <c r="L118" s="444" t="s">
        <v>6</v>
      </c>
      <c r="M118" s="377"/>
      <c r="N118" s="373"/>
      <c r="O118" s="444"/>
      <c r="P118" s="377"/>
      <c r="Q118" s="373"/>
      <c r="R118" s="444" t="s">
        <v>6</v>
      </c>
      <c r="S118" s="377"/>
      <c r="T118" s="373"/>
      <c r="U118" s="444" t="s">
        <v>6</v>
      </c>
      <c r="V118" s="377"/>
      <c r="W118" s="373"/>
      <c r="X118" s="444" t="s">
        <v>6</v>
      </c>
      <c r="Y118" s="377"/>
      <c r="Z118" s="373"/>
      <c r="AA118" s="444"/>
      <c r="AB118" s="377"/>
      <c r="AC118" s="373"/>
      <c r="AD118" s="444" t="s">
        <v>6</v>
      </c>
      <c r="AE118" s="377"/>
      <c r="AF118" s="373"/>
      <c r="AG118" s="444" t="s">
        <v>6</v>
      </c>
      <c r="AH118" s="377"/>
      <c r="AI118" s="373"/>
      <c r="AJ118" s="444" t="s">
        <v>6</v>
      </c>
      <c r="AK118" s="377"/>
      <c r="AL118" s="373"/>
      <c r="AM118" s="444"/>
      <c r="AN118" s="377">
        <v>16</v>
      </c>
      <c r="AO118" s="373">
        <v>2</v>
      </c>
      <c r="AP118" s="444">
        <v>88.9</v>
      </c>
      <c r="AQ118" s="377">
        <v>9</v>
      </c>
      <c r="AR118" s="373">
        <v>1</v>
      </c>
      <c r="AS118" s="444">
        <v>90</v>
      </c>
      <c r="AT118" s="377">
        <v>14</v>
      </c>
      <c r="AU118" s="373">
        <v>1</v>
      </c>
      <c r="AV118" s="444">
        <v>93.3</v>
      </c>
      <c r="AW118" s="377"/>
      <c r="AX118" s="373"/>
      <c r="AY118" s="444"/>
      <c r="AZ118" s="377">
        <v>9</v>
      </c>
      <c r="BA118" s="373">
        <v>2</v>
      </c>
      <c r="BB118" s="444">
        <v>81.8</v>
      </c>
      <c r="BC118" s="377">
        <v>5</v>
      </c>
      <c r="BD118" s="373">
        <v>1</v>
      </c>
      <c r="BE118" s="444">
        <v>83.3</v>
      </c>
      <c r="BF118" s="377">
        <v>5</v>
      </c>
      <c r="BG118" s="373">
        <v>1</v>
      </c>
      <c r="BH118" s="444">
        <v>83.3</v>
      </c>
      <c r="BI118" s="377"/>
      <c r="BJ118" s="373"/>
      <c r="BK118" s="444"/>
      <c r="BL118" s="377"/>
      <c r="BM118" s="373"/>
      <c r="BN118" s="444" t="s">
        <v>6</v>
      </c>
      <c r="BO118" s="377"/>
      <c r="BP118" s="373"/>
      <c r="BQ118" s="444" t="s">
        <v>6</v>
      </c>
      <c r="BR118" s="377"/>
      <c r="BS118" s="373"/>
      <c r="BT118" s="444" t="s">
        <v>6</v>
      </c>
      <c r="BU118" s="377"/>
      <c r="BV118" s="373"/>
      <c r="BW118" s="444"/>
      <c r="BX118" s="377"/>
      <c r="BY118" s="373"/>
      <c r="BZ118" s="444" t="s">
        <v>6</v>
      </c>
      <c r="CA118" s="377"/>
      <c r="CB118" s="373"/>
      <c r="CC118" s="444" t="s">
        <v>6</v>
      </c>
      <c r="CD118" s="377"/>
      <c r="CE118" s="373"/>
      <c r="CF118" s="444" t="s">
        <v>6</v>
      </c>
      <c r="CG118" s="377"/>
      <c r="CH118" s="373"/>
      <c r="CI118" s="444"/>
      <c r="CJ118" s="377"/>
      <c r="CK118" s="373"/>
      <c r="CL118" s="444" t="s">
        <v>6</v>
      </c>
      <c r="CM118" s="377"/>
      <c r="CN118" s="373"/>
      <c r="CO118" s="444" t="s">
        <v>6</v>
      </c>
      <c r="CP118" s="377"/>
      <c r="CQ118" s="373"/>
      <c r="CR118" s="444" t="s">
        <v>6</v>
      </c>
      <c r="CS118" s="377"/>
      <c r="CT118" s="373"/>
      <c r="CU118" s="444"/>
      <c r="CV118" s="377">
        <v>24</v>
      </c>
      <c r="CW118" s="373">
        <v>2</v>
      </c>
      <c r="CX118" s="444">
        <v>92.3</v>
      </c>
      <c r="CY118" s="377">
        <v>17</v>
      </c>
      <c r="CZ118" s="373">
        <v>4</v>
      </c>
      <c r="DA118" s="444">
        <v>81</v>
      </c>
      <c r="DB118" s="377">
        <v>20</v>
      </c>
      <c r="DC118" s="373">
        <v>1</v>
      </c>
      <c r="DD118" s="444">
        <v>95.2</v>
      </c>
      <c r="DE118" s="377"/>
      <c r="DF118" s="373"/>
      <c r="DG118" s="444"/>
      <c r="DH118" s="377">
        <v>1</v>
      </c>
      <c r="DI118" s="373"/>
      <c r="DJ118" s="444">
        <v>100</v>
      </c>
      <c r="DK118" s="377">
        <v>1</v>
      </c>
      <c r="DL118" s="373"/>
      <c r="DM118" s="444">
        <v>100</v>
      </c>
      <c r="DN118" s="377"/>
      <c r="DO118" s="373"/>
      <c r="DP118" s="444" t="s">
        <v>6</v>
      </c>
      <c r="DQ118" s="377"/>
      <c r="DR118" s="373"/>
      <c r="DS118" s="444"/>
      <c r="DT118" s="377"/>
      <c r="DU118" s="373"/>
      <c r="DV118" s="444" t="s">
        <v>6</v>
      </c>
      <c r="DW118" s="377"/>
      <c r="DX118" s="373"/>
      <c r="DY118" s="444" t="s">
        <v>6</v>
      </c>
      <c r="DZ118" s="377"/>
      <c r="EA118" s="373"/>
      <c r="EB118" s="444" t="s">
        <v>6</v>
      </c>
      <c r="EC118" s="377"/>
      <c r="ED118" s="373"/>
      <c r="EE118" s="444"/>
      <c r="EF118" s="377">
        <v>102</v>
      </c>
      <c r="EG118" s="373">
        <v>223</v>
      </c>
      <c r="EH118" s="444">
        <v>31.4</v>
      </c>
      <c r="EI118" s="377">
        <v>78</v>
      </c>
      <c r="EJ118" s="373">
        <v>119</v>
      </c>
      <c r="EK118" s="444">
        <v>39.6</v>
      </c>
      <c r="EL118" s="377">
        <v>118</v>
      </c>
      <c r="EM118" s="373">
        <v>87</v>
      </c>
      <c r="EN118" s="444">
        <v>57.6</v>
      </c>
      <c r="EO118" s="377"/>
      <c r="EP118" s="373"/>
      <c r="EQ118" s="444"/>
      <c r="ER118" s="377"/>
      <c r="ES118" s="373"/>
      <c r="ET118" s="444" t="s">
        <v>6</v>
      </c>
      <c r="EU118" s="377"/>
      <c r="EV118" s="373"/>
      <c r="EW118" s="444" t="s">
        <v>6</v>
      </c>
      <c r="EX118" s="377">
        <v>2</v>
      </c>
      <c r="EY118" s="373"/>
      <c r="EZ118" s="444">
        <v>100</v>
      </c>
      <c r="FA118" s="377"/>
      <c r="FB118" s="373"/>
      <c r="FC118" s="444"/>
      <c r="FD118" s="377"/>
      <c r="FE118" s="373"/>
      <c r="FF118" s="444" t="s">
        <v>6</v>
      </c>
      <c r="FG118" s="377">
        <v>3</v>
      </c>
      <c r="FH118" s="373"/>
      <c r="FI118" s="444">
        <v>100</v>
      </c>
      <c r="FJ118" s="377">
        <v>1</v>
      </c>
      <c r="FK118" s="373">
        <v>1</v>
      </c>
      <c r="FL118" s="444">
        <v>50</v>
      </c>
      <c r="FM118" s="377"/>
      <c r="FN118" s="373"/>
      <c r="FO118" s="444"/>
      <c r="FP118" s="377">
        <v>32</v>
      </c>
      <c r="FQ118" s="373">
        <v>39</v>
      </c>
      <c r="FR118" s="444">
        <v>45.1</v>
      </c>
      <c r="FS118" s="377">
        <v>11</v>
      </c>
      <c r="FT118" s="373">
        <v>13</v>
      </c>
      <c r="FU118" s="444">
        <v>45.8</v>
      </c>
      <c r="FV118" s="377">
        <v>28</v>
      </c>
      <c r="FW118" s="373">
        <v>11</v>
      </c>
      <c r="FX118" s="444">
        <v>71.8</v>
      </c>
      <c r="FY118" s="377"/>
      <c r="FZ118" s="373"/>
      <c r="GA118" s="444"/>
      <c r="GB118" s="377">
        <v>5</v>
      </c>
      <c r="GC118" s="373"/>
      <c r="GD118" s="444">
        <v>100</v>
      </c>
      <c r="GE118" s="377">
        <v>4</v>
      </c>
      <c r="GF118" s="373"/>
      <c r="GG118" s="444">
        <v>100</v>
      </c>
      <c r="GH118" s="377"/>
      <c r="GI118" s="373"/>
      <c r="GJ118" s="444" t="s">
        <v>6</v>
      </c>
      <c r="GK118" s="377"/>
      <c r="GL118" s="373"/>
      <c r="GM118" s="444"/>
      <c r="GN118" s="377">
        <v>1</v>
      </c>
      <c r="GO118" s="373">
        <v>2</v>
      </c>
      <c r="GP118" s="444">
        <v>33.299999999999997</v>
      </c>
      <c r="GQ118" s="377"/>
      <c r="GR118" s="373"/>
      <c r="GS118" s="444" t="s">
        <v>6</v>
      </c>
      <c r="GT118" s="377"/>
      <c r="GU118" s="373"/>
      <c r="GV118" s="444" t="s">
        <v>6</v>
      </c>
      <c r="GW118" s="377"/>
      <c r="GX118" s="373"/>
      <c r="GY118" s="444"/>
      <c r="GZ118" s="377"/>
      <c r="HA118" s="373"/>
      <c r="HB118" s="444" t="s">
        <v>6</v>
      </c>
      <c r="HC118" s="377"/>
      <c r="HD118" s="373"/>
      <c r="HE118" s="444" t="s">
        <v>6</v>
      </c>
      <c r="HF118" s="377"/>
      <c r="HG118" s="373"/>
      <c r="HH118" s="444" t="s">
        <v>6</v>
      </c>
      <c r="HI118" s="377"/>
      <c r="HJ118" s="373"/>
      <c r="HK118" s="444"/>
      <c r="HL118" s="377">
        <v>4</v>
      </c>
      <c r="HM118" s="373">
        <v>9</v>
      </c>
      <c r="HN118" s="444">
        <v>30.8</v>
      </c>
      <c r="HO118" s="377">
        <v>2</v>
      </c>
      <c r="HP118" s="373">
        <v>7</v>
      </c>
      <c r="HQ118" s="444">
        <v>22.2</v>
      </c>
      <c r="HR118" s="377">
        <v>2</v>
      </c>
      <c r="HS118" s="373">
        <v>10</v>
      </c>
      <c r="HT118" s="444">
        <v>16.7</v>
      </c>
      <c r="HU118" s="377"/>
      <c r="HV118" s="373"/>
      <c r="HW118" s="444"/>
      <c r="HX118" s="377">
        <v>1</v>
      </c>
      <c r="HY118" s="373"/>
      <c r="HZ118" s="444">
        <v>100</v>
      </c>
      <c r="IA118" s="377">
        <v>1</v>
      </c>
      <c r="IB118" s="373"/>
      <c r="IC118" s="444">
        <v>100</v>
      </c>
      <c r="ID118" s="377"/>
      <c r="IE118" s="373"/>
      <c r="IF118" s="444" t="s">
        <v>6</v>
      </c>
      <c r="IG118" s="377"/>
      <c r="IH118" s="373"/>
      <c r="II118" s="444"/>
      <c r="IJ118" s="377">
        <v>3</v>
      </c>
      <c r="IK118" s="373"/>
      <c r="IL118" s="444">
        <v>100</v>
      </c>
      <c r="IM118" s="377"/>
      <c r="IN118" s="373"/>
      <c r="IO118" s="444" t="s">
        <v>6</v>
      </c>
      <c r="IP118" s="377">
        <v>2</v>
      </c>
      <c r="IQ118" s="373"/>
      <c r="IR118" s="444">
        <v>100</v>
      </c>
      <c r="IS118" s="377"/>
      <c r="IT118" s="373"/>
      <c r="IU118" s="444"/>
      <c r="IV118" s="377">
        <v>157</v>
      </c>
      <c r="IW118" s="373">
        <v>238</v>
      </c>
      <c r="IX118" s="444">
        <v>39.700000000000003</v>
      </c>
      <c r="IY118" s="377">
        <v>112</v>
      </c>
      <c r="IZ118" s="373">
        <v>131</v>
      </c>
      <c r="JA118" s="444">
        <v>46.1</v>
      </c>
      <c r="JB118" s="377">
        <v>156</v>
      </c>
      <c r="JC118" s="373">
        <v>99</v>
      </c>
      <c r="JD118" s="444">
        <v>61.2</v>
      </c>
      <c r="JE118" s="377"/>
      <c r="JF118" s="373"/>
      <c r="JG118" s="444"/>
      <c r="JH118" s="377">
        <v>29</v>
      </c>
      <c r="JI118" s="373">
        <v>26</v>
      </c>
      <c r="JJ118" s="444">
        <v>52.7</v>
      </c>
      <c r="JK118" s="377">
        <v>30</v>
      </c>
      <c r="JL118" s="373">
        <v>22</v>
      </c>
      <c r="JM118" s="444">
        <v>57.7</v>
      </c>
      <c r="JN118" s="377">
        <v>18</v>
      </c>
      <c r="JO118" s="373">
        <v>7</v>
      </c>
      <c r="JP118" s="444">
        <v>72</v>
      </c>
      <c r="JQ118" s="377"/>
      <c r="JR118" s="373"/>
      <c r="JS118" s="444"/>
      <c r="JT118" s="377"/>
      <c r="JU118" s="373"/>
      <c r="JV118" s="444" t="s">
        <v>6</v>
      </c>
      <c r="JW118" s="377"/>
      <c r="JX118" s="373"/>
      <c r="JY118" s="444" t="s">
        <v>6</v>
      </c>
      <c r="JZ118" s="377"/>
      <c r="KA118" s="373"/>
      <c r="KB118" s="444" t="s">
        <v>6</v>
      </c>
      <c r="KC118" s="377"/>
      <c r="KD118" s="373"/>
      <c r="KE118" s="444"/>
      <c r="KF118" s="377"/>
      <c r="KG118" s="373"/>
      <c r="KH118" s="444" t="s">
        <v>6</v>
      </c>
      <c r="KI118" s="377"/>
      <c r="KJ118" s="373"/>
      <c r="KK118" s="444" t="s">
        <v>6</v>
      </c>
      <c r="KL118" s="377"/>
      <c r="KM118" s="373"/>
      <c r="KN118" s="444" t="s">
        <v>6</v>
      </c>
      <c r="KO118" s="377"/>
      <c r="KP118" s="373"/>
      <c r="KQ118" s="444"/>
      <c r="KR118" s="377">
        <v>36</v>
      </c>
      <c r="KS118" s="373">
        <v>29</v>
      </c>
      <c r="KT118" s="444">
        <v>55.4</v>
      </c>
      <c r="KU118" s="377">
        <v>36</v>
      </c>
      <c r="KV118" s="373">
        <v>23</v>
      </c>
      <c r="KW118" s="444">
        <v>61</v>
      </c>
      <c r="KX118" s="377">
        <v>22</v>
      </c>
      <c r="KY118" s="373">
        <v>8</v>
      </c>
      <c r="KZ118" s="444">
        <v>73.3</v>
      </c>
      <c r="LA118" s="377"/>
      <c r="LB118" s="373"/>
      <c r="LC118" s="444"/>
      <c r="LD118" s="377">
        <v>236</v>
      </c>
      <c r="LE118" s="373">
        <v>287</v>
      </c>
      <c r="LF118" s="444">
        <v>45.1</v>
      </c>
      <c r="LG118" s="377">
        <v>152</v>
      </c>
      <c r="LH118" s="373">
        <v>172</v>
      </c>
      <c r="LI118" s="444">
        <v>46.9</v>
      </c>
      <c r="LJ118" s="377">
        <v>234</v>
      </c>
      <c r="LK118" s="373">
        <v>157</v>
      </c>
      <c r="LL118" s="444">
        <v>59.8</v>
      </c>
      <c r="LM118" s="377"/>
      <c r="LN118" s="373"/>
      <c r="LO118" s="444"/>
    </row>
    <row r="119" spans="1:327" x14ac:dyDescent="0.2">
      <c r="A119" s="1001"/>
      <c r="B119" s="747" t="s">
        <v>621</v>
      </c>
      <c r="C119" s="151" t="s">
        <v>714</v>
      </c>
      <c r="D119" s="377"/>
      <c r="E119" s="373"/>
      <c r="F119" s="444" t="s">
        <v>6</v>
      </c>
      <c r="G119" s="377"/>
      <c r="H119" s="373"/>
      <c r="I119" s="444" t="s">
        <v>6</v>
      </c>
      <c r="J119" s="377"/>
      <c r="K119" s="373"/>
      <c r="L119" s="444" t="s">
        <v>6</v>
      </c>
      <c r="M119" s="377"/>
      <c r="N119" s="373"/>
      <c r="O119" s="444"/>
      <c r="P119" s="377"/>
      <c r="Q119" s="373"/>
      <c r="R119" s="444" t="s">
        <v>6</v>
      </c>
      <c r="S119" s="377"/>
      <c r="T119" s="373"/>
      <c r="U119" s="444" t="s">
        <v>6</v>
      </c>
      <c r="V119" s="377"/>
      <c r="W119" s="373"/>
      <c r="X119" s="444" t="s">
        <v>6</v>
      </c>
      <c r="Y119" s="377"/>
      <c r="Z119" s="373"/>
      <c r="AA119" s="444"/>
      <c r="AB119" s="377"/>
      <c r="AC119" s="373"/>
      <c r="AD119" s="444" t="s">
        <v>6</v>
      </c>
      <c r="AE119" s="377"/>
      <c r="AF119" s="373"/>
      <c r="AG119" s="444" t="s">
        <v>6</v>
      </c>
      <c r="AH119" s="377"/>
      <c r="AI119" s="373"/>
      <c r="AJ119" s="444" t="s">
        <v>6</v>
      </c>
      <c r="AK119" s="377"/>
      <c r="AL119" s="373"/>
      <c r="AM119" s="444"/>
      <c r="AN119" s="377">
        <v>20</v>
      </c>
      <c r="AO119" s="373"/>
      <c r="AP119" s="444">
        <v>100</v>
      </c>
      <c r="AQ119" s="377">
        <v>6</v>
      </c>
      <c r="AR119" s="373">
        <v>2</v>
      </c>
      <c r="AS119" s="444">
        <v>75</v>
      </c>
      <c r="AT119" s="377">
        <v>11</v>
      </c>
      <c r="AU119" s="373"/>
      <c r="AV119" s="444">
        <v>100</v>
      </c>
      <c r="AW119" s="377"/>
      <c r="AX119" s="373"/>
      <c r="AY119" s="444"/>
      <c r="AZ119" s="377">
        <v>12</v>
      </c>
      <c r="BA119" s="373"/>
      <c r="BB119" s="444">
        <v>100</v>
      </c>
      <c r="BC119" s="377">
        <v>3</v>
      </c>
      <c r="BD119" s="373">
        <v>2</v>
      </c>
      <c r="BE119" s="444">
        <v>60</v>
      </c>
      <c r="BF119" s="377">
        <v>6</v>
      </c>
      <c r="BG119" s="373"/>
      <c r="BH119" s="444">
        <v>100</v>
      </c>
      <c r="BI119" s="377"/>
      <c r="BJ119" s="373"/>
      <c r="BK119" s="444"/>
      <c r="BL119" s="377"/>
      <c r="BM119" s="373"/>
      <c r="BN119" s="444" t="s">
        <v>6</v>
      </c>
      <c r="BO119" s="377"/>
      <c r="BP119" s="373"/>
      <c r="BQ119" s="444" t="s">
        <v>6</v>
      </c>
      <c r="BR119" s="377"/>
      <c r="BS119" s="373"/>
      <c r="BT119" s="444" t="s">
        <v>6</v>
      </c>
      <c r="BU119" s="377"/>
      <c r="BV119" s="373"/>
      <c r="BW119" s="444"/>
      <c r="BX119" s="377"/>
      <c r="BY119" s="373"/>
      <c r="BZ119" s="444" t="s">
        <v>6</v>
      </c>
      <c r="CA119" s="377"/>
      <c r="CB119" s="373"/>
      <c r="CC119" s="444" t="s">
        <v>6</v>
      </c>
      <c r="CD119" s="377"/>
      <c r="CE119" s="373"/>
      <c r="CF119" s="444" t="s">
        <v>6</v>
      </c>
      <c r="CG119" s="377"/>
      <c r="CH119" s="373"/>
      <c r="CI119" s="444"/>
      <c r="CJ119" s="377"/>
      <c r="CK119" s="373"/>
      <c r="CL119" s="444" t="s">
        <v>6</v>
      </c>
      <c r="CM119" s="377"/>
      <c r="CN119" s="373"/>
      <c r="CO119" s="444" t="s">
        <v>6</v>
      </c>
      <c r="CP119" s="377"/>
      <c r="CQ119" s="373"/>
      <c r="CR119" s="444" t="s">
        <v>6</v>
      </c>
      <c r="CS119" s="377"/>
      <c r="CT119" s="373"/>
      <c r="CU119" s="444"/>
      <c r="CV119" s="377">
        <v>25</v>
      </c>
      <c r="CW119" s="373">
        <v>1</v>
      </c>
      <c r="CX119" s="444">
        <v>96.2</v>
      </c>
      <c r="CY119" s="377">
        <v>27</v>
      </c>
      <c r="CZ119" s="373"/>
      <c r="DA119" s="444">
        <v>100</v>
      </c>
      <c r="DB119" s="377">
        <v>26</v>
      </c>
      <c r="DC119" s="373">
        <v>3</v>
      </c>
      <c r="DD119" s="444">
        <v>89.7</v>
      </c>
      <c r="DE119" s="377"/>
      <c r="DF119" s="373"/>
      <c r="DG119" s="444"/>
      <c r="DH119" s="377">
        <v>1</v>
      </c>
      <c r="DI119" s="373"/>
      <c r="DJ119" s="444">
        <v>100</v>
      </c>
      <c r="DK119" s="377">
        <v>1</v>
      </c>
      <c r="DL119" s="373"/>
      <c r="DM119" s="444">
        <v>100</v>
      </c>
      <c r="DN119" s="377">
        <v>2</v>
      </c>
      <c r="DO119" s="373"/>
      <c r="DP119" s="444">
        <v>100</v>
      </c>
      <c r="DQ119" s="377"/>
      <c r="DR119" s="373"/>
      <c r="DS119" s="444"/>
      <c r="DT119" s="377"/>
      <c r="DU119" s="373"/>
      <c r="DV119" s="444" t="s">
        <v>6</v>
      </c>
      <c r="DW119" s="377">
        <v>5</v>
      </c>
      <c r="DX119" s="373"/>
      <c r="DY119" s="444">
        <v>100</v>
      </c>
      <c r="DZ119" s="377"/>
      <c r="EA119" s="373"/>
      <c r="EB119" s="444" t="s">
        <v>6</v>
      </c>
      <c r="EC119" s="377"/>
      <c r="ED119" s="373"/>
      <c r="EE119" s="444"/>
      <c r="EF119" s="377">
        <v>91</v>
      </c>
      <c r="EG119" s="373">
        <v>164</v>
      </c>
      <c r="EH119" s="444">
        <v>35.700000000000003</v>
      </c>
      <c r="EI119" s="377">
        <v>194</v>
      </c>
      <c r="EJ119" s="373">
        <v>108</v>
      </c>
      <c r="EK119" s="444">
        <v>64.2</v>
      </c>
      <c r="EL119" s="377">
        <v>58</v>
      </c>
      <c r="EM119" s="373">
        <v>67</v>
      </c>
      <c r="EN119" s="444">
        <v>46.4</v>
      </c>
      <c r="EO119" s="377"/>
      <c r="EP119" s="373"/>
      <c r="EQ119" s="444"/>
      <c r="ER119" s="377"/>
      <c r="ES119" s="373">
        <v>1</v>
      </c>
      <c r="ET119" s="444">
        <v>0</v>
      </c>
      <c r="EU119" s="377"/>
      <c r="EV119" s="373"/>
      <c r="EW119" s="444" t="s">
        <v>6</v>
      </c>
      <c r="EX119" s="377"/>
      <c r="EY119" s="373"/>
      <c r="EZ119" s="444" t="s">
        <v>6</v>
      </c>
      <c r="FA119" s="377"/>
      <c r="FB119" s="373"/>
      <c r="FC119" s="444"/>
      <c r="FD119" s="377"/>
      <c r="FE119" s="373">
        <v>2</v>
      </c>
      <c r="FF119" s="444">
        <v>0</v>
      </c>
      <c r="FG119" s="377">
        <v>2</v>
      </c>
      <c r="FH119" s="373">
        <v>6</v>
      </c>
      <c r="FI119" s="444">
        <v>25</v>
      </c>
      <c r="FJ119" s="377"/>
      <c r="FK119" s="373"/>
      <c r="FL119" s="444" t="s">
        <v>6</v>
      </c>
      <c r="FM119" s="377"/>
      <c r="FN119" s="373"/>
      <c r="FO119" s="444"/>
      <c r="FP119" s="377">
        <v>12</v>
      </c>
      <c r="FQ119" s="373">
        <v>42</v>
      </c>
      <c r="FR119" s="444">
        <v>22.2</v>
      </c>
      <c r="FS119" s="377">
        <v>71</v>
      </c>
      <c r="FT119" s="373">
        <v>22</v>
      </c>
      <c r="FU119" s="444">
        <v>76.3</v>
      </c>
      <c r="FV119" s="377">
        <v>11</v>
      </c>
      <c r="FW119" s="373">
        <v>18</v>
      </c>
      <c r="FX119" s="444">
        <v>37.9</v>
      </c>
      <c r="FY119" s="377"/>
      <c r="FZ119" s="373"/>
      <c r="GA119" s="444"/>
      <c r="GB119" s="377">
        <v>2</v>
      </c>
      <c r="GC119" s="373"/>
      <c r="GD119" s="444">
        <v>100</v>
      </c>
      <c r="GE119" s="377">
        <v>1</v>
      </c>
      <c r="GF119" s="373"/>
      <c r="GG119" s="444">
        <v>100</v>
      </c>
      <c r="GH119" s="377">
        <v>3</v>
      </c>
      <c r="GI119" s="373"/>
      <c r="GJ119" s="444">
        <v>100</v>
      </c>
      <c r="GK119" s="377"/>
      <c r="GL119" s="373"/>
      <c r="GM119" s="444"/>
      <c r="GN119" s="377"/>
      <c r="GO119" s="373"/>
      <c r="GP119" s="444" t="s">
        <v>6</v>
      </c>
      <c r="GQ119" s="377">
        <v>2</v>
      </c>
      <c r="GR119" s="373"/>
      <c r="GS119" s="444">
        <v>100</v>
      </c>
      <c r="GT119" s="377">
        <v>4</v>
      </c>
      <c r="GU119" s="373"/>
      <c r="GV119" s="444">
        <v>100</v>
      </c>
      <c r="GW119" s="377"/>
      <c r="GX119" s="373"/>
      <c r="GY119" s="444"/>
      <c r="GZ119" s="377">
        <v>2</v>
      </c>
      <c r="HA119" s="373"/>
      <c r="HB119" s="444">
        <v>100</v>
      </c>
      <c r="HC119" s="377">
        <v>1</v>
      </c>
      <c r="HD119" s="373"/>
      <c r="HE119" s="444">
        <v>100</v>
      </c>
      <c r="HF119" s="377"/>
      <c r="HG119" s="373"/>
      <c r="HH119" s="444" t="s">
        <v>6</v>
      </c>
      <c r="HI119" s="377"/>
      <c r="HJ119" s="373"/>
      <c r="HK119" s="444"/>
      <c r="HL119" s="377">
        <v>5</v>
      </c>
      <c r="HM119" s="373">
        <v>3</v>
      </c>
      <c r="HN119" s="444">
        <v>62.5</v>
      </c>
      <c r="HO119" s="377">
        <v>7</v>
      </c>
      <c r="HP119" s="373"/>
      <c r="HQ119" s="444">
        <v>100</v>
      </c>
      <c r="HR119" s="377"/>
      <c r="HS119" s="373">
        <v>5</v>
      </c>
      <c r="HT119" s="444">
        <v>0</v>
      </c>
      <c r="HU119" s="377"/>
      <c r="HV119" s="373"/>
      <c r="HW119" s="444"/>
      <c r="HX119" s="377">
        <v>5</v>
      </c>
      <c r="HY119" s="373"/>
      <c r="HZ119" s="444">
        <v>100</v>
      </c>
      <c r="IA119" s="377">
        <v>1</v>
      </c>
      <c r="IB119" s="373">
        <v>2</v>
      </c>
      <c r="IC119" s="444">
        <v>33.299999999999997</v>
      </c>
      <c r="ID119" s="377"/>
      <c r="IE119" s="373"/>
      <c r="IF119" s="444" t="s">
        <v>6</v>
      </c>
      <c r="IG119" s="377"/>
      <c r="IH119" s="373"/>
      <c r="II119" s="444"/>
      <c r="IJ119" s="377"/>
      <c r="IK119" s="373"/>
      <c r="IL119" s="444" t="s">
        <v>6</v>
      </c>
      <c r="IM119" s="377"/>
      <c r="IN119" s="373"/>
      <c r="IO119" s="444" t="s">
        <v>6</v>
      </c>
      <c r="IP119" s="377">
        <v>1</v>
      </c>
      <c r="IQ119" s="373"/>
      <c r="IR119" s="444">
        <v>100</v>
      </c>
      <c r="IS119" s="377"/>
      <c r="IT119" s="373"/>
      <c r="IU119" s="444"/>
      <c r="IV119" s="377">
        <v>151</v>
      </c>
      <c r="IW119" s="373">
        <v>168</v>
      </c>
      <c r="IX119" s="444">
        <v>47.3</v>
      </c>
      <c r="IY119" s="377">
        <v>245</v>
      </c>
      <c r="IZ119" s="373">
        <v>112</v>
      </c>
      <c r="JA119" s="444">
        <v>68.599999999999994</v>
      </c>
      <c r="JB119" s="377">
        <v>105</v>
      </c>
      <c r="JC119" s="373">
        <v>75</v>
      </c>
      <c r="JD119" s="444">
        <v>58.3</v>
      </c>
      <c r="JE119" s="377"/>
      <c r="JF119" s="373"/>
      <c r="JG119" s="444"/>
      <c r="JH119" s="377">
        <v>31</v>
      </c>
      <c r="JI119" s="373">
        <v>17</v>
      </c>
      <c r="JJ119" s="444">
        <v>64.599999999999994</v>
      </c>
      <c r="JK119" s="377">
        <v>24</v>
      </c>
      <c r="JL119" s="373">
        <v>24</v>
      </c>
      <c r="JM119" s="444">
        <v>50</v>
      </c>
      <c r="JN119" s="377">
        <v>21</v>
      </c>
      <c r="JO119" s="373">
        <v>14</v>
      </c>
      <c r="JP119" s="444">
        <v>60</v>
      </c>
      <c r="JQ119" s="377"/>
      <c r="JR119" s="373"/>
      <c r="JS119" s="444"/>
      <c r="JT119" s="377"/>
      <c r="JU119" s="373"/>
      <c r="JV119" s="444" t="s">
        <v>6</v>
      </c>
      <c r="JW119" s="377"/>
      <c r="JX119" s="373"/>
      <c r="JY119" s="444" t="s">
        <v>6</v>
      </c>
      <c r="JZ119" s="377"/>
      <c r="KA119" s="373"/>
      <c r="KB119" s="444" t="s">
        <v>6</v>
      </c>
      <c r="KC119" s="377"/>
      <c r="KD119" s="373"/>
      <c r="KE119" s="444"/>
      <c r="KF119" s="377"/>
      <c r="KG119" s="373"/>
      <c r="KH119" s="444" t="s">
        <v>6</v>
      </c>
      <c r="KI119" s="377"/>
      <c r="KJ119" s="373"/>
      <c r="KK119" s="444" t="s">
        <v>6</v>
      </c>
      <c r="KL119" s="377"/>
      <c r="KM119" s="373"/>
      <c r="KN119" s="444" t="s">
        <v>6</v>
      </c>
      <c r="KO119" s="377"/>
      <c r="KP119" s="373"/>
      <c r="KQ119" s="444"/>
      <c r="KR119" s="377">
        <v>33</v>
      </c>
      <c r="KS119" s="373">
        <v>18</v>
      </c>
      <c r="KT119" s="444">
        <v>64.7</v>
      </c>
      <c r="KU119" s="377">
        <v>29</v>
      </c>
      <c r="KV119" s="373">
        <v>25</v>
      </c>
      <c r="KW119" s="444">
        <v>53.7</v>
      </c>
      <c r="KX119" s="377">
        <v>24</v>
      </c>
      <c r="KY119" s="373">
        <v>14</v>
      </c>
      <c r="KZ119" s="444">
        <v>63.2</v>
      </c>
      <c r="LA119" s="377"/>
      <c r="LB119" s="373"/>
      <c r="LC119" s="444"/>
      <c r="LD119" s="377">
        <v>197</v>
      </c>
      <c r="LE119" s="373">
        <v>182</v>
      </c>
      <c r="LF119" s="444">
        <v>52</v>
      </c>
      <c r="LG119" s="377">
        <v>293</v>
      </c>
      <c r="LH119" s="373">
        <v>129</v>
      </c>
      <c r="LI119" s="444">
        <v>69.400000000000006</v>
      </c>
      <c r="LJ119" s="377">
        <v>154</v>
      </c>
      <c r="LK119" s="373">
        <v>91</v>
      </c>
      <c r="LL119" s="444">
        <v>62.9</v>
      </c>
      <c r="LM119" s="377"/>
      <c r="LN119" s="373"/>
      <c r="LO119" s="444"/>
    </row>
    <row r="120" spans="1:327" x14ac:dyDescent="0.2">
      <c r="A120" s="1001"/>
      <c r="B120" s="747" t="s">
        <v>621</v>
      </c>
      <c r="C120" s="151" t="s">
        <v>715</v>
      </c>
      <c r="D120" s="377"/>
      <c r="E120" s="373"/>
      <c r="F120" s="444" t="s">
        <v>6</v>
      </c>
      <c r="G120" s="377"/>
      <c r="H120" s="373"/>
      <c r="I120" s="444" t="s">
        <v>6</v>
      </c>
      <c r="J120" s="377"/>
      <c r="K120" s="373"/>
      <c r="L120" s="444" t="s">
        <v>6</v>
      </c>
      <c r="M120" s="377"/>
      <c r="N120" s="373"/>
      <c r="O120" s="444"/>
      <c r="P120" s="377"/>
      <c r="Q120" s="373"/>
      <c r="R120" s="444" t="s">
        <v>6</v>
      </c>
      <c r="S120" s="377"/>
      <c r="T120" s="373"/>
      <c r="U120" s="444" t="s">
        <v>6</v>
      </c>
      <c r="V120" s="377"/>
      <c r="W120" s="373"/>
      <c r="X120" s="444" t="s">
        <v>6</v>
      </c>
      <c r="Y120" s="377"/>
      <c r="Z120" s="373"/>
      <c r="AA120" s="444"/>
      <c r="AB120" s="377"/>
      <c r="AC120" s="373"/>
      <c r="AD120" s="444" t="s">
        <v>6</v>
      </c>
      <c r="AE120" s="377"/>
      <c r="AF120" s="373"/>
      <c r="AG120" s="444" t="s">
        <v>6</v>
      </c>
      <c r="AH120" s="377"/>
      <c r="AI120" s="373"/>
      <c r="AJ120" s="444" t="s">
        <v>6</v>
      </c>
      <c r="AK120" s="377"/>
      <c r="AL120" s="373"/>
      <c r="AM120" s="444"/>
      <c r="AN120" s="377">
        <v>3</v>
      </c>
      <c r="AO120" s="373"/>
      <c r="AP120" s="444">
        <v>100</v>
      </c>
      <c r="AQ120" s="377">
        <v>3</v>
      </c>
      <c r="AR120" s="373"/>
      <c r="AS120" s="444">
        <v>100</v>
      </c>
      <c r="AT120" s="377">
        <v>2</v>
      </c>
      <c r="AU120" s="373"/>
      <c r="AV120" s="444">
        <v>100</v>
      </c>
      <c r="AW120" s="377"/>
      <c r="AX120" s="373"/>
      <c r="AY120" s="444"/>
      <c r="AZ120" s="377">
        <v>3</v>
      </c>
      <c r="BA120" s="373"/>
      <c r="BB120" s="444">
        <v>100</v>
      </c>
      <c r="BC120" s="377">
        <v>2</v>
      </c>
      <c r="BD120" s="373"/>
      <c r="BE120" s="444">
        <v>100</v>
      </c>
      <c r="BF120" s="377">
        <v>2</v>
      </c>
      <c r="BG120" s="373"/>
      <c r="BH120" s="444">
        <v>100</v>
      </c>
      <c r="BI120" s="377"/>
      <c r="BJ120" s="373"/>
      <c r="BK120" s="444"/>
      <c r="BL120" s="377"/>
      <c r="BM120" s="373"/>
      <c r="BN120" s="444" t="s">
        <v>6</v>
      </c>
      <c r="BO120" s="377"/>
      <c r="BP120" s="373"/>
      <c r="BQ120" s="444" t="s">
        <v>6</v>
      </c>
      <c r="BR120" s="377"/>
      <c r="BS120" s="373"/>
      <c r="BT120" s="444" t="s">
        <v>6</v>
      </c>
      <c r="BU120" s="377"/>
      <c r="BV120" s="373"/>
      <c r="BW120" s="444"/>
      <c r="BX120" s="377"/>
      <c r="BY120" s="373"/>
      <c r="BZ120" s="444" t="s">
        <v>6</v>
      </c>
      <c r="CA120" s="377"/>
      <c r="CB120" s="373"/>
      <c r="CC120" s="444" t="s">
        <v>6</v>
      </c>
      <c r="CD120" s="377"/>
      <c r="CE120" s="373"/>
      <c r="CF120" s="444" t="s">
        <v>6</v>
      </c>
      <c r="CG120" s="377"/>
      <c r="CH120" s="373"/>
      <c r="CI120" s="444"/>
      <c r="CJ120" s="377"/>
      <c r="CK120" s="373"/>
      <c r="CL120" s="444" t="s">
        <v>6</v>
      </c>
      <c r="CM120" s="377"/>
      <c r="CN120" s="373"/>
      <c r="CO120" s="444" t="s">
        <v>6</v>
      </c>
      <c r="CP120" s="377"/>
      <c r="CQ120" s="373"/>
      <c r="CR120" s="444" t="s">
        <v>6</v>
      </c>
      <c r="CS120" s="377"/>
      <c r="CT120" s="373"/>
      <c r="CU120" s="444"/>
      <c r="CV120" s="377">
        <v>6</v>
      </c>
      <c r="CW120" s="373"/>
      <c r="CX120" s="444">
        <v>100</v>
      </c>
      <c r="CY120" s="377">
        <v>5</v>
      </c>
      <c r="CZ120" s="373">
        <v>1</v>
      </c>
      <c r="DA120" s="444">
        <v>83.3</v>
      </c>
      <c r="DB120" s="377">
        <v>7</v>
      </c>
      <c r="DC120" s="373"/>
      <c r="DD120" s="444">
        <v>100</v>
      </c>
      <c r="DE120" s="377"/>
      <c r="DF120" s="373"/>
      <c r="DG120" s="444"/>
      <c r="DH120" s="377"/>
      <c r="DI120" s="373"/>
      <c r="DJ120" s="444" t="s">
        <v>6</v>
      </c>
      <c r="DK120" s="377"/>
      <c r="DL120" s="373"/>
      <c r="DM120" s="444" t="s">
        <v>6</v>
      </c>
      <c r="DN120" s="377"/>
      <c r="DO120" s="373"/>
      <c r="DP120" s="444" t="s">
        <v>6</v>
      </c>
      <c r="DQ120" s="377"/>
      <c r="DR120" s="373"/>
      <c r="DS120" s="444"/>
      <c r="DT120" s="377">
        <v>1</v>
      </c>
      <c r="DU120" s="373"/>
      <c r="DV120" s="444">
        <v>100</v>
      </c>
      <c r="DW120" s="377"/>
      <c r="DX120" s="373"/>
      <c r="DY120" s="444" t="s">
        <v>6</v>
      </c>
      <c r="DZ120" s="377"/>
      <c r="EA120" s="373"/>
      <c r="EB120" s="444" t="s">
        <v>6</v>
      </c>
      <c r="EC120" s="377"/>
      <c r="ED120" s="373"/>
      <c r="EE120" s="444"/>
      <c r="EF120" s="377">
        <v>35</v>
      </c>
      <c r="EG120" s="373">
        <v>54</v>
      </c>
      <c r="EH120" s="444">
        <v>39.299999999999997</v>
      </c>
      <c r="EI120" s="377">
        <v>37</v>
      </c>
      <c r="EJ120" s="373">
        <v>64</v>
      </c>
      <c r="EK120" s="444">
        <v>36.6</v>
      </c>
      <c r="EL120" s="377">
        <v>41</v>
      </c>
      <c r="EM120" s="373">
        <v>33</v>
      </c>
      <c r="EN120" s="444">
        <v>55.4</v>
      </c>
      <c r="EO120" s="377"/>
      <c r="EP120" s="373"/>
      <c r="EQ120" s="444"/>
      <c r="ER120" s="377"/>
      <c r="ES120" s="373">
        <v>1</v>
      </c>
      <c r="ET120" s="444">
        <v>0</v>
      </c>
      <c r="EU120" s="377"/>
      <c r="EV120" s="373"/>
      <c r="EW120" s="444" t="s">
        <v>6</v>
      </c>
      <c r="EX120" s="377"/>
      <c r="EY120" s="373"/>
      <c r="EZ120" s="444" t="s">
        <v>6</v>
      </c>
      <c r="FA120" s="377"/>
      <c r="FB120" s="373"/>
      <c r="FC120" s="444"/>
      <c r="FD120" s="377"/>
      <c r="FE120" s="373"/>
      <c r="FF120" s="444" t="s">
        <v>6</v>
      </c>
      <c r="FG120" s="377"/>
      <c r="FH120" s="373">
        <v>1</v>
      </c>
      <c r="FI120" s="444">
        <v>0</v>
      </c>
      <c r="FJ120" s="377"/>
      <c r="FK120" s="373"/>
      <c r="FL120" s="444" t="s">
        <v>6</v>
      </c>
      <c r="FM120" s="377"/>
      <c r="FN120" s="373"/>
      <c r="FO120" s="444"/>
      <c r="FP120" s="377">
        <v>7</v>
      </c>
      <c r="FQ120" s="373">
        <v>6</v>
      </c>
      <c r="FR120" s="444">
        <v>53.8</v>
      </c>
      <c r="FS120" s="377">
        <v>12</v>
      </c>
      <c r="FT120" s="373">
        <v>11</v>
      </c>
      <c r="FU120" s="444">
        <v>52.2</v>
      </c>
      <c r="FV120" s="377">
        <v>11</v>
      </c>
      <c r="FW120" s="373">
        <v>4</v>
      </c>
      <c r="FX120" s="444">
        <v>73.3</v>
      </c>
      <c r="FY120" s="377"/>
      <c r="FZ120" s="373"/>
      <c r="GA120" s="444"/>
      <c r="GB120" s="377"/>
      <c r="GC120" s="373"/>
      <c r="GD120" s="444" t="s">
        <v>6</v>
      </c>
      <c r="GE120" s="377"/>
      <c r="GF120" s="373"/>
      <c r="GG120" s="444" t="s">
        <v>6</v>
      </c>
      <c r="GH120" s="377"/>
      <c r="GI120" s="373"/>
      <c r="GJ120" s="444" t="s">
        <v>6</v>
      </c>
      <c r="GK120" s="377"/>
      <c r="GL120" s="373"/>
      <c r="GM120" s="444"/>
      <c r="GN120" s="377"/>
      <c r="GO120" s="373"/>
      <c r="GP120" s="444" t="s">
        <v>6</v>
      </c>
      <c r="GQ120" s="377"/>
      <c r="GR120" s="373"/>
      <c r="GS120" s="444" t="s">
        <v>6</v>
      </c>
      <c r="GT120" s="377"/>
      <c r="GU120" s="373"/>
      <c r="GV120" s="444" t="s">
        <v>6</v>
      </c>
      <c r="GW120" s="377"/>
      <c r="GX120" s="373"/>
      <c r="GY120" s="444"/>
      <c r="GZ120" s="377"/>
      <c r="HA120" s="373"/>
      <c r="HB120" s="444" t="s">
        <v>6</v>
      </c>
      <c r="HC120" s="377"/>
      <c r="HD120" s="373"/>
      <c r="HE120" s="444" t="s">
        <v>6</v>
      </c>
      <c r="HF120" s="377"/>
      <c r="HG120" s="373"/>
      <c r="HH120" s="444" t="s">
        <v>6</v>
      </c>
      <c r="HI120" s="377"/>
      <c r="HJ120" s="373"/>
      <c r="HK120" s="444"/>
      <c r="HL120" s="377">
        <v>6</v>
      </c>
      <c r="HM120" s="373">
        <v>2</v>
      </c>
      <c r="HN120" s="444">
        <v>75</v>
      </c>
      <c r="HO120" s="377">
        <v>2</v>
      </c>
      <c r="HP120" s="373">
        <v>4</v>
      </c>
      <c r="HQ120" s="444">
        <v>33.299999999999997</v>
      </c>
      <c r="HR120" s="377">
        <v>1</v>
      </c>
      <c r="HS120" s="373">
        <v>1</v>
      </c>
      <c r="HT120" s="444">
        <v>50</v>
      </c>
      <c r="HU120" s="377"/>
      <c r="HV120" s="373"/>
      <c r="HW120" s="444"/>
      <c r="HX120" s="377"/>
      <c r="HY120" s="373"/>
      <c r="HZ120" s="444" t="s">
        <v>6</v>
      </c>
      <c r="IA120" s="377"/>
      <c r="IB120" s="373"/>
      <c r="IC120" s="444" t="s">
        <v>6</v>
      </c>
      <c r="ID120" s="377">
        <v>1</v>
      </c>
      <c r="IE120" s="373"/>
      <c r="IF120" s="444">
        <v>100</v>
      </c>
      <c r="IG120" s="377"/>
      <c r="IH120" s="373"/>
      <c r="II120" s="444"/>
      <c r="IJ120" s="377">
        <v>2</v>
      </c>
      <c r="IK120" s="373">
        <v>1</v>
      </c>
      <c r="IL120" s="444">
        <v>66.7</v>
      </c>
      <c r="IM120" s="377"/>
      <c r="IN120" s="373">
        <v>1</v>
      </c>
      <c r="IO120" s="444">
        <v>0</v>
      </c>
      <c r="IP120" s="377">
        <v>1</v>
      </c>
      <c r="IQ120" s="373"/>
      <c r="IR120" s="444">
        <v>100</v>
      </c>
      <c r="IS120" s="377"/>
      <c r="IT120" s="373"/>
      <c r="IU120" s="444"/>
      <c r="IV120" s="377">
        <v>53</v>
      </c>
      <c r="IW120" s="373">
        <v>57</v>
      </c>
      <c r="IX120" s="444">
        <v>48.2</v>
      </c>
      <c r="IY120" s="377">
        <v>47</v>
      </c>
      <c r="IZ120" s="373">
        <v>70</v>
      </c>
      <c r="JA120" s="444">
        <v>40.200000000000003</v>
      </c>
      <c r="JB120" s="377">
        <v>53</v>
      </c>
      <c r="JC120" s="373">
        <v>34</v>
      </c>
      <c r="JD120" s="444">
        <v>60.9</v>
      </c>
      <c r="JE120" s="377"/>
      <c r="JF120" s="373"/>
      <c r="JG120" s="444"/>
      <c r="JH120" s="377">
        <v>6</v>
      </c>
      <c r="JI120" s="373">
        <v>7</v>
      </c>
      <c r="JJ120" s="444">
        <v>46.2</v>
      </c>
      <c r="JK120" s="377">
        <v>2</v>
      </c>
      <c r="JL120" s="373">
        <v>3</v>
      </c>
      <c r="JM120" s="444">
        <v>40</v>
      </c>
      <c r="JN120" s="377">
        <v>5</v>
      </c>
      <c r="JO120" s="373">
        <v>1</v>
      </c>
      <c r="JP120" s="444">
        <v>83.3</v>
      </c>
      <c r="JQ120" s="377"/>
      <c r="JR120" s="373"/>
      <c r="JS120" s="444"/>
      <c r="JT120" s="377"/>
      <c r="JU120" s="373"/>
      <c r="JV120" s="444" t="s">
        <v>6</v>
      </c>
      <c r="JW120" s="377"/>
      <c r="JX120" s="373"/>
      <c r="JY120" s="444" t="s">
        <v>6</v>
      </c>
      <c r="JZ120" s="377"/>
      <c r="KA120" s="373"/>
      <c r="KB120" s="444" t="s">
        <v>6</v>
      </c>
      <c r="KC120" s="377"/>
      <c r="KD120" s="373"/>
      <c r="KE120" s="444"/>
      <c r="KF120" s="377"/>
      <c r="KG120" s="373"/>
      <c r="KH120" s="444" t="s">
        <v>6</v>
      </c>
      <c r="KI120" s="377"/>
      <c r="KJ120" s="373"/>
      <c r="KK120" s="444" t="s">
        <v>6</v>
      </c>
      <c r="KL120" s="377"/>
      <c r="KM120" s="373"/>
      <c r="KN120" s="444" t="s">
        <v>6</v>
      </c>
      <c r="KO120" s="377"/>
      <c r="KP120" s="373"/>
      <c r="KQ120" s="444"/>
      <c r="KR120" s="377">
        <v>7</v>
      </c>
      <c r="KS120" s="373">
        <v>7</v>
      </c>
      <c r="KT120" s="444">
        <v>50</v>
      </c>
      <c r="KU120" s="377">
        <v>2</v>
      </c>
      <c r="KV120" s="373">
        <v>3</v>
      </c>
      <c r="KW120" s="444">
        <v>40</v>
      </c>
      <c r="KX120" s="377">
        <v>6</v>
      </c>
      <c r="KY120" s="373">
        <v>1</v>
      </c>
      <c r="KZ120" s="444">
        <v>85.7</v>
      </c>
      <c r="LA120" s="377"/>
      <c r="LB120" s="373"/>
      <c r="LC120" s="444"/>
      <c r="LD120" s="377">
        <v>86</v>
      </c>
      <c r="LE120" s="373">
        <v>71</v>
      </c>
      <c r="LF120" s="444">
        <v>54.8</v>
      </c>
      <c r="LG120" s="377">
        <v>81</v>
      </c>
      <c r="LH120" s="373">
        <v>79</v>
      </c>
      <c r="LI120" s="444">
        <v>50.6</v>
      </c>
      <c r="LJ120" s="377">
        <v>79</v>
      </c>
      <c r="LK120" s="373">
        <v>51</v>
      </c>
      <c r="LL120" s="444">
        <v>60.8</v>
      </c>
      <c r="LM120" s="377"/>
      <c r="LN120" s="373"/>
      <c r="LO120" s="444"/>
    </row>
    <row r="121" spans="1:327" x14ac:dyDescent="0.2">
      <c r="A121" s="1001"/>
      <c r="B121" s="747" t="s">
        <v>621</v>
      </c>
      <c r="C121" s="151" t="s">
        <v>716</v>
      </c>
      <c r="D121" s="377"/>
      <c r="E121" s="373"/>
      <c r="F121" s="444" t="s">
        <v>6</v>
      </c>
      <c r="G121" s="377"/>
      <c r="H121" s="373"/>
      <c r="I121" s="444" t="s">
        <v>6</v>
      </c>
      <c r="J121" s="377"/>
      <c r="K121" s="373"/>
      <c r="L121" s="444" t="s">
        <v>6</v>
      </c>
      <c r="M121" s="377"/>
      <c r="N121" s="373"/>
      <c r="O121" s="444"/>
      <c r="P121" s="377"/>
      <c r="Q121" s="373"/>
      <c r="R121" s="444" t="s">
        <v>6</v>
      </c>
      <c r="S121" s="377"/>
      <c r="T121" s="373"/>
      <c r="U121" s="444" t="s">
        <v>6</v>
      </c>
      <c r="V121" s="377"/>
      <c r="W121" s="373"/>
      <c r="X121" s="444" t="s">
        <v>6</v>
      </c>
      <c r="Y121" s="377"/>
      <c r="Z121" s="373"/>
      <c r="AA121" s="444"/>
      <c r="AB121" s="377"/>
      <c r="AC121" s="373"/>
      <c r="AD121" s="444" t="s">
        <v>6</v>
      </c>
      <c r="AE121" s="377"/>
      <c r="AF121" s="373"/>
      <c r="AG121" s="444" t="s">
        <v>6</v>
      </c>
      <c r="AH121" s="377"/>
      <c r="AI121" s="373"/>
      <c r="AJ121" s="444" t="s">
        <v>6</v>
      </c>
      <c r="AK121" s="377"/>
      <c r="AL121" s="373"/>
      <c r="AM121" s="444"/>
      <c r="AN121" s="377">
        <v>10</v>
      </c>
      <c r="AO121" s="373">
        <v>2</v>
      </c>
      <c r="AP121" s="444">
        <v>83.3</v>
      </c>
      <c r="AQ121" s="377">
        <v>10</v>
      </c>
      <c r="AR121" s="373">
        <v>1</v>
      </c>
      <c r="AS121" s="444">
        <v>90.9</v>
      </c>
      <c r="AT121" s="377">
        <v>16</v>
      </c>
      <c r="AU121" s="373"/>
      <c r="AV121" s="444">
        <v>100</v>
      </c>
      <c r="AW121" s="377"/>
      <c r="AX121" s="373"/>
      <c r="AY121" s="444"/>
      <c r="AZ121" s="377">
        <v>5</v>
      </c>
      <c r="BA121" s="373">
        <v>1</v>
      </c>
      <c r="BB121" s="444">
        <v>83.3</v>
      </c>
      <c r="BC121" s="377">
        <v>6</v>
      </c>
      <c r="BD121" s="373">
        <v>1</v>
      </c>
      <c r="BE121" s="444">
        <v>85.7</v>
      </c>
      <c r="BF121" s="377">
        <v>7</v>
      </c>
      <c r="BG121" s="373"/>
      <c r="BH121" s="444">
        <v>100</v>
      </c>
      <c r="BI121" s="377"/>
      <c r="BJ121" s="373"/>
      <c r="BK121" s="444"/>
      <c r="BL121" s="377"/>
      <c r="BM121" s="373"/>
      <c r="BN121" s="444" t="s">
        <v>6</v>
      </c>
      <c r="BO121" s="377"/>
      <c r="BP121" s="373"/>
      <c r="BQ121" s="444" t="s">
        <v>6</v>
      </c>
      <c r="BR121" s="377"/>
      <c r="BS121" s="373"/>
      <c r="BT121" s="444" t="s">
        <v>6</v>
      </c>
      <c r="BU121" s="377"/>
      <c r="BV121" s="373"/>
      <c r="BW121" s="444"/>
      <c r="BX121" s="377">
        <v>3</v>
      </c>
      <c r="BY121" s="373"/>
      <c r="BZ121" s="444">
        <v>100</v>
      </c>
      <c r="CA121" s="377"/>
      <c r="CB121" s="373"/>
      <c r="CC121" s="444" t="s">
        <v>6</v>
      </c>
      <c r="CD121" s="377"/>
      <c r="CE121" s="373"/>
      <c r="CF121" s="444" t="s">
        <v>6</v>
      </c>
      <c r="CG121" s="377"/>
      <c r="CH121" s="373"/>
      <c r="CI121" s="444"/>
      <c r="CJ121" s="377"/>
      <c r="CK121" s="373"/>
      <c r="CL121" s="444" t="s">
        <v>6</v>
      </c>
      <c r="CM121" s="377"/>
      <c r="CN121" s="373"/>
      <c r="CO121" s="444" t="s">
        <v>6</v>
      </c>
      <c r="CP121" s="377"/>
      <c r="CQ121" s="373"/>
      <c r="CR121" s="444" t="s">
        <v>6</v>
      </c>
      <c r="CS121" s="377"/>
      <c r="CT121" s="373"/>
      <c r="CU121" s="444"/>
      <c r="CV121" s="377">
        <v>16</v>
      </c>
      <c r="CW121" s="373"/>
      <c r="CX121" s="444">
        <v>100</v>
      </c>
      <c r="CY121" s="377">
        <v>9</v>
      </c>
      <c r="CZ121" s="373">
        <v>2</v>
      </c>
      <c r="DA121" s="444">
        <v>81.8</v>
      </c>
      <c r="DB121" s="377">
        <v>10</v>
      </c>
      <c r="DC121" s="373"/>
      <c r="DD121" s="444">
        <v>100</v>
      </c>
      <c r="DE121" s="377"/>
      <c r="DF121" s="373"/>
      <c r="DG121" s="444"/>
      <c r="DH121" s="377"/>
      <c r="DI121" s="373"/>
      <c r="DJ121" s="444" t="s">
        <v>6</v>
      </c>
      <c r="DK121" s="377"/>
      <c r="DL121" s="373"/>
      <c r="DM121" s="444" t="s">
        <v>6</v>
      </c>
      <c r="DN121" s="377"/>
      <c r="DO121" s="373"/>
      <c r="DP121" s="444" t="s">
        <v>6</v>
      </c>
      <c r="DQ121" s="377"/>
      <c r="DR121" s="373"/>
      <c r="DS121" s="444"/>
      <c r="DT121" s="377"/>
      <c r="DU121" s="373"/>
      <c r="DV121" s="444" t="s">
        <v>6</v>
      </c>
      <c r="DW121" s="377"/>
      <c r="DX121" s="373"/>
      <c r="DY121" s="444" t="s">
        <v>6</v>
      </c>
      <c r="DZ121" s="377"/>
      <c r="EA121" s="373"/>
      <c r="EB121" s="444" t="s">
        <v>6</v>
      </c>
      <c r="EC121" s="377"/>
      <c r="ED121" s="373"/>
      <c r="EE121" s="444"/>
      <c r="EF121" s="377">
        <v>85</v>
      </c>
      <c r="EG121" s="373">
        <v>59</v>
      </c>
      <c r="EH121" s="444">
        <v>59</v>
      </c>
      <c r="EI121" s="377">
        <v>60</v>
      </c>
      <c r="EJ121" s="373">
        <v>33</v>
      </c>
      <c r="EK121" s="444">
        <v>64.5</v>
      </c>
      <c r="EL121" s="377">
        <v>57</v>
      </c>
      <c r="EM121" s="373">
        <v>28</v>
      </c>
      <c r="EN121" s="444">
        <v>67.099999999999994</v>
      </c>
      <c r="EO121" s="377"/>
      <c r="EP121" s="373"/>
      <c r="EQ121" s="444"/>
      <c r="ER121" s="377"/>
      <c r="ES121" s="373"/>
      <c r="ET121" s="444" t="s">
        <v>6</v>
      </c>
      <c r="EU121" s="377"/>
      <c r="EV121" s="373"/>
      <c r="EW121" s="444" t="s">
        <v>6</v>
      </c>
      <c r="EX121" s="377"/>
      <c r="EY121" s="373"/>
      <c r="EZ121" s="444" t="s">
        <v>6</v>
      </c>
      <c r="FA121" s="377"/>
      <c r="FB121" s="373"/>
      <c r="FC121" s="444"/>
      <c r="FD121" s="377"/>
      <c r="FE121" s="373">
        <v>1</v>
      </c>
      <c r="FF121" s="444">
        <v>0</v>
      </c>
      <c r="FG121" s="377">
        <v>1</v>
      </c>
      <c r="FH121" s="373"/>
      <c r="FI121" s="444">
        <v>100</v>
      </c>
      <c r="FJ121" s="377"/>
      <c r="FK121" s="373"/>
      <c r="FL121" s="444" t="s">
        <v>6</v>
      </c>
      <c r="FM121" s="377"/>
      <c r="FN121" s="373"/>
      <c r="FO121" s="444"/>
      <c r="FP121" s="377">
        <v>25</v>
      </c>
      <c r="FQ121" s="373">
        <v>8</v>
      </c>
      <c r="FR121" s="444">
        <v>75.8</v>
      </c>
      <c r="FS121" s="377">
        <v>13</v>
      </c>
      <c r="FT121" s="373">
        <v>7</v>
      </c>
      <c r="FU121" s="444">
        <v>65</v>
      </c>
      <c r="FV121" s="377">
        <v>19</v>
      </c>
      <c r="FW121" s="373">
        <v>6</v>
      </c>
      <c r="FX121" s="444">
        <v>76</v>
      </c>
      <c r="FY121" s="377"/>
      <c r="FZ121" s="373"/>
      <c r="GA121" s="444"/>
      <c r="GB121" s="377">
        <v>1</v>
      </c>
      <c r="GC121" s="373"/>
      <c r="GD121" s="444">
        <v>100</v>
      </c>
      <c r="GE121" s="377">
        <v>2</v>
      </c>
      <c r="GF121" s="373"/>
      <c r="GG121" s="444">
        <v>100</v>
      </c>
      <c r="GH121" s="377"/>
      <c r="GI121" s="373"/>
      <c r="GJ121" s="444" t="s">
        <v>6</v>
      </c>
      <c r="GK121" s="377"/>
      <c r="GL121" s="373"/>
      <c r="GM121" s="444"/>
      <c r="GN121" s="377">
        <v>1</v>
      </c>
      <c r="GO121" s="373"/>
      <c r="GP121" s="444">
        <v>100</v>
      </c>
      <c r="GQ121" s="377">
        <v>1</v>
      </c>
      <c r="GR121" s="373"/>
      <c r="GS121" s="444">
        <v>100</v>
      </c>
      <c r="GT121" s="377"/>
      <c r="GU121" s="373"/>
      <c r="GV121" s="444" t="s">
        <v>6</v>
      </c>
      <c r="GW121" s="377"/>
      <c r="GX121" s="373"/>
      <c r="GY121" s="444"/>
      <c r="GZ121" s="377"/>
      <c r="HA121" s="373"/>
      <c r="HB121" s="444" t="s">
        <v>6</v>
      </c>
      <c r="HC121" s="377">
        <v>4</v>
      </c>
      <c r="HD121" s="373"/>
      <c r="HE121" s="444">
        <v>100</v>
      </c>
      <c r="HF121" s="377"/>
      <c r="HG121" s="373"/>
      <c r="HH121" s="444" t="s">
        <v>6</v>
      </c>
      <c r="HI121" s="377"/>
      <c r="HJ121" s="373"/>
      <c r="HK121" s="444"/>
      <c r="HL121" s="377">
        <v>3</v>
      </c>
      <c r="HM121" s="373">
        <v>2</v>
      </c>
      <c r="HN121" s="444">
        <v>60</v>
      </c>
      <c r="HO121" s="377">
        <v>8</v>
      </c>
      <c r="HP121" s="373">
        <v>1</v>
      </c>
      <c r="HQ121" s="444">
        <v>88.9</v>
      </c>
      <c r="HR121" s="377">
        <v>3</v>
      </c>
      <c r="HS121" s="373">
        <v>2</v>
      </c>
      <c r="HT121" s="444">
        <v>60</v>
      </c>
      <c r="HU121" s="377"/>
      <c r="HV121" s="373"/>
      <c r="HW121" s="444"/>
      <c r="HX121" s="377">
        <v>7</v>
      </c>
      <c r="HY121" s="373"/>
      <c r="HZ121" s="444">
        <v>100</v>
      </c>
      <c r="IA121" s="377">
        <v>1</v>
      </c>
      <c r="IB121" s="373"/>
      <c r="IC121" s="444">
        <v>100</v>
      </c>
      <c r="ID121" s="377">
        <v>2</v>
      </c>
      <c r="IE121" s="373"/>
      <c r="IF121" s="444">
        <v>100</v>
      </c>
      <c r="IG121" s="377"/>
      <c r="IH121" s="373"/>
      <c r="II121" s="444"/>
      <c r="IJ121" s="377">
        <v>1</v>
      </c>
      <c r="IK121" s="373"/>
      <c r="IL121" s="444">
        <v>100</v>
      </c>
      <c r="IM121" s="377"/>
      <c r="IN121" s="373">
        <v>1</v>
      </c>
      <c r="IO121" s="444">
        <v>0</v>
      </c>
      <c r="IP121" s="377">
        <v>5</v>
      </c>
      <c r="IQ121" s="373"/>
      <c r="IR121" s="444">
        <v>100</v>
      </c>
      <c r="IS121" s="377"/>
      <c r="IT121" s="373"/>
      <c r="IU121" s="444"/>
      <c r="IV121" s="377">
        <v>127</v>
      </c>
      <c r="IW121" s="373">
        <v>63</v>
      </c>
      <c r="IX121" s="444">
        <v>66.8</v>
      </c>
      <c r="IY121" s="377">
        <v>95</v>
      </c>
      <c r="IZ121" s="373">
        <v>38</v>
      </c>
      <c r="JA121" s="444">
        <v>71.400000000000006</v>
      </c>
      <c r="JB121" s="377">
        <v>93</v>
      </c>
      <c r="JC121" s="373">
        <v>30</v>
      </c>
      <c r="JD121" s="444">
        <v>75.599999999999994</v>
      </c>
      <c r="JE121" s="377"/>
      <c r="JF121" s="373"/>
      <c r="JG121" s="444"/>
      <c r="JH121" s="377">
        <v>16</v>
      </c>
      <c r="JI121" s="373">
        <v>6</v>
      </c>
      <c r="JJ121" s="444">
        <v>72.7</v>
      </c>
      <c r="JK121" s="377">
        <v>19</v>
      </c>
      <c r="JL121" s="373">
        <v>4</v>
      </c>
      <c r="JM121" s="444">
        <v>82.6</v>
      </c>
      <c r="JN121" s="377">
        <v>22</v>
      </c>
      <c r="JO121" s="373">
        <v>4</v>
      </c>
      <c r="JP121" s="444">
        <v>84.6</v>
      </c>
      <c r="JQ121" s="377"/>
      <c r="JR121" s="373"/>
      <c r="JS121" s="444"/>
      <c r="JT121" s="377"/>
      <c r="JU121" s="373"/>
      <c r="JV121" s="444" t="s">
        <v>6</v>
      </c>
      <c r="JW121" s="377"/>
      <c r="JX121" s="373"/>
      <c r="JY121" s="444" t="s">
        <v>6</v>
      </c>
      <c r="JZ121" s="377"/>
      <c r="KA121" s="373"/>
      <c r="KB121" s="444" t="s">
        <v>6</v>
      </c>
      <c r="KC121" s="377"/>
      <c r="KD121" s="373"/>
      <c r="KE121" s="444"/>
      <c r="KF121" s="377"/>
      <c r="KG121" s="373"/>
      <c r="KH121" s="444" t="s">
        <v>6</v>
      </c>
      <c r="KI121" s="377"/>
      <c r="KJ121" s="373"/>
      <c r="KK121" s="444" t="s">
        <v>6</v>
      </c>
      <c r="KL121" s="377"/>
      <c r="KM121" s="373"/>
      <c r="KN121" s="444" t="s">
        <v>6</v>
      </c>
      <c r="KO121" s="377"/>
      <c r="KP121" s="373"/>
      <c r="KQ121" s="444"/>
      <c r="KR121" s="377">
        <v>18</v>
      </c>
      <c r="KS121" s="373">
        <v>6</v>
      </c>
      <c r="KT121" s="444">
        <v>75</v>
      </c>
      <c r="KU121" s="377">
        <v>20</v>
      </c>
      <c r="KV121" s="373">
        <v>5</v>
      </c>
      <c r="KW121" s="444">
        <v>80</v>
      </c>
      <c r="KX121" s="377">
        <v>24</v>
      </c>
      <c r="KY121" s="373">
        <v>4</v>
      </c>
      <c r="KZ121" s="444">
        <v>85.7</v>
      </c>
      <c r="LA121" s="377"/>
      <c r="LB121" s="373"/>
      <c r="LC121" s="444"/>
      <c r="LD121" s="377">
        <v>206</v>
      </c>
      <c r="LE121" s="373">
        <v>69</v>
      </c>
      <c r="LF121" s="444">
        <v>74.900000000000006</v>
      </c>
      <c r="LG121" s="377">
        <v>172</v>
      </c>
      <c r="LH121" s="373">
        <v>48</v>
      </c>
      <c r="LI121" s="444">
        <v>78.2</v>
      </c>
      <c r="LJ121" s="377">
        <v>208</v>
      </c>
      <c r="LK121" s="373">
        <v>41</v>
      </c>
      <c r="LL121" s="444">
        <v>83.5</v>
      </c>
      <c r="LM121" s="377"/>
      <c r="LN121" s="373"/>
      <c r="LO121" s="444"/>
    </row>
    <row r="122" spans="1:327" ht="13.5" thickBot="1" x14ac:dyDescent="0.25">
      <c r="A122" s="1001"/>
      <c r="B122" s="748" t="s">
        <v>621</v>
      </c>
      <c r="C122" s="156" t="s">
        <v>717</v>
      </c>
      <c r="D122" s="377"/>
      <c r="E122" s="373"/>
      <c r="F122" s="444" t="s">
        <v>6</v>
      </c>
      <c r="G122" s="377"/>
      <c r="H122" s="373"/>
      <c r="I122" s="444" t="s">
        <v>6</v>
      </c>
      <c r="J122" s="377"/>
      <c r="K122" s="373"/>
      <c r="L122" s="444" t="s">
        <v>6</v>
      </c>
      <c r="M122" s="377"/>
      <c r="N122" s="373"/>
      <c r="O122" s="444"/>
      <c r="P122" s="377"/>
      <c r="Q122" s="373"/>
      <c r="R122" s="444" t="s">
        <v>6</v>
      </c>
      <c r="S122" s="377"/>
      <c r="T122" s="373"/>
      <c r="U122" s="444" t="s">
        <v>6</v>
      </c>
      <c r="V122" s="377"/>
      <c r="W122" s="373"/>
      <c r="X122" s="444" t="s">
        <v>6</v>
      </c>
      <c r="Y122" s="377"/>
      <c r="Z122" s="373"/>
      <c r="AA122" s="444"/>
      <c r="AB122" s="377"/>
      <c r="AC122" s="373"/>
      <c r="AD122" s="444" t="s">
        <v>6</v>
      </c>
      <c r="AE122" s="377"/>
      <c r="AF122" s="373"/>
      <c r="AG122" s="444" t="s">
        <v>6</v>
      </c>
      <c r="AH122" s="377"/>
      <c r="AI122" s="373"/>
      <c r="AJ122" s="444" t="s">
        <v>6</v>
      </c>
      <c r="AK122" s="377"/>
      <c r="AL122" s="373"/>
      <c r="AM122" s="444"/>
      <c r="AN122" s="377">
        <v>9</v>
      </c>
      <c r="AO122" s="373">
        <v>2</v>
      </c>
      <c r="AP122" s="444">
        <v>81.8</v>
      </c>
      <c r="AQ122" s="377">
        <v>10</v>
      </c>
      <c r="AR122" s="373"/>
      <c r="AS122" s="444">
        <v>100</v>
      </c>
      <c r="AT122" s="377">
        <v>20</v>
      </c>
      <c r="AU122" s="373">
        <v>2</v>
      </c>
      <c r="AV122" s="444">
        <v>90.9</v>
      </c>
      <c r="AW122" s="377"/>
      <c r="AX122" s="373"/>
      <c r="AY122" s="444"/>
      <c r="AZ122" s="377">
        <v>4</v>
      </c>
      <c r="BA122" s="373">
        <v>2</v>
      </c>
      <c r="BB122" s="444">
        <v>66.7</v>
      </c>
      <c r="BC122" s="377">
        <v>9</v>
      </c>
      <c r="BD122" s="373"/>
      <c r="BE122" s="444">
        <v>100</v>
      </c>
      <c r="BF122" s="377">
        <v>10</v>
      </c>
      <c r="BG122" s="373">
        <v>2</v>
      </c>
      <c r="BH122" s="444">
        <v>83.3</v>
      </c>
      <c r="BI122" s="377"/>
      <c r="BJ122" s="373"/>
      <c r="BK122" s="444"/>
      <c r="BL122" s="377"/>
      <c r="BM122" s="373"/>
      <c r="BN122" s="444" t="s">
        <v>6</v>
      </c>
      <c r="BO122" s="377"/>
      <c r="BP122" s="373"/>
      <c r="BQ122" s="444" t="s">
        <v>6</v>
      </c>
      <c r="BR122" s="377"/>
      <c r="BS122" s="373"/>
      <c r="BT122" s="444" t="s">
        <v>6</v>
      </c>
      <c r="BU122" s="377"/>
      <c r="BV122" s="373"/>
      <c r="BW122" s="444"/>
      <c r="BX122" s="377"/>
      <c r="BY122" s="373"/>
      <c r="BZ122" s="444" t="s">
        <v>6</v>
      </c>
      <c r="CA122" s="377"/>
      <c r="CB122" s="373"/>
      <c r="CC122" s="444" t="s">
        <v>6</v>
      </c>
      <c r="CD122" s="377"/>
      <c r="CE122" s="373"/>
      <c r="CF122" s="444" t="s">
        <v>6</v>
      </c>
      <c r="CG122" s="377"/>
      <c r="CH122" s="373"/>
      <c r="CI122" s="444"/>
      <c r="CJ122" s="377"/>
      <c r="CK122" s="373"/>
      <c r="CL122" s="444" t="s">
        <v>6</v>
      </c>
      <c r="CM122" s="377"/>
      <c r="CN122" s="373"/>
      <c r="CO122" s="444" t="s">
        <v>6</v>
      </c>
      <c r="CP122" s="377"/>
      <c r="CQ122" s="373"/>
      <c r="CR122" s="444" t="s">
        <v>6</v>
      </c>
      <c r="CS122" s="377"/>
      <c r="CT122" s="373"/>
      <c r="CU122" s="444"/>
      <c r="CV122" s="377">
        <v>12</v>
      </c>
      <c r="CW122" s="373">
        <v>3</v>
      </c>
      <c r="CX122" s="444">
        <v>80</v>
      </c>
      <c r="CY122" s="377">
        <v>11</v>
      </c>
      <c r="CZ122" s="373">
        <v>5</v>
      </c>
      <c r="DA122" s="444">
        <v>68.8</v>
      </c>
      <c r="DB122" s="377">
        <v>11</v>
      </c>
      <c r="DC122" s="373">
        <v>3</v>
      </c>
      <c r="DD122" s="444">
        <v>78.599999999999994</v>
      </c>
      <c r="DE122" s="377"/>
      <c r="DF122" s="373"/>
      <c r="DG122" s="444"/>
      <c r="DH122" s="377">
        <v>1</v>
      </c>
      <c r="DI122" s="373"/>
      <c r="DJ122" s="444">
        <v>100</v>
      </c>
      <c r="DK122" s="377"/>
      <c r="DL122" s="373"/>
      <c r="DM122" s="444" t="s">
        <v>6</v>
      </c>
      <c r="DN122" s="377">
        <v>1</v>
      </c>
      <c r="DO122" s="373"/>
      <c r="DP122" s="444">
        <v>100</v>
      </c>
      <c r="DQ122" s="377"/>
      <c r="DR122" s="373"/>
      <c r="DS122" s="444"/>
      <c r="DT122" s="377"/>
      <c r="DU122" s="373">
        <v>1</v>
      </c>
      <c r="DV122" s="444">
        <v>0</v>
      </c>
      <c r="DW122" s="377"/>
      <c r="DX122" s="373"/>
      <c r="DY122" s="444" t="s">
        <v>6</v>
      </c>
      <c r="DZ122" s="377"/>
      <c r="EA122" s="373"/>
      <c r="EB122" s="444" t="s">
        <v>6</v>
      </c>
      <c r="EC122" s="377"/>
      <c r="ED122" s="373"/>
      <c r="EE122" s="444"/>
      <c r="EF122" s="377">
        <v>53</v>
      </c>
      <c r="EG122" s="373">
        <v>100</v>
      </c>
      <c r="EH122" s="444">
        <v>34.6</v>
      </c>
      <c r="EI122" s="377">
        <v>40</v>
      </c>
      <c r="EJ122" s="373">
        <v>77</v>
      </c>
      <c r="EK122" s="444">
        <v>34.200000000000003</v>
      </c>
      <c r="EL122" s="377">
        <v>52</v>
      </c>
      <c r="EM122" s="373">
        <v>79</v>
      </c>
      <c r="EN122" s="444">
        <v>39.700000000000003</v>
      </c>
      <c r="EO122" s="377"/>
      <c r="EP122" s="373"/>
      <c r="EQ122" s="444"/>
      <c r="ER122" s="377"/>
      <c r="ES122" s="373"/>
      <c r="ET122" s="444" t="s">
        <v>6</v>
      </c>
      <c r="EU122" s="377"/>
      <c r="EV122" s="373"/>
      <c r="EW122" s="444" t="s">
        <v>6</v>
      </c>
      <c r="EX122" s="377"/>
      <c r="EY122" s="373"/>
      <c r="EZ122" s="444" t="s">
        <v>6</v>
      </c>
      <c r="FA122" s="377"/>
      <c r="FB122" s="373"/>
      <c r="FC122" s="444"/>
      <c r="FD122" s="377">
        <v>2</v>
      </c>
      <c r="FE122" s="373"/>
      <c r="FF122" s="444">
        <v>100</v>
      </c>
      <c r="FG122" s="377">
        <v>2</v>
      </c>
      <c r="FH122" s="373">
        <v>4</v>
      </c>
      <c r="FI122" s="444">
        <v>33.299999999999997</v>
      </c>
      <c r="FJ122" s="377">
        <v>6</v>
      </c>
      <c r="FK122" s="373">
        <v>1</v>
      </c>
      <c r="FL122" s="444">
        <v>85.7</v>
      </c>
      <c r="FM122" s="377"/>
      <c r="FN122" s="373"/>
      <c r="FO122" s="444"/>
      <c r="FP122" s="377">
        <v>12</v>
      </c>
      <c r="FQ122" s="373">
        <v>14</v>
      </c>
      <c r="FR122" s="444">
        <v>46.2</v>
      </c>
      <c r="FS122" s="377">
        <v>12</v>
      </c>
      <c r="FT122" s="373">
        <v>15</v>
      </c>
      <c r="FU122" s="444">
        <v>44.4</v>
      </c>
      <c r="FV122" s="377">
        <v>20</v>
      </c>
      <c r="FW122" s="373">
        <v>17</v>
      </c>
      <c r="FX122" s="444">
        <v>54.1</v>
      </c>
      <c r="FY122" s="377"/>
      <c r="FZ122" s="373"/>
      <c r="GA122" s="444"/>
      <c r="GB122" s="377">
        <v>2</v>
      </c>
      <c r="GC122" s="373"/>
      <c r="GD122" s="444">
        <v>100</v>
      </c>
      <c r="GE122" s="377"/>
      <c r="GF122" s="373"/>
      <c r="GG122" s="444" t="s">
        <v>6</v>
      </c>
      <c r="GH122" s="377"/>
      <c r="GI122" s="373"/>
      <c r="GJ122" s="444" t="s">
        <v>6</v>
      </c>
      <c r="GK122" s="377"/>
      <c r="GL122" s="373"/>
      <c r="GM122" s="444"/>
      <c r="GN122" s="377"/>
      <c r="GO122" s="373"/>
      <c r="GP122" s="444" t="s">
        <v>6</v>
      </c>
      <c r="GQ122" s="377"/>
      <c r="GR122" s="373"/>
      <c r="GS122" s="444" t="s">
        <v>6</v>
      </c>
      <c r="GT122" s="377">
        <v>1</v>
      </c>
      <c r="GU122" s="373"/>
      <c r="GV122" s="444">
        <v>100</v>
      </c>
      <c r="GW122" s="377"/>
      <c r="GX122" s="373"/>
      <c r="GY122" s="444"/>
      <c r="GZ122" s="377"/>
      <c r="HA122" s="373"/>
      <c r="HB122" s="444" t="s">
        <v>6</v>
      </c>
      <c r="HC122" s="377"/>
      <c r="HD122" s="373"/>
      <c r="HE122" s="444" t="s">
        <v>6</v>
      </c>
      <c r="HF122" s="377"/>
      <c r="HG122" s="373"/>
      <c r="HH122" s="444" t="s">
        <v>6</v>
      </c>
      <c r="HI122" s="377"/>
      <c r="HJ122" s="373"/>
      <c r="HK122" s="444"/>
      <c r="HL122" s="377">
        <v>2</v>
      </c>
      <c r="HM122" s="373">
        <v>8</v>
      </c>
      <c r="HN122" s="444">
        <v>20</v>
      </c>
      <c r="HO122" s="377">
        <v>3</v>
      </c>
      <c r="HP122" s="373">
        <v>1</v>
      </c>
      <c r="HQ122" s="444">
        <v>75</v>
      </c>
      <c r="HR122" s="377">
        <v>3</v>
      </c>
      <c r="HS122" s="373">
        <v>7</v>
      </c>
      <c r="HT122" s="444">
        <v>30</v>
      </c>
      <c r="HU122" s="377"/>
      <c r="HV122" s="373"/>
      <c r="HW122" s="444"/>
      <c r="HX122" s="377"/>
      <c r="HY122" s="373"/>
      <c r="HZ122" s="444" t="s">
        <v>6</v>
      </c>
      <c r="IA122" s="377">
        <v>1</v>
      </c>
      <c r="IB122" s="373"/>
      <c r="IC122" s="444">
        <v>100</v>
      </c>
      <c r="ID122" s="377"/>
      <c r="IE122" s="373"/>
      <c r="IF122" s="444" t="s">
        <v>6</v>
      </c>
      <c r="IG122" s="377"/>
      <c r="IH122" s="373"/>
      <c r="II122" s="444"/>
      <c r="IJ122" s="377"/>
      <c r="IK122" s="373"/>
      <c r="IL122" s="444" t="s">
        <v>6</v>
      </c>
      <c r="IM122" s="377">
        <v>1</v>
      </c>
      <c r="IN122" s="373"/>
      <c r="IO122" s="444">
        <v>100</v>
      </c>
      <c r="IP122" s="377">
        <v>1</v>
      </c>
      <c r="IQ122" s="373"/>
      <c r="IR122" s="444">
        <v>100</v>
      </c>
      <c r="IS122" s="377"/>
      <c r="IT122" s="373"/>
      <c r="IU122" s="444"/>
      <c r="IV122" s="377">
        <v>79</v>
      </c>
      <c r="IW122" s="373">
        <v>114</v>
      </c>
      <c r="IX122" s="444">
        <v>40.9</v>
      </c>
      <c r="IY122" s="377">
        <v>66</v>
      </c>
      <c r="IZ122" s="373">
        <v>83</v>
      </c>
      <c r="JA122" s="444">
        <v>44.3</v>
      </c>
      <c r="JB122" s="377">
        <v>89</v>
      </c>
      <c r="JC122" s="373">
        <v>91</v>
      </c>
      <c r="JD122" s="444">
        <v>49.4</v>
      </c>
      <c r="JE122" s="377"/>
      <c r="JF122" s="373"/>
      <c r="JG122" s="444"/>
      <c r="JH122" s="377">
        <v>18</v>
      </c>
      <c r="JI122" s="373">
        <v>22</v>
      </c>
      <c r="JJ122" s="444">
        <v>45</v>
      </c>
      <c r="JK122" s="377">
        <v>15</v>
      </c>
      <c r="JL122" s="373">
        <v>15</v>
      </c>
      <c r="JM122" s="444">
        <v>50</v>
      </c>
      <c r="JN122" s="377">
        <v>13</v>
      </c>
      <c r="JO122" s="373">
        <v>9</v>
      </c>
      <c r="JP122" s="444">
        <v>59.1</v>
      </c>
      <c r="JQ122" s="377"/>
      <c r="JR122" s="373"/>
      <c r="JS122" s="444"/>
      <c r="JT122" s="377"/>
      <c r="JU122" s="373"/>
      <c r="JV122" s="444" t="s">
        <v>6</v>
      </c>
      <c r="JW122" s="377"/>
      <c r="JX122" s="373"/>
      <c r="JY122" s="444" t="s">
        <v>6</v>
      </c>
      <c r="JZ122" s="377"/>
      <c r="KA122" s="373"/>
      <c r="KB122" s="444" t="s">
        <v>6</v>
      </c>
      <c r="KC122" s="377"/>
      <c r="KD122" s="373"/>
      <c r="KE122" s="444"/>
      <c r="KF122" s="377"/>
      <c r="KG122" s="373"/>
      <c r="KH122" s="444" t="s">
        <v>6</v>
      </c>
      <c r="KI122" s="377"/>
      <c r="KJ122" s="373"/>
      <c r="KK122" s="444" t="s">
        <v>6</v>
      </c>
      <c r="KL122" s="377"/>
      <c r="KM122" s="373"/>
      <c r="KN122" s="444" t="s">
        <v>6</v>
      </c>
      <c r="KO122" s="377"/>
      <c r="KP122" s="373"/>
      <c r="KQ122" s="444"/>
      <c r="KR122" s="377">
        <v>25</v>
      </c>
      <c r="KS122" s="373">
        <v>23</v>
      </c>
      <c r="KT122" s="444">
        <v>52.1</v>
      </c>
      <c r="KU122" s="377">
        <v>16</v>
      </c>
      <c r="KV122" s="373">
        <v>17</v>
      </c>
      <c r="KW122" s="444">
        <v>48.5</v>
      </c>
      <c r="KX122" s="377">
        <v>15</v>
      </c>
      <c r="KY122" s="373">
        <v>9</v>
      </c>
      <c r="KZ122" s="444">
        <v>62.5</v>
      </c>
      <c r="LA122" s="377"/>
      <c r="LB122" s="373"/>
      <c r="LC122" s="444"/>
      <c r="LD122" s="377">
        <v>104</v>
      </c>
      <c r="LE122" s="373">
        <v>141</v>
      </c>
      <c r="LF122" s="444">
        <v>42.4</v>
      </c>
      <c r="LG122" s="377">
        <v>93</v>
      </c>
      <c r="LH122" s="373">
        <v>100</v>
      </c>
      <c r="LI122" s="444">
        <v>48.2</v>
      </c>
      <c r="LJ122" s="377">
        <v>294</v>
      </c>
      <c r="LK122" s="373">
        <v>118</v>
      </c>
      <c r="LL122" s="444">
        <v>71.400000000000006</v>
      </c>
      <c r="LM122" s="377"/>
      <c r="LN122" s="373"/>
      <c r="LO122" s="444"/>
    </row>
    <row r="123" spans="1:327" s="259" customFormat="1" ht="13.5" thickBot="1" x14ac:dyDescent="0.25">
      <c r="A123" s="1002"/>
      <c r="B123" s="751"/>
      <c r="C123" s="189" t="s">
        <v>787</v>
      </c>
      <c r="D123" s="384">
        <v>2</v>
      </c>
      <c r="E123" s="385"/>
      <c r="F123" s="451">
        <v>100</v>
      </c>
      <c r="G123" s="384">
        <v>1</v>
      </c>
      <c r="H123" s="385"/>
      <c r="I123" s="451">
        <v>100</v>
      </c>
      <c r="J123" s="384">
        <v>4</v>
      </c>
      <c r="K123" s="385"/>
      <c r="L123" s="451">
        <v>100</v>
      </c>
      <c r="M123" s="384"/>
      <c r="N123" s="385"/>
      <c r="O123" s="451"/>
      <c r="P123" s="384">
        <v>1</v>
      </c>
      <c r="Q123" s="385"/>
      <c r="R123" s="451">
        <v>100</v>
      </c>
      <c r="S123" s="384">
        <v>1</v>
      </c>
      <c r="T123" s="385"/>
      <c r="U123" s="451">
        <v>100</v>
      </c>
      <c r="V123" s="384">
        <v>2</v>
      </c>
      <c r="W123" s="385"/>
      <c r="X123" s="451">
        <v>100</v>
      </c>
      <c r="Y123" s="384"/>
      <c r="Z123" s="385"/>
      <c r="AA123" s="451"/>
      <c r="AB123" s="384">
        <v>1</v>
      </c>
      <c r="AC123" s="385"/>
      <c r="AD123" s="451">
        <v>100</v>
      </c>
      <c r="AE123" s="384"/>
      <c r="AF123" s="385"/>
      <c r="AG123" s="451" t="s">
        <v>6</v>
      </c>
      <c r="AH123" s="384"/>
      <c r="AI123" s="385"/>
      <c r="AJ123" s="451" t="s">
        <v>6</v>
      </c>
      <c r="AK123" s="384"/>
      <c r="AL123" s="385"/>
      <c r="AM123" s="451"/>
      <c r="AN123" s="384">
        <v>103</v>
      </c>
      <c r="AO123" s="385">
        <v>12</v>
      </c>
      <c r="AP123" s="451">
        <v>89.6</v>
      </c>
      <c r="AQ123" s="384">
        <v>57</v>
      </c>
      <c r="AR123" s="385">
        <v>8</v>
      </c>
      <c r="AS123" s="451">
        <v>87.7</v>
      </c>
      <c r="AT123" s="384">
        <v>89</v>
      </c>
      <c r="AU123" s="385">
        <v>12</v>
      </c>
      <c r="AV123" s="451">
        <v>88.1</v>
      </c>
      <c r="AW123" s="384"/>
      <c r="AX123" s="385"/>
      <c r="AY123" s="451"/>
      <c r="AZ123" s="384">
        <v>66</v>
      </c>
      <c r="BA123" s="385">
        <v>9</v>
      </c>
      <c r="BB123" s="451">
        <v>88</v>
      </c>
      <c r="BC123" s="384">
        <v>36</v>
      </c>
      <c r="BD123" s="385">
        <v>7</v>
      </c>
      <c r="BE123" s="451">
        <v>83.7</v>
      </c>
      <c r="BF123" s="384">
        <v>48</v>
      </c>
      <c r="BG123" s="385">
        <v>12</v>
      </c>
      <c r="BH123" s="451">
        <v>80</v>
      </c>
      <c r="BI123" s="384"/>
      <c r="BJ123" s="385"/>
      <c r="BK123" s="451"/>
      <c r="BL123" s="384"/>
      <c r="BM123" s="385"/>
      <c r="BN123" s="451" t="s">
        <v>6</v>
      </c>
      <c r="BO123" s="384"/>
      <c r="BP123" s="385"/>
      <c r="BQ123" s="451" t="s">
        <v>6</v>
      </c>
      <c r="BR123" s="384"/>
      <c r="BS123" s="385"/>
      <c r="BT123" s="451" t="s">
        <v>6</v>
      </c>
      <c r="BU123" s="384"/>
      <c r="BV123" s="385"/>
      <c r="BW123" s="451"/>
      <c r="BX123" s="384">
        <v>4</v>
      </c>
      <c r="BY123" s="385"/>
      <c r="BZ123" s="451">
        <v>100</v>
      </c>
      <c r="CA123" s="384"/>
      <c r="CB123" s="385"/>
      <c r="CC123" s="451" t="s">
        <v>6</v>
      </c>
      <c r="CD123" s="384"/>
      <c r="CE123" s="385"/>
      <c r="CF123" s="451" t="s">
        <v>6</v>
      </c>
      <c r="CG123" s="384"/>
      <c r="CH123" s="385"/>
      <c r="CI123" s="451"/>
      <c r="CJ123" s="384"/>
      <c r="CK123" s="385"/>
      <c r="CL123" s="451" t="s">
        <v>6</v>
      </c>
      <c r="CM123" s="384"/>
      <c r="CN123" s="385"/>
      <c r="CO123" s="451" t="s">
        <v>6</v>
      </c>
      <c r="CP123" s="384"/>
      <c r="CQ123" s="385"/>
      <c r="CR123" s="451" t="s">
        <v>6</v>
      </c>
      <c r="CS123" s="384"/>
      <c r="CT123" s="385"/>
      <c r="CU123" s="451"/>
      <c r="CV123" s="384">
        <v>142</v>
      </c>
      <c r="CW123" s="385">
        <v>16</v>
      </c>
      <c r="CX123" s="451">
        <v>89.9</v>
      </c>
      <c r="CY123" s="384">
        <v>91</v>
      </c>
      <c r="CZ123" s="385">
        <v>27</v>
      </c>
      <c r="DA123" s="451">
        <v>77.099999999999994</v>
      </c>
      <c r="DB123" s="384">
        <v>114</v>
      </c>
      <c r="DC123" s="385">
        <v>17</v>
      </c>
      <c r="DD123" s="451">
        <v>87</v>
      </c>
      <c r="DE123" s="384"/>
      <c r="DF123" s="385"/>
      <c r="DG123" s="451"/>
      <c r="DH123" s="384">
        <v>5</v>
      </c>
      <c r="DI123" s="385"/>
      <c r="DJ123" s="451">
        <v>100</v>
      </c>
      <c r="DK123" s="384">
        <v>3</v>
      </c>
      <c r="DL123" s="385"/>
      <c r="DM123" s="451">
        <v>100</v>
      </c>
      <c r="DN123" s="384">
        <v>5</v>
      </c>
      <c r="DO123" s="385"/>
      <c r="DP123" s="451">
        <v>100</v>
      </c>
      <c r="DQ123" s="384"/>
      <c r="DR123" s="385"/>
      <c r="DS123" s="451"/>
      <c r="DT123" s="384">
        <v>9</v>
      </c>
      <c r="DU123" s="385">
        <v>1</v>
      </c>
      <c r="DV123" s="451">
        <v>90</v>
      </c>
      <c r="DW123" s="384">
        <v>10</v>
      </c>
      <c r="DX123" s="385">
        <v>1</v>
      </c>
      <c r="DY123" s="451">
        <v>90.9</v>
      </c>
      <c r="DZ123" s="384">
        <v>5</v>
      </c>
      <c r="EA123" s="385"/>
      <c r="EB123" s="451">
        <v>100</v>
      </c>
      <c r="EC123" s="384"/>
      <c r="ED123" s="385"/>
      <c r="EE123" s="451"/>
      <c r="EF123" s="384">
        <v>617</v>
      </c>
      <c r="EG123" s="385">
        <v>974</v>
      </c>
      <c r="EH123" s="451">
        <v>38.799999999999997</v>
      </c>
      <c r="EI123" s="384">
        <v>586</v>
      </c>
      <c r="EJ123" s="385">
        <v>715</v>
      </c>
      <c r="EK123" s="451">
        <v>45</v>
      </c>
      <c r="EL123" s="384">
        <v>531</v>
      </c>
      <c r="EM123" s="385">
        <v>528</v>
      </c>
      <c r="EN123" s="451">
        <v>50.1</v>
      </c>
      <c r="EO123" s="384"/>
      <c r="EP123" s="385"/>
      <c r="EQ123" s="451"/>
      <c r="ER123" s="384">
        <v>8</v>
      </c>
      <c r="ES123" s="385">
        <v>4</v>
      </c>
      <c r="ET123" s="451">
        <v>66.7</v>
      </c>
      <c r="EU123" s="384"/>
      <c r="EV123" s="385"/>
      <c r="EW123" s="451" t="s">
        <v>6</v>
      </c>
      <c r="EX123" s="384">
        <v>2</v>
      </c>
      <c r="EY123" s="385">
        <v>1</v>
      </c>
      <c r="EZ123" s="451">
        <v>66.7</v>
      </c>
      <c r="FA123" s="384"/>
      <c r="FB123" s="385"/>
      <c r="FC123" s="451"/>
      <c r="FD123" s="384">
        <v>12</v>
      </c>
      <c r="FE123" s="385">
        <v>11</v>
      </c>
      <c r="FF123" s="451">
        <v>52.2</v>
      </c>
      <c r="FG123" s="384">
        <v>8</v>
      </c>
      <c r="FH123" s="385">
        <v>17</v>
      </c>
      <c r="FI123" s="451">
        <v>32</v>
      </c>
      <c r="FJ123" s="384">
        <v>17</v>
      </c>
      <c r="FK123" s="385">
        <v>6</v>
      </c>
      <c r="FL123" s="451">
        <v>73.900000000000006</v>
      </c>
      <c r="FM123" s="384"/>
      <c r="FN123" s="385"/>
      <c r="FO123" s="451"/>
      <c r="FP123" s="384">
        <v>153</v>
      </c>
      <c r="FQ123" s="385">
        <v>161</v>
      </c>
      <c r="FR123" s="451">
        <v>48.7</v>
      </c>
      <c r="FS123" s="384">
        <v>153</v>
      </c>
      <c r="FT123" s="385">
        <v>110</v>
      </c>
      <c r="FU123" s="451">
        <v>58.2</v>
      </c>
      <c r="FV123" s="384">
        <v>132</v>
      </c>
      <c r="FW123" s="385">
        <v>81</v>
      </c>
      <c r="FX123" s="451">
        <v>62</v>
      </c>
      <c r="FY123" s="384"/>
      <c r="FZ123" s="385"/>
      <c r="GA123" s="451"/>
      <c r="GB123" s="384">
        <v>26</v>
      </c>
      <c r="GC123" s="385"/>
      <c r="GD123" s="451">
        <v>100</v>
      </c>
      <c r="GE123" s="384">
        <v>12</v>
      </c>
      <c r="GF123" s="385"/>
      <c r="GG123" s="451">
        <v>100</v>
      </c>
      <c r="GH123" s="384">
        <v>7</v>
      </c>
      <c r="GI123" s="385"/>
      <c r="GJ123" s="451">
        <v>100</v>
      </c>
      <c r="GK123" s="384"/>
      <c r="GL123" s="385"/>
      <c r="GM123" s="451"/>
      <c r="GN123" s="384">
        <v>5</v>
      </c>
      <c r="GO123" s="385">
        <v>2</v>
      </c>
      <c r="GP123" s="451">
        <v>71.400000000000006</v>
      </c>
      <c r="GQ123" s="384">
        <v>6</v>
      </c>
      <c r="GR123" s="385"/>
      <c r="GS123" s="451">
        <v>100</v>
      </c>
      <c r="GT123" s="384">
        <v>15</v>
      </c>
      <c r="GU123" s="385"/>
      <c r="GV123" s="451">
        <v>100</v>
      </c>
      <c r="GW123" s="384"/>
      <c r="GX123" s="385"/>
      <c r="GY123" s="451"/>
      <c r="GZ123" s="384">
        <v>11</v>
      </c>
      <c r="HA123" s="385"/>
      <c r="HB123" s="451">
        <v>100</v>
      </c>
      <c r="HC123" s="384">
        <v>5</v>
      </c>
      <c r="HD123" s="385"/>
      <c r="HE123" s="451">
        <v>100</v>
      </c>
      <c r="HF123" s="384">
        <v>2</v>
      </c>
      <c r="HG123" s="385">
        <v>1</v>
      </c>
      <c r="HH123" s="451">
        <v>66.7</v>
      </c>
      <c r="HI123" s="384"/>
      <c r="HJ123" s="385"/>
      <c r="HK123" s="451"/>
      <c r="HL123" s="384">
        <v>24</v>
      </c>
      <c r="HM123" s="385">
        <v>55</v>
      </c>
      <c r="HN123" s="451">
        <v>30.4</v>
      </c>
      <c r="HO123" s="384">
        <v>26</v>
      </c>
      <c r="HP123" s="385">
        <v>23</v>
      </c>
      <c r="HQ123" s="451">
        <v>53.1</v>
      </c>
      <c r="HR123" s="384">
        <v>21</v>
      </c>
      <c r="HS123" s="385">
        <v>41</v>
      </c>
      <c r="HT123" s="451">
        <v>33.9</v>
      </c>
      <c r="HU123" s="384"/>
      <c r="HV123" s="385"/>
      <c r="HW123" s="451"/>
      <c r="HX123" s="384">
        <v>18</v>
      </c>
      <c r="HY123" s="385"/>
      <c r="HZ123" s="451">
        <v>100</v>
      </c>
      <c r="IA123" s="384">
        <v>7</v>
      </c>
      <c r="IB123" s="385">
        <v>2</v>
      </c>
      <c r="IC123" s="451">
        <v>77.8</v>
      </c>
      <c r="ID123" s="384">
        <v>3</v>
      </c>
      <c r="IE123" s="385"/>
      <c r="IF123" s="451">
        <v>100</v>
      </c>
      <c r="IG123" s="384"/>
      <c r="IH123" s="385"/>
      <c r="II123" s="451"/>
      <c r="IJ123" s="384">
        <v>10</v>
      </c>
      <c r="IK123" s="385">
        <v>2</v>
      </c>
      <c r="IL123" s="451">
        <v>83.3</v>
      </c>
      <c r="IM123" s="384">
        <v>3</v>
      </c>
      <c r="IN123" s="385">
        <v>3</v>
      </c>
      <c r="IO123" s="451">
        <v>50</v>
      </c>
      <c r="IP123" s="384">
        <v>13</v>
      </c>
      <c r="IQ123" s="385"/>
      <c r="IR123" s="451">
        <v>100</v>
      </c>
      <c r="IS123" s="384"/>
      <c r="IT123" s="385"/>
      <c r="IU123" s="451"/>
      <c r="IV123" s="384">
        <v>976</v>
      </c>
      <c r="IW123" s="385">
        <v>1062</v>
      </c>
      <c r="IX123" s="451">
        <v>47.9</v>
      </c>
      <c r="IY123" s="384">
        <v>807</v>
      </c>
      <c r="IZ123" s="385">
        <v>779</v>
      </c>
      <c r="JA123" s="451">
        <v>50.9</v>
      </c>
      <c r="JB123" s="384">
        <v>809</v>
      </c>
      <c r="JC123" s="385">
        <v>599</v>
      </c>
      <c r="JD123" s="451">
        <v>57.5</v>
      </c>
      <c r="JE123" s="384"/>
      <c r="JF123" s="385"/>
      <c r="JG123" s="451"/>
      <c r="JH123" s="384">
        <v>178</v>
      </c>
      <c r="JI123" s="385">
        <v>148</v>
      </c>
      <c r="JJ123" s="451">
        <v>54.6</v>
      </c>
      <c r="JK123" s="384">
        <v>133</v>
      </c>
      <c r="JL123" s="385">
        <v>132</v>
      </c>
      <c r="JM123" s="451">
        <v>50.2</v>
      </c>
      <c r="JN123" s="384">
        <v>148</v>
      </c>
      <c r="JO123" s="385">
        <v>103</v>
      </c>
      <c r="JP123" s="451">
        <v>59</v>
      </c>
      <c r="JQ123" s="384"/>
      <c r="JR123" s="385"/>
      <c r="JS123" s="451"/>
      <c r="JT123" s="384">
        <v>3</v>
      </c>
      <c r="JU123" s="385">
        <v>6</v>
      </c>
      <c r="JV123" s="451">
        <v>33.299999999999997</v>
      </c>
      <c r="JW123" s="384">
        <v>2</v>
      </c>
      <c r="JX123" s="385">
        <v>4</v>
      </c>
      <c r="JY123" s="451">
        <v>33.299999999999997</v>
      </c>
      <c r="JZ123" s="384">
        <v>12</v>
      </c>
      <c r="KA123" s="385">
        <v>2</v>
      </c>
      <c r="KB123" s="451">
        <v>85.7</v>
      </c>
      <c r="KC123" s="384"/>
      <c r="KD123" s="385"/>
      <c r="KE123" s="451"/>
      <c r="KF123" s="384"/>
      <c r="KG123" s="385">
        <v>2</v>
      </c>
      <c r="KH123" s="451">
        <v>0</v>
      </c>
      <c r="KI123" s="384">
        <v>2</v>
      </c>
      <c r="KJ123" s="385"/>
      <c r="KK123" s="451">
        <v>100</v>
      </c>
      <c r="KL123" s="384">
        <v>5</v>
      </c>
      <c r="KM123" s="385">
        <v>1</v>
      </c>
      <c r="KN123" s="451">
        <v>83.3</v>
      </c>
      <c r="KO123" s="384"/>
      <c r="KP123" s="385"/>
      <c r="KQ123" s="451"/>
      <c r="KR123" s="384">
        <v>217</v>
      </c>
      <c r="KS123" s="385">
        <v>172</v>
      </c>
      <c r="KT123" s="451">
        <v>55.8</v>
      </c>
      <c r="KU123" s="384">
        <v>170</v>
      </c>
      <c r="KV123" s="385">
        <v>146</v>
      </c>
      <c r="KW123" s="451">
        <v>53.8</v>
      </c>
      <c r="KX123" s="384">
        <v>193</v>
      </c>
      <c r="KY123" s="385">
        <v>113</v>
      </c>
      <c r="KZ123" s="451">
        <v>63.1</v>
      </c>
      <c r="LA123" s="384"/>
      <c r="LB123" s="385"/>
      <c r="LC123" s="451"/>
      <c r="LD123" s="384">
        <v>1408</v>
      </c>
      <c r="LE123" s="385">
        <v>1265</v>
      </c>
      <c r="LF123" s="451">
        <v>52.7</v>
      </c>
      <c r="LG123" s="384">
        <v>1218</v>
      </c>
      <c r="LH123" s="385">
        <v>942</v>
      </c>
      <c r="LI123" s="451">
        <v>56.4</v>
      </c>
      <c r="LJ123" s="384">
        <v>1459</v>
      </c>
      <c r="LK123" s="385">
        <v>808</v>
      </c>
      <c r="LL123" s="451">
        <v>64.400000000000006</v>
      </c>
      <c r="LM123" s="384"/>
      <c r="LN123" s="385"/>
      <c r="LO123" s="451"/>
    </row>
    <row r="124" spans="1:327" x14ac:dyDescent="0.2">
      <c r="A124" s="1000" t="s">
        <v>597</v>
      </c>
      <c r="B124" s="749"/>
      <c r="C124" s="146" t="s">
        <v>598</v>
      </c>
      <c r="D124" s="441">
        <v>10</v>
      </c>
      <c r="E124" s="442">
        <v>1</v>
      </c>
      <c r="F124" s="443">
        <v>90.9</v>
      </c>
      <c r="G124" s="441">
        <v>11</v>
      </c>
      <c r="H124" s="442"/>
      <c r="I124" s="443">
        <v>100</v>
      </c>
      <c r="J124" s="441">
        <v>13</v>
      </c>
      <c r="K124" s="442">
        <v>1</v>
      </c>
      <c r="L124" s="443">
        <v>92.9</v>
      </c>
      <c r="M124" s="441"/>
      <c r="N124" s="442"/>
      <c r="O124" s="443"/>
      <c r="P124" s="441">
        <v>6</v>
      </c>
      <c r="Q124" s="442"/>
      <c r="R124" s="443">
        <v>100</v>
      </c>
      <c r="S124" s="441">
        <v>9</v>
      </c>
      <c r="T124" s="442"/>
      <c r="U124" s="443">
        <v>100</v>
      </c>
      <c r="V124" s="441">
        <v>9</v>
      </c>
      <c r="W124" s="442"/>
      <c r="X124" s="443">
        <v>100</v>
      </c>
      <c r="Y124" s="441"/>
      <c r="Z124" s="442"/>
      <c r="AA124" s="443"/>
      <c r="AB124" s="441">
        <v>4</v>
      </c>
      <c r="AC124" s="442">
        <v>1</v>
      </c>
      <c r="AD124" s="443">
        <v>80</v>
      </c>
      <c r="AE124" s="441">
        <v>2</v>
      </c>
      <c r="AF124" s="442"/>
      <c r="AG124" s="443">
        <v>100</v>
      </c>
      <c r="AH124" s="441">
        <v>4</v>
      </c>
      <c r="AI124" s="442">
        <v>1</v>
      </c>
      <c r="AJ124" s="443">
        <v>80</v>
      </c>
      <c r="AK124" s="441"/>
      <c r="AL124" s="442"/>
      <c r="AM124" s="443"/>
      <c r="AN124" s="441">
        <v>3</v>
      </c>
      <c r="AO124" s="442">
        <v>2</v>
      </c>
      <c r="AP124" s="443">
        <v>60</v>
      </c>
      <c r="AQ124" s="441">
        <v>5</v>
      </c>
      <c r="AR124" s="442">
        <v>1</v>
      </c>
      <c r="AS124" s="443">
        <v>83.3</v>
      </c>
      <c r="AT124" s="441">
        <v>12</v>
      </c>
      <c r="AU124" s="442"/>
      <c r="AV124" s="443">
        <v>100</v>
      </c>
      <c r="AW124" s="441"/>
      <c r="AX124" s="442"/>
      <c r="AY124" s="443"/>
      <c r="AZ124" s="441">
        <v>3</v>
      </c>
      <c r="BA124" s="442">
        <v>2</v>
      </c>
      <c r="BB124" s="443">
        <v>60</v>
      </c>
      <c r="BC124" s="441">
        <v>5</v>
      </c>
      <c r="BD124" s="442">
        <v>1</v>
      </c>
      <c r="BE124" s="443">
        <v>83.3</v>
      </c>
      <c r="BF124" s="441">
        <v>9</v>
      </c>
      <c r="BG124" s="442"/>
      <c r="BH124" s="443">
        <v>100</v>
      </c>
      <c r="BI124" s="441"/>
      <c r="BJ124" s="442"/>
      <c r="BK124" s="443"/>
      <c r="BL124" s="441"/>
      <c r="BM124" s="442"/>
      <c r="BN124" s="443" t="s">
        <v>6</v>
      </c>
      <c r="BO124" s="441"/>
      <c r="BP124" s="442"/>
      <c r="BQ124" s="443" t="s">
        <v>6</v>
      </c>
      <c r="BR124" s="441">
        <v>2</v>
      </c>
      <c r="BS124" s="442"/>
      <c r="BT124" s="443">
        <v>100</v>
      </c>
      <c r="BU124" s="441"/>
      <c r="BV124" s="442"/>
      <c r="BW124" s="443"/>
      <c r="BX124" s="441"/>
      <c r="BY124" s="442"/>
      <c r="BZ124" s="443" t="s">
        <v>6</v>
      </c>
      <c r="CA124" s="441">
        <v>1</v>
      </c>
      <c r="CB124" s="442"/>
      <c r="CC124" s="443">
        <v>100</v>
      </c>
      <c r="CD124" s="441"/>
      <c r="CE124" s="442"/>
      <c r="CF124" s="443" t="s">
        <v>6</v>
      </c>
      <c r="CG124" s="441"/>
      <c r="CH124" s="442"/>
      <c r="CI124" s="443"/>
      <c r="CJ124" s="441">
        <v>3</v>
      </c>
      <c r="CK124" s="442">
        <v>9</v>
      </c>
      <c r="CL124" s="443">
        <v>25</v>
      </c>
      <c r="CM124" s="441">
        <v>3</v>
      </c>
      <c r="CN124" s="442">
        <v>3</v>
      </c>
      <c r="CO124" s="443">
        <v>50</v>
      </c>
      <c r="CP124" s="441"/>
      <c r="CQ124" s="442">
        <v>2</v>
      </c>
      <c r="CR124" s="443">
        <v>0</v>
      </c>
      <c r="CS124" s="441"/>
      <c r="CT124" s="442"/>
      <c r="CU124" s="443"/>
      <c r="CV124" s="441">
        <v>2</v>
      </c>
      <c r="CW124" s="442">
        <v>1</v>
      </c>
      <c r="CX124" s="443">
        <v>66.7</v>
      </c>
      <c r="CY124" s="441"/>
      <c r="CZ124" s="442">
        <v>3</v>
      </c>
      <c r="DA124" s="443">
        <v>0</v>
      </c>
      <c r="DB124" s="441">
        <v>2</v>
      </c>
      <c r="DC124" s="442">
        <v>1</v>
      </c>
      <c r="DD124" s="443">
        <v>66.7</v>
      </c>
      <c r="DE124" s="441"/>
      <c r="DF124" s="442"/>
      <c r="DG124" s="443"/>
      <c r="DH124" s="441"/>
      <c r="DI124" s="442"/>
      <c r="DJ124" s="443" t="s">
        <v>6</v>
      </c>
      <c r="DK124" s="441"/>
      <c r="DL124" s="442"/>
      <c r="DM124" s="443" t="s">
        <v>6</v>
      </c>
      <c r="DN124" s="441"/>
      <c r="DO124" s="442"/>
      <c r="DP124" s="443" t="s">
        <v>6</v>
      </c>
      <c r="DQ124" s="441"/>
      <c r="DR124" s="442"/>
      <c r="DS124" s="443"/>
      <c r="DT124" s="441"/>
      <c r="DU124" s="442"/>
      <c r="DV124" s="443" t="s">
        <v>6</v>
      </c>
      <c r="DW124" s="441">
        <v>2</v>
      </c>
      <c r="DX124" s="442"/>
      <c r="DY124" s="443">
        <v>100</v>
      </c>
      <c r="DZ124" s="441">
        <v>6</v>
      </c>
      <c r="EA124" s="442"/>
      <c r="EB124" s="443">
        <v>100</v>
      </c>
      <c r="EC124" s="441"/>
      <c r="ED124" s="442"/>
      <c r="EE124" s="443"/>
      <c r="EF124" s="441">
        <v>57</v>
      </c>
      <c r="EG124" s="442">
        <v>3</v>
      </c>
      <c r="EH124" s="443">
        <v>95</v>
      </c>
      <c r="EI124" s="441">
        <v>18</v>
      </c>
      <c r="EJ124" s="442">
        <v>4</v>
      </c>
      <c r="EK124" s="443">
        <v>81.8</v>
      </c>
      <c r="EL124" s="441">
        <v>13</v>
      </c>
      <c r="EM124" s="442">
        <v>4</v>
      </c>
      <c r="EN124" s="443">
        <v>76.5</v>
      </c>
      <c r="EO124" s="441"/>
      <c r="EP124" s="442"/>
      <c r="EQ124" s="443"/>
      <c r="ER124" s="441">
        <v>48</v>
      </c>
      <c r="ES124" s="442">
        <v>1</v>
      </c>
      <c r="ET124" s="443">
        <v>98</v>
      </c>
      <c r="EU124" s="441">
        <v>3</v>
      </c>
      <c r="EV124" s="442"/>
      <c r="EW124" s="443">
        <v>100</v>
      </c>
      <c r="EX124" s="441">
        <v>11</v>
      </c>
      <c r="EY124" s="442"/>
      <c r="EZ124" s="443">
        <v>100</v>
      </c>
      <c r="FA124" s="441"/>
      <c r="FB124" s="442"/>
      <c r="FC124" s="443"/>
      <c r="FD124" s="441"/>
      <c r="FE124" s="442"/>
      <c r="FF124" s="443" t="s">
        <v>6</v>
      </c>
      <c r="FG124" s="441"/>
      <c r="FH124" s="442"/>
      <c r="FI124" s="443" t="s">
        <v>6</v>
      </c>
      <c r="FJ124" s="441"/>
      <c r="FK124" s="442"/>
      <c r="FL124" s="443" t="s">
        <v>6</v>
      </c>
      <c r="FM124" s="441"/>
      <c r="FN124" s="442"/>
      <c r="FO124" s="443"/>
      <c r="FP124" s="441">
        <v>1</v>
      </c>
      <c r="FQ124" s="442">
        <v>2</v>
      </c>
      <c r="FR124" s="443">
        <v>33.299999999999997</v>
      </c>
      <c r="FS124" s="441"/>
      <c r="FT124" s="442">
        <v>1</v>
      </c>
      <c r="FU124" s="443">
        <v>0</v>
      </c>
      <c r="FV124" s="441"/>
      <c r="FW124" s="442">
        <v>1</v>
      </c>
      <c r="FX124" s="443">
        <v>0</v>
      </c>
      <c r="FY124" s="441"/>
      <c r="FZ124" s="442"/>
      <c r="GA124" s="443"/>
      <c r="GB124" s="441">
        <v>12</v>
      </c>
      <c r="GC124" s="442">
        <v>1</v>
      </c>
      <c r="GD124" s="443">
        <v>92.3</v>
      </c>
      <c r="GE124" s="441">
        <v>4</v>
      </c>
      <c r="GF124" s="442">
        <v>6</v>
      </c>
      <c r="GG124" s="443">
        <v>40</v>
      </c>
      <c r="GH124" s="441">
        <v>8</v>
      </c>
      <c r="GI124" s="442"/>
      <c r="GJ124" s="443">
        <v>100</v>
      </c>
      <c r="GK124" s="441"/>
      <c r="GL124" s="442"/>
      <c r="GM124" s="443"/>
      <c r="GN124" s="441">
        <v>1</v>
      </c>
      <c r="GO124" s="442"/>
      <c r="GP124" s="443">
        <v>100</v>
      </c>
      <c r="GQ124" s="441">
        <v>1</v>
      </c>
      <c r="GR124" s="442"/>
      <c r="GS124" s="443">
        <v>100</v>
      </c>
      <c r="GT124" s="441">
        <v>9</v>
      </c>
      <c r="GU124" s="442"/>
      <c r="GV124" s="443">
        <v>100</v>
      </c>
      <c r="GW124" s="441"/>
      <c r="GX124" s="442"/>
      <c r="GY124" s="443"/>
      <c r="GZ124" s="441">
        <v>2</v>
      </c>
      <c r="HA124" s="442"/>
      <c r="HB124" s="443">
        <v>100</v>
      </c>
      <c r="HC124" s="441"/>
      <c r="HD124" s="442"/>
      <c r="HE124" s="443" t="s">
        <v>6</v>
      </c>
      <c r="HF124" s="441"/>
      <c r="HG124" s="442"/>
      <c r="HH124" s="443" t="s">
        <v>6</v>
      </c>
      <c r="HI124" s="441"/>
      <c r="HJ124" s="442"/>
      <c r="HK124" s="443"/>
      <c r="HL124" s="441"/>
      <c r="HM124" s="442"/>
      <c r="HN124" s="443" t="s">
        <v>6</v>
      </c>
      <c r="HO124" s="441">
        <v>1</v>
      </c>
      <c r="HP124" s="442">
        <v>1</v>
      </c>
      <c r="HQ124" s="443">
        <v>50</v>
      </c>
      <c r="HR124" s="441">
        <v>7</v>
      </c>
      <c r="HS124" s="442"/>
      <c r="HT124" s="443">
        <v>100</v>
      </c>
      <c r="HU124" s="441"/>
      <c r="HV124" s="442"/>
      <c r="HW124" s="443"/>
      <c r="HX124" s="441">
        <v>8</v>
      </c>
      <c r="HY124" s="442">
        <v>1</v>
      </c>
      <c r="HZ124" s="443">
        <v>88.9</v>
      </c>
      <c r="IA124" s="441">
        <v>4</v>
      </c>
      <c r="IB124" s="442">
        <v>1</v>
      </c>
      <c r="IC124" s="443">
        <v>80</v>
      </c>
      <c r="ID124" s="441">
        <v>4</v>
      </c>
      <c r="IE124" s="442">
        <v>2</v>
      </c>
      <c r="IF124" s="443">
        <v>66.7</v>
      </c>
      <c r="IG124" s="441"/>
      <c r="IH124" s="442"/>
      <c r="II124" s="443"/>
      <c r="IJ124" s="441">
        <v>1</v>
      </c>
      <c r="IK124" s="442"/>
      <c r="IL124" s="443">
        <v>100</v>
      </c>
      <c r="IM124" s="441"/>
      <c r="IN124" s="442"/>
      <c r="IO124" s="443" t="s">
        <v>6</v>
      </c>
      <c r="IP124" s="441">
        <v>1</v>
      </c>
      <c r="IQ124" s="442"/>
      <c r="IR124" s="443">
        <v>100</v>
      </c>
      <c r="IS124" s="441"/>
      <c r="IT124" s="442"/>
      <c r="IU124" s="443"/>
      <c r="IV124" s="441">
        <v>99</v>
      </c>
      <c r="IW124" s="442">
        <v>18</v>
      </c>
      <c r="IX124" s="443">
        <v>84.6</v>
      </c>
      <c r="IY124" s="441">
        <v>50</v>
      </c>
      <c r="IZ124" s="442">
        <v>19</v>
      </c>
      <c r="JA124" s="443">
        <v>72.5</v>
      </c>
      <c r="JB124" s="441">
        <v>75</v>
      </c>
      <c r="JC124" s="442">
        <v>10</v>
      </c>
      <c r="JD124" s="443">
        <v>88.2</v>
      </c>
      <c r="JE124" s="441"/>
      <c r="JF124" s="442"/>
      <c r="JG124" s="443"/>
      <c r="JH124" s="441">
        <v>53</v>
      </c>
      <c r="JI124" s="442">
        <v>7</v>
      </c>
      <c r="JJ124" s="443">
        <v>88.3</v>
      </c>
      <c r="JK124" s="441">
        <v>10</v>
      </c>
      <c r="JL124" s="442">
        <v>4</v>
      </c>
      <c r="JM124" s="443">
        <v>71.400000000000006</v>
      </c>
      <c r="JN124" s="441">
        <v>19</v>
      </c>
      <c r="JO124" s="442">
        <v>1</v>
      </c>
      <c r="JP124" s="443">
        <v>95</v>
      </c>
      <c r="JQ124" s="441"/>
      <c r="JR124" s="442"/>
      <c r="JS124" s="443"/>
      <c r="JT124" s="441"/>
      <c r="JU124" s="442"/>
      <c r="JV124" s="443" t="s">
        <v>6</v>
      </c>
      <c r="JW124" s="441">
        <v>1</v>
      </c>
      <c r="JX124" s="442">
        <v>2</v>
      </c>
      <c r="JY124" s="443">
        <v>33.299999999999997</v>
      </c>
      <c r="JZ124" s="441">
        <v>2</v>
      </c>
      <c r="KA124" s="442"/>
      <c r="KB124" s="443">
        <v>100</v>
      </c>
      <c r="KC124" s="441"/>
      <c r="KD124" s="442"/>
      <c r="KE124" s="443"/>
      <c r="KF124" s="441"/>
      <c r="KG124" s="442"/>
      <c r="KH124" s="443" t="s">
        <v>6</v>
      </c>
      <c r="KI124" s="441"/>
      <c r="KJ124" s="442"/>
      <c r="KK124" s="443" t="s">
        <v>6</v>
      </c>
      <c r="KL124" s="441"/>
      <c r="KM124" s="442"/>
      <c r="KN124" s="443" t="s">
        <v>6</v>
      </c>
      <c r="KO124" s="441"/>
      <c r="KP124" s="442"/>
      <c r="KQ124" s="443"/>
      <c r="KR124" s="441">
        <v>58</v>
      </c>
      <c r="KS124" s="442">
        <v>7</v>
      </c>
      <c r="KT124" s="443">
        <v>89.2</v>
      </c>
      <c r="KU124" s="441">
        <v>12</v>
      </c>
      <c r="KV124" s="442">
        <v>4</v>
      </c>
      <c r="KW124" s="443">
        <v>75</v>
      </c>
      <c r="KX124" s="441">
        <v>27</v>
      </c>
      <c r="KY124" s="442">
        <v>1</v>
      </c>
      <c r="KZ124" s="443">
        <v>96.4</v>
      </c>
      <c r="LA124" s="441"/>
      <c r="LB124" s="442"/>
      <c r="LC124" s="443"/>
      <c r="LD124" s="441">
        <v>188</v>
      </c>
      <c r="LE124" s="442">
        <v>27</v>
      </c>
      <c r="LF124" s="443">
        <v>87.4</v>
      </c>
      <c r="LG124" s="441">
        <v>127</v>
      </c>
      <c r="LH124" s="442">
        <v>33</v>
      </c>
      <c r="LI124" s="443">
        <v>79.400000000000006</v>
      </c>
      <c r="LJ124" s="441">
        <v>308</v>
      </c>
      <c r="LK124" s="442">
        <v>26</v>
      </c>
      <c r="LL124" s="443">
        <v>92.2</v>
      </c>
      <c r="LM124" s="441"/>
      <c r="LN124" s="442"/>
      <c r="LO124" s="443"/>
    </row>
    <row r="125" spans="1:327" x14ac:dyDescent="0.2">
      <c r="A125" s="1001"/>
      <c r="B125" s="747"/>
      <c r="C125" s="151" t="s">
        <v>718</v>
      </c>
      <c r="D125" s="377"/>
      <c r="E125" s="373"/>
      <c r="F125" s="444" t="s">
        <v>6</v>
      </c>
      <c r="G125" s="377"/>
      <c r="H125" s="373"/>
      <c r="I125" s="444" t="s">
        <v>6</v>
      </c>
      <c r="J125" s="377"/>
      <c r="K125" s="373"/>
      <c r="L125" s="444" t="s">
        <v>6</v>
      </c>
      <c r="M125" s="377"/>
      <c r="N125" s="373"/>
      <c r="O125" s="444"/>
      <c r="P125" s="377"/>
      <c r="Q125" s="373"/>
      <c r="R125" s="444" t="s">
        <v>6</v>
      </c>
      <c r="S125" s="377"/>
      <c r="T125" s="373"/>
      <c r="U125" s="444" t="s">
        <v>6</v>
      </c>
      <c r="V125" s="377"/>
      <c r="W125" s="373"/>
      <c r="X125" s="444" t="s">
        <v>6</v>
      </c>
      <c r="Y125" s="377"/>
      <c r="Z125" s="373"/>
      <c r="AA125" s="444"/>
      <c r="AB125" s="377"/>
      <c r="AC125" s="373"/>
      <c r="AD125" s="444" t="s">
        <v>6</v>
      </c>
      <c r="AE125" s="377"/>
      <c r="AF125" s="373"/>
      <c r="AG125" s="444" t="s">
        <v>6</v>
      </c>
      <c r="AH125" s="377"/>
      <c r="AI125" s="373"/>
      <c r="AJ125" s="444" t="s">
        <v>6</v>
      </c>
      <c r="AK125" s="377"/>
      <c r="AL125" s="373"/>
      <c r="AM125" s="444"/>
      <c r="AN125" s="377">
        <v>14</v>
      </c>
      <c r="AO125" s="373">
        <v>12</v>
      </c>
      <c r="AP125" s="444">
        <v>53.8</v>
      </c>
      <c r="AQ125" s="377">
        <v>15</v>
      </c>
      <c r="AR125" s="373">
        <v>7</v>
      </c>
      <c r="AS125" s="444">
        <v>68.2</v>
      </c>
      <c r="AT125" s="377">
        <v>10</v>
      </c>
      <c r="AU125" s="373">
        <v>3</v>
      </c>
      <c r="AV125" s="444">
        <v>76.900000000000006</v>
      </c>
      <c r="AW125" s="377"/>
      <c r="AX125" s="373"/>
      <c r="AY125" s="444"/>
      <c r="AZ125" s="377">
        <v>10</v>
      </c>
      <c r="BA125" s="373">
        <v>9</v>
      </c>
      <c r="BB125" s="444">
        <v>52.6</v>
      </c>
      <c r="BC125" s="377">
        <v>11</v>
      </c>
      <c r="BD125" s="373">
        <v>6</v>
      </c>
      <c r="BE125" s="444">
        <v>64.7</v>
      </c>
      <c r="BF125" s="377">
        <v>7</v>
      </c>
      <c r="BG125" s="373">
        <v>3</v>
      </c>
      <c r="BH125" s="444">
        <v>70</v>
      </c>
      <c r="BI125" s="377"/>
      <c r="BJ125" s="373"/>
      <c r="BK125" s="444"/>
      <c r="BL125" s="377"/>
      <c r="BM125" s="373"/>
      <c r="BN125" s="444" t="s">
        <v>6</v>
      </c>
      <c r="BO125" s="377"/>
      <c r="BP125" s="373"/>
      <c r="BQ125" s="444" t="s">
        <v>6</v>
      </c>
      <c r="BR125" s="377"/>
      <c r="BS125" s="373"/>
      <c r="BT125" s="444" t="s">
        <v>6</v>
      </c>
      <c r="BU125" s="377"/>
      <c r="BV125" s="373"/>
      <c r="BW125" s="444"/>
      <c r="BX125" s="377">
        <v>4</v>
      </c>
      <c r="BY125" s="373"/>
      <c r="BZ125" s="444">
        <v>100</v>
      </c>
      <c r="CA125" s="377"/>
      <c r="CB125" s="373">
        <v>1</v>
      </c>
      <c r="CC125" s="444">
        <v>0</v>
      </c>
      <c r="CD125" s="377"/>
      <c r="CE125" s="373"/>
      <c r="CF125" s="444" t="s">
        <v>6</v>
      </c>
      <c r="CG125" s="377"/>
      <c r="CH125" s="373"/>
      <c r="CI125" s="444"/>
      <c r="CJ125" s="377"/>
      <c r="CK125" s="373"/>
      <c r="CL125" s="444" t="s">
        <v>6</v>
      </c>
      <c r="CM125" s="377">
        <v>2</v>
      </c>
      <c r="CN125" s="373"/>
      <c r="CO125" s="444">
        <v>100</v>
      </c>
      <c r="CP125" s="377"/>
      <c r="CQ125" s="373"/>
      <c r="CR125" s="444" t="s">
        <v>6</v>
      </c>
      <c r="CS125" s="377"/>
      <c r="CT125" s="373"/>
      <c r="CU125" s="444"/>
      <c r="CV125" s="377">
        <v>9</v>
      </c>
      <c r="CW125" s="373">
        <v>6</v>
      </c>
      <c r="CX125" s="444">
        <v>60</v>
      </c>
      <c r="CY125" s="377">
        <v>11</v>
      </c>
      <c r="CZ125" s="373">
        <v>4</v>
      </c>
      <c r="DA125" s="444">
        <v>73.3</v>
      </c>
      <c r="DB125" s="377">
        <v>3</v>
      </c>
      <c r="DC125" s="373">
        <v>5</v>
      </c>
      <c r="DD125" s="444">
        <v>37.5</v>
      </c>
      <c r="DE125" s="377"/>
      <c r="DF125" s="373"/>
      <c r="DG125" s="444"/>
      <c r="DH125" s="377">
        <v>1</v>
      </c>
      <c r="DI125" s="373"/>
      <c r="DJ125" s="444">
        <v>100</v>
      </c>
      <c r="DK125" s="377"/>
      <c r="DL125" s="373"/>
      <c r="DM125" s="444" t="s">
        <v>6</v>
      </c>
      <c r="DN125" s="377">
        <v>1</v>
      </c>
      <c r="DO125" s="373"/>
      <c r="DP125" s="444">
        <v>100</v>
      </c>
      <c r="DQ125" s="377"/>
      <c r="DR125" s="373"/>
      <c r="DS125" s="444"/>
      <c r="DT125" s="377"/>
      <c r="DU125" s="373">
        <v>1</v>
      </c>
      <c r="DV125" s="444">
        <v>0</v>
      </c>
      <c r="DW125" s="377"/>
      <c r="DX125" s="373"/>
      <c r="DY125" s="444" t="s">
        <v>6</v>
      </c>
      <c r="DZ125" s="377"/>
      <c r="EA125" s="373"/>
      <c r="EB125" s="444" t="s">
        <v>6</v>
      </c>
      <c r="EC125" s="377"/>
      <c r="ED125" s="373"/>
      <c r="EE125" s="444"/>
      <c r="EF125" s="377">
        <v>108</v>
      </c>
      <c r="EG125" s="373">
        <v>1184</v>
      </c>
      <c r="EH125" s="444">
        <v>8.4</v>
      </c>
      <c r="EI125" s="377">
        <v>81</v>
      </c>
      <c r="EJ125" s="373">
        <v>735</v>
      </c>
      <c r="EK125" s="444">
        <v>9.9</v>
      </c>
      <c r="EL125" s="377">
        <v>73</v>
      </c>
      <c r="EM125" s="373">
        <v>646</v>
      </c>
      <c r="EN125" s="444">
        <v>10.199999999999999</v>
      </c>
      <c r="EO125" s="377"/>
      <c r="EP125" s="373"/>
      <c r="EQ125" s="444"/>
      <c r="ER125" s="377">
        <v>2</v>
      </c>
      <c r="ES125" s="373">
        <v>23</v>
      </c>
      <c r="ET125" s="444">
        <v>8</v>
      </c>
      <c r="EU125" s="377"/>
      <c r="EV125" s="373">
        <v>10</v>
      </c>
      <c r="EW125" s="444">
        <v>0</v>
      </c>
      <c r="EX125" s="377"/>
      <c r="EY125" s="373">
        <v>9</v>
      </c>
      <c r="EZ125" s="444">
        <v>0</v>
      </c>
      <c r="FA125" s="377"/>
      <c r="FB125" s="373"/>
      <c r="FC125" s="444"/>
      <c r="FD125" s="377">
        <v>8</v>
      </c>
      <c r="FE125" s="373">
        <v>120</v>
      </c>
      <c r="FF125" s="444">
        <v>6.3</v>
      </c>
      <c r="FG125" s="377"/>
      <c r="FH125" s="373">
        <v>60</v>
      </c>
      <c r="FI125" s="444">
        <v>0</v>
      </c>
      <c r="FJ125" s="377">
        <v>6</v>
      </c>
      <c r="FK125" s="373">
        <v>66</v>
      </c>
      <c r="FL125" s="444">
        <v>8.3000000000000007</v>
      </c>
      <c r="FM125" s="377"/>
      <c r="FN125" s="373"/>
      <c r="FO125" s="444"/>
      <c r="FP125" s="377">
        <v>29</v>
      </c>
      <c r="FQ125" s="373">
        <v>299</v>
      </c>
      <c r="FR125" s="444">
        <v>8.8000000000000007</v>
      </c>
      <c r="FS125" s="377">
        <v>18</v>
      </c>
      <c r="FT125" s="373">
        <v>175</v>
      </c>
      <c r="FU125" s="444">
        <v>9.3000000000000007</v>
      </c>
      <c r="FV125" s="377">
        <v>20</v>
      </c>
      <c r="FW125" s="373">
        <v>126</v>
      </c>
      <c r="FX125" s="444">
        <v>13.7</v>
      </c>
      <c r="FY125" s="377"/>
      <c r="FZ125" s="373"/>
      <c r="GA125" s="444"/>
      <c r="GB125" s="377">
        <v>3</v>
      </c>
      <c r="GC125" s="373">
        <v>1</v>
      </c>
      <c r="GD125" s="444">
        <v>75</v>
      </c>
      <c r="GE125" s="377">
        <v>3</v>
      </c>
      <c r="GF125" s="373">
        <v>1</v>
      </c>
      <c r="GG125" s="444">
        <v>75</v>
      </c>
      <c r="GH125" s="377">
        <v>1</v>
      </c>
      <c r="GI125" s="373">
        <v>1</v>
      </c>
      <c r="GJ125" s="444">
        <v>50</v>
      </c>
      <c r="GK125" s="377"/>
      <c r="GL125" s="373"/>
      <c r="GM125" s="444"/>
      <c r="GN125" s="377">
        <v>1</v>
      </c>
      <c r="GO125" s="373">
        <v>8</v>
      </c>
      <c r="GP125" s="444">
        <v>11.1</v>
      </c>
      <c r="GQ125" s="377">
        <v>1</v>
      </c>
      <c r="GR125" s="373">
        <v>3</v>
      </c>
      <c r="GS125" s="444">
        <v>25</v>
      </c>
      <c r="GT125" s="377">
        <v>2</v>
      </c>
      <c r="GU125" s="373">
        <v>2</v>
      </c>
      <c r="GV125" s="444">
        <v>50</v>
      </c>
      <c r="GW125" s="377"/>
      <c r="GX125" s="373"/>
      <c r="GY125" s="444"/>
      <c r="GZ125" s="377">
        <v>3</v>
      </c>
      <c r="HA125" s="373"/>
      <c r="HB125" s="444">
        <v>100</v>
      </c>
      <c r="HC125" s="377"/>
      <c r="HD125" s="373"/>
      <c r="HE125" s="444" t="s">
        <v>6</v>
      </c>
      <c r="HF125" s="377"/>
      <c r="HG125" s="373"/>
      <c r="HH125" s="444" t="s">
        <v>6</v>
      </c>
      <c r="HI125" s="377"/>
      <c r="HJ125" s="373"/>
      <c r="HK125" s="444"/>
      <c r="HL125" s="377">
        <v>9</v>
      </c>
      <c r="HM125" s="373">
        <v>101</v>
      </c>
      <c r="HN125" s="444">
        <v>8.1999999999999993</v>
      </c>
      <c r="HO125" s="377">
        <v>8</v>
      </c>
      <c r="HP125" s="373">
        <v>81</v>
      </c>
      <c r="HQ125" s="444">
        <v>9</v>
      </c>
      <c r="HR125" s="377">
        <v>4</v>
      </c>
      <c r="HS125" s="373">
        <v>68</v>
      </c>
      <c r="HT125" s="444">
        <v>5.6</v>
      </c>
      <c r="HU125" s="377"/>
      <c r="HV125" s="373"/>
      <c r="HW125" s="444"/>
      <c r="HX125" s="377">
        <v>2</v>
      </c>
      <c r="HY125" s="373"/>
      <c r="HZ125" s="444">
        <v>100</v>
      </c>
      <c r="IA125" s="377">
        <v>7</v>
      </c>
      <c r="IB125" s="373">
        <v>1</v>
      </c>
      <c r="IC125" s="444">
        <v>87.5</v>
      </c>
      <c r="ID125" s="377">
        <v>1</v>
      </c>
      <c r="IE125" s="373"/>
      <c r="IF125" s="444">
        <v>100</v>
      </c>
      <c r="IG125" s="377"/>
      <c r="IH125" s="373"/>
      <c r="II125" s="444"/>
      <c r="IJ125" s="377">
        <v>1</v>
      </c>
      <c r="IK125" s="373">
        <v>2</v>
      </c>
      <c r="IL125" s="444">
        <v>33.299999999999997</v>
      </c>
      <c r="IM125" s="377">
        <v>2</v>
      </c>
      <c r="IN125" s="373">
        <v>6</v>
      </c>
      <c r="IO125" s="444">
        <v>25</v>
      </c>
      <c r="IP125" s="377"/>
      <c r="IQ125" s="373"/>
      <c r="IR125" s="444" t="s">
        <v>6</v>
      </c>
      <c r="IS125" s="377"/>
      <c r="IT125" s="373"/>
      <c r="IU125" s="444"/>
      <c r="IV125" s="377">
        <v>155</v>
      </c>
      <c r="IW125" s="373">
        <v>1315</v>
      </c>
      <c r="IX125" s="444">
        <v>10.5</v>
      </c>
      <c r="IY125" s="377">
        <v>130</v>
      </c>
      <c r="IZ125" s="373">
        <v>839</v>
      </c>
      <c r="JA125" s="444">
        <v>13.4</v>
      </c>
      <c r="JB125" s="377">
        <v>95</v>
      </c>
      <c r="JC125" s="373">
        <v>725</v>
      </c>
      <c r="JD125" s="444">
        <v>11.6</v>
      </c>
      <c r="JE125" s="377"/>
      <c r="JF125" s="373"/>
      <c r="JG125" s="444"/>
      <c r="JH125" s="377">
        <v>37</v>
      </c>
      <c r="JI125" s="373">
        <v>136</v>
      </c>
      <c r="JJ125" s="444">
        <v>21.4</v>
      </c>
      <c r="JK125" s="377">
        <v>23</v>
      </c>
      <c r="JL125" s="373">
        <v>93</v>
      </c>
      <c r="JM125" s="444">
        <v>19.8</v>
      </c>
      <c r="JN125" s="377">
        <v>22</v>
      </c>
      <c r="JO125" s="373">
        <v>133</v>
      </c>
      <c r="JP125" s="444">
        <v>14.2</v>
      </c>
      <c r="JQ125" s="377"/>
      <c r="JR125" s="373"/>
      <c r="JS125" s="444"/>
      <c r="JT125" s="377">
        <v>4</v>
      </c>
      <c r="JU125" s="373">
        <v>7</v>
      </c>
      <c r="JV125" s="444">
        <v>36.4</v>
      </c>
      <c r="JW125" s="377"/>
      <c r="JX125" s="373"/>
      <c r="JY125" s="444" t="s">
        <v>6</v>
      </c>
      <c r="JZ125" s="377"/>
      <c r="KA125" s="373"/>
      <c r="KB125" s="444" t="s">
        <v>6</v>
      </c>
      <c r="KC125" s="377"/>
      <c r="KD125" s="373"/>
      <c r="KE125" s="444"/>
      <c r="KF125" s="377"/>
      <c r="KG125" s="373">
        <v>2</v>
      </c>
      <c r="KH125" s="444">
        <v>0</v>
      </c>
      <c r="KI125" s="377"/>
      <c r="KJ125" s="373"/>
      <c r="KK125" s="444" t="s">
        <v>6</v>
      </c>
      <c r="KL125" s="377"/>
      <c r="KM125" s="373"/>
      <c r="KN125" s="444" t="s">
        <v>6</v>
      </c>
      <c r="KO125" s="377"/>
      <c r="KP125" s="373"/>
      <c r="KQ125" s="444"/>
      <c r="KR125" s="377">
        <v>60</v>
      </c>
      <c r="KS125" s="373">
        <v>158</v>
      </c>
      <c r="KT125" s="444">
        <v>27.5</v>
      </c>
      <c r="KU125" s="377">
        <v>27</v>
      </c>
      <c r="KV125" s="373">
        <v>109</v>
      </c>
      <c r="KW125" s="444">
        <v>19.899999999999999</v>
      </c>
      <c r="KX125" s="377">
        <v>25</v>
      </c>
      <c r="KY125" s="373">
        <v>142</v>
      </c>
      <c r="KZ125" s="444">
        <v>15</v>
      </c>
      <c r="LA125" s="377"/>
      <c r="LB125" s="373"/>
      <c r="LC125" s="444"/>
      <c r="LD125" s="377">
        <v>1116</v>
      </c>
      <c r="LE125" s="373">
        <v>1603</v>
      </c>
      <c r="LF125" s="444">
        <v>41</v>
      </c>
      <c r="LG125" s="377">
        <v>237</v>
      </c>
      <c r="LH125" s="373">
        <v>1076</v>
      </c>
      <c r="LI125" s="444">
        <v>18.100000000000001</v>
      </c>
      <c r="LJ125" s="377">
        <v>185</v>
      </c>
      <c r="LK125" s="373">
        <v>986</v>
      </c>
      <c r="LL125" s="444">
        <v>15.8</v>
      </c>
      <c r="LM125" s="377"/>
      <c r="LN125" s="373"/>
      <c r="LO125" s="444"/>
    </row>
    <row r="126" spans="1:327" x14ac:dyDescent="0.2">
      <c r="A126" s="1001"/>
      <c r="B126" s="747"/>
      <c r="C126" s="151" t="s">
        <v>719</v>
      </c>
      <c r="D126" s="377"/>
      <c r="E126" s="373"/>
      <c r="F126" s="444" t="s">
        <v>6</v>
      </c>
      <c r="G126" s="377"/>
      <c r="H126" s="373"/>
      <c r="I126" s="444" t="s">
        <v>6</v>
      </c>
      <c r="J126" s="377"/>
      <c r="K126" s="373"/>
      <c r="L126" s="444" t="s">
        <v>6</v>
      </c>
      <c r="M126" s="377"/>
      <c r="N126" s="373"/>
      <c r="O126" s="444"/>
      <c r="P126" s="377"/>
      <c r="Q126" s="373"/>
      <c r="R126" s="444" t="s">
        <v>6</v>
      </c>
      <c r="S126" s="377"/>
      <c r="T126" s="373"/>
      <c r="U126" s="444" t="s">
        <v>6</v>
      </c>
      <c r="V126" s="377"/>
      <c r="W126" s="373"/>
      <c r="X126" s="444" t="s">
        <v>6</v>
      </c>
      <c r="Y126" s="377"/>
      <c r="Z126" s="373"/>
      <c r="AA126" s="444"/>
      <c r="AB126" s="377"/>
      <c r="AC126" s="373"/>
      <c r="AD126" s="444" t="s">
        <v>6</v>
      </c>
      <c r="AE126" s="377"/>
      <c r="AF126" s="373"/>
      <c r="AG126" s="444" t="s">
        <v>6</v>
      </c>
      <c r="AH126" s="377"/>
      <c r="AI126" s="373"/>
      <c r="AJ126" s="444" t="s">
        <v>6</v>
      </c>
      <c r="AK126" s="377"/>
      <c r="AL126" s="373"/>
      <c r="AM126" s="444"/>
      <c r="AN126" s="377">
        <v>26</v>
      </c>
      <c r="AO126" s="373">
        <v>10</v>
      </c>
      <c r="AP126" s="444">
        <v>72.2</v>
      </c>
      <c r="AQ126" s="377">
        <v>23</v>
      </c>
      <c r="AR126" s="373">
        <v>5</v>
      </c>
      <c r="AS126" s="444">
        <v>82.1</v>
      </c>
      <c r="AT126" s="377">
        <v>36</v>
      </c>
      <c r="AU126" s="373">
        <v>4</v>
      </c>
      <c r="AV126" s="444">
        <v>90</v>
      </c>
      <c r="AW126" s="377"/>
      <c r="AX126" s="373"/>
      <c r="AY126" s="444"/>
      <c r="AZ126" s="377">
        <v>16</v>
      </c>
      <c r="BA126" s="373">
        <v>10</v>
      </c>
      <c r="BB126" s="444">
        <v>61.5</v>
      </c>
      <c r="BC126" s="377">
        <v>16</v>
      </c>
      <c r="BD126" s="373">
        <v>4</v>
      </c>
      <c r="BE126" s="444">
        <v>80</v>
      </c>
      <c r="BF126" s="377">
        <v>22</v>
      </c>
      <c r="BG126" s="373">
        <v>4</v>
      </c>
      <c r="BH126" s="444">
        <v>84.6</v>
      </c>
      <c r="BI126" s="377"/>
      <c r="BJ126" s="373"/>
      <c r="BK126" s="444"/>
      <c r="BL126" s="377"/>
      <c r="BM126" s="373"/>
      <c r="BN126" s="444" t="s">
        <v>6</v>
      </c>
      <c r="BO126" s="377"/>
      <c r="BP126" s="373"/>
      <c r="BQ126" s="444" t="s">
        <v>6</v>
      </c>
      <c r="BR126" s="377"/>
      <c r="BS126" s="373"/>
      <c r="BT126" s="444" t="s">
        <v>6</v>
      </c>
      <c r="BU126" s="377"/>
      <c r="BV126" s="373"/>
      <c r="BW126" s="444"/>
      <c r="BX126" s="377">
        <v>3</v>
      </c>
      <c r="BY126" s="373"/>
      <c r="BZ126" s="444">
        <v>100</v>
      </c>
      <c r="CA126" s="377"/>
      <c r="CB126" s="373"/>
      <c r="CC126" s="444" t="s">
        <v>6</v>
      </c>
      <c r="CD126" s="377"/>
      <c r="CE126" s="373"/>
      <c r="CF126" s="444" t="s">
        <v>6</v>
      </c>
      <c r="CG126" s="377"/>
      <c r="CH126" s="373"/>
      <c r="CI126" s="444"/>
      <c r="CJ126" s="377"/>
      <c r="CK126" s="373"/>
      <c r="CL126" s="444" t="s">
        <v>6</v>
      </c>
      <c r="CM126" s="377"/>
      <c r="CN126" s="373"/>
      <c r="CO126" s="444" t="s">
        <v>6</v>
      </c>
      <c r="CP126" s="377"/>
      <c r="CQ126" s="373"/>
      <c r="CR126" s="444" t="s">
        <v>6</v>
      </c>
      <c r="CS126" s="377"/>
      <c r="CT126" s="373"/>
      <c r="CU126" s="444"/>
      <c r="CV126" s="377">
        <v>21</v>
      </c>
      <c r="CW126" s="373">
        <v>12</v>
      </c>
      <c r="CX126" s="444">
        <v>63.6</v>
      </c>
      <c r="CY126" s="377">
        <v>28</v>
      </c>
      <c r="CZ126" s="373">
        <v>5</v>
      </c>
      <c r="DA126" s="444">
        <v>84.8</v>
      </c>
      <c r="DB126" s="377">
        <v>31</v>
      </c>
      <c r="DC126" s="373">
        <v>6</v>
      </c>
      <c r="DD126" s="444">
        <v>83.8</v>
      </c>
      <c r="DE126" s="377"/>
      <c r="DF126" s="373"/>
      <c r="DG126" s="444"/>
      <c r="DH126" s="377"/>
      <c r="DI126" s="373"/>
      <c r="DJ126" s="444" t="s">
        <v>6</v>
      </c>
      <c r="DK126" s="377"/>
      <c r="DL126" s="373"/>
      <c r="DM126" s="444" t="s">
        <v>6</v>
      </c>
      <c r="DN126" s="377">
        <v>2</v>
      </c>
      <c r="DO126" s="373"/>
      <c r="DP126" s="444">
        <v>100</v>
      </c>
      <c r="DQ126" s="377"/>
      <c r="DR126" s="373"/>
      <c r="DS126" s="444"/>
      <c r="DT126" s="377">
        <v>1</v>
      </c>
      <c r="DU126" s="373"/>
      <c r="DV126" s="444">
        <v>100</v>
      </c>
      <c r="DW126" s="377">
        <v>1</v>
      </c>
      <c r="DX126" s="373"/>
      <c r="DY126" s="444">
        <v>100</v>
      </c>
      <c r="DZ126" s="377">
        <v>2</v>
      </c>
      <c r="EA126" s="373"/>
      <c r="EB126" s="444">
        <v>100</v>
      </c>
      <c r="EC126" s="377"/>
      <c r="ED126" s="373"/>
      <c r="EE126" s="444"/>
      <c r="EF126" s="377">
        <v>147</v>
      </c>
      <c r="EG126" s="373">
        <v>764</v>
      </c>
      <c r="EH126" s="444">
        <v>16.100000000000001</v>
      </c>
      <c r="EI126" s="377">
        <v>148</v>
      </c>
      <c r="EJ126" s="373">
        <v>464</v>
      </c>
      <c r="EK126" s="444">
        <v>24.2</v>
      </c>
      <c r="EL126" s="377">
        <v>119</v>
      </c>
      <c r="EM126" s="373">
        <v>391</v>
      </c>
      <c r="EN126" s="444">
        <v>23.3</v>
      </c>
      <c r="EO126" s="377"/>
      <c r="EP126" s="373"/>
      <c r="EQ126" s="444"/>
      <c r="ER126" s="377">
        <v>1</v>
      </c>
      <c r="ES126" s="373">
        <v>3</v>
      </c>
      <c r="ET126" s="444">
        <v>25</v>
      </c>
      <c r="EU126" s="377">
        <v>1</v>
      </c>
      <c r="EV126" s="373">
        <v>1</v>
      </c>
      <c r="EW126" s="444">
        <v>50</v>
      </c>
      <c r="EX126" s="377">
        <v>13</v>
      </c>
      <c r="EY126" s="373">
        <v>5</v>
      </c>
      <c r="EZ126" s="444">
        <v>72.2</v>
      </c>
      <c r="FA126" s="377"/>
      <c r="FB126" s="373"/>
      <c r="FC126" s="444"/>
      <c r="FD126" s="377">
        <v>6</v>
      </c>
      <c r="FE126" s="373">
        <v>17</v>
      </c>
      <c r="FF126" s="444">
        <v>26.1</v>
      </c>
      <c r="FG126" s="377"/>
      <c r="FH126" s="373">
        <v>10</v>
      </c>
      <c r="FI126" s="444">
        <v>0</v>
      </c>
      <c r="FJ126" s="377"/>
      <c r="FK126" s="373">
        <v>6</v>
      </c>
      <c r="FL126" s="444">
        <v>0</v>
      </c>
      <c r="FM126" s="377"/>
      <c r="FN126" s="373"/>
      <c r="FO126" s="444"/>
      <c r="FP126" s="377">
        <v>27</v>
      </c>
      <c r="FQ126" s="373">
        <v>182</v>
      </c>
      <c r="FR126" s="444">
        <v>12.9</v>
      </c>
      <c r="FS126" s="377">
        <v>23</v>
      </c>
      <c r="FT126" s="373">
        <v>121</v>
      </c>
      <c r="FU126" s="444">
        <v>16</v>
      </c>
      <c r="FV126" s="377">
        <v>26</v>
      </c>
      <c r="FW126" s="373">
        <v>105</v>
      </c>
      <c r="FX126" s="444">
        <v>19.8</v>
      </c>
      <c r="FY126" s="377"/>
      <c r="FZ126" s="373"/>
      <c r="GA126" s="444"/>
      <c r="GB126" s="377">
        <v>4</v>
      </c>
      <c r="GC126" s="373">
        <v>3</v>
      </c>
      <c r="GD126" s="444">
        <v>57.1</v>
      </c>
      <c r="GE126" s="377">
        <v>6</v>
      </c>
      <c r="GF126" s="373">
        <v>1</v>
      </c>
      <c r="GG126" s="444">
        <v>85.7</v>
      </c>
      <c r="GH126" s="377">
        <v>10</v>
      </c>
      <c r="GI126" s="373">
        <v>1</v>
      </c>
      <c r="GJ126" s="444">
        <v>90.9</v>
      </c>
      <c r="GK126" s="377"/>
      <c r="GL126" s="373"/>
      <c r="GM126" s="444"/>
      <c r="GN126" s="377">
        <v>4</v>
      </c>
      <c r="GO126" s="373">
        <v>12</v>
      </c>
      <c r="GP126" s="444">
        <v>25</v>
      </c>
      <c r="GQ126" s="377">
        <v>5</v>
      </c>
      <c r="GR126" s="373">
        <v>6</v>
      </c>
      <c r="GS126" s="444">
        <v>45.5</v>
      </c>
      <c r="GT126" s="377">
        <v>2</v>
      </c>
      <c r="GU126" s="373">
        <v>10</v>
      </c>
      <c r="GV126" s="444">
        <v>16.7</v>
      </c>
      <c r="GW126" s="377"/>
      <c r="GX126" s="373"/>
      <c r="GY126" s="444"/>
      <c r="GZ126" s="377"/>
      <c r="HA126" s="373"/>
      <c r="HB126" s="444" t="s">
        <v>6</v>
      </c>
      <c r="HC126" s="377">
        <v>3</v>
      </c>
      <c r="HD126" s="373"/>
      <c r="HE126" s="444">
        <v>100</v>
      </c>
      <c r="HF126" s="377">
        <v>2</v>
      </c>
      <c r="HG126" s="373"/>
      <c r="HH126" s="444">
        <v>100</v>
      </c>
      <c r="HI126" s="377"/>
      <c r="HJ126" s="373"/>
      <c r="HK126" s="444"/>
      <c r="HL126" s="377">
        <v>2</v>
      </c>
      <c r="HM126" s="373">
        <v>25</v>
      </c>
      <c r="HN126" s="444">
        <v>7.4</v>
      </c>
      <c r="HO126" s="377">
        <v>9</v>
      </c>
      <c r="HP126" s="373">
        <v>21</v>
      </c>
      <c r="HQ126" s="444">
        <v>30</v>
      </c>
      <c r="HR126" s="377">
        <v>12</v>
      </c>
      <c r="HS126" s="373">
        <v>20</v>
      </c>
      <c r="HT126" s="444">
        <v>37.5</v>
      </c>
      <c r="HU126" s="377"/>
      <c r="HV126" s="373"/>
      <c r="HW126" s="444"/>
      <c r="HX126" s="377">
        <v>3</v>
      </c>
      <c r="HY126" s="373">
        <v>1</v>
      </c>
      <c r="HZ126" s="444">
        <v>75</v>
      </c>
      <c r="IA126" s="377">
        <v>1</v>
      </c>
      <c r="IB126" s="373">
        <v>1</v>
      </c>
      <c r="IC126" s="444">
        <v>50</v>
      </c>
      <c r="ID126" s="377">
        <v>4</v>
      </c>
      <c r="IE126" s="373">
        <v>1</v>
      </c>
      <c r="IF126" s="444">
        <v>80</v>
      </c>
      <c r="IG126" s="377"/>
      <c r="IH126" s="373"/>
      <c r="II126" s="444"/>
      <c r="IJ126" s="377">
        <v>1</v>
      </c>
      <c r="IK126" s="373">
        <v>2</v>
      </c>
      <c r="IL126" s="444">
        <v>33.299999999999997</v>
      </c>
      <c r="IM126" s="377">
        <v>1</v>
      </c>
      <c r="IN126" s="373"/>
      <c r="IO126" s="444">
        <v>100</v>
      </c>
      <c r="IP126" s="377"/>
      <c r="IQ126" s="373">
        <v>1</v>
      </c>
      <c r="IR126" s="444">
        <v>0</v>
      </c>
      <c r="IS126" s="377"/>
      <c r="IT126" s="373"/>
      <c r="IU126" s="444"/>
      <c r="IV126" s="377">
        <v>212</v>
      </c>
      <c r="IW126" s="373">
        <v>829</v>
      </c>
      <c r="IX126" s="444">
        <v>20.399999999999999</v>
      </c>
      <c r="IY126" s="377">
        <v>225</v>
      </c>
      <c r="IZ126" s="373">
        <v>503</v>
      </c>
      <c r="JA126" s="444">
        <v>30.9</v>
      </c>
      <c r="JB126" s="377">
        <v>220</v>
      </c>
      <c r="JC126" s="373">
        <v>434</v>
      </c>
      <c r="JD126" s="444">
        <v>33.6</v>
      </c>
      <c r="JE126" s="377"/>
      <c r="JF126" s="373"/>
      <c r="JG126" s="444"/>
      <c r="JH126" s="377">
        <v>65</v>
      </c>
      <c r="JI126" s="373">
        <v>112</v>
      </c>
      <c r="JJ126" s="444">
        <v>36.700000000000003</v>
      </c>
      <c r="JK126" s="377">
        <v>45</v>
      </c>
      <c r="JL126" s="373">
        <v>59</v>
      </c>
      <c r="JM126" s="444">
        <v>43.3</v>
      </c>
      <c r="JN126" s="377">
        <v>58</v>
      </c>
      <c r="JO126" s="373">
        <v>64</v>
      </c>
      <c r="JP126" s="444">
        <v>47.5</v>
      </c>
      <c r="JQ126" s="377"/>
      <c r="JR126" s="373"/>
      <c r="JS126" s="444"/>
      <c r="JT126" s="377">
        <v>2</v>
      </c>
      <c r="JU126" s="373">
        <v>6</v>
      </c>
      <c r="JV126" s="444">
        <v>25</v>
      </c>
      <c r="JW126" s="377">
        <v>2</v>
      </c>
      <c r="JX126" s="373">
        <v>3</v>
      </c>
      <c r="JY126" s="444">
        <v>40</v>
      </c>
      <c r="JZ126" s="377">
        <v>2</v>
      </c>
      <c r="KA126" s="373">
        <v>1</v>
      </c>
      <c r="KB126" s="444">
        <v>66.7</v>
      </c>
      <c r="KC126" s="377"/>
      <c r="KD126" s="373"/>
      <c r="KE126" s="444"/>
      <c r="KF126" s="377"/>
      <c r="KG126" s="373"/>
      <c r="KH126" s="444" t="s">
        <v>6</v>
      </c>
      <c r="KI126" s="377"/>
      <c r="KJ126" s="373">
        <v>1</v>
      </c>
      <c r="KK126" s="444">
        <v>0</v>
      </c>
      <c r="KL126" s="377"/>
      <c r="KM126" s="373">
        <v>1</v>
      </c>
      <c r="KN126" s="444">
        <v>0</v>
      </c>
      <c r="KO126" s="377"/>
      <c r="KP126" s="373"/>
      <c r="KQ126" s="444"/>
      <c r="KR126" s="377">
        <v>72</v>
      </c>
      <c r="KS126" s="373">
        <v>142</v>
      </c>
      <c r="KT126" s="444">
        <v>33.6</v>
      </c>
      <c r="KU126" s="377">
        <v>53</v>
      </c>
      <c r="KV126" s="373">
        <v>79</v>
      </c>
      <c r="KW126" s="444">
        <v>40.200000000000003</v>
      </c>
      <c r="KX126" s="377">
        <v>68</v>
      </c>
      <c r="KY126" s="373">
        <v>87</v>
      </c>
      <c r="KZ126" s="444">
        <v>43.9</v>
      </c>
      <c r="LA126" s="377"/>
      <c r="LB126" s="373"/>
      <c r="LC126" s="444"/>
      <c r="LD126" s="377">
        <v>479</v>
      </c>
      <c r="LE126" s="373">
        <v>928</v>
      </c>
      <c r="LF126" s="444">
        <v>34</v>
      </c>
      <c r="LG126" s="377">
        <v>590</v>
      </c>
      <c r="LH126" s="373">
        <v>577</v>
      </c>
      <c r="LI126" s="444">
        <v>50.6</v>
      </c>
      <c r="LJ126" s="377">
        <v>560</v>
      </c>
      <c r="LK126" s="373">
        <v>529</v>
      </c>
      <c r="LL126" s="444">
        <v>51.4</v>
      </c>
      <c r="LM126" s="377"/>
      <c r="LN126" s="373"/>
      <c r="LO126" s="444"/>
    </row>
    <row r="127" spans="1:327" x14ac:dyDescent="0.2">
      <c r="A127" s="1001"/>
      <c r="B127" s="747"/>
      <c r="C127" s="151" t="s">
        <v>720</v>
      </c>
      <c r="D127" s="377"/>
      <c r="E127" s="373"/>
      <c r="F127" s="444" t="s">
        <v>6</v>
      </c>
      <c r="G127" s="377"/>
      <c r="H127" s="373"/>
      <c r="I127" s="444" t="s">
        <v>6</v>
      </c>
      <c r="J127" s="377"/>
      <c r="K127" s="373"/>
      <c r="L127" s="444" t="s">
        <v>6</v>
      </c>
      <c r="M127" s="377"/>
      <c r="N127" s="373"/>
      <c r="O127" s="444"/>
      <c r="P127" s="377"/>
      <c r="Q127" s="373"/>
      <c r="R127" s="444" t="s">
        <v>6</v>
      </c>
      <c r="S127" s="377"/>
      <c r="T127" s="373"/>
      <c r="U127" s="444" t="s">
        <v>6</v>
      </c>
      <c r="V127" s="377"/>
      <c r="W127" s="373"/>
      <c r="X127" s="444" t="s">
        <v>6</v>
      </c>
      <c r="Y127" s="377"/>
      <c r="Z127" s="373"/>
      <c r="AA127" s="444"/>
      <c r="AB127" s="377"/>
      <c r="AC127" s="373"/>
      <c r="AD127" s="444" t="s">
        <v>6</v>
      </c>
      <c r="AE127" s="377"/>
      <c r="AF127" s="373"/>
      <c r="AG127" s="444" t="s">
        <v>6</v>
      </c>
      <c r="AH127" s="377"/>
      <c r="AI127" s="373"/>
      <c r="AJ127" s="444" t="s">
        <v>6</v>
      </c>
      <c r="AK127" s="377"/>
      <c r="AL127" s="373"/>
      <c r="AM127" s="444"/>
      <c r="AN127" s="377">
        <v>10</v>
      </c>
      <c r="AO127" s="373">
        <v>4</v>
      </c>
      <c r="AP127" s="444">
        <v>71.400000000000006</v>
      </c>
      <c r="AQ127" s="377">
        <v>17</v>
      </c>
      <c r="AR127" s="373">
        <v>4</v>
      </c>
      <c r="AS127" s="444">
        <v>81</v>
      </c>
      <c r="AT127" s="377">
        <v>13</v>
      </c>
      <c r="AU127" s="373"/>
      <c r="AV127" s="444">
        <v>100</v>
      </c>
      <c r="AW127" s="377"/>
      <c r="AX127" s="373"/>
      <c r="AY127" s="444"/>
      <c r="AZ127" s="377">
        <v>4</v>
      </c>
      <c r="BA127" s="373">
        <v>3</v>
      </c>
      <c r="BB127" s="444">
        <v>57.1</v>
      </c>
      <c r="BC127" s="377">
        <v>10</v>
      </c>
      <c r="BD127" s="373">
        <v>4</v>
      </c>
      <c r="BE127" s="444">
        <v>71.400000000000006</v>
      </c>
      <c r="BF127" s="377">
        <v>9</v>
      </c>
      <c r="BG127" s="373"/>
      <c r="BH127" s="444">
        <v>100</v>
      </c>
      <c r="BI127" s="377"/>
      <c r="BJ127" s="373"/>
      <c r="BK127" s="444"/>
      <c r="BL127" s="377"/>
      <c r="BM127" s="373"/>
      <c r="BN127" s="444" t="s">
        <v>6</v>
      </c>
      <c r="BO127" s="377"/>
      <c r="BP127" s="373"/>
      <c r="BQ127" s="444" t="s">
        <v>6</v>
      </c>
      <c r="BR127" s="377"/>
      <c r="BS127" s="373"/>
      <c r="BT127" s="444" t="s">
        <v>6</v>
      </c>
      <c r="BU127" s="377"/>
      <c r="BV127" s="373"/>
      <c r="BW127" s="444"/>
      <c r="BX127" s="377">
        <v>4</v>
      </c>
      <c r="BY127" s="373"/>
      <c r="BZ127" s="444">
        <v>100</v>
      </c>
      <c r="CA127" s="377"/>
      <c r="CB127" s="373"/>
      <c r="CC127" s="444" t="s">
        <v>6</v>
      </c>
      <c r="CD127" s="377"/>
      <c r="CE127" s="373"/>
      <c r="CF127" s="444" t="s">
        <v>6</v>
      </c>
      <c r="CG127" s="377"/>
      <c r="CH127" s="373"/>
      <c r="CI127" s="444"/>
      <c r="CJ127" s="377">
        <v>1</v>
      </c>
      <c r="CK127" s="373"/>
      <c r="CL127" s="444">
        <v>100</v>
      </c>
      <c r="CM127" s="377"/>
      <c r="CN127" s="373"/>
      <c r="CO127" s="444" t="s">
        <v>6</v>
      </c>
      <c r="CP127" s="377"/>
      <c r="CQ127" s="373"/>
      <c r="CR127" s="444" t="s">
        <v>6</v>
      </c>
      <c r="CS127" s="377"/>
      <c r="CT127" s="373"/>
      <c r="CU127" s="444"/>
      <c r="CV127" s="377">
        <v>6</v>
      </c>
      <c r="CW127" s="373">
        <v>4</v>
      </c>
      <c r="CX127" s="444">
        <v>60</v>
      </c>
      <c r="CY127" s="377">
        <v>15</v>
      </c>
      <c r="CZ127" s="373">
        <v>3</v>
      </c>
      <c r="DA127" s="444">
        <v>83.3</v>
      </c>
      <c r="DB127" s="377">
        <v>8</v>
      </c>
      <c r="DC127" s="373">
        <v>2</v>
      </c>
      <c r="DD127" s="444">
        <v>80</v>
      </c>
      <c r="DE127" s="377"/>
      <c r="DF127" s="373"/>
      <c r="DG127" s="444"/>
      <c r="DH127" s="377"/>
      <c r="DI127" s="373"/>
      <c r="DJ127" s="444" t="s">
        <v>6</v>
      </c>
      <c r="DK127" s="377"/>
      <c r="DL127" s="373"/>
      <c r="DM127" s="444" t="s">
        <v>6</v>
      </c>
      <c r="DN127" s="377"/>
      <c r="DO127" s="373"/>
      <c r="DP127" s="444" t="s">
        <v>6</v>
      </c>
      <c r="DQ127" s="377"/>
      <c r="DR127" s="373"/>
      <c r="DS127" s="444"/>
      <c r="DT127" s="377"/>
      <c r="DU127" s="373"/>
      <c r="DV127" s="444" t="s">
        <v>6</v>
      </c>
      <c r="DW127" s="377">
        <v>3</v>
      </c>
      <c r="DX127" s="373"/>
      <c r="DY127" s="444">
        <v>100</v>
      </c>
      <c r="DZ127" s="377"/>
      <c r="EA127" s="373"/>
      <c r="EB127" s="444" t="s">
        <v>6</v>
      </c>
      <c r="EC127" s="377"/>
      <c r="ED127" s="373"/>
      <c r="EE127" s="444"/>
      <c r="EF127" s="377">
        <v>171</v>
      </c>
      <c r="EG127" s="373">
        <v>445</v>
      </c>
      <c r="EH127" s="444">
        <v>27.8</v>
      </c>
      <c r="EI127" s="377">
        <v>282</v>
      </c>
      <c r="EJ127" s="373">
        <v>390</v>
      </c>
      <c r="EK127" s="444">
        <v>42</v>
      </c>
      <c r="EL127" s="377">
        <v>154</v>
      </c>
      <c r="EM127" s="373">
        <v>318</v>
      </c>
      <c r="EN127" s="444">
        <v>32.6</v>
      </c>
      <c r="EO127" s="377"/>
      <c r="EP127" s="373"/>
      <c r="EQ127" s="444"/>
      <c r="ER127" s="377">
        <v>6</v>
      </c>
      <c r="ES127" s="373">
        <v>11</v>
      </c>
      <c r="ET127" s="444">
        <v>35.299999999999997</v>
      </c>
      <c r="EU127" s="377">
        <v>2</v>
      </c>
      <c r="EV127" s="373">
        <v>8</v>
      </c>
      <c r="EW127" s="444">
        <v>20</v>
      </c>
      <c r="EX127" s="377">
        <v>4</v>
      </c>
      <c r="EY127" s="373">
        <v>4</v>
      </c>
      <c r="EZ127" s="444">
        <v>50</v>
      </c>
      <c r="FA127" s="377"/>
      <c r="FB127" s="373"/>
      <c r="FC127" s="444"/>
      <c r="FD127" s="377">
        <v>11</v>
      </c>
      <c r="FE127" s="373">
        <v>36</v>
      </c>
      <c r="FF127" s="444">
        <v>23.4</v>
      </c>
      <c r="FG127" s="377">
        <v>8</v>
      </c>
      <c r="FH127" s="373">
        <v>34</v>
      </c>
      <c r="FI127" s="444">
        <v>19</v>
      </c>
      <c r="FJ127" s="377">
        <v>7</v>
      </c>
      <c r="FK127" s="373">
        <v>38</v>
      </c>
      <c r="FL127" s="444">
        <v>15.6</v>
      </c>
      <c r="FM127" s="377"/>
      <c r="FN127" s="373"/>
      <c r="FO127" s="444"/>
      <c r="FP127" s="377">
        <v>33</v>
      </c>
      <c r="FQ127" s="373">
        <v>93</v>
      </c>
      <c r="FR127" s="444">
        <v>26.2</v>
      </c>
      <c r="FS127" s="377">
        <v>63</v>
      </c>
      <c r="FT127" s="373">
        <v>95</v>
      </c>
      <c r="FU127" s="444">
        <v>39.9</v>
      </c>
      <c r="FV127" s="377">
        <v>43</v>
      </c>
      <c r="FW127" s="373">
        <v>44</v>
      </c>
      <c r="FX127" s="444">
        <v>49.4</v>
      </c>
      <c r="FY127" s="377"/>
      <c r="FZ127" s="373"/>
      <c r="GA127" s="444"/>
      <c r="GB127" s="377">
        <v>3</v>
      </c>
      <c r="GC127" s="373"/>
      <c r="GD127" s="444">
        <v>100</v>
      </c>
      <c r="GE127" s="377">
        <v>4</v>
      </c>
      <c r="GF127" s="373">
        <v>1</v>
      </c>
      <c r="GG127" s="444">
        <v>80</v>
      </c>
      <c r="GH127" s="377">
        <v>3</v>
      </c>
      <c r="GI127" s="373">
        <v>2</v>
      </c>
      <c r="GJ127" s="444">
        <v>60</v>
      </c>
      <c r="GK127" s="377"/>
      <c r="GL127" s="373"/>
      <c r="GM127" s="444"/>
      <c r="GN127" s="377">
        <v>2</v>
      </c>
      <c r="GO127" s="373">
        <v>2</v>
      </c>
      <c r="GP127" s="444">
        <v>50</v>
      </c>
      <c r="GQ127" s="377">
        <v>1</v>
      </c>
      <c r="GR127" s="373">
        <v>1</v>
      </c>
      <c r="GS127" s="444">
        <v>50</v>
      </c>
      <c r="GT127" s="377">
        <v>1</v>
      </c>
      <c r="GU127" s="373">
        <v>1</v>
      </c>
      <c r="GV127" s="444">
        <v>50</v>
      </c>
      <c r="GW127" s="377"/>
      <c r="GX127" s="373"/>
      <c r="GY127" s="444"/>
      <c r="GZ127" s="377"/>
      <c r="HA127" s="373"/>
      <c r="HB127" s="444" t="s">
        <v>6</v>
      </c>
      <c r="HC127" s="377"/>
      <c r="HD127" s="373">
        <v>1</v>
      </c>
      <c r="HE127" s="444">
        <v>0</v>
      </c>
      <c r="HF127" s="377"/>
      <c r="HG127" s="373"/>
      <c r="HH127" s="444" t="s">
        <v>6</v>
      </c>
      <c r="HI127" s="377"/>
      <c r="HJ127" s="373"/>
      <c r="HK127" s="444"/>
      <c r="HL127" s="377">
        <v>8</v>
      </c>
      <c r="HM127" s="373">
        <v>22</v>
      </c>
      <c r="HN127" s="444">
        <v>26.7</v>
      </c>
      <c r="HO127" s="377">
        <v>4</v>
      </c>
      <c r="HP127" s="373">
        <v>13</v>
      </c>
      <c r="HQ127" s="444">
        <v>23.5</v>
      </c>
      <c r="HR127" s="377">
        <v>3</v>
      </c>
      <c r="HS127" s="373">
        <v>15</v>
      </c>
      <c r="HT127" s="444">
        <v>16.7</v>
      </c>
      <c r="HU127" s="377"/>
      <c r="HV127" s="373"/>
      <c r="HW127" s="444"/>
      <c r="HX127" s="377">
        <v>8</v>
      </c>
      <c r="HY127" s="373"/>
      <c r="HZ127" s="444">
        <v>100</v>
      </c>
      <c r="IA127" s="377">
        <v>1</v>
      </c>
      <c r="IB127" s="373"/>
      <c r="IC127" s="444">
        <v>100</v>
      </c>
      <c r="ID127" s="377">
        <v>3</v>
      </c>
      <c r="IE127" s="373"/>
      <c r="IF127" s="444">
        <v>100</v>
      </c>
      <c r="IG127" s="377"/>
      <c r="IH127" s="373"/>
      <c r="II127" s="444"/>
      <c r="IJ127" s="377">
        <v>1</v>
      </c>
      <c r="IK127" s="373">
        <v>1</v>
      </c>
      <c r="IL127" s="444">
        <v>50</v>
      </c>
      <c r="IM127" s="377"/>
      <c r="IN127" s="373"/>
      <c r="IO127" s="444" t="s">
        <v>6</v>
      </c>
      <c r="IP127" s="377"/>
      <c r="IQ127" s="373">
        <v>1</v>
      </c>
      <c r="IR127" s="444">
        <v>0</v>
      </c>
      <c r="IS127" s="377"/>
      <c r="IT127" s="373"/>
      <c r="IU127" s="444"/>
      <c r="IV127" s="377">
        <v>214</v>
      </c>
      <c r="IW127" s="373">
        <v>478</v>
      </c>
      <c r="IX127" s="444">
        <v>30.9</v>
      </c>
      <c r="IY127" s="377">
        <v>327</v>
      </c>
      <c r="IZ127" s="373">
        <v>413</v>
      </c>
      <c r="JA127" s="444">
        <v>44.2</v>
      </c>
      <c r="JB127" s="377">
        <v>185</v>
      </c>
      <c r="JC127" s="373">
        <v>339</v>
      </c>
      <c r="JD127" s="444">
        <v>35.299999999999997</v>
      </c>
      <c r="JE127" s="377"/>
      <c r="JF127" s="373"/>
      <c r="JG127" s="444"/>
      <c r="JH127" s="377">
        <v>26</v>
      </c>
      <c r="JI127" s="373">
        <v>54</v>
      </c>
      <c r="JJ127" s="444">
        <v>32.5</v>
      </c>
      <c r="JK127" s="377">
        <v>26</v>
      </c>
      <c r="JL127" s="373">
        <v>58</v>
      </c>
      <c r="JM127" s="444">
        <v>31</v>
      </c>
      <c r="JN127" s="377">
        <v>36</v>
      </c>
      <c r="JO127" s="373">
        <v>56</v>
      </c>
      <c r="JP127" s="444">
        <v>39.1</v>
      </c>
      <c r="JQ127" s="377"/>
      <c r="JR127" s="373"/>
      <c r="JS127" s="444"/>
      <c r="JT127" s="377">
        <v>4</v>
      </c>
      <c r="JU127" s="373">
        <v>2</v>
      </c>
      <c r="JV127" s="444">
        <v>66.7</v>
      </c>
      <c r="JW127" s="377">
        <v>1</v>
      </c>
      <c r="JX127" s="373"/>
      <c r="JY127" s="444">
        <v>100</v>
      </c>
      <c r="JZ127" s="377">
        <v>3</v>
      </c>
      <c r="KA127" s="373">
        <v>1</v>
      </c>
      <c r="KB127" s="444">
        <v>75</v>
      </c>
      <c r="KC127" s="377"/>
      <c r="KD127" s="373"/>
      <c r="KE127" s="444"/>
      <c r="KF127" s="377"/>
      <c r="KG127" s="373"/>
      <c r="KH127" s="444" t="s">
        <v>6</v>
      </c>
      <c r="KI127" s="377">
        <v>1</v>
      </c>
      <c r="KJ127" s="373">
        <v>4</v>
      </c>
      <c r="KK127" s="444">
        <v>20</v>
      </c>
      <c r="KL127" s="377">
        <v>1</v>
      </c>
      <c r="KM127" s="373"/>
      <c r="KN127" s="444">
        <v>100</v>
      </c>
      <c r="KO127" s="377"/>
      <c r="KP127" s="373"/>
      <c r="KQ127" s="444"/>
      <c r="KR127" s="377">
        <v>34</v>
      </c>
      <c r="KS127" s="373">
        <v>68</v>
      </c>
      <c r="KT127" s="444">
        <v>33.299999999999997</v>
      </c>
      <c r="KU127" s="377">
        <v>34</v>
      </c>
      <c r="KV127" s="373">
        <v>73</v>
      </c>
      <c r="KW127" s="444">
        <v>31.8</v>
      </c>
      <c r="KX127" s="377">
        <v>44</v>
      </c>
      <c r="KY127" s="373">
        <v>68</v>
      </c>
      <c r="KZ127" s="444">
        <v>39.299999999999997</v>
      </c>
      <c r="LA127" s="377"/>
      <c r="LB127" s="373"/>
      <c r="LC127" s="444"/>
      <c r="LD127" s="377">
        <v>722</v>
      </c>
      <c r="LE127" s="373">
        <v>612</v>
      </c>
      <c r="LF127" s="444">
        <v>54.1</v>
      </c>
      <c r="LG127" s="377">
        <v>389</v>
      </c>
      <c r="LH127" s="373">
        <v>536</v>
      </c>
      <c r="LI127" s="444">
        <v>42.1</v>
      </c>
      <c r="LJ127" s="377">
        <v>309</v>
      </c>
      <c r="LK127" s="373">
        <v>486</v>
      </c>
      <c r="LL127" s="444">
        <v>38.9</v>
      </c>
      <c r="LM127" s="377"/>
      <c r="LN127" s="373"/>
      <c r="LO127" s="444"/>
    </row>
    <row r="128" spans="1:327" x14ac:dyDescent="0.2">
      <c r="A128" s="1001"/>
      <c r="B128" s="747"/>
      <c r="C128" s="151" t="s">
        <v>721</v>
      </c>
      <c r="D128" s="377"/>
      <c r="E128" s="373"/>
      <c r="F128" s="444" t="s">
        <v>6</v>
      </c>
      <c r="G128" s="377"/>
      <c r="H128" s="373"/>
      <c r="I128" s="444" t="s">
        <v>6</v>
      </c>
      <c r="J128" s="377"/>
      <c r="K128" s="373"/>
      <c r="L128" s="444" t="s">
        <v>6</v>
      </c>
      <c r="M128" s="377"/>
      <c r="N128" s="373"/>
      <c r="O128" s="444"/>
      <c r="P128" s="377"/>
      <c r="Q128" s="373"/>
      <c r="R128" s="444" t="s">
        <v>6</v>
      </c>
      <c r="S128" s="377"/>
      <c r="T128" s="373"/>
      <c r="U128" s="444" t="s">
        <v>6</v>
      </c>
      <c r="V128" s="377"/>
      <c r="W128" s="373"/>
      <c r="X128" s="444" t="s">
        <v>6</v>
      </c>
      <c r="Y128" s="377"/>
      <c r="Z128" s="373"/>
      <c r="AA128" s="444"/>
      <c r="AB128" s="377"/>
      <c r="AC128" s="373"/>
      <c r="AD128" s="444" t="s">
        <v>6</v>
      </c>
      <c r="AE128" s="377"/>
      <c r="AF128" s="373"/>
      <c r="AG128" s="444" t="s">
        <v>6</v>
      </c>
      <c r="AH128" s="377"/>
      <c r="AI128" s="373"/>
      <c r="AJ128" s="444" t="s">
        <v>6</v>
      </c>
      <c r="AK128" s="377"/>
      <c r="AL128" s="373"/>
      <c r="AM128" s="444"/>
      <c r="AN128" s="377">
        <v>17</v>
      </c>
      <c r="AO128" s="373">
        <v>7</v>
      </c>
      <c r="AP128" s="444">
        <v>70.8</v>
      </c>
      <c r="AQ128" s="377">
        <v>9</v>
      </c>
      <c r="AR128" s="373">
        <v>8</v>
      </c>
      <c r="AS128" s="444">
        <v>52.9</v>
      </c>
      <c r="AT128" s="377">
        <v>6</v>
      </c>
      <c r="AU128" s="373">
        <v>4</v>
      </c>
      <c r="AV128" s="444">
        <v>60</v>
      </c>
      <c r="AW128" s="377"/>
      <c r="AX128" s="373"/>
      <c r="AY128" s="444"/>
      <c r="AZ128" s="377">
        <v>10</v>
      </c>
      <c r="BA128" s="373">
        <v>6</v>
      </c>
      <c r="BB128" s="444">
        <v>62.5</v>
      </c>
      <c r="BC128" s="377">
        <v>8</v>
      </c>
      <c r="BD128" s="373">
        <v>8</v>
      </c>
      <c r="BE128" s="444">
        <v>50</v>
      </c>
      <c r="BF128" s="377">
        <v>5</v>
      </c>
      <c r="BG128" s="373">
        <v>3</v>
      </c>
      <c r="BH128" s="444">
        <v>62.5</v>
      </c>
      <c r="BI128" s="377"/>
      <c r="BJ128" s="373"/>
      <c r="BK128" s="444"/>
      <c r="BL128" s="377"/>
      <c r="BM128" s="373"/>
      <c r="BN128" s="444" t="s">
        <v>6</v>
      </c>
      <c r="BO128" s="377"/>
      <c r="BP128" s="373"/>
      <c r="BQ128" s="444" t="s">
        <v>6</v>
      </c>
      <c r="BR128" s="377"/>
      <c r="BS128" s="373"/>
      <c r="BT128" s="444" t="s">
        <v>6</v>
      </c>
      <c r="BU128" s="377"/>
      <c r="BV128" s="373"/>
      <c r="BW128" s="444"/>
      <c r="BX128" s="377">
        <v>2</v>
      </c>
      <c r="BY128" s="373"/>
      <c r="BZ128" s="444">
        <v>100</v>
      </c>
      <c r="CA128" s="377"/>
      <c r="CB128" s="373">
        <v>1</v>
      </c>
      <c r="CC128" s="444">
        <v>0</v>
      </c>
      <c r="CD128" s="377"/>
      <c r="CE128" s="373"/>
      <c r="CF128" s="444" t="s">
        <v>6</v>
      </c>
      <c r="CG128" s="377"/>
      <c r="CH128" s="373"/>
      <c r="CI128" s="444"/>
      <c r="CJ128" s="377"/>
      <c r="CK128" s="373"/>
      <c r="CL128" s="444" t="s">
        <v>6</v>
      </c>
      <c r="CM128" s="377"/>
      <c r="CN128" s="373"/>
      <c r="CO128" s="444" t="s">
        <v>6</v>
      </c>
      <c r="CP128" s="377"/>
      <c r="CQ128" s="373"/>
      <c r="CR128" s="444" t="s">
        <v>6</v>
      </c>
      <c r="CS128" s="377"/>
      <c r="CT128" s="373"/>
      <c r="CU128" s="444"/>
      <c r="CV128" s="377">
        <v>11</v>
      </c>
      <c r="CW128" s="373">
        <v>5</v>
      </c>
      <c r="CX128" s="444">
        <v>68.8</v>
      </c>
      <c r="CY128" s="377">
        <v>13</v>
      </c>
      <c r="CZ128" s="373">
        <v>10</v>
      </c>
      <c r="DA128" s="444">
        <v>56.5</v>
      </c>
      <c r="DB128" s="377">
        <v>18</v>
      </c>
      <c r="DC128" s="373">
        <v>18</v>
      </c>
      <c r="DD128" s="444">
        <v>50</v>
      </c>
      <c r="DE128" s="377"/>
      <c r="DF128" s="373"/>
      <c r="DG128" s="444"/>
      <c r="DH128" s="377">
        <v>1</v>
      </c>
      <c r="DI128" s="373"/>
      <c r="DJ128" s="444">
        <v>100</v>
      </c>
      <c r="DK128" s="377"/>
      <c r="DL128" s="373"/>
      <c r="DM128" s="444" t="s">
        <v>6</v>
      </c>
      <c r="DN128" s="377"/>
      <c r="DO128" s="373">
        <v>1</v>
      </c>
      <c r="DP128" s="444">
        <v>0</v>
      </c>
      <c r="DQ128" s="377"/>
      <c r="DR128" s="373"/>
      <c r="DS128" s="444"/>
      <c r="DT128" s="377">
        <v>1</v>
      </c>
      <c r="DU128" s="373"/>
      <c r="DV128" s="444">
        <v>100</v>
      </c>
      <c r="DW128" s="377">
        <v>1</v>
      </c>
      <c r="DX128" s="373"/>
      <c r="DY128" s="444">
        <v>100</v>
      </c>
      <c r="DZ128" s="377">
        <v>1</v>
      </c>
      <c r="EA128" s="373"/>
      <c r="EB128" s="444">
        <v>100</v>
      </c>
      <c r="EC128" s="377"/>
      <c r="ED128" s="373"/>
      <c r="EE128" s="444"/>
      <c r="EF128" s="377">
        <v>183</v>
      </c>
      <c r="EG128" s="373">
        <v>950</v>
      </c>
      <c r="EH128" s="444">
        <v>16.2</v>
      </c>
      <c r="EI128" s="377">
        <v>120</v>
      </c>
      <c r="EJ128" s="373">
        <v>1229</v>
      </c>
      <c r="EK128" s="444">
        <v>8.9</v>
      </c>
      <c r="EL128" s="377">
        <v>184</v>
      </c>
      <c r="EM128" s="373">
        <v>796</v>
      </c>
      <c r="EN128" s="444">
        <v>18.8</v>
      </c>
      <c r="EO128" s="377"/>
      <c r="EP128" s="373"/>
      <c r="EQ128" s="444"/>
      <c r="ER128" s="377">
        <v>2</v>
      </c>
      <c r="ES128" s="373">
        <v>14</v>
      </c>
      <c r="ET128" s="444">
        <v>12.5</v>
      </c>
      <c r="EU128" s="377">
        <v>1</v>
      </c>
      <c r="EV128" s="373">
        <v>24</v>
      </c>
      <c r="EW128" s="444">
        <v>4</v>
      </c>
      <c r="EX128" s="377">
        <v>1</v>
      </c>
      <c r="EY128" s="373">
        <v>7</v>
      </c>
      <c r="EZ128" s="444">
        <v>12.5</v>
      </c>
      <c r="FA128" s="377"/>
      <c r="FB128" s="373"/>
      <c r="FC128" s="444"/>
      <c r="FD128" s="377">
        <v>1</v>
      </c>
      <c r="FE128" s="373">
        <v>37</v>
      </c>
      <c r="FF128" s="444">
        <v>2.6</v>
      </c>
      <c r="FG128" s="377">
        <v>6</v>
      </c>
      <c r="FH128" s="373">
        <v>87</v>
      </c>
      <c r="FI128" s="444">
        <v>6.5</v>
      </c>
      <c r="FJ128" s="377">
        <v>11</v>
      </c>
      <c r="FK128" s="373">
        <v>46</v>
      </c>
      <c r="FL128" s="444">
        <v>19.3</v>
      </c>
      <c r="FM128" s="377"/>
      <c r="FN128" s="373"/>
      <c r="FO128" s="444"/>
      <c r="FP128" s="377">
        <v>58</v>
      </c>
      <c r="FQ128" s="373">
        <v>258</v>
      </c>
      <c r="FR128" s="444">
        <v>18.399999999999999</v>
      </c>
      <c r="FS128" s="377">
        <v>35</v>
      </c>
      <c r="FT128" s="373">
        <v>366</v>
      </c>
      <c r="FU128" s="444">
        <v>8.6999999999999993</v>
      </c>
      <c r="FV128" s="377">
        <v>41</v>
      </c>
      <c r="FW128" s="373">
        <v>221</v>
      </c>
      <c r="FX128" s="444">
        <v>15.6</v>
      </c>
      <c r="FY128" s="377"/>
      <c r="FZ128" s="373"/>
      <c r="GA128" s="444"/>
      <c r="GB128" s="377">
        <v>4</v>
      </c>
      <c r="GC128" s="373">
        <v>6</v>
      </c>
      <c r="GD128" s="444">
        <v>40</v>
      </c>
      <c r="GE128" s="377">
        <v>4</v>
      </c>
      <c r="GF128" s="373">
        <v>4</v>
      </c>
      <c r="GG128" s="444">
        <v>50</v>
      </c>
      <c r="GH128" s="377">
        <v>15</v>
      </c>
      <c r="GI128" s="373">
        <v>5</v>
      </c>
      <c r="GJ128" s="444">
        <v>75</v>
      </c>
      <c r="GK128" s="377"/>
      <c r="GL128" s="373"/>
      <c r="GM128" s="444"/>
      <c r="GN128" s="377">
        <v>2</v>
      </c>
      <c r="GO128" s="373">
        <v>2</v>
      </c>
      <c r="GP128" s="444">
        <v>50</v>
      </c>
      <c r="GQ128" s="377">
        <v>2</v>
      </c>
      <c r="GR128" s="373">
        <v>5</v>
      </c>
      <c r="GS128" s="444">
        <v>28.6</v>
      </c>
      <c r="GT128" s="377">
        <v>2</v>
      </c>
      <c r="GU128" s="373">
        <v>7</v>
      </c>
      <c r="GV128" s="444">
        <v>22.2</v>
      </c>
      <c r="GW128" s="377"/>
      <c r="GX128" s="373"/>
      <c r="GY128" s="444"/>
      <c r="GZ128" s="377">
        <v>1</v>
      </c>
      <c r="HA128" s="373"/>
      <c r="HB128" s="444">
        <v>100</v>
      </c>
      <c r="HC128" s="377"/>
      <c r="HD128" s="373"/>
      <c r="HE128" s="444" t="s">
        <v>6</v>
      </c>
      <c r="HF128" s="377"/>
      <c r="HG128" s="373"/>
      <c r="HH128" s="444" t="s">
        <v>6</v>
      </c>
      <c r="HI128" s="377"/>
      <c r="HJ128" s="373"/>
      <c r="HK128" s="444"/>
      <c r="HL128" s="377">
        <v>8</v>
      </c>
      <c r="HM128" s="373">
        <v>50</v>
      </c>
      <c r="HN128" s="444">
        <v>13.8</v>
      </c>
      <c r="HO128" s="377">
        <v>3</v>
      </c>
      <c r="HP128" s="373">
        <v>90</v>
      </c>
      <c r="HQ128" s="444">
        <v>3.2</v>
      </c>
      <c r="HR128" s="377">
        <v>19</v>
      </c>
      <c r="HS128" s="373">
        <v>62</v>
      </c>
      <c r="HT128" s="444">
        <v>23.5</v>
      </c>
      <c r="HU128" s="377"/>
      <c r="HV128" s="373"/>
      <c r="HW128" s="444"/>
      <c r="HX128" s="377">
        <v>4</v>
      </c>
      <c r="HY128" s="373"/>
      <c r="HZ128" s="444">
        <v>100</v>
      </c>
      <c r="IA128" s="377">
        <v>2</v>
      </c>
      <c r="IB128" s="373">
        <v>4</v>
      </c>
      <c r="IC128" s="444">
        <v>33.299999999999997</v>
      </c>
      <c r="ID128" s="377"/>
      <c r="IE128" s="373">
        <v>3</v>
      </c>
      <c r="IF128" s="444">
        <v>0</v>
      </c>
      <c r="IG128" s="377"/>
      <c r="IH128" s="373"/>
      <c r="II128" s="444"/>
      <c r="IJ128" s="377">
        <v>2</v>
      </c>
      <c r="IK128" s="373">
        <v>14</v>
      </c>
      <c r="IL128" s="444">
        <v>12.5</v>
      </c>
      <c r="IM128" s="377"/>
      <c r="IN128" s="373">
        <v>1</v>
      </c>
      <c r="IO128" s="444">
        <v>0</v>
      </c>
      <c r="IP128" s="377">
        <v>5</v>
      </c>
      <c r="IQ128" s="373">
        <v>4</v>
      </c>
      <c r="IR128" s="444">
        <v>55.6</v>
      </c>
      <c r="IS128" s="377"/>
      <c r="IT128" s="373"/>
      <c r="IU128" s="444"/>
      <c r="IV128" s="377">
        <v>236</v>
      </c>
      <c r="IW128" s="373">
        <v>1034</v>
      </c>
      <c r="IX128" s="444">
        <v>18.600000000000001</v>
      </c>
      <c r="IY128" s="377">
        <v>154</v>
      </c>
      <c r="IZ128" s="373">
        <v>1352</v>
      </c>
      <c r="JA128" s="444">
        <v>10.199999999999999</v>
      </c>
      <c r="JB128" s="377">
        <v>250</v>
      </c>
      <c r="JC128" s="373">
        <v>900</v>
      </c>
      <c r="JD128" s="444">
        <v>21.7</v>
      </c>
      <c r="JE128" s="377"/>
      <c r="JF128" s="373"/>
      <c r="JG128" s="444"/>
      <c r="JH128" s="377">
        <v>44</v>
      </c>
      <c r="JI128" s="373">
        <v>158</v>
      </c>
      <c r="JJ128" s="444">
        <v>21.8</v>
      </c>
      <c r="JK128" s="377">
        <v>29</v>
      </c>
      <c r="JL128" s="373">
        <v>236</v>
      </c>
      <c r="JM128" s="444">
        <v>10.9</v>
      </c>
      <c r="JN128" s="377">
        <v>73</v>
      </c>
      <c r="JO128" s="373">
        <v>165</v>
      </c>
      <c r="JP128" s="444">
        <v>30.7</v>
      </c>
      <c r="JQ128" s="377"/>
      <c r="JR128" s="373"/>
      <c r="JS128" s="444"/>
      <c r="JT128" s="377">
        <v>2</v>
      </c>
      <c r="JU128" s="373">
        <v>3</v>
      </c>
      <c r="JV128" s="444">
        <v>40</v>
      </c>
      <c r="JW128" s="377">
        <v>2</v>
      </c>
      <c r="JX128" s="373">
        <v>7</v>
      </c>
      <c r="JY128" s="444">
        <v>22.2</v>
      </c>
      <c r="JZ128" s="377">
        <v>1</v>
      </c>
      <c r="KA128" s="373"/>
      <c r="KB128" s="444">
        <v>100</v>
      </c>
      <c r="KC128" s="377"/>
      <c r="KD128" s="373"/>
      <c r="KE128" s="444"/>
      <c r="KF128" s="377"/>
      <c r="KG128" s="373">
        <v>1</v>
      </c>
      <c r="KH128" s="444">
        <v>0</v>
      </c>
      <c r="KI128" s="377">
        <v>1</v>
      </c>
      <c r="KJ128" s="373">
        <v>3</v>
      </c>
      <c r="KK128" s="444">
        <v>25</v>
      </c>
      <c r="KL128" s="377"/>
      <c r="KM128" s="373"/>
      <c r="KN128" s="444" t="s">
        <v>6</v>
      </c>
      <c r="KO128" s="377"/>
      <c r="KP128" s="373"/>
      <c r="KQ128" s="444"/>
      <c r="KR128" s="377">
        <v>53</v>
      </c>
      <c r="KS128" s="373">
        <v>177</v>
      </c>
      <c r="KT128" s="444">
        <v>23</v>
      </c>
      <c r="KU128" s="377">
        <v>41</v>
      </c>
      <c r="KV128" s="373">
        <v>266</v>
      </c>
      <c r="KW128" s="444">
        <v>13.4</v>
      </c>
      <c r="KX128" s="377">
        <v>79</v>
      </c>
      <c r="KY128" s="373">
        <v>186</v>
      </c>
      <c r="KZ128" s="444">
        <v>29.8</v>
      </c>
      <c r="LA128" s="377"/>
      <c r="LB128" s="373"/>
      <c r="LC128" s="444"/>
      <c r="LD128" s="377">
        <v>404</v>
      </c>
      <c r="LE128" s="373">
        <v>1187</v>
      </c>
      <c r="LF128" s="444">
        <v>25.4</v>
      </c>
      <c r="LG128" s="377">
        <v>1690</v>
      </c>
      <c r="LH128" s="373">
        <v>1544</v>
      </c>
      <c r="LI128" s="444">
        <v>52.3</v>
      </c>
      <c r="LJ128" s="377">
        <v>596</v>
      </c>
      <c r="LK128" s="373">
        <v>1134</v>
      </c>
      <c r="LL128" s="444">
        <v>34.5</v>
      </c>
      <c r="LM128" s="377"/>
      <c r="LN128" s="373"/>
      <c r="LO128" s="444"/>
    </row>
    <row r="129" spans="1:327" x14ac:dyDescent="0.2">
      <c r="A129" s="1001"/>
      <c r="B129" s="747"/>
      <c r="C129" s="151" t="s">
        <v>722</v>
      </c>
      <c r="D129" s="377"/>
      <c r="E129" s="373"/>
      <c r="F129" s="444" t="s">
        <v>6</v>
      </c>
      <c r="G129" s="377"/>
      <c r="H129" s="373"/>
      <c r="I129" s="444" t="s">
        <v>6</v>
      </c>
      <c r="J129" s="377"/>
      <c r="K129" s="373"/>
      <c r="L129" s="444" t="s">
        <v>6</v>
      </c>
      <c r="M129" s="377"/>
      <c r="N129" s="373"/>
      <c r="O129" s="444"/>
      <c r="P129" s="377"/>
      <c r="Q129" s="373"/>
      <c r="R129" s="444" t="s">
        <v>6</v>
      </c>
      <c r="S129" s="377"/>
      <c r="T129" s="373"/>
      <c r="U129" s="444" t="s">
        <v>6</v>
      </c>
      <c r="V129" s="377"/>
      <c r="W129" s="373"/>
      <c r="X129" s="444" t="s">
        <v>6</v>
      </c>
      <c r="Y129" s="377"/>
      <c r="Z129" s="373"/>
      <c r="AA129" s="444"/>
      <c r="AB129" s="377"/>
      <c r="AC129" s="373"/>
      <c r="AD129" s="444" t="s">
        <v>6</v>
      </c>
      <c r="AE129" s="377"/>
      <c r="AF129" s="373"/>
      <c r="AG129" s="444" t="s">
        <v>6</v>
      </c>
      <c r="AH129" s="377"/>
      <c r="AI129" s="373"/>
      <c r="AJ129" s="444" t="s">
        <v>6</v>
      </c>
      <c r="AK129" s="377"/>
      <c r="AL129" s="373"/>
      <c r="AM129" s="444"/>
      <c r="AN129" s="377">
        <v>21</v>
      </c>
      <c r="AO129" s="373">
        <v>12</v>
      </c>
      <c r="AP129" s="444">
        <v>63.6</v>
      </c>
      <c r="AQ129" s="377">
        <v>17</v>
      </c>
      <c r="AR129" s="373">
        <v>11</v>
      </c>
      <c r="AS129" s="444">
        <v>60.7</v>
      </c>
      <c r="AT129" s="377">
        <v>23</v>
      </c>
      <c r="AU129" s="373">
        <v>10</v>
      </c>
      <c r="AV129" s="444">
        <v>69.7</v>
      </c>
      <c r="AW129" s="377"/>
      <c r="AX129" s="373"/>
      <c r="AY129" s="444"/>
      <c r="AZ129" s="377">
        <v>7</v>
      </c>
      <c r="BA129" s="373">
        <v>11</v>
      </c>
      <c r="BB129" s="444">
        <v>38.9</v>
      </c>
      <c r="BC129" s="377">
        <v>10</v>
      </c>
      <c r="BD129" s="373">
        <v>6</v>
      </c>
      <c r="BE129" s="444">
        <v>62.5</v>
      </c>
      <c r="BF129" s="377">
        <v>11</v>
      </c>
      <c r="BG129" s="373">
        <v>9</v>
      </c>
      <c r="BH129" s="444">
        <v>55</v>
      </c>
      <c r="BI129" s="377"/>
      <c r="BJ129" s="373"/>
      <c r="BK129" s="444"/>
      <c r="BL129" s="377"/>
      <c r="BM129" s="373"/>
      <c r="BN129" s="444" t="s">
        <v>6</v>
      </c>
      <c r="BO129" s="377"/>
      <c r="BP129" s="373"/>
      <c r="BQ129" s="444" t="s">
        <v>6</v>
      </c>
      <c r="BR129" s="377"/>
      <c r="BS129" s="373"/>
      <c r="BT129" s="444" t="s">
        <v>6</v>
      </c>
      <c r="BU129" s="377"/>
      <c r="BV129" s="373"/>
      <c r="BW129" s="444"/>
      <c r="BX129" s="377"/>
      <c r="BY129" s="373"/>
      <c r="BZ129" s="444" t="s">
        <v>6</v>
      </c>
      <c r="CA129" s="377"/>
      <c r="CB129" s="373"/>
      <c r="CC129" s="444" t="s">
        <v>6</v>
      </c>
      <c r="CD129" s="377"/>
      <c r="CE129" s="373"/>
      <c r="CF129" s="444" t="s">
        <v>6</v>
      </c>
      <c r="CG129" s="377"/>
      <c r="CH129" s="373"/>
      <c r="CI129" s="444"/>
      <c r="CJ129" s="377"/>
      <c r="CK129" s="373"/>
      <c r="CL129" s="444" t="s">
        <v>6</v>
      </c>
      <c r="CM129" s="377"/>
      <c r="CN129" s="373"/>
      <c r="CO129" s="444" t="s">
        <v>6</v>
      </c>
      <c r="CP129" s="377"/>
      <c r="CQ129" s="373"/>
      <c r="CR129" s="444" t="s">
        <v>6</v>
      </c>
      <c r="CS129" s="377"/>
      <c r="CT129" s="373"/>
      <c r="CU129" s="444"/>
      <c r="CV129" s="377">
        <v>17</v>
      </c>
      <c r="CW129" s="373">
        <v>9</v>
      </c>
      <c r="CX129" s="444">
        <v>65.400000000000006</v>
      </c>
      <c r="CY129" s="377">
        <v>14</v>
      </c>
      <c r="CZ129" s="373">
        <v>11</v>
      </c>
      <c r="DA129" s="444">
        <v>56</v>
      </c>
      <c r="DB129" s="377">
        <v>11</v>
      </c>
      <c r="DC129" s="373"/>
      <c r="DD129" s="444">
        <v>100</v>
      </c>
      <c r="DE129" s="377"/>
      <c r="DF129" s="373"/>
      <c r="DG129" s="444"/>
      <c r="DH129" s="377"/>
      <c r="DI129" s="373">
        <v>2</v>
      </c>
      <c r="DJ129" s="444">
        <v>0</v>
      </c>
      <c r="DK129" s="377"/>
      <c r="DL129" s="373">
        <v>1</v>
      </c>
      <c r="DM129" s="444">
        <v>0</v>
      </c>
      <c r="DN129" s="377"/>
      <c r="DO129" s="373">
        <v>1</v>
      </c>
      <c r="DP129" s="444">
        <v>0</v>
      </c>
      <c r="DQ129" s="377"/>
      <c r="DR129" s="373"/>
      <c r="DS129" s="444"/>
      <c r="DT129" s="377"/>
      <c r="DU129" s="373"/>
      <c r="DV129" s="444" t="s">
        <v>6</v>
      </c>
      <c r="DW129" s="377"/>
      <c r="DX129" s="373"/>
      <c r="DY129" s="444" t="s">
        <v>6</v>
      </c>
      <c r="DZ129" s="377">
        <v>1</v>
      </c>
      <c r="EA129" s="373"/>
      <c r="EB129" s="444">
        <v>100</v>
      </c>
      <c r="EC129" s="377"/>
      <c r="ED129" s="373"/>
      <c r="EE129" s="444"/>
      <c r="EF129" s="377">
        <v>116</v>
      </c>
      <c r="EG129" s="373">
        <v>837</v>
      </c>
      <c r="EH129" s="444">
        <v>12.2</v>
      </c>
      <c r="EI129" s="377">
        <v>84</v>
      </c>
      <c r="EJ129" s="373">
        <v>600</v>
      </c>
      <c r="EK129" s="444">
        <v>12.3</v>
      </c>
      <c r="EL129" s="377">
        <v>111</v>
      </c>
      <c r="EM129" s="373">
        <v>505</v>
      </c>
      <c r="EN129" s="444">
        <v>18</v>
      </c>
      <c r="EO129" s="377"/>
      <c r="EP129" s="373"/>
      <c r="EQ129" s="444"/>
      <c r="ER129" s="377">
        <v>2</v>
      </c>
      <c r="ES129" s="373">
        <v>10</v>
      </c>
      <c r="ET129" s="444">
        <v>16.7</v>
      </c>
      <c r="EU129" s="377"/>
      <c r="EV129" s="373">
        <v>15</v>
      </c>
      <c r="EW129" s="444">
        <v>0</v>
      </c>
      <c r="EX129" s="377">
        <v>2</v>
      </c>
      <c r="EY129" s="373">
        <v>6</v>
      </c>
      <c r="EZ129" s="444">
        <v>25</v>
      </c>
      <c r="FA129" s="377"/>
      <c r="FB129" s="373"/>
      <c r="FC129" s="444"/>
      <c r="FD129" s="377">
        <v>3</v>
      </c>
      <c r="FE129" s="373">
        <v>35</v>
      </c>
      <c r="FF129" s="444">
        <v>7.9</v>
      </c>
      <c r="FG129" s="377"/>
      <c r="FH129" s="373">
        <v>48</v>
      </c>
      <c r="FI129" s="444">
        <v>0</v>
      </c>
      <c r="FJ129" s="377">
        <v>56</v>
      </c>
      <c r="FK129" s="373">
        <v>36</v>
      </c>
      <c r="FL129" s="444">
        <v>60.9</v>
      </c>
      <c r="FM129" s="377"/>
      <c r="FN129" s="373"/>
      <c r="FO129" s="444"/>
      <c r="FP129" s="377">
        <v>20</v>
      </c>
      <c r="FQ129" s="373">
        <v>167</v>
      </c>
      <c r="FR129" s="444">
        <v>10.7</v>
      </c>
      <c r="FS129" s="377">
        <v>9</v>
      </c>
      <c r="FT129" s="373">
        <v>81</v>
      </c>
      <c r="FU129" s="444">
        <v>10</v>
      </c>
      <c r="FV129" s="377">
        <v>12</v>
      </c>
      <c r="FW129" s="373">
        <v>76</v>
      </c>
      <c r="FX129" s="444">
        <v>13.6</v>
      </c>
      <c r="FY129" s="377"/>
      <c r="FZ129" s="373"/>
      <c r="GA129" s="444"/>
      <c r="GB129" s="377">
        <v>2</v>
      </c>
      <c r="GC129" s="373">
        <v>3</v>
      </c>
      <c r="GD129" s="444">
        <v>40</v>
      </c>
      <c r="GE129" s="377">
        <v>5</v>
      </c>
      <c r="GF129" s="373">
        <v>3</v>
      </c>
      <c r="GG129" s="444">
        <v>62.5</v>
      </c>
      <c r="GH129" s="377">
        <v>2</v>
      </c>
      <c r="GI129" s="373"/>
      <c r="GJ129" s="444">
        <v>100</v>
      </c>
      <c r="GK129" s="377"/>
      <c r="GL129" s="373"/>
      <c r="GM129" s="444"/>
      <c r="GN129" s="377"/>
      <c r="GO129" s="373">
        <v>1</v>
      </c>
      <c r="GP129" s="444">
        <v>0</v>
      </c>
      <c r="GQ129" s="377">
        <v>1</v>
      </c>
      <c r="GR129" s="373">
        <v>2</v>
      </c>
      <c r="GS129" s="444">
        <v>33.299999999999997</v>
      </c>
      <c r="GT129" s="377"/>
      <c r="GU129" s="373">
        <v>8</v>
      </c>
      <c r="GV129" s="444">
        <v>0</v>
      </c>
      <c r="GW129" s="377"/>
      <c r="GX129" s="373"/>
      <c r="GY129" s="444"/>
      <c r="GZ129" s="377">
        <v>1</v>
      </c>
      <c r="HA129" s="373">
        <v>1</v>
      </c>
      <c r="HB129" s="444">
        <v>50</v>
      </c>
      <c r="HC129" s="377"/>
      <c r="HD129" s="373"/>
      <c r="HE129" s="444" t="s">
        <v>6</v>
      </c>
      <c r="HF129" s="377"/>
      <c r="HG129" s="373"/>
      <c r="HH129" s="444" t="s">
        <v>6</v>
      </c>
      <c r="HI129" s="377"/>
      <c r="HJ129" s="373"/>
      <c r="HK129" s="444"/>
      <c r="HL129" s="377">
        <v>8</v>
      </c>
      <c r="HM129" s="373">
        <v>40</v>
      </c>
      <c r="HN129" s="444">
        <v>16.7</v>
      </c>
      <c r="HO129" s="377">
        <v>9</v>
      </c>
      <c r="HP129" s="373">
        <v>39</v>
      </c>
      <c r="HQ129" s="444">
        <v>18.8</v>
      </c>
      <c r="HR129" s="377">
        <v>2</v>
      </c>
      <c r="HS129" s="373">
        <v>29</v>
      </c>
      <c r="HT129" s="444">
        <v>6.5</v>
      </c>
      <c r="HU129" s="377"/>
      <c r="HV129" s="373"/>
      <c r="HW129" s="444"/>
      <c r="HX129" s="377">
        <v>4</v>
      </c>
      <c r="HY129" s="373"/>
      <c r="HZ129" s="444">
        <v>100</v>
      </c>
      <c r="IA129" s="377"/>
      <c r="IB129" s="373"/>
      <c r="IC129" s="444" t="s">
        <v>6</v>
      </c>
      <c r="ID129" s="377"/>
      <c r="IE129" s="373"/>
      <c r="IF129" s="444" t="s">
        <v>6</v>
      </c>
      <c r="IG129" s="377"/>
      <c r="IH129" s="373"/>
      <c r="II129" s="444"/>
      <c r="IJ129" s="377">
        <v>2</v>
      </c>
      <c r="IK129" s="373">
        <v>4</v>
      </c>
      <c r="IL129" s="444">
        <v>33.299999999999997</v>
      </c>
      <c r="IM129" s="377"/>
      <c r="IN129" s="373">
        <v>6</v>
      </c>
      <c r="IO129" s="444">
        <v>0</v>
      </c>
      <c r="IP129" s="377">
        <v>3</v>
      </c>
      <c r="IQ129" s="373">
        <v>4</v>
      </c>
      <c r="IR129" s="444">
        <v>42.9</v>
      </c>
      <c r="IS129" s="377"/>
      <c r="IT129" s="373"/>
      <c r="IU129" s="444"/>
      <c r="IV129" s="377">
        <v>171</v>
      </c>
      <c r="IW129" s="373">
        <v>909</v>
      </c>
      <c r="IX129" s="444">
        <v>15.8</v>
      </c>
      <c r="IY129" s="377">
        <v>130</v>
      </c>
      <c r="IZ129" s="373">
        <v>673</v>
      </c>
      <c r="JA129" s="444">
        <v>16.2</v>
      </c>
      <c r="JB129" s="377">
        <v>153</v>
      </c>
      <c r="JC129" s="373">
        <v>557</v>
      </c>
      <c r="JD129" s="444">
        <v>21.5</v>
      </c>
      <c r="JE129" s="377"/>
      <c r="JF129" s="373"/>
      <c r="JG129" s="444"/>
      <c r="JH129" s="377">
        <v>36</v>
      </c>
      <c r="JI129" s="373">
        <v>143</v>
      </c>
      <c r="JJ129" s="444">
        <v>20.100000000000001</v>
      </c>
      <c r="JK129" s="377">
        <v>37</v>
      </c>
      <c r="JL129" s="373">
        <v>142</v>
      </c>
      <c r="JM129" s="444">
        <v>20.7</v>
      </c>
      <c r="JN129" s="377">
        <v>64</v>
      </c>
      <c r="JO129" s="373">
        <v>115</v>
      </c>
      <c r="JP129" s="444">
        <v>35.799999999999997</v>
      </c>
      <c r="JQ129" s="377"/>
      <c r="JR129" s="373"/>
      <c r="JS129" s="444"/>
      <c r="JT129" s="377">
        <v>3</v>
      </c>
      <c r="JU129" s="373">
        <v>2</v>
      </c>
      <c r="JV129" s="444">
        <v>60</v>
      </c>
      <c r="JW129" s="377"/>
      <c r="JX129" s="373">
        <v>1</v>
      </c>
      <c r="JY129" s="444">
        <v>0</v>
      </c>
      <c r="JZ129" s="377">
        <v>1</v>
      </c>
      <c r="KA129" s="373"/>
      <c r="KB129" s="444">
        <v>100</v>
      </c>
      <c r="KC129" s="377"/>
      <c r="KD129" s="373"/>
      <c r="KE129" s="444"/>
      <c r="KF129" s="377">
        <v>1</v>
      </c>
      <c r="KG129" s="373">
        <v>2</v>
      </c>
      <c r="KH129" s="444">
        <v>33.299999999999997</v>
      </c>
      <c r="KI129" s="377"/>
      <c r="KJ129" s="373">
        <v>1</v>
      </c>
      <c r="KK129" s="444">
        <v>0</v>
      </c>
      <c r="KL129" s="377"/>
      <c r="KM129" s="373"/>
      <c r="KN129" s="444" t="s">
        <v>6</v>
      </c>
      <c r="KO129" s="377"/>
      <c r="KP129" s="373"/>
      <c r="KQ129" s="444"/>
      <c r="KR129" s="377">
        <v>52</v>
      </c>
      <c r="KS129" s="373">
        <v>171</v>
      </c>
      <c r="KT129" s="444">
        <v>23.3</v>
      </c>
      <c r="KU129" s="377">
        <v>40</v>
      </c>
      <c r="KV129" s="373">
        <v>154</v>
      </c>
      <c r="KW129" s="444">
        <v>20.6</v>
      </c>
      <c r="KX129" s="377">
        <v>73</v>
      </c>
      <c r="KY129" s="373">
        <v>120</v>
      </c>
      <c r="KZ129" s="444">
        <v>37.799999999999997</v>
      </c>
      <c r="LA129" s="377"/>
      <c r="LB129" s="373"/>
      <c r="LC129" s="444"/>
      <c r="LD129" s="377">
        <v>411</v>
      </c>
      <c r="LE129" s="373">
        <v>1064</v>
      </c>
      <c r="LF129" s="444">
        <v>27.9</v>
      </c>
      <c r="LG129" s="377">
        <v>305</v>
      </c>
      <c r="LH129" s="373">
        <v>821</v>
      </c>
      <c r="LI129" s="444">
        <v>27.1</v>
      </c>
      <c r="LJ129" s="377">
        <v>386</v>
      </c>
      <c r="LK129" s="373">
        <v>707</v>
      </c>
      <c r="LL129" s="444">
        <v>35.299999999999997</v>
      </c>
      <c r="LM129" s="377"/>
      <c r="LN129" s="373"/>
      <c r="LO129" s="444"/>
    </row>
    <row r="130" spans="1:327" x14ac:dyDescent="0.2">
      <c r="A130" s="1001"/>
      <c r="B130" s="747"/>
      <c r="C130" s="151" t="s">
        <v>723</v>
      </c>
      <c r="D130" s="377"/>
      <c r="E130" s="373"/>
      <c r="F130" s="444" t="s">
        <v>6</v>
      </c>
      <c r="G130" s="377">
        <v>1</v>
      </c>
      <c r="H130" s="373"/>
      <c r="I130" s="444">
        <v>100</v>
      </c>
      <c r="J130" s="377"/>
      <c r="K130" s="373"/>
      <c r="L130" s="444" t="s">
        <v>6</v>
      </c>
      <c r="M130" s="377"/>
      <c r="N130" s="373"/>
      <c r="O130" s="444"/>
      <c r="P130" s="377"/>
      <c r="Q130" s="373"/>
      <c r="R130" s="444" t="s">
        <v>6</v>
      </c>
      <c r="S130" s="377"/>
      <c r="T130" s="373"/>
      <c r="U130" s="444" t="s">
        <v>6</v>
      </c>
      <c r="V130" s="377"/>
      <c r="W130" s="373"/>
      <c r="X130" s="444" t="s">
        <v>6</v>
      </c>
      <c r="Y130" s="377"/>
      <c r="Z130" s="373"/>
      <c r="AA130" s="444"/>
      <c r="AB130" s="377"/>
      <c r="AC130" s="373"/>
      <c r="AD130" s="444" t="s">
        <v>6</v>
      </c>
      <c r="AE130" s="377">
        <v>1</v>
      </c>
      <c r="AF130" s="373"/>
      <c r="AG130" s="444">
        <v>100</v>
      </c>
      <c r="AH130" s="377"/>
      <c r="AI130" s="373"/>
      <c r="AJ130" s="444" t="s">
        <v>6</v>
      </c>
      <c r="AK130" s="377"/>
      <c r="AL130" s="373"/>
      <c r="AM130" s="444"/>
      <c r="AN130" s="377">
        <v>25</v>
      </c>
      <c r="AO130" s="373">
        <v>4</v>
      </c>
      <c r="AP130" s="444">
        <v>86.2</v>
      </c>
      <c r="AQ130" s="377">
        <v>18</v>
      </c>
      <c r="AR130" s="373">
        <v>1</v>
      </c>
      <c r="AS130" s="444">
        <v>94.7</v>
      </c>
      <c r="AT130" s="377">
        <v>19</v>
      </c>
      <c r="AU130" s="373">
        <v>4</v>
      </c>
      <c r="AV130" s="444">
        <v>82.6</v>
      </c>
      <c r="AW130" s="377"/>
      <c r="AX130" s="373"/>
      <c r="AY130" s="444"/>
      <c r="AZ130" s="377">
        <v>6</v>
      </c>
      <c r="BA130" s="373">
        <v>4</v>
      </c>
      <c r="BB130" s="444">
        <v>60</v>
      </c>
      <c r="BC130" s="377">
        <v>6</v>
      </c>
      <c r="BD130" s="373">
        <v>1</v>
      </c>
      <c r="BE130" s="444">
        <v>85.7</v>
      </c>
      <c r="BF130" s="377">
        <v>7</v>
      </c>
      <c r="BG130" s="373">
        <v>4</v>
      </c>
      <c r="BH130" s="444">
        <v>63.6</v>
      </c>
      <c r="BI130" s="377"/>
      <c r="BJ130" s="373"/>
      <c r="BK130" s="444"/>
      <c r="BL130" s="377"/>
      <c r="BM130" s="373"/>
      <c r="BN130" s="444" t="s">
        <v>6</v>
      </c>
      <c r="BO130" s="377"/>
      <c r="BP130" s="373"/>
      <c r="BQ130" s="444" t="s">
        <v>6</v>
      </c>
      <c r="BR130" s="377"/>
      <c r="BS130" s="373"/>
      <c r="BT130" s="444" t="s">
        <v>6</v>
      </c>
      <c r="BU130" s="377"/>
      <c r="BV130" s="373"/>
      <c r="BW130" s="444"/>
      <c r="BX130" s="377">
        <v>1</v>
      </c>
      <c r="BY130" s="373">
        <v>1</v>
      </c>
      <c r="BZ130" s="444">
        <v>50</v>
      </c>
      <c r="CA130" s="377"/>
      <c r="CB130" s="373"/>
      <c r="CC130" s="444" t="s">
        <v>6</v>
      </c>
      <c r="CD130" s="377"/>
      <c r="CE130" s="373"/>
      <c r="CF130" s="444" t="s">
        <v>6</v>
      </c>
      <c r="CG130" s="377"/>
      <c r="CH130" s="373"/>
      <c r="CI130" s="444"/>
      <c r="CJ130" s="377"/>
      <c r="CK130" s="373"/>
      <c r="CL130" s="444" t="s">
        <v>6</v>
      </c>
      <c r="CM130" s="377"/>
      <c r="CN130" s="373"/>
      <c r="CO130" s="444" t="s">
        <v>6</v>
      </c>
      <c r="CP130" s="377"/>
      <c r="CQ130" s="373"/>
      <c r="CR130" s="444" t="s">
        <v>6</v>
      </c>
      <c r="CS130" s="377"/>
      <c r="CT130" s="373"/>
      <c r="CU130" s="444"/>
      <c r="CV130" s="377">
        <v>27</v>
      </c>
      <c r="CW130" s="373">
        <v>2</v>
      </c>
      <c r="CX130" s="444">
        <v>93.1</v>
      </c>
      <c r="CY130" s="377">
        <v>20</v>
      </c>
      <c r="CZ130" s="373">
        <v>6</v>
      </c>
      <c r="DA130" s="444">
        <v>76.900000000000006</v>
      </c>
      <c r="DB130" s="377">
        <v>22</v>
      </c>
      <c r="DC130" s="373">
        <v>2</v>
      </c>
      <c r="DD130" s="444">
        <v>91.7</v>
      </c>
      <c r="DE130" s="377"/>
      <c r="DF130" s="373"/>
      <c r="DG130" s="444"/>
      <c r="DH130" s="377">
        <v>2</v>
      </c>
      <c r="DI130" s="373">
        <v>1</v>
      </c>
      <c r="DJ130" s="444">
        <v>66.7</v>
      </c>
      <c r="DK130" s="377">
        <v>3</v>
      </c>
      <c r="DL130" s="373"/>
      <c r="DM130" s="444">
        <v>100</v>
      </c>
      <c r="DN130" s="377">
        <v>1</v>
      </c>
      <c r="DO130" s="373"/>
      <c r="DP130" s="444">
        <v>100</v>
      </c>
      <c r="DQ130" s="377"/>
      <c r="DR130" s="373"/>
      <c r="DS130" s="444"/>
      <c r="DT130" s="377"/>
      <c r="DU130" s="373"/>
      <c r="DV130" s="444" t="s">
        <v>6</v>
      </c>
      <c r="DW130" s="377"/>
      <c r="DX130" s="373"/>
      <c r="DY130" s="444" t="s">
        <v>6</v>
      </c>
      <c r="DZ130" s="377">
        <v>2</v>
      </c>
      <c r="EA130" s="373"/>
      <c r="EB130" s="444">
        <v>100</v>
      </c>
      <c r="EC130" s="377"/>
      <c r="ED130" s="373"/>
      <c r="EE130" s="444"/>
      <c r="EF130" s="377">
        <v>264</v>
      </c>
      <c r="EG130" s="373">
        <v>574</v>
      </c>
      <c r="EH130" s="444">
        <v>31.5</v>
      </c>
      <c r="EI130" s="377">
        <v>146</v>
      </c>
      <c r="EJ130" s="373">
        <v>480</v>
      </c>
      <c r="EK130" s="444">
        <v>23.3</v>
      </c>
      <c r="EL130" s="377">
        <v>154</v>
      </c>
      <c r="EM130" s="373">
        <v>372</v>
      </c>
      <c r="EN130" s="444">
        <v>29.3</v>
      </c>
      <c r="EO130" s="377"/>
      <c r="EP130" s="373"/>
      <c r="EQ130" s="444"/>
      <c r="ER130" s="377">
        <v>6</v>
      </c>
      <c r="ES130" s="373">
        <v>3</v>
      </c>
      <c r="ET130" s="444">
        <v>66.7</v>
      </c>
      <c r="EU130" s="377">
        <v>2</v>
      </c>
      <c r="EV130" s="373">
        <v>1</v>
      </c>
      <c r="EW130" s="444">
        <v>66.7</v>
      </c>
      <c r="EX130" s="377">
        <v>2</v>
      </c>
      <c r="EY130" s="373"/>
      <c r="EZ130" s="444">
        <v>100</v>
      </c>
      <c r="FA130" s="377"/>
      <c r="FB130" s="373"/>
      <c r="FC130" s="444"/>
      <c r="FD130" s="377">
        <v>1</v>
      </c>
      <c r="FE130" s="373">
        <v>6</v>
      </c>
      <c r="FF130" s="444">
        <v>14.3</v>
      </c>
      <c r="FG130" s="377"/>
      <c r="FH130" s="373">
        <v>11</v>
      </c>
      <c r="FI130" s="444">
        <v>0</v>
      </c>
      <c r="FJ130" s="377"/>
      <c r="FK130" s="373">
        <v>4</v>
      </c>
      <c r="FL130" s="444">
        <v>0</v>
      </c>
      <c r="FM130" s="377"/>
      <c r="FN130" s="373"/>
      <c r="FO130" s="444"/>
      <c r="FP130" s="377">
        <v>67</v>
      </c>
      <c r="FQ130" s="373">
        <v>170</v>
      </c>
      <c r="FR130" s="444">
        <v>28.3</v>
      </c>
      <c r="FS130" s="377">
        <v>56</v>
      </c>
      <c r="FT130" s="373">
        <v>124</v>
      </c>
      <c r="FU130" s="444">
        <v>31.1</v>
      </c>
      <c r="FV130" s="377">
        <v>19</v>
      </c>
      <c r="FW130" s="373">
        <v>94</v>
      </c>
      <c r="FX130" s="444">
        <v>16.8</v>
      </c>
      <c r="FY130" s="377"/>
      <c r="FZ130" s="373"/>
      <c r="GA130" s="444"/>
      <c r="GB130" s="377">
        <v>5</v>
      </c>
      <c r="GC130" s="373">
        <v>1</v>
      </c>
      <c r="GD130" s="444">
        <v>83.3</v>
      </c>
      <c r="GE130" s="377">
        <v>2</v>
      </c>
      <c r="GF130" s="373"/>
      <c r="GG130" s="444">
        <v>100</v>
      </c>
      <c r="GH130" s="377">
        <v>4</v>
      </c>
      <c r="GI130" s="373">
        <v>1</v>
      </c>
      <c r="GJ130" s="444">
        <v>80</v>
      </c>
      <c r="GK130" s="377"/>
      <c r="GL130" s="373"/>
      <c r="GM130" s="444"/>
      <c r="GN130" s="377">
        <v>2</v>
      </c>
      <c r="GO130" s="373">
        <v>1</v>
      </c>
      <c r="GP130" s="444">
        <v>66.7</v>
      </c>
      <c r="GQ130" s="377">
        <v>2</v>
      </c>
      <c r="GR130" s="373">
        <v>3</v>
      </c>
      <c r="GS130" s="444">
        <v>40</v>
      </c>
      <c r="GT130" s="377">
        <v>5</v>
      </c>
      <c r="GU130" s="373">
        <v>2</v>
      </c>
      <c r="GV130" s="444">
        <v>71.400000000000006</v>
      </c>
      <c r="GW130" s="377"/>
      <c r="GX130" s="373"/>
      <c r="GY130" s="444"/>
      <c r="GZ130" s="377">
        <v>5</v>
      </c>
      <c r="HA130" s="373"/>
      <c r="HB130" s="444">
        <v>100</v>
      </c>
      <c r="HC130" s="377"/>
      <c r="HD130" s="373"/>
      <c r="HE130" s="444" t="s">
        <v>6</v>
      </c>
      <c r="HF130" s="377"/>
      <c r="HG130" s="373"/>
      <c r="HH130" s="444" t="s">
        <v>6</v>
      </c>
      <c r="HI130" s="377"/>
      <c r="HJ130" s="373"/>
      <c r="HK130" s="444"/>
      <c r="HL130" s="377">
        <v>2</v>
      </c>
      <c r="HM130" s="373">
        <v>23</v>
      </c>
      <c r="HN130" s="444">
        <v>8</v>
      </c>
      <c r="HO130" s="377">
        <v>5</v>
      </c>
      <c r="HP130" s="373">
        <v>25</v>
      </c>
      <c r="HQ130" s="444">
        <v>16.7</v>
      </c>
      <c r="HR130" s="377">
        <v>5</v>
      </c>
      <c r="HS130" s="373">
        <v>31</v>
      </c>
      <c r="HT130" s="444">
        <v>13.9</v>
      </c>
      <c r="HU130" s="377"/>
      <c r="HV130" s="373"/>
      <c r="HW130" s="444"/>
      <c r="HX130" s="377">
        <v>1</v>
      </c>
      <c r="HY130" s="373"/>
      <c r="HZ130" s="444">
        <v>100</v>
      </c>
      <c r="IA130" s="377"/>
      <c r="IB130" s="373"/>
      <c r="IC130" s="444" t="s">
        <v>6</v>
      </c>
      <c r="ID130" s="377">
        <v>1</v>
      </c>
      <c r="IE130" s="373"/>
      <c r="IF130" s="444">
        <v>100</v>
      </c>
      <c r="IG130" s="377"/>
      <c r="IH130" s="373"/>
      <c r="II130" s="444"/>
      <c r="IJ130" s="377">
        <v>1</v>
      </c>
      <c r="IK130" s="373">
        <v>3</v>
      </c>
      <c r="IL130" s="444">
        <v>25</v>
      </c>
      <c r="IM130" s="377"/>
      <c r="IN130" s="373">
        <v>2</v>
      </c>
      <c r="IO130" s="444">
        <v>0</v>
      </c>
      <c r="IP130" s="377"/>
      <c r="IQ130" s="373"/>
      <c r="IR130" s="444" t="s">
        <v>6</v>
      </c>
      <c r="IS130" s="377"/>
      <c r="IT130" s="373"/>
      <c r="IU130" s="444"/>
      <c r="IV130" s="377">
        <v>335</v>
      </c>
      <c r="IW130" s="373">
        <v>610</v>
      </c>
      <c r="IX130" s="444">
        <v>35.4</v>
      </c>
      <c r="IY130" s="377">
        <v>197</v>
      </c>
      <c r="IZ130" s="373">
        <v>517</v>
      </c>
      <c r="JA130" s="444">
        <v>27.6</v>
      </c>
      <c r="JB130" s="377">
        <v>213</v>
      </c>
      <c r="JC130" s="373">
        <v>412</v>
      </c>
      <c r="JD130" s="444">
        <v>34.1</v>
      </c>
      <c r="JE130" s="377"/>
      <c r="JF130" s="373"/>
      <c r="JG130" s="444"/>
      <c r="JH130" s="377">
        <v>62</v>
      </c>
      <c r="JI130" s="373">
        <v>55</v>
      </c>
      <c r="JJ130" s="444">
        <v>53</v>
      </c>
      <c r="JK130" s="377">
        <v>34</v>
      </c>
      <c r="JL130" s="373">
        <v>62</v>
      </c>
      <c r="JM130" s="444">
        <v>35.4</v>
      </c>
      <c r="JN130" s="377">
        <v>41</v>
      </c>
      <c r="JO130" s="373">
        <v>64</v>
      </c>
      <c r="JP130" s="444">
        <v>39</v>
      </c>
      <c r="JQ130" s="377"/>
      <c r="JR130" s="373"/>
      <c r="JS130" s="444"/>
      <c r="JT130" s="377"/>
      <c r="JU130" s="373">
        <v>1</v>
      </c>
      <c r="JV130" s="444">
        <v>0</v>
      </c>
      <c r="JW130" s="377">
        <v>5</v>
      </c>
      <c r="JX130" s="373">
        <v>1</v>
      </c>
      <c r="JY130" s="444">
        <v>83.3</v>
      </c>
      <c r="JZ130" s="377">
        <v>4</v>
      </c>
      <c r="KA130" s="373"/>
      <c r="KB130" s="444">
        <v>100</v>
      </c>
      <c r="KC130" s="377"/>
      <c r="KD130" s="373"/>
      <c r="KE130" s="444"/>
      <c r="KF130" s="377"/>
      <c r="KG130" s="373"/>
      <c r="KH130" s="444" t="s">
        <v>6</v>
      </c>
      <c r="KI130" s="377"/>
      <c r="KJ130" s="373"/>
      <c r="KK130" s="444" t="s">
        <v>6</v>
      </c>
      <c r="KL130" s="377">
        <v>1</v>
      </c>
      <c r="KM130" s="373"/>
      <c r="KN130" s="444">
        <v>100</v>
      </c>
      <c r="KO130" s="377"/>
      <c r="KP130" s="373"/>
      <c r="KQ130" s="444"/>
      <c r="KR130" s="377">
        <v>65</v>
      </c>
      <c r="KS130" s="373">
        <v>62</v>
      </c>
      <c r="KT130" s="444">
        <v>51.2</v>
      </c>
      <c r="KU130" s="377">
        <v>42</v>
      </c>
      <c r="KV130" s="373">
        <v>67</v>
      </c>
      <c r="KW130" s="444">
        <v>38.5</v>
      </c>
      <c r="KX130" s="377">
        <v>48</v>
      </c>
      <c r="KY130" s="373">
        <v>70</v>
      </c>
      <c r="KZ130" s="444">
        <v>40.700000000000003</v>
      </c>
      <c r="LA130" s="377"/>
      <c r="LB130" s="373"/>
      <c r="LC130" s="444"/>
      <c r="LD130" s="377">
        <v>392</v>
      </c>
      <c r="LE130" s="373">
        <v>650</v>
      </c>
      <c r="LF130" s="444">
        <v>37.6</v>
      </c>
      <c r="LG130" s="377">
        <v>390</v>
      </c>
      <c r="LH130" s="373">
        <v>579</v>
      </c>
      <c r="LI130" s="444">
        <v>40.200000000000003</v>
      </c>
      <c r="LJ130" s="377">
        <v>398</v>
      </c>
      <c r="LK130" s="373">
        <v>474</v>
      </c>
      <c r="LL130" s="444">
        <v>45.6</v>
      </c>
      <c r="LM130" s="377"/>
      <c r="LN130" s="373"/>
      <c r="LO130" s="444"/>
    </row>
    <row r="131" spans="1:327" x14ac:dyDescent="0.2">
      <c r="A131" s="1001"/>
      <c r="B131" s="747"/>
      <c r="C131" s="151" t="s">
        <v>724</v>
      </c>
      <c r="D131" s="377"/>
      <c r="E131" s="373"/>
      <c r="F131" s="444" t="s">
        <v>6</v>
      </c>
      <c r="G131" s="377"/>
      <c r="H131" s="373"/>
      <c r="I131" s="444" t="s">
        <v>6</v>
      </c>
      <c r="J131" s="377"/>
      <c r="K131" s="373"/>
      <c r="L131" s="444" t="s">
        <v>6</v>
      </c>
      <c r="M131" s="377"/>
      <c r="N131" s="373"/>
      <c r="O131" s="444"/>
      <c r="P131" s="377"/>
      <c r="Q131" s="373"/>
      <c r="R131" s="444" t="s">
        <v>6</v>
      </c>
      <c r="S131" s="377"/>
      <c r="T131" s="373"/>
      <c r="U131" s="444" t="s">
        <v>6</v>
      </c>
      <c r="V131" s="377"/>
      <c r="W131" s="373"/>
      <c r="X131" s="444" t="s">
        <v>6</v>
      </c>
      <c r="Y131" s="377"/>
      <c r="Z131" s="373"/>
      <c r="AA131" s="444"/>
      <c r="AB131" s="377"/>
      <c r="AC131" s="373"/>
      <c r="AD131" s="444" t="s">
        <v>6</v>
      </c>
      <c r="AE131" s="377"/>
      <c r="AF131" s="373"/>
      <c r="AG131" s="444" t="s">
        <v>6</v>
      </c>
      <c r="AH131" s="377"/>
      <c r="AI131" s="373"/>
      <c r="AJ131" s="444" t="s">
        <v>6</v>
      </c>
      <c r="AK131" s="377"/>
      <c r="AL131" s="373"/>
      <c r="AM131" s="444"/>
      <c r="AN131" s="377">
        <v>2</v>
      </c>
      <c r="AO131" s="373">
        <v>1</v>
      </c>
      <c r="AP131" s="444">
        <v>66.7</v>
      </c>
      <c r="AQ131" s="377">
        <v>12</v>
      </c>
      <c r="AR131" s="373">
        <v>1</v>
      </c>
      <c r="AS131" s="444">
        <v>92.3</v>
      </c>
      <c r="AT131" s="377">
        <v>8</v>
      </c>
      <c r="AU131" s="373"/>
      <c r="AV131" s="444">
        <v>100</v>
      </c>
      <c r="AW131" s="377"/>
      <c r="AX131" s="373"/>
      <c r="AY131" s="444"/>
      <c r="AZ131" s="377">
        <v>1</v>
      </c>
      <c r="BA131" s="373">
        <v>1</v>
      </c>
      <c r="BB131" s="444">
        <v>50</v>
      </c>
      <c r="BC131" s="377">
        <v>4</v>
      </c>
      <c r="BD131" s="373"/>
      <c r="BE131" s="444">
        <v>100</v>
      </c>
      <c r="BF131" s="377">
        <v>1</v>
      </c>
      <c r="BG131" s="373"/>
      <c r="BH131" s="444">
        <v>100</v>
      </c>
      <c r="BI131" s="377"/>
      <c r="BJ131" s="373"/>
      <c r="BK131" s="444"/>
      <c r="BL131" s="377"/>
      <c r="BM131" s="373"/>
      <c r="BN131" s="444" t="s">
        <v>6</v>
      </c>
      <c r="BO131" s="377"/>
      <c r="BP131" s="373"/>
      <c r="BQ131" s="444" t="s">
        <v>6</v>
      </c>
      <c r="BR131" s="377"/>
      <c r="BS131" s="373"/>
      <c r="BT131" s="444" t="s">
        <v>6</v>
      </c>
      <c r="BU131" s="377"/>
      <c r="BV131" s="373"/>
      <c r="BW131" s="444"/>
      <c r="BX131" s="377"/>
      <c r="BY131" s="373"/>
      <c r="BZ131" s="444" t="s">
        <v>6</v>
      </c>
      <c r="CA131" s="377"/>
      <c r="CB131" s="373">
        <v>1</v>
      </c>
      <c r="CC131" s="444">
        <v>0</v>
      </c>
      <c r="CD131" s="377"/>
      <c r="CE131" s="373"/>
      <c r="CF131" s="444" t="s">
        <v>6</v>
      </c>
      <c r="CG131" s="377"/>
      <c r="CH131" s="373"/>
      <c r="CI131" s="444"/>
      <c r="CJ131" s="377"/>
      <c r="CK131" s="373"/>
      <c r="CL131" s="444" t="s">
        <v>6</v>
      </c>
      <c r="CM131" s="377"/>
      <c r="CN131" s="373"/>
      <c r="CO131" s="444" t="s">
        <v>6</v>
      </c>
      <c r="CP131" s="377"/>
      <c r="CQ131" s="373"/>
      <c r="CR131" s="444" t="s">
        <v>6</v>
      </c>
      <c r="CS131" s="377"/>
      <c r="CT131" s="373"/>
      <c r="CU131" s="444"/>
      <c r="CV131" s="377">
        <v>4</v>
      </c>
      <c r="CW131" s="373"/>
      <c r="CX131" s="444">
        <v>100</v>
      </c>
      <c r="CY131" s="377">
        <v>15</v>
      </c>
      <c r="CZ131" s="373">
        <v>5</v>
      </c>
      <c r="DA131" s="444">
        <v>75</v>
      </c>
      <c r="DB131" s="377">
        <v>8</v>
      </c>
      <c r="DC131" s="373">
        <v>1</v>
      </c>
      <c r="DD131" s="444">
        <v>88.9</v>
      </c>
      <c r="DE131" s="377"/>
      <c r="DF131" s="373"/>
      <c r="DG131" s="444"/>
      <c r="DH131" s="377"/>
      <c r="DI131" s="373"/>
      <c r="DJ131" s="444" t="s">
        <v>6</v>
      </c>
      <c r="DK131" s="377">
        <v>1</v>
      </c>
      <c r="DL131" s="373"/>
      <c r="DM131" s="444">
        <v>100</v>
      </c>
      <c r="DN131" s="377"/>
      <c r="DO131" s="373"/>
      <c r="DP131" s="444" t="s">
        <v>6</v>
      </c>
      <c r="DQ131" s="377"/>
      <c r="DR131" s="373"/>
      <c r="DS131" s="444"/>
      <c r="DT131" s="377">
        <v>1</v>
      </c>
      <c r="DU131" s="373"/>
      <c r="DV131" s="444">
        <v>100</v>
      </c>
      <c r="DW131" s="377"/>
      <c r="DX131" s="373"/>
      <c r="DY131" s="444" t="s">
        <v>6</v>
      </c>
      <c r="DZ131" s="377">
        <v>2</v>
      </c>
      <c r="EA131" s="373"/>
      <c r="EB131" s="444">
        <v>100</v>
      </c>
      <c r="EC131" s="377"/>
      <c r="ED131" s="373"/>
      <c r="EE131" s="444"/>
      <c r="EF131" s="377">
        <v>151</v>
      </c>
      <c r="EG131" s="373">
        <v>196</v>
      </c>
      <c r="EH131" s="444">
        <v>43.5</v>
      </c>
      <c r="EI131" s="377">
        <v>88</v>
      </c>
      <c r="EJ131" s="373">
        <v>149</v>
      </c>
      <c r="EK131" s="444">
        <v>37.1</v>
      </c>
      <c r="EL131" s="377">
        <v>62</v>
      </c>
      <c r="EM131" s="373">
        <v>128</v>
      </c>
      <c r="EN131" s="444">
        <v>32.6</v>
      </c>
      <c r="EO131" s="377"/>
      <c r="EP131" s="373"/>
      <c r="EQ131" s="444"/>
      <c r="ER131" s="377">
        <v>1</v>
      </c>
      <c r="ES131" s="373">
        <v>1</v>
      </c>
      <c r="ET131" s="444">
        <v>50</v>
      </c>
      <c r="EU131" s="377"/>
      <c r="EV131" s="373">
        <v>1</v>
      </c>
      <c r="EW131" s="444">
        <v>0</v>
      </c>
      <c r="EX131" s="377">
        <v>2</v>
      </c>
      <c r="EY131" s="373"/>
      <c r="EZ131" s="444">
        <v>100</v>
      </c>
      <c r="FA131" s="377"/>
      <c r="FB131" s="373"/>
      <c r="FC131" s="444"/>
      <c r="FD131" s="377">
        <v>1</v>
      </c>
      <c r="FE131" s="373">
        <v>7</v>
      </c>
      <c r="FF131" s="444">
        <v>12.5</v>
      </c>
      <c r="FG131" s="377">
        <v>2</v>
      </c>
      <c r="FH131" s="373">
        <v>12</v>
      </c>
      <c r="FI131" s="444">
        <v>14.3</v>
      </c>
      <c r="FJ131" s="377"/>
      <c r="FK131" s="373">
        <v>2</v>
      </c>
      <c r="FL131" s="444">
        <v>0</v>
      </c>
      <c r="FM131" s="377"/>
      <c r="FN131" s="373"/>
      <c r="FO131" s="444"/>
      <c r="FP131" s="377">
        <v>20</v>
      </c>
      <c r="FQ131" s="373">
        <v>17</v>
      </c>
      <c r="FR131" s="444">
        <v>54.1</v>
      </c>
      <c r="FS131" s="377">
        <v>23</v>
      </c>
      <c r="FT131" s="373">
        <v>44</v>
      </c>
      <c r="FU131" s="444">
        <v>34.299999999999997</v>
      </c>
      <c r="FV131" s="377">
        <v>19</v>
      </c>
      <c r="FW131" s="373">
        <v>17</v>
      </c>
      <c r="FX131" s="444">
        <v>52.8</v>
      </c>
      <c r="FY131" s="377"/>
      <c r="FZ131" s="373"/>
      <c r="GA131" s="444"/>
      <c r="GB131" s="377">
        <v>1</v>
      </c>
      <c r="GC131" s="373"/>
      <c r="GD131" s="444">
        <v>100</v>
      </c>
      <c r="GE131" s="377">
        <v>2</v>
      </c>
      <c r="GF131" s="373"/>
      <c r="GG131" s="444">
        <v>100</v>
      </c>
      <c r="GH131" s="377">
        <v>2</v>
      </c>
      <c r="GI131" s="373"/>
      <c r="GJ131" s="444">
        <v>100</v>
      </c>
      <c r="GK131" s="377"/>
      <c r="GL131" s="373"/>
      <c r="GM131" s="444"/>
      <c r="GN131" s="377">
        <v>2</v>
      </c>
      <c r="GO131" s="373"/>
      <c r="GP131" s="444">
        <v>100</v>
      </c>
      <c r="GQ131" s="377">
        <v>3</v>
      </c>
      <c r="GR131" s="373"/>
      <c r="GS131" s="444">
        <v>100</v>
      </c>
      <c r="GT131" s="377">
        <v>1</v>
      </c>
      <c r="GU131" s="373">
        <v>1</v>
      </c>
      <c r="GV131" s="444">
        <v>50</v>
      </c>
      <c r="GW131" s="377"/>
      <c r="GX131" s="373"/>
      <c r="GY131" s="444"/>
      <c r="GZ131" s="377"/>
      <c r="HA131" s="373"/>
      <c r="HB131" s="444" t="s">
        <v>6</v>
      </c>
      <c r="HC131" s="377"/>
      <c r="HD131" s="373"/>
      <c r="HE131" s="444" t="s">
        <v>6</v>
      </c>
      <c r="HF131" s="377"/>
      <c r="HG131" s="373"/>
      <c r="HH131" s="444" t="s">
        <v>6</v>
      </c>
      <c r="HI131" s="377"/>
      <c r="HJ131" s="373"/>
      <c r="HK131" s="444"/>
      <c r="HL131" s="377">
        <v>8</v>
      </c>
      <c r="HM131" s="373">
        <v>9</v>
      </c>
      <c r="HN131" s="444">
        <v>47.1</v>
      </c>
      <c r="HO131" s="377">
        <v>1</v>
      </c>
      <c r="HP131" s="373">
        <v>14</v>
      </c>
      <c r="HQ131" s="444">
        <v>6.7</v>
      </c>
      <c r="HR131" s="377">
        <v>3</v>
      </c>
      <c r="HS131" s="373">
        <v>7</v>
      </c>
      <c r="HT131" s="444">
        <v>30</v>
      </c>
      <c r="HU131" s="377"/>
      <c r="HV131" s="373"/>
      <c r="HW131" s="444"/>
      <c r="HX131" s="377">
        <v>2</v>
      </c>
      <c r="HY131" s="373"/>
      <c r="HZ131" s="444">
        <v>100</v>
      </c>
      <c r="IA131" s="377">
        <v>5</v>
      </c>
      <c r="IB131" s="373"/>
      <c r="IC131" s="444">
        <v>100</v>
      </c>
      <c r="ID131" s="377">
        <v>1</v>
      </c>
      <c r="IE131" s="373"/>
      <c r="IF131" s="444">
        <v>100</v>
      </c>
      <c r="IG131" s="377"/>
      <c r="IH131" s="373"/>
      <c r="II131" s="444"/>
      <c r="IJ131" s="377">
        <v>7</v>
      </c>
      <c r="IK131" s="373">
        <v>1</v>
      </c>
      <c r="IL131" s="444">
        <v>87.5</v>
      </c>
      <c r="IM131" s="377"/>
      <c r="IN131" s="373"/>
      <c r="IO131" s="444" t="s">
        <v>6</v>
      </c>
      <c r="IP131" s="377"/>
      <c r="IQ131" s="373">
        <v>1</v>
      </c>
      <c r="IR131" s="444">
        <v>0</v>
      </c>
      <c r="IS131" s="377"/>
      <c r="IT131" s="373"/>
      <c r="IU131" s="444"/>
      <c r="IV131" s="377">
        <v>178</v>
      </c>
      <c r="IW131" s="373">
        <v>207</v>
      </c>
      <c r="IX131" s="444">
        <v>46.2</v>
      </c>
      <c r="IY131" s="377">
        <v>127</v>
      </c>
      <c r="IZ131" s="373">
        <v>170</v>
      </c>
      <c r="JA131" s="444">
        <v>42.8</v>
      </c>
      <c r="JB131" s="377">
        <v>87</v>
      </c>
      <c r="JC131" s="373">
        <v>138</v>
      </c>
      <c r="JD131" s="444">
        <v>38.700000000000003</v>
      </c>
      <c r="JE131" s="377"/>
      <c r="JF131" s="373"/>
      <c r="JG131" s="444"/>
      <c r="JH131" s="377">
        <v>42</v>
      </c>
      <c r="JI131" s="373">
        <v>38</v>
      </c>
      <c r="JJ131" s="444">
        <v>52.5</v>
      </c>
      <c r="JK131" s="377">
        <v>40</v>
      </c>
      <c r="JL131" s="373">
        <v>28</v>
      </c>
      <c r="JM131" s="444">
        <v>58.8</v>
      </c>
      <c r="JN131" s="377">
        <v>21</v>
      </c>
      <c r="JO131" s="373">
        <v>30</v>
      </c>
      <c r="JP131" s="444">
        <v>41.2</v>
      </c>
      <c r="JQ131" s="377"/>
      <c r="JR131" s="373"/>
      <c r="JS131" s="444"/>
      <c r="JT131" s="377"/>
      <c r="JU131" s="373"/>
      <c r="JV131" s="444" t="s">
        <v>6</v>
      </c>
      <c r="JW131" s="377">
        <v>1</v>
      </c>
      <c r="JX131" s="373"/>
      <c r="JY131" s="444">
        <v>100</v>
      </c>
      <c r="JZ131" s="377"/>
      <c r="KA131" s="373"/>
      <c r="KB131" s="444" t="s">
        <v>6</v>
      </c>
      <c r="KC131" s="377"/>
      <c r="KD131" s="373"/>
      <c r="KE131" s="444"/>
      <c r="KF131" s="377"/>
      <c r="KG131" s="373"/>
      <c r="KH131" s="444" t="s">
        <v>6</v>
      </c>
      <c r="KI131" s="377">
        <v>1</v>
      </c>
      <c r="KJ131" s="373"/>
      <c r="KK131" s="444">
        <v>100</v>
      </c>
      <c r="KL131" s="377"/>
      <c r="KM131" s="373"/>
      <c r="KN131" s="444" t="s">
        <v>6</v>
      </c>
      <c r="KO131" s="377"/>
      <c r="KP131" s="373"/>
      <c r="KQ131" s="444"/>
      <c r="KR131" s="377">
        <v>42</v>
      </c>
      <c r="KS131" s="373">
        <v>38</v>
      </c>
      <c r="KT131" s="444">
        <v>52.5</v>
      </c>
      <c r="KU131" s="377">
        <v>45</v>
      </c>
      <c r="KV131" s="373">
        <v>30</v>
      </c>
      <c r="KW131" s="444">
        <v>60</v>
      </c>
      <c r="KX131" s="377">
        <v>30</v>
      </c>
      <c r="KY131" s="373">
        <v>30</v>
      </c>
      <c r="KZ131" s="444">
        <v>50</v>
      </c>
      <c r="LA131" s="377"/>
      <c r="LB131" s="373"/>
      <c r="LC131" s="444"/>
      <c r="LD131" s="377">
        <v>203</v>
      </c>
      <c r="LE131" s="373">
        <v>225</v>
      </c>
      <c r="LF131" s="444">
        <v>47.4</v>
      </c>
      <c r="LG131" s="377">
        <v>147</v>
      </c>
      <c r="LH131" s="373">
        <v>192</v>
      </c>
      <c r="LI131" s="444">
        <v>43.4</v>
      </c>
      <c r="LJ131" s="377">
        <v>153</v>
      </c>
      <c r="LK131" s="373">
        <v>154</v>
      </c>
      <c r="LL131" s="444">
        <v>49.8</v>
      </c>
      <c r="LM131" s="377"/>
      <c r="LN131" s="373"/>
      <c r="LO131" s="444"/>
    </row>
    <row r="132" spans="1:327" x14ac:dyDescent="0.2">
      <c r="A132" s="1001"/>
      <c r="B132" s="747"/>
      <c r="C132" s="151" t="s">
        <v>725</v>
      </c>
      <c r="D132" s="377"/>
      <c r="E132" s="373"/>
      <c r="F132" s="444" t="s">
        <v>6</v>
      </c>
      <c r="G132" s="377"/>
      <c r="H132" s="373"/>
      <c r="I132" s="444" t="s">
        <v>6</v>
      </c>
      <c r="J132" s="377"/>
      <c r="K132" s="373"/>
      <c r="L132" s="444" t="s">
        <v>6</v>
      </c>
      <c r="M132" s="377"/>
      <c r="N132" s="373"/>
      <c r="O132" s="444"/>
      <c r="P132" s="377"/>
      <c r="Q132" s="373"/>
      <c r="R132" s="444" t="s">
        <v>6</v>
      </c>
      <c r="S132" s="377"/>
      <c r="T132" s="373"/>
      <c r="U132" s="444" t="s">
        <v>6</v>
      </c>
      <c r="V132" s="377"/>
      <c r="W132" s="373"/>
      <c r="X132" s="444" t="s">
        <v>6</v>
      </c>
      <c r="Y132" s="377"/>
      <c r="Z132" s="373"/>
      <c r="AA132" s="444"/>
      <c r="AB132" s="377"/>
      <c r="AC132" s="373"/>
      <c r="AD132" s="444" t="s">
        <v>6</v>
      </c>
      <c r="AE132" s="377"/>
      <c r="AF132" s="373"/>
      <c r="AG132" s="444" t="s">
        <v>6</v>
      </c>
      <c r="AH132" s="377"/>
      <c r="AI132" s="373"/>
      <c r="AJ132" s="444" t="s">
        <v>6</v>
      </c>
      <c r="AK132" s="377"/>
      <c r="AL132" s="373"/>
      <c r="AM132" s="444"/>
      <c r="AN132" s="377">
        <v>2</v>
      </c>
      <c r="AO132" s="373">
        <v>1</v>
      </c>
      <c r="AP132" s="444">
        <v>66.7</v>
      </c>
      <c r="AQ132" s="377">
        <v>2</v>
      </c>
      <c r="AR132" s="373"/>
      <c r="AS132" s="444">
        <v>100</v>
      </c>
      <c r="AT132" s="377">
        <v>5</v>
      </c>
      <c r="AU132" s="373"/>
      <c r="AV132" s="444">
        <v>100</v>
      </c>
      <c r="AW132" s="377"/>
      <c r="AX132" s="373"/>
      <c r="AY132" s="444"/>
      <c r="AZ132" s="377">
        <v>1</v>
      </c>
      <c r="BA132" s="373"/>
      <c r="BB132" s="444">
        <v>100</v>
      </c>
      <c r="BC132" s="377">
        <v>1</v>
      </c>
      <c r="BD132" s="373"/>
      <c r="BE132" s="444">
        <v>100</v>
      </c>
      <c r="BF132" s="377">
        <v>3</v>
      </c>
      <c r="BG132" s="373"/>
      <c r="BH132" s="444">
        <v>100</v>
      </c>
      <c r="BI132" s="377"/>
      <c r="BJ132" s="373"/>
      <c r="BK132" s="444"/>
      <c r="BL132" s="377"/>
      <c r="BM132" s="373"/>
      <c r="BN132" s="444" t="s">
        <v>6</v>
      </c>
      <c r="BO132" s="377"/>
      <c r="BP132" s="373"/>
      <c r="BQ132" s="444" t="s">
        <v>6</v>
      </c>
      <c r="BR132" s="377"/>
      <c r="BS132" s="373"/>
      <c r="BT132" s="444" t="s">
        <v>6</v>
      </c>
      <c r="BU132" s="377"/>
      <c r="BV132" s="373"/>
      <c r="BW132" s="444"/>
      <c r="BX132" s="377">
        <v>2</v>
      </c>
      <c r="BY132" s="373"/>
      <c r="BZ132" s="444">
        <v>100</v>
      </c>
      <c r="CA132" s="377"/>
      <c r="CB132" s="373"/>
      <c r="CC132" s="444" t="s">
        <v>6</v>
      </c>
      <c r="CD132" s="377"/>
      <c r="CE132" s="373"/>
      <c r="CF132" s="444" t="s">
        <v>6</v>
      </c>
      <c r="CG132" s="377"/>
      <c r="CH132" s="373"/>
      <c r="CI132" s="444"/>
      <c r="CJ132" s="377"/>
      <c r="CK132" s="373"/>
      <c r="CL132" s="444" t="s">
        <v>6</v>
      </c>
      <c r="CM132" s="377"/>
      <c r="CN132" s="373"/>
      <c r="CO132" s="444" t="s">
        <v>6</v>
      </c>
      <c r="CP132" s="377"/>
      <c r="CQ132" s="373"/>
      <c r="CR132" s="444" t="s">
        <v>6</v>
      </c>
      <c r="CS132" s="377"/>
      <c r="CT132" s="373"/>
      <c r="CU132" s="444"/>
      <c r="CV132" s="377">
        <v>3</v>
      </c>
      <c r="CW132" s="373">
        <v>1</v>
      </c>
      <c r="CX132" s="444">
        <v>75</v>
      </c>
      <c r="CY132" s="377">
        <v>2</v>
      </c>
      <c r="CZ132" s="373">
        <v>2</v>
      </c>
      <c r="DA132" s="444">
        <v>50</v>
      </c>
      <c r="DB132" s="377">
        <v>3</v>
      </c>
      <c r="DC132" s="373"/>
      <c r="DD132" s="444">
        <v>100</v>
      </c>
      <c r="DE132" s="377"/>
      <c r="DF132" s="373"/>
      <c r="DG132" s="444"/>
      <c r="DH132" s="377"/>
      <c r="DI132" s="373"/>
      <c r="DJ132" s="444" t="s">
        <v>6</v>
      </c>
      <c r="DK132" s="377"/>
      <c r="DL132" s="373"/>
      <c r="DM132" s="444" t="s">
        <v>6</v>
      </c>
      <c r="DN132" s="377"/>
      <c r="DO132" s="373"/>
      <c r="DP132" s="444" t="s">
        <v>6</v>
      </c>
      <c r="DQ132" s="377"/>
      <c r="DR132" s="373"/>
      <c r="DS132" s="444"/>
      <c r="DT132" s="377"/>
      <c r="DU132" s="373"/>
      <c r="DV132" s="444" t="s">
        <v>6</v>
      </c>
      <c r="DW132" s="377">
        <v>2</v>
      </c>
      <c r="DX132" s="373"/>
      <c r="DY132" s="444">
        <v>100</v>
      </c>
      <c r="DZ132" s="377"/>
      <c r="EA132" s="373">
        <v>1</v>
      </c>
      <c r="EB132" s="444">
        <v>0</v>
      </c>
      <c r="EC132" s="377"/>
      <c r="ED132" s="373"/>
      <c r="EE132" s="444"/>
      <c r="EF132" s="377">
        <v>305</v>
      </c>
      <c r="EG132" s="373">
        <v>341</v>
      </c>
      <c r="EH132" s="444">
        <v>47.2</v>
      </c>
      <c r="EI132" s="377">
        <v>191</v>
      </c>
      <c r="EJ132" s="373">
        <v>161</v>
      </c>
      <c r="EK132" s="444">
        <v>54.3</v>
      </c>
      <c r="EL132" s="377">
        <v>85</v>
      </c>
      <c r="EM132" s="373">
        <v>128</v>
      </c>
      <c r="EN132" s="444">
        <v>39.9</v>
      </c>
      <c r="EO132" s="377"/>
      <c r="EP132" s="373"/>
      <c r="EQ132" s="444"/>
      <c r="ER132" s="377"/>
      <c r="ES132" s="373">
        <v>2</v>
      </c>
      <c r="ET132" s="444">
        <v>0</v>
      </c>
      <c r="EU132" s="377">
        <v>3</v>
      </c>
      <c r="EV132" s="373">
        <v>1</v>
      </c>
      <c r="EW132" s="444">
        <v>75</v>
      </c>
      <c r="EX132" s="377">
        <v>1</v>
      </c>
      <c r="EY132" s="373">
        <v>1</v>
      </c>
      <c r="EZ132" s="444">
        <v>50</v>
      </c>
      <c r="FA132" s="377"/>
      <c r="FB132" s="373"/>
      <c r="FC132" s="444"/>
      <c r="FD132" s="377">
        <v>2</v>
      </c>
      <c r="FE132" s="373">
        <v>18</v>
      </c>
      <c r="FF132" s="444">
        <v>10</v>
      </c>
      <c r="FG132" s="377">
        <v>2</v>
      </c>
      <c r="FH132" s="373">
        <v>3</v>
      </c>
      <c r="FI132" s="444">
        <v>40</v>
      </c>
      <c r="FJ132" s="377">
        <v>1</v>
      </c>
      <c r="FK132" s="373">
        <v>2</v>
      </c>
      <c r="FL132" s="444">
        <v>33.299999999999997</v>
      </c>
      <c r="FM132" s="377"/>
      <c r="FN132" s="373"/>
      <c r="FO132" s="444"/>
      <c r="FP132" s="377">
        <v>37</v>
      </c>
      <c r="FQ132" s="373">
        <v>48</v>
      </c>
      <c r="FR132" s="444">
        <v>43.5</v>
      </c>
      <c r="FS132" s="377">
        <v>24</v>
      </c>
      <c r="FT132" s="373">
        <v>10</v>
      </c>
      <c r="FU132" s="444">
        <v>70.599999999999994</v>
      </c>
      <c r="FV132" s="377">
        <v>13</v>
      </c>
      <c r="FW132" s="373">
        <v>26</v>
      </c>
      <c r="FX132" s="444">
        <v>33.299999999999997</v>
      </c>
      <c r="FY132" s="377"/>
      <c r="FZ132" s="373"/>
      <c r="GA132" s="444"/>
      <c r="GB132" s="377"/>
      <c r="GC132" s="373"/>
      <c r="GD132" s="444" t="s">
        <v>6</v>
      </c>
      <c r="GE132" s="377">
        <v>1</v>
      </c>
      <c r="GF132" s="373"/>
      <c r="GG132" s="444">
        <v>100</v>
      </c>
      <c r="GH132" s="377"/>
      <c r="GI132" s="373"/>
      <c r="GJ132" s="444" t="s">
        <v>6</v>
      </c>
      <c r="GK132" s="377"/>
      <c r="GL132" s="373"/>
      <c r="GM132" s="444"/>
      <c r="GN132" s="377"/>
      <c r="GO132" s="373"/>
      <c r="GP132" s="444" t="s">
        <v>6</v>
      </c>
      <c r="GQ132" s="377">
        <v>1</v>
      </c>
      <c r="GR132" s="373">
        <v>1</v>
      </c>
      <c r="GS132" s="444">
        <v>50</v>
      </c>
      <c r="GT132" s="377"/>
      <c r="GU132" s="373"/>
      <c r="GV132" s="444" t="s">
        <v>6</v>
      </c>
      <c r="GW132" s="377"/>
      <c r="GX132" s="373"/>
      <c r="GY132" s="444"/>
      <c r="GZ132" s="377"/>
      <c r="HA132" s="373"/>
      <c r="HB132" s="444" t="s">
        <v>6</v>
      </c>
      <c r="HC132" s="377"/>
      <c r="HD132" s="373"/>
      <c r="HE132" s="444" t="s">
        <v>6</v>
      </c>
      <c r="HF132" s="377"/>
      <c r="HG132" s="373"/>
      <c r="HH132" s="444" t="s">
        <v>6</v>
      </c>
      <c r="HI132" s="377"/>
      <c r="HJ132" s="373"/>
      <c r="HK132" s="444"/>
      <c r="HL132" s="377">
        <v>2</v>
      </c>
      <c r="HM132" s="373">
        <v>25</v>
      </c>
      <c r="HN132" s="444">
        <v>7.4</v>
      </c>
      <c r="HO132" s="377">
        <v>4</v>
      </c>
      <c r="HP132" s="373">
        <v>9</v>
      </c>
      <c r="HQ132" s="444">
        <v>30.8</v>
      </c>
      <c r="HR132" s="377">
        <v>10</v>
      </c>
      <c r="HS132" s="373">
        <v>9</v>
      </c>
      <c r="HT132" s="444">
        <v>52.6</v>
      </c>
      <c r="HU132" s="377"/>
      <c r="HV132" s="373"/>
      <c r="HW132" s="444"/>
      <c r="HX132" s="377">
        <v>2</v>
      </c>
      <c r="HY132" s="373">
        <v>1</v>
      </c>
      <c r="HZ132" s="444">
        <v>66.7</v>
      </c>
      <c r="IA132" s="377"/>
      <c r="IB132" s="373"/>
      <c r="IC132" s="444" t="s">
        <v>6</v>
      </c>
      <c r="ID132" s="377">
        <v>2</v>
      </c>
      <c r="IE132" s="373"/>
      <c r="IF132" s="444">
        <v>100</v>
      </c>
      <c r="IG132" s="377"/>
      <c r="IH132" s="373"/>
      <c r="II132" s="444"/>
      <c r="IJ132" s="377"/>
      <c r="IK132" s="373"/>
      <c r="IL132" s="444" t="s">
        <v>6</v>
      </c>
      <c r="IM132" s="377"/>
      <c r="IN132" s="373">
        <v>1</v>
      </c>
      <c r="IO132" s="444">
        <v>0</v>
      </c>
      <c r="IP132" s="377">
        <v>1</v>
      </c>
      <c r="IQ132" s="373"/>
      <c r="IR132" s="444">
        <v>100</v>
      </c>
      <c r="IS132" s="377"/>
      <c r="IT132" s="373"/>
      <c r="IU132" s="444"/>
      <c r="IV132" s="377">
        <v>316</v>
      </c>
      <c r="IW132" s="373">
        <v>369</v>
      </c>
      <c r="IX132" s="444">
        <v>46.1</v>
      </c>
      <c r="IY132" s="377">
        <v>203</v>
      </c>
      <c r="IZ132" s="373">
        <v>174</v>
      </c>
      <c r="JA132" s="444">
        <v>53.8</v>
      </c>
      <c r="JB132" s="377">
        <v>106</v>
      </c>
      <c r="JC132" s="373">
        <v>138</v>
      </c>
      <c r="JD132" s="444">
        <v>43.4</v>
      </c>
      <c r="JE132" s="377"/>
      <c r="JF132" s="373"/>
      <c r="JG132" s="444"/>
      <c r="JH132" s="377">
        <v>14</v>
      </c>
      <c r="JI132" s="373">
        <v>32</v>
      </c>
      <c r="JJ132" s="444">
        <v>30.4</v>
      </c>
      <c r="JK132" s="377">
        <v>71</v>
      </c>
      <c r="JL132" s="373">
        <v>17</v>
      </c>
      <c r="JM132" s="444">
        <v>80.7</v>
      </c>
      <c r="JN132" s="377">
        <v>6</v>
      </c>
      <c r="JO132" s="373">
        <v>12</v>
      </c>
      <c r="JP132" s="444">
        <v>33.299999999999997</v>
      </c>
      <c r="JQ132" s="377"/>
      <c r="JR132" s="373"/>
      <c r="JS132" s="444"/>
      <c r="JT132" s="377"/>
      <c r="JU132" s="373"/>
      <c r="JV132" s="444" t="s">
        <v>6</v>
      </c>
      <c r="JW132" s="377">
        <v>1</v>
      </c>
      <c r="JX132" s="373"/>
      <c r="JY132" s="444">
        <v>100</v>
      </c>
      <c r="JZ132" s="377">
        <v>1</v>
      </c>
      <c r="KA132" s="373"/>
      <c r="KB132" s="444">
        <v>100</v>
      </c>
      <c r="KC132" s="377"/>
      <c r="KD132" s="373"/>
      <c r="KE132" s="444"/>
      <c r="KF132" s="377"/>
      <c r="KG132" s="373"/>
      <c r="KH132" s="444" t="s">
        <v>6</v>
      </c>
      <c r="KI132" s="377"/>
      <c r="KJ132" s="373"/>
      <c r="KK132" s="444" t="s">
        <v>6</v>
      </c>
      <c r="KL132" s="377">
        <v>1</v>
      </c>
      <c r="KM132" s="373"/>
      <c r="KN132" s="444">
        <v>100</v>
      </c>
      <c r="KO132" s="377"/>
      <c r="KP132" s="373"/>
      <c r="KQ132" s="444"/>
      <c r="KR132" s="377">
        <v>16</v>
      </c>
      <c r="KS132" s="373">
        <v>33</v>
      </c>
      <c r="KT132" s="444">
        <v>32.700000000000003</v>
      </c>
      <c r="KU132" s="377">
        <v>72</v>
      </c>
      <c r="KV132" s="373">
        <v>18</v>
      </c>
      <c r="KW132" s="444">
        <v>80</v>
      </c>
      <c r="KX132" s="377">
        <v>11</v>
      </c>
      <c r="KY132" s="373">
        <v>13</v>
      </c>
      <c r="KZ132" s="444">
        <v>45.8</v>
      </c>
      <c r="LA132" s="377"/>
      <c r="LB132" s="373"/>
      <c r="LC132" s="444"/>
      <c r="LD132" s="377">
        <v>376</v>
      </c>
      <c r="LE132" s="373">
        <v>412</v>
      </c>
      <c r="LF132" s="444">
        <v>47.7</v>
      </c>
      <c r="LG132" s="377">
        <v>221</v>
      </c>
      <c r="LH132" s="373">
        <v>215</v>
      </c>
      <c r="LI132" s="444">
        <v>50.7</v>
      </c>
      <c r="LJ132" s="377">
        <v>265</v>
      </c>
      <c r="LK132" s="373">
        <v>176</v>
      </c>
      <c r="LL132" s="444">
        <v>60.1</v>
      </c>
      <c r="LM132" s="377"/>
      <c r="LN132" s="373"/>
      <c r="LO132" s="444"/>
    </row>
    <row r="133" spans="1:327" x14ac:dyDescent="0.2">
      <c r="A133" s="1001"/>
      <c r="B133" s="747"/>
      <c r="C133" s="151" t="s">
        <v>726</v>
      </c>
      <c r="D133" s="377"/>
      <c r="E133" s="373"/>
      <c r="F133" s="444" t="s">
        <v>6</v>
      </c>
      <c r="G133" s="377"/>
      <c r="H133" s="373"/>
      <c r="I133" s="444" t="s">
        <v>6</v>
      </c>
      <c r="J133" s="377"/>
      <c r="K133" s="373"/>
      <c r="L133" s="444" t="s">
        <v>6</v>
      </c>
      <c r="M133" s="377"/>
      <c r="N133" s="373"/>
      <c r="O133" s="444"/>
      <c r="P133" s="377"/>
      <c r="Q133" s="373"/>
      <c r="R133" s="444" t="s">
        <v>6</v>
      </c>
      <c r="S133" s="377"/>
      <c r="T133" s="373"/>
      <c r="U133" s="444" t="s">
        <v>6</v>
      </c>
      <c r="V133" s="377"/>
      <c r="W133" s="373"/>
      <c r="X133" s="444" t="s">
        <v>6</v>
      </c>
      <c r="Y133" s="377"/>
      <c r="Z133" s="373"/>
      <c r="AA133" s="444"/>
      <c r="AB133" s="377"/>
      <c r="AC133" s="373"/>
      <c r="AD133" s="444" t="s">
        <v>6</v>
      </c>
      <c r="AE133" s="377"/>
      <c r="AF133" s="373"/>
      <c r="AG133" s="444" t="s">
        <v>6</v>
      </c>
      <c r="AH133" s="377"/>
      <c r="AI133" s="373"/>
      <c r="AJ133" s="444" t="s">
        <v>6</v>
      </c>
      <c r="AK133" s="377"/>
      <c r="AL133" s="373"/>
      <c r="AM133" s="444"/>
      <c r="AN133" s="377">
        <v>17</v>
      </c>
      <c r="AO133" s="373">
        <v>3</v>
      </c>
      <c r="AP133" s="444">
        <v>85</v>
      </c>
      <c r="AQ133" s="377">
        <v>16</v>
      </c>
      <c r="AR133" s="373">
        <v>2</v>
      </c>
      <c r="AS133" s="444">
        <v>88.9</v>
      </c>
      <c r="AT133" s="377">
        <v>13</v>
      </c>
      <c r="AU133" s="373">
        <v>3</v>
      </c>
      <c r="AV133" s="444">
        <v>81.3</v>
      </c>
      <c r="AW133" s="377"/>
      <c r="AX133" s="373"/>
      <c r="AY133" s="444"/>
      <c r="AZ133" s="377">
        <v>7</v>
      </c>
      <c r="BA133" s="373">
        <v>3</v>
      </c>
      <c r="BB133" s="444">
        <v>70</v>
      </c>
      <c r="BC133" s="377">
        <v>3</v>
      </c>
      <c r="BD133" s="373">
        <v>1</v>
      </c>
      <c r="BE133" s="444">
        <v>75</v>
      </c>
      <c r="BF133" s="377">
        <v>6</v>
      </c>
      <c r="BG133" s="373">
        <v>3</v>
      </c>
      <c r="BH133" s="444">
        <v>66.7</v>
      </c>
      <c r="BI133" s="377"/>
      <c r="BJ133" s="373"/>
      <c r="BK133" s="444"/>
      <c r="BL133" s="377"/>
      <c r="BM133" s="373"/>
      <c r="BN133" s="444" t="s">
        <v>6</v>
      </c>
      <c r="BO133" s="377"/>
      <c r="BP133" s="373"/>
      <c r="BQ133" s="444" t="s">
        <v>6</v>
      </c>
      <c r="BR133" s="377"/>
      <c r="BS133" s="373"/>
      <c r="BT133" s="444" t="s">
        <v>6</v>
      </c>
      <c r="BU133" s="377"/>
      <c r="BV133" s="373"/>
      <c r="BW133" s="444"/>
      <c r="BX133" s="377"/>
      <c r="BY133" s="373"/>
      <c r="BZ133" s="444" t="s">
        <v>6</v>
      </c>
      <c r="CA133" s="377"/>
      <c r="CB133" s="373"/>
      <c r="CC133" s="444" t="s">
        <v>6</v>
      </c>
      <c r="CD133" s="377">
        <v>1</v>
      </c>
      <c r="CE133" s="373"/>
      <c r="CF133" s="444">
        <v>100</v>
      </c>
      <c r="CG133" s="377"/>
      <c r="CH133" s="373"/>
      <c r="CI133" s="444"/>
      <c r="CJ133" s="377"/>
      <c r="CK133" s="373"/>
      <c r="CL133" s="444" t="s">
        <v>6</v>
      </c>
      <c r="CM133" s="377"/>
      <c r="CN133" s="373"/>
      <c r="CO133" s="444" t="s">
        <v>6</v>
      </c>
      <c r="CP133" s="377"/>
      <c r="CQ133" s="373"/>
      <c r="CR133" s="444" t="s">
        <v>6</v>
      </c>
      <c r="CS133" s="377"/>
      <c r="CT133" s="373"/>
      <c r="CU133" s="444"/>
      <c r="CV133" s="377">
        <v>19</v>
      </c>
      <c r="CW133" s="373">
        <v>6</v>
      </c>
      <c r="CX133" s="444">
        <v>76</v>
      </c>
      <c r="CY133" s="377">
        <v>21</v>
      </c>
      <c r="CZ133" s="373">
        <v>3</v>
      </c>
      <c r="DA133" s="444">
        <v>87.5</v>
      </c>
      <c r="DB133" s="377">
        <v>25</v>
      </c>
      <c r="DC133" s="373">
        <v>3</v>
      </c>
      <c r="DD133" s="444">
        <v>89.3</v>
      </c>
      <c r="DE133" s="377"/>
      <c r="DF133" s="373"/>
      <c r="DG133" s="444"/>
      <c r="DH133" s="377">
        <v>1</v>
      </c>
      <c r="DI133" s="373"/>
      <c r="DJ133" s="444">
        <v>100</v>
      </c>
      <c r="DK133" s="377"/>
      <c r="DL133" s="373"/>
      <c r="DM133" s="444" t="s">
        <v>6</v>
      </c>
      <c r="DN133" s="377">
        <v>2</v>
      </c>
      <c r="DO133" s="373">
        <v>1</v>
      </c>
      <c r="DP133" s="444">
        <v>66.7</v>
      </c>
      <c r="DQ133" s="377"/>
      <c r="DR133" s="373"/>
      <c r="DS133" s="444"/>
      <c r="DT133" s="377"/>
      <c r="DU133" s="373"/>
      <c r="DV133" s="444" t="s">
        <v>6</v>
      </c>
      <c r="DW133" s="377">
        <v>1</v>
      </c>
      <c r="DX133" s="373"/>
      <c r="DY133" s="444">
        <v>100</v>
      </c>
      <c r="DZ133" s="377"/>
      <c r="EA133" s="373"/>
      <c r="EB133" s="444" t="s">
        <v>6</v>
      </c>
      <c r="EC133" s="377"/>
      <c r="ED133" s="373"/>
      <c r="EE133" s="444"/>
      <c r="EF133" s="377">
        <v>118</v>
      </c>
      <c r="EG133" s="373">
        <v>562</v>
      </c>
      <c r="EH133" s="444">
        <v>17.399999999999999</v>
      </c>
      <c r="EI133" s="377">
        <v>111</v>
      </c>
      <c r="EJ133" s="373">
        <v>431</v>
      </c>
      <c r="EK133" s="444">
        <v>20.5</v>
      </c>
      <c r="EL133" s="377">
        <v>106</v>
      </c>
      <c r="EM133" s="373">
        <v>377</v>
      </c>
      <c r="EN133" s="444">
        <v>21.9</v>
      </c>
      <c r="EO133" s="377"/>
      <c r="EP133" s="373"/>
      <c r="EQ133" s="444"/>
      <c r="ER133" s="377">
        <v>1</v>
      </c>
      <c r="ES133" s="373">
        <v>8</v>
      </c>
      <c r="ET133" s="444">
        <v>11.1</v>
      </c>
      <c r="EU133" s="377">
        <v>1</v>
      </c>
      <c r="EV133" s="373">
        <v>20</v>
      </c>
      <c r="EW133" s="444">
        <v>4.8</v>
      </c>
      <c r="EX133" s="377">
        <v>1</v>
      </c>
      <c r="EY133" s="373">
        <v>9</v>
      </c>
      <c r="EZ133" s="444">
        <v>10</v>
      </c>
      <c r="FA133" s="377"/>
      <c r="FB133" s="373"/>
      <c r="FC133" s="444"/>
      <c r="FD133" s="377">
        <v>2</v>
      </c>
      <c r="FE133" s="373">
        <v>22</v>
      </c>
      <c r="FF133" s="444">
        <v>8.3000000000000007</v>
      </c>
      <c r="FG133" s="377">
        <v>1</v>
      </c>
      <c r="FH133" s="373">
        <v>29</v>
      </c>
      <c r="FI133" s="444">
        <v>3.3</v>
      </c>
      <c r="FJ133" s="377">
        <v>1</v>
      </c>
      <c r="FK133" s="373">
        <v>15</v>
      </c>
      <c r="FL133" s="444">
        <v>6.3</v>
      </c>
      <c r="FM133" s="377"/>
      <c r="FN133" s="373"/>
      <c r="FO133" s="444"/>
      <c r="FP133" s="377">
        <v>51</v>
      </c>
      <c r="FQ133" s="373">
        <v>157</v>
      </c>
      <c r="FR133" s="444">
        <v>24.5</v>
      </c>
      <c r="FS133" s="377">
        <v>22</v>
      </c>
      <c r="FT133" s="373">
        <v>113</v>
      </c>
      <c r="FU133" s="444">
        <v>16.3</v>
      </c>
      <c r="FV133" s="377">
        <v>27</v>
      </c>
      <c r="FW133" s="373">
        <v>125</v>
      </c>
      <c r="FX133" s="444">
        <v>17.8</v>
      </c>
      <c r="FY133" s="377"/>
      <c r="FZ133" s="373"/>
      <c r="GA133" s="444"/>
      <c r="GB133" s="377">
        <v>2</v>
      </c>
      <c r="GC133" s="373">
        <v>1</v>
      </c>
      <c r="GD133" s="444">
        <v>66.7</v>
      </c>
      <c r="GE133" s="377"/>
      <c r="GF133" s="373"/>
      <c r="GG133" s="444" t="s">
        <v>6</v>
      </c>
      <c r="GH133" s="377">
        <v>1</v>
      </c>
      <c r="GI133" s="373"/>
      <c r="GJ133" s="444">
        <v>100</v>
      </c>
      <c r="GK133" s="377"/>
      <c r="GL133" s="373"/>
      <c r="GM133" s="444"/>
      <c r="GN133" s="377">
        <v>2</v>
      </c>
      <c r="GO133" s="373"/>
      <c r="GP133" s="444">
        <v>100</v>
      </c>
      <c r="GQ133" s="377"/>
      <c r="GR133" s="373">
        <v>1</v>
      </c>
      <c r="GS133" s="444">
        <v>0</v>
      </c>
      <c r="GT133" s="377"/>
      <c r="GU133" s="373">
        <v>2</v>
      </c>
      <c r="GV133" s="444">
        <v>0</v>
      </c>
      <c r="GW133" s="377"/>
      <c r="GX133" s="373"/>
      <c r="GY133" s="444"/>
      <c r="GZ133" s="377"/>
      <c r="HA133" s="373"/>
      <c r="HB133" s="444" t="s">
        <v>6</v>
      </c>
      <c r="HC133" s="377"/>
      <c r="HD133" s="373"/>
      <c r="HE133" s="444" t="s">
        <v>6</v>
      </c>
      <c r="HF133" s="377">
        <v>1</v>
      </c>
      <c r="HG133" s="373"/>
      <c r="HH133" s="444">
        <v>100</v>
      </c>
      <c r="HI133" s="377"/>
      <c r="HJ133" s="373"/>
      <c r="HK133" s="444"/>
      <c r="HL133" s="377">
        <v>5</v>
      </c>
      <c r="HM133" s="373">
        <v>39</v>
      </c>
      <c r="HN133" s="444">
        <v>11.4</v>
      </c>
      <c r="HO133" s="377">
        <v>3</v>
      </c>
      <c r="HP133" s="373">
        <v>47</v>
      </c>
      <c r="HQ133" s="444">
        <v>6</v>
      </c>
      <c r="HR133" s="377">
        <v>7</v>
      </c>
      <c r="HS133" s="373">
        <v>53</v>
      </c>
      <c r="HT133" s="444">
        <v>11.7</v>
      </c>
      <c r="HU133" s="377"/>
      <c r="HV133" s="373"/>
      <c r="HW133" s="444"/>
      <c r="HX133" s="377">
        <v>12</v>
      </c>
      <c r="HY133" s="373">
        <v>1</v>
      </c>
      <c r="HZ133" s="444">
        <v>92.3</v>
      </c>
      <c r="IA133" s="377"/>
      <c r="IB133" s="373">
        <v>2</v>
      </c>
      <c r="IC133" s="444">
        <v>0</v>
      </c>
      <c r="ID133" s="377">
        <v>2</v>
      </c>
      <c r="IE133" s="373">
        <v>3</v>
      </c>
      <c r="IF133" s="444">
        <v>40</v>
      </c>
      <c r="IG133" s="377"/>
      <c r="IH133" s="373"/>
      <c r="II133" s="444"/>
      <c r="IJ133" s="377">
        <v>2</v>
      </c>
      <c r="IK133" s="373">
        <v>2</v>
      </c>
      <c r="IL133" s="444">
        <v>50</v>
      </c>
      <c r="IM133" s="377">
        <v>1</v>
      </c>
      <c r="IN133" s="373">
        <v>2</v>
      </c>
      <c r="IO133" s="444">
        <v>33.299999999999997</v>
      </c>
      <c r="IP133" s="377">
        <v>3</v>
      </c>
      <c r="IQ133" s="373"/>
      <c r="IR133" s="444">
        <v>100</v>
      </c>
      <c r="IS133" s="377"/>
      <c r="IT133" s="373"/>
      <c r="IU133" s="444"/>
      <c r="IV133" s="377">
        <v>178</v>
      </c>
      <c r="IW133" s="373">
        <v>614</v>
      </c>
      <c r="IX133" s="444">
        <v>22.5</v>
      </c>
      <c r="IY133" s="377">
        <v>153</v>
      </c>
      <c r="IZ133" s="373">
        <v>488</v>
      </c>
      <c r="JA133" s="444">
        <v>23.9</v>
      </c>
      <c r="JB133" s="377">
        <v>161</v>
      </c>
      <c r="JC133" s="373">
        <v>442</v>
      </c>
      <c r="JD133" s="444">
        <v>26.7</v>
      </c>
      <c r="JE133" s="377"/>
      <c r="JF133" s="373"/>
      <c r="JG133" s="444"/>
      <c r="JH133" s="377">
        <v>19</v>
      </c>
      <c r="JI133" s="373">
        <v>73</v>
      </c>
      <c r="JJ133" s="444">
        <v>20.7</v>
      </c>
      <c r="JK133" s="377">
        <v>24</v>
      </c>
      <c r="JL133" s="373">
        <v>80</v>
      </c>
      <c r="JM133" s="444">
        <v>23.1</v>
      </c>
      <c r="JN133" s="377">
        <v>27</v>
      </c>
      <c r="JO133" s="373">
        <v>54</v>
      </c>
      <c r="JP133" s="444">
        <v>33.299999999999997</v>
      </c>
      <c r="JQ133" s="377"/>
      <c r="JR133" s="373"/>
      <c r="JS133" s="444"/>
      <c r="JT133" s="377">
        <v>6</v>
      </c>
      <c r="JU133" s="373"/>
      <c r="JV133" s="444">
        <v>100</v>
      </c>
      <c r="JW133" s="377">
        <v>1</v>
      </c>
      <c r="JX133" s="373">
        <v>1</v>
      </c>
      <c r="JY133" s="444">
        <v>50</v>
      </c>
      <c r="JZ133" s="377">
        <v>1</v>
      </c>
      <c r="KA133" s="373"/>
      <c r="KB133" s="444">
        <v>100</v>
      </c>
      <c r="KC133" s="377"/>
      <c r="KD133" s="373"/>
      <c r="KE133" s="444"/>
      <c r="KF133" s="377"/>
      <c r="KG133" s="373"/>
      <c r="KH133" s="444" t="s">
        <v>6</v>
      </c>
      <c r="KI133" s="377">
        <v>1</v>
      </c>
      <c r="KJ133" s="373">
        <v>1</v>
      </c>
      <c r="KK133" s="444">
        <v>50</v>
      </c>
      <c r="KL133" s="377"/>
      <c r="KM133" s="373"/>
      <c r="KN133" s="444" t="s">
        <v>6</v>
      </c>
      <c r="KO133" s="377"/>
      <c r="KP133" s="373"/>
      <c r="KQ133" s="444"/>
      <c r="KR133" s="377">
        <v>32</v>
      </c>
      <c r="KS133" s="373">
        <v>80</v>
      </c>
      <c r="KT133" s="444">
        <v>28.6</v>
      </c>
      <c r="KU133" s="377">
        <v>31</v>
      </c>
      <c r="KV133" s="373">
        <v>85</v>
      </c>
      <c r="KW133" s="444">
        <v>26.7</v>
      </c>
      <c r="KX133" s="377">
        <v>32</v>
      </c>
      <c r="KY133" s="373">
        <v>60</v>
      </c>
      <c r="KZ133" s="444">
        <v>34.799999999999997</v>
      </c>
      <c r="LA133" s="377"/>
      <c r="LB133" s="373"/>
      <c r="LC133" s="444"/>
      <c r="LD133" s="377">
        <v>411</v>
      </c>
      <c r="LE133" s="373">
        <v>732</v>
      </c>
      <c r="LF133" s="444">
        <v>36</v>
      </c>
      <c r="LG133" s="377">
        <v>387</v>
      </c>
      <c r="LH133" s="373">
        <v>622</v>
      </c>
      <c r="LI133" s="444">
        <v>38.4</v>
      </c>
      <c r="LJ133" s="377">
        <v>478</v>
      </c>
      <c r="LK133" s="373">
        <v>665</v>
      </c>
      <c r="LL133" s="444">
        <v>41.8</v>
      </c>
      <c r="LM133" s="377"/>
      <c r="LN133" s="373"/>
      <c r="LO133" s="444"/>
    </row>
    <row r="134" spans="1:327" x14ac:dyDescent="0.2">
      <c r="A134" s="1001"/>
      <c r="B134" s="747"/>
      <c r="C134" s="151" t="s">
        <v>727</v>
      </c>
      <c r="D134" s="377"/>
      <c r="E134" s="373"/>
      <c r="F134" s="444" t="s">
        <v>6</v>
      </c>
      <c r="G134" s="377"/>
      <c r="H134" s="373"/>
      <c r="I134" s="444" t="s">
        <v>6</v>
      </c>
      <c r="J134" s="377"/>
      <c r="K134" s="373"/>
      <c r="L134" s="444" t="s">
        <v>6</v>
      </c>
      <c r="M134" s="377"/>
      <c r="N134" s="373"/>
      <c r="O134" s="444"/>
      <c r="P134" s="377"/>
      <c r="Q134" s="373"/>
      <c r="R134" s="444" t="s">
        <v>6</v>
      </c>
      <c r="S134" s="377"/>
      <c r="T134" s="373"/>
      <c r="U134" s="444" t="s">
        <v>6</v>
      </c>
      <c r="V134" s="377"/>
      <c r="W134" s="373"/>
      <c r="X134" s="444" t="s">
        <v>6</v>
      </c>
      <c r="Y134" s="377"/>
      <c r="Z134" s="373"/>
      <c r="AA134" s="444"/>
      <c r="AB134" s="377"/>
      <c r="AC134" s="373"/>
      <c r="AD134" s="444" t="s">
        <v>6</v>
      </c>
      <c r="AE134" s="377"/>
      <c r="AF134" s="373"/>
      <c r="AG134" s="444" t="s">
        <v>6</v>
      </c>
      <c r="AH134" s="377"/>
      <c r="AI134" s="373"/>
      <c r="AJ134" s="444" t="s">
        <v>6</v>
      </c>
      <c r="AK134" s="377"/>
      <c r="AL134" s="373"/>
      <c r="AM134" s="444"/>
      <c r="AN134" s="377">
        <v>11</v>
      </c>
      <c r="AO134" s="373">
        <v>8</v>
      </c>
      <c r="AP134" s="444">
        <v>57.9</v>
      </c>
      <c r="AQ134" s="377">
        <v>11</v>
      </c>
      <c r="AR134" s="373">
        <v>5</v>
      </c>
      <c r="AS134" s="444">
        <v>68.8</v>
      </c>
      <c r="AT134" s="377">
        <v>17</v>
      </c>
      <c r="AU134" s="373">
        <v>7</v>
      </c>
      <c r="AV134" s="444">
        <v>70.8</v>
      </c>
      <c r="AW134" s="377"/>
      <c r="AX134" s="373"/>
      <c r="AY134" s="444"/>
      <c r="AZ134" s="377">
        <v>3</v>
      </c>
      <c r="BA134" s="373">
        <v>7</v>
      </c>
      <c r="BB134" s="444">
        <v>30</v>
      </c>
      <c r="BC134" s="377">
        <v>8</v>
      </c>
      <c r="BD134" s="373">
        <v>4</v>
      </c>
      <c r="BE134" s="444">
        <v>66.7</v>
      </c>
      <c r="BF134" s="377">
        <v>9</v>
      </c>
      <c r="BG134" s="373">
        <v>7</v>
      </c>
      <c r="BH134" s="444">
        <v>56.3</v>
      </c>
      <c r="BI134" s="377"/>
      <c r="BJ134" s="373"/>
      <c r="BK134" s="444"/>
      <c r="BL134" s="377"/>
      <c r="BM134" s="373"/>
      <c r="BN134" s="444" t="s">
        <v>6</v>
      </c>
      <c r="BO134" s="377"/>
      <c r="BP134" s="373"/>
      <c r="BQ134" s="444" t="s">
        <v>6</v>
      </c>
      <c r="BR134" s="377"/>
      <c r="BS134" s="373"/>
      <c r="BT134" s="444" t="s">
        <v>6</v>
      </c>
      <c r="BU134" s="377"/>
      <c r="BV134" s="373"/>
      <c r="BW134" s="444"/>
      <c r="BX134" s="377">
        <v>3</v>
      </c>
      <c r="BY134" s="373"/>
      <c r="BZ134" s="444">
        <v>100</v>
      </c>
      <c r="CA134" s="377"/>
      <c r="CB134" s="373"/>
      <c r="CC134" s="444" t="s">
        <v>6</v>
      </c>
      <c r="CD134" s="377"/>
      <c r="CE134" s="373"/>
      <c r="CF134" s="444" t="s">
        <v>6</v>
      </c>
      <c r="CG134" s="377"/>
      <c r="CH134" s="373"/>
      <c r="CI134" s="444"/>
      <c r="CJ134" s="377"/>
      <c r="CK134" s="373"/>
      <c r="CL134" s="444" t="s">
        <v>6</v>
      </c>
      <c r="CM134" s="377"/>
      <c r="CN134" s="373"/>
      <c r="CO134" s="444" t="s">
        <v>6</v>
      </c>
      <c r="CP134" s="377"/>
      <c r="CQ134" s="373"/>
      <c r="CR134" s="444" t="s">
        <v>6</v>
      </c>
      <c r="CS134" s="377"/>
      <c r="CT134" s="373"/>
      <c r="CU134" s="444"/>
      <c r="CV134" s="377">
        <v>11</v>
      </c>
      <c r="CW134" s="373">
        <v>8</v>
      </c>
      <c r="CX134" s="444">
        <v>57.9</v>
      </c>
      <c r="CY134" s="377">
        <v>12</v>
      </c>
      <c r="CZ134" s="373">
        <v>2</v>
      </c>
      <c r="DA134" s="444">
        <v>85.7</v>
      </c>
      <c r="DB134" s="377">
        <v>21</v>
      </c>
      <c r="DC134" s="373">
        <v>4</v>
      </c>
      <c r="DD134" s="444">
        <v>84</v>
      </c>
      <c r="DE134" s="377"/>
      <c r="DF134" s="373"/>
      <c r="DG134" s="444"/>
      <c r="DH134" s="377"/>
      <c r="DI134" s="373"/>
      <c r="DJ134" s="444" t="s">
        <v>6</v>
      </c>
      <c r="DK134" s="377"/>
      <c r="DL134" s="373"/>
      <c r="DM134" s="444" t="s">
        <v>6</v>
      </c>
      <c r="DN134" s="377">
        <v>1</v>
      </c>
      <c r="DO134" s="373"/>
      <c r="DP134" s="444">
        <v>100</v>
      </c>
      <c r="DQ134" s="377"/>
      <c r="DR134" s="373"/>
      <c r="DS134" s="444"/>
      <c r="DT134" s="377"/>
      <c r="DU134" s="373">
        <v>3</v>
      </c>
      <c r="DV134" s="444">
        <v>0</v>
      </c>
      <c r="DW134" s="377"/>
      <c r="DX134" s="373"/>
      <c r="DY134" s="444" t="s">
        <v>6</v>
      </c>
      <c r="DZ134" s="377">
        <v>1</v>
      </c>
      <c r="EA134" s="373"/>
      <c r="EB134" s="444">
        <v>100</v>
      </c>
      <c r="EC134" s="377"/>
      <c r="ED134" s="373"/>
      <c r="EE134" s="444"/>
      <c r="EF134" s="377">
        <v>66</v>
      </c>
      <c r="EG134" s="373">
        <v>628</v>
      </c>
      <c r="EH134" s="444">
        <v>9.5</v>
      </c>
      <c r="EI134" s="377">
        <v>62</v>
      </c>
      <c r="EJ134" s="373">
        <v>411</v>
      </c>
      <c r="EK134" s="444">
        <v>13.1</v>
      </c>
      <c r="EL134" s="377">
        <v>58</v>
      </c>
      <c r="EM134" s="373">
        <v>299</v>
      </c>
      <c r="EN134" s="444">
        <v>16.2</v>
      </c>
      <c r="EO134" s="377"/>
      <c r="EP134" s="373"/>
      <c r="EQ134" s="444"/>
      <c r="ER134" s="377">
        <v>7</v>
      </c>
      <c r="ES134" s="373">
        <v>12</v>
      </c>
      <c r="ET134" s="444">
        <v>36.799999999999997</v>
      </c>
      <c r="EU134" s="377">
        <v>2</v>
      </c>
      <c r="EV134" s="373">
        <v>1</v>
      </c>
      <c r="EW134" s="444">
        <v>66.7</v>
      </c>
      <c r="EX134" s="377"/>
      <c r="EY134" s="373"/>
      <c r="EZ134" s="444" t="s">
        <v>6</v>
      </c>
      <c r="FA134" s="377"/>
      <c r="FB134" s="373"/>
      <c r="FC134" s="444"/>
      <c r="FD134" s="377"/>
      <c r="FE134" s="373">
        <v>16</v>
      </c>
      <c r="FF134" s="444">
        <v>0</v>
      </c>
      <c r="FG134" s="377">
        <v>2</v>
      </c>
      <c r="FH134" s="373">
        <v>22</v>
      </c>
      <c r="FI134" s="444">
        <v>8.3000000000000007</v>
      </c>
      <c r="FJ134" s="377"/>
      <c r="FK134" s="373">
        <v>8</v>
      </c>
      <c r="FL134" s="444">
        <v>0</v>
      </c>
      <c r="FM134" s="377"/>
      <c r="FN134" s="373"/>
      <c r="FO134" s="444"/>
      <c r="FP134" s="377">
        <v>11</v>
      </c>
      <c r="FQ134" s="373">
        <v>133</v>
      </c>
      <c r="FR134" s="444">
        <v>7.6</v>
      </c>
      <c r="FS134" s="377">
        <v>23</v>
      </c>
      <c r="FT134" s="373">
        <v>56</v>
      </c>
      <c r="FU134" s="444">
        <v>29.1</v>
      </c>
      <c r="FV134" s="377">
        <v>4</v>
      </c>
      <c r="FW134" s="373">
        <v>30</v>
      </c>
      <c r="FX134" s="444">
        <v>11.8</v>
      </c>
      <c r="FY134" s="377"/>
      <c r="FZ134" s="373"/>
      <c r="GA134" s="444"/>
      <c r="GB134" s="377"/>
      <c r="GC134" s="373">
        <v>4</v>
      </c>
      <c r="GD134" s="444">
        <v>0</v>
      </c>
      <c r="GE134" s="377">
        <v>6</v>
      </c>
      <c r="GF134" s="373">
        <v>2</v>
      </c>
      <c r="GG134" s="444">
        <v>75</v>
      </c>
      <c r="GH134" s="377">
        <v>4</v>
      </c>
      <c r="GI134" s="373"/>
      <c r="GJ134" s="444">
        <v>100</v>
      </c>
      <c r="GK134" s="377"/>
      <c r="GL134" s="373"/>
      <c r="GM134" s="444"/>
      <c r="GN134" s="377"/>
      <c r="GO134" s="373">
        <v>6</v>
      </c>
      <c r="GP134" s="444">
        <v>0</v>
      </c>
      <c r="GQ134" s="377"/>
      <c r="GR134" s="373">
        <v>1</v>
      </c>
      <c r="GS134" s="444">
        <v>0</v>
      </c>
      <c r="GT134" s="377"/>
      <c r="GU134" s="373">
        <v>8</v>
      </c>
      <c r="GV134" s="444">
        <v>0</v>
      </c>
      <c r="GW134" s="377"/>
      <c r="GX134" s="373"/>
      <c r="GY134" s="444"/>
      <c r="GZ134" s="377"/>
      <c r="HA134" s="373">
        <v>2</v>
      </c>
      <c r="HB134" s="444">
        <v>0</v>
      </c>
      <c r="HC134" s="377"/>
      <c r="HD134" s="373"/>
      <c r="HE134" s="444" t="s">
        <v>6</v>
      </c>
      <c r="HF134" s="377"/>
      <c r="HG134" s="373">
        <v>1</v>
      </c>
      <c r="HH134" s="444">
        <v>0</v>
      </c>
      <c r="HI134" s="377"/>
      <c r="HJ134" s="373"/>
      <c r="HK134" s="444"/>
      <c r="HL134" s="377">
        <v>7</v>
      </c>
      <c r="HM134" s="373">
        <v>51</v>
      </c>
      <c r="HN134" s="444">
        <v>12.1</v>
      </c>
      <c r="HO134" s="377">
        <v>6</v>
      </c>
      <c r="HP134" s="373">
        <v>49</v>
      </c>
      <c r="HQ134" s="444">
        <v>10.9</v>
      </c>
      <c r="HR134" s="377">
        <v>7</v>
      </c>
      <c r="HS134" s="373">
        <v>24</v>
      </c>
      <c r="HT134" s="444">
        <v>22.6</v>
      </c>
      <c r="HU134" s="377"/>
      <c r="HV134" s="373"/>
      <c r="HW134" s="444"/>
      <c r="HX134" s="377">
        <v>3</v>
      </c>
      <c r="HY134" s="373">
        <v>2</v>
      </c>
      <c r="HZ134" s="444">
        <v>60</v>
      </c>
      <c r="IA134" s="377">
        <v>2</v>
      </c>
      <c r="IB134" s="373">
        <v>2</v>
      </c>
      <c r="IC134" s="444">
        <v>50</v>
      </c>
      <c r="ID134" s="377"/>
      <c r="IE134" s="373"/>
      <c r="IF134" s="444" t="s">
        <v>6</v>
      </c>
      <c r="IG134" s="377"/>
      <c r="IH134" s="373"/>
      <c r="II134" s="444"/>
      <c r="IJ134" s="377"/>
      <c r="IK134" s="373">
        <v>4</v>
      </c>
      <c r="IL134" s="444">
        <v>0</v>
      </c>
      <c r="IM134" s="377">
        <v>1</v>
      </c>
      <c r="IN134" s="373">
        <v>1</v>
      </c>
      <c r="IO134" s="444">
        <v>50</v>
      </c>
      <c r="IP134" s="377">
        <v>3</v>
      </c>
      <c r="IQ134" s="373">
        <v>2</v>
      </c>
      <c r="IR134" s="444">
        <v>60</v>
      </c>
      <c r="IS134" s="377"/>
      <c r="IT134" s="373"/>
      <c r="IU134" s="444"/>
      <c r="IV134" s="377">
        <v>101</v>
      </c>
      <c r="IW134" s="373">
        <v>716</v>
      </c>
      <c r="IX134" s="444">
        <v>12.4</v>
      </c>
      <c r="IY134" s="377">
        <v>100</v>
      </c>
      <c r="IZ134" s="373">
        <v>473</v>
      </c>
      <c r="JA134" s="444">
        <v>17.5</v>
      </c>
      <c r="JB134" s="377">
        <v>112</v>
      </c>
      <c r="JC134" s="373">
        <v>345</v>
      </c>
      <c r="JD134" s="444">
        <v>24.5</v>
      </c>
      <c r="JE134" s="377"/>
      <c r="JF134" s="373"/>
      <c r="JG134" s="444"/>
      <c r="JH134" s="377">
        <v>35</v>
      </c>
      <c r="JI134" s="373">
        <v>118</v>
      </c>
      <c r="JJ134" s="444">
        <v>22.9</v>
      </c>
      <c r="JK134" s="377">
        <v>26</v>
      </c>
      <c r="JL134" s="373">
        <v>82</v>
      </c>
      <c r="JM134" s="444">
        <v>24.1</v>
      </c>
      <c r="JN134" s="377">
        <v>35</v>
      </c>
      <c r="JO134" s="373">
        <v>50</v>
      </c>
      <c r="JP134" s="444">
        <v>41.2</v>
      </c>
      <c r="JQ134" s="377"/>
      <c r="JR134" s="373"/>
      <c r="JS134" s="444"/>
      <c r="JT134" s="377">
        <v>1</v>
      </c>
      <c r="JU134" s="373"/>
      <c r="JV134" s="444">
        <v>100</v>
      </c>
      <c r="JW134" s="377">
        <v>2</v>
      </c>
      <c r="JX134" s="373">
        <v>1</v>
      </c>
      <c r="JY134" s="444">
        <v>66.7</v>
      </c>
      <c r="JZ134" s="377">
        <v>2</v>
      </c>
      <c r="KA134" s="373"/>
      <c r="KB134" s="444">
        <v>100</v>
      </c>
      <c r="KC134" s="377"/>
      <c r="KD134" s="373"/>
      <c r="KE134" s="444"/>
      <c r="KF134" s="377">
        <v>2</v>
      </c>
      <c r="KG134" s="373">
        <v>3</v>
      </c>
      <c r="KH134" s="444">
        <v>40</v>
      </c>
      <c r="KI134" s="377"/>
      <c r="KJ134" s="373">
        <v>2</v>
      </c>
      <c r="KK134" s="444">
        <v>0</v>
      </c>
      <c r="KL134" s="377">
        <v>1</v>
      </c>
      <c r="KM134" s="373">
        <v>1</v>
      </c>
      <c r="KN134" s="444">
        <v>50</v>
      </c>
      <c r="KO134" s="377"/>
      <c r="KP134" s="373"/>
      <c r="KQ134" s="444"/>
      <c r="KR134" s="377">
        <v>43</v>
      </c>
      <c r="KS134" s="373">
        <v>139</v>
      </c>
      <c r="KT134" s="444">
        <v>23.6</v>
      </c>
      <c r="KU134" s="377">
        <v>34</v>
      </c>
      <c r="KV134" s="373">
        <v>96</v>
      </c>
      <c r="KW134" s="444">
        <v>26.2</v>
      </c>
      <c r="KX134" s="377">
        <v>52</v>
      </c>
      <c r="KY134" s="373">
        <v>64</v>
      </c>
      <c r="KZ134" s="444">
        <v>44.8</v>
      </c>
      <c r="LA134" s="377"/>
      <c r="LB134" s="373"/>
      <c r="LC134" s="444"/>
      <c r="LD134" s="377">
        <v>276</v>
      </c>
      <c r="LE134" s="373">
        <v>896</v>
      </c>
      <c r="LF134" s="444">
        <v>23.5</v>
      </c>
      <c r="LG134" s="377">
        <v>215</v>
      </c>
      <c r="LH134" s="373">
        <v>613</v>
      </c>
      <c r="LI134" s="444">
        <v>26</v>
      </c>
      <c r="LJ134" s="377">
        <v>198</v>
      </c>
      <c r="LK134" s="373">
        <v>482</v>
      </c>
      <c r="LL134" s="444">
        <v>29.1</v>
      </c>
      <c r="LM134" s="377"/>
      <c r="LN134" s="373"/>
      <c r="LO134" s="444"/>
    </row>
    <row r="135" spans="1:327" x14ac:dyDescent="0.2">
      <c r="A135" s="1001"/>
      <c r="B135" s="747"/>
      <c r="C135" s="151" t="s">
        <v>728</v>
      </c>
      <c r="D135" s="377"/>
      <c r="E135" s="373"/>
      <c r="F135" s="444" t="s">
        <v>6</v>
      </c>
      <c r="G135" s="377"/>
      <c r="H135" s="373"/>
      <c r="I135" s="444" t="s">
        <v>6</v>
      </c>
      <c r="J135" s="377"/>
      <c r="K135" s="373"/>
      <c r="L135" s="444" t="s">
        <v>6</v>
      </c>
      <c r="M135" s="377"/>
      <c r="N135" s="373"/>
      <c r="O135" s="444"/>
      <c r="P135" s="377"/>
      <c r="Q135" s="373"/>
      <c r="R135" s="444" t="s">
        <v>6</v>
      </c>
      <c r="S135" s="377"/>
      <c r="T135" s="373"/>
      <c r="U135" s="444" t="s">
        <v>6</v>
      </c>
      <c r="V135" s="377"/>
      <c r="W135" s="373"/>
      <c r="X135" s="444" t="s">
        <v>6</v>
      </c>
      <c r="Y135" s="377"/>
      <c r="Z135" s="373"/>
      <c r="AA135" s="444"/>
      <c r="AB135" s="377"/>
      <c r="AC135" s="373"/>
      <c r="AD135" s="444" t="s">
        <v>6</v>
      </c>
      <c r="AE135" s="377"/>
      <c r="AF135" s="373"/>
      <c r="AG135" s="444" t="s">
        <v>6</v>
      </c>
      <c r="AH135" s="377"/>
      <c r="AI135" s="373"/>
      <c r="AJ135" s="444" t="s">
        <v>6</v>
      </c>
      <c r="AK135" s="377"/>
      <c r="AL135" s="373"/>
      <c r="AM135" s="444"/>
      <c r="AN135" s="377">
        <v>11</v>
      </c>
      <c r="AO135" s="373">
        <v>5</v>
      </c>
      <c r="AP135" s="444">
        <v>68.8</v>
      </c>
      <c r="AQ135" s="377">
        <v>13</v>
      </c>
      <c r="AR135" s="373">
        <v>10</v>
      </c>
      <c r="AS135" s="444">
        <v>56.5</v>
      </c>
      <c r="AT135" s="377">
        <v>18</v>
      </c>
      <c r="AU135" s="373">
        <v>4</v>
      </c>
      <c r="AV135" s="444">
        <v>81.8</v>
      </c>
      <c r="AW135" s="377"/>
      <c r="AX135" s="373"/>
      <c r="AY135" s="444"/>
      <c r="AZ135" s="377">
        <v>2</v>
      </c>
      <c r="BA135" s="373">
        <v>4</v>
      </c>
      <c r="BB135" s="444">
        <v>33.299999999999997</v>
      </c>
      <c r="BC135" s="377">
        <v>6</v>
      </c>
      <c r="BD135" s="373">
        <v>9</v>
      </c>
      <c r="BE135" s="444">
        <v>40</v>
      </c>
      <c r="BF135" s="377">
        <v>9</v>
      </c>
      <c r="BG135" s="373">
        <v>3</v>
      </c>
      <c r="BH135" s="444">
        <v>75</v>
      </c>
      <c r="BI135" s="377"/>
      <c r="BJ135" s="373"/>
      <c r="BK135" s="444"/>
      <c r="BL135" s="377"/>
      <c r="BM135" s="373"/>
      <c r="BN135" s="444" t="s">
        <v>6</v>
      </c>
      <c r="BO135" s="377"/>
      <c r="BP135" s="373"/>
      <c r="BQ135" s="444" t="s">
        <v>6</v>
      </c>
      <c r="BR135" s="377"/>
      <c r="BS135" s="373"/>
      <c r="BT135" s="444" t="s">
        <v>6</v>
      </c>
      <c r="BU135" s="377"/>
      <c r="BV135" s="373"/>
      <c r="BW135" s="444"/>
      <c r="BX135" s="377"/>
      <c r="BY135" s="373"/>
      <c r="BZ135" s="444" t="s">
        <v>6</v>
      </c>
      <c r="CA135" s="377"/>
      <c r="CB135" s="373"/>
      <c r="CC135" s="444" t="s">
        <v>6</v>
      </c>
      <c r="CD135" s="377"/>
      <c r="CE135" s="373"/>
      <c r="CF135" s="444" t="s">
        <v>6</v>
      </c>
      <c r="CG135" s="377"/>
      <c r="CH135" s="373"/>
      <c r="CI135" s="444"/>
      <c r="CJ135" s="377"/>
      <c r="CK135" s="373"/>
      <c r="CL135" s="444" t="s">
        <v>6</v>
      </c>
      <c r="CM135" s="377"/>
      <c r="CN135" s="373"/>
      <c r="CO135" s="444" t="s">
        <v>6</v>
      </c>
      <c r="CP135" s="377"/>
      <c r="CQ135" s="373"/>
      <c r="CR135" s="444" t="s">
        <v>6</v>
      </c>
      <c r="CS135" s="377"/>
      <c r="CT135" s="373"/>
      <c r="CU135" s="444"/>
      <c r="CV135" s="377">
        <v>18</v>
      </c>
      <c r="CW135" s="373">
        <v>10</v>
      </c>
      <c r="CX135" s="444">
        <v>64.3</v>
      </c>
      <c r="CY135" s="377">
        <v>12</v>
      </c>
      <c r="CZ135" s="373">
        <v>3</v>
      </c>
      <c r="DA135" s="444">
        <v>80</v>
      </c>
      <c r="DB135" s="377">
        <v>10</v>
      </c>
      <c r="DC135" s="373">
        <v>7</v>
      </c>
      <c r="DD135" s="444">
        <v>58.8</v>
      </c>
      <c r="DE135" s="377"/>
      <c r="DF135" s="373"/>
      <c r="DG135" s="444"/>
      <c r="DH135" s="377"/>
      <c r="DI135" s="373"/>
      <c r="DJ135" s="444" t="s">
        <v>6</v>
      </c>
      <c r="DK135" s="377"/>
      <c r="DL135" s="373"/>
      <c r="DM135" s="444" t="s">
        <v>6</v>
      </c>
      <c r="DN135" s="377">
        <v>1</v>
      </c>
      <c r="DO135" s="373"/>
      <c r="DP135" s="444">
        <v>100</v>
      </c>
      <c r="DQ135" s="377"/>
      <c r="DR135" s="373"/>
      <c r="DS135" s="444"/>
      <c r="DT135" s="377"/>
      <c r="DU135" s="373"/>
      <c r="DV135" s="444" t="s">
        <v>6</v>
      </c>
      <c r="DW135" s="377"/>
      <c r="DX135" s="373"/>
      <c r="DY135" s="444" t="s">
        <v>6</v>
      </c>
      <c r="DZ135" s="377"/>
      <c r="EA135" s="373"/>
      <c r="EB135" s="444" t="s">
        <v>6</v>
      </c>
      <c r="EC135" s="377"/>
      <c r="ED135" s="373"/>
      <c r="EE135" s="444"/>
      <c r="EF135" s="377">
        <v>78</v>
      </c>
      <c r="EG135" s="373">
        <v>833</v>
      </c>
      <c r="EH135" s="444">
        <v>8.6</v>
      </c>
      <c r="EI135" s="377">
        <v>127</v>
      </c>
      <c r="EJ135" s="373">
        <v>709</v>
      </c>
      <c r="EK135" s="444">
        <v>15.2</v>
      </c>
      <c r="EL135" s="377">
        <v>89</v>
      </c>
      <c r="EM135" s="373">
        <v>538</v>
      </c>
      <c r="EN135" s="444">
        <v>14.2</v>
      </c>
      <c r="EO135" s="377"/>
      <c r="EP135" s="373"/>
      <c r="EQ135" s="444"/>
      <c r="ER135" s="377">
        <v>1</v>
      </c>
      <c r="ES135" s="373">
        <v>12</v>
      </c>
      <c r="ET135" s="444">
        <v>7.7</v>
      </c>
      <c r="EU135" s="377">
        <v>2</v>
      </c>
      <c r="EV135" s="373">
        <v>12</v>
      </c>
      <c r="EW135" s="444">
        <v>14.3</v>
      </c>
      <c r="EX135" s="377"/>
      <c r="EY135" s="373">
        <v>4</v>
      </c>
      <c r="EZ135" s="444">
        <v>0</v>
      </c>
      <c r="FA135" s="377"/>
      <c r="FB135" s="373"/>
      <c r="FC135" s="444"/>
      <c r="FD135" s="377">
        <v>2</v>
      </c>
      <c r="FE135" s="373">
        <v>93</v>
      </c>
      <c r="FF135" s="444">
        <v>2.1</v>
      </c>
      <c r="FG135" s="377">
        <v>28</v>
      </c>
      <c r="FH135" s="373">
        <v>75</v>
      </c>
      <c r="FI135" s="444">
        <v>27.2</v>
      </c>
      <c r="FJ135" s="377"/>
      <c r="FK135" s="373">
        <v>53</v>
      </c>
      <c r="FL135" s="444">
        <v>0</v>
      </c>
      <c r="FM135" s="377"/>
      <c r="FN135" s="373"/>
      <c r="FO135" s="444"/>
      <c r="FP135" s="377">
        <v>9</v>
      </c>
      <c r="FQ135" s="373">
        <v>227</v>
      </c>
      <c r="FR135" s="444">
        <v>3.8</v>
      </c>
      <c r="FS135" s="377">
        <v>26</v>
      </c>
      <c r="FT135" s="373">
        <v>198</v>
      </c>
      <c r="FU135" s="444">
        <v>11.6</v>
      </c>
      <c r="FV135" s="377">
        <v>13</v>
      </c>
      <c r="FW135" s="373">
        <v>126</v>
      </c>
      <c r="FX135" s="444">
        <v>9.4</v>
      </c>
      <c r="FY135" s="377"/>
      <c r="FZ135" s="373"/>
      <c r="GA135" s="444"/>
      <c r="GB135" s="377">
        <v>5</v>
      </c>
      <c r="GC135" s="373">
        <v>6</v>
      </c>
      <c r="GD135" s="444">
        <v>45.5</v>
      </c>
      <c r="GE135" s="377">
        <v>4</v>
      </c>
      <c r="GF135" s="373">
        <v>3</v>
      </c>
      <c r="GG135" s="444">
        <v>57.1</v>
      </c>
      <c r="GH135" s="377">
        <v>1</v>
      </c>
      <c r="GI135" s="373"/>
      <c r="GJ135" s="444">
        <v>100</v>
      </c>
      <c r="GK135" s="377"/>
      <c r="GL135" s="373"/>
      <c r="GM135" s="444"/>
      <c r="GN135" s="377"/>
      <c r="GO135" s="373"/>
      <c r="GP135" s="444" t="s">
        <v>6</v>
      </c>
      <c r="GQ135" s="377">
        <v>8</v>
      </c>
      <c r="GR135" s="373"/>
      <c r="GS135" s="444">
        <v>100</v>
      </c>
      <c r="GT135" s="377">
        <v>1</v>
      </c>
      <c r="GU135" s="373">
        <v>1</v>
      </c>
      <c r="GV135" s="444">
        <v>50</v>
      </c>
      <c r="GW135" s="377"/>
      <c r="GX135" s="373"/>
      <c r="GY135" s="444"/>
      <c r="GZ135" s="377">
        <v>5</v>
      </c>
      <c r="HA135" s="373">
        <v>2</v>
      </c>
      <c r="HB135" s="444">
        <v>71.400000000000006</v>
      </c>
      <c r="HC135" s="377"/>
      <c r="HD135" s="373"/>
      <c r="HE135" s="444" t="s">
        <v>6</v>
      </c>
      <c r="HF135" s="377">
        <v>1</v>
      </c>
      <c r="HG135" s="373"/>
      <c r="HH135" s="444">
        <v>100</v>
      </c>
      <c r="HI135" s="377"/>
      <c r="HJ135" s="373"/>
      <c r="HK135" s="444"/>
      <c r="HL135" s="377">
        <v>10</v>
      </c>
      <c r="HM135" s="373">
        <v>42</v>
      </c>
      <c r="HN135" s="444">
        <v>19.2</v>
      </c>
      <c r="HO135" s="377">
        <v>12</v>
      </c>
      <c r="HP135" s="373">
        <v>29</v>
      </c>
      <c r="HQ135" s="444">
        <v>29.3</v>
      </c>
      <c r="HR135" s="377">
        <v>5</v>
      </c>
      <c r="HS135" s="373">
        <v>32</v>
      </c>
      <c r="HT135" s="444">
        <v>13.5</v>
      </c>
      <c r="HU135" s="377"/>
      <c r="HV135" s="373"/>
      <c r="HW135" s="444"/>
      <c r="HX135" s="377">
        <v>4</v>
      </c>
      <c r="HY135" s="373"/>
      <c r="HZ135" s="444">
        <v>100</v>
      </c>
      <c r="IA135" s="377">
        <v>6</v>
      </c>
      <c r="IB135" s="373"/>
      <c r="IC135" s="444">
        <v>100</v>
      </c>
      <c r="ID135" s="377">
        <v>3</v>
      </c>
      <c r="IE135" s="373"/>
      <c r="IF135" s="444">
        <v>100</v>
      </c>
      <c r="IG135" s="377"/>
      <c r="IH135" s="373"/>
      <c r="II135" s="444"/>
      <c r="IJ135" s="377"/>
      <c r="IK135" s="373"/>
      <c r="IL135" s="444" t="s">
        <v>6</v>
      </c>
      <c r="IM135" s="377"/>
      <c r="IN135" s="373">
        <v>3</v>
      </c>
      <c r="IO135" s="444">
        <v>0</v>
      </c>
      <c r="IP135" s="377">
        <v>3</v>
      </c>
      <c r="IQ135" s="373">
        <v>3</v>
      </c>
      <c r="IR135" s="444">
        <v>50</v>
      </c>
      <c r="IS135" s="377"/>
      <c r="IT135" s="373"/>
      <c r="IU135" s="444"/>
      <c r="IV135" s="377">
        <v>131</v>
      </c>
      <c r="IW135" s="373">
        <v>898</v>
      </c>
      <c r="IX135" s="444">
        <v>12.7</v>
      </c>
      <c r="IY135" s="377">
        <v>182</v>
      </c>
      <c r="IZ135" s="373">
        <v>757</v>
      </c>
      <c r="JA135" s="444">
        <v>19.399999999999999</v>
      </c>
      <c r="JB135" s="377">
        <v>132</v>
      </c>
      <c r="JC135" s="373">
        <v>585</v>
      </c>
      <c r="JD135" s="444">
        <v>18.399999999999999</v>
      </c>
      <c r="JE135" s="377"/>
      <c r="JF135" s="373"/>
      <c r="JG135" s="444"/>
      <c r="JH135" s="377">
        <v>25</v>
      </c>
      <c r="JI135" s="373">
        <v>166</v>
      </c>
      <c r="JJ135" s="444">
        <v>13.1</v>
      </c>
      <c r="JK135" s="377">
        <v>62</v>
      </c>
      <c r="JL135" s="373">
        <v>150</v>
      </c>
      <c r="JM135" s="444">
        <v>29.2</v>
      </c>
      <c r="JN135" s="377">
        <v>28</v>
      </c>
      <c r="JO135" s="373">
        <v>118</v>
      </c>
      <c r="JP135" s="444">
        <v>19.2</v>
      </c>
      <c r="JQ135" s="377"/>
      <c r="JR135" s="373"/>
      <c r="JS135" s="444"/>
      <c r="JT135" s="377"/>
      <c r="JU135" s="373">
        <v>1</v>
      </c>
      <c r="JV135" s="444">
        <v>0</v>
      </c>
      <c r="JW135" s="377">
        <v>1</v>
      </c>
      <c r="JX135" s="373">
        <v>1</v>
      </c>
      <c r="JY135" s="444">
        <v>50</v>
      </c>
      <c r="JZ135" s="377"/>
      <c r="KA135" s="373">
        <v>2</v>
      </c>
      <c r="KB135" s="444">
        <v>0</v>
      </c>
      <c r="KC135" s="377"/>
      <c r="KD135" s="373"/>
      <c r="KE135" s="444"/>
      <c r="KF135" s="377">
        <v>1</v>
      </c>
      <c r="KG135" s="373">
        <v>1</v>
      </c>
      <c r="KH135" s="444">
        <v>50</v>
      </c>
      <c r="KI135" s="377"/>
      <c r="KJ135" s="373"/>
      <c r="KK135" s="444" t="s">
        <v>6</v>
      </c>
      <c r="KL135" s="377"/>
      <c r="KM135" s="373"/>
      <c r="KN135" s="444" t="s">
        <v>6</v>
      </c>
      <c r="KO135" s="377"/>
      <c r="KP135" s="373"/>
      <c r="KQ135" s="444"/>
      <c r="KR135" s="377">
        <v>32</v>
      </c>
      <c r="KS135" s="373">
        <v>174</v>
      </c>
      <c r="KT135" s="444">
        <v>15.5</v>
      </c>
      <c r="KU135" s="377">
        <v>70</v>
      </c>
      <c r="KV135" s="373">
        <v>160</v>
      </c>
      <c r="KW135" s="444">
        <v>30.4</v>
      </c>
      <c r="KX135" s="377">
        <v>34</v>
      </c>
      <c r="KY135" s="373">
        <v>135</v>
      </c>
      <c r="KZ135" s="444">
        <v>20.100000000000001</v>
      </c>
      <c r="LA135" s="377"/>
      <c r="LB135" s="373"/>
      <c r="LC135" s="444"/>
      <c r="LD135" s="377">
        <v>335</v>
      </c>
      <c r="LE135" s="373">
        <v>1029</v>
      </c>
      <c r="LF135" s="444">
        <v>24.6</v>
      </c>
      <c r="LG135" s="377">
        <v>271</v>
      </c>
      <c r="LH135" s="373">
        <v>878</v>
      </c>
      <c r="LI135" s="444">
        <v>23.6</v>
      </c>
      <c r="LJ135" s="377">
        <v>202</v>
      </c>
      <c r="LK135" s="373">
        <v>784</v>
      </c>
      <c r="LL135" s="444">
        <v>20.5</v>
      </c>
      <c r="LM135" s="377"/>
      <c r="LN135" s="373"/>
      <c r="LO135" s="444"/>
    </row>
    <row r="136" spans="1:327" x14ac:dyDescent="0.2">
      <c r="A136" s="1001"/>
      <c r="B136" s="747"/>
      <c r="C136" s="151" t="s">
        <v>623</v>
      </c>
      <c r="D136" s="377"/>
      <c r="E136" s="373"/>
      <c r="F136" s="444" t="s">
        <v>6</v>
      </c>
      <c r="G136" s="377"/>
      <c r="H136" s="373"/>
      <c r="I136" s="444" t="s">
        <v>6</v>
      </c>
      <c r="J136" s="377"/>
      <c r="K136" s="373"/>
      <c r="L136" s="444" t="s">
        <v>6</v>
      </c>
      <c r="M136" s="377"/>
      <c r="N136" s="373"/>
      <c r="O136" s="444"/>
      <c r="P136" s="377"/>
      <c r="Q136" s="373"/>
      <c r="R136" s="444" t="s">
        <v>6</v>
      </c>
      <c r="S136" s="377"/>
      <c r="T136" s="373"/>
      <c r="U136" s="444" t="s">
        <v>6</v>
      </c>
      <c r="V136" s="377"/>
      <c r="W136" s="373"/>
      <c r="X136" s="444" t="s">
        <v>6</v>
      </c>
      <c r="Y136" s="377"/>
      <c r="Z136" s="373"/>
      <c r="AA136" s="444"/>
      <c r="AB136" s="377"/>
      <c r="AC136" s="373"/>
      <c r="AD136" s="444" t="s">
        <v>6</v>
      </c>
      <c r="AE136" s="377"/>
      <c r="AF136" s="373"/>
      <c r="AG136" s="444" t="s">
        <v>6</v>
      </c>
      <c r="AH136" s="377"/>
      <c r="AI136" s="373"/>
      <c r="AJ136" s="444" t="s">
        <v>6</v>
      </c>
      <c r="AK136" s="377"/>
      <c r="AL136" s="373"/>
      <c r="AM136" s="444"/>
      <c r="AN136" s="377">
        <v>5</v>
      </c>
      <c r="AO136" s="373">
        <v>5</v>
      </c>
      <c r="AP136" s="444">
        <v>50</v>
      </c>
      <c r="AQ136" s="377">
        <v>20</v>
      </c>
      <c r="AR136" s="373">
        <v>3</v>
      </c>
      <c r="AS136" s="444">
        <v>87</v>
      </c>
      <c r="AT136" s="377">
        <v>24</v>
      </c>
      <c r="AU136" s="373">
        <v>3</v>
      </c>
      <c r="AV136" s="444">
        <v>88.9</v>
      </c>
      <c r="AW136" s="377"/>
      <c r="AX136" s="373"/>
      <c r="AY136" s="444"/>
      <c r="AZ136" s="377">
        <v>1</v>
      </c>
      <c r="BA136" s="373">
        <v>4</v>
      </c>
      <c r="BB136" s="444">
        <v>20</v>
      </c>
      <c r="BC136" s="377">
        <v>7</v>
      </c>
      <c r="BD136" s="373">
        <v>3</v>
      </c>
      <c r="BE136" s="444">
        <v>70</v>
      </c>
      <c r="BF136" s="377">
        <v>9</v>
      </c>
      <c r="BG136" s="373">
        <v>2</v>
      </c>
      <c r="BH136" s="444">
        <v>81.8</v>
      </c>
      <c r="BI136" s="377"/>
      <c r="BJ136" s="373"/>
      <c r="BK136" s="444"/>
      <c r="BL136" s="377"/>
      <c r="BM136" s="373"/>
      <c r="BN136" s="444" t="s">
        <v>6</v>
      </c>
      <c r="BO136" s="377"/>
      <c r="BP136" s="373"/>
      <c r="BQ136" s="444" t="s">
        <v>6</v>
      </c>
      <c r="BR136" s="377"/>
      <c r="BS136" s="373"/>
      <c r="BT136" s="444" t="s">
        <v>6</v>
      </c>
      <c r="BU136" s="377"/>
      <c r="BV136" s="373"/>
      <c r="BW136" s="444"/>
      <c r="BX136" s="377"/>
      <c r="BY136" s="373"/>
      <c r="BZ136" s="444" t="s">
        <v>6</v>
      </c>
      <c r="CA136" s="377"/>
      <c r="CB136" s="373"/>
      <c r="CC136" s="444" t="s">
        <v>6</v>
      </c>
      <c r="CD136" s="377"/>
      <c r="CE136" s="373"/>
      <c r="CF136" s="444" t="s">
        <v>6</v>
      </c>
      <c r="CG136" s="377"/>
      <c r="CH136" s="373"/>
      <c r="CI136" s="444"/>
      <c r="CJ136" s="377"/>
      <c r="CK136" s="373"/>
      <c r="CL136" s="444" t="s">
        <v>6</v>
      </c>
      <c r="CM136" s="377"/>
      <c r="CN136" s="373"/>
      <c r="CO136" s="444" t="s">
        <v>6</v>
      </c>
      <c r="CP136" s="377"/>
      <c r="CQ136" s="373"/>
      <c r="CR136" s="444" t="s">
        <v>6</v>
      </c>
      <c r="CS136" s="377"/>
      <c r="CT136" s="373"/>
      <c r="CU136" s="444"/>
      <c r="CV136" s="377">
        <v>13</v>
      </c>
      <c r="CW136" s="373">
        <v>5</v>
      </c>
      <c r="CX136" s="444">
        <v>72.2</v>
      </c>
      <c r="CY136" s="377">
        <v>24</v>
      </c>
      <c r="CZ136" s="373">
        <v>5</v>
      </c>
      <c r="DA136" s="444">
        <v>82.8</v>
      </c>
      <c r="DB136" s="377">
        <v>29</v>
      </c>
      <c r="DC136" s="373">
        <v>10</v>
      </c>
      <c r="DD136" s="444">
        <v>74.400000000000006</v>
      </c>
      <c r="DE136" s="377"/>
      <c r="DF136" s="373"/>
      <c r="DG136" s="444"/>
      <c r="DH136" s="377"/>
      <c r="DI136" s="373">
        <v>1</v>
      </c>
      <c r="DJ136" s="444">
        <v>0</v>
      </c>
      <c r="DK136" s="377"/>
      <c r="DL136" s="373"/>
      <c r="DM136" s="444" t="s">
        <v>6</v>
      </c>
      <c r="DN136" s="377">
        <v>1</v>
      </c>
      <c r="DO136" s="373">
        <v>2</v>
      </c>
      <c r="DP136" s="444">
        <v>33.299999999999997</v>
      </c>
      <c r="DQ136" s="377"/>
      <c r="DR136" s="373"/>
      <c r="DS136" s="444"/>
      <c r="DT136" s="377"/>
      <c r="DU136" s="373">
        <v>1</v>
      </c>
      <c r="DV136" s="444">
        <v>0</v>
      </c>
      <c r="DW136" s="377">
        <v>1</v>
      </c>
      <c r="DX136" s="373"/>
      <c r="DY136" s="444">
        <v>100</v>
      </c>
      <c r="DZ136" s="377">
        <v>2</v>
      </c>
      <c r="EA136" s="373"/>
      <c r="EB136" s="444">
        <v>100</v>
      </c>
      <c r="EC136" s="377"/>
      <c r="ED136" s="373"/>
      <c r="EE136" s="444"/>
      <c r="EF136" s="377">
        <v>29</v>
      </c>
      <c r="EG136" s="373">
        <v>591</v>
      </c>
      <c r="EH136" s="444">
        <v>4.7</v>
      </c>
      <c r="EI136" s="377">
        <v>52</v>
      </c>
      <c r="EJ136" s="373">
        <v>468</v>
      </c>
      <c r="EK136" s="444">
        <v>10</v>
      </c>
      <c r="EL136" s="377">
        <v>61</v>
      </c>
      <c r="EM136" s="373">
        <v>292</v>
      </c>
      <c r="EN136" s="444">
        <v>17.3</v>
      </c>
      <c r="EO136" s="377"/>
      <c r="EP136" s="373"/>
      <c r="EQ136" s="444"/>
      <c r="ER136" s="377"/>
      <c r="ES136" s="373">
        <v>26</v>
      </c>
      <c r="ET136" s="444">
        <v>0</v>
      </c>
      <c r="EU136" s="377"/>
      <c r="EV136" s="373">
        <v>19</v>
      </c>
      <c r="EW136" s="444">
        <v>0</v>
      </c>
      <c r="EX136" s="377"/>
      <c r="EY136" s="373">
        <v>19</v>
      </c>
      <c r="EZ136" s="444">
        <v>0</v>
      </c>
      <c r="FA136" s="377"/>
      <c r="FB136" s="373"/>
      <c r="FC136" s="444"/>
      <c r="FD136" s="377">
        <v>1</v>
      </c>
      <c r="FE136" s="373">
        <v>24</v>
      </c>
      <c r="FF136" s="444">
        <v>4</v>
      </c>
      <c r="FG136" s="377">
        <v>1</v>
      </c>
      <c r="FH136" s="373">
        <v>30</v>
      </c>
      <c r="FI136" s="444">
        <v>3.2</v>
      </c>
      <c r="FJ136" s="377">
        <v>5</v>
      </c>
      <c r="FK136" s="373">
        <v>10</v>
      </c>
      <c r="FL136" s="444">
        <v>33.299999999999997</v>
      </c>
      <c r="FM136" s="377"/>
      <c r="FN136" s="373"/>
      <c r="FO136" s="444"/>
      <c r="FP136" s="377">
        <v>7</v>
      </c>
      <c r="FQ136" s="373">
        <v>108</v>
      </c>
      <c r="FR136" s="444">
        <v>6.1</v>
      </c>
      <c r="FS136" s="377">
        <v>6</v>
      </c>
      <c r="FT136" s="373">
        <v>82</v>
      </c>
      <c r="FU136" s="444">
        <v>6.8</v>
      </c>
      <c r="FV136" s="377">
        <v>3</v>
      </c>
      <c r="FW136" s="373">
        <v>30</v>
      </c>
      <c r="FX136" s="444">
        <v>9.1</v>
      </c>
      <c r="FY136" s="377"/>
      <c r="FZ136" s="373"/>
      <c r="GA136" s="444"/>
      <c r="GB136" s="377">
        <v>1</v>
      </c>
      <c r="GC136" s="373">
        <v>1</v>
      </c>
      <c r="GD136" s="444">
        <v>50</v>
      </c>
      <c r="GE136" s="377">
        <v>1</v>
      </c>
      <c r="GF136" s="373"/>
      <c r="GG136" s="444">
        <v>100</v>
      </c>
      <c r="GH136" s="377">
        <v>3</v>
      </c>
      <c r="GI136" s="373">
        <v>5</v>
      </c>
      <c r="GJ136" s="444">
        <v>37.5</v>
      </c>
      <c r="GK136" s="377"/>
      <c r="GL136" s="373"/>
      <c r="GM136" s="444"/>
      <c r="GN136" s="377"/>
      <c r="GO136" s="373">
        <v>11</v>
      </c>
      <c r="GP136" s="444">
        <v>0</v>
      </c>
      <c r="GQ136" s="377"/>
      <c r="GR136" s="373">
        <v>4</v>
      </c>
      <c r="GS136" s="444">
        <v>0</v>
      </c>
      <c r="GT136" s="377"/>
      <c r="GU136" s="373">
        <v>4</v>
      </c>
      <c r="GV136" s="444">
        <v>0</v>
      </c>
      <c r="GW136" s="377"/>
      <c r="GX136" s="373"/>
      <c r="GY136" s="444"/>
      <c r="GZ136" s="377"/>
      <c r="HA136" s="373"/>
      <c r="HB136" s="444" t="s">
        <v>6</v>
      </c>
      <c r="HC136" s="377"/>
      <c r="HD136" s="373">
        <v>1</v>
      </c>
      <c r="HE136" s="444">
        <v>0</v>
      </c>
      <c r="HF136" s="377">
        <v>2</v>
      </c>
      <c r="HG136" s="373">
        <v>1</v>
      </c>
      <c r="HH136" s="444">
        <v>66.7</v>
      </c>
      <c r="HI136" s="377"/>
      <c r="HJ136" s="373"/>
      <c r="HK136" s="444"/>
      <c r="HL136" s="377">
        <v>4</v>
      </c>
      <c r="HM136" s="373">
        <v>49</v>
      </c>
      <c r="HN136" s="444">
        <v>7.5</v>
      </c>
      <c r="HO136" s="377">
        <v>7</v>
      </c>
      <c r="HP136" s="373">
        <v>38</v>
      </c>
      <c r="HQ136" s="444">
        <v>15.6</v>
      </c>
      <c r="HR136" s="377">
        <v>13</v>
      </c>
      <c r="HS136" s="373">
        <v>49</v>
      </c>
      <c r="HT136" s="444">
        <v>21</v>
      </c>
      <c r="HU136" s="377"/>
      <c r="HV136" s="373"/>
      <c r="HW136" s="444"/>
      <c r="HX136" s="377">
        <v>3</v>
      </c>
      <c r="HY136" s="373">
        <v>1</v>
      </c>
      <c r="HZ136" s="444">
        <v>75</v>
      </c>
      <c r="IA136" s="377"/>
      <c r="IB136" s="373"/>
      <c r="IC136" s="444" t="s">
        <v>6</v>
      </c>
      <c r="ID136" s="377"/>
      <c r="IE136" s="373"/>
      <c r="IF136" s="444" t="s">
        <v>6</v>
      </c>
      <c r="IG136" s="377"/>
      <c r="IH136" s="373"/>
      <c r="II136" s="444"/>
      <c r="IJ136" s="377">
        <v>2</v>
      </c>
      <c r="IK136" s="373"/>
      <c r="IL136" s="444">
        <v>100</v>
      </c>
      <c r="IM136" s="377">
        <v>2</v>
      </c>
      <c r="IN136" s="373"/>
      <c r="IO136" s="444">
        <v>100</v>
      </c>
      <c r="IP136" s="377">
        <v>9</v>
      </c>
      <c r="IQ136" s="373">
        <v>2</v>
      </c>
      <c r="IR136" s="444">
        <v>81.8</v>
      </c>
      <c r="IS136" s="377"/>
      <c r="IT136" s="373"/>
      <c r="IU136" s="444"/>
      <c r="IV136" s="377">
        <v>57</v>
      </c>
      <c r="IW136" s="373">
        <v>665</v>
      </c>
      <c r="IX136" s="444">
        <v>7.9</v>
      </c>
      <c r="IY136" s="377">
        <v>107</v>
      </c>
      <c r="IZ136" s="373">
        <v>519</v>
      </c>
      <c r="JA136" s="444">
        <v>17.100000000000001</v>
      </c>
      <c r="JB136" s="377">
        <v>144</v>
      </c>
      <c r="JC136" s="373">
        <v>368</v>
      </c>
      <c r="JD136" s="444">
        <v>28.1</v>
      </c>
      <c r="JE136" s="377"/>
      <c r="JF136" s="373"/>
      <c r="JG136" s="444"/>
      <c r="JH136" s="377">
        <v>18</v>
      </c>
      <c r="JI136" s="373">
        <v>142</v>
      </c>
      <c r="JJ136" s="444">
        <v>11.3</v>
      </c>
      <c r="JK136" s="377">
        <v>28</v>
      </c>
      <c r="JL136" s="373">
        <v>109</v>
      </c>
      <c r="JM136" s="444">
        <v>20.399999999999999</v>
      </c>
      <c r="JN136" s="377">
        <v>49</v>
      </c>
      <c r="JO136" s="373">
        <v>81</v>
      </c>
      <c r="JP136" s="444">
        <v>37.700000000000003</v>
      </c>
      <c r="JQ136" s="377"/>
      <c r="JR136" s="373"/>
      <c r="JS136" s="444"/>
      <c r="JT136" s="377">
        <v>1</v>
      </c>
      <c r="JU136" s="373">
        <v>4</v>
      </c>
      <c r="JV136" s="444">
        <v>20</v>
      </c>
      <c r="JW136" s="377">
        <v>1</v>
      </c>
      <c r="JX136" s="373"/>
      <c r="JY136" s="444">
        <v>100</v>
      </c>
      <c r="JZ136" s="377">
        <v>1</v>
      </c>
      <c r="KA136" s="373"/>
      <c r="KB136" s="444">
        <v>100</v>
      </c>
      <c r="KC136" s="377"/>
      <c r="KD136" s="373"/>
      <c r="KE136" s="444"/>
      <c r="KF136" s="377">
        <v>2</v>
      </c>
      <c r="KG136" s="373">
        <v>2</v>
      </c>
      <c r="KH136" s="444">
        <v>50</v>
      </c>
      <c r="KI136" s="377">
        <v>1</v>
      </c>
      <c r="KJ136" s="373"/>
      <c r="KK136" s="444">
        <v>100</v>
      </c>
      <c r="KL136" s="377">
        <v>2</v>
      </c>
      <c r="KM136" s="373"/>
      <c r="KN136" s="444">
        <v>100</v>
      </c>
      <c r="KO136" s="377"/>
      <c r="KP136" s="373"/>
      <c r="KQ136" s="444"/>
      <c r="KR136" s="377">
        <v>31</v>
      </c>
      <c r="KS136" s="373">
        <v>158</v>
      </c>
      <c r="KT136" s="444">
        <v>16.399999999999999</v>
      </c>
      <c r="KU136" s="377">
        <v>55</v>
      </c>
      <c r="KV136" s="373">
        <v>115</v>
      </c>
      <c r="KW136" s="444">
        <v>32.4</v>
      </c>
      <c r="KX136" s="377">
        <v>73</v>
      </c>
      <c r="KY136" s="373">
        <v>93</v>
      </c>
      <c r="KZ136" s="444">
        <v>44</v>
      </c>
      <c r="LA136" s="377"/>
      <c r="LB136" s="373"/>
      <c r="LC136" s="444"/>
      <c r="LD136" s="377">
        <v>201</v>
      </c>
      <c r="LE136" s="373">
        <v>826</v>
      </c>
      <c r="LF136" s="444">
        <v>19.600000000000001</v>
      </c>
      <c r="LG136" s="377">
        <v>441</v>
      </c>
      <c r="LH136" s="373">
        <v>658</v>
      </c>
      <c r="LI136" s="444">
        <v>40.1</v>
      </c>
      <c r="LJ136" s="377">
        <v>676</v>
      </c>
      <c r="LK136" s="373">
        <v>529</v>
      </c>
      <c r="LL136" s="444">
        <v>56.1</v>
      </c>
      <c r="LM136" s="377"/>
      <c r="LN136" s="373"/>
      <c r="LO136" s="444"/>
    </row>
    <row r="137" spans="1:327" ht="13.5" thickBot="1" x14ac:dyDescent="0.25">
      <c r="A137" s="1001"/>
      <c r="B137" s="748"/>
      <c r="C137" s="156" t="s">
        <v>729</v>
      </c>
      <c r="D137" s="377"/>
      <c r="E137" s="373"/>
      <c r="F137" s="444" t="s">
        <v>6</v>
      </c>
      <c r="G137" s="377"/>
      <c r="H137" s="373"/>
      <c r="I137" s="444" t="s">
        <v>6</v>
      </c>
      <c r="J137" s="377"/>
      <c r="K137" s="373"/>
      <c r="L137" s="444" t="s">
        <v>6</v>
      </c>
      <c r="M137" s="377"/>
      <c r="N137" s="373"/>
      <c r="O137" s="444"/>
      <c r="P137" s="377"/>
      <c r="Q137" s="373"/>
      <c r="R137" s="444" t="s">
        <v>6</v>
      </c>
      <c r="S137" s="377"/>
      <c r="T137" s="373"/>
      <c r="U137" s="444" t="s">
        <v>6</v>
      </c>
      <c r="V137" s="377"/>
      <c r="W137" s="373"/>
      <c r="X137" s="444" t="s">
        <v>6</v>
      </c>
      <c r="Y137" s="377"/>
      <c r="Z137" s="373"/>
      <c r="AA137" s="444"/>
      <c r="AB137" s="377"/>
      <c r="AC137" s="373"/>
      <c r="AD137" s="444" t="s">
        <v>6</v>
      </c>
      <c r="AE137" s="377"/>
      <c r="AF137" s="373"/>
      <c r="AG137" s="444" t="s">
        <v>6</v>
      </c>
      <c r="AH137" s="377"/>
      <c r="AI137" s="373"/>
      <c r="AJ137" s="444" t="s">
        <v>6</v>
      </c>
      <c r="AK137" s="377"/>
      <c r="AL137" s="373"/>
      <c r="AM137" s="444"/>
      <c r="AN137" s="377">
        <v>10</v>
      </c>
      <c r="AO137" s="373">
        <v>9</v>
      </c>
      <c r="AP137" s="444">
        <v>52.6</v>
      </c>
      <c r="AQ137" s="377">
        <v>5</v>
      </c>
      <c r="AR137" s="373">
        <v>16</v>
      </c>
      <c r="AS137" s="444">
        <v>23.8</v>
      </c>
      <c r="AT137" s="377">
        <v>8</v>
      </c>
      <c r="AU137" s="373">
        <v>5</v>
      </c>
      <c r="AV137" s="444">
        <v>61.5</v>
      </c>
      <c r="AW137" s="377"/>
      <c r="AX137" s="373"/>
      <c r="AY137" s="444"/>
      <c r="AZ137" s="377">
        <v>6</v>
      </c>
      <c r="BA137" s="373">
        <v>7</v>
      </c>
      <c r="BB137" s="444">
        <v>46.2</v>
      </c>
      <c r="BC137" s="377">
        <v>2</v>
      </c>
      <c r="BD137" s="373">
        <v>15</v>
      </c>
      <c r="BE137" s="444">
        <v>11.8</v>
      </c>
      <c r="BF137" s="377">
        <v>3</v>
      </c>
      <c r="BG137" s="373">
        <v>5</v>
      </c>
      <c r="BH137" s="444">
        <v>37.5</v>
      </c>
      <c r="BI137" s="377"/>
      <c r="BJ137" s="373"/>
      <c r="BK137" s="444"/>
      <c r="BL137" s="377"/>
      <c r="BM137" s="373"/>
      <c r="BN137" s="444" t="s">
        <v>6</v>
      </c>
      <c r="BO137" s="377"/>
      <c r="BP137" s="373"/>
      <c r="BQ137" s="444" t="s">
        <v>6</v>
      </c>
      <c r="BR137" s="377"/>
      <c r="BS137" s="373"/>
      <c r="BT137" s="444" t="s">
        <v>6</v>
      </c>
      <c r="BU137" s="377"/>
      <c r="BV137" s="373"/>
      <c r="BW137" s="444"/>
      <c r="BX137" s="377"/>
      <c r="BY137" s="373"/>
      <c r="BZ137" s="444" t="s">
        <v>6</v>
      </c>
      <c r="CA137" s="377"/>
      <c r="CB137" s="373"/>
      <c r="CC137" s="444" t="s">
        <v>6</v>
      </c>
      <c r="CD137" s="377"/>
      <c r="CE137" s="373"/>
      <c r="CF137" s="444" t="s">
        <v>6</v>
      </c>
      <c r="CG137" s="377"/>
      <c r="CH137" s="373"/>
      <c r="CI137" s="444"/>
      <c r="CJ137" s="377"/>
      <c r="CK137" s="373"/>
      <c r="CL137" s="444" t="s">
        <v>6</v>
      </c>
      <c r="CM137" s="377"/>
      <c r="CN137" s="373"/>
      <c r="CO137" s="444" t="s">
        <v>6</v>
      </c>
      <c r="CP137" s="377"/>
      <c r="CQ137" s="373"/>
      <c r="CR137" s="444" t="s">
        <v>6</v>
      </c>
      <c r="CS137" s="377"/>
      <c r="CT137" s="373"/>
      <c r="CU137" s="444"/>
      <c r="CV137" s="377">
        <v>3</v>
      </c>
      <c r="CW137" s="373">
        <v>1</v>
      </c>
      <c r="CX137" s="444">
        <v>75</v>
      </c>
      <c r="CY137" s="377">
        <v>6</v>
      </c>
      <c r="CZ137" s="373">
        <v>4</v>
      </c>
      <c r="DA137" s="444">
        <v>60</v>
      </c>
      <c r="DB137" s="377">
        <v>7</v>
      </c>
      <c r="DC137" s="373">
        <v>1</v>
      </c>
      <c r="DD137" s="444">
        <v>87.5</v>
      </c>
      <c r="DE137" s="377"/>
      <c r="DF137" s="373"/>
      <c r="DG137" s="444"/>
      <c r="DH137" s="377"/>
      <c r="DI137" s="373"/>
      <c r="DJ137" s="444" t="s">
        <v>6</v>
      </c>
      <c r="DK137" s="377"/>
      <c r="DL137" s="373"/>
      <c r="DM137" s="444" t="s">
        <v>6</v>
      </c>
      <c r="DN137" s="377"/>
      <c r="DO137" s="373"/>
      <c r="DP137" s="444" t="s">
        <v>6</v>
      </c>
      <c r="DQ137" s="377"/>
      <c r="DR137" s="373"/>
      <c r="DS137" s="444"/>
      <c r="DT137" s="377"/>
      <c r="DU137" s="373"/>
      <c r="DV137" s="444" t="s">
        <v>6</v>
      </c>
      <c r="DW137" s="377"/>
      <c r="DX137" s="373"/>
      <c r="DY137" s="444" t="s">
        <v>6</v>
      </c>
      <c r="DZ137" s="377">
        <v>11</v>
      </c>
      <c r="EA137" s="373">
        <v>1</v>
      </c>
      <c r="EB137" s="444">
        <v>91.7</v>
      </c>
      <c r="EC137" s="377"/>
      <c r="ED137" s="373"/>
      <c r="EE137" s="444"/>
      <c r="EF137" s="377">
        <v>153</v>
      </c>
      <c r="EG137" s="373">
        <v>931</v>
      </c>
      <c r="EH137" s="444">
        <v>14.1</v>
      </c>
      <c r="EI137" s="377">
        <v>84</v>
      </c>
      <c r="EJ137" s="373">
        <v>733</v>
      </c>
      <c r="EK137" s="444">
        <v>10.3</v>
      </c>
      <c r="EL137" s="377">
        <v>85</v>
      </c>
      <c r="EM137" s="373">
        <v>557</v>
      </c>
      <c r="EN137" s="444">
        <v>13.2</v>
      </c>
      <c r="EO137" s="377"/>
      <c r="EP137" s="373"/>
      <c r="EQ137" s="444"/>
      <c r="ER137" s="377">
        <v>2</v>
      </c>
      <c r="ES137" s="373">
        <v>15</v>
      </c>
      <c r="ET137" s="444">
        <v>11.8</v>
      </c>
      <c r="EU137" s="377">
        <v>2</v>
      </c>
      <c r="EV137" s="373">
        <v>12</v>
      </c>
      <c r="EW137" s="444">
        <v>14.3</v>
      </c>
      <c r="EX137" s="377">
        <v>1</v>
      </c>
      <c r="EY137" s="373">
        <v>5</v>
      </c>
      <c r="EZ137" s="444">
        <v>16.7</v>
      </c>
      <c r="FA137" s="377"/>
      <c r="FB137" s="373"/>
      <c r="FC137" s="444"/>
      <c r="FD137" s="377">
        <v>2</v>
      </c>
      <c r="FE137" s="373">
        <v>71</v>
      </c>
      <c r="FF137" s="444">
        <v>2.7</v>
      </c>
      <c r="FG137" s="377"/>
      <c r="FH137" s="373">
        <v>56</v>
      </c>
      <c r="FI137" s="444">
        <v>0</v>
      </c>
      <c r="FJ137" s="377">
        <v>7</v>
      </c>
      <c r="FK137" s="373">
        <v>34</v>
      </c>
      <c r="FL137" s="444">
        <v>17.100000000000001</v>
      </c>
      <c r="FM137" s="377"/>
      <c r="FN137" s="373"/>
      <c r="FO137" s="444"/>
      <c r="FP137" s="377">
        <v>71</v>
      </c>
      <c r="FQ137" s="373">
        <v>249</v>
      </c>
      <c r="FR137" s="444">
        <v>22.2</v>
      </c>
      <c r="FS137" s="377">
        <v>23</v>
      </c>
      <c r="FT137" s="373">
        <v>225</v>
      </c>
      <c r="FU137" s="444">
        <v>9.3000000000000007</v>
      </c>
      <c r="FV137" s="377">
        <v>18</v>
      </c>
      <c r="FW137" s="373">
        <v>171</v>
      </c>
      <c r="FX137" s="444">
        <v>9.5</v>
      </c>
      <c r="FY137" s="377"/>
      <c r="FZ137" s="373"/>
      <c r="GA137" s="444"/>
      <c r="GB137" s="377">
        <v>2</v>
      </c>
      <c r="GC137" s="373">
        <v>5</v>
      </c>
      <c r="GD137" s="444">
        <v>28.6</v>
      </c>
      <c r="GE137" s="377">
        <v>3</v>
      </c>
      <c r="GF137" s="373">
        <v>1</v>
      </c>
      <c r="GG137" s="444">
        <v>75</v>
      </c>
      <c r="GH137" s="377">
        <v>1</v>
      </c>
      <c r="GI137" s="373">
        <v>1</v>
      </c>
      <c r="GJ137" s="444">
        <v>50</v>
      </c>
      <c r="GK137" s="377"/>
      <c r="GL137" s="373"/>
      <c r="GM137" s="444"/>
      <c r="GN137" s="377"/>
      <c r="GO137" s="373"/>
      <c r="GP137" s="444" t="s">
        <v>6</v>
      </c>
      <c r="GQ137" s="377">
        <v>3</v>
      </c>
      <c r="GR137" s="373">
        <v>4</v>
      </c>
      <c r="GS137" s="444">
        <v>42.9</v>
      </c>
      <c r="GT137" s="377"/>
      <c r="GU137" s="373">
        <v>5</v>
      </c>
      <c r="GV137" s="444">
        <v>0</v>
      </c>
      <c r="GW137" s="377"/>
      <c r="GX137" s="373"/>
      <c r="GY137" s="444"/>
      <c r="GZ137" s="377"/>
      <c r="HA137" s="373"/>
      <c r="HB137" s="444" t="s">
        <v>6</v>
      </c>
      <c r="HC137" s="377"/>
      <c r="HD137" s="373"/>
      <c r="HE137" s="444" t="s">
        <v>6</v>
      </c>
      <c r="HF137" s="377"/>
      <c r="HG137" s="373"/>
      <c r="HH137" s="444" t="s">
        <v>6</v>
      </c>
      <c r="HI137" s="377"/>
      <c r="HJ137" s="373"/>
      <c r="HK137" s="444"/>
      <c r="HL137" s="377">
        <v>3</v>
      </c>
      <c r="HM137" s="373">
        <v>89</v>
      </c>
      <c r="HN137" s="444">
        <v>3.3</v>
      </c>
      <c r="HO137" s="377">
        <v>4</v>
      </c>
      <c r="HP137" s="373">
        <v>48</v>
      </c>
      <c r="HQ137" s="444">
        <v>7.7</v>
      </c>
      <c r="HR137" s="377">
        <v>4</v>
      </c>
      <c r="HS137" s="373">
        <v>45</v>
      </c>
      <c r="HT137" s="444">
        <v>8.1999999999999993</v>
      </c>
      <c r="HU137" s="377"/>
      <c r="HV137" s="373"/>
      <c r="HW137" s="444"/>
      <c r="HX137" s="377">
        <v>3</v>
      </c>
      <c r="HY137" s="373">
        <v>1</v>
      </c>
      <c r="HZ137" s="444">
        <v>75</v>
      </c>
      <c r="IA137" s="377">
        <v>2</v>
      </c>
      <c r="IB137" s="373"/>
      <c r="IC137" s="444">
        <v>100</v>
      </c>
      <c r="ID137" s="377">
        <v>2</v>
      </c>
      <c r="IE137" s="373"/>
      <c r="IF137" s="444">
        <v>100</v>
      </c>
      <c r="IG137" s="377"/>
      <c r="IH137" s="373"/>
      <c r="II137" s="444"/>
      <c r="IJ137" s="377"/>
      <c r="IK137" s="373">
        <v>2</v>
      </c>
      <c r="IL137" s="444">
        <v>0</v>
      </c>
      <c r="IM137" s="377">
        <v>1</v>
      </c>
      <c r="IN137" s="373">
        <v>1</v>
      </c>
      <c r="IO137" s="444">
        <v>50</v>
      </c>
      <c r="IP137" s="377">
        <v>3</v>
      </c>
      <c r="IQ137" s="373">
        <v>3</v>
      </c>
      <c r="IR137" s="444">
        <v>50</v>
      </c>
      <c r="IS137" s="377"/>
      <c r="IT137" s="373"/>
      <c r="IU137" s="444"/>
      <c r="IV137" s="377">
        <v>174</v>
      </c>
      <c r="IW137" s="373">
        <v>1038</v>
      </c>
      <c r="IX137" s="444">
        <v>14.4</v>
      </c>
      <c r="IY137" s="377">
        <v>108</v>
      </c>
      <c r="IZ137" s="373">
        <v>807</v>
      </c>
      <c r="JA137" s="444">
        <v>11.8</v>
      </c>
      <c r="JB137" s="377">
        <v>121</v>
      </c>
      <c r="JC137" s="373">
        <v>618</v>
      </c>
      <c r="JD137" s="444">
        <v>16.399999999999999</v>
      </c>
      <c r="JE137" s="377"/>
      <c r="JF137" s="373"/>
      <c r="JG137" s="444"/>
      <c r="JH137" s="377">
        <v>19</v>
      </c>
      <c r="JI137" s="373">
        <v>158</v>
      </c>
      <c r="JJ137" s="444">
        <v>10.7</v>
      </c>
      <c r="JK137" s="377">
        <v>18</v>
      </c>
      <c r="JL137" s="373">
        <v>101</v>
      </c>
      <c r="JM137" s="444">
        <v>15.1</v>
      </c>
      <c r="JN137" s="377">
        <v>27</v>
      </c>
      <c r="JO137" s="373">
        <v>106</v>
      </c>
      <c r="JP137" s="444">
        <v>20.3</v>
      </c>
      <c r="JQ137" s="377"/>
      <c r="JR137" s="373"/>
      <c r="JS137" s="444"/>
      <c r="JT137" s="377">
        <v>2</v>
      </c>
      <c r="JU137" s="373">
        <v>1</v>
      </c>
      <c r="JV137" s="444">
        <v>66.7</v>
      </c>
      <c r="JW137" s="377">
        <v>2</v>
      </c>
      <c r="JX137" s="373">
        <v>3</v>
      </c>
      <c r="JY137" s="444">
        <v>40</v>
      </c>
      <c r="JZ137" s="377">
        <v>10</v>
      </c>
      <c r="KA137" s="373">
        <v>4</v>
      </c>
      <c r="KB137" s="444">
        <v>71.400000000000006</v>
      </c>
      <c r="KC137" s="377"/>
      <c r="KD137" s="373"/>
      <c r="KE137" s="444"/>
      <c r="KF137" s="377"/>
      <c r="KG137" s="373">
        <v>2</v>
      </c>
      <c r="KH137" s="444">
        <v>0</v>
      </c>
      <c r="KI137" s="377">
        <v>1</v>
      </c>
      <c r="KJ137" s="373"/>
      <c r="KK137" s="444">
        <v>100</v>
      </c>
      <c r="KL137" s="377">
        <v>1</v>
      </c>
      <c r="KM137" s="373">
        <v>2</v>
      </c>
      <c r="KN137" s="444">
        <v>33.299999999999997</v>
      </c>
      <c r="KO137" s="377"/>
      <c r="KP137" s="373"/>
      <c r="KQ137" s="444"/>
      <c r="KR137" s="377">
        <v>26</v>
      </c>
      <c r="KS137" s="373">
        <v>175</v>
      </c>
      <c r="KT137" s="444">
        <v>12.9</v>
      </c>
      <c r="KU137" s="377">
        <v>24</v>
      </c>
      <c r="KV137" s="373">
        <v>118</v>
      </c>
      <c r="KW137" s="444">
        <v>16.899999999999999</v>
      </c>
      <c r="KX137" s="377">
        <v>63</v>
      </c>
      <c r="KY137" s="373">
        <v>127</v>
      </c>
      <c r="KZ137" s="444">
        <v>33.200000000000003</v>
      </c>
      <c r="LA137" s="377"/>
      <c r="LB137" s="373"/>
      <c r="LC137" s="444"/>
      <c r="LD137" s="377">
        <v>1221</v>
      </c>
      <c r="LE137" s="373">
        <v>1217</v>
      </c>
      <c r="LF137" s="444">
        <v>50.1</v>
      </c>
      <c r="LG137" s="377">
        <v>295</v>
      </c>
      <c r="LH137" s="373">
        <v>979</v>
      </c>
      <c r="LI137" s="444">
        <v>23.2</v>
      </c>
      <c r="LJ137" s="377">
        <v>388</v>
      </c>
      <c r="LK137" s="373">
        <v>806</v>
      </c>
      <c r="LL137" s="444">
        <v>32.5</v>
      </c>
      <c r="LM137" s="377"/>
      <c r="LN137" s="373"/>
      <c r="LO137" s="444"/>
    </row>
    <row r="138" spans="1:327" s="259" customFormat="1" ht="13.5" thickBot="1" x14ac:dyDescent="0.25">
      <c r="A138" s="1002"/>
      <c r="B138" s="751"/>
      <c r="C138" s="189" t="s">
        <v>788</v>
      </c>
      <c r="D138" s="384">
        <v>10</v>
      </c>
      <c r="E138" s="385">
        <v>1</v>
      </c>
      <c r="F138" s="451">
        <v>90.9</v>
      </c>
      <c r="G138" s="384">
        <v>12</v>
      </c>
      <c r="H138" s="385"/>
      <c r="I138" s="451">
        <v>100</v>
      </c>
      <c r="J138" s="384">
        <v>13</v>
      </c>
      <c r="K138" s="385">
        <v>1</v>
      </c>
      <c r="L138" s="451">
        <v>92.9</v>
      </c>
      <c r="M138" s="384"/>
      <c r="N138" s="385"/>
      <c r="O138" s="451"/>
      <c r="P138" s="384">
        <v>6</v>
      </c>
      <c r="Q138" s="385"/>
      <c r="R138" s="451">
        <v>100</v>
      </c>
      <c r="S138" s="384">
        <v>9</v>
      </c>
      <c r="T138" s="385"/>
      <c r="U138" s="451">
        <v>100</v>
      </c>
      <c r="V138" s="384">
        <v>9</v>
      </c>
      <c r="W138" s="385"/>
      <c r="X138" s="451">
        <v>100</v>
      </c>
      <c r="Y138" s="384"/>
      <c r="Z138" s="385"/>
      <c r="AA138" s="451"/>
      <c r="AB138" s="384">
        <v>4</v>
      </c>
      <c r="AC138" s="385">
        <v>1</v>
      </c>
      <c r="AD138" s="451">
        <v>80</v>
      </c>
      <c r="AE138" s="384">
        <v>3</v>
      </c>
      <c r="AF138" s="385"/>
      <c r="AG138" s="451">
        <v>100</v>
      </c>
      <c r="AH138" s="384">
        <v>4</v>
      </c>
      <c r="AI138" s="385">
        <v>1</v>
      </c>
      <c r="AJ138" s="451">
        <v>80</v>
      </c>
      <c r="AK138" s="384"/>
      <c r="AL138" s="385"/>
      <c r="AM138" s="451"/>
      <c r="AN138" s="384">
        <v>174</v>
      </c>
      <c r="AO138" s="385">
        <v>83</v>
      </c>
      <c r="AP138" s="451">
        <v>67.7</v>
      </c>
      <c r="AQ138" s="384">
        <v>183</v>
      </c>
      <c r="AR138" s="385">
        <v>74</v>
      </c>
      <c r="AS138" s="451">
        <v>71.2</v>
      </c>
      <c r="AT138" s="384">
        <v>212</v>
      </c>
      <c r="AU138" s="385">
        <v>47</v>
      </c>
      <c r="AV138" s="451">
        <v>81.900000000000006</v>
      </c>
      <c r="AW138" s="384"/>
      <c r="AX138" s="385"/>
      <c r="AY138" s="451"/>
      <c r="AZ138" s="384">
        <v>77</v>
      </c>
      <c r="BA138" s="385">
        <v>71</v>
      </c>
      <c r="BB138" s="451">
        <v>52</v>
      </c>
      <c r="BC138" s="384">
        <v>97</v>
      </c>
      <c r="BD138" s="385">
        <v>62</v>
      </c>
      <c r="BE138" s="451">
        <v>61</v>
      </c>
      <c r="BF138" s="384">
        <v>110</v>
      </c>
      <c r="BG138" s="385">
        <v>43</v>
      </c>
      <c r="BH138" s="451">
        <v>71.900000000000006</v>
      </c>
      <c r="BI138" s="384"/>
      <c r="BJ138" s="385"/>
      <c r="BK138" s="451"/>
      <c r="BL138" s="384"/>
      <c r="BM138" s="385"/>
      <c r="BN138" s="451" t="s">
        <v>6</v>
      </c>
      <c r="BO138" s="384"/>
      <c r="BP138" s="385"/>
      <c r="BQ138" s="451" t="s">
        <v>6</v>
      </c>
      <c r="BR138" s="384">
        <v>2</v>
      </c>
      <c r="BS138" s="385"/>
      <c r="BT138" s="451">
        <v>100</v>
      </c>
      <c r="BU138" s="384"/>
      <c r="BV138" s="385"/>
      <c r="BW138" s="451"/>
      <c r="BX138" s="384">
        <v>19</v>
      </c>
      <c r="BY138" s="385">
        <v>1</v>
      </c>
      <c r="BZ138" s="451">
        <v>95</v>
      </c>
      <c r="CA138" s="384">
        <v>1</v>
      </c>
      <c r="CB138" s="385">
        <v>3</v>
      </c>
      <c r="CC138" s="451">
        <v>25</v>
      </c>
      <c r="CD138" s="384">
        <v>1</v>
      </c>
      <c r="CE138" s="385"/>
      <c r="CF138" s="451">
        <v>100</v>
      </c>
      <c r="CG138" s="384"/>
      <c r="CH138" s="385"/>
      <c r="CI138" s="451"/>
      <c r="CJ138" s="384">
        <v>4</v>
      </c>
      <c r="CK138" s="385">
        <v>9</v>
      </c>
      <c r="CL138" s="451">
        <v>30.8</v>
      </c>
      <c r="CM138" s="384">
        <v>5</v>
      </c>
      <c r="CN138" s="385">
        <v>3</v>
      </c>
      <c r="CO138" s="451">
        <v>62.5</v>
      </c>
      <c r="CP138" s="384"/>
      <c r="CQ138" s="385">
        <v>2</v>
      </c>
      <c r="CR138" s="451">
        <v>0</v>
      </c>
      <c r="CS138" s="384"/>
      <c r="CT138" s="385"/>
      <c r="CU138" s="451"/>
      <c r="CV138" s="384">
        <v>164</v>
      </c>
      <c r="CW138" s="385">
        <v>70</v>
      </c>
      <c r="CX138" s="451">
        <v>70.099999999999994</v>
      </c>
      <c r="CY138" s="384">
        <v>193</v>
      </c>
      <c r="CZ138" s="385">
        <v>66</v>
      </c>
      <c r="DA138" s="451">
        <v>74.5</v>
      </c>
      <c r="DB138" s="384">
        <v>198</v>
      </c>
      <c r="DC138" s="385">
        <v>60</v>
      </c>
      <c r="DD138" s="451">
        <v>76.7</v>
      </c>
      <c r="DE138" s="384"/>
      <c r="DF138" s="385"/>
      <c r="DG138" s="451"/>
      <c r="DH138" s="384">
        <v>5</v>
      </c>
      <c r="DI138" s="385">
        <v>4</v>
      </c>
      <c r="DJ138" s="451">
        <v>55.6</v>
      </c>
      <c r="DK138" s="384">
        <v>4</v>
      </c>
      <c r="DL138" s="385">
        <v>1</v>
      </c>
      <c r="DM138" s="451">
        <v>80</v>
      </c>
      <c r="DN138" s="384">
        <v>9</v>
      </c>
      <c r="DO138" s="385">
        <v>5</v>
      </c>
      <c r="DP138" s="451">
        <v>64.3</v>
      </c>
      <c r="DQ138" s="384"/>
      <c r="DR138" s="385"/>
      <c r="DS138" s="451"/>
      <c r="DT138" s="384">
        <v>3</v>
      </c>
      <c r="DU138" s="385">
        <v>5</v>
      </c>
      <c r="DV138" s="451">
        <v>37.5</v>
      </c>
      <c r="DW138" s="384">
        <v>11</v>
      </c>
      <c r="DX138" s="385"/>
      <c r="DY138" s="451">
        <v>100</v>
      </c>
      <c r="DZ138" s="384">
        <v>28</v>
      </c>
      <c r="EA138" s="385">
        <v>2</v>
      </c>
      <c r="EB138" s="451">
        <v>93.3</v>
      </c>
      <c r="EC138" s="384"/>
      <c r="ED138" s="385"/>
      <c r="EE138" s="451"/>
      <c r="EF138" s="384">
        <v>1946</v>
      </c>
      <c r="EG138" s="385">
        <v>8839</v>
      </c>
      <c r="EH138" s="451">
        <v>18</v>
      </c>
      <c r="EI138" s="384">
        <v>1594</v>
      </c>
      <c r="EJ138" s="385">
        <v>6964</v>
      </c>
      <c r="EK138" s="451">
        <v>18.600000000000001</v>
      </c>
      <c r="EL138" s="384">
        <v>1354</v>
      </c>
      <c r="EM138" s="385">
        <v>5351</v>
      </c>
      <c r="EN138" s="451">
        <v>20.2</v>
      </c>
      <c r="EO138" s="384"/>
      <c r="EP138" s="385"/>
      <c r="EQ138" s="451"/>
      <c r="ER138" s="384">
        <v>79</v>
      </c>
      <c r="ES138" s="385">
        <v>141</v>
      </c>
      <c r="ET138" s="451">
        <v>35.9</v>
      </c>
      <c r="EU138" s="384">
        <v>19</v>
      </c>
      <c r="EV138" s="385">
        <v>125</v>
      </c>
      <c r="EW138" s="451">
        <v>13.2</v>
      </c>
      <c r="EX138" s="384">
        <v>38</v>
      </c>
      <c r="EY138" s="385">
        <v>69</v>
      </c>
      <c r="EZ138" s="451">
        <v>35.5</v>
      </c>
      <c r="FA138" s="384"/>
      <c r="FB138" s="385"/>
      <c r="FC138" s="451"/>
      <c r="FD138" s="384">
        <v>40</v>
      </c>
      <c r="FE138" s="385">
        <v>502</v>
      </c>
      <c r="FF138" s="451">
        <v>7.4</v>
      </c>
      <c r="FG138" s="384">
        <v>50</v>
      </c>
      <c r="FH138" s="385">
        <v>477</v>
      </c>
      <c r="FI138" s="451">
        <v>9.5</v>
      </c>
      <c r="FJ138" s="384">
        <v>94</v>
      </c>
      <c r="FK138" s="385">
        <v>320</v>
      </c>
      <c r="FL138" s="451">
        <v>22.7</v>
      </c>
      <c r="FM138" s="384"/>
      <c r="FN138" s="385"/>
      <c r="FO138" s="451"/>
      <c r="FP138" s="384">
        <v>441</v>
      </c>
      <c r="FQ138" s="385">
        <v>2110</v>
      </c>
      <c r="FR138" s="451">
        <v>17.3</v>
      </c>
      <c r="FS138" s="384">
        <v>351</v>
      </c>
      <c r="FT138" s="385">
        <v>1691</v>
      </c>
      <c r="FU138" s="451">
        <v>17.2</v>
      </c>
      <c r="FV138" s="384">
        <v>258</v>
      </c>
      <c r="FW138" s="385">
        <v>1192</v>
      </c>
      <c r="FX138" s="451">
        <v>17.8</v>
      </c>
      <c r="FY138" s="384"/>
      <c r="FZ138" s="385"/>
      <c r="GA138" s="451"/>
      <c r="GB138" s="384">
        <v>44</v>
      </c>
      <c r="GC138" s="385">
        <v>32</v>
      </c>
      <c r="GD138" s="451">
        <v>57.9</v>
      </c>
      <c r="GE138" s="384">
        <v>45</v>
      </c>
      <c r="GF138" s="385">
        <v>22</v>
      </c>
      <c r="GG138" s="451">
        <v>67.2</v>
      </c>
      <c r="GH138" s="384">
        <v>55</v>
      </c>
      <c r="GI138" s="385">
        <v>16</v>
      </c>
      <c r="GJ138" s="451">
        <v>77.5</v>
      </c>
      <c r="GK138" s="384"/>
      <c r="GL138" s="385"/>
      <c r="GM138" s="451"/>
      <c r="GN138" s="384">
        <v>16</v>
      </c>
      <c r="GO138" s="385">
        <v>43</v>
      </c>
      <c r="GP138" s="451">
        <v>27.1</v>
      </c>
      <c r="GQ138" s="384">
        <v>28</v>
      </c>
      <c r="GR138" s="385">
        <v>31</v>
      </c>
      <c r="GS138" s="451">
        <v>47.5</v>
      </c>
      <c r="GT138" s="384">
        <v>23</v>
      </c>
      <c r="GU138" s="385">
        <v>51</v>
      </c>
      <c r="GV138" s="451">
        <v>31.1</v>
      </c>
      <c r="GW138" s="384"/>
      <c r="GX138" s="385"/>
      <c r="GY138" s="451"/>
      <c r="GZ138" s="384">
        <v>17</v>
      </c>
      <c r="HA138" s="385">
        <v>5</v>
      </c>
      <c r="HB138" s="451">
        <v>77.3</v>
      </c>
      <c r="HC138" s="384">
        <v>3</v>
      </c>
      <c r="HD138" s="385">
        <v>2</v>
      </c>
      <c r="HE138" s="451">
        <v>60</v>
      </c>
      <c r="HF138" s="384">
        <v>6</v>
      </c>
      <c r="HG138" s="385">
        <v>2</v>
      </c>
      <c r="HH138" s="451">
        <v>75</v>
      </c>
      <c r="HI138" s="384"/>
      <c r="HJ138" s="385"/>
      <c r="HK138" s="451"/>
      <c r="HL138" s="384">
        <v>76</v>
      </c>
      <c r="HM138" s="385">
        <v>565</v>
      </c>
      <c r="HN138" s="451">
        <v>11.9</v>
      </c>
      <c r="HO138" s="384">
        <v>76</v>
      </c>
      <c r="HP138" s="385">
        <v>504</v>
      </c>
      <c r="HQ138" s="451">
        <v>13.1</v>
      </c>
      <c r="HR138" s="384">
        <v>101</v>
      </c>
      <c r="HS138" s="385">
        <v>444</v>
      </c>
      <c r="HT138" s="451">
        <v>18.5</v>
      </c>
      <c r="HU138" s="384"/>
      <c r="HV138" s="385"/>
      <c r="HW138" s="451"/>
      <c r="HX138" s="384">
        <v>59</v>
      </c>
      <c r="HY138" s="385">
        <v>8</v>
      </c>
      <c r="HZ138" s="451">
        <v>88.1</v>
      </c>
      <c r="IA138" s="384">
        <v>30</v>
      </c>
      <c r="IB138" s="385">
        <v>11</v>
      </c>
      <c r="IC138" s="451">
        <v>73.2</v>
      </c>
      <c r="ID138" s="384">
        <v>23</v>
      </c>
      <c r="IE138" s="385">
        <v>9</v>
      </c>
      <c r="IF138" s="451">
        <v>71.900000000000006</v>
      </c>
      <c r="IG138" s="384"/>
      <c r="IH138" s="385"/>
      <c r="II138" s="451"/>
      <c r="IJ138" s="384">
        <v>20</v>
      </c>
      <c r="IK138" s="385">
        <v>35</v>
      </c>
      <c r="IL138" s="451">
        <v>36.4</v>
      </c>
      <c r="IM138" s="384">
        <v>8</v>
      </c>
      <c r="IN138" s="385">
        <v>23</v>
      </c>
      <c r="IO138" s="451">
        <v>25.8</v>
      </c>
      <c r="IP138" s="384">
        <v>31</v>
      </c>
      <c r="IQ138" s="385">
        <v>21</v>
      </c>
      <c r="IR138" s="451">
        <v>59.6</v>
      </c>
      <c r="IS138" s="384"/>
      <c r="IT138" s="385"/>
      <c r="IU138" s="451"/>
      <c r="IV138" s="384">
        <v>2557</v>
      </c>
      <c r="IW138" s="385">
        <v>9700</v>
      </c>
      <c r="IX138" s="451">
        <v>20.9</v>
      </c>
      <c r="IY138" s="384">
        <v>2193</v>
      </c>
      <c r="IZ138" s="385">
        <v>7704</v>
      </c>
      <c r="JA138" s="451">
        <v>22.2</v>
      </c>
      <c r="JB138" s="384">
        <v>2054</v>
      </c>
      <c r="JC138" s="385">
        <v>6011</v>
      </c>
      <c r="JD138" s="451">
        <v>25.5</v>
      </c>
      <c r="JE138" s="384"/>
      <c r="JF138" s="385"/>
      <c r="JG138" s="451"/>
      <c r="JH138" s="384">
        <v>495</v>
      </c>
      <c r="JI138" s="385">
        <v>1392</v>
      </c>
      <c r="JJ138" s="451">
        <v>26.2</v>
      </c>
      <c r="JK138" s="384">
        <v>473</v>
      </c>
      <c r="JL138" s="385">
        <v>1221</v>
      </c>
      <c r="JM138" s="451">
        <v>27.9</v>
      </c>
      <c r="JN138" s="384">
        <v>506</v>
      </c>
      <c r="JO138" s="385">
        <v>1049</v>
      </c>
      <c r="JP138" s="451">
        <v>32.5</v>
      </c>
      <c r="JQ138" s="384"/>
      <c r="JR138" s="385"/>
      <c r="JS138" s="451"/>
      <c r="JT138" s="384">
        <v>25</v>
      </c>
      <c r="JU138" s="385">
        <v>27</v>
      </c>
      <c r="JV138" s="451">
        <v>48.1</v>
      </c>
      <c r="JW138" s="384">
        <v>20</v>
      </c>
      <c r="JX138" s="385">
        <v>20</v>
      </c>
      <c r="JY138" s="451">
        <v>50</v>
      </c>
      <c r="JZ138" s="384">
        <v>28</v>
      </c>
      <c r="KA138" s="385">
        <v>8</v>
      </c>
      <c r="KB138" s="451">
        <v>77.8</v>
      </c>
      <c r="KC138" s="384"/>
      <c r="KD138" s="385"/>
      <c r="KE138" s="451"/>
      <c r="KF138" s="384">
        <v>6</v>
      </c>
      <c r="KG138" s="385">
        <v>13</v>
      </c>
      <c r="KH138" s="451">
        <v>31.6</v>
      </c>
      <c r="KI138" s="384">
        <v>6</v>
      </c>
      <c r="KJ138" s="385">
        <v>12</v>
      </c>
      <c r="KK138" s="451">
        <v>33.299999999999997</v>
      </c>
      <c r="KL138" s="384">
        <v>7</v>
      </c>
      <c r="KM138" s="385">
        <v>4</v>
      </c>
      <c r="KN138" s="451">
        <v>63.6</v>
      </c>
      <c r="KO138" s="384"/>
      <c r="KP138" s="385"/>
      <c r="KQ138" s="451"/>
      <c r="KR138" s="384">
        <v>616</v>
      </c>
      <c r="KS138" s="385">
        <v>1582</v>
      </c>
      <c r="KT138" s="451">
        <v>28</v>
      </c>
      <c r="KU138" s="384">
        <v>580</v>
      </c>
      <c r="KV138" s="385">
        <v>1374</v>
      </c>
      <c r="KW138" s="451">
        <v>29.7</v>
      </c>
      <c r="KX138" s="384">
        <v>659</v>
      </c>
      <c r="KY138" s="385">
        <v>1196</v>
      </c>
      <c r="KZ138" s="451">
        <v>35.5</v>
      </c>
      <c r="LA138" s="384"/>
      <c r="LB138" s="385"/>
      <c r="LC138" s="451"/>
      <c r="LD138" s="384">
        <v>6735</v>
      </c>
      <c r="LE138" s="385">
        <v>11408</v>
      </c>
      <c r="LF138" s="451">
        <v>37.1</v>
      </c>
      <c r="LG138" s="384">
        <v>5705</v>
      </c>
      <c r="LH138" s="385">
        <v>9323</v>
      </c>
      <c r="LI138" s="451">
        <v>38</v>
      </c>
      <c r="LJ138" s="384">
        <v>5102</v>
      </c>
      <c r="LK138" s="385">
        <v>7938</v>
      </c>
      <c r="LL138" s="451">
        <v>39.1</v>
      </c>
      <c r="LM138" s="384"/>
      <c r="LN138" s="385"/>
      <c r="LO138" s="451"/>
    </row>
    <row r="139" spans="1:327" x14ac:dyDescent="0.2">
      <c r="A139" s="1000" t="s">
        <v>599</v>
      </c>
      <c r="B139" s="749"/>
      <c r="C139" s="146" t="s">
        <v>600</v>
      </c>
      <c r="D139" s="441">
        <v>6</v>
      </c>
      <c r="E139" s="442"/>
      <c r="F139" s="443">
        <v>100</v>
      </c>
      <c r="G139" s="441">
        <v>7</v>
      </c>
      <c r="H139" s="442">
        <v>1</v>
      </c>
      <c r="I139" s="443">
        <v>87.5</v>
      </c>
      <c r="J139" s="441">
        <v>2</v>
      </c>
      <c r="K139" s="442"/>
      <c r="L139" s="443">
        <v>100</v>
      </c>
      <c r="M139" s="441"/>
      <c r="N139" s="442"/>
      <c r="O139" s="443"/>
      <c r="P139" s="441">
        <v>4</v>
      </c>
      <c r="Q139" s="442"/>
      <c r="R139" s="443">
        <v>100</v>
      </c>
      <c r="S139" s="441">
        <v>6</v>
      </c>
      <c r="T139" s="442">
        <v>1</v>
      </c>
      <c r="U139" s="443">
        <v>85.7</v>
      </c>
      <c r="V139" s="441">
        <v>2</v>
      </c>
      <c r="W139" s="442"/>
      <c r="X139" s="443">
        <v>100</v>
      </c>
      <c r="Y139" s="441"/>
      <c r="Z139" s="442"/>
      <c r="AA139" s="443"/>
      <c r="AB139" s="441">
        <v>2</v>
      </c>
      <c r="AC139" s="442"/>
      <c r="AD139" s="443">
        <v>100</v>
      </c>
      <c r="AE139" s="441"/>
      <c r="AF139" s="442"/>
      <c r="AG139" s="443" t="s">
        <v>6</v>
      </c>
      <c r="AH139" s="441"/>
      <c r="AI139" s="442"/>
      <c r="AJ139" s="443" t="s">
        <v>6</v>
      </c>
      <c r="AK139" s="441"/>
      <c r="AL139" s="442"/>
      <c r="AM139" s="443"/>
      <c r="AN139" s="441">
        <v>5</v>
      </c>
      <c r="AO139" s="442">
        <v>1</v>
      </c>
      <c r="AP139" s="443">
        <v>83.3</v>
      </c>
      <c r="AQ139" s="441">
        <v>5</v>
      </c>
      <c r="AR139" s="442"/>
      <c r="AS139" s="443">
        <v>100</v>
      </c>
      <c r="AT139" s="441">
        <v>5</v>
      </c>
      <c r="AU139" s="442">
        <v>1</v>
      </c>
      <c r="AV139" s="443">
        <v>83.3</v>
      </c>
      <c r="AW139" s="441"/>
      <c r="AX139" s="442"/>
      <c r="AY139" s="443"/>
      <c r="AZ139" s="441">
        <v>4</v>
      </c>
      <c r="BA139" s="442"/>
      <c r="BB139" s="443">
        <v>100</v>
      </c>
      <c r="BC139" s="441">
        <v>5</v>
      </c>
      <c r="BD139" s="442"/>
      <c r="BE139" s="443">
        <v>100</v>
      </c>
      <c r="BF139" s="441">
        <v>2</v>
      </c>
      <c r="BG139" s="442">
        <v>1</v>
      </c>
      <c r="BH139" s="443">
        <v>66.7</v>
      </c>
      <c r="BI139" s="441"/>
      <c r="BJ139" s="442"/>
      <c r="BK139" s="443"/>
      <c r="BL139" s="441"/>
      <c r="BM139" s="442"/>
      <c r="BN139" s="443" t="s">
        <v>6</v>
      </c>
      <c r="BO139" s="441">
        <v>1</v>
      </c>
      <c r="BP139" s="442"/>
      <c r="BQ139" s="443">
        <v>100</v>
      </c>
      <c r="BR139" s="441"/>
      <c r="BS139" s="442"/>
      <c r="BT139" s="443" t="s">
        <v>6</v>
      </c>
      <c r="BU139" s="441"/>
      <c r="BV139" s="442"/>
      <c r="BW139" s="443"/>
      <c r="BX139" s="441"/>
      <c r="BY139" s="442"/>
      <c r="BZ139" s="443" t="s">
        <v>6</v>
      </c>
      <c r="CA139" s="441"/>
      <c r="CB139" s="442"/>
      <c r="CC139" s="443" t="s">
        <v>6</v>
      </c>
      <c r="CD139" s="441"/>
      <c r="CE139" s="442"/>
      <c r="CF139" s="443" t="s">
        <v>6</v>
      </c>
      <c r="CG139" s="441"/>
      <c r="CH139" s="442"/>
      <c r="CI139" s="443"/>
      <c r="CJ139" s="441">
        <v>1</v>
      </c>
      <c r="CK139" s="442"/>
      <c r="CL139" s="443">
        <v>100</v>
      </c>
      <c r="CM139" s="441">
        <v>2</v>
      </c>
      <c r="CN139" s="442"/>
      <c r="CO139" s="443">
        <v>100</v>
      </c>
      <c r="CP139" s="441">
        <v>2</v>
      </c>
      <c r="CQ139" s="442"/>
      <c r="CR139" s="443">
        <v>100</v>
      </c>
      <c r="CS139" s="441"/>
      <c r="CT139" s="442"/>
      <c r="CU139" s="443"/>
      <c r="CV139" s="441">
        <v>2</v>
      </c>
      <c r="CW139" s="442"/>
      <c r="CX139" s="443">
        <v>100</v>
      </c>
      <c r="CY139" s="441"/>
      <c r="CZ139" s="442"/>
      <c r="DA139" s="443" t="s">
        <v>6</v>
      </c>
      <c r="DB139" s="441">
        <v>1</v>
      </c>
      <c r="DC139" s="442"/>
      <c r="DD139" s="443">
        <v>100</v>
      </c>
      <c r="DE139" s="441"/>
      <c r="DF139" s="442"/>
      <c r="DG139" s="443"/>
      <c r="DH139" s="441"/>
      <c r="DI139" s="442"/>
      <c r="DJ139" s="443" t="s">
        <v>6</v>
      </c>
      <c r="DK139" s="441"/>
      <c r="DL139" s="442"/>
      <c r="DM139" s="443" t="s">
        <v>6</v>
      </c>
      <c r="DN139" s="441">
        <v>1</v>
      </c>
      <c r="DO139" s="442"/>
      <c r="DP139" s="443">
        <v>100</v>
      </c>
      <c r="DQ139" s="441"/>
      <c r="DR139" s="442"/>
      <c r="DS139" s="443"/>
      <c r="DT139" s="441"/>
      <c r="DU139" s="442"/>
      <c r="DV139" s="443" t="s">
        <v>6</v>
      </c>
      <c r="DW139" s="441"/>
      <c r="DX139" s="442"/>
      <c r="DY139" s="443" t="s">
        <v>6</v>
      </c>
      <c r="DZ139" s="441">
        <v>3</v>
      </c>
      <c r="EA139" s="442">
        <v>1</v>
      </c>
      <c r="EB139" s="443">
        <v>75</v>
      </c>
      <c r="EC139" s="441"/>
      <c r="ED139" s="442"/>
      <c r="EE139" s="443"/>
      <c r="EF139" s="441">
        <v>18</v>
      </c>
      <c r="EG139" s="442">
        <v>8</v>
      </c>
      <c r="EH139" s="443">
        <v>69.2</v>
      </c>
      <c r="EI139" s="441">
        <v>27</v>
      </c>
      <c r="EJ139" s="442">
        <v>4</v>
      </c>
      <c r="EK139" s="443">
        <v>87.1</v>
      </c>
      <c r="EL139" s="441">
        <v>9</v>
      </c>
      <c r="EM139" s="442">
        <v>11</v>
      </c>
      <c r="EN139" s="443">
        <v>45</v>
      </c>
      <c r="EO139" s="441"/>
      <c r="EP139" s="442"/>
      <c r="EQ139" s="443"/>
      <c r="ER139" s="441"/>
      <c r="ES139" s="442"/>
      <c r="ET139" s="443" t="s">
        <v>6</v>
      </c>
      <c r="EU139" s="441">
        <v>7</v>
      </c>
      <c r="EV139" s="442">
        <v>3</v>
      </c>
      <c r="EW139" s="443">
        <v>70</v>
      </c>
      <c r="EX139" s="441">
        <v>1</v>
      </c>
      <c r="EY139" s="442">
        <v>7</v>
      </c>
      <c r="EZ139" s="443">
        <v>12.5</v>
      </c>
      <c r="FA139" s="441"/>
      <c r="FB139" s="442"/>
      <c r="FC139" s="443"/>
      <c r="FD139" s="441"/>
      <c r="FE139" s="442"/>
      <c r="FF139" s="443" t="s">
        <v>6</v>
      </c>
      <c r="FG139" s="441">
        <v>11</v>
      </c>
      <c r="FH139" s="442"/>
      <c r="FI139" s="443">
        <v>100</v>
      </c>
      <c r="FJ139" s="441"/>
      <c r="FK139" s="442"/>
      <c r="FL139" s="443" t="s">
        <v>6</v>
      </c>
      <c r="FM139" s="441"/>
      <c r="FN139" s="442"/>
      <c r="FO139" s="443"/>
      <c r="FP139" s="441">
        <v>18</v>
      </c>
      <c r="FQ139" s="442">
        <v>8</v>
      </c>
      <c r="FR139" s="443">
        <v>69.2</v>
      </c>
      <c r="FS139" s="441"/>
      <c r="FT139" s="442"/>
      <c r="FU139" s="443" t="s">
        <v>6</v>
      </c>
      <c r="FV139" s="441">
        <v>3</v>
      </c>
      <c r="FW139" s="442"/>
      <c r="FX139" s="443">
        <v>100</v>
      </c>
      <c r="FY139" s="441"/>
      <c r="FZ139" s="442"/>
      <c r="GA139" s="443"/>
      <c r="GB139" s="441">
        <v>2</v>
      </c>
      <c r="GC139" s="442"/>
      <c r="GD139" s="443">
        <v>100</v>
      </c>
      <c r="GE139" s="441">
        <v>2</v>
      </c>
      <c r="GF139" s="442">
        <v>1</v>
      </c>
      <c r="GG139" s="443">
        <v>66.7</v>
      </c>
      <c r="GH139" s="441">
        <v>1</v>
      </c>
      <c r="GI139" s="442"/>
      <c r="GJ139" s="443">
        <v>100</v>
      </c>
      <c r="GK139" s="441"/>
      <c r="GL139" s="442"/>
      <c r="GM139" s="443"/>
      <c r="GN139" s="441"/>
      <c r="GO139" s="442"/>
      <c r="GP139" s="443" t="s">
        <v>6</v>
      </c>
      <c r="GQ139" s="441"/>
      <c r="GR139" s="442"/>
      <c r="GS139" s="443" t="s">
        <v>6</v>
      </c>
      <c r="GT139" s="441">
        <v>1</v>
      </c>
      <c r="GU139" s="442"/>
      <c r="GV139" s="443">
        <v>100</v>
      </c>
      <c r="GW139" s="441"/>
      <c r="GX139" s="442"/>
      <c r="GY139" s="443"/>
      <c r="GZ139" s="441"/>
      <c r="HA139" s="442"/>
      <c r="HB139" s="443" t="s">
        <v>6</v>
      </c>
      <c r="HC139" s="441"/>
      <c r="HD139" s="442"/>
      <c r="HE139" s="443" t="s">
        <v>6</v>
      </c>
      <c r="HF139" s="441"/>
      <c r="HG139" s="442"/>
      <c r="HH139" s="443" t="s">
        <v>6</v>
      </c>
      <c r="HI139" s="441"/>
      <c r="HJ139" s="442"/>
      <c r="HK139" s="443"/>
      <c r="HL139" s="441"/>
      <c r="HM139" s="442"/>
      <c r="HN139" s="443" t="s">
        <v>6</v>
      </c>
      <c r="HO139" s="441"/>
      <c r="HP139" s="442"/>
      <c r="HQ139" s="443" t="s">
        <v>6</v>
      </c>
      <c r="HR139" s="441"/>
      <c r="HS139" s="442">
        <v>3</v>
      </c>
      <c r="HT139" s="443">
        <v>0</v>
      </c>
      <c r="HU139" s="441"/>
      <c r="HV139" s="442"/>
      <c r="HW139" s="443"/>
      <c r="HX139" s="441"/>
      <c r="HY139" s="442"/>
      <c r="HZ139" s="443" t="s">
        <v>6</v>
      </c>
      <c r="IA139" s="441"/>
      <c r="IB139" s="442"/>
      <c r="IC139" s="443" t="s">
        <v>6</v>
      </c>
      <c r="ID139" s="441">
        <v>3</v>
      </c>
      <c r="IE139" s="442"/>
      <c r="IF139" s="443">
        <v>100</v>
      </c>
      <c r="IG139" s="441"/>
      <c r="IH139" s="442"/>
      <c r="II139" s="443"/>
      <c r="IJ139" s="441"/>
      <c r="IK139" s="442"/>
      <c r="IL139" s="443" t="s">
        <v>6</v>
      </c>
      <c r="IM139" s="441"/>
      <c r="IN139" s="442"/>
      <c r="IO139" s="443" t="s">
        <v>6</v>
      </c>
      <c r="IP139" s="441"/>
      <c r="IQ139" s="442"/>
      <c r="IR139" s="443" t="s">
        <v>6</v>
      </c>
      <c r="IS139" s="441"/>
      <c r="IT139" s="442"/>
      <c r="IU139" s="443"/>
      <c r="IV139" s="441">
        <v>34</v>
      </c>
      <c r="IW139" s="442">
        <v>9</v>
      </c>
      <c r="IX139" s="443">
        <v>79.099999999999994</v>
      </c>
      <c r="IY139" s="441">
        <v>43</v>
      </c>
      <c r="IZ139" s="442">
        <v>6</v>
      </c>
      <c r="JA139" s="443">
        <v>87.8</v>
      </c>
      <c r="JB139" s="441">
        <v>28</v>
      </c>
      <c r="JC139" s="442">
        <v>16</v>
      </c>
      <c r="JD139" s="443">
        <v>63.6</v>
      </c>
      <c r="JE139" s="441"/>
      <c r="JF139" s="442"/>
      <c r="JG139" s="443"/>
      <c r="JH139" s="441">
        <v>2</v>
      </c>
      <c r="JI139" s="442"/>
      <c r="JJ139" s="443">
        <v>100</v>
      </c>
      <c r="JK139" s="441">
        <v>29</v>
      </c>
      <c r="JL139" s="442">
        <v>3</v>
      </c>
      <c r="JM139" s="443">
        <v>90.6</v>
      </c>
      <c r="JN139" s="441">
        <v>4</v>
      </c>
      <c r="JO139" s="442">
        <v>10</v>
      </c>
      <c r="JP139" s="443">
        <v>28.6</v>
      </c>
      <c r="JQ139" s="441"/>
      <c r="JR139" s="442"/>
      <c r="JS139" s="443"/>
      <c r="JT139" s="441"/>
      <c r="JU139" s="442"/>
      <c r="JV139" s="443" t="s">
        <v>6</v>
      </c>
      <c r="JW139" s="441"/>
      <c r="JX139" s="442"/>
      <c r="JY139" s="443" t="s">
        <v>6</v>
      </c>
      <c r="JZ139" s="441">
        <v>2</v>
      </c>
      <c r="KA139" s="442"/>
      <c r="KB139" s="443">
        <v>100</v>
      </c>
      <c r="KC139" s="441"/>
      <c r="KD139" s="442"/>
      <c r="KE139" s="443"/>
      <c r="KF139" s="441"/>
      <c r="KG139" s="442"/>
      <c r="KH139" s="443" t="s">
        <v>6</v>
      </c>
      <c r="KI139" s="441"/>
      <c r="KJ139" s="442"/>
      <c r="KK139" s="443" t="s">
        <v>6</v>
      </c>
      <c r="KL139" s="441"/>
      <c r="KM139" s="442"/>
      <c r="KN139" s="443" t="s">
        <v>6</v>
      </c>
      <c r="KO139" s="441"/>
      <c r="KP139" s="442"/>
      <c r="KQ139" s="443"/>
      <c r="KR139" s="441">
        <v>5</v>
      </c>
      <c r="KS139" s="442"/>
      <c r="KT139" s="443">
        <v>100</v>
      </c>
      <c r="KU139" s="441">
        <v>30</v>
      </c>
      <c r="KV139" s="442">
        <v>3</v>
      </c>
      <c r="KW139" s="443">
        <v>90.9</v>
      </c>
      <c r="KX139" s="441">
        <v>10</v>
      </c>
      <c r="KY139" s="442">
        <v>10</v>
      </c>
      <c r="KZ139" s="443">
        <v>50</v>
      </c>
      <c r="LA139" s="441"/>
      <c r="LB139" s="442"/>
      <c r="LC139" s="443"/>
      <c r="LD139" s="441">
        <v>106</v>
      </c>
      <c r="LE139" s="442">
        <v>12</v>
      </c>
      <c r="LF139" s="443">
        <v>89.8</v>
      </c>
      <c r="LG139" s="441">
        <v>63</v>
      </c>
      <c r="LH139" s="442">
        <v>9</v>
      </c>
      <c r="LI139" s="443">
        <v>87.5</v>
      </c>
      <c r="LJ139" s="441">
        <v>71</v>
      </c>
      <c r="LK139" s="442">
        <v>19</v>
      </c>
      <c r="LL139" s="443">
        <v>78.900000000000006</v>
      </c>
      <c r="LM139" s="441"/>
      <c r="LN139" s="442"/>
      <c r="LO139" s="443"/>
    </row>
    <row r="140" spans="1:327" x14ac:dyDescent="0.2">
      <c r="A140" s="1001"/>
      <c r="B140" s="747"/>
      <c r="C140" s="151" t="s">
        <v>730</v>
      </c>
      <c r="D140" s="377"/>
      <c r="E140" s="373"/>
      <c r="F140" s="444" t="s">
        <v>6</v>
      </c>
      <c r="G140" s="377"/>
      <c r="H140" s="373"/>
      <c r="I140" s="444" t="s">
        <v>6</v>
      </c>
      <c r="J140" s="377"/>
      <c r="K140" s="373"/>
      <c r="L140" s="444" t="s">
        <v>6</v>
      </c>
      <c r="M140" s="377"/>
      <c r="N140" s="373"/>
      <c r="O140" s="444"/>
      <c r="P140" s="377"/>
      <c r="Q140" s="373"/>
      <c r="R140" s="444" t="s">
        <v>6</v>
      </c>
      <c r="S140" s="377"/>
      <c r="T140" s="373"/>
      <c r="U140" s="444" t="s">
        <v>6</v>
      </c>
      <c r="V140" s="377"/>
      <c r="W140" s="373"/>
      <c r="X140" s="444" t="s">
        <v>6</v>
      </c>
      <c r="Y140" s="377"/>
      <c r="Z140" s="373"/>
      <c r="AA140" s="444"/>
      <c r="AB140" s="377"/>
      <c r="AC140" s="373"/>
      <c r="AD140" s="444" t="s">
        <v>6</v>
      </c>
      <c r="AE140" s="377"/>
      <c r="AF140" s="373"/>
      <c r="AG140" s="444" t="s">
        <v>6</v>
      </c>
      <c r="AH140" s="377"/>
      <c r="AI140" s="373"/>
      <c r="AJ140" s="444" t="s">
        <v>6</v>
      </c>
      <c r="AK140" s="377"/>
      <c r="AL140" s="373"/>
      <c r="AM140" s="444"/>
      <c r="AN140" s="377">
        <v>63</v>
      </c>
      <c r="AO140" s="373">
        <v>9</v>
      </c>
      <c r="AP140" s="444">
        <v>87.5</v>
      </c>
      <c r="AQ140" s="377">
        <v>55</v>
      </c>
      <c r="AR140" s="373">
        <v>12</v>
      </c>
      <c r="AS140" s="444">
        <v>82.1</v>
      </c>
      <c r="AT140" s="377">
        <v>42</v>
      </c>
      <c r="AU140" s="373">
        <v>4</v>
      </c>
      <c r="AV140" s="444">
        <v>91.3</v>
      </c>
      <c r="AW140" s="377"/>
      <c r="AX140" s="373"/>
      <c r="AY140" s="444"/>
      <c r="AZ140" s="377">
        <v>33</v>
      </c>
      <c r="BA140" s="373">
        <v>8</v>
      </c>
      <c r="BB140" s="444">
        <v>80.5</v>
      </c>
      <c r="BC140" s="377">
        <v>31</v>
      </c>
      <c r="BD140" s="373">
        <v>11</v>
      </c>
      <c r="BE140" s="444">
        <v>73.8</v>
      </c>
      <c r="BF140" s="377">
        <v>23</v>
      </c>
      <c r="BG140" s="373">
        <v>2</v>
      </c>
      <c r="BH140" s="444">
        <v>92</v>
      </c>
      <c r="BI140" s="377"/>
      <c r="BJ140" s="373"/>
      <c r="BK140" s="444"/>
      <c r="BL140" s="377"/>
      <c r="BM140" s="373"/>
      <c r="BN140" s="444" t="s">
        <v>6</v>
      </c>
      <c r="BO140" s="377"/>
      <c r="BP140" s="373"/>
      <c r="BQ140" s="444" t="s">
        <v>6</v>
      </c>
      <c r="BR140" s="377"/>
      <c r="BS140" s="373"/>
      <c r="BT140" s="444" t="s">
        <v>6</v>
      </c>
      <c r="BU140" s="377"/>
      <c r="BV140" s="373"/>
      <c r="BW140" s="444"/>
      <c r="BX140" s="377"/>
      <c r="BY140" s="373"/>
      <c r="BZ140" s="444" t="s">
        <v>6</v>
      </c>
      <c r="CA140" s="377"/>
      <c r="CB140" s="373"/>
      <c r="CC140" s="444" t="s">
        <v>6</v>
      </c>
      <c r="CD140" s="377"/>
      <c r="CE140" s="373"/>
      <c r="CF140" s="444" t="s">
        <v>6</v>
      </c>
      <c r="CG140" s="377"/>
      <c r="CH140" s="373"/>
      <c r="CI140" s="444"/>
      <c r="CJ140" s="377"/>
      <c r="CK140" s="373"/>
      <c r="CL140" s="444" t="s">
        <v>6</v>
      </c>
      <c r="CM140" s="377"/>
      <c r="CN140" s="373"/>
      <c r="CO140" s="444" t="s">
        <v>6</v>
      </c>
      <c r="CP140" s="377"/>
      <c r="CQ140" s="373"/>
      <c r="CR140" s="444" t="s">
        <v>6</v>
      </c>
      <c r="CS140" s="377"/>
      <c r="CT140" s="373"/>
      <c r="CU140" s="444"/>
      <c r="CV140" s="377">
        <v>45</v>
      </c>
      <c r="CW140" s="373">
        <v>2</v>
      </c>
      <c r="CX140" s="444">
        <v>95.7</v>
      </c>
      <c r="CY140" s="377">
        <v>48</v>
      </c>
      <c r="CZ140" s="373">
        <v>5</v>
      </c>
      <c r="DA140" s="444">
        <v>90.6</v>
      </c>
      <c r="DB140" s="377">
        <v>30</v>
      </c>
      <c r="DC140" s="373">
        <v>3</v>
      </c>
      <c r="DD140" s="444">
        <v>90.9</v>
      </c>
      <c r="DE140" s="377"/>
      <c r="DF140" s="373"/>
      <c r="DG140" s="444"/>
      <c r="DH140" s="377">
        <v>8</v>
      </c>
      <c r="DI140" s="373">
        <v>1</v>
      </c>
      <c r="DJ140" s="444">
        <v>88.9</v>
      </c>
      <c r="DK140" s="377">
        <v>1</v>
      </c>
      <c r="DL140" s="373"/>
      <c r="DM140" s="444">
        <v>100</v>
      </c>
      <c r="DN140" s="377">
        <v>3</v>
      </c>
      <c r="DO140" s="373"/>
      <c r="DP140" s="444">
        <v>100</v>
      </c>
      <c r="DQ140" s="377"/>
      <c r="DR140" s="373"/>
      <c r="DS140" s="444"/>
      <c r="DT140" s="377">
        <v>2</v>
      </c>
      <c r="DU140" s="373"/>
      <c r="DV140" s="444">
        <v>100</v>
      </c>
      <c r="DW140" s="377">
        <v>7</v>
      </c>
      <c r="DX140" s="373"/>
      <c r="DY140" s="444">
        <v>100</v>
      </c>
      <c r="DZ140" s="377">
        <v>4</v>
      </c>
      <c r="EA140" s="373"/>
      <c r="EB140" s="444">
        <v>100</v>
      </c>
      <c r="EC140" s="377"/>
      <c r="ED140" s="373"/>
      <c r="EE140" s="444"/>
      <c r="EF140" s="377">
        <v>247</v>
      </c>
      <c r="EG140" s="373">
        <v>1006</v>
      </c>
      <c r="EH140" s="444">
        <v>19.7</v>
      </c>
      <c r="EI140" s="377">
        <v>223</v>
      </c>
      <c r="EJ140" s="373">
        <v>527</v>
      </c>
      <c r="EK140" s="444">
        <v>29.7</v>
      </c>
      <c r="EL140" s="377">
        <v>188</v>
      </c>
      <c r="EM140" s="373">
        <v>403</v>
      </c>
      <c r="EN140" s="444">
        <v>31.8</v>
      </c>
      <c r="EO140" s="377"/>
      <c r="EP140" s="373"/>
      <c r="EQ140" s="444"/>
      <c r="ER140" s="377">
        <v>1</v>
      </c>
      <c r="ES140" s="373">
        <v>1</v>
      </c>
      <c r="ET140" s="444">
        <v>50</v>
      </c>
      <c r="EU140" s="377"/>
      <c r="EV140" s="373">
        <v>2</v>
      </c>
      <c r="EW140" s="444">
        <v>0</v>
      </c>
      <c r="EX140" s="377"/>
      <c r="EY140" s="373">
        <v>1</v>
      </c>
      <c r="EZ140" s="444">
        <v>0</v>
      </c>
      <c r="FA140" s="377"/>
      <c r="FB140" s="373"/>
      <c r="FC140" s="444"/>
      <c r="FD140" s="377">
        <v>5</v>
      </c>
      <c r="FE140" s="373">
        <v>32</v>
      </c>
      <c r="FF140" s="444">
        <v>13.5</v>
      </c>
      <c r="FG140" s="377">
        <v>3</v>
      </c>
      <c r="FH140" s="373">
        <v>15</v>
      </c>
      <c r="FI140" s="444">
        <v>16.7</v>
      </c>
      <c r="FJ140" s="377">
        <v>22</v>
      </c>
      <c r="FK140" s="373">
        <v>16</v>
      </c>
      <c r="FL140" s="444">
        <v>57.9</v>
      </c>
      <c r="FM140" s="377"/>
      <c r="FN140" s="373"/>
      <c r="FO140" s="444"/>
      <c r="FP140" s="377">
        <v>59</v>
      </c>
      <c r="FQ140" s="373">
        <v>319</v>
      </c>
      <c r="FR140" s="444">
        <v>15.6</v>
      </c>
      <c r="FS140" s="377">
        <v>50</v>
      </c>
      <c r="FT140" s="373">
        <v>158</v>
      </c>
      <c r="FU140" s="444">
        <v>24</v>
      </c>
      <c r="FV140" s="377">
        <v>29</v>
      </c>
      <c r="FW140" s="373">
        <v>114</v>
      </c>
      <c r="FX140" s="444">
        <v>20.3</v>
      </c>
      <c r="FY140" s="377"/>
      <c r="FZ140" s="373"/>
      <c r="GA140" s="444"/>
      <c r="GB140" s="377">
        <v>12</v>
      </c>
      <c r="GC140" s="373">
        <v>3</v>
      </c>
      <c r="GD140" s="444">
        <v>80</v>
      </c>
      <c r="GE140" s="377">
        <v>5</v>
      </c>
      <c r="GF140" s="373"/>
      <c r="GG140" s="444">
        <v>100</v>
      </c>
      <c r="GH140" s="377">
        <v>2</v>
      </c>
      <c r="GI140" s="373"/>
      <c r="GJ140" s="444">
        <v>100</v>
      </c>
      <c r="GK140" s="377"/>
      <c r="GL140" s="373"/>
      <c r="GM140" s="444"/>
      <c r="GN140" s="377">
        <v>5</v>
      </c>
      <c r="GO140" s="373">
        <v>3</v>
      </c>
      <c r="GP140" s="444">
        <v>62.5</v>
      </c>
      <c r="GQ140" s="377">
        <v>9</v>
      </c>
      <c r="GR140" s="373"/>
      <c r="GS140" s="444">
        <v>100</v>
      </c>
      <c r="GT140" s="377">
        <v>7</v>
      </c>
      <c r="GU140" s="373">
        <v>1</v>
      </c>
      <c r="GV140" s="444">
        <v>87.5</v>
      </c>
      <c r="GW140" s="377"/>
      <c r="GX140" s="373"/>
      <c r="GY140" s="444"/>
      <c r="GZ140" s="377">
        <v>5</v>
      </c>
      <c r="HA140" s="373"/>
      <c r="HB140" s="444">
        <v>100</v>
      </c>
      <c r="HC140" s="377">
        <v>8</v>
      </c>
      <c r="HD140" s="373"/>
      <c r="HE140" s="444">
        <v>100</v>
      </c>
      <c r="HF140" s="377"/>
      <c r="HG140" s="373"/>
      <c r="HH140" s="444" t="s">
        <v>6</v>
      </c>
      <c r="HI140" s="377"/>
      <c r="HJ140" s="373"/>
      <c r="HK140" s="444"/>
      <c r="HL140" s="377">
        <v>5</v>
      </c>
      <c r="HM140" s="373">
        <v>54</v>
      </c>
      <c r="HN140" s="444">
        <v>8.5</v>
      </c>
      <c r="HO140" s="377">
        <v>4</v>
      </c>
      <c r="HP140" s="373">
        <v>32</v>
      </c>
      <c r="HQ140" s="444">
        <v>11.1</v>
      </c>
      <c r="HR140" s="377">
        <v>14</v>
      </c>
      <c r="HS140" s="373">
        <v>23</v>
      </c>
      <c r="HT140" s="444">
        <v>37.799999999999997</v>
      </c>
      <c r="HU140" s="377"/>
      <c r="HV140" s="373"/>
      <c r="HW140" s="444"/>
      <c r="HX140" s="377">
        <v>1</v>
      </c>
      <c r="HY140" s="373"/>
      <c r="HZ140" s="444">
        <v>100</v>
      </c>
      <c r="IA140" s="377">
        <v>2</v>
      </c>
      <c r="IB140" s="373"/>
      <c r="IC140" s="444">
        <v>100</v>
      </c>
      <c r="ID140" s="377">
        <v>1</v>
      </c>
      <c r="IE140" s="373"/>
      <c r="IF140" s="444">
        <v>100</v>
      </c>
      <c r="IG140" s="377"/>
      <c r="IH140" s="373"/>
      <c r="II140" s="444"/>
      <c r="IJ140" s="377">
        <v>7</v>
      </c>
      <c r="IK140" s="373">
        <v>2</v>
      </c>
      <c r="IL140" s="444">
        <v>77.8</v>
      </c>
      <c r="IM140" s="377">
        <v>3</v>
      </c>
      <c r="IN140" s="373">
        <v>1</v>
      </c>
      <c r="IO140" s="444">
        <v>75</v>
      </c>
      <c r="IP140" s="377">
        <v>2</v>
      </c>
      <c r="IQ140" s="373"/>
      <c r="IR140" s="444">
        <v>100</v>
      </c>
      <c r="IS140" s="377"/>
      <c r="IT140" s="373"/>
      <c r="IU140" s="444"/>
      <c r="IV140" s="377">
        <v>400</v>
      </c>
      <c r="IW140" s="373">
        <v>1080</v>
      </c>
      <c r="IX140" s="444">
        <v>27</v>
      </c>
      <c r="IY140" s="377">
        <v>365</v>
      </c>
      <c r="IZ140" s="373">
        <v>577</v>
      </c>
      <c r="JA140" s="444">
        <v>38.700000000000003</v>
      </c>
      <c r="JB140" s="377">
        <v>293</v>
      </c>
      <c r="JC140" s="373">
        <v>434</v>
      </c>
      <c r="JD140" s="444">
        <v>40.299999999999997</v>
      </c>
      <c r="JE140" s="377"/>
      <c r="JF140" s="373"/>
      <c r="JG140" s="444"/>
      <c r="JH140" s="377">
        <v>68</v>
      </c>
      <c r="JI140" s="373">
        <v>129</v>
      </c>
      <c r="JJ140" s="444">
        <v>34.5</v>
      </c>
      <c r="JK140" s="377">
        <v>53</v>
      </c>
      <c r="JL140" s="373">
        <v>76</v>
      </c>
      <c r="JM140" s="444">
        <v>41.1</v>
      </c>
      <c r="JN140" s="377">
        <v>93</v>
      </c>
      <c r="JO140" s="373">
        <v>69</v>
      </c>
      <c r="JP140" s="444">
        <v>57.4</v>
      </c>
      <c r="JQ140" s="377"/>
      <c r="JR140" s="373"/>
      <c r="JS140" s="444"/>
      <c r="JT140" s="377">
        <v>5</v>
      </c>
      <c r="JU140" s="373">
        <v>3</v>
      </c>
      <c r="JV140" s="444">
        <v>62.5</v>
      </c>
      <c r="JW140" s="377">
        <v>3</v>
      </c>
      <c r="JX140" s="373">
        <v>5</v>
      </c>
      <c r="JY140" s="444">
        <v>37.5</v>
      </c>
      <c r="JZ140" s="377">
        <v>4</v>
      </c>
      <c r="KA140" s="373"/>
      <c r="KB140" s="444">
        <v>100</v>
      </c>
      <c r="KC140" s="377"/>
      <c r="KD140" s="373"/>
      <c r="KE140" s="444"/>
      <c r="KF140" s="377"/>
      <c r="KG140" s="373"/>
      <c r="KH140" s="444" t="s">
        <v>6</v>
      </c>
      <c r="KI140" s="377"/>
      <c r="KJ140" s="373"/>
      <c r="KK140" s="444" t="s">
        <v>6</v>
      </c>
      <c r="KL140" s="377">
        <v>1</v>
      </c>
      <c r="KM140" s="373"/>
      <c r="KN140" s="444">
        <v>100</v>
      </c>
      <c r="KO140" s="377"/>
      <c r="KP140" s="373"/>
      <c r="KQ140" s="444"/>
      <c r="KR140" s="377">
        <v>85</v>
      </c>
      <c r="KS140" s="373">
        <v>138</v>
      </c>
      <c r="KT140" s="444">
        <v>38.1</v>
      </c>
      <c r="KU140" s="377">
        <v>72</v>
      </c>
      <c r="KV140" s="373">
        <v>88</v>
      </c>
      <c r="KW140" s="444">
        <v>45</v>
      </c>
      <c r="KX140" s="377">
        <v>104</v>
      </c>
      <c r="KY140" s="373">
        <v>74</v>
      </c>
      <c r="KZ140" s="444">
        <v>58.4</v>
      </c>
      <c r="LA140" s="377"/>
      <c r="LB140" s="373"/>
      <c r="LC140" s="444"/>
      <c r="LD140" s="377">
        <v>614</v>
      </c>
      <c r="LE140" s="373">
        <v>1287</v>
      </c>
      <c r="LF140" s="444">
        <v>32.299999999999997</v>
      </c>
      <c r="LG140" s="377">
        <v>749</v>
      </c>
      <c r="LH140" s="373">
        <v>706</v>
      </c>
      <c r="LI140" s="444">
        <v>51.5</v>
      </c>
      <c r="LJ140" s="377">
        <v>1365</v>
      </c>
      <c r="LK140" s="373">
        <v>562</v>
      </c>
      <c r="LL140" s="444">
        <v>70.8</v>
      </c>
      <c r="LM140" s="377"/>
      <c r="LN140" s="373"/>
      <c r="LO140" s="444"/>
    </row>
    <row r="141" spans="1:327" x14ac:dyDescent="0.2">
      <c r="A141" s="1001"/>
      <c r="B141" s="747" t="s">
        <v>621</v>
      </c>
      <c r="C141" s="151" t="s">
        <v>731</v>
      </c>
      <c r="D141" s="377"/>
      <c r="E141" s="373"/>
      <c r="F141" s="444" t="s">
        <v>6</v>
      </c>
      <c r="G141" s="377"/>
      <c r="H141" s="373"/>
      <c r="I141" s="444" t="s">
        <v>6</v>
      </c>
      <c r="J141" s="377"/>
      <c r="K141" s="373"/>
      <c r="L141" s="444" t="s">
        <v>6</v>
      </c>
      <c r="M141" s="377"/>
      <c r="N141" s="373"/>
      <c r="O141" s="444"/>
      <c r="P141" s="377"/>
      <c r="Q141" s="373"/>
      <c r="R141" s="444" t="s">
        <v>6</v>
      </c>
      <c r="S141" s="377"/>
      <c r="T141" s="373"/>
      <c r="U141" s="444" t="s">
        <v>6</v>
      </c>
      <c r="V141" s="377"/>
      <c r="W141" s="373"/>
      <c r="X141" s="444" t="s">
        <v>6</v>
      </c>
      <c r="Y141" s="377"/>
      <c r="Z141" s="373"/>
      <c r="AA141" s="444"/>
      <c r="AB141" s="377"/>
      <c r="AC141" s="373"/>
      <c r="AD141" s="444" t="s">
        <v>6</v>
      </c>
      <c r="AE141" s="377"/>
      <c r="AF141" s="373"/>
      <c r="AG141" s="444" t="s">
        <v>6</v>
      </c>
      <c r="AH141" s="377"/>
      <c r="AI141" s="373"/>
      <c r="AJ141" s="444" t="s">
        <v>6</v>
      </c>
      <c r="AK141" s="377"/>
      <c r="AL141" s="373"/>
      <c r="AM141" s="444"/>
      <c r="AN141" s="377">
        <v>15</v>
      </c>
      <c r="AO141" s="373">
        <v>3</v>
      </c>
      <c r="AP141" s="444">
        <v>83.3</v>
      </c>
      <c r="AQ141" s="377">
        <v>3</v>
      </c>
      <c r="AR141" s="373"/>
      <c r="AS141" s="444">
        <v>100</v>
      </c>
      <c r="AT141" s="377">
        <v>9</v>
      </c>
      <c r="AU141" s="373">
        <v>3</v>
      </c>
      <c r="AV141" s="444">
        <v>75</v>
      </c>
      <c r="AW141" s="377"/>
      <c r="AX141" s="373"/>
      <c r="AY141" s="444"/>
      <c r="AZ141" s="377">
        <v>3</v>
      </c>
      <c r="BA141" s="373">
        <v>1</v>
      </c>
      <c r="BB141" s="444">
        <v>75</v>
      </c>
      <c r="BC141" s="377"/>
      <c r="BD141" s="373"/>
      <c r="BE141" s="444" t="s">
        <v>6</v>
      </c>
      <c r="BF141" s="377">
        <v>1</v>
      </c>
      <c r="BG141" s="373">
        <v>3</v>
      </c>
      <c r="BH141" s="444">
        <v>25</v>
      </c>
      <c r="BI141" s="377"/>
      <c r="BJ141" s="373"/>
      <c r="BK141" s="444"/>
      <c r="BL141" s="377"/>
      <c r="BM141" s="373"/>
      <c r="BN141" s="444" t="s">
        <v>6</v>
      </c>
      <c r="BO141" s="377"/>
      <c r="BP141" s="373"/>
      <c r="BQ141" s="444" t="s">
        <v>6</v>
      </c>
      <c r="BR141" s="377"/>
      <c r="BS141" s="373"/>
      <c r="BT141" s="444" t="s">
        <v>6</v>
      </c>
      <c r="BU141" s="377"/>
      <c r="BV141" s="373"/>
      <c r="BW141" s="444"/>
      <c r="BX141" s="377"/>
      <c r="BY141" s="373"/>
      <c r="BZ141" s="444" t="s">
        <v>6</v>
      </c>
      <c r="CA141" s="377"/>
      <c r="CB141" s="373"/>
      <c r="CC141" s="444" t="s">
        <v>6</v>
      </c>
      <c r="CD141" s="377"/>
      <c r="CE141" s="373"/>
      <c r="CF141" s="444" t="s">
        <v>6</v>
      </c>
      <c r="CG141" s="377"/>
      <c r="CH141" s="373"/>
      <c r="CI141" s="444"/>
      <c r="CJ141" s="377"/>
      <c r="CK141" s="373"/>
      <c r="CL141" s="444" t="s">
        <v>6</v>
      </c>
      <c r="CM141" s="377"/>
      <c r="CN141" s="373"/>
      <c r="CO141" s="444" t="s">
        <v>6</v>
      </c>
      <c r="CP141" s="377"/>
      <c r="CQ141" s="373"/>
      <c r="CR141" s="444" t="s">
        <v>6</v>
      </c>
      <c r="CS141" s="377"/>
      <c r="CT141" s="373"/>
      <c r="CU141" s="444"/>
      <c r="CV141" s="377">
        <v>5</v>
      </c>
      <c r="CW141" s="373"/>
      <c r="CX141" s="444">
        <v>100</v>
      </c>
      <c r="CY141" s="377">
        <v>6</v>
      </c>
      <c r="CZ141" s="373"/>
      <c r="DA141" s="444">
        <v>100</v>
      </c>
      <c r="DB141" s="377">
        <v>10</v>
      </c>
      <c r="DC141" s="373">
        <v>1</v>
      </c>
      <c r="DD141" s="444">
        <v>90.9</v>
      </c>
      <c r="DE141" s="377"/>
      <c r="DF141" s="373"/>
      <c r="DG141" s="444"/>
      <c r="DH141" s="377"/>
      <c r="DI141" s="373"/>
      <c r="DJ141" s="444" t="s">
        <v>6</v>
      </c>
      <c r="DK141" s="377"/>
      <c r="DL141" s="373"/>
      <c r="DM141" s="444" t="s">
        <v>6</v>
      </c>
      <c r="DN141" s="377"/>
      <c r="DO141" s="373"/>
      <c r="DP141" s="444" t="s">
        <v>6</v>
      </c>
      <c r="DQ141" s="377"/>
      <c r="DR141" s="373"/>
      <c r="DS141" s="444"/>
      <c r="DT141" s="377"/>
      <c r="DU141" s="373"/>
      <c r="DV141" s="444" t="s">
        <v>6</v>
      </c>
      <c r="DW141" s="377"/>
      <c r="DX141" s="373"/>
      <c r="DY141" s="444" t="s">
        <v>6</v>
      </c>
      <c r="DZ141" s="377"/>
      <c r="EA141" s="373"/>
      <c r="EB141" s="444" t="s">
        <v>6</v>
      </c>
      <c r="EC141" s="377"/>
      <c r="ED141" s="373"/>
      <c r="EE141" s="444"/>
      <c r="EF141" s="377">
        <v>68</v>
      </c>
      <c r="EG141" s="373">
        <v>69</v>
      </c>
      <c r="EH141" s="444">
        <v>49.6</v>
      </c>
      <c r="EI141" s="377">
        <v>49</v>
      </c>
      <c r="EJ141" s="373">
        <v>47</v>
      </c>
      <c r="EK141" s="444">
        <v>51</v>
      </c>
      <c r="EL141" s="377">
        <v>64</v>
      </c>
      <c r="EM141" s="373">
        <v>45</v>
      </c>
      <c r="EN141" s="444">
        <v>58.7</v>
      </c>
      <c r="EO141" s="377"/>
      <c r="EP141" s="373"/>
      <c r="EQ141" s="444"/>
      <c r="ER141" s="377"/>
      <c r="ES141" s="373"/>
      <c r="ET141" s="444" t="s">
        <v>6</v>
      </c>
      <c r="EU141" s="377"/>
      <c r="EV141" s="373"/>
      <c r="EW141" s="444" t="s">
        <v>6</v>
      </c>
      <c r="EX141" s="377"/>
      <c r="EY141" s="373"/>
      <c r="EZ141" s="444" t="s">
        <v>6</v>
      </c>
      <c r="FA141" s="377"/>
      <c r="FB141" s="373"/>
      <c r="FC141" s="444"/>
      <c r="FD141" s="377"/>
      <c r="FE141" s="373"/>
      <c r="FF141" s="444" t="s">
        <v>6</v>
      </c>
      <c r="FG141" s="377"/>
      <c r="FH141" s="373"/>
      <c r="FI141" s="444" t="s">
        <v>6</v>
      </c>
      <c r="FJ141" s="377"/>
      <c r="FK141" s="373"/>
      <c r="FL141" s="444" t="s">
        <v>6</v>
      </c>
      <c r="FM141" s="377"/>
      <c r="FN141" s="373"/>
      <c r="FO141" s="444"/>
      <c r="FP141" s="377">
        <v>12</v>
      </c>
      <c r="FQ141" s="373">
        <v>13</v>
      </c>
      <c r="FR141" s="444">
        <v>48</v>
      </c>
      <c r="FS141" s="377">
        <v>7</v>
      </c>
      <c r="FT141" s="373">
        <v>8</v>
      </c>
      <c r="FU141" s="444">
        <v>46.7</v>
      </c>
      <c r="FV141" s="377">
        <v>7</v>
      </c>
      <c r="FW141" s="373">
        <v>3</v>
      </c>
      <c r="FX141" s="444">
        <v>70</v>
      </c>
      <c r="FY141" s="377"/>
      <c r="FZ141" s="373"/>
      <c r="GA141" s="444"/>
      <c r="GB141" s="377">
        <v>1</v>
      </c>
      <c r="GC141" s="373"/>
      <c r="GD141" s="444">
        <v>100</v>
      </c>
      <c r="GE141" s="377"/>
      <c r="GF141" s="373"/>
      <c r="GG141" s="444" t="s">
        <v>6</v>
      </c>
      <c r="GH141" s="377"/>
      <c r="GI141" s="373"/>
      <c r="GJ141" s="444" t="s">
        <v>6</v>
      </c>
      <c r="GK141" s="377"/>
      <c r="GL141" s="373"/>
      <c r="GM141" s="444"/>
      <c r="GN141" s="377">
        <v>3</v>
      </c>
      <c r="GO141" s="373">
        <v>1</v>
      </c>
      <c r="GP141" s="444">
        <v>75</v>
      </c>
      <c r="GQ141" s="377">
        <v>1</v>
      </c>
      <c r="GR141" s="373"/>
      <c r="GS141" s="444">
        <v>100</v>
      </c>
      <c r="GT141" s="377">
        <v>2</v>
      </c>
      <c r="GU141" s="373"/>
      <c r="GV141" s="444">
        <v>100</v>
      </c>
      <c r="GW141" s="377"/>
      <c r="GX141" s="373"/>
      <c r="GY141" s="444"/>
      <c r="GZ141" s="377"/>
      <c r="HA141" s="373"/>
      <c r="HB141" s="444" t="s">
        <v>6</v>
      </c>
      <c r="HC141" s="377"/>
      <c r="HD141" s="373"/>
      <c r="HE141" s="444" t="s">
        <v>6</v>
      </c>
      <c r="HF141" s="377"/>
      <c r="HG141" s="373"/>
      <c r="HH141" s="444" t="s">
        <v>6</v>
      </c>
      <c r="HI141" s="377"/>
      <c r="HJ141" s="373"/>
      <c r="HK141" s="444"/>
      <c r="HL141" s="377">
        <v>3</v>
      </c>
      <c r="HM141" s="373">
        <v>4</v>
      </c>
      <c r="HN141" s="444">
        <v>42.9</v>
      </c>
      <c r="HO141" s="377"/>
      <c r="HP141" s="373">
        <v>1</v>
      </c>
      <c r="HQ141" s="444">
        <v>0</v>
      </c>
      <c r="HR141" s="377">
        <v>6</v>
      </c>
      <c r="HS141" s="373"/>
      <c r="HT141" s="444">
        <v>100</v>
      </c>
      <c r="HU141" s="377"/>
      <c r="HV141" s="373"/>
      <c r="HW141" s="444"/>
      <c r="HX141" s="377"/>
      <c r="HY141" s="373"/>
      <c r="HZ141" s="444" t="s">
        <v>6</v>
      </c>
      <c r="IA141" s="377">
        <v>3</v>
      </c>
      <c r="IB141" s="373"/>
      <c r="IC141" s="444">
        <v>100</v>
      </c>
      <c r="ID141" s="377"/>
      <c r="IE141" s="373"/>
      <c r="IF141" s="444" t="s">
        <v>6</v>
      </c>
      <c r="IG141" s="377"/>
      <c r="IH141" s="373"/>
      <c r="II141" s="444"/>
      <c r="IJ141" s="377">
        <v>1</v>
      </c>
      <c r="IK141" s="373"/>
      <c r="IL141" s="444">
        <v>100</v>
      </c>
      <c r="IM141" s="377">
        <v>2</v>
      </c>
      <c r="IN141" s="373"/>
      <c r="IO141" s="444">
        <v>100</v>
      </c>
      <c r="IP141" s="377"/>
      <c r="IQ141" s="373">
        <v>1</v>
      </c>
      <c r="IR141" s="444">
        <v>0</v>
      </c>
      <c r="IS141" s="377"/>
      <c r="IT141" s="373"/>
      <c r="IU141" s="444"/>
      <c r="IV141" s="377">
        <v>96</v>
      </c>
      <c r="IW141" s="373">
        <v>77</v>
      </c>
      <c r="IX141" s="444">
        <v>55.5</v>
      </c>
      <c r="IY141" s="377">
        <v>64</v>
      </c>
      <c r="IZ141" s="373">
        <v>48</v>
      </c>
      <c r="JA141" s="444">
        <v>57.1</v>
      </c>
      <c r="JB141" s="377">
        <v>91</v>
      </c>
      <c r="JC141" s="373">
        <v>50</v>
      </c>
      <c r="JD141" s="444">
        <v>64.5</v>
      </c>
      <c r="JE141" s="377"/>
      <c r="JF141" s="373"/>
      <c r="JG141" s="444"/>
      <c r="JH141" s="377">
        <v>16</v>
      </c>
      <c r="JI141" s="373">
        <v>7</v>
      </c>
      <c r="JJ141" s="444">
        <v>69.599999999999994</v>
      </c>
      <c r="JK141" s="377">
        <v>15</v>
      </c>
      <c r="JL141" s="373">
        <v>6</v>
      </c>
      <c r="JM141" s="444">
        <v>71.400000000000006</v>
      </c>
      <c r="JN141" s="377">
        <v>28</v>
      </c>
      <c r="JO141" s="373">
        <v>10</v>
      </c>
      <c r="JP141" s="444">
        <v>73.7</v>
      </c>
      <c r="JQ141" s="377"/>
      <c r="JR141" s="373"/>
      <c r="JS141" s="444"/>
      <c r="JT141" s="377"/>
      <c r="JU141" s="373"/>
      <c r="JV141" s="444" t="s">
        <v>6</v>
      </c>
      <c r="JW141" s="377">
        <v>2</v>
      </c>
      <c r="JX141" s="373"/>
      <c r="JY141" s="444">
        <v>100</v>
      </c>
      <c r="JZ141" s="377"/>
      <c r="KA141" s="373"/>
      <c r="KB141" s="444" t="s">
        <v>6</v>
      </c>
      <c r="KC141" s="377"/>
      <c r="KD141" s="373"/>
      <c r="KE141" s="444"/>
      <c r="KF141" s="377"/>
      <c r="KG141" s="373"/>
      <c r="KH141" s="444" t="s">
        <v>6</v>
      </c>
      <c r="KI141" s="377"/>
      <c r="KJ141" s="373"/>
      <c r="KK141" s="444" t="s">
        <v>6</v>
      </c>
      <c r="KL141" s="377"/>
      <c r="KM141" s="373"/>
      <c r="KN141" s="444" t="s">
        <v>6</v>
      </c>
      <c r="KO141" s="377"/>
      <c r="KP141" s="373"/>
      <c r="KQ141" s="444"/>
      <c r="KR141" s="377">
        <v>18</v>
      </c>
      <c r="KS141" s="373">
        <v>9</v>
      </c>
      <c r="KT141" s="444">
        <v>66.7</v>
      </c>
      <c r="KU141" s="377">
        <v>21</v>
      </c>
      <c r="KV141" s="373">
        <v>6</v>
      </c>
      <c r="KW141" s="444">
        <v>77.8</v>
      </c>
      <c r="KX141" s="377">
        <v>29</v>
      </c>
      <c r="KY141" s="373">
        <v>12</v>
      </c>
      <c r="KZ141" s="444">
        <v>70.7</v>
      </c>
      <c r="LA141" s="377"/>
      <c r="LB141" s="373"/>
      <c r="LC141" s="444"/>
      <c r="LD141" s="377">
        <v>138</v>
      </c>
      <c r="LE141" s="373">
        <v>93</v>
      </c>
      <c r="LF141" s="444">
        <v>59.7</v>
      </c>
      <c r="LG141" s="377">
        <v>122</v>
      </c>
      <c r="LH141" s="373">
        <v>56</v>
      </c>
      <c r="LI141" s="444">
        <v>68.5</v>
      </c>
      <c r="LJ141" s="377">
        <v>119</v>
      </c>
      <c r="LK141" s="373">
        <v>61</v>
      </c>
      <c r="LL141" s="444">
        <v>66.099999999999994</v>
      </c>
      <c r="LM141" s="377"/>
      <c r="LN141" s="373"/>
      <c r="LO141" s="444"/>
    </row>
    <row r="142" spans="1:327" x14ac:dyDescent="0.2">
      <c r="A142" s="1001"/>
      <c r="B142" s="747" t="s">
        <v>621</v>
      </c>
      <c r="C142" s="151" t="s">
        <v>732</v>
      </c>
      <c r="D142" s="377"/>
      <c r="E142" s="373"/>
      <c r="F142" s="444" t="s">
        <v>6</v>
      </c>
      <c r="G142" s="377"/>
      <c r="H142" s="373"/>
      <c r="I142" s="444" t="s">
        <v>6</v>
      </c>
      <c r="J142" s="377"/>
      <c r="K142" s="373"/>
      <c r="L142" s="444" t="s">
        <v>6</v>
      </c>
      <c r="M142" s="377"/>
      <c r="N142" s="373"/>
      <c r="O142" s="444"/>
      <c r="P142" s="377"/>
      <c r="Q142" s="373"/>
      <c r="R142" s="444" t="s">
        <v>6</v>
      </c>
      <c r="S142" s="377"/>
      <c r="T142" s="373"/>
      <c r="U142" s="444" t="s">
        <v>6</v>
      </c>
      <c r="V142" s="377"/>
      <c r="W142" s="373"/>
      <c r="X142" s="444" t="s">
        <v>6</v>
      </c>
      <c r="Y142" s="377"/>
      <c r="Z142" s="373"/>
      <c r="AA142" s="444"/>
      <c r="AB142" s="377"/>
      <c r="AC142" s="373"/>
      <c r="AD142" s="444" t="s">
        <v>6</v>
      </c>
      <c r="AE142" s="377"/>
      <c r="AF142" s="373"/>
      <c r="AG142" s="444" t="s">
        <v>6</v>
      </c>
      <c r="AH142" s="377"/>
      <c r="AI142" s="373"/>
      <c r="AJ142" s="444" t="s">
        <v>6</v>
      </c>
      <c r="AK142" s="377"/>
      <c r="AL142" s="373"/>
      <c r="AM142" s="444"/>
      <c r="AN142" s="377">
        <v>14</v>
      </c>
      <c r="AO142" s="373">
        <v>2</v>
      </c>
      <c r="AP142" s="444">
        <v>87.5</v>
      </c>
      <c r="AQ142" s="377">
        <v>14</v>
      </c>
      <c r="AR142" s="373">
        <v>2</v>
      </c>
      <c r="AS142" s="444">
        <v>87.5</v>
      </c>
      <c r="AT142" s="377">
        <v>9</v>
      </c>
      <c r="AU142" s="373">
        <v>2</v>
      </c>
      <c r="AV142" s="444">
        <v>81.8</v>
      </c>
      <c r="AW142" s="377"/>
      <c r="AX142" s="373"/>
      <c r="AY142" s="444"/>
      <c r="AZ142" s="377">
        <v>6</v>
      </c>
      <c r="BA142" s="373">
        <v>2</v>
      </c>
      <c r="BB142" s="444">
        <v>75</v>
      </c>
      <c r="BC142" s="377">
        <v>4</v>
      </c>
      <c r="BD142" s="373">
        <v>1</v>
      </c>
      <c r="BE142" s="444">
        <v>80</v>
      </c>
      <c r="BF142" s="377">
        <v>3</v>
      </c>
      <c r="BG142" s="373">
        <v>1</v>
      </c>
      <c r="BH142" s="444">
        <v>75</v>
      </c>
      <c r="BI142" s="377"/>
      <c r="BJ142" s="373"/>
      <c r="BK142" s="444"/>
      <c r="BL142" s="377"/>
      <c r="BM142" s="373"/>
      <c r="BN142" s="444" t="s">
        <v>6</v>
      </c>
      <c r="BO142" s="377"/>
      <c r="BP142" s="373"/>
      <c r="BQ142" s="444" t="s">
        <v>6</v>
      </c>
      <c r="BR142" s="377"/>
      <c r="BS142" s="373"/>
      <c r="BT142" s="444" t="s">
        <v>6</v>
      </c>
      <c r="BU142" s="377"/>
      <c r="BV142" s="373"/>
      <c r="BW142" s="444"/>
      <c r="BX142" s="377"/>
      <c r="BY142" s="373"/>
      <c r="BZ142" s="444" t="s">
        <v>6</v>
      </c>
      <c r="CA142" s="377"/>
      <c r="CB142" s="373"/>
      <c r="CC142" s="444" t="s">
        <v>6</v>
      </c>
      <c r="CD142" s="377"/>
      <c r="CE142" s="373"/>
      <c r="CF142" s="444" t="s">
        <v>6</v>
      </c>
      <c r="CG142" s="377"/>
      <c r="CH142" s="373"/>
      <c r="CI142" s="444"/>
      <c r="CJ142" s="377"/>
      <c r="CK142" s="373"/>
      <c r="CL142" s="444" t="s">
        <v>6</v>
      </c>
      <c r="CM142" s="377"/>
      <c r="CN142" s="373"/>
      <c r="CO142" s="444" t="s">
        <v>6</v>
      </c>
      <c r="CP142" s="377"/>
      <c r="CQ142" s="373"/>
      <c r="CR142" s="444" t="s">
        <v>6</v>
      </c>
      <c r="CS142" s="377"/>
      <c r="CT142" s="373"/>
      <c r="CU142" s="444"/>
      <c r="CV142" s="377">
        <v>15</v>
      </c>
      <c r="CW142" s="373">
        <v>2</v>
      </c>
      <c r="CX142" s="444">
        <v>88.2</v>
      </c>
      <c r="CY142" s="377">
        <v>14</v>
      </c>
      <c r="CZ142" s="373">
        <v>2</v>
      </c>
      <c r="DA142" s="444">
        <v>87.5</v>
      </c>
      <c r="DB142" s="377">
        <v>7</v>
      </c>
      <c r="DC142" s="373">
        <v>1</v>
      </c>
      <c r="DD142" s="444">
        <v>87.5</v>
      </c>
      <c r="DE142" s="377"/>
      <c r="DF142" s="373"/>
      <c r="DG142" s="444"/>
      <c r="DH142" s="377">
        <v>1</v>
      </c>
      <c r="DI142" s="373"/>
      <c r="DJ142" s="444">
        <v>100</v>
      </c>
      <c r="DK142" s="377"/>
      <c r="DL142" s="373"/>
      <c r="DM142" s="444" t="s">
        <v>6</v>
      </c>
      <c r="DN142" s="377"/>
      <c r="DO142" s="373"/>
      <c r="DP142" s="444" t="s">
        <v>6</v>
      </c>
      <c r="DQ142" s="377"/>
      <c r="DR142" s="373"/>
      <c r="DS142" s="444"/>
      <c r="DT142" s="377"/>
      <c r="DU142" s="373"/>
      <c r="DV142" s="444" t="s">
        <v>6</v>
      </c>
      <c r="DW142" s="377"/>
      <c r="DX142" s="373"/>
      <c r="DY142" s="444" t="s">
        <v>6</v>
      </c>
      <c r="DZ142" s="377"/>
      <c r="EA142" s="373"/>
      <c r="EB142" s="444" t="s">
        <v>6</v>
      </c>
      <c r="EC142" s="377"/>
      <c r="ED142" s="373"/>
      <c r="EE142" s="444"/>
      <c r="EF142" s="377">
        <v>149</v>
      </c>
      <c r="EG142" s="373">
        <v>289</v>
      </c>
      <c r="EH142" s="444">
        <v>34</v>
      </c>
      <c r="EI142" s="377">
        <v>124</v>
      </c>
      <c r="EJ142" s="373">
        <v>228</v>
      </c>
      <c r="EK142" s="444">
        <v>35.200000000000003</v>
      </c>
      <c r="EL142" s="377">
        <v>90</v>
      </c>
      <c r="EM142" s="373">
        <v>218</v>
      </c>
      <c r="EN142" s="444">
        <v>29.2</v>
      </c>
      <c r="EO142" s="377"/>
      <c r="EP142" s="373"/>
      <c r="EQ142" s="444"/>
      <c r="ER142" s="377"/>
      <c r="ES142" s="373"/>
      <c r="ET142" s="444" t="s">
        <v>6</v>
      </c>
      <c r="EU142" s="377"/>
      <c r="EV142" s="373"/>
      <c r="EW142" s="444" t="s">
        <v>6</v>
      </c>
      <c r="EX142" s="377"/>
      <c r="EY142" s="373">
        <v>1</v>
      </c>
      <c r="EZ142" s="444">
        <v>0</v>
      </c>
      <c r="FA142" s="377"/>
      <c r="FB142" s="373"/>
      <c r="FC142" s="444"/>
      <c r="FD142" s="377"/>
      <c r="FE142" s="373">
        <v>19</v>
      </c>
      <c r="FF142" s="444">
        <v>0</v>
      </c>
      <c r="FG142" s="377">
        <v>1</v>
      </c>
      <c r="FH142" s="373">
        <v>12</v>
      </c>
      <c r="FI142" s="444">
        <v>7.7</v>
      </c>
      <c r="FJ142" s="377">
        <v>9</v>
      </c>
      <c r="FK142" s="373">
        <v>8</v>
      </c>
      <c r="FL142" s="444">
        <v>52.9</v>
      </c>
      <c r="FM142" s="377"/>
      <c r="FN142" s="373"/>
      <c r="FO142" s="444"/>
      <c r="FP142" s="377">
        <v>17</v>
      </c>
      <c r="FQ142" s="373">
        <v>51</v>
      </c>
      <c r="FR142" s="444">
        <v>25</v>
      </c>
      <c r="FS142" s="377">
        <v>56</v>
      </c>
      <c r="FT142" s="373">
        <v>55</v>
      </c>
      <c r="FU142" s="444">
        <v>50.5</v>
      </c>
      <c r="FV142" s="377">
        <v>17</v>
      </c>
      <c r="FW142" s="373">
        <v>60</v>
      </c>
      <c r="FX142" s="444">
        <v>22.1</v>
      </c>
      <c r="FY142" s="377"/>
      <c r="FZ142" s="373"/>
      <c r="GA142" s="444"/>
      <c r="GB142" s="377">
        <v>1</v>
      </c>
      <c r="GC142" s="373"/>
      <c r="GD142" s="444">
        <v>100</v>
      </c>
      <c r="GE142" s="377">
        <v>4</v>
      </c>
      <c r="GF142" s="373"/>
      <c r="GG142" s="444">
        <v>100</v>
      </c>
      <c r="GH142" s="377"/>
      <c r="GI142" s="373"/>
      <c r="GJ142" s="444" t="s">
        <v>6</v>
      </c>
      <c r="GK142" s="377"/>
      <c r="GL142" s="373"/>
      <c r="GM142" s="444"/>
      <c r="GN142" s="377">
        <v>3</v>
      </c>
      <c r="GO142" s="373"/>
      <c r="GP142" s="444">
        <v>100</v>
      </c>
      <c r="GQ142" s="377">
        <v>3</v>
      </c>
      <c r="GR142" s="373"/>
      <c r="GS142" s="444">
        <v>100</v>
      </c>
      <c r="GT142" s="377"/>
      <c r="GU142" s="373"/>
      <c r="GV142" s="444" t="s">
        <v>6</v>
      </c>
      <c r="GW142" s="377"/>
      <c r="GX142" s="373"/>
      <c r="GY142" s="444"/>
      <c r="GZ142" s="377"/>
      <c r="HA142" s="373"/>
      <c r="HB142" s="444" t="s">
        <v>6</v>
      </c>
      <c r="HC142" s="377"/>
      <c r="HD142" s="373"/>
      <c r="HE142" s="444" t="s">
        <v>6</v>
      </c>
      <c r="HF142" s="377"/>
      <c r="HG142" s="373"/>
      <c r="HH142" s="444" t="s">
        <v>6</v>
      </c>
      <c r="HI142" s="377"/>
      <c r="HJ142" s="373"/>
      <c r="HK142" s="444"/>
      <c r="HL142" s="377">
        <v>2</v>
      </c>
      <c r="HM142" s="373">
        <v>14</v>
      </c>
      <c r="HN142" s="444">
        <v>12.5</v>
      </c>
      <c r="HO142" s="377">
        <v>7</v>
      </c>
      <c r="HP142" s="373">
        <v>5</v>
      </c>
      <c r="HQ142" s="444">
        <v>58.3</v>
      </c>
      <c r="HR142" s="377">
        <v>1</v>
      </c>
      <c r="HS142" s="373">
        <v>10</v>
      </c>
      <c r="HT142" s="444">
        <v>9.1</v>
      </c>
      <c r="HU142" s="377"/>
      <c r="HV142" s="373"/>
      <c r="HW142" s="444"/>
      <c r="HX142" s="377">
        <v>1</v>
      </c>
      <c r="HY142" s="373"/>
      <c r="HZ142" s="444">
        <v>100</v>
      </c>
      <c r="IA142" s="377">
        <v>1</v>
      </c>
      <c r="IB142" s="373"/>
      <c r="IC142" s="444">
        <v>100</v>
      </c>
      <c r="ID142" s="377"/>
      <c r="IE142" s="373"/>
      <c r="IF142" s="444" t="s">
        <v>6</v>
      </c>
      <c r="IG142" s="377"/>
      <c r="IH142" s="373"/>
      <c r="II142" s="444"/>
      <c r="IJ142" s="377"/>
      <c r="IK142" s="373"/>
      <c r="IL142" s="444" t="s">
        <v>6</v>
      </c>
      <c r="IM142" s="377">
        <v>1</v>
      </c>
      <c r="IN142" s="373"/>
      <c r="IO142" s="444">
        <v>100</v>
      </c>
      <c r="IP142" s="377">
        <v>2</v>
      </c>
      <c r="IQ142" s="373">
        <v>2</v>
      </c>
      <c r="IR142" s="444">
        <v>50</v>
      </c>
      <c r="IS142" s="377"/>
      <c r="IT142" s="373"/>
      <c r="IU142" s="444"/>
      <c r="IV142" s="377">
        <v>186</v>
      </c>
      <c r="IW142" s="373">
        <v>307</v>
      </c>
      <c r="IX142" s="444">
        <v>37.700000000000003</v>
      </c>
      <c r="IY142" s="377">
        <v>168</v>
      </c>
      <c r="IZ142" s="373">
        <v>237</v>
      </c>
      <c r="JA142" s="444">
        <v>41.5</v>
      </c>
      <c r="JB142" s="377">
        <v>109</v>
      </c>
      <c r="JC142" s="373">
        <v>233</v>
      </c>
      <c r="JD142" s="444">
        <v>31.9</v>
      </c>
      <c r="JE142" s="377"/>
      <c r="JF142" s="373"/>
      <c r="JG142" s="444"/>
      <c r="JH142" s="377">
        <v>12</v>
      </c>
      <c r="JI142" s="373">
        <v>43</v>
      </c>
      <c r="JJ142" s="444">
        <v>21.8</v>
      </c>
      <c r="JK142" s="377">
        <v>25</v>
      </c>
      <c r="JL142" s="373">
        <v>33</v>
      </c>
      <c r="JM142" s="444">
        <v>43.1</v>
      </c>
      <c r="JN142" s="377">
        <v>13</v>
      </c>
      <c r="JO142" s="373">
        <v>54</v>
      </c>
      <c r="JP142" s="444">
        <v>19.399999999999999</v>
      </c>
      <c r="JQ142" s="377"/>
      <c r="JR142" s="373"/>
      <c r="JS142" s="444"/>
      <c r="JT142" s="377"/>
      <c r="JU142" s="373"/>
      <c r="JV142" s="444" t="s">
        <v>6</v>
      </c>
      <c r="JW142" s="377">
        <v>1</v>
      </c>
      <c r="JX142" s="373"/>
      <c r="JY142" s="444">
        <v>100</v>
      </c>
      <c r="JZ142" s="377">
        <v>1</v>
      </c>
      <c r="KA142" s="373"/>
      <c r="KB142" s="444">
        <v>100</v>
      </c>
      <c r="KC142" s="377"/>
      <c r="KD142" s="373"/>
      <c r="KE142" s="444"/>
      <c r="KF142" s="377"/>
      <c r="KG142" s="373"/>
      <c r="KH142" s="444" t="s">
        <v>6</v>
      </c>
      <c r="KI142" s="377"/>
      <c r="KJ142" s="373">
        <v>1</v>
      </c>
      <c r="KK142" s="444">
        <v>0</v>
      </c>
      <c r="KL142" s="377">
        <v>1</v>
      </c>
      <c r="KM142" s="373"/>
      <c r="KN142" s="444">
        <v>100</v>
      </c>
      <c r="KO142" s="377"/>
      <c r="KP142" s="373"/>
      <c r="KQ142" s="444"/>
      <c r="KR142" s="377">
        <v>18</v>
      </c>
      <c r="KS142" s="373">
        <v>47</v>
      </c>
      <c r="KT142" s="444">
        <v>27.7</v>
      </c>
      <c r="KU142" s="377">
        <v>34</v>
      </c>
      <c r="KV142" s="373">
        <v>35</v>
      </c>
      <c r="KW142" s="444">
        <v>49.3</v>
      </c>
      <c r="KX142" s="377">
        <v>19</v>
      </c>
      <c r="KY142" s="373">
        <v>54</v>
      </c>
      <c r="KZ142" s="444">
        <v>26</v>
      </c>
      <c r="LA142" s="377"/>
      <c r="LB142" s="373"/>
      <c r="LC142" s="444"/>
      <c r="LD142" s="377">
        <v>439</v>
      </c>
      <c r="LE142" s="373">
        <v>337</v>
      </c>
      <c r="LF142" s="444">
        <v>56.6</v>
      </c>
      <c r="LG142" s="377">
        <v>443</v>
      </c>
      <c r="LH142" s="373">
        <v>269</v>
      </c>
      <c r="LI142" s="444">
        <v>62.2</v>
      </c>
      <c r="LJ142" s="377">
        <v>215</v>
      </c>
      <c r="LK142" s="373">
        <v>258</v>
      </c>
      <c r="LL142" s="444">
        <v>45.5</v>
      </c>
      <c r="LM142" s="377"/>
      <c r="LN142" s="373"/>
      <c r="LO142" s="444"/>
    </row>
    <row r="143" spans="1:327" x14ac:dyDescent="0.2">
      <c r="A143" s="1001"/>
      <c r="B143" s="747" t="s">
        <v>621</v>
      </c>
      <c r="C143" s="151" t="s">
        <v>624</v>
      </c>
      <c r="D143" s="377"/>
      <c r="E143" s="373"/>
      <c r="F143" s="444" t="s">
        <v>6</v>
      </c>
      <c r="G143" s="377"/>
      <c r="H143" s="373"/>
      <c r="I143" s="444" t="s">
        <v>6</v>
      </c>
      <c r="J143" s="377"/>
      <c r="K143" s="373"/>
      <c r="L143" s="444" t="s">
        <v>6</v>
      </c>
      <c r="M143" s="377"/>
      <c r="N143" s="373"/>
      <c r="O143" s="444"/>
      <c r="P143" s="377"/>
      <c r="Q143" s="373"/>
      <c r="R143" s="444" t="s">
        <v>6</v>
      </c>
      <c r="S143" s="377"/>
      <c r="T143" s="373"/>
      <c r="U143" s="444" t="s">
        <v>6</v>
      </c>
      <c r="V143" s="377"/>
      <c r="W143" s="373"/>
      <c r="X143" s="444" t="s">
        <v>6</v>
      </c>
      <c r="Y143" s="377"/>
      <c r="Z143" s="373"/>
      <c r="AA143" s="444"/>
      <c r="AB143" s="377"/>
      <c r="AC143" s="373"/>
      <c r="AD143" s="444" t="s">
        <v>6</v>
      </c>
      <c r="AE143" s="377"/>
      <c r="AF143" s="373"/>
      <c r="AG143" s="444" t="s">
        <v>6</v>
      </c>
      <c r="AH143" s="377"/>
      <c r="AI143" s="373"/>
      <c r="AJ143" s="444" t="s">
        <v>6</v>
      </c>
      <c r="AK143" s="377"/>
      <c r="AL143" s="373"/>
      <c r="AM143" s="444"/>
      <c r="AN143" s="377">
        <v>16</v>
      </c>
      <c r="AO143" s="373"/>
      <c r="AP143" s="444">
        <v>100</v>
      </c>
      <c r="AQ143" s="377">
        <v>27</v>
      </c>
      <c r="AR143" s="373">
        <v>5</v>
      </c>
      <c r="AS143" s="444">
        <v>84.4</v>
      </c>
      <c r="AT143" s="377">
        <v>14</v>
      </c>
      <c r="AU143" s="373">
        <v>2</v>
      </c>
      <c r="AV143" s="444">
        <v>87.5</v>
      </c>
      <c r="AW143" s="377"/>
      <c r="AX143" s="373"/>
      <c r="AY143" s="444"/>
      <c r="AZ143" s="377">
        <v>6</v>
      </c>
      <c r="BA143" s="373"/>
      <c r="BB143" s="444">
        <v>100</v>
      </c>
      <c r="BC143" s="377">
        <v>13</v>
      </c>
      <c r="BD143" s="373">
        <v>3</v>
      </c>
      <c r="BE143" s="444">
        <v>81.3</v>
      </c>
      <c r="BF143" s="377">
        <v>3</v>
      </c>
      <c r="BG143" s="373">
        <v>2</v>
      </c>
      <c r="BH143" s="444">
        <v>60</v>
      </c>
      <c r="BI143" s="377"/>
      <c r="BJ143" s="373"/>
      <c r="BK143" s="444"/>
      <c r="BL143" s="377"/>
      <c r="BM143" s="373"/>
      <c r="BN143" s="444" t="s">
        <v>6</v>
      </c>
      <c r="BO143" s="377"/>
      <c r="BP143" s="373"/>
      <c r="BQ143" s="444" t="s">
        <v>6</v>
      </c>
      <c r="BR143" s="377"/>
      <c r="BS143" s="373"/>
      <c r="BT143" s="444" t="s">
        <v>6</v>
      </c>
      <c r="BU143" s="377"/>
      <c r="BV143" s="373"/>
      <c r="BW143" s="444"/>
      <c r="BX143" s="377"/>
      <c r="BY143" s="373"/>
      <c r="BZ143" s="444" t="s">
        <v>6</v>
      </c>
      <c r="CA143" s="377">
        <v>1</v>
      </c>
      <c r="CB143" s="373"/>
      <c r="CC143" s="444">
        <v>100</v>
      </c>
      <c r="CD143" s="377"/>
      <c r="CE143" s="373"/>
      <c r="CF143" s="444" t="s">
        <v>6</v>
      </c>
      <c r="CG143" s="377"/>
      <c r="CH143" s="373"/>
      <c r="CI143" s="444"/>
      <c r="CJ143" s="377"/>
      <c r="CK143" s="373"/>
      <c r="CL143" s="444" t="s">
        <v>6</v>
      </c>
      <c r="CM143" s="377"/>
      <c r="CN143" s="373"/>
      <c r="CO143" s="444" t="s">
        <v>6</v>
      </c>
      <c r="CP143" s="377"/>
      <c r="CQ143" s="373"/>
      <c r="CR143" s="444" t="s">
        <v>6</v>
      </c>
      <c r="CS143" s="377"/>
      <c r="CT143" s="373"/>
      <c r="CU143" s="444"/>
      <c r="CV143" s="377">
        <v>16</v>
      </c>
      <c r="CW143" s="373">
        <v>4</v>
      </c>
      <c r="CX143" s="444">
        <v>80</v>
      </c>
      <c r="CY143" s="377">
        <v>20</v>
      </c>
      <c r="CZ143" s="373">
        <v>2</v>
      </c>
      <c r="DA143" s="444">
        <v>90.9</v>
      </c>
      <c r="DB143" s="377">
        <v>24</v>
      </c>
      <c r="DC143" s="373">
        <v>3</v>
      </c>
      <c r="DD143" s="444">
        <v>88.9</v>
      </c>
      <c r="DE143" s="377"/>
      <c r="DF143" s="373"/>
      <c r="DG143" s="444"/>
      <c r="DH143" s="377">
        <v>2</v>
      </c>
      <c r="DI143" s="373"/>
      <c r="DJ143" s="444">
        <v>100</v>
      </c>
      <c r="DK143" s="377"/>
      <c r="DL143" s="373"/>
      <c r="DM143" s="444" t="s">
        <v>6</v>
      </c>
      <c r="DN143" s="377"/>
      <c r="DO143" s="373"/>
      <c r="DP143" s="444" t="s">
        <v>6</v>
      </c>
      <c r="DQ143" s="377"/>
      <c r="DR143" s="373"/>
      <c r="DS143" s="444"/>
      <c r="DT143" s="377"/>
      <c r="DU143" s="373"/>
      <c r="DV143" s="444" t="s">
        <v>6</v>
      </c>
      <c r="DW143" s="377">
        <v>1</v>
      </c>
      <c r="DX143" s="373"/>
      <c r="DY143" s="444">
        <v>100</v>
      </c>
      <c r="DZ143" s="377"/>
      <c r="EA143" s="373"/>
      <c r="EB143" s="444" t="s">
        <v>6</v>
      </c>
      <c r="EC143" s="377"/>
      <c r="ED143" s="373"/>
      <c r="EE143" s="444"/>
      <c r="EF143" s="377">
        <v>192</v>
      </c>
      <c r="EG143" s="373">
        <v>450</v>
      </c>
      <c r="EH143" s="444">
        <v>29.9</v>
      </c>
      <c r="EI143" s="377">
        <v>248</v>
      </c>
      <c r="EJ143" s="373">
        <v>250</v>
      </c>
      <c r="EK143" s="444">
        <v>49.8</v>
      </c>
      <c r="EL143" s="377">
        <v>230</v>
      </c>
      <c r="EM143" s="373">
        <v>164</v>
      </c>
      <c r="EN143" s="444">
        <v>58.4</v>
      </c>
      <c r="EO143" s="377"/>
      <c r="EP143" s="373"/>
      <c r="EQ143" s="444"/>
      <c r="ER143" s="377"/>
      <c r="ES143" s="373"/>
      <c r="ET143" s="444" t="s">
        <v>6</v>
      </c>
      <c r="EU143" s="377"/>
      <c r="EV143" s="373">
        <v>2</v>
      </c>
      <c r="EW143" s="444">
        <v>0</v>
      </c>
      <c r="EX143" s="377"/>
      <c r="EY143" s="373"/>
      <c r="EZ143" s="444" t="s">
        <v>6</v>
      </c>
      <c r="FA143" s="377"/>
      <c r="FB143" s="373"/>
      <c r="FC143" s="444"/>
      <c r="FD143" s="377">
        <v>1</v>
      </c>
      <c r="FE143" s="373">
        <v>6</v>
      </c>
      <c r="FF143" s="444">
        <v>14.3</v>
      </c>
      <c r="FG143" s="377">
        <v>1</v>
      </c>
      <c r="FH143" s="373">
        <v>4</v>
      </c>
      <c r="FI143" s="444">
        <v>20</v>
      </c>
      <c r="FJ143" s="377">
        <v>2</v>
      </c>
      <c r="FK143" s="373">
        <v>2</v>
      </c>
      <c r="FL143" s="444">
        <v>50</v>
      </c>
      <c r="FM143" s="377"/>
      <c r="FN143" s="373"/>
      <c r="FO143" s="444"/>
      <c r="FP143" s="377">
        <v>45</v>
      </c>
      <c r="FQ143" s="373">
        <v>143</v>
      </c>
      <c r="FR143" s="444">
        <v>23.9</v>
      </c>
      <c r="FS143" s="377">
        <v>41</v>
      </c>
      <c r="FT143" s="373">
        <v>83</v>
      </c>
      <c r="FU143" s="444">
        <v>33.1</v>
      </c>
      <c r="FV143" s="377">
        <v>87</v>
      </c>
      <c r="FW143" s="373">
        <v>34</v>
      </c>
      <c r="FX143" s="444">
        <v>71.900000000000006</v>
      </c>
      <c r="FY143" s="377"/>
      <c r="FZ143" s="373"/>
      <c r="GA143" s="444"/>
      <c r="GB143" s="377">
        <v>4</v>
      </c>
      <c r="GC143" s="373"/>
      <c r="GD143" s="444">
        <v>100</v>
      </c>
      <c r="GE143" s="377"/>
      <c r="GF143" s="373"/>
      <c r="GG143" s="444" t="s">
        <v>6</v>
      </c>
      <c r="GH143" s="377"/>
      <c r="GI143" s="373"/>
      <c r="GJ143" s="444" t="s">
        <v>6</v>
      </c>
      <c r="GK143" s="377"/>
      <c r="GL143" s="373"/>
      <c r="GM143" s="444"/>
      <c r="GN143" s="377"/>
      <c r="GO143" s="373"/>
      <c r="GP143" s="444" t="s">
        <v>6</v>
      </c>
      <c r="GQ143" s="377">
        <v>2</v>
      </c>
      <c r="GR143" s="373"/>
      <c r="GS143" s="444">
        <v>100</v>
      </c>
      <c r="GT143" s="377"/>
      <c r="GU143" s="373"/>
      <c r="GV143" s="444" t="s">
        <v>6</v>
      </c>
      <c r="GW143" s="377"/>
      <c r="GX143" s="373"/>
      <c r="GY143" s="444"/>
      <c r="GZ143" s="377"/>
      <c r="HA143" s="373"/>
      <c r="HB143" s="444" t="s">
        <v>6</v>
      </c>
      <c r="HC143" s="377"/>
      <c r="HD143" s="373"/>
      <c r="HE143" s="444" t="s">
        <v>6</v>
      </c>
      <c r="HF143" s="377"/>
      <c r="HG143" s="373"/>
      <c r="HH143" s="444" t="s">
        <v>6</v>
      </c>
      <c r="HI143" s="377"/>
      <c r="HJ143" s="373"/>
      <c r="HK143" s="444"/>
      <c r="HL143" s="377">
        <v>10</v>
      </c>
      <c r="HM143" s="373">
        <v>17</v>
      </c>
      <c r="HN143" s="444">
        <v>37</v>
      </c>
      <c r="HO143" s="377">
        <v>12</v>
      </c>
      <c r="HP143" s="373">
        <v>11</v>
      </c>
      <c r="HQ143" s="444">
        <v>52.2</v>
      </c>
      <c r="HR143" s="377">
        <v>17</v>
      </c>
      <c r="HS143" s="373">
        <v>11</v>
      </c>
      <c r="HT143" s="444">
        <v>60.7</v>
      </c>
      <c r="HU143" s="377"/>
      <c r="HV143" s="373"/>
      <c r="HW143" s="444"/>
      <c r="HX143" s="377"/>
      <c r="HY143" s="373"/>
      <c r="HZ143" s="444" t="s">
        <v>6</v>
      </c>
      <c r="IA143" s="377">
        <v>1</v>
      </c>
      <c r="IB143" s="373"/>
      <c r="IC143" s="444">
        <v>100</v>
      </c>
      <c r="ID143" s="377"/>
      <c r="IE143" s="373"/>
      <c r="IF143" s="444" t="s">
        <v>6</v>
      </c>
      <c r="IG143" s="377"/>
      <c r="IH143" s="373"/>
      <c r="II143" s="444"/>
      <c r="IJ143" s="377">
        <v>1</v>
      </c>
      <c r="IK143" s="373">
        <v>1</v>
      </c>
      <c r="IL143" s="444">
        <v>50</v>
      </c>
      <c r="IM143" s="377">
        <v>3</v>
      </c>
      <c r="IN143" s="373"/>
      <c r="IO143" s="444">
        <v>100</v>
      </c>
      <c r="IP143" s="377">
        <v>1</v>
      </c>
      <c r="IQ143" s="373">
        <v>1</v>
      </c>
      <c r="IR143" s="444">
        <v>50</v>
      </c>
      <c r="IS143" s="377"/>
      <c r="IT143" s="373"/>
      <c r="IU143" s="444"/>
      <c r="IV143" s="377">
        <v>241</v>
      </c>
      <c r="IW143" s="373">
        <v>472</v>
      </c>
      <c r="IX143" s="444">
        <v>33.799999999999997</v>
      </c>
      <c r="IY143" s="377">
        <v>315</v>
      </c>
      <c r="IZ143" s="373">
        <v>268</v>
      </c>
      <c r="JA143" s="444">
        <v>54</v>
      </c>
      <c r="JB143" s="377">
        <v>286</v>
      </c>
      <c r="JC143" s="373">
        <v>181</v>
      </c>
      <c r="JD143" s="444">
        <v>61.2</v>
      </c>
      <c r="JE143" s="377"/>
      <c r="JF143" s="373"/>
      <c r="JG143" s="444"/>
      <c r="JH143" s="377">
        <v>40</v>
      </c>
      <c r="JI143" s="373">
        <v>28</v>
      </c>
      <c r="JJ143" s="444">
        <v>58.8</v>
      </c>
      <c r="JK143" s="377">
        <v>39</v>
      </c>
      <c r="JL143" s="373">
        <v>16</v>
      </c>
      <c r="JM143" s="444">
        <v>70.900000000000006</v>
      </c>
      <c r="JN143" s="377">
        <v>58</v>
      </c>
      <c r="JO143" s="373">
        <v>26</v>
      </c>
      <c r="JP143" s="444">
        <v>69</v>
      </c>
      <c r="JQ143" s="377"/>
      <c r="JR143" s="373"/>
      <c r="JS143" s="444"/>
      <c r="JT143" s="377"/>
      <c r="JU143" s="373"/>
      <c r="JV143" s="444" t="s">
        <v>6</v>
      </c>
      <c r="JW143" s="377"/>
      <c r="JX143" s="373"/>
      <c r="JY143" s="444" t="s">
        <v>6</v>
      </c>
      <c r="JZ143" s="377"/>
      <c r="KA143" s="373"/>
      <c r="KB143" s="444" t="s">
        <v>6</v>
      </c>
      <c r="KC143" s="377"/>
      <c r="KD143" s="373"/>
      <c r="KE143" s="444"/>
      <c r="KF143" s="377"/>
      <c r="KG143" s="373"/>
      <c r="KH143" s="444" t="s">
        <v>6</v>
      </c>
      <c r="KI143" s="377"/>
      <c r="KJ143" s="373"/>
      <c r="KK143" s="444" t="s">
        <v>6</v>
      </c>
      <c r="KL143" s="377">
        <v>2</v>
      </c>
      <c r="KM143" s="373"/>
      <c r="KN143" s="444">
        <v>100</v>
      </c>
      <c r="KO143" s="377"/>
      <c r="KP143" s="373"/>
      <c r="KQ143" s="444"/>
      <c r="KR143" s="377">
        <v>45</v>
      </c>
      <c r="KS143" s="373">
        <v>30</v>
      </c>
      <c r="KT143" s="444">
        <v>60</v>
      </c>
      <c r="KU143" s="377">
        <v>46</v>
      </c>
      <c r="KV143" s="373">
        <v>23</v>
      </c>
      <c r="KW143" s="444">
        <v>66.7</v>
      </c>
      <c r="KX143" s="377">
        <v>63</v>
      </c>
      <c r="KY143" s="373">
        <v>27</v>
      </c>
      <c r="KZ143" s="444">
        <v>70</v>
      </c>
      <c r="LA143" s="377"/>
      <c r="LB143" s="373"/>
      <c r="LC143" s="444"/>
      <c r="LD143" s="377">
        <v>412</v>
      </c>
      <c r="LE143" s="373">
        <v>498</v>
      </c>
      <c r="LF143" s="444">
        <v>45.3</v>
      </c>
      <c r="LG143" s="377">
        <v>476</v>
      </c>
      <c r="LH143" s="373">
        <v>300</v>
      </c>
      <c r="LI143" s="444">
        <v>61.3</v>
      </c>
      <c r="LJ143" s="377">
        <v>345</v>
      </c>
      <c r="LK143" s="373">
        <v>206</v>
      </c>
      <c r="LL143" s="444">
        <v>62.6</v>
      </c>
      <c r="LM143" s="377"/>
      <c r="LN143" s="373"/>
      <c r="LO143" s="444"/>
    </row>
    <row r="144" spans="1:327" x14ac:dyDescent="0.2">
      <c r="A144" s="1001"/>
      <c r="B144" s="747" t="s">
        <v>621</v>
      </c>
      <c r="C144" s="151" t="s">
        <v>733</v>
      </c>
      <c r="D144" s="377"/>
      <c r="E144" s="373"/>
      <c r="F144" s="444" t="s">
        <v>6</v>
      </c>
      <c r="G144" s="377"/>
      <c r="H144" s="373"/>
      <c r="I144" s="444" t="s">
        <v>6</v>
      </c>
      <c r="J144" s="377"/>
      <c r="K144" s="373"/>
      <c r="L144" s="444" t="s">
        <v>6</v>
      </c>
      <c r="M144" s="377"/>
      <c r="N144" s="373"/>
      <c r="O144" s="444"/>
      <c r="P144" s="377"/>
      <c r="Q144" s="373"/>
      <c r="R144" s="444" t="s">
        <v>6</v>
      </c>
      <c r="S144" s="377"/>
      <c r="T144" s="373"/>
      <c r="U144" s="444" t="s">
        <v>6</v>
      </c>
      <c r="V144" s="377"/>
      <c r="W144" s="373"/>
      <c r="X144" s="444" t="s">
        <v>6</v>
      </c>
      <c r="Y144" s="377"/>
      <c r="Z144" s="373"/>
      <c r="AA144" s="444"/>
      <c r="AB144" s="377"/>
      <c r="AC144" s="373"/>
      <c r="AD144" s="444" t="s">
        <v>6</v>
      </c>
      <c r="AE144" s="377"/>
      <c r="AF144" s="373"/>
      <c r="AG144" s="444" t="s">
        <v>6</v>
      </c>
      <c r="AH144" s="377"/>
      <c r="AI144" s="373"/>
      <c r="AJ144" s="444" t="s">
        <v>6</v>
      </c>
      <c r="AK144" s="377"/>
      <c r="AL144" s="373"/>
      <c r="AM144" s="444"/>
      <c r="AN144" s="377">
        <v>6</v>
      </c>
      <c r="AO144" s="373">
        <v>7</v>
      </c>
      <c r="AP144" s="444">
        <v>46.2</v>
      </c>
      <c r="AQ144" s="377">
        <v>13</v>
      </c>
      <c r="AR144" s="373">
        <v>2</v>
      </c>
      <c r="AS144" s="444">
        <v>86.7</v>
      </c>
      <c r="AT144" s="377">
        <v>15</v>
      </c>
      <c r="AU144" s="373">
        <v>5</v>
      </c>
      <c r="AV144" s="444">
        <v>75</v>
      </c>
      <c r="AW144" s="377"/>
      <c r="AX144" s="373"/>
      <c r="AY144" s="444"/>
      <c r="AZ144" s="377">
        <v>2</v>
      </c>
      <c r="BA144" s="373">
        <v>3</v>
      </c>
      <c r="BB144" s="444">
        <v>40</v>
      </c>
      <c r="BC144" s="377">
        <v>9</v>
      </c>
      <c r="BD144" s="373">
        <v>2</v>
      </c>
      <c r="BE144" s="444">
        <v>81.8</v>
      </c>
      <c r="BF144" s="377">
        <v>9</v>
      </c>
      <c r="BG144" s="373">
        <v>1</v>
      </c>
      <c r="BH144" s="444">
        <v>90</v>
      </c>
      <c r="BI144" s="377"/>
      <c r="BJ144" s="373"/>
      <c r="BK144" s="444"/>
      <c r="BL144" s="377"/>
      <c r="BM144" s="373"/>
      <c r="BN144" s="444" t="s">
        <v>6</v>
      </c>
      <c r="BO144" s="377"/>
      <c r="BP144" s="373"/>
      <c r="BQ144" s="444" t="s">
        <v>6</v>
      </c>
      <c r="BR144" s="377"/>
      <c r="BS144" s="373"/>
      <c r="BT144" s="444" t="s">
        <v>6</v>
      </c>
      <c r="BU144" s="377"/>
      <c r="BV144" s="373"/>
      <c r="BW144" s="444"/>
      <c r="BX144" s="377"/>
      <c r="BY144" s="373"/>
      <c r="BZ144" s="444" t="s">
        <v>6</v>
      </c>
      <c r="CA144" s="377"/>
      <c r="CB144" s="373"/>
      <c r="CC144" s="444" t="s">
        <v>6</v>
      </c>
      <c r="CD144" s="377"/>
      <c r="CE144" s="373"/>
      <c r="CF144" s="444" t="s">
        <v>6</v>
      </c>
      <c r="CG144" s="377"/>
      <c r="CH144" s="373"/>
      <c r="CI144" s="444"/>
      <c r="CJ144" s="377"/>
      <c r="CK144" s="373"/>
      <c r="CL144" s="444" t="s">
        <v>6</v>
      </c>
      <c r="CM144" s="377"/>
      <c r="CN144" s="373"/>
      <c r="CO144" s="444" t="s">
        <v>6</v>
      </c>
      <c r="CP144" s="377"/>
      <c r="CQ144" s="373"/>
      <c r="CR144" s="444" t="s">
        <v>6</v>
      </c>
      <c r="CS144" s="377"/>
      <c r="CT144" s="373"/>
      <c r="CU144" s="444"/>
      <c r="CV144" s="377">
        <v>10</v>
      </c>
      <c r="CW144" s="373">
        <v>4</v>
      </c>
      <c r="CX144" s="444">
        <v>71.400000000000006</v>
      </c>
      <c r="CY144" s="377">
        <v>3</v>
      </c>
      <c r="CZ144" s="373"/>
      <c r="DA144" s="444">
        <v>100</v>
      </c>
      <c r="DB144" s="377">
        <v>9</v>
      </c>
      <c r="DC144" s="373">
        <v>4</v>
      </c>
      <c r="DD144" s="444">
        <v>69.2</v>
      </c>
      <c r="DE144" s="377"/>
      <c r="DF144" s="373"/>
      <c r="DG144" s="444"/>
      <c r="DH144" s="377"/>
      <c r="DI144" s="373"/>
      <c r="DJ144" s="444" t="s">
        <v>6</v>
      </c>
      <c r="DK144" s="377">
        <v>1</v>
      </c>
      <c r="DL144" s="373"/>
      <c r="DM144" s="444">
        <v>100</v>
      </c>
      <c r="DN144" s="377">
        <v>1</v>
      </c>
      <c r="DO144" s="373"/>
      <c r="DP144" s="444">
        <v>100</v>
      </c>
      <c r="DQ144" s="377"/>
      <c r="DR144" s="373"/>
      <c r="DS144" s="444"/>
      <c r="DT144" s="377"/>
      <c r="DU144" s="373"/>
      <c r="DV144" s="444" t="s">
        <v>6</v>
      </c>
      <c r="DW144" s="377"/>
      <c r="DX144" s="373"/>
      <c r="DY144" s="444" t="s">
        <v>6</v>
      </c>
      <c r="DZ144" s="377">
        <v>1</v>
      </c>
      <c r="EA144" s="373"/>
      <c r="EB144" s="444">
        <v>100</v>
      </c>
      <c r="EC144" s="377"/>
      <c r="ED144" s="373"/>
      <c r="EE144" s="444"/>
      <c r="EF144" s="377">
        <v>110</v>
      </c>
      <c r="EG144" s="373">
        <v>297</v>
      </c>
      <c r="EH144" s="444">
        <v>27</v>
      </c>
      <c r="EI144" s="377">
        <v>68</v>
      </c>
      <c r="EJ144" s="373">
        <v>89</v>
      </c>
      <c r="EK144" s="444">
        <v>43.3</v>
      </c>
      <c r="EL144" s="377">
        <v>61</v>
      </c>
      <c r="EM144" s="373">
        <v>100</v>
      </c>
      <c r="EN144" s="444">
        <v>37.9</v>
      </c>
      <c r="EO144" s="377"/>
      <c r="EP144" s="373"/>
      <c r="EQ144" s="444"/>
      <c r="ER144" s="377"/>
      <c r="ES144" s="373"/>
      <c r="ET144" s="444" t="s">
        <v>6</v>
      </c>
      <c r="EU144" s="377"/>
      <c r="EV144" s="373"/>
      <c r="EW144" s="444" t="s">
        <v>6</v>
      </c>
      <c r="EX144" s="377"/>
      <c r="EY144" s="373"/>
      <c r="EZ144" s="444" t="s">
        <v>6</v>
      </c>
      <c r="FA144" s="377"/>
      <c r="FB144" s="373"/>
      <c r="FC144" s="444"/>
      <c r="FD144" s="377">
        <v>4</v>
      </c>
      <c r="FE144" s="373">
        <v>6</v>
      </c>
      <c r="FF144" s="444">
        <v>40</v>
      </c>
      <c r="FG144" s="377"/>
      <c r="FH144" s="373">
        <v>3</v>
      </c>
      <c r="FI144" s="444">
        <v>0</v>
      </c>
      <c r="FJ144" s="377"/>
      <c r="FK144" s="373">
        <v>7</v>
      </c>
      <c r="FL144" s="444">
        <v>0</v>
      </c>
      <c r="FM144" s="377"/>
      <c r="FN144" s="373"/>
      <c r="FO144" s="444"/>
      <c r="FP144" s="377">
        <v>15</v>
      </c>
      <c r="FQ144" s="373">
        <v>69</v>
      </c>
      <c r="FR144" s="444">
        <v>17.899999999999999</v>
      </c>
      <c r="FS144" s="377">
        <v>21</v>
      </c>
      <c r="FT144" s="373">
        <v>23</v>
      </c>
      <c r="FU144" s="444">
        <v>47.7</v>
      </c>
      <c r="FV144" s="377">
        <v>13</v>
      </c>
      <c r="FW144" s="373">
        <v>25</v>
      </c>
      <c r="FX144" s="444">
        <v>34.200000000000003</v>
      </c>
      <c r="FY144" s="377"/>
      <c r="FZ144" s="373"/>
      <c r="GA144" s="444"/>
      <c r="GB144" s="377"/>
      <c r="GC144" s="373"/>
      <c r="GD144" s="444" t="s">
        <v>6</v>
      </c>
      <c r="GE144" s="377">
        <v>1</v>
      </c>
      <c r="GF144" s="373"/>
      <c r="GG144" s="444">
        <v>100</v>
      </c>
      <c r="GH144" s="377"/>
      <c r="GI144" s="373"/>
      <c r="GJ144" s="444" t="s">
        <v>6</v>
      </c>
      <c r="GK144" s="377"/>
      <c r="GL144" s="373"/>
      <c r="GM144" s="444"/>
      <c r="GN144" s="377">
        <v>2</v>
      </c>
      <c r="GO144" s="373"/>
      <c r="GP144" s="444">
        <v>100</v>
      </c>
      <c r="GQ144" s="377">
        <v>1</v>
      </c>
      <c r="GR144" s="373"/>
      <c r="GS144" s="444">
        <v>100</v>
      </c>
      <c r="GT144" s="377">
        <v>3</v>
      </c>
      <c r="GU144" s="373"/>
      <c r="GV144" s="444">
        <v>100</v>
      </c>
      <c r="GW144" s="377"/>
      <c r="GX144" s="373"/>
      <c r="GY144" s="444"/>
      <c r="GZ144" s="377"/>
      <c r="HA144" s="373"/>
      <c r="HB144" s="444" t="s">
        <v>6</v>
      </c>
      <c r="HC144" s="377"/>
      <c r="HD144" s="373"/>
      <c r="HE144" s="444" t="s">
        <v>6</v>
      </c>
      <c r="HF144" s="377"/>
      <c r="HG144" s="373">
        <v>1</v>
      </c>
      <c r="HH144" s="444">
        <v>0</v>
      </c>
      <c r="HI144" s="377"/>
      <c r="HJ144" s="373"/>
      <c r="HK144" s="444"/>
      <c r="HL144" s="377">
        <v>8</v>
      </c>
      <c r="HM144" s="373">
        <v>8</v>
      </c>
      <c r="HN144" s="444">
        <v>50</v>
      </c>
      <c r="HO144" s="377">
        <v>1</v>
      </c>
      <c r="HP144" s="373">
        <v>7</v>
      </c>
      <c r="HQ144" s="444">
        <v>12.5</v>
      </c>
      <c r="HR144" s="377">
        <v>7</v>
      </c>
      <c r="HS144" s="373">
        <v>5</v>
      </c>
      <c r="HT144" s="444">
        <v>58.3</v>
      </c>
      <c r="HU144" s="377"/>
      <c r="HV144" s="373"/>
      <c r="HW144" s="444"/>
      <c r="HX144" s="377">
        <v>3</v>
      </c>
      <c r="HY144" s="373"/>
      <c r="HZ144" s="444">
        <v>100</v>
      </c>
      <c r="IA144" s="377">
        <v>3</v>
      </c>
      <c r="IB144" s="373"/>
      <c r="IC144" s="444">
        <v>100</v>
      </c>
      <c r="ID144" s="377">
        <v>2</v>
      </c>
      <c r="IE144" s="373"/>
      <c r="IF144" s="444">
        <v>100</v>
      </c>
      <c r="IG144" s="377"/>
      <c r="IH144" s="373"/>
      <c r="II144" s="444"/>
      <c r="IJ144" s="377">
        <v>5</v>
      </c>
      <c r="IK144" s="373"/>
      <c r="IL144" s="444">
        <v>100</v>
      </c>
      <c r="IM144" s="377">
        <v>2</v>
      </c>
      <c r="IN144" s="373"/>
      <c r="IO144" s="444">
        <v>100</v>
      </c>
      <c r="IP144" s="377">
        <v>3</v>
      </c>
      <c r="IQ144" s="373"/>
      <c r="IR144" s="444">
        <v>100</v>
      </c>
      <c r="IS144" s="377"/>
      <c r="IT144" s="373"/>
      <c r="IU144" s="444"/>
      <c r="IV144" s="377">
        <v>144</v>
      </c>
      <c r="IW144" s="373">
        <v>316</v>
      </c>
      <c r="IX144" s="444">
        <v>31.3</v>
      </c>
      <c r="IY144" s="377">
        <v>93</v>
      </c>
      <c r="IZ144" s="373">
        <v>98</v>
      </c>
      <c r="JA144" s="444">
        <v>48.7</v>
      </c>
      <c r="JB144" s="377">
        <v>102</v>
      </c>
      <c r="JC144" s="373">
        <v>115</v>
      </c>
      <c r="JD144" s="444">
        <v>47</v>
      </c>
      <c r="JE144" s="377"/>
      <c r="JF144" s="373"/>
      <c r="JG144" s="444"/>
      <c r="JH144" s="377">
        <v>26</v>
      </c>
      <c r="JI144" s="373">
        <v>16</v>
      </c>
      <c r="JJ144" s="444">
        <v>61.9</v>
      </c>
      <c r="JK144" s="377">
        <v>12</v>
      </c>
      <c r="JL144" s="373">
        <v>9</v>
      </c>
      <c r="JM144" s="444">
        <v>57.1</v>
      </c>
      <c r="JN144" s="377">
        <v>25</v>
      </c>
      <c r="JO144" s="373">
        <v>18</v>
      </c>
      <c r="JP144" s="444">
        <v>58.1</v>
      </c>
      <c r="JQ144" s="377"/>
      <c r="JR144" s="373"/>
      <c r="JS144" s="444"/>
      <c r="JT144" s="377">
        <v>2</v>
      </c>
      <c r="JU144" s="373"/>
      <c r="JV144" s="444">
        <v>100</v>
      </c>
      <c r="JW144" s="377"/>
      <c r="JX144" s="373"/>
      <c r="JY144" s="444" t="s">
        <v>6</v>
      </c>
      <c r="JZ144" s="377"/>
      <c r="KA144" s="373"/>
      <c r="KB144" s="444" t="s">
        <v>6</v>
      </c>
      <c r="KC144" s="377"/>
      <c r="KD144" s="373"/>
      <c r="KE144" s="444"/>
      <c r="KF144" s="377"/>
      <c r="KG144" s="373"/>
      <c r="KH144" s="444" t="s">
        <v>6</v>
      </c>
      <c r="KI144" s="377"/>
      <c r="KJ144" s="373"/>
      <c r="KK144" s="444" t="s">
        <v>6</v>
      </c>
      <c r="KL144" s="377"/>
      <c r="KM144" s="373"/>
      <c r="KN144" s="444" t="s">
        <v>6</v>
      </c>
      <c r="KO144" s="377"/>
      <c r="KP144" s="373"/>
      <c r="KQ144" s="444"/>
      <c r="KR144" s="377">
        <v>38</v>
      </c>
      <c r="KS144" s="373">
        <v>20</v>
      </c>
      <c r="KT144" s="444">
        <v>65.5</v>
      </c>
      <c r="KU144" s="377">
        <v>20</v>
      </c>
      <c r="KV144" s="373">
        <v>10</v>
      </c>
      <c r="KW144" s="444">
        <v>66.7</v>
      </c>
      <c r="KX144" s="377">
        <v>34</v>
      </c>
      <c r="KY144" s="373">
        <v>21</v>
      </c>
      <c r="KZ144" s="444">
        <v>61.8</v>
      </c>
      <c r="LA144" s="377"/>
      <c r="LB144" s="373"/>
      <c r="LC144" s="444"/>
      <c r="LD144" s="377">
        <v>478</v>
      </c>
      <c r="LE144" s="373">
        <v>344</v>
      </c>
      <c r="LF144" s="444">
        <v>58.2</v>
      </c>
      <c r="LG144" s="377">
        <v>219</v>
      </c>
      <c r="LH144" s="373">
        <v>113</v>
      </c>
      <c r="LI144" s="444">
        <v>66</v>
      </c>
      <c r="LJ144" s="377">
        <v>273</v>
      </c>
      <c r="LK144" s="373">
        <v>140</v>
      </c>
      <c r="LL144" s="444">
        <v>66.099999999999994</v>
      </c>
      <c r="LM144" s="377"/>
      <c r="LN144" s="373"/>
      <c r="LO144" s="444"/>
    </row>
    <row r="145" spans="1:327" x14ac:dyDescent="0.2">
      <c r="A145" s="1001"/>
      <c r="B145" s="747" t="s">
        <v>621</v>
      </c>
      <c r="C145" s="151" t="s">
        <v>734</v>
      </c>
      <c r="D145" s="377"/>
      <c r="E145" s="373"/>
      <c r="F145" s="444" t="s">
        <v>6</v>
      </c>
      <c r="G145" s="377"/>
      <c r="H145" s="373"/>
      <c r="I145" s="444" t="s">
        <v>6</v>
      </c>
      <c r="J145" s="377"/>
      <c r="K145" s="373"/>
      <c r="L145" s="444" t="s">
        <v>6</v>
      </c>
      <c r="M145" s="377"/>
      <c r="N145" s="373"/>
      <c r="O145" s="444"/>
      <c r="P145" s="377"/>
      <c r="Q145" s="373"/>
      <c r="R145" s="444" t="s">
        <v>6</v>
      </c>
      <c r="S145" s="377"/>
      <c r="T145" s="373"/>
      <c r="U145" s="444" t="s">
        <v>6</v>
      </c>
      <c r="V145" s="377"/>
      <c r="W145" s="373"/>
      <c r="X145" s="444" t="s">
        <v>6</v>
      </c>
      <c r="Y145" s="377"/>
      <c r="Z145" s="373"/>
      <c r="AA145" s="444"/>
      <c r="AB145" s="377"/>
      <c r="AC145" s="373"/>
      <c r="AD145" s="444" t="s">
        <v>6</v>
      </c>
      <c r="AE145" s="377"/>
      <c r="AF145" s="373"/>
      <c r="AG145" s="444" t="s">
        <v>6</v>
      </c>
      <c r="AH145" s="377"/>
      <c r="AI145" s="373"/>
      <c r="AJ145" s="444" t="s">
        <v>6</v>
      </c>
      <c r="AK145" s="377"/>
      <c r="AL145" s="373"/>
      <c r="AM145" s="444"/>
      <c r="AN145" s="377">
        <v>21</v>
      </c>
      <c r="AO145" s="373">
        <v>9</v>
      </c>
      <c r="AP145" s="444">
        <v>70</v>
      </c>
      <c r="AQ145" s="377">
        <v>19</v>
      </c>
      <c r="AR145" s="373">
        <v>5</v>
      </c>
      <c r="AS145" s="444">
        <v>79.2</v>
      </c>
      <c r="AT145" s="377">
        <v>24</v>
      </c>
      <c r="AU145" s="373">
        <v>14</v>
      </c>
      <c r="AV145" s="444">
        <v>63.2</v>
      </c>
      <c r="AW145" s="377"/>
      <c r="AX145" s="373"/>
      <c r="AY145" s="444"/>
      <c r="AZ145" s="377">
        <v>15</v>
      </c>
      <c r="BA145" s="373">
        <v>6</v>
      </c>
      <c r="BB145" s="444">
        <v>71.400000000000006</v>
      </c>
      <c r="BC145" s="377">
        <v>9</v>
      </c>
      <c r="BD145" s="373">
        <v>5</v>
      </c>
      <c r="BE145" s="444">
        <v>64.3</v>
      </c>
      <c r="BF145" s="377">
        <v>7</v>
      </c>
      <c r="BG145" s="373">
        <v>12</v>
      </c>
      <c r="BH145" s="444">
        <v>36.799999999999997</v>
      </c>
      <c r="BI145" s="377"/>
      <c r="BJ145" s="373"/>
      <c r="BK145" s="444"/>
      <c r="BL145" s="377"/>
      <c r="BM145" s="373"/>
      <c r="BN145" s="444" t="s">
        <v>6</v>
      </c>
      <c r="BO145" s="377"/>
      <c r="BP145" s="373"/>
      <c r="BQ145" s="444" t="s">
        <v>6</v>
      </c>
      <c r="BR145" s="377"/>
      <c r="BS145" s="373"/>
      <c r="BT145" s="444" t="s">
        <v>6</v>
      </c>
      <c r="BU145" s="377"/>
      <c r="BV145" s="373"/>
      <c r="BW145" s="444"/>
      <c r="BX145" s="377"/>
      <c r="BY145" s="373"/>
      <c r="BZ145" s="444" t="s">
        <v>6</v>
      </c>
      <c r="CA145" s="377"/>
      <c r="CB145" s="373"/>
      <c r="CC145" s="444" t="s">
        <v>6</v>
      </c>
      <c r="CD145" s="377"/>
      <c r="CE145" s="373"/>
      <c r="CF145" s="444" t="s">
        <v>6</v>
      </c>
      <c r="CG145" s="377"/>
      <c r="CH145" s="373"/>
      <c r="CI145" s="444"/>
      <c r="CJ145" s="377"/>
      <c r="CK145" s="373"/>
      <c r="CL145" s="444" t="s">
        <v>6</v>
      </c>
      <c r="CM145" s="377"/>
      <c r="CN145" s="373"/>
      <c r="CO145" s="444" t="s">
        <v>6</v>
      </c>
      <c r="CP145" s="377"/>
      <c r="CQ145" s="373"/>
      <c r="CR145" s="444" t="s">
        <v>6</v>
      </c>
      <c r="CS145" s="377"/>
      <c r="CT145" s="373"/>
      <c r="CU145" s="444"/>
      <c r="CV145" s="377">
        <v>21</v>
      </c>
      <c r="CW145" s="373">
        <v>4</v>
      </c>
      <c r="CX145" s="444">
        <v>84</v>
      </c>
      <c r="CY145" s="377">
        <v>28</v>
      </c>
      <c r="CZ145" s="373">
        <v>3</v>
      </c>
      <c r="DA145" s="444">
        <v>90.3</v>
      </c>
      <c r="DB145" s="377">
        <v>23</v>
      </c>
      <c r="DC145" s="373">
        <v>8</v>
      </c>
      <c r="DD145" s="444">
        <v>74.2</v>
      </c>
      <c r="DE145" s="377"/>
      <c r="DF145" s="373"/>
      <c r="DG145" s="444"/>
      <c r="DH145" s="377"/>
      <c r="DI145" s="373"/>
      <c r="DJ145" s="444" t="s">
        <v>6</v>
      </c>
      <c r="DK145" s="377"/>
      <c r="DL145" s="373"/>
      <c r="DM145" s="444" t="s">
        <v>6</v>
      </c>
      <c r="DN145" s="377">
        <v>5</v>
      </c>
      <c r="DO145" s="373">
        <v>1</v>
      </c>
      <c r="DP145" s="444">
        <v>83.3</v>
      </c>
      <c r="DQ145" s="377"/>
      <c r="DR145" s="373"/>
      <c r="DS145" s="444"/>
      <c r="DT145" s="377">
        <v>2</v>
      </c>
      <c r="DU145" s="373"/>
      <c r="DV145" s="444">
        <v>100</v>
      </c>
      <c r="DW145" s="377">
        <v>3</v>
      </c>
      <c r="DX145" s="373"/>
      <c r="DY145" s="444">
        <v>100</v>
      </c>
      <c r="DZ145" s="377">
        <v>1</v>
      </c>
      <c r="EA145" s="373"/>
      <c r="EB145" s="444">
        <v>100</v>
      </c>
      <c r="EC145" s="377"/>
      <c r="ED145" s="373"/>
      <c r="EE145" s="444"/>
      <c r="EF145" s="377">
        <v>181</v>
      </c>
      <c r="EG145" s="373">
        <v>1278</v>
      </c>
      <c r="EH145" s="444">
        <v>12.4</v>
      </c>
      <c r="EI145" s="377">
        <v>173</v>
      </c>
      <c r="EJ145" s="373">
        <v>682</v>
      </c>
      <c r="EK145" s="444">
        <v>20.2</v>
      </c>
      <c r="EL145" s="377">
        <v>137</v>
      </c>
      <c r="EM145" s="373">
        <v>795</v>
      </c>
      <c r="EN145" s="444">
        <v>14.7</v>
      </c>
      <c r="EO145" s="377"/>
      <c r="EP145" s="373"/>
      <c r="EQ145" s="444"/>
      <c r="ER145" s="377"/>
      <c r="ES145" s="373">
        <v>5</v>
      </c>
      <c r="ET145" s="444">
        <v>0</v>
      </c>
      <c r="EU145" s="377"/>
      <c r="EV145" s="373">
        <v>6</v>
      </c>
      <c r="EW145" s="444">
        <v>0</v>
      </c>
      <c r="EX145" s="377"/>
      <c r="EY145" s="373">
        <v>4</v>
      </c>
      <c r="EZ145" s="444">
        <v>0</v>
      </c>
      <c r="FA145" s="377"/>
      <c r="FB145" s="373"/>
      <c r="FC145" s="444"/>
      <c r="FD145" s="377">
        <v>3</v>
      </c>
      <c r="FE145" s="373">
        <v>66</v>
      </c>
      <c r="FF145" s="444">
        <v>4.3</v>
      </c>
      <c r="FG145" s="377">
        <v>1</v>
      </c>
      <c r="FH145" s="373">
        <v>13</v>
      </c>
      <c r="FI145" s="444">
        <v>7.1</v>
      </c>
      <c r="FJ145" s="377"/>
      <c r="FK145" s="373">
        <v>16</v>
      </c>
      <c r="FL145" s="444">
        <v>0</v>
      </c>
      <c r="FM145" s="377"/>
      <c r="FN145" s="373"/>
      <c r="FO145" s="444"/>
      <c r="FP145" s="377">
        <v>45</v>
      </c>
      <c r="FQ145" s="373">
        <v>237</v>
      </c>
      <c r="FR145" s="444">
        <v>16</v>
      </c>
      <c r="FS145" s="377">
        <v>34</v>
      </c>
      <c r="FT145" s="373">
        <v>103</v>
      </c>
      <c r="FU145" s="444">
        <v>24.8</v>
      </c>
      <c r="FV145" s="377">
        <v>27</v>
      </c>
      <c r="FW145" s="373">
        <v>99</v>
      </c>
      <c r="FX145" s="444">
        <v>21.4</v>
      </c>
      <c r="FY145" s="377"/>
      <c r="FZ145" s="373"/>
      <c r="GA145" s="444"/>
      <c r="GB145" s="377">
        <v>2</v>
      </c>
      <c r="GC145" s="373">
        <v>2</v>
      </c>
      <c r="GD145" s="444">
        <v>50</v>
      </c>
      <c r="GE145" s="377">
        <v>3</v>
      </c>
      <c r="GF145" s="373"/>
      <c r="GG145" s="444">
        <v>100</v>
      </c>
      <c r="GH145" s="377">
        <v>6</v>
      </c>
      <c r="GI145" s="373">
        <v>1</v>
      </c>
      <c r="GJ145" s="444">
        <v>85.7</v>
      </c>
      <c r="GK145" s="377"/>
      <c r="GL145" s="373"/>
      <c r="GM145" s="444"/>
      <c r="GN145" s="377">
        <v>6</v>
      </c>
      <c r="GO145" s="373">
        <v>23</v>
      </c>
      <c r="GP145" s="444">
        <v>20.7</v>
      </c>
      <c r="GQ145" s="377">
        <v>5</v>
      </c>
      <c r="GR145" s="373">
        <v>12</v>
      </c>
      <c r="GS145" s="444">
        <v>29.4</v>
      </c>
      <c r="GT145" s="377">
        <v>14</v>
      </c>
      <c r="GU145" s="373">
        <v>3</v>
      </c>
      <c r="GV145" s="444">
        <v>82.4</v>
      </c>
      <c r="GW145" s="377"/>
      <c r="GX145" s="373"/>
      <c r="GY145" s="444"/>
      <c r="GZ145" s="377"/>
      <c r="HA145" s="373"/>
      <c r="HB145" s="444" t="s">
        <v>6</v>
      </c>
      <c r="HC145" s="377">
        <v>1</v>
      </c>
      <c r="HD145" s="373"/>
      <c r="HE145" s="444">
        <v>100</v>
      </c>
      <c r="HF145" s="377"/>
      <c r="HG145" s="373">
        <v>1</v>
      </c>
      <c r="HH145" s="444">
        <v>0</v>
      </c>
      <c r="HI145" s="377"/>
      <c r="HJ145" s="373"/>
      <c r="HK145" s="444"/>
      <c r="HL145" s="377">
        <v>15</v>
      </c>
      <c r="HM145" s="373">
        <v>54</v>
      </c>
      <c r="HN145" s="444">
        <v>21.7</v>
      </c>
      <c r="HO145" s="377">
        <v>12</v>
      </c>
      <c r="HP145" s="373">
        <v>27</v>
      </c>
      <c r="HQ145" s="444">
        <v>30.8</v>
      </c>
      <c r="HR145" s="377">
        <v>11</v>
      </c>
      <c r="HS145" s="373">
        <v>30</v>
      </c>
      <c r="HT145" s="444">
        <v>26.8</v>
      </c>
      <c r="HU145" s="377"/>
      <c r="HV145" s="373"/>
      <c r="HW145" s="444"/>
      <c r="HX145" s="377">
        <v>5</v>
      </c>
      <c r="HY145" s="373"/>
      <c r="HZ145" s="444">
        <v>100</v>
      </c>
      <c r="IA145" s="377">
        <v>2</v>
      </c>
      <c r="IB145" s="373"/>
      <c r="IC145" s="444">
        <v>100</v>
      </c>
      <c r="ID145" s="377">
        <v>3</v>
      </c>
      <c r="IE145" s="373"/>
      <c r="IF145" s="444">
        <v>100</v>
      </c>
      <c r="IG145" s="377"/>
      <c r="IH145" s="373"/>
      <c r="II145" s="444"/>
      <c r="IJ145" s="377">
        <v>2</v>
      </c>
      <c r="IK145" s="373">
        <v>3</v>
      </c>
      <c r="IL145" s="444">
        <v>40</v>
      </c>
      <c r="IM145" s="377">
        <v>4</v>
      </c>
      <c r="IN145" s="373">
        <v>2</v>
      </c>
      <c r="IO145" s="444">
        <v>66.7</v>
      </c>
      <c r="IP145" s="377">
        <v>3</v>
      </c>
      <c r="IQ145" s="373"/>
      <c r="IR145" s="444">
        <v>100</v>
      </c>
      <c r="IS145" s="377"/>
      <c r="IT145" s="373"/>
      <c r="IU145" s="444"/>
      <c r="IV145" s="377">
        <v>255</v>
      </c>
      <c r="IW145" s="373">
        <v>1373</v>
      </c>
      <c r="IX145" s="444">
        <v>15.7</v>
      </c>
      <c r="IY145" s="377">
        <v>250</v>
      </c>
      <c r="IZ145" s="373">
        <v>731</v>
      </c>
      <c r="JA145" s="444">
        <v>25.5</v>
      </c>
      <c r="JB145" s="377">
        <v>227</v>
      </c>
      <c r="JC145" s="373">
        <v>853</v>
      </c>
      <c r="JD145" s="444">
        <v>21</v>
      </c>
      <c r="JE145" s="377"/>
      <c r="JF145" s="373"/>
      <c r="JG145" s="444"/>
      <c r="JH145" s="377">
        <v>36</v>
      </c>
      <c r="JI145" s="373">
        <v>138</v>
      </c>
      <c r="JJ145" s="444">
        <v>20.7</v>
      </c>
      <c r="JK145" s="377">
        <v>35</v>
      </c>
      <c r="JL145" s="373">
        <v>38</v>
      </c>
      <c r="JM145" s="444">
        <v>47.9</v>
      </c>
      <c r="JN145" s="377">
        <v>56</v>
      </c>
      <c r="JO145" s="373">
        <v>202</v>
      </c>
      <c r="JP145" s="444">
        <v>21.7</v>
      </c>
      <c r="JQ145" s="377"/>
      <c r="JR145" s="373"/>
      <c r="JS145" s="444"/>
      <c r="JT145" s="377">
        <v>1</v>
      </c>
      <c r="JU145" s="373"/>
      <c r="JV145" s="444">
        <v>100</v>
      </c>
      <c r="JW145" s="377">
        <v>1</v>
      </c>
      <c r="JX145" s="373"/>
      <c r="JY145" s="444">
        <v>100</v>
      </c>
      <c r="JZ145" s="377">
        <v>3</v>
      </c>
      <c r="KA145" s="373"/>
      <c r="KB145" s="444">
        <v>100</v>
      </c>
      <c r="KC145" s="377"/>
      <c r="KD145" s="373"/>
      <c r="KE145" s="444"/>
      <c r="KF145" s="377"/>
      <c r="KG145" s="373">
        <v>2</v>
      </c>
      <c r="KH145" s="444">
        <v>0</v>
      </c>
      <c r="KI145" s="377"/>
      <c r="KJ145" s="373"/>
      <c r="KK145" s="444" t="s">
        <v>6</v>
      </c>
      <c r="KL145" s="377"/>
      <c r="KM145" s="373"/>
      <c r="KN145" s="444" t="s">
        <v>6</v>
      </c>
      <c r="KO145" s="377"/>
      <c r="KP145" s="373"/>
      <c r="KQ145" s="444"/>
      <c r="KR145" s="377">
        <v>50</v>
      </c>
      <c r="KS145" s="373">
        <v>144</v>
      </c>
      <c r="KT145" s="444">
        <v>25.8</v>
      </c>
      <c r="KU145" s="377">
        <v>54</v>
      </c>
      <c r="KV145" s="373">
        <v>44</v>
      </c>
      <c r="KW145" s="444">
        <v>55.1</v>
      </c>
      <c r="KX145" s="377">
        <v>69</v>
      </c>
      <c r="KY145" s="373">
        <v>205</v>
      </c>
      <c r="KZ145" s="444">
        <v>25.2</v>
      </c>
      <c r="LA145" s="377"/>
      <c r="LB145" s="373"/>
      <c r="LC145" s="444"/>
      <c r="LD145" s="377">
        <v>662</v>
      </c>
      <c r="LE145" s="373">
        <v>1522</v>
      </c>
      <c r="LF145" s="444">
        <v>30.3</v>
      </c>
      <c r="LG145" s="377">
        <v>1166</v>
      </c>
      <c r="LH145" s="373">
        <v>814</v>
      </c>
      <c r="LI145" s="444">
        <v>58.9</v>
      </c>
      <c r="LJ145" s="377">
        <v>465</v>
      </c>
      <c r="LK145" s="373">
        <v>972</v>
      </c>
      <c r="LL145" s="444">
        <v>32.4</v>
      </c>
      <c r="LM145" s="377"/>
      <c r="LN145" s="373"/>
      <c r="LO145" s="444"/>
    </row>
    <row r="146" spans="1:327" ht="13.5" thickBot="1" x14ac:dyDescent="0.25">
      <c r="A146" s="1001"/>
      <c r="B146" s="748"/>
      <c r="C146" s="156" t="s">
        <v>735</v>
      </c>
      <c r="D146" s="445"/>
      <c r="E146" s="446"/>
      <c r="F146" s="447" t="s">
        <v>6</v>
      </c>
      <c r="G146" s="445"/>
      <c r="H146" s="446"/>
      <c r="I146" s="447" t="s">
        <v>6</v>
      </c>
      <c r="J146" s="445"/>
      <c r="K146" s="446"/>
      <c r="L146" s="447" t="s">
        <v>6</v>
      </c>
      <c r="M146" s="445"/>
      <c r="N146" s="446"/>
      <c r="O146" s="447"/>
      <c r="P146" s="445"/>
      <c r="Q146" s="446"/>
      <c r="R146" s="447" t="s">
        <v>6</v>
      </c>
      <c r="S146" s="445"/>
      <c r="T146" s="446"/>
      <c r="U146" s="447" t="s">
        <v>6</v>
      </c>
      <c r="V146" s="445"/>
      <c r="W146" s="446"/>
      <c r="X146" s="447" t="s">
        <v>6</v>
      </c>
      <c r="Y146" s="445"/>
      <c r="Z146" s="446"/>
      <c r="AA146" s="447"/>
      <c r="AB146" s="445"/>
      <c r="AC146" s="446"/>
      <c r="AD146" s="447" t="s">
        <v>6</v>
      </c>
      <c r="AE146" s="445"/>
      <c r="AF146" s="446"/>
      <c r="AG146" s="447" t="s">
        <v>6</v>
      </c>
      <c r="AH146" s="445"/>
      <c r="AI146" s="446"/>
      <c r="AJ146" s="447" t="s">
        <v>6</v>
      </c>
      <c r="AK146" s="445"/>
      <c r="AL146" s="446"/>
      <c r="AM146" s="447"/>
      <c r="AN146" s="445"/>
      <c r="AO146" s="446"/>
      <c r="AP146" s="447" t="s">
        <v>6</v>
      </c>
      <c r="AQ146" s="445"/>
      <c r="AR146" s="446"/>
      <c r="AS146" s="447" t="s">
        <v>6</v>
      </c>
      <c r="AT146" s="445"/>
      <c r="AU146" s="446"/>
      <c r="AV146" s="447" t="s">
        <v>6</v>
      </c>
      <c r="AW146" s="445"/>
      <c r="AX146" s="446"/>
      <c r="AY146" s="447"/>
      <c r="AZ146" s="445"/>
      <c r="BA146" s="446"/>
      <c r="BB146" s="447" t="s">
        <v>6</v>
      </c>
      <c r="BC146" s="445"/>
      <c r="BD146" s="446"/>
      <c r="BE146" s="447" t="s">
        <v>6</v>
      </c>
      <c r="BF146" s="445"/>
      <c r="BG146" s="446"/>
      <c r="BH146" s="447" t="s">
        <v>6</v>
      </c>
      <c r="BI146" s="445"/>
      <c r="BJ146" s="446"/>
      <c r="BK146" s="447"/>
      <c r="BL146" s="445"/>
      <c r="BM146" s="446"/>
      <c r="BN146" s="447" t="s">
        <v>6</v>
      </c>
      <c r="BO146" s="445"/>
      <c r="BP146" s="446"/>
      <c r="BQ146" s="447" t="s">
        <v>6</v>
      </c>
      <c r="BR146" s="445"/>
      <c r="BS146" s="446"/>
      <c r="BT146" s="447" t="s">
        <v>6</v>
      </c>
      <c r="BU146" s="445"/>
      <c r="BV146" s="446"/>
      <c r="BW146" s="447"/>
      <c r="BX146" s="445"/>
      <c r="BY146" s="446"/>
      <c r="BZ146" s="447" t="s">
        <v>6</v>
      </c>
      <c r="CA146" s="445"/>
      <c r="CB146" s="446"/>
      <c r="CC146" s="447" t="s">
        <v>6</v>
      </c>
      <c r="CD146" s="445"/>
      <c r="CE146" s="446"/>
      <c r="CF146" s="447" t="s">
        <v>6</v>
      </c>
      <c r="CG146" s="445"/>
      <c r="CH146" s="446"/>
      <c r="CI146" s="447"/>
      <c r="CJ146" s="445"/>
      <c r="CK146" s="446"/>
      <c r="CL146" s="447" t="s">
        <v>6</v>
      </c>
      <c r="CM146" s="445"/>
      <c r="CN146" s="446"/>
      <c r="CO146" s="447" t="s">
        <v>6</v>
      </c>
      <c r="CP146" s="445"/>
      <c r="CQ146" s="446"/>
      <c r="CR146" s="447" t="s">
        <v>6</v>
      </c>
      <c r="CS146" s="445"/>
      <c r="CT146" s="446"/>
      <c r="CU146" s="447"/>
      <c r="CV146" s="445"/>
      <c r="CW146" s="446"/>
      <c r="CX146" s="447" t="s">
        <v>6</v>
      </c>
      <c r="CY146" s="445"/>
      <c r="CZ146" s="446"/>
      <c r="DA146" s="447" t="s">
        <v>6</v>
      </c>
      <c r="DB146" s="445"/>
      <c r="DC146" s="446"/>
      <c r="DD146" s="447" t="s">
        <v>6</v>
      </c>
      <c r="DE146" s="445"/>
      <c r="DF146" s="446"/>
      <c r="DG146" s="447"/>
      <c r="DH146" s="445"/>
      <c r="DI146" s="446"/>
      <c r="DJ146" s="447" t="s">
        <v>6</v>
      </c>
      <c r="DK146" s="445"/>
      <c r="DL146" s="446"/>
      <c r="DM146" s="447" t="s">
        <v>6</v>
      </c>
      <c r="DN146" s="445"/>
      <c r="DO146" s="446"/>
      <c r="DP146" s="447" t="s">
        <v>6</v>
      </c>
      <c r="DQ146" s="445"/>
      <c r="DR146" s="446"/>
      <c r="DS146" s="447"/>
      <c r="DT146" s="445"/>
      <c r="DU146" s="446"/>
      <c r="DV146" s="447" t="s">
        <v>6</v>
      </c>
      <c r="DW146" s="445"/>
      <c r="DX146" s="446"/>
      <c r="DY146" s="447" t="s">
        <v>6</v>
      </c>
      <c r="DZ146" s="445"/>
      <c r="EA146" s="446"/>
      <c r="EB146" s="447" t="s">
        <v>6</v>
      </c>
      <c r="EC146" s="445"/>
      <c r="ED146" s="446"/>
      <c r="EE146" s="447"/>
      <c r="EF146" s="445">
        <v>1</v>
      </c>
      <c r="EG146" s="446">
        <v>6</v>
      </c>
      <c r="EH146" s="447">
        <v>14.3</v>
      </c>
      <c r="EI146" s="445"/>
      <c r="EJ146" s="446">
        <v>6</v>
      </c>
      <c r="EK146" s="447">
        <v>0</v>
      </c>
      <c r="EL146" s="445">
        <v>3</v>
      </c>
      <c r="EM146" s="446">
        <v>2</v>
      </c>
      <c r="EN146" s="447">
        <v>60</v>
      </c>
      <c r="EO146" s="445"/>
      <c r="EP146" s="446"/>
      <c r="EQ146" s="447"/>
      <c r="ER146" s="445"/>
      <c r="ES146" s="446"/>
      <c r="ET146" s="447" t="s">
        <v>6</v>
      </c>
      <c r="EU146" s="445"/>
      <c r="EV146" s="446"/>
      <c r="EW146" s="447" t="s">
        <v>6</v>
      </c>
      <c r="EX146" s="445"/>
      <c r="EY146" s="446"/>
      <c r="EZ146" s="447" t="s">
        <v>6</v>
      </c>
      <c r="FA146" s="445"/>
      <c r="FB146" s="446"/>
      <c r="FC146" s="447"/>
      <c r="FD146" s="445"/>
      <c r="FE146" s="446"/>
      <c r="FF146" s="447" t="s">
        <v>6</v>
      </c>
      <c r="FG146" s="445"/>
      <c r="FH146" s="446">
        <v>1</v>
      </c>
      <c r="FI146" s="447">
        <v>0</v>
      </c>
      <c r="FJ146" s="445"/>
      <c r="FK146" s="446"/>
      <c r="FL146" s="447" t="s">
        <v>6</v>
      </c>
      <c r="FM146" s="445"/>
      <c r="FN146" s="446"/>
      <c r="FO146" s="447"/>
      <c r="FP146" s="445"/>
      <c r="FQ146" s="446"/>
      <c r="FR146" s="447" t="s">
        <v>6</v>
      </c>
      <c r="FS146" s="445"/>
      <c r="FT146" s="446"/>
      <c r="FU146" s="447" t="s">
        <v>6</v>
      </c>
      <c r="FV146" s="445"/>
      <c r="FW146" s="446"/>
      <c r="FX146" s="447" t="s">
        <v>6</v>
      </c>
      <c r="FY146" s="445"/>
      <c r="FZ146" s="446"/>
      <c r="GA146" s="447"/>
      <c r="GB146" s="445"/>
      <c r="GC146" s="446"/>
      <c r="GD146" s="447" t="s">
        <v>6</v>
      </c>
      <c r="GE146" s="445"/>
      <c r="GF146" s="446"/>
      <c r="GG146" s="447" t="s">
        <v>6</v>
      </c>
      <c r="GH146" s="445"/>
      <c r="GI146" s="446"/>
      <c r="GJ146" s="447" t="s">
        <v>6</v>
      </c>
      <c r="GK146" s="445"/>
      <c r="GL146" s="446"/>
      <c r="GM146" s="447"/>
      <c r="GN146" s="445"/>
      <c r="GO146" s="446"/>
      <c r="GP146" s="447" t="s">
        <v>6</v>
      </c>
      <c r="GQ146" s="445"/>
      <c r="GR146" s="446"/>
      <c r="GS146" s="447" t="s">
        <v>6</v>
      </c>
      <c r="GT146" s="445"/>
      <c r="GU146" s="446"/>
      <c r="GV146" s="447" t="s">
        <v>6</v>
      </c>
      <c r="GW146" s="445"/>
      <c r="GX146" s="446"/>
      <c r="GY146" s="447"/>
      <c r="GZ146" s="445"/>
      <c r="HA146" s="446"/>
      <c r="HB146" s="447" t="s">
        <v>6</v>
      </c>
      <c r="HC146" s="445"/>
      <c r="HD146" s="446"/>
      <c r="HE146" s="447" t="s">
        <v>6</v>
      </c>
      <c r="HF146" s="445"/>
      <c r="HG146" s="446"/>
      <c r="HH146" s="447" t="s">
        <v>6</v>
      </c>
      <c r="HI146" s="445"/>
      <c r="HJ146" s="446"/>
      <c r="HK146" s="447"/>
      <c r="HL146" s="445"/>
      <c r="HM146" s="446"/>
      <c r="HN146" s="447" t="s">
        <v>6</v>
      </c>
      <c r="HO146" s="445"/>
      <c r="HP146" s="446">
        <v>1</v>
      </c>
      <c r="HQ146" s="447">
        <v>0</v>
      </c>
      <c r="HR146" s="445"/>
      <c r="HS146" s="446"/>
      <c r="HT146" s="447" t="s">
        <v>6</v>
      </c>
      <c r="HU146" s="445"/>
      <c r="HV146" s="446"/>
      <c r="HW146" s="447"/>
      <c r="HX146" s="445"/>
      <c r="HY146" s="446"/>
      <c r="HZ146" s="447" t="s">
        <v>6</v>
      </c>
      <c r="IA146" s="445"/>
      <c r="IB146" s="446"/>
      <c r="IC146" s="447" t="s">
        <v>6</v>
      </c>
      <c r="ID146" s="445"/>
      <c r="IE146" s="446"/>
      <c r="IF146" s="447" t="s">
        <v>6</v>
      </c>
      <c r="IG146" s="445"/>
      <c r="IH146" s="446"/>
      <c r="II146" s="447"/>
      <c r="IJ146" s="445"/>
      <c r="IK146" s="446"/>
      <c r="IL146" s="447" t="s">
        <v>6</v>
      </c>
      <c r="IM146" s="445"/>
      <c r="IN146" s="446"/>
      <c r="IO146" s="447" t="s">
        <v>6</v>
      </c>
      <c r="IP146" s="445"/>
      <c r="IQ146" s="446"/>
      <c r="IR146" s="447" t="s">
        <v>6</v>
      </c>
      <c r="IS146" s="445"/>
      <c r="IT146" s="446"/>
      <c r="IU146" s="447"/>
      <c r="IV146" s="445">
        <v>1</v>
      </c>
      <c r="IW146" s="446">
        <v>6</v>
      </c>
      <c r="IX146" s="447">
        <v>14.3</v>
      </c>
      <c r="IY146" s="445"/>
      <c r="IZ146" s="446">
        <v>7</v>
      </c>
      <c r="JA146" s="447">
        <v>0</v>
      </c>
      <c r="JB146" s="445">
        <v>3</v>
      </c>
      <c r="JC146" s="446">
        <v>2</v>
      </c>
      <c r="JD146" s="447">
        <v>60</v>
      </c>
      <c r="JE146" s="445"/>
      <c r="JF146" s="446"/>
      <c r="JG146" s="447"/>
      <c r="JH146" s="445"/>
      <c r="JI146" s="446">
        <v>5</v>
      </c>
      <c r="JJ146" s="447">
        <v>0</v>
      </c>
      <c r="JK146" s="445"/>
      <c r="JL146" s="446">
        <v>6</v>
      </c>
      <c r="JM146" s="447">
        <v>0</v>
      </c>
      <c r="JN146" s="445">
        <v>1</v>
      </c>
      <c r="JO146" s="446"/>
      <c r="JP146" s="447">
        <v>100</v>
      </c>
      <c r="JQ146" s="445"/>
      <c r="JR146" s="446"/>
      <c r="JS146" s="447"/>
      <c r="JT146" s="445"/>
      <c r="JU146" s="446"/>
      <c r="JV146" s="447" t="s">
        <v>6</v>
      </c>
      <c r="JW146" s="445"/>
      <c r="JX146" s="446"/>
      <c r="JY146" s="447" t="s">
        <v>6</v>
      </c>
      <c r="JZ146" s="445"/>
      <c r="KA146" s="446"/>
      <c r="KB146" s="447" t="s">
        <v>6</v>
      </c>
      <c r="KC146" s="445"/>
      <c r="KD146" s="446"/>
      <c r="KE146" s="447"/>
      <c r="KF146" s="445"/>
      <c r="KG146" s="446"/>
      <c r="KH146" s="447" t="s">
        <v>6</v>
      </c>
      <c r="KI146" s="445">
        <v>2</v>
      </c>
      <c r="KJ146" s="446"/>
      <c r="KK146" s="447">
        <v>100</v>
      </c>
      <c r="KL146" s="445"/>
      <c r="KM146" s="446"/>
      <c r="KN146" s="447" t="s">
        <v>6</v>
      </c>
      <c r="KO146" s="445"/>
      <c r="KP146" s="446"/>
      <c r="KQ146" s="447"/>
      <c r="KR146" s="445"/>
      <c r="KS146" s="446">
        <v>5</v>
      </c>
      <c r="KT146" s="447">
        <v>0</v>
      </c>
      <c r="KU146" s="445">
        <v>7</v>
      </c>
      <c r="KV146" s="446">
        <v>6</v>
      </c>
      <c r="KW146" s="447">
        <v>53.8</v>
      </c>
      <c r="KX146" s="445">
        <v>2</v>
      </c>
      <c r="KY146" s="446">
        <v>1</v>
      </c>
      <c r="KZ146" s="447">
        <v>66.7</v>
      </c>
      <c r="LA146" s="445"/>
      <c r="LB146" s="446"/>
      <c r="LC146" s="447"/>
      <c r="LD146" s="445">
        <v>6</v>
      </c>
      <c r="LE146" s="446">
        <v>9</v>
      </c>
      <c r="LF146" s="447">
        <v>40</v>
      </c>
      <c r="LG146" s="445">
        <v>10</v>
      </c>
      <c r="LH146" s="446">
        <v>7</v>
      </c>
      <c r="LI146" s="447">
        <v>58.8</v>
      </c>
      <c r="LJ146" s="445">
        <v>11</v>
      </c>
      <c r="LK146" s="446">
        <v>3</v>
      </c>
      <c r="LL146" s="447">
        <v>78.599999999999994</v>
      </c>
      <c r="LM146" s="445"/>
      <c r="LN146" s="446"/>
      <c r="LO146" s="447"/>
    </row>
    <row r="147" spans="1:327" s="259" customFormat="1" ht="13.5" thickBot="1" x14ac:dyDescent="0.25">
      <c r="A147" s="1002"/>
      <c r="B147" s="751"/>
      <c r="C147" s="277" t="s">
        <v>789</v>
      </c>
      <c r="D147" s="384">
        <v>6</v>
      </c>
      <c r="E147" s="385"/>
      <c r="F147" s="451">
        <v>100</v>
      </c>
      <c r="G147" s="384">
        <v>7</v>
      </c>
      <c r="H147" s="385">
        <v>1</v>
      </c>
      <c r="I147" s="451">
        <v>87.5</v>
      </c>
      <c r="J147" s="384">
        <v>2</v>
      </c>
      <c r="K147" s="385"/>
      <c r="L147" s="451">
        <v>100</v>
      </c>
      <c r="M147" s="384"/>
      <c r="N147" s="385"/>
      <c r="O147" s="451"/>
      <c r="P147" s="384">
        <v>4</v>
      </c>
      <c r="Q147" s="385"/>
      <c r="R147" s="451">
        <v>100</v>
      </c>
      <c r="S147" s="384">
        <v>6</v>
      </c>
      <c r="T147" s="385">
        <v>1</v>
      </c>
      <c r="U147" s="451">
        <v>85.7</v>
      </c>
      <c r="V147" s="384">
        <v>2</v>
      </c>
      <c r="W147" s="385"/>
      <c r="X147" s="451">
        <v>100</v>
      </c>
      <c r="Y147" s="384"/>
      <c r="Z147" s="385"/>
      <c r="AA147" s="451"/>
      <c r="AB147" s="384">
        <v>2</v>
      </c>
      <c r="AC147" s="385"/>
      <c r="AD147" s="451">
        <v>100</v>
      </c>
      <c r="AE147" s="384"/>
      <c r="AF147" s="385"/>
      <c r="AG147" s="451" t="s">
        <v>6</v>
      </c>
      <c r="AH147" s="384"/>
      <c r="AI147" s="385"/>
      <c r="AJ147" s="451" t="s">
        <v>6</v>
      </c>
      <c r="AK147" s="384"/>
      <c r="AL147" s="385"/>
      <c r="AM147" s="451"/>
      <c r="AN147" s="384">
        <v>140</v>
      </c>
      <c r="AO147" s="385">
        <v>31</v>
      </c>
      <c r="AP147" s="451">
        <v>81.900000000000006</v>
      </c>
      <c r="AQ147" s="384">
        <v>136</v>
      </c>
      <c r="AR147" s="385">
        <v>26</v>
      </c>
      <c r="AS147" s="451">
        <v>84</v>
      </c>
      <c r="AT147" s="384">
        <v>118</v>
      </c>
      <c r="AU147" s="385">
        <v>31</v>
      </c>
      <c r="AV147" s="451">
        <v>79.2</v>
      </c>
      <c r="AW147" s="384"/>
      <c r="AX147" s="385"/>
      <c r="AY147" s="451"/>
      <c r="AZ147" s="384">
        <v>69</v>
      </c>
      <c r="BA147" s="385">
        <v>20</v>
      </c>
      <c r="BB147" s="451">
        <v>77.5</v>
      </c>
      <c r="BC147" s="384">
        <v>71</v>
      </c>
      <c r="BD147" s="385">
        <v>22</v>
      </c>
      <c r="BE147" s="451">
        <v>76.3</v>
      </c>
      <c r="BF147" s="384">
        <v>48</v>
      </c>
      <c r="BG147" s="385">
        <v>22</v>
      </c>
      <c r="BH147" s="451">
        <v>68.599999999999994</v>
      </c>
      <c r="BI147" s="384"/>
      <c r="BJ147" s="385"/>
      <c r="BK147" s="451"/>
      <c r="BL147" s="384"/>
      <c r="BM147" s="385"/>
      <c r="BN147" s="451" t="s">
        <v>6</v>
      </c>
      <c r="BO147" s="384">
        <v>1</v>
      </c>
      <c r="BP147" s="385"/>
      <c r="BQ147" s="451">
        <v>100</v>
      </c>
      <c r="BR147" s="384"/>
      <c r="BS147" s="385"/>
      <c r="BT147" s="451" t="s">
        <v>6</v>
      </c>
      <c r="BU147" s="384"/>
      <c r="BV147" s="385"/>
      <c r="BW147" s="451"/>
      <c r="BX147" s="384"/>
      <c r="BY147" s="385"/>
      <c r="BZ147" s="451" t="s">
        <v>6</v>
      </c>
      <c r="CA147" s="384">
        <v>1</v>
      </c>
      <c r="CB147" s="385"/>
      <c r="CC147" s="451">
        <v>100</v>
      </c>
      <c r="CD147" s="384"/>
      <c r="CE147" s="385"/>
      <c r="CF147" s="451" t="s">
        <v>6</v>
      </c>
      <c r="CG147" s="384"/>
      <c r="CH147" s="385"/>
      <c r="CI147" s="451"/>
      <c r="CJ147" s="384">
        <v>1</v>
      </c>
      <c r="CK147" s="385"/>
      <c r="CL147" s="451">
        <v>100</v>
      </c>
      <c r="CM147" s="384">
        <v>2</v>
      </c>
      <c r="CN147" s="385"/>
      <c r="CO147" s="451">
        <v>100</v>
      </c>
      <c r="CP147" s="384">
        <v>2</v>
      </c>
      <c r="CQ147" s="385"/>
      <c r="CR147" s="451">
        <v>100</v>
      </c>
      <c r="CS147" s="384"/>
      <c r="CT147" s="385"/>
      <c r="CU147" s="451"/>
      <c r="CV147" s="384">
        <v>114</v>
      </c>
      <c r="CW147" s="385">
        <v>16</v>
      </c>
      <c r="CX147" s="451">
        <v>87.7</v>
      </c>
      <c r="CY147" s="384">
        <v>119</v>
      </c>
      <c r="CZ147" s="385">
        <v>12</v>
      </c>
      <c r="DA147" s="451">
        <v>90.8</v>
      </c>
      <c r="DB147" s="384">
        <v>104</v>
      </c>
      <c r="DC147" s="385">
        <v>20</v>
      </c>
      <c r="DD147" s="451">
        <v>83.9</v>
      </c>
      <c r="DE147" s="384"/>
      <c r="DF147" s="385"/>
      <c r="DG147" s="451"/>
      <c r="DH147" s="384">
        <v>11</v>
      </c>
      <c r="DI147" s="385">
        <v>1</v>
      </c>
      <c r="DJ147" s="451">
        <v>91.7</v>
      </c>
      <c r="DK147" s="384">
        <v>2</v>
      </c>
      <c r="DL147" s="385"/>
      <c r="DM147" s="451">
        <v>100</v>
      </c>
      <c r="DN147" s="384">
        <v>10</v>
      </c>
      <c r="DO147" s="385">
        <v>1</v>
      </c>
      <c r="DP147" s="451">
        <v>90.9</v>
      </c>
      <c r="DQ147" s="384"/>
      <c r="DR147" s="385"/>
      <c r="DS147" s="451"/>
      <c r="DT147" s="384">
        <v>4</v>
      </c>
      <c r="DU147" s="385"/>
      <c r="DV147" s="451">
        <v>100</v>
      </c>
      <c r="DW147" s="384">
        <v>11</v>
      </c>
      <c r="DX147" s="385"/>
      <c r="DY147" s="451">
        <v>100</v>
      </c>
      <c r="DZ147" s="384">
        <v>9</v>
      </c>
      <c r="EA147" s="385">
        <v>1</v>
      </c>
      <c r="EB147" s="451">
        <v>90</v>
      </c>
      <c r="EC147" s="384"/>
      <c r="ED147" s="385"/>
      <c r="EE147" s="451"/>
      <c r="EF147" s="384">
        <v>966</v>
      </c>
      <c r="EG147" s="385">
        <v>3403</v>
      </c>
      <c r="EH147" s="451">
        <v>22.1</v>
      </c>
      <c r="EI147" s="384">
        <v>912</v>
      </c>
      <c r="EJ147" s="385">
        <v>1833</v>
      </c>
      <c r="EK147" s="451">
        <v>33.200000000000003</v>
      </c>
      <c r="EL147" s="384">
        <v>782</v>
      </c>
      <c r="EM147" s="385">
        <v>1738</v>
      </c>
      <c r="EN147" s="451">
        <v>31</v>
      </c>
      <c r="EO147" s="384"/>
      <c r="EP147" s="385"/>
      <c r="EQ147" s="451"/>
      <c r="ER147" s="384">
        <v>1</v>
      </c>
      <c r="ES147" s="385">
        <v>6</v>
      </c>
      <c r="ET147" s="451">
        <v>14.3</v>
      </c>
      <c r="EU147" s="384">
        <v>7</v>
      </c>
      <c r="EV147" s="385">
        <v>13</v>
      </c>
      <c r="EW147" s="451">
        <v>35</v>
      </c>
      <c r="EX147" s="384">
        <v>1</v>
      </c>
      <c r="EY147" s="385">
        <v>13</v>
      </c>
      <c r="EZ147" s="451">
        <v>7.1</v>
      </c>
      <c r="FA147" s="384"/>
      <c r="FB147" s="385"/>
      <c r="FC147" s="451"/>
      <c r="FD147" s="384">
        <v>13</v>
      </c>
      <c r="FE147" s="385">
        <v>129</v>
      </c>
      <c r="FF147" s="451">
        <v>9.1999999999999993</v>
      </c>
      <c r="FG147" s="384">
        <v>17</v>
      </c>
      <c r="FH147" s="385">
        <v>48</v>
      </c>
      <c r="FI147" s="451">
        <v>26.2</v>
      </c>
      <c r="FJ147" s="384">
        <v>33</v>
      </c>
      <c r="FK147" s="385">
        <v>49</v>
      </c>
      <c r="FL147" s="451">
        <v>40.200000000000003</v>
      </c>
      <c r="FM147" s="384"/>
      <c r="FN147" s="385"/>
      <c r="FO147" s="451"/>
      <c r="FP147" s="384">
        <v>211</v>
      </c>
      <c r="FQ147" s="385">
        <v>840</v>
      </c>
      <c r="FR147" s="451">
        <v>20.100000000000001</v>
      </c>
      <c r="FS147" s="384">
        <v>209</v>
      </c>
      <c r="FT147" s="385">
        <v>430</v>
      </c>
      <c r="FU147" s="451">
        <v>32.700000000000003</v>
      </c>
      <c r="FV147" s="384">
        <v>183</v>
      </c>
      <c r="FW147" s="385">
        <v>335</v>
      </c>
      <c r="FX147" s="451">
        <v>35.299999999999997</v>
      </c>
      <c r="FY147" s="384"/>
      <c r="FZ147" s="385"/>
      <c r="GA147" s="451"/>
      <c r="GB147" s="384">
        <v>22</v>
      </c>
      <c r="GC147" s="385">
        <v>5</v>
      </c>
      <c r="GD147" s="451">
        <v>81.5</v>
      </c>
      <c r="GE147" s="384">
        <v>15</v>
      </c>
      <c r="GF147" s="385">
        <v>1</v>
      </c>
      <c r="GG147" s="451">
        <v>93.8</v>
      </c>
      <c r="GH147" s="384">
        <v>9</v>
      </c>
      <c r="GI147" s="385">
        <v>1</v>
      </c>
      <c r="GJ147" s="451">
        <v>90</v>
      </c>
      <c r="GK147" s="384"/>
      <c r="GL147" s="385"/>
      <c r="GM147" s="451"/>
      <c r="GN147" s="384">
        <v>19</v>
      </c>
      <c r="GO147" s="385">
        <v>27</v>
      </c>
      <c r="GP147" s="451">
        <v>41.3</v>
      </c>
      <c r="GQ147" s="384">
        <v>21</v>
      </c>
      <c r="GR147" s="385">
        <v>12</v>
      </c>
      <c r="GS147" s="451">
        <v>63.6</v>
      </c>
      <c r="GT147" s="384">
        <v>27</v>
      </c>
      <c r="GU147" s="385">
        <v>4</v>
      </c>
      <c r="GV147" s="451">
        <v>87.1</v>
      </c>
      <c r="GW147" s="384"/>
      <c r="GX147" s="385"/>
      <c r="GY147" s="451"/>
      <c r="GZ147" s="384">
        <v>5</v>
      </c>
      <c r="HA147" s="385"/>
      <c r="HB147" s="451">
        <v>100</v>
      </c>
      <c r="HC147" s="384">
        <v>9</v>
      </c>
      <c r="HD147" s="385"/>
      <c r="HE147" s="451">
        <v>100</v>
      </c>
      <c r="HF147" s="384"/>
      <c r="HG147" s="385">
        <v>2</v>
      </c>
      <c r="HH147" s="451">
        <v>0</v>
      </c>
      <c r="HI147" s="384"/>
      <c r="HJ147" s="385"/>
      <c r="HK147" s="451"/>
      <c r="HL147" s="384">
        <v>43</v>
      </c>
      <c r="HM147" s="385">
        <v>151</v>
      </c>
      <c r="HN147" s="451">
        <v>22.2</v>
      </c>
      <c r="HO147" s="384">
        <v>36</v>
      </c>
      <c r="HP147" s="385">
        <v>84</v>
      </c>
      <c r="HQ147" s="451">
        <v>30</v>
      </c>
      <c r="HR147" s="384">
        <v>56</v>
      </c>
      <c r="HS147" s="385">
        <v>82</v>
      </c>
      <c r="HT147" s="451">
        <v>40.6</v>
      </c>
      <c r="HU147" s="384"/>
      <c r="HV147" s="385"/>
      <c r="HW147" s="451"/>
      <c r="HX147" s="384">
        <v>10</v>
      </c>
      <c r="HY147" s="385"/>
      <c r="HZ147" s="451">
        <v>100</v>
      </c>
      <c r="IA147" s="384">
        <v>12</v>
      </c>
      <c r="IB147" s="385"/>
      <c r="IC147" s="451">
        <v>100</v>
      </c>
      <c r="ID147" s="384">
        <v>9</v>
      </c>
      <c r="IE147" s="385"/>
      <c r="IF147" s="451">
        <v>100</v>
      </c>
      <c r="IG147" s="384"/>
      <c r="IH147" s="385"/>
      <c r="II147" s="451"/>
      <c r="IJ147" s="384">
        <v>16</v>
      </c>
      <c r="IK147" s="385">
        <v>6</v>
      </c>
      <c r="IL147" s="451">
        <v>72.7</v>
      </c>
      <c r="IM147" s="384">
        <v>15</v>
      </c>
      <c r="IN147" s="385">
        <v>3</v>
      </c>
      <c r="IO147" s="451">
        <v>83.3</v>
      </c>
      <c r="IP147" s="384">
        <v>11</v>
      </c>
      <c r="IQ147" s="385">
        <v>4</v>
      </c>
      <c r="IR147" s="451">
        <v>73.3</v>
      </c>
      <c r="IS147" s="384"/>
      <c r="IT147" s="385"/>
      <c r="IU147" s="451"/>
      <c r="IV147" s="384">
        <v>1357</v>
      </c>
      <c r="IW147" s="385">
        <v>3640</v>
      </c>
      <c r="IX147" s="451">
        <v>27.2</v>
      </c>
      <c r="IY147" s="384">
        <v>1298</v>
      </c>
      <c r="IZ147" s="385">
        <v>1972</v>
      </c>
      <c r="JA147" s="451">
        <v>39.700000000000003</v>
      </c>
      <c r="JB147" s="384">
        <v>1139</v>
      </c>
      <c r="JC147" s="385">
        <v>1884</v>
      </c>
      <c r="JD147" s="451">
        <v>37.700000000000003</v>
      </c>
      <c r="JE147" s="384"/>
      <c r="JF147" s="385"/>
      <c r="JG147" s="451"/>
      <c r="JH147" s="384">
        <v>200</v>
      </c>
      <c r="JI147" s="385">
        <v>366</v>
      </c>
      <c r="JJ147" s="451">
        <v>35.299999999999997</v>
      </c>
      <c r="JK147" s="384">
        <v>208</v>
      </c>
      <c r="JL147" s="385">
        <v>187</v>
      </c>
      <c r="JM147" s="451">
        <v>52.7</v>
      </c>
      <c r="JN147" s="384">
        <v>278</v>
      </c>
      <c r="JO147" s="385">
        <v>389</v>
      </c>
      <c r="JP147" s="451">
        <v>41.7</v>
      </c>
      <c r="JQ147" s="384"/>
      <c r="JR147" s="385"/>
      <c r="JS147" s="451"/>
      <c r="JT147" s="384">
        <v>8</v>
      </c>
      <c r="JU147" s="385">
        <v>3</v>
      </c>
      <c r="JV147" s="451">
        <v>72.7</v>
      </c>
      <c r="JW147" s="384">
        <v>7</v>
      </c>
      <c r="JX147" s="385">
        <v>5</v>
      </c>
      <c r="JY147" s="451">
        <v>58.3</v>
      </c>
      <c r="JZ147" s="384">
        <v>10</v>
      </c>
      <c r="KA147" s="385"/>
      <c r="KB147" s="451">
        <v>100</v>
      </c>
      <c r="KC147" s="384"/>
      <c r="KD147" s="385"/>
      <c r="KE147" s="451"/>
      <c r="KF147" s="384"/>
      <c r="KG147" s="385">
        <v>2</v>
      </c>
      <c r="KH147" s="451">
        <v>0</v>
      </c>
      <c r="KI147" s="384">
        <v>2</v>
      </c>
      <c r="KJ147" s="385">
        <v>1</v>
      </c>
      <c r="KK147" s="451">
        <v>66.7</v>
      </c>
      <c r="KL147" s="384">
        <v>4</v>
      </c>
      <c r="KM147" s="385"/>
      <c r="KN147" s="451">
        <v>100</v>
      </c>
      <c r="KO147" s="384"/>
      <c r="KP147" s="385"/>
      <c r="KQ147" s="451"/>
      <c r="KR147" s="384">
        <v>259</v>
      </c>
      <c r="KS147" s="385">
        <v>393</v>
      </c>
      <c r="KT147" s="451">
        <v>39.700000000000003</v>
      </c>
      <c r="KU147" s="384">
        <v>284</v>
      </c>
      <c r="KV147" s="385">
        <v>215</v>
      </c>
      <c r="KW147" s="451">
        <v>56.9</v>
      </c>
      <c r="KX147" s="384">
        <v>330</v>
      </c>
      <c r="KY147" s="385">
        <v>404</v>
      </c>
      <c r="KZ147" s="451">
        <v>45</v>
      </c>
      <c r="LA147" s="384"/>
      <c r="LB147" s="385"/>
      <c r="LC147" s="451"/>
      <c r="LD147" s="384">
        <v>2855</v>
      </c>
      <c r="LE147" s="385">
        <v>4102</v>
      </c>
      <c r="LF147" s="451">
        <v>41</v>
      </c>
      <c r="LG147" s="384">
        <v>3248</v>
      </c>
      <c r="LH147" s="385">
        <v>2274</v>
      </c>
      <c r="LI147" s="451">
        <v>58.8</v>
      </c>
      <c r="LJ147" s="384">
        <v>2864</v>
      </c>
      <c r="LK147" s="385">
        <v>2221</v>
      </c>
      <c r="LL147" s="451">
        <v>56.3</v>
      </c>
      <c r="LM147" s="384"/>
      <c r="LN147" s="385"/>
      <c r="LO147" s="451"/>
    </row>
    <row r="148" spans="1:327" x14ac:dyDescent="0.2">
      <c r="A148" s="1000" t="s">
        <v>601</v>
      </c>
      <c r="B148" s="749"/>
      <c r="C148" s="247" t="s">
        <v>602</v>
      </c>
      <c r="D148" s="441">
        <v>1</v>
      </c>
      <c r="E148" s="442"/>
      <c r="F148" s="443">
        <v>100</v>
      </c>
      <c r="G148" s="441">
        <v>7</v>
      </c>
      <c r="H148" s="442"/>
      <c r="I148" s="443">
        <v>100</v>
      </c>
      <c r="J148" s="441">
        <v>4</v>
      </c>
      <c r="K148" s="442"/>
      <c r="L148" s="443">
        <v>100</v>
      </c>
      <c r="M148" s="441"/>
      <c r="N148" s="442"/>
      <c r="O148" s="443"/>
      <c r="P148" s="441">
        <v>1</v>
      </c>
      <c r="Q148" s="442"/>
      <c r="R148" s="443">
        <v>100</v>
      </c>
      <c r="S148" s="441">
        <v>3</v>
      </c>
      <c r="T148" s="442"/>
      <c r="U148" s="443">
        <v>100</v>
      </c>
      <c r="V148" s="441">
        <v>3</v>
      </c>
      <c r="W148" s="442"/>
      <c r="X148" s="443">
        <v>100</v>
      </c>
      <c r="Y148" s="441"/>
      <c r="Z148" s="442"/>
      <c r="AA148" s="443"/>
      <c r="AB148" s="441"/>
      <c r="AC148" s="442"/>
      <c r="AD148" s="443" t="s">
        <v>6</v>
      </c>
      <c r="AE148" s="441">
        <v>2</v>
      </c>
      <c r="AF148" s="442"/>
      <c r="AG148" s="443">
        <v>100</v>
      </c>
      <c r="AH148" s="441">
        <v>1</v>
      </c>
      <c r="AI148" s="442"/>
      <c r="AJ148" s="443">
        <v>100</v>
      </c>
      <c r="AK148" s="441"/>
      <c r="AL148" s="442"/>
      <c r="AM148" s="443"/>
      <c r="AN148" s="441">
        <v>11</v>
      </c>
      <c r="AO148" s="442">
        <v>3</v>
      </c>
      <c r="AP148" s="443">
        <v>78.599999999999994</v>
      </c>
      <c r="AQ148" s="441">
        <v>4</v>
      </c>
      <c r="AR148" s="442">
        <v>1</v>
      </c>
      <c r="AS148" s="443">
        <v>80</v>
      </c>
      <c r="AT148" s="441">
        <v>7</v>
      </c>
      <c r="AU148" s="442"/>
      <c r="AV148" s="443">
        <v>100</v>
      </c>
      <c r="AW148" s="441"/>
      <c r="AX148" s="442"/>
      <c r="AY148" s="443"/>
      <c r="AZ148" s="441">
        <v>9</v>
      </c>
      <c r="BA148" s="442">
        <v>3</v>
      </c>
      <c r="BB148" s="443">
        <v>75</v>
      </c>
      <c r="BC148" s="441">
        <v>4</v>
      </c>
      <c r="BD148" s="442">
        <v>1</v>
      </c>
      <c r="BE148" s="443">
        <v>80</v>
      </c>
      <c r="BF148" s="441">
        <v>7</v>
      </c>
      <c r="BG148" s="442"/>
      <c r="BH148" s="443">
        <v>100</v>
      </c>
      <c r="BI148" s="441"/>
      <c r="BJ148" s="442"/>
      <c r="BK148" s="443"/>
      <c r="BL148" s="441">
        <v>2</v>
      </c>
      <c r="BM148" s="442"/>
      <c r="BN148" s="443">
        <v>100</v>
      </c>
      <c r="BO148" s="441"/>
      <c r="BP148" s="442">
        <v>1</v>
      </c>
      <c r="BQ148" s="443">
        <v>0</v>
      </c>
      <c r="BR148" s="441">
        <v>1</v>
      </c>
      <c r="BS148" s="442"/>
      <c r="BT148" s="443">
        <v>100</v>
      </c>
      <c r="BU148" s="441"/>
      <c r="BV148" s="442"/>
      <c r="BW148" s="443"/>
      <c r="BX148" s="441"/>
      <c r="BY148" s="442"/>
      <c r="BZ148" s="443" t="s">
        <v>6</v>
      </c>
      <c r="CA148" s="441"/>
      <c r="CB148" s="442"/>
      <c r="CC148" s="443" t="s">
        <v>6</v>
      </c>
      <c r="CD148" s="441"/>
      <c r="CE148" s="442"/>
      <c r="CF148" s="443" t="s">
        <v>6</v>
      </c>
      <c r="CG148" s="441"/>
      <c r="CH148" s="442"/>
      <c r="CI148" s="443"/>
      <c r="CJ148" s="441">
        <v>5</v>
      </c>
      <c r="CK148" s="442">
        <v>9</v>
      </c>
      <c r="CL148" s="443">
        <v>35.700000000000003</v>
      </c>
      <c r="CM148" s="441">
        <v>4</v>
      </c>
      <c r="CN148" s="442">
        <v>1</v>
      </c>
      <c r="CO148" s="443">
        <v>80</v>
      </c>
      <c r="CP148" s="441">
        <v>8</v>
      </c>
      <c r="CQ148" s="442"/>
      <c r="CR148" s="443">
        <v>100</v>
      </c>
      <c r="CS148" s="441"/>
      <c r="CT148" s="442"/>
      <c r="CU148" s="443"/>
      <c r="CV148" s="441">
        <v>3</v>
      </c>
      <c r="CW148" s="442">
        <v>1</v>
      </c>
      <c r="CX148" s="443">
        <v>75</v>
      </c>
      <c r="CY148" s="441"/>
      <c r="CZ148" s="442"/>
      <c r="DA148" s="443" t="s">
        <v>6</v>
      </c>
      <c r="DB148" s="441"/>
      <c r="DC148" s="442"/>
      <c r="DD148" s="443" t="s">
        <v>6</v>
      </c>
      <c r="DE148" s="441"/>
      <c r="DF148" s="442"/>
      <c r="DG148" s="443"/>
      <c r="DH148" s="441"/>
      <c r="DI148" s="442"/>
      <c r="DJ148" s="443" t="s">
        <v>6</v>
      </c>
      <c r="DK148" s="441"/>
      <c r="DL148" s="442"/>
      <c r="DM148" s="443" t="s">
        <v>6</v>
      </c>
      <c r="DN148" s="441"/>
      <c r="DO148" s="442"/>
      <c r="DP148" s="443" t="s">
        <v>6</v>
      </c>
      <c r="DQ148" s="441"/>
      <c r="DR148" s="442"/>
      <c r="DS148" s="443"/>
      <c r="DT148" s="441">
        <v>2</v>
      </c>
      <c r="DU148" s="442"/>
      <c r="DV148" s="443">
        <v>100</v>
      </c>
      <c r="DW148" s="441"/>
      <c r="DX148" s="442"/>
      <c r="DY148" s="443" t="s">
        <v>6</v>
      </c>
      <c r="DZ148" s="441">
        <v>1</v>
      </c>
      <c r="EA148" s="442"/>
      <c r="EB148" s="443">
        <v>100</v>
      </c>
      <c r="EC148" s="441"/>
      <c r="ED148" s="442"/>
      <c r="EE148" s="443"/>
      <c r="EF148" s="441">
        <v>6</v>
      </c>
      <c r="EG148" s="442"/>
      <c r="EH148" s="443">
        <v>100</v>
      </c>
      <c r="EI148" s="441">
        <v>12</v>
      </c>
      <c r="EJ148" s="442">
        <v>5</v>
      </c>
      <c r="EK148" s="443">
        <v>70.599999999999994</v>
      </c>
      <c r="EL148" s="441">
        <v>7</v>
      </c>
      <c r="EM148" s="442"/>
      <c r="EN148" s="443">
        <v>100</v>
      </c>
      <c r="EO148" s="441"/>
      <c r="EP148" s="442"/>
      <c r="EQ148" s="443"/>
      <c r="ER148" s="441"/>
      <c r="ES148" s="442"/>
      <c r="ET148" s="443" t="s">
        <v>6</v>
      </c>
      <c r="EU148" s="441"/>
      <c r="EV148" s="442"/>
      <c r="EW148" s="443" t="s">
        <v>6</v>
      </c>
      <c r="EX148" s="441"/>
      <c r="EY148" s="442"/>
      <c r="EZ148" s="443" t="s">
        <v>6</v>
      </c>
      <c r="FA148" s="441"/>
      <c r="FB148" s="442"/>
      <c r="FC148" s="443"/>
      <c r="FD148" s="441"/>
      <c r="FE148" s="442"/>
      <c r="FF148" s="443" t="s">
        <v>6</v>
      </c>
      <c r="FG148" s="441"/>
      <c r="FH148" s="442"/>
      <c r="FI148" s="443" t="s">
        <v>6</v>
      </c>
      <c r="FJ148" s="441"/>
      <c r="FK148" s="442"/>
      <c r="FL148" s="443" t="s">
        <v>6</v>
      </c>
      <c r="FM148" s="441"/>
      <c r="FN148" s="442"/>
      <c r="FO148" s="443"/>
      <c r="FP148" s="441"/>
      <c r="FQ148" s="442"/>
      <c r="FR148" s="443" t="s">
        <v>6</v>
      </c>
      <c r="FS148" s="441"/>
      <c r="FT148" s="442"/>
      <c r="FU148" s="443" t="s">
        <v>6</v>
      </c>
      <c r="FV148" s="441"/>
      <c r="FW148" s="442"/>
      <c r="FX148" s="443" t="s">
        <v>6</v>
      </c>
      <c r="FY148" s="441"/>
      <c r="FZ148" s="442"/>
      <c r="GA148" s="443"/>
      <c r="GB148" s="441"/>
      <c r="GC148" s="442">
        <v>2</v>
      </c>
      <c r="GD148" s="443">
        <v>0</v>
      </c>
      <c r="GE148" s="441"/>
      <c r="GF148" s="442"/>
      <c r="GG148" s="443" t="s">
        <v>6</v>
      </c>
      <c r="GH148" s="441">
        <v>1</v>
      </c>
      <c r="GI148" s="442"/>
      <c r="GJ148" s="443">
        <v>100</v>
      </c>
      <c r="GK148" s="441"/>
      <c r="GL148" s="442"/>
      <c r="GM148" s="443"/>
      <c r="GN148" s="441">
        <v>1</v>
      </c>
      <c r="GO148" s="442"/>
      <c r="GP148" s="443">
        <v>100</v>
      </c>
      <c r="GQ148" s="441"/>
      <c r="GR148" s="442"/>
      <c r="GS148" s="443" t="s">
        <v>6</v>
      </c>
      <c r="GT148" s="441">
        <v>1</v>
      </c>
      <c r="GU148" s="442"/>
      <c r="GV148" s="443">
        <v>100</v>
      </c>
      <c r="GW148" s="441"/>
      <c r="GX148" s="442"/>
      <c r="GY148" s="443"/>
      <c r="GZ148" s="441"/>
      <c r="HA148" s="442"/>
      <c r="HB148" s="443" t="s">
        <v>6</v>
      </c>
      <c r="HC148" s="441"/>
      <c r="HD148" s="442"/>
      <c r="HE148" s="443" t="s">
        <v>6</v>
      </c>
      <c r="HF148" s="441">
        <v>1</v>
      </c>
      <c r="HG148" s="442"/>
      <c r="HH148" s="443">
        <v>100</v>
      </c>
      <c r="HI148" s="441"/>
      <c r="HJ148" s="442"/>
      <c r="HK148" s="443"/>
      <c r="HL148" s="441">
        <v>21</v>
      </c>
      <c r="HM148" s="442"/>
      <c r="HN148" s="443">
        <v>100</v>
      </c>
      <c r="HO148" s="441"/>
      <c r="HP148" s="442"/>
      <c r="HQ148" s="443" t="s">
        <v>6</v>
      </c>
      <c r="HR148" s="441"/>
      <c r="HS148" s="442"/>
      <c r="HT148" s="443" t="s">
        <v>6</v>
      </c>
      <c r="HU148" s="441"/>
      <c r="HV148" s="442"/>
      <c r="HW148" s="443"/>
      <c r="HX148" s="441"/>
      <c r="HY148" s="442"/>
      <c r="HZ148" s="443" t="s">
        <v>6</v>
      </c>
      <c r="IA148" s="441">
        <v>2</v>
      </c>
      <c r="IB148" s="442"/>
      <c r="IC148" s="443">
        <v>100</v>
      </c>
      <c r="ID148" s="441">
        <v>1</v>
      </c>
      <c r="IE148" s="442"/>
      <c r="IF148" s="443">
        <v>100</v>
      </c>
      <c r="IG148" s="441"/>
      <c r="IH148" s="442"/>
      <c r="II148" s="443"/>
      <c r="IJ148" s="441"/>
      <c r="IK148" s="442"/>
      <c r="IL148" s="443" t="s">
        <v>6</v>
      </c>
      <c r="IM148" s="441"/>
      <c r="IN148" s="442"/>
      <c r="IO148" s="443" t="s">
        <v>6</v>
      </c>
      <c r="IP148" s="441"/>
      <c r="IQ148" s="442"/>
      <c r="IR148" s="443" t="s">
        <v>6</v>
      </c>
      <c r="IS148" s="441"/>
      <c r="IT148" s="442"/>
      <c r="IU148" s="443"/>
      <c r="IV148" s="441">
        <v>50</v>
      </c>
      <c r="IW148" s="442">
        <v>15</v>
      </c>
      <c r="IX148" s="443">
        <v>76.900000000000006</v>
      </c>
      <c r="IY148" s="441">
        <v>29</v>
      </c>
      <c r="IZ148" s="442">
        <v>7</v>
      </c>
      <c r="JA148" s="443">
        <v>80.599999999999994</v>
      </c>
      <c r="JB148" s="441">
        <v>31</v>
      </c>
      <c r="JC148" s="442"/>
      <c r="JD148" s="443">
        <v>100</v>
      </c>
      <c r="JE148" s="441"/>
      <c r="JF148" s="442"/>
      <c r="JG148" s="443"/>
      <c r="JH148" s="441">
        <v>33</v>
      </c>
      <c r="JI148" s="442">
        <v>9</v>
      </c>
      <c r="JJ148" s="443">
        <v>78.599999999999994</v>
      </c>
      <c r="JK148" s="441">
        <v>3</v>
      </c>
      <c r="JL148" s="442"/>
      <c r="JM148" s="443">
        <v>100</v>
      </c>
      <c r="JN148" s="441">
        <v>5</v>
      </c>
      <c r="JO148" s="442"/>
      <c r="JP148" s="443">
        <v>100</v>
      </c>
      <c r="JQ148" s="441"/>
      <c r="JR148" s="442"/>
      <c r="JS148" s="443"/>
      <c r="JT148" s="441">
        <v>1</v>
      </c>
      <c r="JU148" s="442"/>
      <c r="JV148" s="443">
        <v>100</v>
      </c>
      <c r="JW148" s="441">
        <v>3</v>
      </c>
      <c r="JX148" s="442"/>
      <c r="JY148" s="443">
        <v>100</v>
      </c>
      <c r="JZ148" s="441">
        <v>2</v>
      </c>
      <c r="KA148" s="442"/>
      <c r="KB148" s="443">
        <v>100</v>
      </c>
      <c r="KC148" s="441"/>
      <c r="KD148" s="442"/>
      <c r="KE148" s="443"/>
      <c r="KF148" s="441"/>
      <c r="KG148" s="442"/>
      <c r="KH148" s="443" t="s">
        <v>6</v>
      </c>
      <c r="KI148" s="441"/>
      <c r="KJ148" s="442"/>
      <c r="KK148" s="443" t="s">
        <v>6</v>
      </c>
      <c r="KL148" s="441"/>
      <c r="KM148" s="442"/>
      <c r="KN148" s="443" t="s">
        <v>6</v>
      </c>
      <c r="KO148" s="441"/>
      <c r="KP148" s="442"/>
      <c r="KQ148" s="443"/>
      <c r="KR148" s="441">
        <v>73</v>
      </c>
      <c r="KS148" s="442">
        <v>10</v>
      </c>
      <c r="KT148" s="443">
        <v>88</v>
      </c>
      <c r="KU148" s="441">
        <v>8</v>
      </c>
      <c r="KV148" s="442"/>
      <c r="KW148" s="443">
        <v>100</v>
      </c>
      <c r="KX148" s="441">
        <v>9</v>
      </c>
      <c r="KY148" s="442">
        <v>1</v>
      </c>
      <c r="KZ148" s="443">
        <v>90</v>
      </c>
      <c r="LA148" s="441"/>
      <c r="LB148" s="442"/>
      <c r="LC148" s="443"/>
      <c r="LD148" s="441">
        <v>157</v>
      </c>
      <c r="LE148" s="442">
        <v>25</v>
      </c>
      <c r="LF148" s="443">
        <v>86.3</v>
      </c>
      <c r="LG148" s="441">
        <v>206</v>
      </c>
      <c r="LH148" s="442">
        <v>15</v>
      </c>
      <c r="LI148" s="443">
        <v>93.2</v>
      </c>
      <c r="LJ148" s="441">
        <v>281</v>
      </c>
      <c r="LK148" s="442">
        <v>17</v>
      </c>
      <c r="LL148" s="443">
        <v>94.3</v>
      </c>
      <c r="LM148" s="441"/>
      <c r="LN148" s="442"/>
      <c r="LO148" s="443"/>
    </row>
    <row r="149" spans="1:327" x14ac:dyDescent="0.2">
      <c r="A149" s="1001"/>
      <c r="B149" s="747"/>
      <c r="C149" s="151" t="s">
        <v>775</v>
      </c>
      <c r="D149" s="377"/>
      <c r="E149" s="373"/>
      <c r="F149" s="444" t="s">
        <v>6</v>
      </c>
      <c r="G149" s="377"/>
      <c r="H149" s="373"/>
      <c r="I149" s="444" t="s">
        <v>6</v>
      </c>
      <c r="J149" s="377"/>
      <c r="K149" s="373"/>
      <c r="L149" s="444" t="s">
        <v>6</v>
      </c>
      <c r="M149" s="377"/>
      <c r="N149" s="373"/>
      <c r="O149" s="444"/>
      <c r="P149" s="377"/>
      <c r="Q149" s="373"/>
      <c r="R149" s="444" t="s">
        <v>6</v>
      </c>
      <c r="S149" s="377"/>
      <c r="T149" s="373"/>
      <c r="U149" s="444" t="s">
        <v>6</v>
      </c>
      <c r="V149" s="377"/>
      <c r="W149" s="373"/>
      <c r="X149" s="444" t="s">
        <v>6</v>
      </c>
      <c r="Y149" s="377"/>
      <c r="Z149" s="373"/>
      <c r="AA149" s="444"/>
      <c r="AB149" s="377"/>
      <c r="AC149" s="373"/>
      <c r="AD149" s="444" t="s">
        <v>6</v>
      </c>
      <c r="AE149" s="377"/>
      <c r="AF149" s="373"/>
      <c r="AG149" s="444" t="s">
        <v>6</v>
      </c>
      <c r="AH149" s="377"/>
      <c r="AI149" s="373"/>
      <c r="AJ149" s="444" t="s">
        <v>6</v>
      </c>
      <c r="AK149" s="377"/>
      <c r="AL149" s="373"/>
      <c r="AM149" s="444"/>
      <c r="AN149" s="377">
        <v>58</v>
      </c>
      <c r="AO149" s="373">
        <v>30</v>
      </c>
      <c r="AP149" s="444">
        <v>65.900000000000006</v>
      </c>
      <c r="AQ149" s="377">
        <v>31</v>
      </c>
      <c r="AR149" s="373">
        <v>16</v>
      </c>
      <c r="AS149" s="444">
        <v>66</v>
      </c>
      <c r="AT149" s="377">
        <v>44</v>
      </c>
      <c r="AU149" s="373">
        <v>17</v>
      </c>
      <c r="AV149" s="444">
        <v>72.099999999999994</v>
      </c>
      <c r="AW149" s="377"/>
      <c r="AX149" s="373"/>
      <c r="AY149" s="444"/>
      <c r="AZ149" s="377">
        <v>31</v>
      </c>
      <c r="BA149" s="373">
        <v>30</v>
      </c>
      <c r="BB149" s="444">
        <v>50.8</v>
      </c>
      <c r="BC149" s="377">
        <v>21</v>
      </c>
      <c r="BD149" s="373">
        <v>15</v>
      </c>
      <c r="BE149" s="444">
        <v>58.3</v>
      </c>
      <c r="BF149" s="377">
        <v>35</v>
      </c>
      <c r="BG149" s="373">
        <v>15</v>
      </c>
      <c r="BH149" s="444">
        <v>70</v>
      </c>
      <c r="BI149" s="377"/>
      <c r="BJ149" s="373"/>
      <c r="BK149" s="444"/>
      <c r="BL149" s="377"/>
      <c r="BM149" s="373"/>
      <c r="BN149" s="444" t="s">
        <v>6</v>
      </c>
      <c r="BO149" s="377"/>
      <c r="BP149" s="373"/>
      <c r="BQ149" s="444" t="s">
        <v>6</v>
      </c>
      <c r="BR149" s="377"/>
      <c r="BS149" s="373"/>
      <c r="BT149" s="444" t="s">
        <v>6</v>
      </c>
      <c r="BU149" s="377"/>
      <c r="BV149" s="373"/>
      <c r="BW149" s="444"/>
      <c r="BX149" s="377">
        <v>2</v>
      </c>
      <c r="BY149" s="373"/>
      <c r="BZ149" s="444">
        <v>100</v>
      </c>
      <c r="CA149" s="377"/>
      <c r="CB149" s="373"/>
      <c r="CC149" s="444" t="s">
        <v>6</v>
      </c>
      <c r="CD149" s="377"/>
      <c r="CE149" s="373"/>
      <c r="CF149" s="444" t="s">
        <v>6</v>
      </c>
      <c r="CG149" s="377"/>
      <c r="CH149" s="373"/>
      <c r="CI149" s="444"/>
      <c r="CJ149" s="377"/>
      <c r="CK149" s="373"/>
      <c r="CL149" s="444" t="s">
        <v>6</v>
      </c>
      <c r="CM149" s="377"/>
      <c r="CN149" s="373"/>
      <c r="CO149" s="444" t="s">
        <v>6</v>
      </c>
      <c r="CP149" s="377"/>
      <c r="CQ149" s="373"/>
      <c r="CR149" s="444" t="s">
        <v>6</v>
      </c>
      <c r="CS149" s="377"/>
      <c r="CT149" s="373"/>
      <c r="CU149" s="444"/>
      <c r="CV149" s="377">
        <v>51</v>
      </c>
      <c r="CW149" s="373">
        <v>36</v>
      </c>
      <c r="CX149" s="444">
        <v>58.6</v>
      </c>
      <c r="CY149" s="377">
        <v>38</v>
      </c>
      <c r="CZ149" s="373">
        <v>14</v>
      </c>
      <c r="DA149" s="444">
        <v>73.099999999999994</v>
      </c>
      <c r="DB149" s="377">
        <v>42</v>
      </c>
      <c r="DC149" s="373">
        <v>27</v>
      </c>
      <c r="DD149" s="444">
        <v>60.9</v>
      </c>
      <c r="DE149" s="377"/>
      <c r="DF149" s="373"/>
      <c r="DG149" s="444"/>
      <c r="DH149" s="377">
        <v>2</v>
      </c>
      <c r="DI149" s="373"/>
      <c r="DJ149" s="444">
        <v>100</v>
      </c>
      <c r="DK149" s="377"/>
      <c r="DL149" s="373">
        <v>1</v>
      </c>
      <c r="DM149" s="444">
        <v>0</v>
      </c>
      <c r="DN149" s="377">
        <v>3</v>
      </c>
      <c r="DO149" s="373"/>
      <c r="DP149" s="444">
        <v>100</v>
      </c>
      <c r="DQ149" s="377"/>
      <c r="DR149" s="373"/>
      <c r="DS149" s="444"/>
      <c r="DT149" s="377"/>
      <c r="DU149" s="373">
        <v>2</v>
      </c>
      <c r="DV149" s="444">
        <v>0</v>
      </c>
      <c r="DW149" s="377">
        <v>2</v>
      </c>
      <c r="DX149" s="373"/>
      <c r="DY149" s="444">
        <v>100</v>
      </c>
      <c r="DZ149" s="377">
        <v>14</v>
      </c>
      <c r="EA149" s="373"/>
      <c r="EB149" s="444">
        <v>100</v>
      </c>
      <c r="EC149" s="377"/>
      <c r="ED149" s="373"/>
      <c r="EE149" s="444"/>
      <c r="EF149" s="377">
        <v>559</v>
      </c>
      <c r="EG149" s="373">
        <v>1663</v>
      </c>
      <c r="EH149" s="444">
        <v>25.2</v>
      </c>
      <c r="EI149" s="377">
        <v>503</v>
      </c>
      <c r="EJ149" s="373">
        <v>1327</v>
      </c>
      <c r="EK149" s="444">
        <v>27.5</v>
      </c>
      <c r="EL149" s="377">
        <v>433</v>
      </c>
      <c r="EM149" s="373">
        <v>1148</v>
      </c>
      <c r="EN149" s="444">
        <v>27.4</v>
      </c>
      <c r="EO149" s="377"/>
      <c r="EP149" s="373"/>
      <c r="EQ149" s="444"/>
      <c r="ER149" s="377">
        <v>2</v>
      </c>
      <c r="ES149" s="373">
        <v>3</v>
      </c>
      <c r="ET149" s="444">
        <v>40</v>
      </c>
      <c r="EU149" s="377">
        <v>4</v>
      </c>
      <c r="EV149" s="373">
        <v>4</v>
      </c>
      <c r="EW149" s="444">
        <v>50</v>
      </c>
      <c r="EX149" s="377">
        <v>10</v>
      </c>
      <c r="EY149" s="373">
        <v>4</v>
      </c>
      <c r="EZ149" s="444">
        <v>71.400000000000006</v>
      </c>
      <c r="FA149" s="377"/>
      <c r="FB149" s="373"/>
      <c r="FC149" s="444"/>
      <c r="FD149" s="377">
        <v>15</v>
      </c>
      <c r="FE149" s="373">
        <v>55</v>
      </c>
      <c r="FF149" s="444">
        <v>21.4</v>
      </c>
      <c r="FG149" s="377">
        <v>10</v>
      </c>
      <c r="FH149" s="373">
        <v>24</v>
      </c>
      <c r="FI149" s="444">
        <v>29.4</v>
      </c>
      <c r="FJ149" s="377">
        <v>45</v>
      </c>
      <c r="FK149" s="373">
        <v>21</v>
      </c>
      <c r="FL149" s="444">
        <v>68.2</v>
      </c>
      <c r="FM149" s="377"/>
      <c r="FN149" s="373"/>
      <c r="FO149" s="444"/>
      <c r="FP149" s="377">
        <v>82</v>
      </c>
      <c r="FQ149" s="373">
        <v>279</v>
      </c>
      <c r="FR149" s="444">
        <v>22.7</v>
      </c>
      <c r="FS149" s="377">
        <v>91</v>
      </c>
      <c r="FT149" s="373">
        <v>207</v>
      </c>
      <c r="FU149" s="444">
        <v>30.5</v>
      </c>
      <c r="FV149" s="377">
        <v>70</v>
      </c>
      <c r="FW149" s="373">
        <v>171</v>
      </c>
      <c r="FX149" s="444">
        <v>29</v>
      </c>
      <c r="FY149" s="377"/>
      <c r="FZ149" s="373"/>
      <c r="GA149" s="444"/>
      <c r="GB149" s="377">
        <v>11</v>
      </c>
      <c r="GC149" s="373">
        <v>5</v>
      </c>
      <c r="GD149" s="444">
        <v>68.8</v>
      </c>
      <c r="GE149" s="377">
        <v>9</v>
      </c>
      <c r="GF149" s="373"/>
      <c r="GG149" s="444">
        <v>100</v>
      </c>
      <c r="GH149" s="377">
        <v>12</v>
      </c>
      <c r="GI149" s="373">
        <v>4</v>
      </c>
      <c r="GJ149" s="444">
        <v>75</v>
      </c>
      <c r="GK149" s="377"/>
      <c r="GL149" s="373"/>
      <c r="GM149" s="444"/>
      <c r="GN149" s="377">
        <v>19</v>
      </c>
      <c r="GO149" s="373">
        <v>18</v>
      </c>
      <c r="GP149" s="444">
        <v>51.4</v>
      </c>
      <c r="GQ149" s="377">
        <v>5</v>
      </c>
      <c r="GR149" s="373">
        <v>28</v>
      </c>
      <c r="GS149" s="444">
        <v>15.2</v>
      </c>
      <c r="GT149" s="377">
        <v>9</v>
      </c>
      <c r="GU149" s="373">
        <v>16</v>
      </c>
      <c r="GV149" s="444">
        <v>36</v>
      </c>
      <c r="GW149" s="377"/>
      <c r="GX149" s="373"/>
      <c r="GY149" s="444"/>
      <c r="GZ149" s="377">
        <v>1</v>
      </c>
      <c r="HA149" s="373">
        <v>1</v>
      </c>
      <c r="HB149" s="444">
        <v>50</v>
      </c>
      <c r="HC149" s="377">
        <v>9</v>
      </c>
      <c r="HD149" s="373">
        <v>2</v>
      </c>
      <c r="HE149" s="444">
        <v>81.8</v>
      </c>
      <c r="HF149" s="377">
        <v>2</v>
      </c>
      <c r="HG149" s="373"/>
      <c r="HH149" s="444">
        <v>100</v>
      </c>
      <c r="HI149" s="377"/>
      <c r="HJ149" s="373"/>
      <c r="HK149" s="444"/>
      <c r="HL149" s="377">
        <v>25</v>
      </c>
      <c r="HM149" s="373">
        <v>102</v>
      </c>
      <c r="HN149" s="444">
        <v>19.7</v>
      </c>
      <c r="HO149" s="377">
        <v>19</v>
      </c>
      <c r="HP149" s="373">
        <v>108</v>
      </c>
      <c r="HQ149" s="444">
        <v>15</v>
      </c>
      <c r="HR149" s="377">
        <v>36</v>
      </c>
      <c r="HS149" s="373">
        <v>61</v>
      </c>
      <c r="HT149" s="444">
        <v>37.1</v>
      </c>
      <c r="HU149" s="377"/>
      <c r="HV149" s="373"/>
      <c r="HW149" s="444"/>
      <c r="HX149" s="377">
        <v>10</v>
      </c>
      <c r="HY149" s="373"/>
      <c r="HZ149" s="444">
        <v>100</v>
      </c>
      <c r="IA149" s="377">
        <v>20</v>
      </c>
      <c r="IB149" s="373"/>
      <c r="IC149" s="444">
        <v>100</v>
      </c>
      <c r="ID149" s="377">
        <v>8</v>
      </c>
      <c r="IE149" s="373"/>
      <c r="IF149" s="444">
        <v>100</v>
      </c>
      <c r="IG149" s="377"/>
      <c r="IH149" s="373"/>
      <c r="II149" s="444"/>
      <c r="IJ149" s="377">
        <v>3</v>
      </c>
      <c r="IK149" s="373">
        <v>3</v>
      </c>
      <c r="IL149" s="444">
        <v>50</v>
      </c>
      <c r="IM149" s="377">
        <v>7</v>
      </c>
      <c r="IN149" s="373">
        <v>5</v>
      </c>
      <c r="IO149" s="444">
        <v>58.3</v>
      </c>
      <c r="IP149" s="377">
        <v>4</v>
      </c>
      <c r="IQ149" s="373">
        <v>3</v>
      </c>
      <c r="IR149" s="444">
        <v>57.1</v>
      </c>
      <c r="IS149" s="377"/>
      <c r="IT149" s="373"/>
      <c r="IU149" s="444"/>
      <c r="IV149" s="377">
        <v>741</v>
      </c>
      <c r="IW149" s="373">
        <v>1860</v>
      </c>
      <c r="IX149" s="444">
        <v>28.5</v>
      </c>
      <c r="IY149" s="377">
        <v>643</v>
      </c>
      <c r="IZ149" s="373">
        <v>1501</v>
      </c>
      <c r="JA149" s="444">
        <v>30</v>
      </c>
      <c r="JB149" s="377">
        <v>607</v>
      </c>
      <c r="JC149" s="373">
        <v>1276</v>
      </c>
      <c r="JD149" s="444">
        <v>32.200000000000003</v>
      </c>
      <c r="JE149" s="377"/>
      <c r="JF149" s="373"/>
      <c r="JG149" s="444"/>
      <c r="JH149" s="377">
        <v>108</v>
      </c>
      <c r="JI149" s="373">
        <v>299</v>
      </c>
      <c r="JJ149" s="444">
        <v>26.5</v>
      </c>
      <c r="JK149" s="377">
        <v>115</v>
      </c>
      <c r="JL149" s="373">
        <v>248</v>
      </c>
      <c r="JM149" s="444">
        <v>31.7</v>
      </c>
      <c r="JN149" s="377">
        <v>180</v>
      </c>
      <c r="JO149" s="373">
        <v>216</v>
      </c>
      <c r="JP149" s="444">
        <v>45.5</v>
      </c>
      <c r="JQ149" s="377"/>
      <c r="JR149" s="373"/>
      <c r="JS149" s="444"/>
      <c r="JT149" s="377">
        <v>6</v>
      </c>
      <c r="JU149" s="373">
        <v>6</v>
      </c>
      <c r="JV149" s="444">
        <v>50</v>
      </c>
      <c r="JW149" s="377">
        <v>9</v>
      </c>
      <c r="JX149" s="373">
        <v>8</v>
      </c>
      <c r="JY149" s="444">
        <v>52.9</v>
      </c>
      <c r="JZ149" s="377">
        <v>7</v>
      </c>
      <c r="KA149" s="373">
        <v>8</v>
      </c>
      <c r="KB149" s="444">
        <v>46.7</v>
      </c>
      <c r="KC149" s="377"/>
      <c r="KD149" s="373"/>
      <c r="KE149" s="444"/>
      <c r="KF149" s="377">
        <v>4</v>
      </c>
      <c r="KG149" s="373">
        <v>3</v>
      </c>
      <c r="KH149" s="444">
        <v>57.1</v>
      </c>
      <c r="KI149" s="377">
        <v>1</v>
      </c>
      <c r="KJ149" s="373">
        <v>3</v>
      </c>
      <c r="KK149" s="444">
        <v>25</v>
      </c>
      <c r="KL149" s="377">
        <v>1</v>
      </c>
      <c r="KM149" s="373"/>
      <c r="KN149" s="444">
        <v>100</v>
      </c>
      <c r="KO149" s="377"/>
      <c r="KP149" s="373"/>
      <c r="KQ149" s="444"/>
      <c r="KR149" s="377">
        <v>147</v>
      </c>
      <c r="KS149" s="373">
        <v>333</v>
      </c>
      <c r="KT149" s="444">
        <v>30.6</v>
      </c>
      <c r="KU149" s="377">
        <v>138</v>
      </c>
      <c r="KV149" s="373">
        <v>279</v>
      </c>
      <c r="KW149" s="444">
        <v>33.1</v>
      </c>
      <c r="KX149" s="377">
        <v>205</v>
      </c>
      <c r="KY149" s="373">
        <v>245</v>
      </c>
      <c r="KZ149" s="444">
        <v>45.6</v>
      </c>
      <c r="LA149" s="377"/>
      <c r="LB149" s="373"/>
      <c r="LC149" s="444"/>
      <c r="LD149" s="377">
        <v>1394</v>
      </c>
      <c r="LE149" s="373">
        <v>2164</v>
      </c>
      <c r="LF149" s="444">
        <v>39.200000000000003</v>
      </c>
      <c r="LG149" s="377">
        <v>1204</v>
      </c>
      <c r="LH149" s="373">
        <v>1791</v>
      </c>
      <c r="LI149" s="444">
        <v>40.200000000000003</v>
      </c>
      <c r="LJ149" s="377">
        <v>1101</v>
      </c>
      <c r="LK149" s="373">
        <v>1568</v>
      </c>
      <c r="LL149" s="444">
        <v>41.3</v>
      </c>
      <c r="LM149" s="377"/>
      <c r="LN149" s="373"/>
      <c r="LO149" s="444"/>
    </row>
    <row r="150" spans="1:327" x14ac:dyDescent="0.2">
      <c r="A150" s="1001"/>
      <c r="B150" s="747" t="s">
        <v>621</v>
      </c>
      <c r="C150" s="151" t="s">
        <v>736</v>
      </c>
      <c r="D150" s="377"/>
      <c r="E150" s="373"/>
      <c r="F150" s="444" t="s">
        <v>6</v>
      </c>
      <c r="G150" s="377"/>
      <c r="H150" s="373"/>
      <c r="I150" s="444" t="s">
        <v>6</v>
      </c>
      <c r="J150" s="377"/>
      <c r="K150" s="373"/>
      <c r="L150" s="444" t="s">
        <v>6</v>
      </c>
      <c r="M150" s="377"/>
      <c r="N150" s="373"/>
      <c r="O150" s="444"/>
      <c r="P150" s="377"/>
      <c r="Q150" s="373"/>
      <c r="R150" s="444" t="s">
        <v>6</v>
      </c>
      <c r="S150" s="377"/>
      <c r="T150" s="373"/>
      <c r="U150" s="444" t="s">
        <v>6</v>
      </c>
      <c r="V150" s="377"/>
      <c r="W150" s="373"/>
      <c r="X150" s="444" t="s">
        <v>6</v>
      </c>
      <c r="Y150" s="377"/>
      <c r="Z150" s="373"/>
      <c r="AA150" s="444"/>
      <c r="AB150" s="377"/>
      <c r="AC150" s="373"/>
      <c r="AD150" s="444" t="s">
        <v>6</v>
      </c>
      <c r="AE150" s="377"/>
      <c r="AF150" s="373"/>
      <c r="AG150" s="444" t="s">
        <v>6</v>
      </c>
      <c r="AH150" s="377"/>
      <c r="AI150" s="373"/>
      <c r="AJ150" s="444" t="s">
        <v>6</v>
      </c>
      <c r="AK150" s="377"/>
      <c r="AL150" s="373"/>
      <c r="AM150" s="444"/>
      <c r="AN150" s="377">
        <v>13</v>
      </c>
      <c r="AO150" s="373"/>
      <c r="AP150" s="444">
        <v>100</v>
      </c>
      <c r="AQ150" s="377">
        <v>17</v>
      </c>
      <c r="AR150" s="373"/>
      <c r="AS150" s="444">
        <v>100</v>
      </c>
      <c r="AT150" s="377">
        <v>2</v>
      </c>
      <c r="AU150" s="373"/>
      <c r="AV150" s="444">
        <v>100</v>
      </c>
      <c r="AW150" s="377"/>
      <c r="AX150" s="373"/>
      <c r="AY150" s="444"/>
      <c r="AZ150" s="377">
        <v>6</v>
      </c>
      <c r="BA150" s="373"/>
      <c r="BB150" s="444">
        <v>100</v>
      </c>
      <c r="BC150" s="377">
        <v>7</v>
      </c>
      <c r="BD150" s="373"/>
      <c r="BE150" s="444">
        <v>100</v>
      </c>
      <c r="BF150" s="377">
        <v>1</v>
      </c>
      <c r="BG150" s="373"/>
      <c r="BH150" s="444">
        <v>100</v>
      </c>
      <c r="BI150" s="377"/>
      <c r="BJ150" s="373"/>
      <c r="BK150" s="444"/>
      <c r="BL150" s="377"/>
      <c r="BM150" s="373"/>
      <c r="BN150" s="444" t="s">
        <v>6</v>
      </c>
      <c r="BO150" s="377"/>
      <c r="BP150" s="373"/>
      <c r="BQ150" s="444" t="s">
        <v>6</v>
      </c>
      <c r="BR150" s="377"/>
      <c r="BS150" s="373"/>
      <c r="BT150" s="444" t="s">
        <v>6</v>
      </c>
      <c r="BU150" s="377"/>
      <c r="BV150" s="373"/>
      <c r="BW150" s="444"/>
      <c r="BX150" s="377"/>
      <c r="BY150" s="373"/>
      <c r="BZ150" s="444" t="s">
        <v>6</v>
      </c>
      <c r="CA150" s="377"/>
      <c r="CB150" s="373"/>
      <c r="CC150" s="444" t="s">
        <v>6</v>
      </c>
      <c r="CD150" s="377"/>
      <c r="CE150" s="373"/>
      <c r="CF150" s="444" t="s">
        <v>6</v>
      </c>
      <c r="CG150" s="377"/>
      <c r="CH150" s="373"/>
      <c r="CI150" s="444"/>
      <c r="CJ150" s="377"/>
      <c r="CK150" s="373"/>
      <c r="CL150" s="444" t="s">
        <v>6</v>
      </c>
      <c r="CM150" s="377"/>
      <c r="CN150" s="373"/>
      <c r="CO150" s="444" t="s">
        <v>6</v>
      </c>
      <c r="CP150" s="377"/>
      <c r="CQ150" s="373"/>
      <c r="CR150" s="444" t="s">
        <v>6</v>
      </c>
      <c r="CS150" s="377"/>
      <c r="CT150" s="373"/>
      <c r="CU150" s="444"/>
      <c r="CV150" s="377">
        <v>16</v>
      </c>
      <c r="CW150" s="373">
        <v>4</v>
      </c>
      <c r="CX150" s="444">
        <v>80</v>
      </c>
      <c r="CY150" s="377">
        <v>9</v>
      </c>
      <c r="CZ150" s="373">
        <v>1</v>
      </c>
      <c r="DA150" s="444">
        <v>90</v>
      </c>
      <c r="DB150" s="377">
        <v>3</v>
      </c>
      <c r="DC150" s="373">
        <v>1</v>
      </c>
      <c r="DD150" s="444">
        <v>75</v>
      </c>
      <c r="DE150" s="377"/>
      <c r="DF150" s="373"/>
      <c r="DG150" s="444"/>
      <c r="DH150" s="377"/>
      <c r="DI150" s="373"/>
      <c r="DJ150" s="444" t="s">
        <v>6</v>
      </c>
      <c r="DK150" s="377"/>
      <c r="DL150" s="373"/>
      <c r="DM150" s="444" t="s">
        <v>6</v>
      </c>
      <c r="DN150" s="377"/>
      <c r="DO150" s="373"/>
      <c r="DP150" s="444" t="s">
        <v>6</v>
      </c>
      <c r="DQ150" s="377"/>
      <c r="DR150" s="373"/>
      <c r="DS150" s="444"/>
      <c r="DT150" s="377">
        <v>1</v>
      </c>
      <c r="DU150" s="373"/>
      <c r="DV150" s="444">
        <v>100</v>
      </c>
      <c r="DW150" s="377"/>
      <c r="DX150" s="373"/>
      <c r="DY150" s="444" t="s">
        <v>6</v>
      </c>
      <c r="DZ150" s="377"/>
      <c r="EA150" s="373"/>
      <c r="EB150" s="444" t="s">
        <v>6</v>
      </c>
      <c r="EC150" s="377"/>
      <c r="ED150" s="373"/>
      <c r="EE150" s="444"/>
      <c r="EF150" s="377">
        <v>100</v>
      </c>
      <c r="EG150" s="373">
        <v>134</v>
      </c>
      <c r="EH150" s="444">
        <v>42.7</v>
      </c>
      <c r="EI150" s="377">
        <v>78</v>
      </c>
      <c r="EJ150" s="373">
        <v>106</v>
      </c>
      <c r="EK150" s="444">
        <v>42.4</v>
      </c>
      <c r="EL150" s="377">
        <v>74</v>
      </c>
      <c r="EM150" s="373">
        <v>101</v>
      </c>
      <c r="EN150" s="444">
        <v>42.3</v>
      </c>
      <c r="EO150" s="377"/>
      <c r="EP150" s="373"/>
      <c r="EQ150" s="444"/>
      <c r="ER150" s="377">
        <v>1</v>
      </c>
      <c r="ES150" s="373"/>
      <c r="ET150" s="444">
        <v>100</v>
      </c>
      <c r="EU150" s="377"/>
      <c r="EV150" s="373"/>
      <c r="EW150" s="444" t="s">
        <v>6</v>
      </c>
      <c r="EX150" s="377"/>
      <c r="EY150" s="373"/>
      <c r="EZ150" s="444" t="s">
        <v>6</v>
      </c>
      <c r="FA150" s="377"/>
      <c r="FB150" s="373"/>
      <c r="FC150" s="444"/>
      <c r="FD150" s="377">
        <v>11</v>
      </c>
      <c r="FE150" s="373"/>
      <c r="FF150" s="444">
        <v>100</v>
      </c>
      <c r="FG150" s="377"/>
      <c r="FH150" s="373">
        <v>2</v>
      </c>
      <c r="FI150" s="444">
        <v>0</v>
      </c>
      <c r="FJ150" s="377">
        <v>1</v>
      </c>
      <c r="FK150" s="373"/>
      <c r="FL150" s="444">
        <v>100</v>
      </c>
      <c r="FM150" s="377"/>
      <c r="FN150" s="373"/>
      <c r="FO150" s="444"/>
      <c r="FP150" s="377">
        <v>26</v>
      </c>
      <c r="FQ150" s="373">
        <v>27</v>
      </c>
      <c r="FR150" s="444">
        <v>49.1</v>
      </c>
      <c r="FS150" s="377">
        <v>20</v>
      </c>
      <c r="FT150" s="373">
        <v>19</v>
      </c>
      <c r="FU150" s="444">
        <v>51.3</v>
      </c>
      <c r="FV150" s="377">
        <v>19</v>
      </c>
      <c r="FW150" s="373">
        <v>19</v>
      </c>
      <c r="FX150" s="444">
        <v>50</v>
      </c>
      <c r="FY150" s="377"/>
      <c r="FZ150" s="373"/>
      <c r="GA150" s="444"/>
      <c r="GB150" s="377">
        <v>3</v>
      </c>
      <c r="GC150" s="373"/>
      <c r="GD150" s="444">
        <v>100</v>
      </c>
      <c r="GE150" s="377">
        <v>2</v>
      </c>
      <c r="GF150" s="373"/>
      <c r="GG150" s="444">
        <v>100</v>
      </c>
      <c r="GH150" s="377">
        <v>3</v>
      </c>
      <c r="GI150" s="373"/>
      <c r="GJ150" s="444">
        <v>100</v>
      </c>
      <c r="GK150" s="377"/>
      <c r="GL150" s="373"/>
      <c r="GM150" s="444"/>
      <c r="GN150" s="377">
        <v>1</v>
      </c>
      <c r="GO150" s="373"/>
      <c r="GP150" s="444">
        <v>100</v>
      </c>
      <c r="GQ150" s="377">
        <v>4</v>
      </c>
      <c r="GR150" s="373"/>
      <c r="GS150" s="444">
        <v>100</v>
      </c>
      <c r="GT150" s="377">
        <v>6</v>
      </c>
      <c r="GU150" s="373"/>
      <c r="GV150" s="444">
        <v>100</v>
      </c>
      <c r="GW150" s="377"/>
      <c r="GX150" s="373"/>
      <c r="GY150" s="444"/>
      <c r="GZ150" s="377"/>
      <c r="HA150" s="373"/>
      <c r="HB150" s="444" t="s">
        <v>6</v>
      </c>
      <c r="HC150" s="377"/>
      <c r="HD150" s="373"/>
      <c r="HE150" s="444" t="s">
        <v>6</v>
      </c>
      <c r="HF150" s="377"/>
      <c r="HG150" s="373"/>
      <c r="HH150" s="444" t="s">
        <v>6</v>
      </c>
      <c r="HI150" s="377"/>
      <c r="HJ150" s="373"/>
      <c r="HK150" s="444"/>
      <c r="HL150" s="377">
        <v>7</v>
      </c>
      <c r="HM150" s="373">
        <v>4</v>
      </c>
      <c r="HN150" s="444">
        <v>63.6</v>
      </c>
      <c r="HO150" s="377">
        <v>4</v>
      </c>
      <c r="HP150" s="373">
        <v>11</v>
      </c>
      <c r="HQ150" s="444">
        <v>26.7</v>
      </c>
      <c r="HR150" s="377"/>
      <c r="HS150" s="373">
        <v>3</v>
      </c>
      <c r="HT150" s="444">
        <v>0</v>
      </c>
      <c r="HU150" s="377"/>
      <c r="HV150" s="373"/>
      <c r="HW150" s="444"/>
      <c r="HX150" s="377">
        <v>1</v>
      </c>
      <c r="HY150" s="373"/>
      <c r="HZ150" s="444">
        <v>100</v>
      </c>
      <c r="IA150" s="377"/>
      <c r="IB150" s="373"/>
      <c r="IC150" s="444" t="s">
        <v>6</v>
      </c>
      <c r="ID150" s="377"/>
      <c r="IE150" s="373"/>
      <c r="IF150" s="444" t="s">
        <v>6</v>
      </c>
      <c r="IG150" s="377"/>
      <c r="IH150" s="373"/>
      <c r="II150" s="444"/>
      <c r="IJ150" s="377">
        <v>1</v>
      </c>
      <c r="IK150" s="373">
        <v>1</v>
      </c>
      <c r="IL150" s="444">
        <v>50</v>
      </c>
      <c r="IM150" s="377">
        <v>1</v>
      </c>
      <c r="IN150" s="373"/>
      <c r="IO150" s="444">
        <v>100</v>
      </c>
      <c r="IP150" s="377">
        <v>2</v>
      </c>
      <c r="IQ150" s="373"/>
      <c r="IR150" s="444">
        <v>100</v>
      </c>
      <c r="IS150" s="377"/>
      <c r="IT150" s="373"/>
      <c r="IU150" s="444"/>
      <c r="IV150" s="377">
        <v>143</v>
      </c>
      <c r="IW150" s="373">
        <v>143</v>
      </c>
      <c r="IX150" s="444">
        <v>50</v>
      </c>
      <c r="IY150" s="377">
        <v>115</v>
      </c>
      <c r="IZ150" s="373">
        <v>118</v>
      </c>
      <c r="JA150" s="444">
        <v>49.4</v>
      </c>
      <c r="JB150" s="377">
        <v>90</v>
      </c>
      <c r="JC150" s="373">
        <v>105</v>
      </c>
      <c r="JD150" s="444">
        <v>46.2</v>
      </c>
      <c r="JE150" s="377"/>
      <c r="JF150" s="373"/>
      <c r="JG150" s="444"/>
      <c r="JH150" s="377">
        <v>32</v>
      </c>
      <c r="JI150" s="373">
        <v>17</v>
      </c>
      <c r="JJ150" s="444">
        <v>65.3</v>
      </c>
      <c r="JK150" s="377">
        <v>18</v>
      </c>
      <c r="JL150" s="373">
        <v>7</v>
      </c>
      <c r="JM150" s="444">
        <v>72</v>
      </c>
      <c r="JN150" s="377">
        <v>11</v>
      </c>
      <c r="JO150" s="373">
        <v>7</v>
      </c>
      <c r="JP150" s="444">
        <v>61.1</v>
      </c>
      <c r="JQ150" s="377"/>
      <c r="JR150" s="373"/>
      <c r="JS150" s="444"/>
      <c r="JT150" s="377"/>
      <c r="JU150" s="373"/>
      <c r="JV150" s="444" t="s">
        <v>6</v>
      </c>
      <c r="JW150" s="377">
        <v>2</v>
      </c>
      <c r="JX150" s="373">
        <v>1</v>
      </c>
      <c r="JY150" s="444">
        <v>66.7</v>
      </c>
      <c r="JZ150" s="377"/>
      <c r="KA150" s="373"/>
      <c r="KB150" s="444" t="s">
        <v>6</v>
      </c>
      <c r="KC150" s="377"/>
      <c r="KD150" s="373"/>
      <c r="KE150" s="444"/>
      <c r="KF150" s="377"/>
      <c r="KG150" s="373"/>
      <c r="KH150" s="444" t="s">
        <v>6</v>
      </c>
      <c r="KI150" s="377"/>
      <c r="KJ150" s="373"/>
      <c r="KK150" s="444" t="s">
        <v>6</v>
      </c>
      <c r="KL150" s="377">
        <v>1</v>
      </c>
      <c r="KM150" s="373"/>
      <c r="KN150" s="444">
        <v>100</v>
      </c>
      <c r="KO150" s="377"/>
      <c r="KP150" s="373"/>
      <c r="KQ150" s="444"/>
      <c r="KR150" s="377">
        <v>35</v>
      </c>
      <c r="KS150" s="373">
        <v>28</v>
      </c>
      <c r="KT150" s="444">
        <v>55.6</v>
      </c>
      <c r="KU150" s="377">
        <v>25</v>
      </c>
      <c r="KV150" s="373">
        <v>8</v>
      </c>
      <c r="KW150" s="444">
        <v>75.8</v>
      </c>
      <c r="KX150" s="377">
        <v>15</v>
      </c>
      <c r="KY150" s="373">
        <v>8</v>
      </c>
      <c r="KZ150" s="444">
        <v>65.2</v>
      </c>
      <c r="LA150" s="377"/>
      <c r="LB150" s="373"/>
      <c r="LC150" s="444"/>
      <c r="LD150" s="377">
        <v>224</v>
      </c>
      <c r="LE150" s="373">
        <v>190</v>
      </c>
      <c r="LF150" s="444">
        <v>54.1</v>
      </c>
      <c r="LG150" s="377">
        <v>183</v>
      </c>
      <c r="LH150" s="373">
        <v>155</v>
      </c>
      <c r="LI150" s="444">
        <v>54.1</v>
      </c>
      <c r="LJ150" s="377">
        <v>144</v>
      </c>
      <c r="LK150" s="373">
        <v>132</v>
      </c>
      <c r="LL150" s="444">
        <v>52.2</v>
      </c>
      <c r="LM150" s="377"/>
      <c r="LN150" s="373"/>
      <c r="LO150" s="444"/>
    </row>
    <row r="151" spans="1:327" x14ac:dyDescent="0.2">
      <c r="A151" s="1001"/>
      <c r="B151" s="747" t="s">
        <v>621</v>
      </c>
      <c r="C151" s="151" t="s">
        <v>737</v>
      </c>
      <c r="D151" s="377"/>
      <c r="E151" s="373"/>
      <c r="F151" s="444" t="s">
        <v>6</v>
      </c>
      <c r="G151" s="377"/>
      <c r="H151" s="373"/>
      <c r="I151" s="444" t="s">
        <v>6</v>
      </c>
      <c r="J151" s="377"/>
      <c r="K151" s="373"/>
      <c r="L151" s="444" t="s">
        <v>6</v>
      </c>
      <c r="M151" s="377"/>
      <c r="N151" s="373"/>
      <c r="O151" s="444"/>
      <c r="P151" s="377"/>
      <c r="Q151" s="373"/>
      <c r="R151" s="444" t="s">
        <v>6</v>
      </c>
      <c r="S151" s="377"/>
      <c r="T151" s="373"/>
      <c r="U151" s="444" t="s">
        <v>6</v>
      </c>
      <c r="V151" s="377"/>
      <c r="W151" s="373"/>
      <c r="X151" s="444" t="s">
        <v>6</v>
      </c>
      <c r="Y151" s="377"/>
      <c r="Z151" s="373"/>
      <c r="AA151" s="444"/>
      <c r="AB151" s="377"/>
      <c r="AC151" s="373"/>
      <c r="AD151" s="444" t="s">
        <v>6</v>
      </c>
      <c r="AE151" s="377"/>
      <c r="AF151" s="373"/>
      <c r="AG151" s="444" t="s">
        <v>6</v>
      </c>
      <c r="AH151" s="377"/>
      <c r="AI151" s="373"/>
      <c r="AJ151" s="444" t="s">
        <v>6</v>
      </c>
      <c r="AK151" s="377"/>
      <c r="AL151" s="373"/>
      <c r="AM151" s="444"/>
      <c r="AN151" s="377">
        <v>13</v>
      </c>
      <c r="AO151" s="373">
        <v>1</v>
      </c>
      <c r="AP151" s="444">
        <v>92.9</v>
      </c>
      <c r="AQ151" s="377">
        <v>18</v>
      </c>
      <c r="AR151" s="373">
        <v>2</v>
      </c>
      <c r="AS151" s="444">
        <v>90</v>
      </c>
      <c r="AT151" s="377">
        <v>22</v>
      </c>
      <c r="AU151" s="373">
        <v>2</v>
      </c>
      <c r="AV151" s="444">
        <v>91.7</v>
      </c>
      <c r="AW151" s="377"/>
      <c r="AX151" s="373"/>
      <c r="AY151" s="444"/>
      <c r="AZ151" s="377">
        <v>9</v>
      </c>
      <c r="BA151" s="373">
        <v>1</v>
      </c>
      <c r="BB151" s="444">
        <v>90</v>
      </c>
      <c r="BC151" s="377">
        <v>10</v>
      </c>
      <c r="BD151" s="373">
        <v>1</v>
      </c>
      <c r="BE151" s="444">
        <v>90.9</v>
      </c>
      <c r="BF151" s="377">
        <v>16</v>
      </c>
      <c r="BG151" s="373">
        <v>2</v>
      </c>
      <c r="BH151" s="444">
        <v>88.9</v>
      </c>
      <c r="BI151" s="377"/>
      <c r="BJ151" s="373"/>
      <c r="BK151" s="444"/>
      <c r="BL151" s="377"/>
      <c r="BM151" s="373"/>
      <c r="BN151" s="444" t="s">
        <v>6</v>
      </c>
      <c r="BO151" s="377"/>
      <c r="BP151" s="373"/>
      <c r="BQ151" s="444" t="s">
        <v>6</v>
      </c>
      <c r="BR151" s="377"/>
      <c r="BS151" s="373"/>
      <c r="BT151" s="444" t="s">
        <v>6</v>
      </c>
      <c r="BU151" s="377"/>
      <c r="BV151" s="373"/>
      <c r="BW151" s="444"/>
      <c r="BX151" s="377"/>
      <c r="BY151" s="373"/>
      <c r="BZ151" s="444" t="s">
        <v>6</v>
      </c>
      <c r="CA151" s="377"/>
      <c r="CB151" s="373"/>
      <c r="CC151" s="444" t="s">
        <v>6</v>
      </c>
      <c r="CD151" s="377"/>
      <c r="CE151" s="373"/>
      <c r="CF151" s="444" t="s">
        <v>6</v>
      </c>
      <c r="CG151" s="377"/>
      <c r="CH151" s="373"/>
      <c r="CI151" s="444"/>
      <c r="CJ151" s="377"/>
      <c r="CK151" s="373"/>
      <c r="CL151" s="444" t="s">
        <v>6</v>
      </c>
      <c r="CM151" s="377"/>
      <c r="CN151" s="373"/>
      <c r="CO151" s="444" t="s">
        <v>6</v>
      </c>
      <c r="CP151" s="377"/>
      <c r="CQ151" s="373"/>
      <c r="CR151" s="444" t="s">
        <v>6</v>
      </c>
      <c r="CS151" s="377"/>
      <c r="CT151" s="373"/>
      <c r="CU151" s="444"/>
      <c r="CV151" s="377">
        <v>16</v>
      </c>
      <c r="CW151" s="373">
        <v>1</v>
      </c>
      <c r="CX151" s="444">
        <v>94.1</v>
      </c>
      <c r="CY151" s="377">
        <v>17</v>
      </c>
      <c r="CZ151" s="373">
        <v>5</v>
      </c>
      <c r="DA151" s="444">
        <v>77.3</v>
      </c>
      <c r="DB151" s="377">
        <v>9</v>
      </c>
      <c r="DC151" s="373">
        <v>2</v>
      </c>
      <c r="DD151" s="444">
        <v>81.8</v>
      </c>
      <c r="DE151" s="377"/>
      <c r="DF151" s="373"/>
      <c r="DG151" s="444"/>
      <c r="DH151" s="377">
        <v>1</v>
      </c>
      <c r="DI151" s="373"/>
      <c r="DJ151" s="444">
        <v>100</v>
      </c>
      <c r="DK151" s="377">
        <v>2</v>
      </c>
      <c r="DL151" s="373"/>
      <c r="DM151" s="444">
        <v>100</v>
      </c>
      <c r="DN151" s="377"/>
      <c r="DO151" s="373"/>
      <c r="DP151" s="444" t="s">
        <v>6</v>
      </c>
      <c r="DQ151" s="377"/>
      <c r="DR151" s="373"/>
      <c r="DS151" s="444"/>
      <c r="DT151" s="377"/>
      <c r="DU151" s="373"/>
      <c r="DV151" s="444" t="s">
        <v>6</v>
      </c>
      <c r="DW151" s="377">
        <v>3</v>
      </c>
      <c r="DX151" s="373"/>
      <c r="DY151" s="444">
        <v>100</v>
      </c>
      <c r="DZ151" s="377"/>
      <c r="EA151" s="373"/>
      <c r="EB151" s="444" t="s">
        <v>6</v>
      </c>
      <c r="EC151" s="377"/>
      <c r="ED151" s="373"/>
      <c r="EE151" s="444"/>
      <c r="EF151" s="377">
        <v>120</v>
      </c>
      <c r="EG151" s="373">
        <v>199</v>
      </c>
      <c r="EH151" s="444">
        <v>37.6</v>
      </c>
      <c r="EI151" s="377">
        <v>113</v>
      </c>
      <c r="EJ151" s="373">
        <v>185</v>
      </c>
      <c r="EK151" s="444">
        <v>37.9</v>
      </c>
      <c r="EL151" s="377">
        <v>91</v>
      </c>
      <c r="EM151" s="373">
        <v>130</v>
      </c>
      <c r="EN151" s="444">
        <v>41.2</v>
      </c>
      <c r="EO151" s="377"/>
      <c r="EP151" s="373"/>
      <c r="EQ151" s="444"/>
      <c r="ER151" s="377">
        <v>1</v>
      </c>
      <c r="ES151" s="373"/>
      <c r="ET151" s="444">
        <v>100</v>
      </c>
      <c r="EU151" s="377"/>
      <c r="EV151" s="373"/>
      <c r="EW151" s="444" t="s">
        <v>6</v>
      </c>
      <c r="EX151" s="377"/>
      <c r="EY151" s="373"/>
      <c r="EZ151" s="444" t="s">
        <v>6</v>
      </c>
      <c r="FA151" s="377"/>
      <c r="FB151" s="373"/>
      <c r="FC151" s="444"/>
      <c r="FD151" s="377">
        <v>1</v>
      </c>
      <c r="FE151" s="373">
        <v>1</v>
      </c>
      <c r="FF151" s="444">
        <v>50</v>
      </c>
      <c r="FG151" s="377">
        <v>1</v>
      </c>
      <c r="FH151" s="373"/>
      <c r="FI151" s="444">
        <v>100</v>
      </c>
      <c r="FJ151" s="377">
        <v>1</v>
      </c>
      <c r="FK151" s="373"/>
      <c r="FL151" s="444">
        <v>100</v>
      </c>
      <c r="FM151" s="377"/>
      <c r="FN151" s="373"/>
      <c r="FO151" s="444"/>
      <c r="FP151" s="377">
        <v>15</v>
      </c>
      <c r="FQ151" s="373">
        <v>41</v>
      </c>
      <c r="FR151" s="444">
        <v>26.8</v>
      </c>
      <c r="FS151" s="377">
        <v>15</v>
      </c>
      <c r="FT151" s="373">
        <v>24</v>
      </c>
      <c r="FU151" s="444">
        <v>38.5</v>
      </c>
      <c r="FV151" s="377">
        <v>19</v>
      </c>
      <c r="FW151" s="373">
        <v>13</v>
      </c>
      <c r="FX151" s="444">
        <v>59.4</v>
      </c>
      <c r="FY151" s="377"/>
      <c r="FZ151" s="373"/>
      <c r="GA151" s="444"/>
      <c r="GB151" s="377">
        <v>4</v>
      </c>
      <c r="GC151" s="373"/>
      <c r="GD151" s="444">
        <v>100</v>
      </c>
      <c r="GE151" s="377">
        <v>2</v>
      </c>
      <c r="GF151" s="373"/>
      <c r="GG151" s="444">
        <v>100</v>
      </c>
      <c r="GH151" s="377">
        <v>2</v>
      </c>
      <c r="GI151" s="373"/>
      <c r="GJ151" s="444">
        <v>100</v>
      </c>
      <c r="GK151" s="377"/>
      <c r="GL151" s="373"/>
      <c r="GM151" s="444"/>
      <c r="GN151" s="377">
        <v>5</v>
      </c>
      <c r="GO151" s="373">
        <v>3</v>
      </c>
      <c r="GP151" s="444">
        <v>62.5</v>
      </c>
      <c r="GQ151" s="377">
        <v>4</v>
      </c>
      <c r="GR151" s="373">
        <v>1</v>
      </c>
      <c r="GS151" s="444">
        <v>80</v>
      </c>
      <c r="GT151" s="377">
        <v>1</v>
      </c>
      <c r="GU151" s="373">
        <v>1</v>
      </c>
      <c r="GV151" s="444">
        <v>50</v>
      </c>
      <c r="GW151" s="377"/>
      <c r="GX151" s="373"/>
      <c r="GY151" s="444"/>
      <c r="GZ151" s="377"/>
      <c r="HA151" s="373">
        <v>1</v>
      </c>
      <c r="HB151" s="444">
        <v>0</v>
      </c>
      <c r="HC151" s="377"/>
      <c r="HD151" s="373"/>
      <c r="HE151" s="444" t="s">
        <v>6</v>
      </c>
      <c r="HF151" s="377"/>
      <c r="HG151" s="373"/>
      <c r="HH151" s="444" t="s">
        <v>6</v>
      </c>
      <c r="HI151" s="377"/>
      <c r="HJ151" s="373"/>
      <c r="HK151" s="444"/>
      <c r="HL151" s="377">
        <v>29</v>
      </c>
      <c r="HM151" s="373">
        <v>8</v>
      </c>
      <c r="HN151" s="444">
        <v>78.400000000000006</v>
      </c>
      <c r="HO151" s="377">
        <v>3</v>
      </c>
      <c r="HP151" s="373">
        <v>9</v>
      </c>
      <c r="HQ151" s="444">
        <v>25</v>
      </c>
      <c r="HR151" s="377">
        <v>1</v>
      </c>
      <c r="HS151" s="373">
        <v>6</v>
      </c>
      <c r="HT151" s="444">
        <v>14.3</v>
      </c>
      <c r="HU151" s="377"/>
      <c r="HV151" s="373"/>
      <c r="HW151" s="444"/>
      <c r="HX151" s="377">
        <v>1</v>
      </c>
      <c r="HY151" s="373"/>
      <c r="HZ151" s="444">
        <v>100</v>
      </c>
      <c r="IA151" s="377">
        <v>2</v>
      </c>
      <c r="IB151" s="373"/>
      <c r="IC151" s="444">
        <v>100</v>
      </c>
      <c r="ID151" s="377"/>
      <c r="IE151" s="373"/>
      <c r="IF151" s="444" t="s">
        <v>6</v>
      </c>
      <c r="IG151" s="377"/>
      <c r="IH151" s="373"/>
      <c r="II151" s="444"/>
      <c r="IJ151" s="377">
        <v>3</v>
      </c>
      <c r="IK151" s="373">
        <v>1</v>
      </c>
      <c r="IL151" s="444">
        <v>75</v>
      </c>
      <c r="IM151" s="377">
        <v>1</v>
      </c>
      <c r="IN151" s="373">
        <v>1</v>
      </c>
      <c r="IO151" s="444">
        <v>50</v>
      </c>
      <c r="IP151" s="377">
        <v>3</v>
      </c>
      <c r="IQ151" s="373"/>
      <c r="IR151" s="444">
        <v>100</v>
      </c>
      <c r="IS151" s="377"/>
      <c r="IT151" s="373"/>
      <c r="IU151" s="444"/>
      <c r="IV151" s="377">
        <v>192</v>
      </c>
      <c r="IW151" s="373">
        <v>214</v>
      </c>
      <c r="IX151" s="444">
        <v>47.3</v>
      </c>
      <c r="IY151" s="377">
        <v>165</v>
      </c>
      <c r="IZ151" s="373">
        <v>203</v>
      </c>
      <c r="JA151" s="444">
        <v>44.8</v>
      </c>
      <c r="JB151" s="377">
        <v>129</v>
      </c>
      <c r="JC151" s="373">
        <v>141</v>
      </c>
      <c r="JD151" s="444">
        <v>47.8</v>
      </c>
      <c r="JE151" s="377"/>
      <c r="JF151" s="373"/>
      <c r="JG151" s="444"/>
      <c r="JH151" s="377">
        <v>24</v>
      </c>
      <c r="JI151" s="373">
        <v>22</v>
      </c>
      <c r="JJ151" s="444">
        <v>52.2</v>
      </c>
      <c r="JK151" s="377">
        <v>22</v>
      </c>
      <c r="JL151" s="373">
        <v>19</v>
      </c>
      <c r="JM151" s="444">
        <v>53.7</v>
      </c>
      <c r="JN151" s="377">
        <v>21</v>
      </c>
      <c r="JO151" s="373">
        <v>6</v>
      </c>
      <c r="JP151" s="444">
        <v>77.8</v>
      </c>
      <c r="JQ151" s="377"/>
      <c r="JR151" s="373"/>
      <c r="JS151" s="444"/>
      <c r="JT151" s="377">
        <v>6</v>
      </c>
      <c r="JU151" s="373">
        <v>2</v>
      </c>
      <c r="JV151" s="444">
        <v>75</v>
      </c>
      <c r="JW151" s="377">
        <v>2</v>
      </c>
      <c r="JX151" s="373">
        <v>1</v>
      </c>
      <c r="JY151" s="444">
        <v>66.7</v>
      </c>
      <c r="JZ151" s="377">
        <v>1</v>
      </c>
      <c r="KA151" s="373"/>
      <c r="KB151" s="444">
        <v>100</v>
      </c>
      <c r="KC151" s="377"/>
      <c r="KD151" s="373"/>
      <c r="KE151" s="444"/>
      <c r="KF151" s="377">
        <v>3</v>
      </c>
      <c r="KG151" s="373"/>
      <c r="KH151" s="444">
        <v>100</v>
      </c>
      <c r="KI151" s="377">
        <v>3</v>
      </c>
      <c r="KJ151" s="373"/>
      <c r="KK151" s="444">
        <v>100</v>
      </c>
      <c r="KL151" s="377">
        <v>4</v>
      </c>
      <c r="KM151" s="373"/>
      <c r="KN151" s="444">
        <v>100</v>
      </c>
      <c r="KO151" s="377"/>
      <c r="KP151" s="373"/>
      <c r="KQ151" s="444"/>
      <c r="KR151" s="377">
        <v>36</v>
      </c>
      <c r="KS151" s="373">
        <v>28</v>
      </c>
      <c r="KT151" s="444">
        <v>56.3</v>
      </c>
      <c r="KU151" s="377">
        <v>40</v>
      </c>
      <c r="KV151" s="373">
        <v>22</v>
      </c>
      <c r="KW151" s="444">
        <v>64.5</v>
      </c>
      <c r="KX151" s="377">
        <v>32</v>
      </c>
      <c r="KY151" s="373">
        <v>12</v>
      </c>
      <c r="KZ151" s="444">
        <v>72.7</v>
      </c>
      <c r="LA151" s="377"/>
      <c r="LB151" s="373"/>
      <c r="LC151" s="444"/>
      <c r="LD151" s="377">
        <v>244</v>
      </c>
      <c r="LE151" s="373">
        <v>249</v>
      </c>
      <c r="LF151" s="444">
        <v>49.5</v>
      </c>
      <c r="LG151" s="377">
        <v>225</v>
      </c>
      <c r="LH151" s="373">
        <v>232</v>
      </c>
      <c r="LI151" s="444">
        <v>49.2</v>
      </c>
      <c r="LJ151" s="377">
        <v>214</v>
      </c>
      <c r="LK151" s="373">
        <v>166</v>
      </c>
      <c r="LL151" s="444">
        <v>56.3</v>
      </c>
      <c r="LM151" s="377"/>
      <c r="LN151" s="373"/>
      <c r="LO151" s="444"/>
    </row>
    <row r="152" spans="1:327" x14ac:dyDescent="0.2">
      <c r="A152" s="1001"/>
      <c r="B152" s="747" t="s">
        <v>621</v>
      </c>
      <c r="C152" s="151" t="s">
        <v>738</v>
      </c>
      <c r="D152" s="377"/>
      <c r="E152" s="373"/>
      <c r="F152" s="444" t="s">
        <v>6</v>
      </c>
      <c r="G152" s="377"/>
      <c r="H152" s="373"/>
      <c r="I152" s="444" t="s">
        <v>6</v>
      </c>
      <c r="J152" s="377"/>
      <c r="K152" s="373"/>
      <c r="L152" s="444" t="s">
        <v>6</v>
      </c>
      <c r="M152" s="377"/>
      <c r="N152" s="373"/>
      <c r="O152" s="444"/>
      <c r="P152" s="377"/>
      <c r="Q152" s="373"/>
      <c r="R152" s="444" t="s">
        <v>6</v>
      </c>
      <c r="S152" s="377"/>
      <c r="T152" s="373"/>
      <c r="U152" s="444" t="s">
        <v>6</v>
      </c>
      <c r="V152" s="377"/>
      <c r="W152" s="373"/>
      <c r="X152" s="444" t="s">
        <v>6</v>
      </c>
      <c r="Y152" s="377"/>
      <c r="Z152" s="373"/>
      <c r="AA152" s="444"/>
      <c r="AB152" s="377"/>
      <c r="AC152" s="373"/>
      <c r="AD152" s="444" t="s">
        <v>6</v>
      </c>
      <c r="AE152" s="377"/>
      <c r="AF152" s="373"/>
      <c r="AG152" s="444" t="s">
        <v>6</v>
      </c>
      <c r="AH152" s="377"/>
      <c r="AI152" s="373"/>
      <c r="AJ152" s="444" t="s">
        <v>6</v>
      </c>
      <c r="AK152" s="377"/>
      <c r="AL152" s="373"/>
      <c r="AM152" s="444"/>
      <c r="AN152" s="377">
        <v>26</v>
      </c>
      <c r="AO152" s="373">
        <v>8</v>
      </c>
      <c r="AP152" s="444">
        <v>76.5</v>
      </c>
      <c r="AQ152" s="377">
        <v>41</v>
      </c>
      <c r="AR152" s="373">
        <v>5</v>
      </c>
      <c r="AS152" s="444">
        <v>89.1</v>
      </c>
      <c r="AT152" s="377">
        <v>19</v>
      </c>
      <c r="AU152" s="373">
        <v>9</v>
      </c>
      <c r="AV152" s="444">
        <v>67.900000000000006</v>
      </c>
      <c r="AW152" s="377"/>
      <c r="AX152" s="373"/>
      <c r="AY152" s="444"/>
      <c r="AZ152" s="377">
        <v>21</v>
      </c>
      <c r="BA152" s="373">
        <v>7</v>
      </c>
      <c r="BB152" s="444">
        <v>75</v>
      </c>
      <c r="BC152" s="377">
        <v>33</v>
      </c>
      <c r="BD152" s="373">
        <v>5</v>
      </c>
      <c r="BE152" s="444">
        <v>86.8</v>
      </c>
      <c r="BF152" s="377">
        <v>13</v>
      </c>
      <c r="BG152" s="373">
        <v>9</v>
      </c>
      <c r="BH152" s="444">
        <v>59.1</v>
      </c>
      <c r="BI152" s="377"/>
      <c r="BJ152" s="373"/>
      <c r="BK152" s="444"/>
      <c r="BL152" s="377"/>
      <c r="BM152" s="373"/>
      <c r="BN152" s="444" t="s">
        <v>6</v>
      </c>
      <c r="BO152" s="377"/>
      <c r="BP152" s="373"/>
      <c r="BQ152" s="444" t="s">
        <v>6</v>
      </c>
      <c r="BR152" s="377"/>
      <c r="BS152" s="373"/>
      <c r="BT152" s="444" t="s">
        <v>6</v>
      </c>
      <c r="BU152" s="377"/>
      <c r="BV152" s="373"/>
      <c r="BW152" s="444"/>
      <c r="BX152" s="377">
        <v>2</v>
      </c>
      <c r="BY152" s="373"/>
      <c r="BZ152" s="444">
        <v>100</v>
      </c>
      <c r="CA152" s="377"/>
      <c r="CB152" s="373"/>
      <c r="CC152" s="444" t="s">
        <v>6</v>
      </c>
      <c r="CD152" s="377"/>
      <c r="CE152" s="373"/>
      <c r="CF152" s="444" t="s">
        <v>6</v>
      </c>
      <c r="CG152" s="377"/>
      <c r="CH152" s="373"/>
      <c r="CI152" s="444"/>
      <c r="CJ152" s="377"/>
      <c r="CK152" s="373"/>
      <c r="CL152" s="444" t="s">
        <v>6</v>
      </c>
      <c r="CM152" s="377"/>
      <c r="CN152" s="373"/>
      <c r="CO152" s="444" t="s">
        <v>6</v>
      </c>
      <c r="CP152" s="377"/>
      <c r="CQ152" s="373"/>
      <c r="CR152" s="444" t="s">
        <v>6</v>
      </c>
      <c r="CS152" s="377"/>
      <c r="CT152" s="373"/>
      <c r="CU152" s="444"/>
      <c r="CV152" s="377">
        <v>14</v>
      </c>
      <c r="CW152" s="373">
        <v>2</v>
      </c>
      <c r="CX152" s="444">
        <v>87.5</v>
      </c>
      <c r="CY152" s="377">
        <v>23</v>
      </c>
      <c r="CZ152" s="373">
        <v>5</v>
      </c>
      <c r="DA152" s="444">
        <v>82.1</v>
      </c>
      <c r="DB152" s="377">
        <v>22</v>
      </c>
      <c r="DC152" s="373">
        <v>2</v>
      </c>
      <c r="DD152" s="444">
        <v>91.7</v>
      </c>
      <c r="DE152" s="377"/>
      <c r="DF152" s="373"/>
      <c r="DG152" s="444"/>
      <c r="DH152" s="377">
        <v>1</v>
      </c>
      <c r="DI152" s="373"/>
      <c r="DJ152" s="444">
        <v>100</v>
      </c>
      <c r="DK152" s="377">
        <v>1</v>
      </c>
      <c r="DL152" s="373"/>
      <c r="DM152" s="444">
        <v>100</v>
      </c>
      <c r="DN152" s="377">
        <v>1</v>
      </c>
      <c r="DO152" s="373"/>
      <c r="DP152" s="444">
        <v>100</v>
      </c>
      <c r="DQ152" s="377"/>
      <c r="DR152" s="373"/>
      <c r="DS152" s="444"/>
      <c r="DT152" s="377"/>
      <c r="DU152" s="373"/>
      <c r="DV152" s="444" t="s">
        <v>6</v>
      </c>
      <c r="DW152" s="377"/>
      <c r="DX152" s="373"/>
      <c r="DY152" s="444" t="s">
        <v>6</v>
      </c>
      <c r="DZ152" s="377"/>
      <c r="EA152" s="373">
        <v>1</v>
      </c>
      <c r="EB152" s="444">
        <v>0</v>
      </c>
      <c r="EC152" s="377"/>
      <c r="ED152" s="373"/>
      <c r="EE152" s="444"/>
      <c r="EF152" s="377">
        <v>190</v>
      </c>
      <c r="EG152" s="373">
        <v>443</v>
      </c>
      <c r="EH152" s="444">
        <v>30</v>
      </c>
      <c r="EI152" s="377">
        <v>216</v>
      </c>
      <c r="EJ152" s="373">
        <v>361</v>
      </c>
      <c r="EK152" s="444">
        <v>37.4</v>
      </c>
      <c r="EL152" s="377">
        <v>184</v>
      </c>
      <c r="EM152" s="373">
        <v>312</v>
      </c>
      <c r="EN152" s="444">
        <v>37.1</v>
      </c>
      <c r="EO152" s="377"/>
      <c r="EP152" s="373"/>
      <c r="EQ152" s="444"/>
      <c r="ER152" s="377">
        <v>2</v>
      </c>
      <c r="ES152" s="373">
        <v>1</v>
      </c>
      <c r="ET152" s="444">
        <v>66.7</v>
      </c>
      <c r="EU152" s="377"/>
      <c r="EV152" s="373">
        <v>1</v>
      </c>
      <c r="EW152" s="444">
        <v>0</v>
      </c>
      <c r="EX152" s="377">
        <v>3</v>
      </c>
      <c r="EY152" s="373"/>
      <c r="EZ152" s="444">
        <v>100</v>
      </c>
      <c r="FA152" s="377"/>
      <c r="FB152" s="373"/>
      <c r="FC152" s="444"/>
      <c r="FD152" s="377"/>
      <c r="FE152" s="373">
        <v>9</v>
      </c>
      <c r="FF152" s="444">
        <v>0</v>
      </c>
      <c r="FG152" s="377"/>
      <c r="FH152" s="373">
        <v>4</v>
      </c>
      <c r="FI152" s="444">
        <v>0</v>
      </c>
      <c r="FJ152" s="377">
        <v>5</v>
      </c>
      <c r="FK152" s="373">
        <v>2</v>
      </c>
      <c r="FL152" s="444">
        <v>71.400000000000006</v>
      </c>
      <c r="FM152" s="377"/>
      <c r="FN152" s="373"/>
      <c r="FO152" s="444"/>
      <c r="FP152" s="377">
        <v>20</v>
      </c>
      <c r="FQ152" s="373">
        <v>88</v>
      </c>
      <c r="FR152" s="444">
        <v>18.5</v>
      </c>
      <c r="FS152" s="377">
        <v>49</v>
      </c>
      <c r="FT152" s="373">
        <v>63</v>
      </c>
      <c r="FU152" s="444">
        <v>43.8</v>
      </c>
      <c r="FV152" s="377">
        <v>31</v>
      </c>
      <c r="FW152" s="373">
        <v>53</v>
      </c>
      <c r="FX152" s="444">
        <v>36.9</v>
      </c>
      <c r="FY152" s="377"/>
      <c r="FZ152" s="373"/>
      <c r="GA152" s="444"/>
      <c r="GB152" s="377">
        <v>2</v>
      </c>
      <c r="GC152" s="373"/>
      <c r="GD152" s="444">
        <v>100</v>
      </c>
      <c r="GE152" s="377">
        <v>3</v>
      </c>
      <c r="GF152" s="373"/>
      <c r="GG152" s="444">
        <v>100</v>
      </c>
      <c r="GH152" s="377">
        <v>1</v>
      </c>
      <c r="GI152" s="373"/>
      <c r="GJ152" s="444">
        <v>100</v>
      </c>
      <c r="GK152" s="377"/>
      <c r="GL152" s="373"/>
      <c r="GM152" s="444"/>
      <c r="GN152" s="377">
        <v>15</v>
      </c>
      <c r="GO152" s="373">
        <v>3</v>
      </c>
      <c r="GP152" s="444">
        <v>83.3</v>
      </c>
      <c r="GQ152" s="377">
        <v>6</v>
      </c>
      <c r="GR152" s="373">
        <v>2</v>
      </c>
      <c r="GS152" s="444">
        <v>75</v>
      </c>
      <c r="GT152" s="377">
        <v>4</v>
      </c>
      <c r="GU152" s="373">
        <v>1</v>
      </c>
      <c r="GV152" s="444">
        <v>80</v>
      </c>
      <c r="GW152" s="377"/>
      <c r="GX152" s="373"/>
      <c r="GY152" s="444"/>
      <c r="GZ152" s="377"/>
      <c r="HA152" s="373"/>
      <c r="HB152" s="444" t="s">
        <v>6</v>
      </c>
      <c r="HC152" s="377"/>
      <c r="HD152" s="373">
        <v>1</v>
      </c>
      <c r="HE152" s="444">
        <v>0</v>
      </c>
      <c r="HF152" s="377"/>
      <c r="HG152" s="373"/>
      <c r="HH152" s="444" t="s">
        <v>6</v>
      </c>
      <c r="HI152" s="377"/>
      <c r="HJ152" s="373"/>
      <c r="HK152" s="444"/>
      <c r="HL152" s="377">
        <v>7</v>
      </c>
      <c r="HM152" s="373">
        <v>17</v>
      </c>
      <c r="HN152" s="444">
        <v>29.2</v>
      </c>
      <c r="HO152" s="377">
        <v>6</v>
      </c>
      <c r="HP152" s="373">
        <v>19</v>
      </c>
      <c r="HQ152" s="444">
        <v>24</v>
      </c>
      <c r="HR152" s="377">
        <v>7</v>
      </c>
      <c r="HS152" s="373">
        <v>8</v>
      </c>
      <c r="HT152" s="444">
        <v>46.7</v>
      </c>
      <c r="HU152" s="377"/>
      <c r="HV152" s="373"/>
      <c r="HW152" s="444"/>
      <c r="HX152" s="377">
        <v>1</v>
      </c>
      <c r="HY152" s="373"/>
      <c r="HZ152" s="444">
        <v>100</v>
      </c>
      <c r="IA152" s="377">
        <v>3</v>
      </c>
      <c r="IB152" s="373"/>
      <c r="IC152" s="444">
        <v>100</v>
      </c>
      <c r="ID152" s="377">
        <v>4</v>
      </c>
      <c r="IE152" s="373"/>
      <c r="IF152" s="444">
        <v>100</v>
      </c>
      <c r="IG152" s="377"/>
      <c r="IH152" s="373"/>
      <c r="II152" s="444"/>
      <c r="IJ152" s="377">
        <v>1</v>
      </c>
      <c r="IK152" s="373"/>
      <c r="IL152" s="444">
        <v>100</v>
      </c>
      <c r="IM152" s="377">
        <v>6</v>
      </c>
      <c r="IN152" s="373"/>
      <c r="IO152" s="444">
        <v>100</v>
      </c>
      <c r="IP152" s="377">
        <v>12</v>
      </c>
      <c r="IQ152" s="373"/>
      <c r="IR152" s="444">
        <v>100</v>
      </c>
      <c r="IS152" s="377"/>
      <c r="IT152" s="373"/>
      <c r="IU152" s="444"/>
      <c r="IV152" s="377">
        <v>259</v>
      </c>
      <c r="IW152" s="373">
        <v>473</v>
      </c>
      <c r="IX152" s="444">
        <v>35.4</v>
      </c>
      <c r="IY152" s="377">
        <v>305</v>
      </c>
      <c r="IZ152" s="373">
        <v>393</v>
      </c>
      <c r="JA152" s="444">
        <v>43.7</v>
      </c>
      <c r="JB152" s="377">
        <v>254</v>
      </c>
      <c r="JC152" s="373">
        <v>333</v>
      </c>
      <c r="JD152" s="444">
        <v>43.3</v>
      </c>
      <c r="JE152" s="377"/>
      <c r="JF152" s="373"/>
      <c r="JG152" s="444"/>
      <c r="JH152" s="377">
        <v>39</v>
      </c>
      <c r="JI152" s="373">
        <v>43</v>
      </c>
      <c r="JJ152" s="444">
        <v>47.6</v>
      </c>
      <c r="JK152" s="377">
        <v>47</v>
      </c>
      <c r="JL152" s="373">
        <v>32</v>
      </c>
      <c r="JM152" s="444">
        <v>59.5</v>
      </c>
      <c r="JN152" s="377">
        <v>47</v>
      </c>
      <c r="JO152" s="373">
        <v>31</v>
      </c>
      <c r="JP152" s="444">
        <v>60.3</v>
      </c>
      <c r="JQ152" s="377"/>
      <c r="JR152" s="373"/>
      <c r="JS152" s="444"/>
      <c r="JT152" s="377">
        <v>1</v>
      </c>
      <c r="JU152" s="373">
        <v>2</v>
      </c>
      <c r="JV152" s="444">
        <v>33.299999999999997</v>
      </c>
      <c r="JW152" s="377"/>
      <c r="JX152" s="373"/>
      <c r="JY152" s="444" t="s">
        <v>6</v>
      </c>
      <c r="JZ152" s="377">
        <v>1</v>
      </c>
      <c r="KA152" s="373"/>
      <c r="KB152" s="444">
        <v>100</v>
      </c>
      <c r="KC152" s="377"/>
      <c r="KD152" s="373"/>
      <c r="KE152" s="444"/>
      <c r="KF152" s="377">
        <v>2</v>
      </c>
      <c r="KG152" s="373">
        <v>1</v>
      </c>
      <c r="KH152" s="444">
        <v>66.7</v>
      </c>
      <c r="KI152" s="377"/>
      <c r="KJ152" s="373"/>
      <c r="KK152" s="444" t="s">
        <v>6</v>
      </c>
      <c r="KL152" s="377"/>
      <c r="KM152" s="373">
        <v>1</v>
      </c>
      <c r="KN152" s="444">
        <v>0</v>
      </c>
      <c r="KO152" s="377"/>
      <c r="KP152" s="373"/>
      <c r="KQ152" s="444"/>
      <c r="KR152" s="377">
        <v>48</v>
      </c>
      <c r="KS152" s="373">
        <v>72</v>
      </c>
      <c r="KT152" s="444">
        <v>40</v>
      </c>
      <c r="KU152" s="377">
        <v>63</v>
      </c>
      <c r="KV152" s="373">
        <v>45</v>
      </c>
      <c r="KW152" s="444">
        <v>58.3</v>
      </c>
      <c r="KX152" s="377">
        <v>53</v>
      </c>
      <c r="KY152" s="373">
        <v>41</v>
      </c>
      <c r="KZ152" s="444">
        <v>56.4</v>
      </c>
      <c r="LA152" s="377"/>
      <c r="LB152" s="373"/>
      <c r="LC152" s="444"/>
      <c r="LD152" s="377">
        <v>529</v>
      </c>
      <c r="LE152" s="373">
        <v>560</v>
      </c>
      <c r="LF152" s="444">
        <v>48.6</v>
      </c>
      <c r="LG152" s="377">
        <v>477</v>
      </c>
      <c r="LH152" s="373">
        <v>451</v>
      </c>
      <c r="LI152" s="444">
        <v>51.4</v>
      </c>
      <c r="LJ152" s="377">
        <v>353</v>
      </c>
      <c r="LK152" s="373">
        <v>410</v>
      </c>
      <c r="LL152" s="444">
        <v>46.3</v>
      </c>
      <c r="LM152" s="377"/>
      <c r="LN152" s="373"/>
      <c r="LO152" s="444"/>
    </row>
    <row r="153" spans="1:327" x14ac:dyDescent="0.2">
      <c r="A153" s="1001"/>
      <c r="B153" s="747" t="s">
        <v>621</v>
      </c>
      <c r="C153" s="151" t="s">
        <v>625</v>
      </c>
      <c r="D153" s="377"/>
      <c r="E153" s="373"/>
      <c r="F153" s="444" t="s">
        <v>6</v>
      </c>
      <c r="G153" s="377"/>
      <c r="H153" s="373"/>
      <c r="I153" s="444" t="s">
        <v>6</v>
      </c>
      <c r="J153" s="377"/>
      <c r="K153" s="373"/>
      <c r="L153" s="444" t="s">
        <v>6</v>
      </c>
      <c r="M153" s="377"/>
      <c r="N153" s="373"/>
      <c r="O153" s="444"/>
      <c r="P153" s="377"/>
      <c r="Q153" s="373"/>
      <c r="R153" s="444" t="s">
        <v>6</v>
      </c>
      <c r="S153" s="377"/>
      <c r="T153" s="373"/>
      <c r="U153" s="444" t="s">
        <v>6</v>
      </c>
      <c r="V153" s="377"/>
      <c r="W153" s="373"/>
      <c r="X153" s="444" t="s">
        <v>6</v>
      </c>
      <c r="Y153" s="377"/>
      <c r="Z153" s="373"/>
      <c r="AA153" s="444"/>
      <c r="AB153" s="377"/>
      <c r="AC153" s="373"/>
      <c r="AD153" s="444" t="s">
        <v>6</v>
      </c>
      <c r="AE153" s="377"/>
      <c r="AF153" s="373"/>
      <c r="AG153" s="444" t="s">
        <v>6</v>
      </c>
      <c r="AH153" s="377"/>
      <c r="AI153" s="373"/>
      <c r="AJ153" s="444" t="s">
        <v>6</v>
      </c>
      <c r="AK153" s="377"/>
      <c r="AL153" s="373"/>
      <c r="AM153" s="444"/>
      <c r="AN153" s="377">
        <v>8</v>
      </c>
      <c r="AO153" s="373">
        <v>3</v>
      </c>
      <c r="AP153" s="444">
        <v>72.7</v>
      </c>
      <c r="AQ153" s="377">
        <v>33</v>
      </c>
      <c r="AR153" s="373">
        <v>3</v>
      </c>
      <c r="AS153" s="444">
        <v>91.7</v>
      </c>
      <c r="AT153" s="377">
        <v>27</v>
      </c>
      <c r="AU153" s="373">
        <v>3</v>
      </c>
      <c r="AV153" s="444">
        <v>90</v>
      </c>
      <c r="AW153" s="377"/>
      <c r="AX153" s="373"/>
      <c r="AY153" s="444"/>
      <c r="AZ153" s="377">
        <v>5</v>
      </c>
      <c r="BA153" s="373">
        <v>3</v>
      </c>
      <c r="BB153" s="444">
        <v>62.5</v>
      </c>
      <c r="BC153" s="377">
        <v>26</v>
      </c>
      <c r="BD153" s="373">
        <v>3</v>
      </c>
      <c r="BE153" s="444">
        <v>89.7</v>
      </c>
      <c r="BF153" s="377">
        <v>21</v>
      </c>
      <c r="BG153" s="373">
        <v>2</v>
      </c>
      <c r="BH153" s="444">
        <v>91.3</v>
      </c>
      <c r="BI153" s="377"/>
      <c r="BJ153" s="373"/>
      <c r="BK153" s="444"/>
      <c r="BL153" s="377"/>
      <c r="BM153" s="373"/>
      <c r="BN153" s="444" t="s">
        <v>6</v>
      </c>
      <c r="BO153" s="377"/>
      <c r="BP153" s="373"/>
      <c r="BQ153" s="444" t="s">
        <v>6</v>
      </c>
      <c r="BR153" s="377"/>
      <c r="BS153" s="373"/>
      <c r="BT153" s="444" t="s">
        <v>6</v>
      </c>
      <c r="BU153" s="377"/>
      <c r="BV153" s="373"/>
      <c r="BW153" s="444"/>
      <c r="BX153" s="377"/>
      <c r="BY153" s="373"/>
      <c r="BZ153" s="444" t="s">
        <v>6</v>
      </c>
      <c r="CA153" s="377"/>
      <c r="CB153" s="373"/>
      <c r="CC153" s="444" t="s">
        <v>6</v>
      </c>
      <c r="CD153" s="377"/>
      <c r="CE153" s="373"/>
      <c r="CF153" s="444" t="s">
        <v>6</v>
      </c>
      <c r="CG153" s="377"/>
      <c r="CH153" s="373"/>
      <c r="CI153" s="444"/>
      <c r="CJ153" s="377"/>
      <c r="CK153" s="373"/>
      <c r="CL153" s="444" t="s">
        <v>6</v>
      </c>
      <c r="CM153" s="377"/>
      <c r="CN153" s="373"/>
      <c r="CO153" s="444" t="s">
        <v>6</v>
      </c>
      <c r="CP153" s="377"/>
      <c r="CQ153" s="373"/>
      <c r="CR153" s="444" t="s">
        <v>6</v>
      </c>
      <c r="CS153" s="377"/>
      <c r="CT153" s="373"/>
      <c r="CU153" s="444"/>
      <c r="CV153" s="377">
        <v>5</v>
      </c>
      <c r="CW153" s="373">
        <v>2</v>
      </c>
      <c r="CX153" s="444">
        <v>71.400000000000006</v>
      </c>
      <c r="CY153" s="377">
        <v>15</v>
      </c>
      <c r="CZ153" s="373">
        <v>2</v>
      </c>
      <c r="DA153" s="444">
        <v>88.2</v>
      </c>
      <c r="DB153" s="377">
        <v>21</v>
      </c>
      <c r="DC153" s="373">
        <v>1</v>
      </c>
      <c r="DD153" s="444">
        <v>95.5</v>
      </c>
      <c r="DE153" s="377"/>
      <c r="DF153" s="373"/>
      <c r="DG153" s="444"/>
      <c r="DH153" s="377"/>
      <c r="DI153" s="373"/>
      <c r="DJ153" s="444" t="s">
        <v>6</v>
      </c>
      <c r="DK153" s="377">
        <v>1</v>
      </c>
      <c r="DL153" s="373"/>
      <c r="DM153" s="444">
        <v>100</v>
      </c>
      <c r="DN153" s="377">
        <v>2</v>
      </c>
      <c r="DO153" s="373"/>
      <c r="DP153" s="444">
        <v>100</v>
      </c>
      <c r="DQ153" s="377"/>
      <c r="DR153" s="373"/>
      <c r="DS153" s="444"/>
      <c r="DT153" s="377">
        <v>1</v>
      </c>
      <c r="DU153" s="373">
        <v>2</v>
      </c>
      <c r="DV153" s="444">
        <v>33.299999999999997</v>
      </c>
      <c r="DW153" s="377">
        <v>2</v>
      </c>
      <c r="DX153" s="373">
        <v>1</v>
      </c>
      <c r="DY153" s="444">
        <v>66.7</v>
      </c>
      <c r="DZ153" s="377"/>
      <c r="EA153" s="373">
        <v>3</v>
      </c>
      <c r="EB153" s="444">
        <v>0</v>
      </c>
      <c r="EC153" s="377"/>
      <c r="ED153" s="373"/>
      <c r="EE153" s="444"/>
      <c r="EF153" s="377">
        <v>120</v>
      </c>
      <c r="EG153" s="373">
        <v>270</v>
      </c>
      <c r="EH153" s="444">
        <v>30.8</v>
      </c>
      <c r="EI153" s="377">
        <v>167</v>
      </c>
      <c r="EJ153" s="373">
        <v>176</v>
      </c>
      <c r="EK153" s="444">
        <v>48.7</v>
      </c>
      <c r="EL153" s="377">
        <v>113</v>
      </c>
      <c r="EM153" s="373">
        <v>117</v>
      </c>
      <c r="EN153" s="444">
        <v>49.1</v>
      </c>
      <c r="EO153" s="377"/>
      <c r="EP153" s="373"/>
      <c r="EQ153" s="444"/>
      <c r="ER153" s="377"/>
      <c r="ES153" s="373"/>
      <c r="ET153" s="444" t="s">
        <v>6</v>
      </c>
      <c r="EU153" s="377"/>
      <c r="EV153" s="373"/>
      <c r="EW153" s="444" t="s">
        <v>6</v>
      </c>
      <c r="EX153" s="377"/>
      <c r="EY153" s="373"/>
      <c r="EZ153" s="444" t="s">
        <v>6</v>
      </c>
      <c r="FA153" s="377"/>
      <c r="FB153" s="373"/>
      <c r="FC153" s="444"/>
      <c r="FD153" s="377"/>
      <c r="FE153" s="373">
        <v>4</v>
      </c>
      <c r="FF153" s="444">
        <v>0</v>
      </c>
      <c r="FG153" s="377">
        <v>1</v>
      </c>
      <c r="FH153" s="373">
        <v>1</v>
      </c>
      <c r="FI153" s="444">
        <v>50</v>
      </c>
      <c r="FJ153" s="377">
        <v>1</v>
      </c>
      <c r="FK153" s="373">
        <v>2</v>
      </c>
      <c r="FL153" s="444">
        <v>33.299999999999997</v>
      </c>
      <c r="FM153" s="377"/>
      <c r="FN153" s="373"/>
      <c r="FO153" s="444"/>
      <c r="FP153" s="377">
        <v>19</v>
      </c>
      <c r="FQ153" s="373">
        <v>81</v>
      </c>
      <c r="FR153" s="444">
        <v>19</v>
      </c>
      <c r="FS153" s="377">
        <v>27</v>
      </c>
      <c r="FT153" s="373">
        <v>46</v>
      </c>
      <c r="FU153" s="444">
        <v>37</v>
      </c>
      <c r="FV153" s="377">
        <v>22</v>
      </c>
      <c r="FW153" s="373">
        <v>24</v>
      </c>
      <c r="FX153" s="444">
        <v>47.8</v>
      </c>
      <c r="FY153" s="377"/>
      <c r="FZ153" s="373"/>
      <c r="GA153" s="444"/>
      <c r="GB153" s="377">
        <v>2</v>
      </c>
      <c r="GC153" s="373">
        <v>2</v>
      </c>
      <c r="GD153" s="444">
        <v>50</v>
      </c>
      <c r="GE153" s="377">
        <v>2</v>
      </c>
      <c r="GF153" s="373">
        <v>1</v>
      </c>
      <c r="GG153" s="444">
        <v>66.7</v>
      </c>
      <c r="GH153" s="377">
        <v>2</v>
      </c>
      <c r="GI153" s="373">
        <v>1</v>
      </c>
      <c r="GJ153" s="444">
        <v>66.7</v>
      </c>
      <c r="GK153" s="377"/>
      <c r="GL153" s="373"/>
      <c r="GM153" s="444"/>
      <c r="GN153" s="377"/>
      <c r="GO153" s="373"/>
      <c r="GP153" s="444" t="s">
        <v>6</v>
      </c>
      <c r="GQ153" s="377">
        <v>2</v>
      </c>
      <c r="GR153" s="373"/>
      <c r="GS153" s="444">
        <v>100</v>
      </c>
      <c r="GT153" s="377">
        <v>1</v>
      </c>
      <c r="GU153" s="373"/>
      <c r="GV153" s="444">
        <v>100</v>
      </c>
      <c r="GW153" s="377"/>
      <c r="GX153" s="373"/>
      <c r="GY153" s="444"/>
      <c r="GZ153" s="377">
        <v>1</v>
      </c>
      <c r="HA153" s="373"/>
      <c r="HB153" s="444">
        <v>100</v>
      </c>
      <c r="HC153" s="377">
        <v>1</v>
      </c>
      <c r="HD153" s="373"/>
      <c r="HE153" s="444">
        <v>100</v>
      </c>
      <c r="HF153" s="377">
        <v>1</v>
      </c>
      <c r="HG153" s="373"/>
      <c r="HH153" s="444">
        <v>100</v>
      </c>
      <c r="HI153" s="377"/>
      <c r="HJ153" s="373"/>
      <c r="HK153" s="444"/>
      <c r="HL153" s="377"/>
      <c r="HM153" s="373">
        <v>6</v>
      </c>
      <c r="HN153" s="444">
        <v>0</v>
      </c>
      <c r="HO153" s="377">
        <v>10</v>
      </c>
      <c r="HP153" s="373">
        <v>4</v>
      </c>
      <c r="HQ153" s="444">
        <v>71.400000000000006</v>
      </c>
      <c r="HR153" s="377">
        <v>13</v>
      </c>
      <c r="HS153" s="373">
        <v>6</v>
      </c>
      <c r="HT153" s="444">
        <v>68.400000000000006</v>
      </c>
      <c r="HU153" s="377"/>
      <c r="HV153" s="373"/>
      <c r="HW153" s="444"/>
      <c r="HX153" s="377"/>
      <c r="HY153" s="373"/>
      <c r="HZ153" s="444" t="s">
        <v>6</v>
      </c>
      <c r="IA153" s="377">
        <v>1</v>
      </c>
      <c r="IB153" s="373"/>
      <c r="IC153" s="444">
        <v>100</v>
      </c>
      <c r="ID153" s="377">
        <v>1</v>
      </c>
      <c r="IE153" s="373"/>
      <c r="IF153" s="444">
        <v>100</v>
      </c>
      <c r="IG153" s="377"/>
      <c r="IH153" s="373"/>
      <c r="II153" s="444"/>
      <c r="IJ153" s="377">
        <v>3</v>
      </c>
      <c r="IK153" s="373"/>
      <c r="IL153" s="444">
        <v>100</v>
      </c>
      <c r="IM153" s="377">
        <v>2</v>
      </c>
      <c r="IN153" s="373"/>
      <c r="IO153" s="444">
        <v>100</v>
      </c>
      <c r="IP153" s="377"/>
      <c r="IQ153" s="373">
        <v>1</v>
      </c>
      <c r="IR153" s="444">
        <v>0</v>
      </c>
      <c r="IS153" s="377"/>
      <c r="IT153" s="373"/>
      <c r="IU153" s="444"/>
      <c r="IV153" s="377">
        <v>140</v>
      </c>
      <c r="IW153" s="373">
        <v>285</v>
      </c>
      <c r="IX153" s="444">
        <v>32.9</v>
      </c>
      <c r="IY153" s="377">
        <v>236</v>
      </c>
      <c r="IZ153" s="373">
        <v>187</v>
      </c>
      <c r="JA153" s="444">
        <v>55.8</v>
      </c>
      <c r="JB153" s="377">
        <v>181</v>
      </c>
      <c r="JC153" s="373">
        <v>132</v>
      </c>
      <c r="JD153" s="444">
        <v>57.8</v>
      </c>
      <c r="JE153" s="377"/>
      <c r="JF153" s="373"/>
      <c r="JG153" s="444"/>
      <c r="JH153" s="377">
        <v>9</v>
      </c>
      <c r="JI153" s="373">
        <v>13</v>
      </c>
      <c r="JJ153" s="444">
        <v>40.9</v>
      </c>
      <c r="JK153" s="377">
        <v>44</v>
      </c>
      <c r="JL153" s="373">
        <v>15</v>
      </c>
      <c r="JM153" s="444">
        <v>74.599999999999994</v>
      </c>
      <c r="JN153" s="377">
        <v>49</v>
      </c>
      <c r="JO153" s="373">
        <v>12</v>
      </c>
      <c r="JP153" s="444">
        <v>80.3</v>
      </c>
      <c r="JQ153" s="377"/>
      <c r="JR153" s="373"/>
      <c r="JS153" s="444"/>
      <c r="JT153" s="377"/>
      <c r="JU153" s="373"/>
      <c r="JV153" s="444" t="s">
        <v>6</v>
      </c>
      <c r="JW153" s="377">
        <v>1</v>
      </c>
      <c r="JX153" s="373"/>
      <c r="JY153" s="444">
        <v>100</v>
      </c>
      <c r="JZ153" s="377">
        <v>2</v>
      </c>
      <c r="KA153" s="373">
        <v>1</v>
      </c>
      <c r="KB153" s="444">
        <v>66.7</v>
      </c>
      <c r="KC153" s="377"/>
      <c r="KD153" s="373"/>
      <c r="KE153" s="444"/>
      <c r="KF153" s="377">
        <v>1</v>
      </c>
      <c r="KG153" s="373"/>
      <c r="KH153" s="444">
        <v>100</v>
      </c>
      <c r="KI153" s="377">
        <v>2</v>
      </c>
      <c r="KJ153" s="373">
        <v>2</v>
      </c>
      <c r="KK153" s="444">
        <v>50</v>
      </c>
      <c r="KL153" s="377">
        <v>3</v>
      </c>
      <c r="KM153" s="373"/>
      <c r="KN153" s="444">
        <v>100</v>
      </c>
      <c r="KO153" s="377"/>
      <c r="KP153" s="373"/>
      <c r="KQ153" s="444"/>
      <c r="KR153" s="377">
        <v>18</v>
      </c>
      <c r="KS153" s="373">
        <v>15</v>
      </c>
      <c r="KT153" s="444">
        <v>54.5</v>
      </c>
      <c r="KU153" s="377">
        <v>52</v>
      </c>
      <c r="KV153" s="373">
        <v>18</v>
      </c>
      <c r="KW153" s="444">
        <v>74.3</v>
      </c>
      <c r="KX153" s="377">
        <v>57</v>
      </c>
      <c r="KY153" s="373">
        <v>17</v>
      </c>
      <c r="KZ153" s="444">
        <v>77</v>
      </c>
      <c r="LA153" s="377"/>
      <c r="LB153" s="373"/>
      <c r="LC153" s="444"/>
      <c r="LD153" s="377">
        <v>192</v>
      </c>
      <c r="LE153" s="373">
        <v>303</v>
      </c>
      <c r="LF153" s="444">
        <v>38.799999999999997</v>
      </c>
      <c r="LG153" s="377">
        <v>305</v>
      </c>
      <c r="LH153" s="373">
        <v>220</v>
      </c>
      <c r="LI153" s="444">
        <v>58.1</v>
      </c>
      <c r="LJ153" s="377">
        <v>229</v>
      </c>
      <c r="LK153" s="373">
        <v>161</v>
      </c>
      <c r="LL153" s="444">
        <v>58.7</v>
      </c>
      <c r="LM153" s="377"/>
      <c r="LN153" s="373"/>
      <c r="LO153" s="444"/>
    </row>
    <row r="154" spans="1:327" x14ac:dyDescent="0.2">
      <c r="A154" s="1001"/>
      <c r="B154" s="747" t="s">
        <v>621</v>
      </c>
      <c r="C154" s="151" t="s">
        <v>739</v>
      </c>
      <c r="D154" s="377"/>
      <c r="E154" s="373"/>
      <c r="F154" s="444" t="s">
        <v>6</v>
      </c>
      <c r="G154" s="377"/>
      <c r="H154" s="373"/>
      <c r="I154" s="444" t="s">
        <v>6</v>
      </c>
      <c r="J154" s="377"/>
      <c r="K154" s="373"/>
      <c r="L154" s="444" t="s">
        <v>6</v>
      </c>
      <c r="M154" s="377"/>
      <c r="N154" s="373"/>
      <c r="O154" s="444"/>
      <c r="P154" s="377"/>
      <c r="Q154" s="373"/>
      <c r="R154" s="444" t="s">
        <v>6</v>
      </c>
      <c r="S154" s="377"/>
      <c r="T154" s="373"/>
      <c r="U154" s="444" t="s">
        <v>6</v>
      </c>
      <c r="V154" s="377"/>
      <c r="W154" s="373"/>
      <c r="X154" s="444" t="s">
        <v>6</v>
      </c>
      <c r="Y154" s="377"/>
      <c r="Z154" s="373"/>
      <c r="AA154" s="444"/>
      <c r="AB154" s="377"/>
      <c r="AC154" s="373"/>
      <c r="AD154" s="444" t="s">
        <v>6</v>
      </c>
      <c r="AE154" s="377"/>
      <c r="AF154" s="373"/>
      <c r="AG154" s="444" t="s">
        <v>6</v>
      </c>
      <c r="AH154" s="377"/>
      <c r="AI154" s="373"/>
      <c r="AJ154" s="444" t="s">
        <v>6</v>
      </c>
      <c r="AK154" s="377"/>
      <c r="AL154" s="373"/>
      <c r="AM154" s="444"/>
      <c r="AN154" s="377">
        <v>14</v>
      </c>
      <c r="AO154" s="373">
        <v>2</v>
      </c>
      <c r="AP154" s="444">
        <v>87.5</v>
      </c>
      <c r="AQ154" s="377">
        <v>26</v>
      </c>
      <c r="AR154" s="373">
        <v>5</v>
      </c>
      <c r="AS154" s="444">
        <v>83.9</v>
      </c>
      <c r="AT154" s="377">
        <v>14</v>
      </c>
      <c r="AU154" s="373">
        <v>6</v>
      </c>
      <c r="AV154" s="444">
        <v>70</v>
      </c>
      <c r="AW154" s="377"/>
      <c r="AX154" s="373"/>
      <c r="AY154" s="444"/>
      <c r="AZ154" s="377">
        <v>11</v>
      </c>
      <c r="BA154" s="373">
        <v>2</v>
      </c>
      <c r="BB154" s="444">
        <v>84.6</v>
      </c>
      <c r="BC154" s="377">
        <v>22</v>
      </c>
      <c r="BD154" s="373">
        <v>5</v>
      </c>
      <c r="BE154" s="444">
        <v>81.5</v>
      </c>
      <c r="BF154" s="377">
        <v>11</v>
      </c>
      <c r="BG154" s="373">
        <v>6</v>
      </c>
      <c r="BH154" s="444">
        <v>64.7</v>
      </c>
      <c r="BI154" s="377"/>
      <c r="BJ154" s="373"/>
      <c r="BK154" s="444"/>
      <c r="BL154" s="377"/>
      <c r="BM154" s="373"/>
      <c r="BN154" s="444" t="s">
        <v>6</v>
      </c>
      <c r="BO154" s="377"/>
      <c r="BP154" s="373"/>
      <c r="BQ154" s="444" t="s">
        <v>6</v>
      </c>
      <c r="BR154" s="377"/>
      <c r="BS154" s="373"/>
      <c r="BT154" s="444" t="s">
        <v>6</v>
      </c>
      <c r="BU154" s="377"/>
      <c r="BV154" s="373"/>
      <c r="BW154" s="444"/>
      <c r="BX154" s="377"/>
      <c r="BY154" s="373"/>
      <c r="BZ154" s="444" t="s">
        <v>6</v>
      </c>
      <c r="CA154" s="377"/>
      <c r="CB154" s="373"/>
      <c r="CC154" s="444" t="s">
        <v>6</v>
      </c>
      <c r="CD154" s="377"/>
      <c r="CE154" s="373"/>
      <c r="CF154" s="444" t="s">
        <v>6</v>
      </c>
      <c r="CG154" s="377"/>
      <c r="CH154" s="373"/>
      <c r="CI154" s="444"/>
      <c r="CJ154" s="377"/>
      <c r="CK154" s="373"/>
      <c r="CL154" s="444" t="s">
        <v>6</v>
      </c>
      <c r="CM154" s="377"/>
      <c r="CN154" s="373"/>
      <c r="CO154" s="444" t="s">
        <v>6</v>
      </c>
      <c r="CP154" s="377"/>
      <c r="CQ154" s="373"/>
      <c r="CR154" s="444" t="s">
        <v>6</v>
      </c>
      <c r="CS154" s="377"/>
      <c r="CT154" s="373"/>
      <c r="CU154" s="444"/>
      <c r="CV154" s="377">
        <v>18</v>
      </c>
      <c r="CW154" s="373">
        <v>4</v>
      </c>
      <c r="CX154" s="444">
        <v>81.8</v>
      </c>
      <c r="CY154" s="377">
        <v>17</v>
      </c>
      <c r="CZ154" s="373">
        <v>2</v>
      </c>
      <c r="DA154" s="444">
        <v>89.5</v>
      </c>
      <c r="DB154" s="377">
        <v>16</v>
      </c>
      <c r="DC154" s="373">
        <v>4</v>
      </c>
      <c r="DD154" s="444">
        <v>80</v>
      </c>
      <c r="DE154" s="377"/>
      <c r="DF154" s="373"/>
      <c r="DG154" s="444"/>
      <c r="DH154" s="377">
        <v>1</v>
      </c>
      <c r="DI154" s="373"/>
      <c r="DJ154" s="444">
        <v>100</v>
      </c>
      <c r="DK154" s="377"/>
      <c r="DL154" s="373"/>
      <c r="DM154" s="444" t="s">
        <v>6</v>
      </c>
      <c r="DN154" s="377">
        <v>1</v>
      </c>
      <c r="DO154" s="373"/>
      <c r="DP154" s="444">
        <v>100</v>
      </c>
      <c r="DQ154" s="377"/>
      <c r="DR154" s="373"/>
      <c r="DS154" s="444"/>
      <c r="DT154" s="377"/>
      <c r="DU154" s="373"/>
      <c r="DV154" s="444" t="s">
        <v>6</v>
      </c>
      <c r="DW154" s="377">
        <v>1</v>
      </c>
      <c r="DX154" s="373"/>
      <c r="DY154" s="444">
        <v>100</v>
      </c>
      <c r="DZ154" s="377">
        <v>1</v>
      </c>
      <c r="EA154" s="373">
        <v>1</v>
      </c>
      <c r="EB154" s="444">
        <v>50</v>
      </c>
      <c r="EC154" s="377"/>
      <c r="ED154" s="373"/>
      <c r="EE154" s="444"/>
      <c r="EF154" s="377">
        <v>137</v>
      </c>
      <c r="EG154" s="373">
        <v>343</v>
      </c>
      <c r="EH154" s="444">
        <v>28.5</v>
      </c>
      <c r="EI154" s="377">
        <v>140</v>
      </c>
      <c r="EJ154" s="373">
        <v>254</v>
      </c>
      <c r="EK154" s="444">
        <v>35.5</v>
      </c>
      <c r="EL154" s="377">
        <v>174</v>
      </c>
      <c r="EM154" s="373">
        <v>265</v>
      </c>
      <c r="EN154" s="444">
        <v>39.6</v>
      </c>
      <c r="EO154" s="377"/>
      <c r="EP154" s="373"/>
      <c r="EQ154" s="444"/>
      <c r="ER154" s="377">
        <v>1</v>
      </c>
      <c r="ES154" s="373"/>
      <c r="ET154" s="444">
        <v>100</v>
      </c>
      <c r="EU154" s="377"/>
      <c r="EV154" s="373"/>
      <c r="EW154" s="444" t="s">
        <v>6</v>
      </c>
      <c r="EX154" s="377"/>
      <c r="EY154" s="373"/>
      <c r="EZ154" s="444" t="s">
        <v>6</v>
      </c>
      <c r="FA154" s="377"/>
      <c r="FB154" s="373"/>
      <c r="FC154" s="444"/>
      <c r="FD154" s="377">
        <v>1</v>
      </c>
      <c r="FE154" s="373">
        <v>1</v>
      </c>
      <c r="FF154" s="444">
        <v>50</v>
      </c>
      <c r="FG154" s="377"/>
      <c r="FH154" s="373"/>
      <c r="FI154" s="444" t="s">
        <v>6</v>
      </c>
      <c r="FJ154" s="377">
        <v>1</v>
      </c>
      <c r="FK154" s="373">
        <v>1</v>
      </c>
      <c r="FL154" s="444">
        <v>50</v>
      </c>
      <c r="FM154" s="377"/>
      <c r="FN154" s="373"/>
      <c r="FO154" s="444"/>
      <c r="FP154" s="377">
        <v>15</v>
      </c>
      <c r="FQ154" s="373">
        <v>92</v>
      </c>
      <c r="FR154" s="444">
        <v>14</v>
      </c>
      <c r="FS154" s="377">
        <v>23</v>
      </c>
      <c r="FT154" s="373">
        <v>60</v>
      </c>
      <c r="FU154" s="444">
        <v>27.7</v>
      </c>
      <c r="FV154" s="377">
        <v>24</v>
      </c>
      <c r="FW154" s="373">
        <v>51</v>
      </c>
      <c r="FX154" s="444">
        <v>32</v>
      </c>
      <c r="FY154" s="377"/>
      <c r="FZ154" s="373"/>
      <c r="GA154" s="444"/>
      <c r="GB154" s="377">
        <v>2</v>
      </c>
      <c r="GC154" s="373"/>
      <c r="GD154" s="444">
        <v>100</v>
      </c>
      <c r="GE154" s="377">
        <v>4</v>
      </c>
      <c r="GF154" s="373"/>
      <c r="GG154" s="444">
        <v>100</v>
      </c>
      <c r="GH154" s="377">
        <v>1</v>
      </c>
      <c r="GI154" s="373"/>
      <c r="GJ154" s="444">
        <v>100</v>
      </c>
      <c r="GK154" s="377"/>
      <c r="GL154" s="373"/>
      <c r="GM154" s="444"/>
      <c r="GN154" s="377">
        <v>2</v>
      </c>
      <c r="GO154" s="373">
        <v>1</v>
      </c>
      <c r="GP154" s="444">
        <v>66.7</v>
      </c>
      <c r="GQ154" s="377">
        <v>5</v>
      </c>
      <c r="GR154" s="373">
        <v>5</v>
      </c>
      <c r="GS154" s="444">
        <v>50</v>
      </c>
      <c r="GT154" s="377">
        <v>3</v>
      </c>
      <c r="GU154" s="373">
        <v>3</v>
      </c>
      <c r="GV154" s="444">
        <v>50</v>
      </c>
      <c r="GW154" s="377"/>
      <c r="GX154" s="373"/>
      <c r="GY154" s="444"/>
      <c r="GZ154" s="377"/>
      <c r="HA154" s="373"/>
      <c r="HB154" s="444" t="s">
        <v>6</v>
      </c>
      <c r="HC154" s="377">
        <v>1</v>
      </c>
      <c r="HD154" s="373"/>
      <c r="HE154" s="444">
        <v>100</v>
      </c>
      <c r="HF154" s="377"/>
      <c r="HG154" s="373"/>
      <c r="HH154" s="444" t="s">
        <v>6</v>
      </c>
      <c r="HI154" s="377"/>
      <c r="HJ154" s="373"/>
      <c r="HK154" s="444"/>
      <c r="HL154" s="377">
        <v>6</v>
      </c>
      <c r="HM154" s="373">
        <v>16</v>
      </c>
      <c r="HN154" s="444">
        <v>27.3</v>
      </c>
      <c r="HO154" s="377">
        <v>24</v>
      </c>
      <c r="HP154" s="373">
        <v>18</v>
      </c>
      <c r="HQ154" s="444">
        <v>57.1</v>
      </c>
      <c r="HR154" s="377">
        <v>3</v>
      </c>
      <c r="HS154" s="373">
        <v>5</v>
      </c>
      <c r="HT154" s="444">
        <v>37.5</v>
      </c>
      <c r="HU154" s="377"/>
      <c r="HV154" s="373"/>
      <c r="HW154" s="444"/>
      <c r="HX154" s="377">
        <v>1</v>
      </c>
      <c r="HY154" s="373"/>
      <c r="HZ154" s="444">
        <v>100</v>
      </c>
      <c r="IA154" s="377">
        <v>3</v>
      </c>
      <c r="IB154" s="373"/>
      <c r="IC154" s="444">
        <v>100</v>
      </c>
      <c r="ID154" s="377">
        <v>4</v>
      </c>
      <c r="IE154" s="373">
        <v>1</v>
      </c>
      <c r="IF154" s="444">
        <v>80</v>
      </c>
      <c r="IG154" s="377"/>
      <c r="IH154" s="373"/>
      <c r="II154" s="444"/>
      <c r="IJ154" s="377">
        <v>3</v>
      </c>
      <c r="IK154" s="373"/>
      <c r="IL154" s="444">
        <v>100</v>
      </c>
      <c r="IM154" s="377">
        <v>3</v>
      </c>
      <c r="IN154" s="373"/>
      <c r="IO154" s="444">
        <v>100</v>
      </c>
      <c r="IP154" s="377"/>
      <c r="IQ154" s="373">
        <v>4</v>
      </c>
      <c r="IR154" s="444">
        <v>0</v>
      </c>
      <c r="IS154" s="377"/>
      <c r="IT154" s="373"/>
      <c r="IU154" s="444"/>
      <c r="IV154" s="377">
        <v>184</v>
      </c>
      <c r="IW154" s="373">
        <v>366</v>
      </c>
      <c r="IX154" s="444">
        <v>33.5</v>
      </c>
      <c r="IY154" s="377">
        <v>224</v>
      </c>
      <c r="IZ154" s="373">
        <v>284</v>
      </c>
      <c r="JA154" s="444">
        <v>44.1</v>
      </c>
      <c r="JB154" s="377">
        <v>217</v>
      </c>
      <c r="JC154" s="373">
        <v>289</v>
      </c>
      <c r="JD154" s="444">
        <v>42.9</v>
      </c>
      <c r="JE154" s="377"/>
      <c r="JF154" s="373"/>
      <c r="JG154" s="444"/>
      <c r="JH154" s="377">
        <v>30</v>
      </c>
      <c r="JI154" s="373">
        <v>18</v>
      </c>
      <c r="JJ154" s="444">
        <v>62.5</v>
      </c>
      <c r="JK154" s="377">
        <v>24</v>
      </c>
      <c r="JL154" s="373">
        <v>25</v>
      </c>
      <c r="JM154" s="444">
        <v>49</v>
      </c>
      <c r="JN154" s="377">
        <v>11</v>
      </c>
      <c r="JO154" s="373">
        <v>12</v>
      </c>
      <c r="JP154" s="444">
        <v>47.8</v>
      </c>
      <c r="JQ154" s="377"/>
      <c r="JR154" s="373"/>
      <c r="JS154" s="444"/>
      <c r="JT154" s="377"/>
      <c r="JU154" s="373"/>
      <c r="JV154" s="444" t="s">
        <v>6</v>
      </c>
      <c r="JW154" s="377">
        <v>4</v>
      </c>
      <c r="JX154" s="373"/>
      <c r="JY154" s="444">
        <v>100</v>
      </c>
      <c r="JZ154" s="377"/>
      <c r="KA154" s="373"/>
      <c r="KB154" s="444" t="s">
        <v>6</v>
      </c>
      <c r="KC154" s="377"/>
      <c r="KD154" s="373"/>
      <c r="KE154" s="444"/>
      <c r="KF154" s="377">
        <v>2</v>
      </c>
      <c r="KG154" s="373"/>
      <c r="KH154" s="444">
        <v>100</v>
      </c>
      <c r="KI154" s="377">
        <v>1</v>
      </c>
      <c r="KJ154" s="373"/>
      <c r="KK154" s="444">
        <v>100</v>
      </c>
      <c r="KL154" s="377">
        <v>3</v>
      </c>
      <c r="KM154" s="373">
        <v>1</v>
      </c>
      <c r="KN154" s="444">
        <v>75</v>
      </c>
      <c r="KO154" s="377"/>
      <c r="KP154" s="373"/>
      <c r="KQ154" s="444"/>
      <c r="KR154" s="377">
        <v>36</v>
      </c>
      <c r="KS154" s="373">
        <v>28</v>
      </c>
      <c r="KT154" s="444">
        <v>56.3</v>
      </c>
      <c r="KU154" s="377">
        <v>35</v>
      </c>
      <c r="KV154" s="373">
        <v>33</v>
      </c>
      <c r="KW154" s="444">
        <v>51.5</v>
      </c>
      <c r="KX154" s="377">
        <v>17</v>
      </c>
      <c r="KY154" s="373">
        <v>14</v>
      </c>
      <c r="KZ154" s="444">
        <v>54.8</v>
      </c>
      <c r="LA154" s="377"/>
      <c r="LB154" s="373"/>
      <c r="LC154" s="444"/>
      <c r="LD154" s="377">
        <v>254</v>
      </c>
      <c r="LE154" s="373">
        <v>406</v>
      </c>
      <c r="LF154" s="444">
        <v>38.5</v>
      </c>
      <c r="LG154" s="377">
        <v>321</v>
      </c>
      <c r="LH154" s="373">
        <v>324</v>
      </c>
      <c r="LI154" s="444">
        <v>49.8</v>
      </c>
      <c r="LJ154" s="377">
        <v>266</v>
      </c>
      <c r="LK154" s="373">
        <v>315</v>
      </c>
      <c r="LL154" s="444">
        <v>45.8</v>
      </c>
      <c r="LM154" s="377"/>
      <c r="LN154" s="373"/>
      <c r="LO154" s="444"/>
    </row>
    <row r="155" spans="1:327" x14ac:dyDescent="0.2">
      <c r="A155" s="1001"/>
      <c r="B155" s="747" t="s">
        <v>621</v>
      </c>
      <c r="C155" s="151" t="s">
        <v>740</v>
      </c>
      <c r="D155" s="377"/>
      <c r="E155" s="373"/>
      <c r="F155" s="444" t="s">
        <v>6</v>
      </c>
      <c r="G155" s="377"/>
      <c r="H155" s="373"/>
      <c r="I155" s="444" t="s">
        <v>6</v>
      </c>
      <c r="J155" s="377"/>
      <c r="K155" s="373"/>
      <c r="L155" s="444" t="s">
        <v>6</v>
      </c>
      <c r="M155" s="377"/>
      <c r="N155" s="373"/>
      <c r="O155" s="444"/>
      <c r="P155" s="377"/>
      <c r="Q155" s="373"/>
      <c r="R155" s="444" t="s">
        <v>6</v>
      </c>
      <c r="S155" s="377"/>
      <c r="T155" s="373"/>
      <c r="U155" s="444" t="s">
        <v>6</v>
      </c>
      <c r="V155" s="377"/>
      <c r="W155" s="373"/>
      <c r="X155" s="444" t="s">
        <v>6</v>
      </c>
      <c r="Y155" s="377"/>
      <c r="Z155" s="373"/>
      <c r="AA155" s="444"/>
      <c r="AB155" s="377"/>
      <c r="AC155" s="373"/>
      <c r="AD155" s="444" t="s">
        <v>6</v>
      </c>
      <c r="AE155" s="377"/>
      <c r="AF155" s="373"/>
      <c r="AG155" s="444" t="s">
        <v>6</v>
      </c>
      <c r="AH155" s="377"/>
      <c r="AI155" s="373"/>
      <c r="AJ155" s="444" t="s">
        <v>6</v>
      </c>
      <c r="AK155" s="377"/>
      <c r="AL155" s="373"/>
      <c r="AM155" s="444"/>
      <c r="AN155" s="377">
        <v>12</v>
      </c>
      <c r="AO155" s="373">
        <v>3</v>
      </c>
      <c r="AP155" s="444">
        <v>80</v>
      </c>
      <c r="AQ155" s="377">
        <v>7</v>
      </c>
      <c r="AR155" s="373">
        <v>2</v>
      </c>
      <c r="AS155" s="444">
        <v>77.8</v>
      </c>
      <c r="AT155" s="377">
        <v>8</v>
      </c>
      <c r="AU155" s="373">
        <v>3</v>
      </c>
      <c r="AV155" s="444">
        <v>72.7</v>
      </c>
      <c r="AW155" s="377"/>
      <c r="AX155" s="373"/>
      <c r="AY155" s="444"/>
      <c r="AZ155" s="377">
        <v>9</v>
      </c>
      <c r="BA155" s="373">
        <v>3</v>
      </c>
      <c r="BB155" s="444">
        <v>75</v>
      </c>
      <c r="BC155" s="377">
        <v>7</v>
      </c>
      <c r="BD155" s="373">
        <v>2</v>
      </c>
      <c r="BE155" s="444">
        <v>77.8</v>
      </c>
      <c r="BF155" s="377">
        <v>5</v>
      </c>
      <c r="BG155" s="373">
        <v>2</v>
      </c>
      <c r="BH155" s="444">
        <v>71.400000000000006</v>
      </c>
      <c r="BI155" s="377"/>
      <c r="BJ155" s="373"/>
      <c r="BK155" s="444"/>
      <c r="BL155" s="377"/>
      <c r="BM155" s="373"/>
      <c r="BN155" s="444" t="s">
        <v>6</v>
      </c>
      <c r="BO155" s="377"/>
      <c r="BP155" s="373"/>
      <c r="BQ155" s="444" t="s">
        <v>6</v>
      </c>
      <c r="BR155" s="377"/>
      <c r="BS155" s="373"/>
      <c r="BT155" s="444" t="s">
        <v>6</v>
      </c>
      <c r="BU155" s="377"/>
      <c r="BV155" s="373"/>
      <c r="BW155" s="444"/>
      <c r="BX155" s="377"/>
      <c r="BY155" s="373"/>
      <c r="BZ155" s="444" t="s">
        <v>6</v>
      </c>
      <c r="CA155" s="377"/>
      <c r="CB155" s="373"/>
      <c r="CC155" s="444" t="s">
        <v>6</v>
      </c>
      <c r="CD155" s="377">
        <v>1</v>
      </c>
      <c r="CE155" s="373"/>
      <c r="CF155" s="444">
        <v>100</v>
      </c>
      <c r="CG155" s="377"/>
      <c r="CH155" s="373"/>
      <c r="CI155" s="444"/>
      <c r="CJ155" s="377"/>
      <c r="CK155" s="373"/>
      <c r="CL155" s="444" t="s">
        <v>6</v>
      </c>
      <c r="CM155" s="377"/>
      <c r="CN155" s="373"/>
      <c r="CO155" s="444" t="s">
        <v>6</v>
      </c>
      <c r="CP155" s="377"/>
      <c r="CQ155" s="373"/>
      <c r="CR155" s="444" t="s">
        <v>6</v>
      </c>
      <c r="CS155" s="377"/>
      <c r="CT155" s="373"/>
      <c r="CU155" s="444"/>
      <c r="CV155" s="377">
        <v>15</v>
      </c>
      <c r="CW155" s="373">
        <v>3</v>
      </c>
      <c r="CX155" s="444">
        <v>83.3</v>
      </c>
      <c r="CY155" s="377">
        <v>9</v>
      </c>
      <c r="CZ155" s="373">
        <v>2</v>
      </c>
      <c r="DA155" s="444">
        <v>81.8</v>
      </c>
      <c r="DB155" s="377">
        <v>8</v>
      </c>
      <c r="DC155" s="373">
        <v>3</v>
      </c>
      <c r="DD155" s="444">
        <v>72.7</v>
      </c>
      <c r="DE155" s="377"/>
      <c r="DF155" s="373"/>
      <c r="DG155" s="444"/>
      <c r="DH155" s="377"/>
      <c r="DI155" s="373"/>
      <c r="DJ155" s="444" t="s">
        <v>6</v>
      </c>
      <c r="DK155" s="377"/>
      <c r="DL155" s="373"/>
      <c r="DM155" s="444" t="s">
        <v>6</v>
      </c>
      <c r="DN155" s="377"/>
      <c r="DO155" s="373"/>
      <c r="DP155" s="444" t="s">
        <v>6</v>
      </c>
      <c r="DQ155" s="377"/>
      <c r="DR155" s="373"/>
      <c r="DS155" s="444"/>
      <c r="DT155" s="377"/>
      <c r="DU155" s="373"/>
      <c r="DV155" s="444" t="s">
        <v>6</v>
      </c>
      <c r="DW155" s="377"/>
      <c r="DX155" s="373"/>
      <c r="DY155" s="444" t="s">
        <v>6</v>
      </c>
      <c r="DZ155" s="377"/>
      <c r="EA155" s="373">
        <v>1</v>
      </c>
      <c r="EB155" s="444">
        <v>0</v>
      </c>
      <c r="EC155" s="377"/>
      <c r="ED155" s="373"/>
      <c r="EE155" s="444"/>
      <c r="EF155" s="377">
        <v>84</v>
      </c>
      <c r="EG155" s="373">
        <v>177</v>
      </c>
      <c r="EH155" s="444">
        <v>32.200000000000003</v>
      </c>
      <c r="EI155" s="377">
        <v>87</v>
      </c>
      <c r="EJ155" s="373">
        <v>171</v>
      </c>
      <c r="EK155" s="444">
        <v>33.700000000000003</v>
      </c>
      <c r="EL155" s="377">
        <v>92</v>
      </c>
      <c r="EM155" s="373">
        <v>144</v>
      </c>
      <c r="EN155" s="444">
        <v>39</v>
      </c>
      <c r="EO155" s="377"/>
      <c r="EP155" s="373"/>
      <c r="EQ155" s="444"/>
      <c r="ER155" s="377"/>
      <c r="ES155" s="373"/>
      <c r="ET155" s="444" t="s">
        <v>6</v>
      </c>
      <c r="EU155" s="377"/>
      <c r="EV155" s="373">
        <v>2</v>
      </c>
      <c r="EW155" s="444">
        <v>0</v>
      </c>
      <c r="EX155" s="377"/>
      <c r="EY155" s="373"/>
      <c r="EZ155" s="444" t="s">
        <v>6</v>
      </c>
      <c r="FA155" s="377"/>
      <c r="FB155" s="373"/>
      <c r="FC155" s="444"/>
      <c r="FD155" s="377"/>
      <c r="FE155" s="373">
        <v>1</v>
      </c>
      <c r="FF155" s="444">
        <v>0</v>
      </c>
      <c r="FG155" s="377"/>
      <c r="FH155" s="373"/>
      <c r="FI155" s="444" t="s">
        <v>6</v>
      </c>
      <c r="FJ155" s="377">
        <v>2</v>
      </c>
      <c r="FK155" s="373">
        <v>1</v>
      </c>
      <c r="FL155" s="444">
        <v>66.7</v>
      </c>
      <c r="FM155" s="377"/>
      <c r="FN155" s="373"/>
      <c r="FO155" s="444"/>
      <c r="FP155" s="377">
        <v>14</v>
      </c>
      <c r="FQ155" s="373">
        <v>21</v>
      </c>
      <c r="FR155" s="444">
        <v>40</v>
      </c>
      <c r="FS155" s="377">
        <v>13</v>
      </c>
      <c r="FT155" s="373">
        <v>19</v>
      </c>
      <c r="FU155" s="444">
        <v>40.6</v>
      </c>
      <c r="FV155" s="377">
        <v>16</v>
      </c>
      <c r="FW155" s="373">
        <v>20</v>
      </c>
      <c r="FX155" s="444">
        <v>44.4</v>
      </c>
      <c r="FY155" s="377"/>
      <c r="FZ155" s="373"/>
      <c r="GA155" s="444"/>
      <c r="GB155" s="377">
        <v>3</v>
      </c>
      <c r="GC155" s="373"/>
      <c r="GD155" s="444">
        <v>100</v>
      </c>
      <c r="GE155" s="377">
        <v>1</v>
      </c>
      <c r="GF155" s="373"/>
      <c r="GG155" s="444">
        <v>100</v>
      </c>
      <c r="GH155" s="377">
        <v>2</v>
      </c>
      <c r="GI155" s="373"/>
      <c r="GJ155" s="444">
        <v>100</v>
      </c>
      <c r="GK155" s="377"/>
      <c r="GL155" s="373"/>
      <c r="GM155" s="444"/>
      <c r="GN155" s="377">
        <v>4</v>
      </c>
      <c r="GO155" s="373">
        <v>2</v>
      </c>
      <c r="GP155" s="444">
        <v>66.7</v>
      </c>
      <c r="GQ155" s="377">
        <v>1</v>
      </c>
      <c r="GR155" s="373">
        <v>1</v>
      </c>
      <c r="GS155" s="444">
        <v>50</v>
      </c>
      <c r="GT155" s="377">
        <v>3</v>
      </c>
      <c r="GU155" s="373"/>
      <c r="GV155" s="444">
        <v>100</v>
      </c>
      <c r="GW155" s="377"/>
      <c r="GX155" s="373"/>
      <c r="GY155" s="444"/>
      <c r="GZ155" s="377"/>
      <c r="HA155" s="373"/>
      <c r="HB155" s="444" t="s">
        <v>6</v>
      </c>
      <c r="HC155" s="377"/>
      <c r="HD155" s="373"/>
      <c r="HE155" s="444" t="s">
        <v>6</v>
      </c>
      <c r="HF155" s="377"/>
      <c r="HG155" s="373"/>
      <c r="HH155" s="444" t="s">
        <v>6</v>
      </c>
      <c r="HI155" s="377"/>
      <c r="HJ155" s="373"/>
      <c r="HK155" s="444"/>
      <c r="HL155" s="377">
        <v>5</v>
      </c>
      <c r="HM155" s="373">
        <v>8</v>
      </c>
      <c r="HN155" s="444">
        <v>38.5</v>
      </c>
      <c r="HO155" s="377">
        <v>1</v>
      </c>
      <c r="HP155" s="373">
        <v>7</v>
      </c>
      <c r="HQ155" s="444">
        <v>12.5</v>
      </c>
      <c r="HR155" s="377">
        <v>4</v>
      </c>
      <c r="HS155" s="373">
        <v>8</v>
      </c>
      <c r="HT155" s="444">
        <v>33.299999999999997</v>
      </c>
      <c r="HU155" s="377"/>
      <c r="HV155" s="373"/>
      <c r="HW155" s="444"/>
      <c r="HX155" s="377"/>
      <c r="HY155" s="373"/>
      <c r="HZ155" s="444" t="s">
        <v>6</v>
      </c>
      <c r="IA155" s="377"/>
      <c r="IB155" s="373"/>
      <c r="IC155" s="444" t="s">
        <v>6</v>
      </c>
      <c r="ID155" s="377"/>
      <c r="IE155" s="373">
        <v>3</v>
      </c>
      <c r="IF155" s="444">
        <v>0</v>
      </c>
      <c r="IG155" s="377"/>
      <c r="IH155" s="373"/>
      <c r="II155" s="444"/>
      <c r="IJ155" s="377">
        <v>1</v>
      </c>
      <c r="IK155" s="373"/>
      <c r="IL155" s="444">
        <v>100</v>
      </c>
      <c r="IM155" s="377"/>
      <c r="IN155" s="373"/>
      <c r="IO155" s="444" t="s">
        <v>6</v>
      </c>
      <c r="IP155" s="377">
        <v>1</v>
      </c>
      <c r="IQ155" s="373">
        <v>1</v>
      </c>
      <c r="IR155" s="444">
        <v>50</v>
      </c>
      <c r="IS155" s="377"/>
      <c r="IT155" s="373"/>
      <c r="IU155" s="444"/>
      <c r="IV155" s="377">
        <v>124</v>
      </c>
      <c r="IW155" s="373">
        <v>193</v>
      </c>
      <c r="IX155" s="444">
        <v>39.1</v>
      </c>
      <c r="IY155" s="377">
        <v>106</v>
      </c>
      <c r="IZ155" s="373">
        <v>183</v>
      </c>
      <c r="JA155" s="444">
        <v>36.700000000000003</v>
      </c>
      <c r="JB155" s="377">
        <v>119</v>
      </c>
      <c r="JC155" s="373">
        <v>163</v>
      </c>
      <c r="JD155" s="444">
        <v>42.2</v>
      </c>
      <c r="JE155" s="377"/>
      <c r="JF155" s="373"/>
      <c r="JG155" s="444"/>
      <c r="JH155" s="377">
        <v>8</v>
      </c>
      <c r="JI155" s="373">
        <v>14</v>
      </c>
      <c r="JJ155" s="444">
        <v>36.4</v>
      </c>
      <c r="JK155" s="377">
        <v>6</v>
      </c>
      <c r="JL155" s="373">
        <v>13</v>
      </c>
      <c r="JM155" s="444">
        <v>31.6</v>
      </c>
      <c r="JN155" s="377">
        <v>18</v>
      </c>
      <c r="JO155" s="373">
        <v>17</v>
      </c>
      <c r="JP155" s="444">
        <v>51.4</v>
      </c>
      <c r="JQ155" s="377"/>
      <c r="JR155" s="373"/>
      <c r="JS155" s="444"/>
      <c r="JT155" s="377">
        <v>2</v>
      </c>
      <c r="JU155" s="373">
        <v>2</v>
      </c>
      <c r="JV155" s="444">
        <v>50</v>
      </c>
      <c r="JW155" s="377">
        <v>2</v>
      </c>
      <c r="JX155" s="373"/>
      <c r="JY155" s="444">
        <v>100</v>
      </c>
      <c r="JZ155" s="377"/>
      <c r="KA155" s="373"/>
      <c r="KB155" s="444" t="s">
        <v>6</v>
      </c>
      <c r="KC155" s="377"/>
      <c r="KD155" s="373"/>
      <c r="KE155" s="444"/>
      <c r="KF155" s="377"/>
      <c r="KG155" s="373"/>
      <c r="KH155" s="444" t="s">
        <v>6</v>
      </c>
      <c r="KI155" s="377">
        <v>1</v>
      </c>
      <c r="KJ155" s="373"/>
      <c r="KK155" s="444">
        <v>100</v>
      </c>
      <c r="KL155" s="377">
        <v>1</v>
      </c>
      <c r="KM155" s="373"/>
      <c r="KN155" s="444">
        <v>100</v>
      </c>
      <c r="KO155" s="377"/>
      <c r="KP155" s="373"/>
      <c r="KQ155" s="444"/>
      <c r="KR155" s="377">
        <v>14</v>
      </c>
      <c r="KS155" s="373">
        <v>19</v>
      </c>
      <c r="KT155" s="444">
        <v>42.4</v>
      </c>
      <c r="KU155" s="377">
        <v>11</v>
      </c>
      <c r="KV155" s="373">
        <v>16</v>
      </c>
      <c r="KW155" s="444">
        <v>40.700000000000003</v>
      </c>
      <c r="KX155" s="377">
        <v>24</v>
      </c>
      <c r="KY155" s="373">
        <v>22</v>
      </c>
      <c r="KZ155" s="444">
        <v>52.2</v>
      </c>
      <c r="LA155" s="377"/>
      <c r="LB155" s="373"/>
      <c r="LC155" s="444"/>
      <c r="LD155" s="377">
        <v>202</v>
      </c>
      <c r="LE155" s="373">
        <v>233</v>
      </c>
      <c r="LF155" s="444">
        <v>46.4</v>
      </c>
      <c r="LG155" s="377">
        <v>221</v>
      </c>
      <c r="LH155" s="373">
        <v>226</v>
      </c>
      <c r="LI155" s="444">
        <v>49.4</v>
      </c>
      <c r="LJ155" s="377">
        <v>210</v>
      </c>
      <c r="LK155" s="373">
        <v>202</v>
      </c>
      <c r="LL155" s="444">
        <v>51</v>
      </c>
      <c r="LM155" s="377"/>
      <c r="LN155" s="373"/>
      <c r="LO155" s="444"/>
    </row>
    <row r="156" spans="1:327" ht="13.5" thickBot="1" x14ac:dyDescent="0.25">
      <c r="A156" s="1001"/>
      <c r="B156" s="748" t="s">
        <v>621</v>
      </c>
      <c r="C156" s="156" t="s">
        <v>741</v>
      </c>
      <c r="D156" s="377"/>
      <c r="E156" s="373"/>
      <c r="F156" s="444" t="s">
        <v>6</v>
      </c>
      <c r="G156" s="377"/>
      <c r="H156" s="373"/>
      <c r="I156" s="444" t="s">
        <v>6</v>
      </c>
      <c r="J156" s="377"/>
      <c r="K156" s="373"/>
      <c r="L156" s="444" t="s">
        <v>6</v>
      </c>
      <c r="M156" s="377"/>
      <c r="N156" s="373"/>
      <c r="O156" s="444"/>
      <c r="P156" s="377"/>
      <c r="Q156" s="373"/>
      <c r="R156" s="444" t="s">
        <v>6</v>
      </c>
      <c r="S156" s="377"/>
      <c r="T156" s="373"/>
      <c r="U156" s="444" t="s">
        <v>6</v>
      </c>
      <c r="V156" s="377"/>
      <c r="W156" s="373"/>
      <c r="X156" s="444" t="s">
        <v>6</v>
      </c>
      <c r="Y156" s="377"/>
      <c r="Z156" s="373"/>
      <c r="AA156" s="444"/>
      <c r="AB156" s="377"/>
      <c r="AC156" s="373"/>
      <c r="AD156" s="444" t="s">
        <v>6</v>
      </c>
      <c r="AE156" s="377"/>
      <c r="AF156" s="373"/>
      <c r="AG156" s="444" t="s">
        <v>6</v>
      </c>
      <c r="AH156" s="377"/>
      <c r="AI156" s="373"/>
      <c r="AJ156" s="444" t="s">
        <v>6</v>
      </c>
      <c r="AK156" s="377"/>
      <c r="AL156" s="373"/>
      <c r="AM156" s="444"/>
      <c r="AN156" s="377">
        <v>3</v>
      </c>
      <c r="AO156" s="373"/>
      <c r="AP156" s="444">
        <v>100</v>
      </c>
      <c r="AQ156" s="377">
        <v>4</v>
      </c>
      <c r="AR156" s="373">
        <v>1</v>
      </c>
      <c r="AS156" s="444">
        <v>80</v>
      </c>
      <c r="AT156" s="377">
        <v>3</v>
      </c>
      <c r="AU156" s="373">
        <v>1</v>
      </c>
      <c r="AV156" s="444">
        <v>75</v>
      </c>
      <c r="AW156" s="377"/>
      <c r="AX156" s="373"/>
      <c r="AY156" s="444"/>
      <c r="AZ156" s="377">
        <v>2</v>
      </c>
      <c r="BA156" s="373"/>
      <c r="BB156" s="444">
        <v>100</v>
      </c>
      <c r="BC156" s="377">
        <v>1</v>
      </c>
      <c r="BD156" s="373">
        <v>1</v>
      </c>
      <c r="BE156" s="444">
        <v>50</v>
      </c>
      <c r="BF156" s="377">
        <v>2</v>
      </c>
      <c r="BG156" s="373">
        <v>1</v>
      </c>
      <c r="BH156" s="444">
        <v>66.7</v>
      </c>
      <c r="BI156" s="377"/>
      <c r="BJ156" s="373"/>
      <c r="BK156" s="444"/>
      <c r="BL156" s="377"/>
      <c r="BM156" s="373"/>
      <c r="BN156" s="444" t="s">
        <v>6</v>
      </c>
      <c r="BO156" s="377"/>
      <c r="BP156" s="373"/>
      <c r="BQ156" s="444" t="s">
        <v>6</v>
      </c>
      <c r="BR156" s="377"/>
      <c r="BS156" s="373"/>
      <c r="BT156" s="444" t="s">
        <v>6</v>
      </c>
      <c r="BU156" s="377"/>
      <c r="BV156" s="373"/>
      <c r="BW156" s="444"/>
      <c r="BX156" s="377"/>
      <c r="BY156" s="373"/>
      <c r="BZ156" s="444" t="s">
        <v>6</v>
      </c>
      <c r="CA156" s="377"/>
      <c r="CB156" s="373"/>
      <c r="CC156" s="444" t="s">
        <v>6</v>
      </c>
      <c r="CD156" s="377"/>
      <c r="CE156" s="373"/>
      <c r="CF156" s="444" t="s">
        <v>6</v>
      </c>
      <c r="CG156" s="377"/>
      <c r="CH156" s="373"/>
      <c r="CI156" s="444"/>
      <c r="CJ156" s="377"/>
      <c r="CK156" s="373"/>
      <c r="CL156" s="444" t="s">
        <v>6</v>
      </c>
      <c r="CM156" s="377"/>
      <c r="CN156" s="373"/>
      <c r="CO156" s="444" t="s">
        <v>6</v>
      </c>
      <c r="CP156" s="377"/>
      <c r="CQ156" s="373"/>
      <c r="CR156" s="444" t="s">
        <v>6</v>
      </c>
      <c r="CS156" s="377"/>
      <c r="CT156" s="373"/>
      <c r="CU156" s="444"/>
      <c r="CV156" s="377">
        <v>7</v>
      </c>
      <c r="CW156" s="373"/>
      <c r="CX156" s="444">
        <v>100</v>
      </c>
      <c r="CY156" s="377">
        <v>7</v>
      </c>
      <c r="CZ156" s="373"/>
      <c r="DA156" s="444">
        <v>100</v>
      </c>
      <c r="DB156" s="377">
        <v>3</v>
      </c>
      <c r="DC156" s="373"/>
      <c r="DD156" s="444">
        <v>100</v>
      </c>
      <c r="DE156" s="377"/>
      <c r="DF156" s="373"/>
      <c r="DG156" s="444"/>
      <c r="DH156" s="377"/>
      <c r="DI156" s="373"/>
      <c r="DJ156" s="444" t="s">
        <v>6</v>
      </c>
      <c r="DK156" s="377"/>
      <c r="DL156" s="373"/>
      <c r="DM156" s="444" t="s">
        <v>6</v>
      </c>
      <c r="DN156" s="377"/>
      <c r="DO156" s="373"/>
      <c r="DP156" s="444" t="s">
        <v>6</v>
      </c>
      <c r="DQ156" s="377"/>
      <c r="DR156" s="373"/>
      <c r="DS156" s="444"/>
      <c r="DT156" s="377"/>
      <c r="DU156" s="373"/>
      <c r="DV156" s="444" t="s">
        <v>6</v>
      </c>
      <c r="DW156" s="377"/>
      <c r="DX156" s="373"/>
      <c r="DY156" s="444" t="s">
        <v>6</v>
      </c>
      <c r="DZ156" s="377"/>
      <c r="EA156" s="373"/>
      <c r="EB156" s="444" t="s">
        <v>6</v>
      </c>
      <c r="EC156" s="377"/>
      <c r="ED156" s="373"/>
      <c r="EE156" s="444"/>
      <c r="EF156" s="377">
        <v>18</v>
      </c>
      <c r="EG156" s="373">
        <v>104</v>
      </c>
      <c r="EH156" s="444">
        <v>14.8</v>
      </c>
      <c r="EI156" s="377">
        <v>27</v>
      </c>
      <c r="EJ156" s="373">
        <v>75</v>
      </c>
      <c r="EK156" s="444">
        <v>26.5</v>
      </c>
      <c r="EL156" s="377">
        <v>35</v>
      </c>
      <c r="EM156" s="373">
        <v>76</v>
      </c>
      <c r="EN156" s="444">
        <v>31.5</v>
      </c>
      <c r="EO156" s="377"/>
      <c r="EP156" s="373"/>
      <c r="EQ156" s="444"/>
      <c r="ER156" s="377"/>
      <c r="ES156" s="373"/>
      <c r="ET156" s="444" t="s">
        <v>6</v>
      </c>
      <c r="EU156" s="377"/>
      <c r="EV156" s="373">
        <v>2</v>
      </c>
      <c r="EW156" s="444">
        <v>0</v>
      </c>
      <c r="EX156" s="377"/>
      <c r="EY156" s="373">
        <v>1</v>
      </c>
      <c r="EZ156" s="444">
        <v>0</v>
      </c>
      <c r="FA156" s="377"/>
      <c r="FB156" s="373"/>
      <c r="FC156" s="444"/>
      <c r="FD156" s="377"/>
      <c r="FE156" s="373"/>
      <c r="FF156" s="444" t="s">
        <v>6</v>
      </c>
      <c r="FG156" s="377"/>
      <c r="FH156" s="373"/>
      <c r="FI156" s="444" t="s">
        <v>6</v>
      </c>
      <c r="FJ156" s="377"/>
      <c r="FK156" s="373"/>
      <c r="FL156" s="444" t="s">
        <v>6</v>
      </c>
      <c r="FM156" s="377"/>
      <c r="FN156" s="373"/>
      <c r="FO156" s="444"/>
      <c r="FP156" s="377">
        <v>5</v>
      </c>
      <c r="FQ156" s="373">
        <v>9</v>
      </c>
      <c r="FR156" s="444">
        <v>35.700000000000003</v>
      </c>
      <c r="FS156" s="377">
        <v>4</v>
      </c>
      <c r="FT156" s="373">
        <v>9</v>
      </c>
      <c r="FU156" s="444">
        <v>30.8</v>
      </c>
      <c r="FV156" s="377">
        <v>12</v>
      </c>
      <c r="FW156" s="373">
        <v>7</v>
      </c>
      <c r="FX156" s="444">
        <v>63.2</v>
      </c>
      <c r="FY156" s="377"/>
      <c r="FZ156" s="373"/>
      <c r="GA156" s="444"/>
      <c r="GB156" s="377"/>
      <c r="GC156" s="373"/>
      <c r="GD156" s="444" t="s">
        <v>6</v>
      </c>
      <c r="GE156" s="377"/>
      <c r="GF156" s="373"/>
      <c r="GG156" s="444" t="s">
        <v>6</v>
      </c>
      <c r="GH156" s="377">
        <v>3</v>
      </c>
      <c r="GI156" s="373"/>
      <c r="GJ156" s="444">
        <v>100</v>
      </c>
      <c r="GK156" s="377"/>
      <c r="GL156" s="373"/>
      <c r="GM156" s="444"/>
      <c r="GN156" s="377"/>
      <c r="GO156" s="373">
        <v>1</v>
      </c>
      <c r="GP156" s="444">
        <v>0</v>
      </c>
      <c r="GQ156" s="377"/>
      <c r="GR156" s="373">
        <v>1</v>
      </c>
      <c r="GS156" s="444">
        <v>0</v>
      </c>
      <c r="GT156" s="377">
        <v>1</v>
      </c>
      <c r="GU156" s="373">
        <v>1</v>
      </c>
      <c r="GV156" s="444">
        <v>50</v>
      </c>
      <c r="GW156" s="377"/>
      <c r="GX156" s="373"/>
      <c r="GY156" s="444"/>
      <c r="GZ156" s="377"/>
      <c r="HA156" s="373"/>
      <c r="HB156" s="444" t="s">
        <v>6</v>
      </c>
      <c r="HC156" s="377"/>
      <c r="HD156" s="373"/>
      <c r="HE156" s="444" t="s">
        <v>6</v>
      </c>
      <c r="HF156" s="377"/>
      <c r="HG156" s="373"/>
      <c r="HH156" s="444" t="s">
        <v>6</v>
      </c>
      <c r="HI156" s="377"/>
      <c r="HJ156" s="373"/>
      <c r="HK156" s="444"/>
      <c r="HL156" s="377">
        <v>2</v>
      </c>
      <c r="HM156" s="373">
        <v>5</v>
      </c>
      <c r="HN156" s="444">
        <v>28.6</v>
      </c>
      <c r="HO156" s="377"/>
      <c r="HP156" s="373">
        <v>7</v>
      </c>
      <c r="HQ156" s="444">
        <v>0</v>
      </c>
      <c r="HR156" s="377"/>
      <c r="HS156" s="373">
        <v>5</v>
      </c>
      <c r="HT156" s="444">
        <v>0</v>
      </c>
      <c r="HU156" s="377"/>
      <c r="HV156" s="373"/>
      <c r="HW156" s="444"/>
      <c r="HX156" s="377"/>
      <c r="HY156" s="373">
        <v>1</v>
      </c>
      <c r="HZ156" s="444">
        <v>0</v>
      </c>
      <c r="IA156" s="377"/>
      <c r="IB156" s="373">
        <v>1</v>
      </c>
      <c r="IC156" s="444">
        <v>0</v>
      </c>
      <c r="ID156" s="377"/>
      <c r="IE156" s="373">
        <v>1</v>
      </c>
      <c r="IF156" s="444">
        <v>0</v>
      </c>
      <c r="IG156" s="377"/>
      <c r="IH156" s="373"/>
      <c r="II156" s="444"/>
      <c r="IJ156" s="377"/>
      <c r="IK156" s="373"/>
      <c r="IL156" s="444" t="s">
        <v>6</v>
      </c>
      <c r="IM156" s="377"/>
      <c r="IN156" s="373"/>
      <c r="IO156" s="444" t="s">
        <v>6</v>
      </c>
      <c r="IP156" s="377">
        <v>1</v>
      </c>
      <c r="IQ156" s="373">
        <v>1</v>
      </c>
      <c r="IR156" s="444">
        <v>50</v>
      </c>
      <c r="IS156" s="377"/>
      <c r="IT156" s="373"/>
      <c r="IU156" s="444"/>
      <c r="IV156" s="377">
        <v>30</v>
      </c>
      <c r="IW156" s="373">
        <v>111</v>
      </c>
      <c r="IX156" s="444">
        <v>21.3</v>
      </c>
      <c r="IY156" s="377">
        <v>38</v>
      </c>
      <c r="IZ156" s="373">
        <v>85</v>
      </c>
      <c r="JA156" s="444">
        <v>30.9</v>
      </c>
      <c r="JB156" s="377">
        <v>46</v>
      </c>
      <c r="JC156" s="373">
        <v>85</v>
      </c>
      <c r="JD156" s="444">
        <v>35.1</v>
      </c>
      <c r="JE156" s="377"/>
      <c r="JF156" s="373"/>
      <c r="JG156" s="444"/>
      <c r="JH156" s="377">
        <v>8</v>
      </c>
      <c r="JI156" s="373">
        <v>10</v>
      </c>
      <c r="JJ156" s="444">
        <v>44.4</v>
      </c>
      <c r="JK156" s="377">
        <v>7</v>
      </c>
      <c r="JL156" s="373">
        <v>8</v>
      </c>
      <c r="JM156" s="444">
        <v>46.7</v>
      </c>
      <c r="JN156" s="377">
        <v>7</v>
      </c>
      <c r="JO156" s="373">
        <v>10</v>
      </c>
      <c r="JP156" s="444">
        <v>41.2</v>
      </c>
      <c r="JQ156" s="377"/>
      <c r="JR156" s="373"/>
      <c r="JS156" s="444"/>
      <c r="JT156" s="377"/>
      <c r="JU156" s="373"/>
      <c r="JV156" s="444" t="s">
        <v>6</v>
      </c>
      <c r="JW156" s="377"/>
      <c r="JX156" s="373"/>
      <c r="JY156" s="444" t="s">
        <v>6</v>
      </c>
      <c r="JZ156" s="377"/>
      <c r="KA156" s="373"/>
      <c r="KB156" s="444" t="s">
        <v>6</v>
      </c>
      <c r="KC156" s="377"/>
      <c r="KD156" s="373"/>
      <c r="KE156" s="444"/>
      <c r="KF156" s="377">
        <v>1</v>
      </c>
      <c r="KG156" s="373"/>
      <c r="KH156" s="444">
        <v>100</v>
      </c>
      <c r="KI156" s="377"/>
      <c r="KJ156" s="373"/>
      <c r="KK156" s="444" t="s">
        <v>6</v>
      </c>
      <c r="KL156" s="377">
        <v>1</v>
      </c>
      <c r="KM156" s="373"/>
      <c r="KN156" s="444">
        <v>100</v>
      </c>
      <c r="KO156" s="377"/>
      <c r="KP156" s="373"/>
      <c r="KQ156" s="444"/>
      <c r="KR156" s="377">
        <v>13</v>
      </c>
      <c r="KS156" s="373">
        <v>13</v>
      </c>
      <c r="KT156" s="444">
        <v>50</v>
      </c>
      <c r="KU156" s="377">
        <v>7</v>
      </c>
      <c r="KV156" s="373">
        <v>10</v>
      </c>
      <c r="KW156" s="444">
        <v>41.2</v>
      </c>
      <c r="KX156" s="377">
        <v>11</v>
      </c>
      <c r="KY156" s="373">
        <v>13</v>
      </c>
      <c r="KZ156" s="444">
        <v>45.8</v>
      </c>
      <c r="LA156" s="377"/>
      <c r="LB156" s="373"/>
      <c r="LC156" s="444"/>
      <c r="LD156" s="377">
        <v>49</v>
      </c>
      <c r="LE156" s="373">
        <v>130</v>
      </c>
      <c r="LF156" s="444">
        <v>27.4</v>
      </c>
      <c r="LG156" s="377">
        <v>49</v>
      </c>
      <c r="LH156" s="373">
        <v>109</v>
      </c>
      <c r="LI156" s="444">
        <v>31</v>
      </c>
      <c r="LJ156" s="377">
        <v>63</v>
      </c>
      <c r="LK156" s="373">
        <v>105</v>
      </c>
      <c r="LL156" s="444">
        <v>37.5</v>
      </c>
      <c r="LM156" s="377"/>
      <c r="LN156" s="373"/>
      <c r="LO156" s="444"/>
    </row>
    <row r="157" spans="1:327" s="259" customFormat="1" ht="26.25" thickBot="1" x14ac:dyDescent="0.25">
      <c r="A157" s="1002"/>
      <c r="B157" s="751"/>
      <c r="C157" s="189" t="s">
        <v>790</v>
      </c>
      <c r="D157" s="384">
        <v>1</v>
      </c>
      <c r="E157" s="385"/>
      <c r="F157" s="451">
        <v>100</v>
      </c>
      <c r="G157" s="384">
        <v>7</v>
      </c>
      <c r="H157" s="385"/>
      <c r="I157" s="451">
        <v>100</v>
      </c>
      <c r="J157" s="384">
        <v>4</v>
      </c>
      <c r="K157" s="385"/>
      <c r="L157" s="451">
        <v>100</v>
      </c>
      <c r="M157" s="384"/>
      <c r="N157" s="385"/>
      <c r="O157" s="451"/>
      <c r="P157" s="384">
        <v>1</v>
      </c>
      <c r="Q157" s="385"/>
      <c r="R157" s="451">
        <v>100</v>
      </c>
      <c r="S157" s="384">
        <v>3</v>
      </c>
      <c r="T157" s="385"/>
      <c r="U157" s="451">
        <v>100</v>
      </c>
      <c r="V157" s="384">
        <v>3</v>
      </c>
      <c r="W157" s="385"/>
      <c r="X157" s="451">
        <v>100</v>
      </c>
      <c r="Y157" s="384"/>
      <c r="Z157" s="385"/>
      <c r="AA157" s="451"/>
      <c r="AB157" s="384"/>
      <c r="AC157" s="385"/>
      <c r="AD157" s="451" t="s">
        <v>6</v>
      </c>
      <c r="AE157" s="384">
        <v>2</v>
      </c>
      <c r="AF157" s="385"/>
      <c r="AG157" s="451">
        <v>100</v>
      </c>
      <c r="AH157" s="384">
        <v>1</v>
      </c>
      <c r="AI157" s="385"/>
      <c r="AJ157" s="451">
        <v>100</v>
      </c>
      <c r="AK157" s="384"/>
      <c r="AL157" s="385"/>
      <c r="AM157" s="451"/>
      <c r="AN157" s="384">
        <v>158</v>
      </c>
      <c r="AO157" s="385">
        <v>50</v>
      </c>
      <c r="AP157" s="451">
        <v>76</v>
      </c>
      <c r="AQ157" s="384">
        <v>181</v>
      </c>
      <c r="AR157" s="385">
        <v>35</v>
      </c>
      <c r="AS157" s="451">
        <v>83.8</v>
      </c>
      <c r="AT157" s="384">
        <v>146</v>
      </c>
      <c r="AU157" s="385">
        <v>41</v>
      </c>
      <c r="AV157" s="451">
        <v>78.099999999999994</v>
      </c>
      <c r="AW157" s="384"/>
      <c r="AX157" s="385"/>
      <c r="AY157" s="451"/>
      <c r="AZ157" s="384">
        <v>103</v>
      </c>
      <c r="BA157" s="385">
        <v>49</v>
      </c>
      <c r="BB157" s="451">
        <v>67.8</v>
      </c>
      <c r="BC157" s="384">
        <v>131</v>
      </c>
      <c r="BD157" s="385">
        <v>33</v>
      </c>
      <c r="BE157" s="451">
        <v>79.900000000000006</v>
      </c>
      <c r="BF157" s="384">
        <v>111</v>
      </c>
      <c r="BG157" s="385">
        <v>37</v>
      </c>
      <c r="BH157" s="451">
        <v>75</v>
      </c>
      <c r="BI157" s="384"/>
      <c r="BJ157" s="385"/>
      <c r="BK157" s="451"/>
      <c r="BL157" s="384">
        <v>2</v>
      </c>
      <c r="BM157" s="385"/>
      <c r="BN157" s="451">
        <v>100</v>
      </c>
      <c r="BO157" s="384"/>
      <c r="BP157" s="385">
        <v>1</v>
      </c>
      <c r="BQ157" s="451">
        <v>0</v>
      </c>
      <c r="BR157" s="384">
        <v>1</v>
      </c>
      <c r="BS157" s="385"/>
      <c r="BT157" s="451">
        <v>100</v>
      </c>
      <c r="BU157" s="384"/>
      <c r="BV157" s="385"/>
      <c r="BW157" s="451"/>
      <c r="BX157" s="384">
        <v>4</v>
      </c>
      <c r="BY157" s="385"/>
      <c r="BZ157" s="451">
        <v>100</v>
      </c>
      <c r="CA157" s="384"/>
      <c r="CB157" s="385"/>
      <c r="CC157" s="451" t="s">
        <v>6</v>
      </c>
      <c r="CD157" s="384">
        <v>1</v>
      </c>
      <c r="CE157" s="385"/>
      <c r="CF157" s="451">
        <v>100</v>
      </c>
      <c r="CG157" s="384"/>
      <c r="CH157" s="385"/>
      <c r="CI157" s="451"/>
      <c r="CJ157" s="384">
        <v>5</v>
      </c>
      <c r="CK157" s="385">
        <v>9</v>
      </c>
      <c r="CL157" s="451">
        <v>35.700000000000003</v>
      </c>
      <c r="CM157" s="384">
        <v>4</v>
      </c>
      <c r="CN157" s="385">
        <v>1</v>
      </c>
      <c r="CO157" s="451">
        <v>80</v>
      </c>
      <c r="CP157" s="384">
        <v>8</v>
      </c>
      <c r="CQ157" s="385"/>
      <c r="CR157" s="451">
        <v>100</v>
      </c>
      <c r="CS157" s="384"/>
      <c r="CT157" s="385"/>
      <c r="CU157" s="451"/>
      <c r="CV157" s="384">
        <v>145</v>
      </c>
      <c r="CW157" s="385">
        <v>53</v>
      </c>
      <c r="CX157" s="451">
        <v>73.2</v>
      </c>
      <c r="CY157" s="384">
        <v>135</v>
      </c>
      <c r="CZ157" s="385">
        <v>31</v>
      </c>
      <c r="DA157" s="451">
        <v>81.3</v>
      </c>
      <c r="DB157" s="384">
        <v>124</v>
      </c>
      <c r="DC157" s="385">
        <v>40</v>
      </c>
      <c r="DD157" s="451">
        <v>75.599999999999994</v>
      </c>
      <c r="DE157" s="384"/>
      <c r="DF157" s="385"/>
      <c r="DG157" s="451"/>
      <c r="DH157" s="384">
        <v>5</v>
      </c>
      <c r="DI157" s="385"/>
      <c r="DJ157" s="451">
        <v>100</v>
      </c>
      <c r="DK157" s="384">
        <v>4</v>
      </c>
      <c r="DL157" s="385">
        <v>1</v>
      </c>
      <c r="DM157" s="451">
        <v>80</v>
      </c>
      <c r="DN157" s="384">
        <v>7</v>
      </c>
      <c r="DO157" s="385"/>
      <c r="DP157" s="451">
        <v>100</v>
      </c>
      <c r="DQ157" s="384"/>
      <c r="DR157" s="385"/>
      <c r="DS157" s="451"/>
      <c r="DT157" s="384">
        <v>4</v>
      </c>
      <c r="DU157" s="385">
        <v>4</v>
      </c>
      <c r="DV157" s="451">
        <v>50</v>
      </c>
      <c r="DW157" s="384">
        <v>8</v>
      </c>
      <c r="DX157" s="385">
        <v>1</v>
      </c>
      <c r="DY157" s="451">
        <v>88.9</v>
      </c>
      <c r="DZ157" s="384">
        <v>16</v>
      </c>
      <c r="EA157" s="385">
        <v>6</v>
      </c>
      <c r="EB157" s="451">
        <v>72.7</v>
      </c>
      <c r="EC157" s="384"/>
      <c r="ED157" s="385"/>
      <c r="EE157" s="451"/>
      <c r="EF157" s="384">
        <v>1334</v>
      </c>
      <c r="EG157" s="385">
        <v>3333</v>
      </c>
      <c r="EH157" s="451">
        <v>28.6</v>
      </c>
      <c r="EI157" s="384">
        <v>1343</v>
      </c>
      <c r="EJ157" s="385">
        <v>2660</v>
      </c>
      <c r="EK157" s="451">
        <v>33.5</v>
      </c>
      <c r="EL157" s="384">
        <v>1203</v>
      </c>
      <c r="EM157" s="385">
        <v>2293</v>
      </c>
      <c r="EN157" s="451">
        <v>34.4</v>
      </c>
      <c r="EO157" s="384"/>
      <c r="EP157" s="385"/>
      <c r="EQ157" s="451"/>
      <c r="ER157" s="384">
        <v>7</v>
      </c>
      <c r="ES157" s="385">
        <v>4</v>
      </c>
      <c r="ET157" s="451">
        <v>63.6</v>
      </c>
      <c r="EU157" s="384">
        <v>4</v>
      </c>
      <c r="EV157" s="385">
        <v>9</v>
      </c>
      <c r="EW157" s="451">
        <v>30.8</v>
      </c>
      <c r="EX157" s="384">
        <v>13</v>
      </c>
      <c r="EY157" s="385">
        <v>5</v>
      </c>
      <c r="EZ157" s="451">
        <v>72.2</v>
      </c>
      <c r="FA157" s="384"/>
      <c r="FB157" s="385"/>
      <c r="FC157" s="451"/>
      <c r="FD157" s="384">
        <v>28</v>
      </c>
      <c r="FE157" s="385">
        <v>71</v>
      </c>
      <c r="FF157" s="451">
        <v>28.3</v>
      </c>
      <c r="FG157" s="384">
        <v>12</v>
      </c>
      <c r="FH157" s="385">
        <v>31</v>
      </c>
      <c r="FI157" s="451">
        <v>27.9</v>
      </c>
      <c r="FJ157" s="384">
        <v>56</v>
      </c>
      <c r="FK157" s="385">
        <v>27</v>
      </c>
      <c r="FL157" s="451">
        <v>67.5</v>
      </c>
      <c r="FM157" s="384"/>
      <c r="FN157" s="385"/>
      <c r="FO157" s="451"/>
      <c r="FP157" s="384">
        <v>196</v>
      </c>
      <c r="FQ157" s="385">
        <v>638</v>
      </c>
      <c r="FR157" s="451">
        <v>23.5</v>
      </c>
      <c r="FS157" s="384">
        <v>242</v>
      </c>
      <c r="FT157" s="385">
        <v>447</v>
      </c>
      <c r="FU157" s="451">
        <v>35.1</v>
      </c>
      <c r="FV157" s="384">
        <v>213</v>
      </c>
      <c r="FW157" s="385">
        <v>358</v>
      </c>
      <c r="FX157" s="451">
        <v>37.299999999999997</v>
      </c>
      <c r="FY157" s="384"/>
      <c r="FZ157" s="385"/>
      <c r="GA157" s="451"/>
      <c r="GB157" s="384">
        <v>27</v>
      </c>
      <c r="GC157" s="385">
        <v>9</v>
      </c>
      <c r="GD157" s="451">
        <v>75</v>
      </c>
      <c r="GE157" s="384">
        <v>23</v>
      </c>
      <c r="GF157" s="385">
        <v>1</v>
      </c>
      <c r="GG157" s="451">
        <v>95.8</v>
      </c>
      <c r="GH157" s="384">
        <v>27</v>
      </c>
      <c r="GI157" s="385">
        <v>5</v>
      </c>
      <c r="GJ157" s="451">
        <v>84.4</v>
      </c>
      <c r="GK157" s="384"/>
      <c r="GL157" s="385"/>
      <c r="GM157" s="451"/>
      <c r="GN157" s="384">
        <v>47</v>
      </c>
      <c r="GO157" s="385">
        <v>28</v>
      </c>
      <c r="GP157" s="451">
        <v>62.7</v>
      </c>
      <c r="GQ157" s="384">
        <v>27</v>
      </c>
      <c r="GR157" s="385">
        <v>38</v>
      </c>
      <c r="GS157" s="451">
        <v>41.5</v>
      </c>
      <c r="GT157" s="384">
        <v>29</v>
      </c>
      <c r="GU157" s="385">
        <v>22</v>
      </c>
      <c r="GV157" s="451">
        <v>56.9</v>
      </c>
      <c r="GW157" s="384"/>
      <c r="GX157" s="385"/>
      <c r="GY157" s="451"/>
      <c r="GZ157" s="384">
        <v>2</v>
      </c>
      <c r="HA157" s="385">
        <v>2</v>
      </c>
      <c r="HB157" s="451">
        <v>50</v>
      </c>
      <c r="HC157" s="384">
        <v>11</v>
      </c>
      <c r="HD157" s="385">
        <v>3</v>
      </c>
      <c r="HE157" s="451">
        <v>78.599999999999994</v>
      </c>
      <c r="HF157" s="384">
        <v>4</v>
      </c>
      <c r="HG157" s="385"/>
      <c r="HH157" s="451">
        <v>100</v>
      </c>
      <c r="HI157" s="384"/>
      <c r="HJ157" s="385"/>
      <c r="HK157" s="451"/>
      <c r="HL157" s="384">
        <v>102</v>
      </c>
      <c r="HM157" s="385">
        <v>166</v>
      </c>
      <c r="HN157" s="451">
        <v>38.1</v>
      </c>
      <c r="HO157" s="384">
        <v>67</v>
      </c>
      <c r="HP157" s="385">
        <v>183</v>
      </c>
      <c r="HQ157" s="451">
        <v>26.8</v>
      </c>
      <c r="HR157" s="384">
        <v>64</v>
      </c>
      <c r="HS157" s="385">
        <v>102</v>
      </c>
      <c r="HT157" s="451">
        <v>38.6</v>
      </c>
      <c r="HU157" s="384"/>
      <c r="HV157" s="385"/>
      <c r="HW157" s="451"/>
      <c r="HX157" s="384">
        <v>14</v>
      </c>
      <c r="HY157" s="385">
        <v>1</v>
      </c>
      <c r="HZ157" s="451">
        <v>93.3</v>
      </c>
      <c r="IA157" s="384">
        <v>31</v>
      </c>
      <c r="IB157" s="385">
        <v>1</v>
      </c>
      <c r="IC157" s="451">
        <v>96.9</v>
      </c>
      <c r="ID157" s="384">
        <v>18</v>
      </c>
      <c r="IE157" s="385">
        <v>5</v>
      </c>
      <c r="IF157" s="451">
        <v>78.3</v>
      </c>
      <c r="IG157" s="384"/>
      <c r="IH157" s="385"/>
      <c r="II157" s="451"/>
      <c r="IJ157" s="384">
        <v>15</v>
      </c>
      <c r="IK157" s="385">
        <v>5</v>
      </c>
      <c r="IL157" s="451">
        <v>75</v>
      </c>
      <c r="IM157" s="384">
        <v>20</v>
      </c>
      <c r="IN157" s="385">
        <v>6</v>
      </c>
      <c r="IO157" s="451">
        <v>76.900000000000006</v>
      </c>
      <c r="IP157" s="384">
        <v>23</v>
      </c>
      <c r="IQ157" s="385">
        <v>10</v>
      </c>
      <c r="IR157" s="451">
        <v>69.7</v>
      </c>
      <c r="IS157" s="384"/>
      <c r="IT157" s="385"/>
      <c r="IU157" s="451"/>
      <c r="IV157" s="384">
        <v>1863</v>
      </c>
      <c r="IW157" s="385">
        <v>3660</v>
      </c>
      <c r="IX157" s="451">
        <v>33.700000000000003</v>
      </c>
      <c r="IY157" s="384">
        <v>1861</v>
      </c>
      <c r="IZ157" s="385">
        <v>2961</v>
      </c>
      <c r="JA157" s="451">
        <v>38.6</v>
      </c>
      <c r="JB157" s="384">
        <v>1674</v>
      </c>
      <c r="JC157" s="385">
        <v>2524</v>
      </c>
      <c r="JD157" s="451">
        <v>39.9</v>
      </c>
      <c r="JE157" s="384"/>
      <c r="JF157" s="385"/>
      <c r="JG157" s="451"/>
      <c r="JH157" s="384">
        <v>291</v>
      </c>
      <c r="JI157" s="385">
        <v>445</v>
      </c>
      <c r="JJ157" s="451">
        <v>39.5</v>
      </c>
      <c r="JK157" s="384">
        <v>286</v>
      </c>
      <c r="JL157" s="385">
        <v>367</v>
      </c>
      <c r="JM157" s="451">
        <v>43.8</v>
      </c>
      <c r="JN157" s="384">
        <v>349</v>
      </c>
      <c r="JO157" s="385">
        <v>311</v>
      </c>
      <c r="JP157" s="451">
        <v>52.9</v>
      </c>
      <c r="JQ157" s="384"/>
      <c r="JR157" s="385"/>
      <c r="JS157" s="451"/>
      <c r="JT157" s="384">
        <v>16</v>
      </c>
      <c r="JU157" s="385">
        <v>12</v>
      </c>
      <c r="JV157" s="451">
        <v>57.1</v>
      </c>
      <c r="JW157" s="384">
        <v>23</v>
      </c>
      <c r="JX157" s="385">
        <v>10</v>
      </c>
      <c r="JY157" s="451">
        <v>69.7</v>
      </c>
      <c r="JZ157" s="384">
        <v>13</v>
      </c>
      <c r="KA157" s="385">
        <v>9</v>
      </c>
      <c r="KB157" s="451">
        <v>59.1</v>
      </c>
      <c r="KC157" s="384"/>
      <c r="KD157" s="385"/>
      <c r="KE157" s="451"/>
      <c r="KF157" s="384">
        <v>13</v>
      </c>
      <c r="KG157" s="385">
        <v>4</v>
      </c>
      <c r="KH157" s="451">
        <v>76.5</v>
      </c>
      <c r="KI157" s="384">
        <v>8</v>
      </c>
      <c r="KJ157" s="385">
        <v>5</v>
      </c>
      <c r="KK157" s="451">
        <v>61.5</v>
      </c>
      <c r="KL157" s="384">
        <v>14</v>
      </c>
      <c r="KM157" s="385">
        <v>2</v>
      </c>
      <c r="KN157" s="451">
        <v>87.5</v>
      </c>
      <c r="KO157" s="384"/>
      <c r="KP157" s="385"/>
      <c r="KQ157" s="451"/>
      <c r="KR157" s="384">
        <v>420</v>
      </c>
      <c r="KS157" s="385">
        <v>546</v>
      </c>
      <c r="KT157" s="451">
        <v>43.5</v>
      </c>
      <c r="KU157" s="384">
        <v>379</v>
      </c>
      <c r="KV157" s="385">
        <v>431</v>
      </c>
      <c r="KW157" s="451">
        <v>46.8</v>
      </c>
      <c r="KX157" s="384">
        <v>423</v>
      </c>
      <c r="KY157" s="385">
        <v>373</v>
      </c>
      <c r="KZ157" s="451">
        <v>53.1</v>
      </c>
      <c r="LA157" s="384"/>
      <c r="LB157" s="385"/>
      <c r="LC157" s="451"/>
      <c r="LD157" s="384">
        <v>3245</v>
      </c>
      <c r="LE157" s="385">
        <v>4260</v>
      </c>
      <c r="LF157" s="451">
        <v>43.2</v>
      </c>
      <c r="LG157" s="384">
        <v>3191</v>
      </c>
      <c r="LH157" s="385">
        <v>3523</v>
      </c>
      <c r="LI157" s="451">
        <v>47.5</v>
      </c>
      <c r="LJ157" s="384">
        <v>2861</v>
      </c>
      <c r="LK157" s="385">
        <v>3076</v>
      </c>
      <c r="LL157" s="451">
        <v>48.2</v>
      </c>
      <c r="LM157" s="384"/>
      <c r="LN157" s="385"/>
      <c r="LO157" s="451"/>
    </row>
    <row r="158" spans="1:327" x14ac:dyDescent="0.2">
      <c r="A158" s="1000" t="s">
        <v>603</v>
      </c>
      <c r="B158" s="749"/>
      <c r="C158" s="146" t="s">
        <v>604</v>
      </c>
      <c r="D158" s="441">
        <v>3</v>
      </c>
      <c r="E158" s="442"/>
      <c r="F158" s="443">
        <v>100</v>
      </c>
      <c r="G158" s="441">
        <v>2</v>
      </c>
      <c r="H158" s="442"/>
      <c r="I158" s="443">
        <v>100</v>
      </c>
      <c r="J158" s="441">
        <v>4</v>
      </c>
      <c r="K158" s="442">
        <v>1</v>
      </c>
      <c r="L158" s="443">
        <v>80</v>
      </c>
      <c r="M158" s="441"/>
      <c r="N158" s="442"/>
      <c r="O158" s="443"/>
      <c r="P158" s="441"/>
      <c r="Q158" s="442"/>
      <c r="R158" s="443" t="s">
        <v>6</v>
      </c>
      <c r="S158" s="441">
        <v>2</v>
      </c>
      <c r="T158" s="442"/>
      <c r="U158" s="443">
        <v>100</v>
      </c>
      <c r="V158" s="441">
        <v>4</v>
      </c>
      <c r="W158" s="442">
        <v>1</v>
      </c>
      <c r="X158" s="443">
        <v>80</v>
      </c>
      <c r="Y158" s="441"/>
      <c r="Z158" s="442"/>
      <c r="AA158" s="443"/>
      <c r="AB158" s="441">
        <v>3</v>
      </c>
      <c r="AC158" s="442"/>
      <c r="AD158" s="443">
        <v>100</v>
      </c>
      <c r="AE158" s="441"/>
      <c r="AF158" s="442"/>
      <c r="AG158" s="443" t="s">
        <v>6</v>
      </c>
      <c r="AH158" s="441"/>
      <c r="AI158" s="442"/>
      <c r="AJ158" s="443" t="s">
        <v>6</v>
      </c>
      <c r="AK158" s="441"/>
      <c r="AL158" s="442"/>
      <c r="AM158" s="443"/>
      <c r="AN158" s="441">
        <v>2</v>
      </c>
      <c r="AO158" s="442"/>
      <c r="AP158" s="443">
        <v>100</v>
      </c>
      <c r="AQ158" s="441"/>
      <c r="AR158" s="442">
        <v>1</v>
      </c>
      <c r="AS158" s="443">
        <v>0</v>
      </c>
      <c r="AT158" s="441">
        <v>12</v>
      </c>
      <c r="AU158" s="442">
        <v>1</v>
      </c>
      <c r="AV158" s="443">
        <v>92.3</v>
      </c>
      <c r="AW158" s="441"/>
      <c r="AX158" s="442"/>
      <c r="AY158" s="443"/>
      <c r="AZ158" s="441">
        <v>2</v>
      </c>
      <c r="BA158" s="442"/>
      <c r="BB158" s="443">
        <v>100</v>
      </c>
      <c r="BC158" s="441"/>
      <c r="BD158" s="442">
        <v>1</v>
      </c>
      <c r="BE158" s="443">
        <v>0</v>
      </c>
      <c r="BF158" s="441">
        <v>10</v>
      </c>
      <c r="BG158" s="442"/>
      <c r="BH158" s="443">
        <v>100</v>
      </c>
      <c r="BI158" s="441"/>
      <c r="BJ158" s="442"/>
      <c r="BK158" s="443"/>
      <c r="BL158" s="441">
        <v>1</v>
      </c>
      <c r="BM158" s="442"/>
      <c r="BN158" s="443">
        <v>100</v>
      </c>
      <c r="BO158" s="441"/>
      <c r="BP158" s="442"/>
      <c r="BQ158" s="443" t="s">
        <v>6</v>
      </c>
      <c r="BR158" s="441">
        <v>1</v>
      </c>
      <c r="BS158" s="442"/>
      <c r="BT158" s="443">
        <v>100</v>
      </c>
      <c r="BU158" s="441"/>
      <c r="BV158" s="442"/>
      <c r="BW158" s="443"/>
      <c r="BX158" s="441"/>
      <c r="BY158" s="442"/>
      <c r="BZ158" s="443" t="s">
        <v>6</v>
      </c>
      <c r="CA158" s="441"/>
      <c r="CB158" s="442"/>
      <c r="CC158" s="443" t="s">
        <v>6</v>
      </c>
      <c r="CD158" s="441"/>
      <c r="CE158" s="442"/>
      <c r="CF158" s="443" t="s">
        <v>6</v>
      </c>
      <c r="CG158" s="441"/>
      <c r="CH158" s="442"/>
      <c r="CI158" s="443"/>
      <c r="CJ158" s="441"/>
      <c r="CK158" s="442"/>
      <c r="CL158" s="443" t="s">
        <v>6</v>
      </c>
      <c r="CM158" s="441"/>
      <c r="CN158" s="442"/>
      <c r="CO158" s="443" t="s">
        <v>6</v>
      </c>
      <c r="CP158" s="441"/>
      <c r="CQ158" s="442"/>
      <c r="CR158" s="443" t="s">
        <v>6</v>
      </c>
      <c r="CS158" s="441"/>
      <c r="CT158" s="442"/>
      <c r="CU158" s="443"/>
      <c r="CV158" s="441">
        <v>1</v>
      </c>
      <c r="CW158" s="442"/>
      <c r="CX158" s="443">
        <v>100</v>
      </c>
      <c r="CY158" s="441">
        <v>2</v>
      </c>
      <c r="CZ158" s="442"/>
      <c r="DA158" s="443">
        <v>100</v>
      </c>
      <c r="DB158" s="441"/>
      <c r="DC158" s="442"/>
      <c r="DD158" s="443" t="s">
        <v>6</v>
      </c>
      <c r="DE158" s="441"/>
      <c r="DF158" s="442"/>
      <c r="DG158" s="443"/>
      <c r="DH158" s="441"/>
      <c r="DI158" s="442"/>
      <c r="DJ158" s="443" t="s">
        <v>6</v>
      </c>
      <c r="DK158" s="441"/>
      <c r="DL158" s="442"/>
      <c r="DM158" s="443" t="s">
        <v>6</v>
      </c>
      <c r="DN158" s="441"/>
      <c r="DO158" s="442"/>
      <c r="DP158" s="443" t="s">
        <v>6</v>
      </c>
      <c r="DQ158" s="441"/>
      <c r="DR158" s="442"/>
      <c r="DS158" s="443"/>
      <c r="DT158" s="441"/>
      <c r="DU158" s="442"/>
      <c r="DV158" s="443" t="s">
        <v>6</v>
      </c>
      <c r="DW158" s="441"/>
      <c r="DX158" s="442"/>
      <c r="DY158" s="443" t="s">
        <v>6</v>
      </c>
      <c r="DZ158" s="441"/>
      <c r="EA158" s="442"/>
      <c r="EB158" s="443" t="s">
        <v>6</v>
      </c>
      <c r="EC158" s="441"/>
      <c r="ED158" s="442"/>
      <c r="EE158" s="443"/>
      <c r="EF158" s="441"/>
      <c r="EG158" s="442"/>
      <c r="EH158" s="443" t="s">
        <v>6</v>
      </c>
      <c r="EI158" s="441">
        <v>6</v>
      </c>
      <c r="EJ158" s="442">
        <v>8</v>
      </c>
      <c r="EK158" s="443">
        <v>42.9</v>
      </c>
      <c r="EL158" s="441">
        <v>3</v>
      </c>
      <c r="EM158" s="442"/>
      <c r="EN158" s="443">
        <v>100</v>
      </c>
      <c r="EO158" s="441"/>
      <c r="EP158" s="442"/>
      <c r="EQ158" s="443"/>
      <c r="ER158" s="441"/>
      <c r="ES158" s="442"/>
      <c r="ET158" s="443" t="s">
        <v>6</v>
      </c>
      <c r="EU158" s="441"/>
      <c r="EV158" s="442"/>
      <c r="EW158" s="443" t="s">
        <v>6</v>
      </c>
      <c r="EX158" s="441"/>
      <c r="EY158" s="442"/>
      <c r="EZ158" s="443" t="s">
        <v>6</v>
      </c>
      <c r="FA158" s="441"/>
      <c r="FB158" s="442"/>
      <c r="FC158" s="443"/>
      <c r="FD158" s="441"/>
      <c r="FE158" s="442"/>
      <c r="FF158" s="443" t="s">
        <v>6</v>
      </c>
      <c r="FG158" s="441"/>
      <c r="FH158" s="442"/>
      <c r="FI158" s="443" t="s">
        <v>6</v>
      </c>
      <c r="FJ158" s="441"/>
      <c r="FK158" s="442"/>
      <c r="FL158" s="443" t="s">
        <v>6</v>
      </c>
      <c r="FM158" s="441"/>
      <c r="FN158" s="442"/>
      <c r="FO158" s="443"/>
      <c r="FP158" s="441"/>
      <c r="FQ158" s="442"/>
      <c r="FR158" s="443" t="s">
        <v>6</v>
      </c>
      <c r="FS158" s="441"/>
      <c r="FT158" s="442">
        <v>2</v>
      </c>
      <c r="FU158" s="443">
        <v>0</v>
      </c>
      <c r="FV158" s="441"/>
      <c r="FW158" s="442"/>
      <c r="FX158" s="443" t="s">
        <v>6</v>
      </c>
      <c r="FY158" s="441"/>
      <c r="FZ158" s="442"/>
      <c r="GA158" s="443"/>
      <c r="GB158" s="441"/>
      <c r="GC158" s="442"/>
      <c r="GD158" s="443" t="s">
        <v>6</v>
      </c>
      <c r="GE158" s="441">
        <v>1</v>
      </c>
      <c r="GF158" s="442"/>
      <c r="GG158" s="443">
        <v>100</v>
      </c>
      <c r="GH158" s="441">
        <v>2</v>
      </c>
      <c r="GI158" s="442">
        <v>1</v>
      </c>
      <c r="GJ158" s="443">
        <v>66.7</v>
      </c>
      <c r="GK158" s="441"/>
      <c r="GL158" s="442"/>
      <c r="GM158" s="443"/>
      <c r="GN158" s="441"/>
      <c r="GO158" s="442"/>
      <c r="GP158" s="443" t="s">
        <v>6</v>
      </c>
      <c r="GQ158" s="441">
        <v>1</v>
      </c>
      <c r="GR158" s="442"/>
      <c r="GS158" s="443">
        <v>100</v>
      </c>
      <c r="GT158" s="441"/>
      <c r="GU158" s="442"/>
      <c r="GV158" s="443" t="s">
        <v>6</v>
      </c>
      <c r="GW158" s="441"/>
      <c r="GX158" s="442"/>
      <c r="GY158" s="443"/>
      <c r="GZ158" s="441"/>
      <c r="HA158" s="442"/>
      <c r="HB158" s="443" t="s">
        <v>6</v>
      </c>
      <c r="HC158" s="441"/>
      <c r="HD158" s="442"/>
      <c r="HE158" s="443" t="s">
        <v>6</v>
      </c>
      <c r="HF158" s="441"/>
      <c r="HG158" s="442"/>
      <c r="HH158" s="443" t="s">
        <v>6</v>
      </c>
      <c r="HI158" s="441"/>
      <c r="HJ158" s="442"/>
      <c r="HK158" s="443"/>
      <c r="HL158" s="441">
        <v>1</v>
      </c>
      <c r="HM158" s="442"/>
      <c r="HN158" s="443">
        <v>100</v>
      </c>
      <c r="HO158" s="441"/>
      <c r="HP158" s="442"/>
      <c r="HQ158" s="443" t="s">
        <v>6</v>
      </c>
      <c r="HR158" s="441"/>
      <c r="HS158" s="442"/>
      <c r="HT158" s="443" t="s">
        <v>6</v>
      </c>
      <c r="HU158" s="441"/>
      <c r="HV158" s="442"/>
      <c r="HW158" s="443"/>
      <c r="HX158" s="441">
        <v>21</v>
      </c>
      <c r="HY158" s="442"/>
      <c r="HZ158" s="443">
        <v>100</v>
      </c>
      <c r="IA158" s="441"/>
      <c r="IB158" s="442"/>
      <c r="IC158" s="443" t="s">
        <v>6</v>
      </c>
      <c r="ID158" s="441"/>
      <c r="IE158" s="442"/>
      <c r="IF158" s="443" t="s">
        <v>6</v>
      </c>
      <c r="IG158" s="441"/>
      <c r="IH158" s="442"/>
      <c r="II158" s="443"/>
      <c r="IJ158" s="441"/>
      <c r="IK158" s="442"/>
      <c r="IL158" s="443" t="s">
        <v>6</v>
      </c>
      <c r="IM158" s="441"/>
      <c r="IN158" s="442"/>
      <c r="IO158" s="443" t="s">
        <v>6</v>
      </c>
      <c r="IP158" s="441">
        <v>1</v>
      </c>
      <c r="IQ158" s="442"/>
      <c r="IR158" s="443">
        <v>100</v>
      </c>
      <c r="IS158" s="441"/>
      <c r="IT158" s="442"/>
      <c r="IU158" s="443"/>
      <c r="IV158" s="441">
        <v>28</v>
      </c>
      <c r="IW158" s="442"/>
      <c r="IX158" s="443">
        <v>100</v>
      </c>
      <c r="IY158" s="441">
        <v>12</v>
      </c>
      <c r="IZ158" s="442">
        <v>9</v>
      </c>
      <c r="JA158" s="443">
        <v>57.1</v>
      </c>
      <c r="JB158" s="441">
        <v>22</v>
      </c>
      <c r="JC158" s="442">
        <v>3</v>
      </c>
      <c r="JD158" s="443">
        <v>88</v>
      </c>
      <c r="JE158" s="441"/>
      <c r="JF158" s="442"/>
      <c r="JG158" s="443"/>
      <c r="JH158" s="441">
        <v>2</v>
      </c>
      <c r="JI158" s="442"/>
      <c r="JJ158" s="443">
        <v>100</v>
      </c>
      <c r="JK158" s="441">
        <v>2</v>
      </c>
      <c r="JL158" s="442"/>
      <c r="JM158" s="443">
        <v>100</v>
      </c>
      <c r="JN158" s="441">
        <v>7</v>
      </c>
      <c r="JO158" s="442"/>
      <c r="JP158" s="443">
        <v>100</v>
      </c>
      <c r="JQ158" s="441"/>
      <c r="JR158" s="442"/>
      <c r="JS158" s="443"/>
      <c r="JT158" s="441">
        <v>1</v>
      </c>
      <c r="JU158" s="442"/>
      <c r="JV158" s="443">
        <v>100</v>
      </c>
      <c r="JW158" s="441">
        <v>2</v>
      </c>
      <c r="JX158" s="442"/>
      <c r="JY158" s="443">
        <v>100</v>
      </c>
      <c r="JZ158" s="441"/>
      <c r="KA158" s="442"/>
      <c r="KB158" s="443" t="s">
        <v>6</v>
      </c>
      <c r="KC158" s="441"/>
      <c r="KD158" s="442"/>
      <c r="KE158" s="443"/>
      <c r="KF158" s="441"/>
      <c r="KG158" s="442"/>
      <c r="KH158" s="443" t="s">
        <v>6</v>
      </c>
      <c r="KI158" s="441"/>
      <c r="KJ158" s="442"/>
      <c r="KK158" s="443" t="s">
        <v>6</v>
      </c>
      <c r="KL158" s="441"/>
      <c r="KM158" s="442"/>
      <c r="KN158" s="443" t="s">
        <v>6</v>
      </c>
      <c r="KO158" s="441"/>
      <c r="KP158" s="442"/>
      <c r="KQ158" s="443"/>
      <c r="KR158" s="441">
        <v>10</v>
      </c>
      <c r="KS158" s="442"/>
      <c r="KT158" s="443">
        <v>100</v>
      </c>
      <c r="KU158" s="441">
        <v>4</v>
      </c>
      <c r="KV158" s="442">
        <v>1</v>
      </c>
      <c r="KW158" s="443">
        <v>80</v>
      </c>
      <c r="KX158" s="441">
        <v>10</v>
      </c>
      <c r="KY158" s="442"/>
      <c r="KZ158" s="443">
        <v>100</v>
      </c>
      <c r="LA158" s="441"/>
      <c r="LB158" s="442"/>
      <c r="LC158" s="443"/>
      <c r="LD158" s="441">
        <v>161</v>
      </c>
      <c r="LE158" s="442">
        <v>10</v>
      </c>
      <c r="LF158" s="443">
        <v>94.2</v>
      </c>
      <c r="LG158" s="441">
        <v>32</v>
      </c>
      <c r="LH158" s="442">
        <v>15</v>
      </c>
      <c r="LI158" s="443">
        <v>68.099999999999994</v>
      </c>
      <c r="LJ158" s="441">
        <v>98</v>
      </c>
      <c r="LK158" s="442">
        <v>5</v>
      </c>
      <c r="LL158" s="443">
        <v>95.1</v>
      </c>
      <c r="LM158" s="441"/>
      <c r="LN158" s="442"/>
      <c r="LO158" s="443"/>
    </row>
    <row r="159" spans="1:327" x14ac:dyDescent="0.2">
      <c r="A159" s="1001"/>
      <c r="B159" s="747"/>
      <c r="C159" s="151" t="s">
        <v>742</v>
      </c>
      <c r="D159" s="377"/>
      <c r="E159" s="373"/>
      <c r="F159" s="444" t="s">
        <v>6</v>
      </c>
      <c r="G159" s="377"/>
      <c r="H159" s="373"/>
      <c r="I159" s="444" t="s">
        <v>6</v>
      </c>
      <c r="J159" s="377"/>
      <c r="K159" s="373"/>
      <c r="L159" s="444" t="s">
        <v>6</v>
      </c>
      <c r="M159" s="377"/>
      <c r="N159" s="373"/>
      <c r="O159" s="444"/>
      <c r="P159" s="377"/>
      <c r="Q159" s="373"/>
      <c r="R159" s="444" t="s">
        <v>6</v>
      </c>
      <c r="S159" s="377"/>
      <c r="T159" s="373"/>
      <c r="U159" s="444" t="s">
        <v>6</v>
      </c>
      <c r="V159" s="377"/>
      <c r="W159" s="373"/>
      <c r="X159" s="444" t="s">
        <v>6</v>
      </c>
      <c r="Y159" s="377"/>
      <c r="Z159" s="373"/>
      <c r="AA159" s="444"/>
      <c r="AB159" s="377"/>
      <c r="AC159" s="373"/>
      <c r="AD159" s="444" t="s">
        <v>6</v>
      </c>
      <c r="AE159" s="377"/>
      <c r="AF159" s="373"/>
      <c r="AG159" s="444" t="s">
        <v>6</v>
      </c>
      <c r="AH159" s="377"/>
      <c r="AI159" s="373"/>
      <c r="AJ159" s="444" t="s">
        <v>6</v>
      </c>
      <c r="AK159" s="377"/>
      <c r="AL159" s="373"/>
      <c r="AM159" s="444"/>
      <c r="AN159" s="377">
        <v>25</v>
      </c>
      <c r="AO159" s="373">
        <v>8</v>
      </c>
      <c r="AP159" s="444">
        <v>75.8</v>
      </c>
      <c r="AQ159" s="377">
        <v>39</v>
      </c>
      <c r="AR159" s="373">
        <v>4</v>
      </c>
      <c r="AS159" s="444">
        <v>90.7</v>
      </c>
      <c r="AT159" s="377">
        <v>41</v>
      </c>
      <c r="AU159" s="373">
        <v>3</v>
      </c>
      <c r="AV159" s="444">
        <v>93.2</v>
      </c>
      <c r="AW159" s="377"/>
      <c r="AX159" s="373"/>
      <c r="AY159" s="444"/>
      <c r="AZ159" s="377">
        <v>12</v>
      </c>
      <c r="BA159" s="373">
        <v>7</v>
      </c>
      <c r="BB159" s="444">
        <v>63.2</v>
      </c>
      <c r="BC159" s="377">
        <v>10</v>
      </c>
      <c r="BD159" s="373">
        <v>3</v>
      </c>
      <c r="BE159" s="444">
        <v>76.900000000000006</v>
      </c>
      <c r="BF159" s="377">
        <v>12</v>
      </c>
      <c r="BG159" s="373">
        <v>1</v>
      </c>
      <c r="BH159" s="444">
        <v>92.3</v>
      </c>
      <c r="BI159" s="377"/>
      <c r="BJ159" s="373"/>
      <c r="BK159" s="444"/>
      <c r="BL159" s="377"/>
      <c r="BM159" s="373"/>
      <c r="BN159" s="444" t="s">
        <v>6</v>
      </c>
      <c r="BO159" s="377"/>
      <c r="BP159" s="373"/>
      <c r="BQ159" s="444" t="s">
        <v>6</v>
      </c>
      <c r="BR159" s="377"/>
      <c r="BS159" s="373"/>
      <c r="BT159" s="444" t="s">
        <v>6</v>
      </c>
      <c r="BU159" s="377"/>
      <c r="BV159" s="373"/>
      <c r="BW159" s="444"/>
      <c r="BX159" s="377"/>
      <c r="BY159" s="373"/>
      <c r="BZ159" s="444" t="s">
        <v>6</v>
      </c>
      <c r="CA159" s="377"/>
      <c r="CB159" s="373"/>
      <c r="CC159" s="444" t="s">
        <v>6</v>
      </c>
      <c r="CD159" s="377"/>
      <c r="CE159" s="373"/>
      <c r="CF159" s="444" t="s">
        <v>6</v>
      </c>
      <c r="CG159" s="377"/>
      <c r="CH159" s="373"/>
      <c r="CI159" s="444"/>
      <c r="CJ159" s="377"/>
      <c r="CK159" s="373"/>
      <c r="CL159" s="444" t="s">
        <v>6</v>
      </c>
      <c r="CM159" s="377"/>
      <c r="CN159" s="373"/>
      <c r="CO159" s="444" t="s">
        <v>6</v>
      </c>
      <c r="CP159" s="377"/>
      <c r="CQ159" s="373"/>
      <c r="CR159" s="444" t="s">
        <v>6</v>
      </c>
      <c r="CS159" s="377"/>
      <c r="CT159" s="373"/>
      <c r="CU159" s="444"/>
      <c r="CV159" s="377">
        <v>34</v>
      </c>
      <c r="CW159" s="373">
        <v>27</v>
      </c>
      <c r="CX159" s="444">
        <v>55.7</v>
      </c>
      <c r="CY159" s="377">
        <v>41</v>
      </c>
      <c r="CZ159" s="373">
        <v>27</v>
      </c>
      <c r="DA159" s="444">
        <v>60.3</v>
      </c>
      <c r="DB159" s="377">
        <v>55</v>
      </c>
      <c r="DC159" s="373">
        <v>11</v>
      </c>
      <c r="DD159" s="444">
        <v>83.3</v>
      </c>
      <c r="DE159" s="377"/>
      <c r="DF159" s="373"/>
      <c r="DG159" s="444"/>
      <c r="DH159" s="377">
        <v>3</v>
      </c>
      <c r="DI159" s="373"/>
      <c r="DJ159" s="444">
        <v>100</v>
      </c>
      <c r="DK159" s="377">
        <v>1</v>
      </c>
      <c r="DL159" s="373"/>
      <c r="DM159" s="444">
        <v>100</v>
      </c>
      <c r="DN159" s="377">
        <v>1</v>
      </c>
      <c r="DO159" s="373"/>
      <c r="DP159" s="444">
        <v>100</v>
      </c>
      <c r="DQ159" s="377"/>
      <c r="DR159" s="373"/>
      <c r="DS159" s="444"/>
      <c r="DT159" s="377"/>
      <c r="DU159" s="373"/>
      <c r="DV159" s="444" t="s">
        <v>6</v>
      </c>
      <c r="DW159" s="377"/>
      <c r="DX159" s="373">
        <v>1</v>
      </c>
      <c r="DY159" s="444">
        <v>0</v>
      </c>
      <c r="DZ159" s="377"/>
      <c r="EA159" s="373">
        <v>1</v>
      </c>
      <c r="EB159" s="444">
        <v>0</v>
      </c>
      <c r="EC159" s="377"/>
      <c r="ED159" s="373"/>
      <c r="EE159" s="444"/>
      <c r="EF159" s="377">
        <v>442</v>
      </c>
      <c r="EG159" s="373">
        <v>1357</v>
      </c>
      <c r="EH159" s="444">
        <v>24.6</v>
      </c>
      <c r="EI159" s="377">
        <v>272</v>
      </c>
      <c r="EJ159" s="373">
        <v>971</v>
      </c>
      <c r="EK159" s="444">
        <v>21.9</v>
      </c>
      <c r="EL159" s="377">
        <v>234</v>
      </c>
      <c r="EM159" s="373">
        <v>808</v>
      </c>
      <c r="EN159" s="444">
        <v>22.5</v>
      </c>
      <c r="EO159" s="377"/>
      <c r="EP159" s="373"/>
      <c r="EQ159" s="444"/>
      <c r="ER159" s="377">
        <v>5</v>
      </c>
      <c r="ES159" s="373">
        <v>2</v>
      </c>
      <c r="ET159" s="444">
        <v>71.400000000000006</v>
      </c>
      <c r="EU159" s="377">
        <v>5</v>
      </c>
      <c r="EV159" s="373">
        <v>4</v>
      </c>
      <c r="EW159" s="444">
        <v>55.6</v>
      </c>
      <c r="EX159" s="377">
        <v>4</v>
      </c>
      <c r="EY159" s="373">
        <v>4</v>
      </c>
      <c r="EZ159" s="444">
        <v>50</v>
      </c>
      <c r="FA159" s="377"/>
      <c r="FB159" s="373"/>
      <c r="FC159" s="444"/>
      <c r="FD159" s="377">
        <v>24</v>
      </c>
      <c r="FE159" s="373">
        <v>42</v>
      </c>
      <c r="FF159" s="444">
        <v>36.4</v>
      </c>
      <c r="FG159" s="377">
        <v>19</v>
      </c>
      <c r="FH159" s="373">
        <v>40</v>
      </c>
      <c r="FI159" s="444">
        <v>32.200000000000003</v>
      </c>
      <c r="FJ159" s="377">
        <v>8</v>
      </c>
      <c r="FK159" s="373">
        <v>47</v>
      </c>
      <c r="FL159" s="444">
        <v>14.5</v>
      </c>
      <c r="FM159" s="377"/>
      <c r="FN159" s="373"/>
      <c r="FO159" s="444"/>
      <c r="FP159" s="377">
        <v>123</v>
      </c>
      <c r="FQ159" s="373">
        <v>219</v>
      </c>
      <c r="FR159" s="444">
        <v>36</v>
      </c>
      <c r="FS159" s="377">
        <v>78</v>
      </c>
      <c r="FT159" s="373">
        <v>231</v>
      </c>
      <c r="FU159" s="444">
        <v>25.2</v>
      </c>
      <c r="FV159" s="377">
        <v>81</v>
      </c>
      <c r="FW159" s="373">
        <v>132</v>
      </c>
      <c r="FX159" s="444">
        <v>38</v>
      </c>
      <c r="FY159" s="377"/>
      <c r="FZ159" s="373"/>
      <c r="GA159" s="444"/>
      <c r="GB159" s="377">
        <v>9</v>
      </c>
      <c r="GC159" s="373"/>
      <c r="GD159" s="444">
        <v>100</v>
      </c>
      <c r="GE159" s="377">
        <v>8</v>
      </c>
      <c r="GF159" s="373"/>
      <c r="GG159" s="444">
        <v>100</v>
      </c>
      <c r="GH159" s="377">
        <v>8</v>
      </c>
      <c r="GI159" s="373"/>
      <c r="GJ159" s="444">
        <v>100</v>
      </c>
      <c r="GK159" s="377"/>
      <c r="GL159" s="373"/>
      <c r="GM159" s="444"/>
      <c r="GN159" s="377">
        <v>8</v>
      </c>
      <c r="GO159" s="373">
        <v>5</v>
      </c>
      <c r="GP159" s="444">
        <v>61.5</v>
      </c>
      <c r="GQ159" s="377">
        <v>1</v>
      </c>
      <c r="GR159" s="373">
        <v>9</v>
      </c>
      <c r="GS159" s="444">
        <v>10</v>
      </c>
      <c r="GT159" s="377">
        <v>2</v>
      </c>
      <c r="GU159" s="373">
        <v>13</v>
      </c>
      <c r="GV159" s="444">
        <v>13.3</v>
      </c>
      <c r="GW159" s="377"/>
      <c r="GX159" s="373"/>
      <c r="GY159" s="444"/>
      <c r="GZ159" s="377">
        <v>3</v>
      </c>
      <c r="HA159" s="373"/>
      <c r="HB159" s="444">
        <v>100</v>
      </c>
      <c r="HC159" s="377">
        <v>1</v>
      </c>
      <c r="HD159" s="373">
        <v>1</v>
      </c>
      <c r="HE159" s="444">
        <v>50</v>
      </c>
      <c r="HF159" s="377">
        <v>1</v>
      </c>
      <c r="HG159" s="373"/>
      <c r="HH159" s="444">
        <v>100</v>
      </c>
      <c r="HI159" s="377"/>
      <c r="HJ159" s="373"/>
      <c r="HK159" s="444"/>
      <c r="HL159" s="377">
        <v>11</v>
      </c>
      <c r="HM159" s="373">
        <v>117</v>
      </c>
      <c r="HN159" s="444">
        <v>8.6</v>
      </c>
      <c r="HO159" s="377">
        <v>6</v>
      </c>
      <c r="HP159" s="373">
        <v>67</v>
      </c>
      <c r="HQ159" s="444">
        <v>8.1999999999999993</v>
      </c>
      <c r="HR159" s="377">
        <v>6</v>
      </c>
      <c r="HS159" s="373">
        <v>46</v>
      </c>
      <c r="HT159" s="444">
        <v>11.5</v>
      </c>
      <c r="HU159" s="377"/>
      <c r="HV159" s="373"/>
      <c r="HW159" s="444"/>
      <c r="HX159" s="377">
        <v>5</v>
      </c>
      <c r="HY159" s="373"/>
      <c r="HZ159" s="444">
        <v>100</v>
      </c>
      <c r="IA159" s="377">
        <v>5</v>
      </c>
      <c r="IB159" s="373">
        <v>1</v>
      </c>
      <c r="IC159" s="444">
        <v>83.3</v>
      </c>
      <c r="ID159" s="377"/>
      <c r="IE159" s="373"/>
      <c r="IF159" s="444" t="s">
        <v>6</v>
      </c>
      <c r="IG159" s="377"/>
      <c r="IH159" s="373"/>
      <c r="II159" s="444"/>
      <c r="IJ159" s="377">
        <v>3</v>
      </c>
      <c r="IK159" s="373">
        <v>1</v>
      </c>
      <c r="IL159" s="444">
        <v>75</v>
      </c>
      <c r="IM159" s="377">
        <v>1</v>
      </c>
      <c r="IN159" s="373"/>
      <c r="IO159" s="444">
        <v>100</v>
      </c>
      <c r="IP159" s="377">
        <v>4</v>
      </c>
      <c r="IQ159" s="373">
        <v>1</v>
      </c>
      <c r="IR159" s="444">
        <v>80</v>
      </c>
      <c r="IS159" s="377"/>
      <c r="IT159" s="373"/>
      <c r="IU159" s="444"/>
      <c r="IV159" s="377">
        <v>543</v>
      </c>
      <c r="IW159" s="373">
        <v>1515</v>
      </c>
      <c r="IX159" s="444">
        <v>26.4</v>
      </c>
      <c r="IY159" s="377">
        <v>375</v>
      </c>
      <c r="IZ159" s="373">
        <v>1081</v>
      </c>
      <c r="JA159" s="444">
        <v>25.8</v>
      </c>
      <c r="JB159" s="377">
        <v>352</v>
      </c>
      <c r="JC159" s="373">
        <v>883</v>
      </c>
      <c r="JD159" s="444">
        <v>28.5</v>
      </c>
      <c r="JE159" s="377"/>
      <c r="JF159" s="373"/>
      <c r="JG159" s="444"/>
      <c r="JH159" s="377">
        <v>85</v>
      </c>
      <c r="JI159" s="373">
        <v>273</v>
      </c>
      <c r="JJ159" s="444">
        <v>23.7</v>
      </c>
      <c r="JK159" s="377">
        <v>82</v>
      </c>
      <c r="JL159" s="373">
        <v>149</v>
      </c>
      <c r="JM159" s="444">
        <v>35.5</v>
      </c>
      <c r="JN159" s="377">
        <v>85</v>
      </c>
      <c r="JO159" s="373">
        <v>144</v>
      </c>
      <c r="JP159" s="444">
        <v>37.1</v>
      </c>
      <c r="JQ159" s="377"/>
      <c r="JR159" s="373"/>
      <c r="JS159" s="444"/>
      <c r="JT159" s="377">
        <v>3</v>
      </c>
      <c r="JU159" s="373">
        <v>1</v>
      </c>
      <c r="JV159" s="444">
        <v>75</v>
      </c>
      <c r="JW159" s="377">
        <v>1</v>
      </c>
      <c r="JX159" s="373">
        <v>3</v>
      </c>
      <c r="JY159" s="444">
        <v>25</v>
      </c>
      <c r="JZ159" s="377">
        <v>3</v>
      </c>
      <c r="KA159" s="373"/>
      <c r="KB159" s="444">
        <v>100</v>
      </c>
      <c r="KC159" s="377"/>
      <c r="KD159" s="373"/>
      <c r="KE159" s="444"/>
      <c r="KF159" s="377">
        <v>2</v>
      </c>
      <c r="KG159" s="373">
        <v>2</v>
      </c>
      <c r="KH159" s="444">
        <v>50</v>
      </c>
      <c r="KI159" s="377"/>
      <c r="KJ159" s="373"/>
      <c r="KK159" s="444" t="s">
        <v>6</v>
      </c>
      <c r="KL159" s="377">
        <v>1</v>
      </c>
      <c r="KM159" s="373">
        <v>1</v>
      </c>
      <c r="KN159" s="444">
        <v>50</v>
      </c>
      <c r="KO159" s="377"/>
      <c r="KP159" s="373"/>
      <c r="KQ159" s="444"/>
      <c r="KR159" s="377">
        <v>95</v>
      </c>
      <c r="KS159" s="373">
        <v>290</v>
      </c>
      <c r="KT159" s="444">
        <v>24.7</v>
      </c>
      <c r="KU159" s="377">
        <v>97</v>
      </c>
      <c r="KV159" s="373">
        <v>167</v>
      </c>
      <c r="KW159" s="444">
        <v>36.700000000000003</v>
      </c>
      <c r="KX159" s="377">
        <v>93</v>
      </c>
      <c r="KY159" s="373">
        <v>155</v>
      </c>
      <c r="KZ159" s="444">
        <v>37.5</v>
      </c>
      <c r="LA159" s="377"/>
      <c r="LB159" s="373"/>
      <c r="LC159" s="444"/>
      <c r="LD159" s="377">
        <v>1925</v>
      </c>
      <c r="LE159" s="373">
        <v>1649</v>
      </c>
      <c r="LF159" s="444">
        <v>53.9</v>
      </c>
      <c r="LG159" s="377">
        <v>548</v>
      </c>
      <c r="LH159" s="373">
        <v>1258</v>
      </c>
      <c r="LI159" s="444">
        <v>30.3</v>
      </c>
      <c r="LJ159" s="377">
        <v>1569</v>
      </c>
      <c r="LK159" s="373">
        <v>1043</v>
      </c>
      <c r="LL159" s="444">
        <v>60.1</v>
      </c>
      <c r="LM159" s="377"/>
      <c r="LN159" s="373"/>
      <c r="LO159" s="444"/>
    </row>
    <row r="160" spans="1:327" x14ac:dyDescent="0.2">
      <c r="A160" s="1001"/>
      <c r="B160" s="747" t="s">
        <v>621</v>
      </c>
      <c r="C160" s="151" t="s">
        <v>743</v>
      </c>
      <c r="D160" s="377"/>
      <c r="E160" s="373"/>
      <c r="F160" s="444" t="s">
        <v>6</v>
      </c>
      <c r="G160" s="377"/>
      <c r="H160" s="373"/>
      <c r="I160" s="444" t="s">
        <v>6</v>
      </c>
      <c r="J160" s="377"/>
      <c r="K160" s="373"/>
      <c r="L160" s="444" t="s">
        <v>6</v>
      </c>
      <c r="M160" s="377"/>
      <c r="N160" s="373"/>
      <c r="O160" s="444"/>
      <c r="P160" s="377"/>
      <c r="Q160" s="373"/>
      <c r="R160" s="444" t="s">
        <v>6</v>
      </c>
      <c r="S160" s="377"/>
      <c r="T160" s="373"/>
      <c r="U160" s="444" t="s">
        <v>6</v>
      </c>
      <c r="V160" s="377"/>
      <c r="W160" s="373"/>
      <c r="X160" s="444" t="s">
        <v>6</v>
      </c>
      <c r="Y160" s="377"/>
      <c r="Z160" s="373"/>
      <c r="AA160" s="444"/>
      <c r="AB160" s="377"/>
      <c r="AC160" s="373"/>
      <c r="AD160" s="444" t="s">
        <v>6</v>
      </c>
      <c r="AE160" s="377"/>
      <c r="AF160" s="373"/>
      <c r="AG160" s="444" t="s">
        <v>6</v>
      </c>
      <c r="AH160" s="377"/>
      <c r="AI160" s="373"/>
      <c r="AJ160" s="444" t="s">
        <v>6</v>
      </c>
      <c r="AK160" s="377"/>
      <c r="AL160" s="373"/>
      <c r="AM160" s="444"/>
      <c r="AN160" s="377">
        <v>20</v>
      </c>
      <c r="AO160" s="373">
        <v>4</v>
      </c>
      <c r="AP160" s="444">
        <v>83.3</v>
      </c>
      <c r="AQ160" s="377">
        <v>18</v>
      </c>
      <c r="AR160" s="373">
        <v>3</v>
      </c>
      <c r="AS160" s="444">
        <v>85.7</v>
      </c>
      <c r="AT160" s="377">
        <v>37</v>
      </c>
      <c r="AU160" s="373">
        <v>6</v>
      </c>
      <c r="AV160" s="444">
        <v>86</v>
      </c>
      <c r="AW160" s="377"/>
      <c r="AX160" s="373"/>
      <c r="AY160" s="444"/>
      <c r="AZ160" s="377">
        <v>11</v>
      </c>
      <c r="BA160" s="373">
        <v>2</v>
      </c>
      <c r="BB160" s="444">
        <v>84.6</v>
      </c>
      <c r="BC160" s="377">
        <v>7</v>
      </c>
      <c r="BD160" s="373">
        <v>2</v>
      </c>
      <c r="BE160" s="444">
        <v>77.8</v>
      </c>
      <c r="BF160" s="377">
        <v>15</v>
      </c>
      <c r="BG160" s="373">
        <v>3</v>
      </c>
      <c r="BH160" s="444">
        <v>83.3</v>
      </c>
      <c r="BI160" s="377"/>
      <c r="BJ160" s="373"/>
      <c r="BK160" s="444"/>
      <c r="BL160" s="377"/>
      <c r="BM160" s="373"/>
      <c r="BN160" s="444" t="s">
        <v>6</v>
      </c>
      <c r="BO160" s="377"/>
      <c r="BP160" s="373"/>
      <c r="BQ160" s="444" t="s">
        <v>6</v>
      </c>
      <c r="BR160" s="377"/>
      <c r="BS160" s="373"/>
      <c r="BT160" s="444" t="s">
        <v>6</v>
      </c>
      <c r="BU160" s="377"/>
      <c r="BV160" s="373"/>
      <c r="BW160" s="444"/>
      <c r="BX160" s="377"/>
      <c r="BY160" s="373"/>
      <c r="BZ160" s="444" t="s">
        <v>6</v>
      </c>
      <c r="CA160" s="377"/>
      <c r="CB160" s="373"/>
      <c r="CC160" s="444" t="s">
        <v>6</v>
      </c>
      <c r="CD160" s="377"/>
      <c r="CE160" s="373"/>
      <c r="CF160" s="444" t="s">
        <v>6</v>
      </c>
      <c r="CG160" s="377"/>
      <c r="CH160" s="373"/>
      <c r="CI160" s="444"/>
      <c r="CJ160" s="377"/>
      <c r="CK160" s="373"/>
      <c r="CL160" s="444" t="s">
        <v>6</v>
      </c>
      <c r="CM160" s="377"/>
      <c r="CN160" s="373"/>
      <c r="CO160" s="444" t="s">
        <v>6</v>
      </c>
      <c r="CP160" s="377"/>
      <c r="CQ160" s="373"/>
      <c r="CR160" s="444" t="s">
        <v>6</v>
      </c>
      <c r="CS160" s="377"/>
      <c r="CT160" s="373"/>
      <c r="CU160" s="444"/>
      <c r="CV160" s="377">
        <v>43</v>
      </c>
      <c r="CW160" s="373">
        <v>25</v>
      </c>
      <c r="CX160" s="444">
        <v>63.2</v>
      </c>
      <c r="CY160" s="377">
        <v>41</v>
      </c>
      <c r="CZ160" s="373">
        <v>11</v>
      </c>
      <c r="DA160" s="444">
        <v>78.8</v>
      </c>
      <c r="DB160" s="377">
        <v>52</v>
      </c>
      <c r="DC160" s="373">
        <v>9</v>
      </c>
      <c r="DD160" s="444">
        <v>85.2</v>
      </c>
      <c r="DE160" s="377"/>
      <c r="DF160" s="373"/>
      <c r="DG160" s="444"/>
      <c r="DH160" s="377">
        <v>1</v>
      </c>
      <c r="DI160" s="373"/>
      <c r="DJ160" s="444">
        <v>100</v>
      </c>
      <c r="DK160" s="377">
        <v>1</v>
      </c>
      <c r="DL160" s="373"/>
      <c r="DM160" s="444">
        <v>100</v>
      </c>
      <c r="DN160" s="377">
        <v>1</v>
      </c>
      <c r="DO160" s="373"/>
      <c r="DP160" s="444">
        <v>100</v>
      </c>
      <c r="DQ160" s="377"/>
      <c r="DR160" s="373"/>
      <c r="DS160" s="444"/>
      <c r="DT160" s="377"/>
      <c r="DU160" s="373"/>
      <c r="DV160" s="444" t="s">
        <v>6</v>
      </c>
      <c r="DW160" s="377"/>
      <c r="DX160" s="373"/>
      <c r="DY160" s="444" t="s">
        <v>6</v>
      </c>
      <c r="DZ160" s="377">
        <v>1</v>
      </c>
      <c r="EA160" s="373"/>
      <c r="EB160" s="444">
        <v>100</v>
      </c>
      <c r="EC160" s="377"/>
      <c r="ED160" s="373"/>
      <c r="EE160" s="444"/>
      <c r="EF160" s="377">
        <v>246</v>
      </c>
      <c r="EG160" s="373">
        <v>825</v>
      </c>
      <c r="EH160" s="444">
        <v>23</v>
      </c>
      <c r="EI160" s="377">
        <v>385</v>
      </c>
      <c r="EJ160" s="373">
        <v>683</v>
      </c>
      <c r="EK160" s="444">
        <v>36</v>
      </c>
      <c r="EL160" s="377">
        <v>241</v>
      </c>
      <c r="EM160" s="373">
        <v>363</v>
      </c>
      <c r="EN160" s="444">
        <v>39.9</v>
      </c>
      <c r="EO160" s="377"/>
      <c r="EP160" s="373"/>
      <c r="EQ160" s="444"/>
      <c r="ER160" s="377">
        <v>1</v>
      </c>
      <c r="ES160" s="373">
        <v>2</v>
      </c>
      <c r="ET160" s="444">
        <v>33.299999999999997</v>
      </c>
      <c r="EU160" s="377">
        <v>1</v>
      </c>
      <c r="EV160" s="373">
        <v>1</v>
      </c>
      <c r="EW160" s="444">
        <v>50</v>
      </c>
      <c r="EX160" s="377"/>
      <c r="EY160" s="373"/>
      <c r="EZ160" s="444" t="s">
        <v>6</v>
      </c>
      <c r="FA160" s="377"/>
      <c r="FB160" s="373"/>
      <c r="FC160" s="444"/>
      <c r="FD160" s="377">
        <v>1</v>
      </c>
      <c r="FE160" s="373">
        <v>10</v>
      </c>
      <c r="FF160" s="444">
        <v>9.1</v>
      </c>
      <c r="FG160" s="377">
        <v>2</v>
      </c>
      <c r="FH160" s="373">
        <v>17</v>
      </c>
      <c r="FI160" s="444">
        <v>10.5</v>
      </c>
      <c r="FJ160" s="377">
        <v>2</v>
      </c>
      <c r="FK160" s="373">
        <v>7</v>
      </c>
      <c r="FL160" s="444">
        <v>22.2</v>
      </c>
      <c r="FM160" s="377"/>
      <c r="FN160" s="373"/>
      <c r="FO160" s="444"/>
      <c r="FP160" s="377">
        <v>69</v>
      </c>
      <c r="FQ160" s="373">
        <v>247</v>
      </c>
      <c r="FR160" s="444">
        <v>21.8</v>
      </c>
      <c r="FS160" s="377">
        <v>98</v>
      </c>
      <c r="FT160" s="373">
        <v>291</v>
      </c>
      <c r="FU160" s="444">
        <v>25.2</v>
      </c>
      <c r="FV160" s="377">
        <v>77</v>
      </c>
      <c r="FW160" s="373">
        <v>110</v>
      </c>
      <c r="FX160" s="444">
        <v>41.2</v>
      </c>
      <c r="FY160" s="377"/>
      <c r="FZ160" s="373"/>
      <c r="GA160" s="444"/>
      <c r="GB160" s="377">
        <v>6</v>
      </c>
      <c r="GC160" s="373"/>
      <c r="GD160" s="444">
        <v>100</v>
      </c>
      <c r="GE160" s="377">
        <v>5</v>
      </c>
      <c r="GF160" s="373">
        <v>1</v>
      </c>
      <c r="GG160" s="444">
        <v>83.3</v>
      </c>
      <c r="GH160" s="377">
        <v>5</v>
      </c>
      <c r="GI160" s="373"/>
      <c r="GJ160" s="444">
        <v>100</v>
      </c>
      <c r="GK160" s="377"/>
      <c r="GL160" s="373"/>
      <c r="GM160" s="444"/>
      <c r="GN160" s="377">
        <v>4</v>
      </c>
      <c r="GO160" s="373">
        <v>1</v>
      </c>
      <c r="GP160" s="444">
        <v>80</v>
      </c>
      <c r="GQ160" s="377">
        <v>6</v>
      </c>
      <c r="GR160" s="373"/>
      <c r="GS160" s="444">
        <v>100</v>
      </c>
      <c r="GT160" s="377">
        <v>5</v>
      </c>
      <c r="GU160" s="373"/>
      <c r="GV160" s="444">
        <v>100</v>
      </c>
      <c r="GW160" s="377"/>
      <c r="GX160" s="373"/>
      <c r="GY160" s="444"/>
      <c r="GZ160" s="377">
        <v>2</v>
      </c>
      <c r="HA160" s="373">
        <v>1</v>
      </c>
      <c r="HB160" s="444">
        <v>66.7</v>
      </c>
      <c r="HC160" s="377"/>
      <c r="HD160" s="373"/>
      <c r="HE160" s="444" t="s">
        <v>6</v>
      </c>
      <c r="HF160" s="377">
        <v>1</v>
      </c>
      <c r="HG160" s="373"/>
      <c r="HH160" s="444">
        <v>100</v>
      </c>
      <c r="HI160" s="377"/>
      <c r="HJ160" s="373"/>
      <c r="HK160" s="444"/>
      <c r="HL160" s="377">
        <v>13</v>
      </c>
      <c r="HM160" s="373">
        <v>24</v>
      </c>
      <c r="HN160" s="444">
        <v>35.1</v>
      </c>
      <c r="HO160" s="377">
        <v>5</v>
      </c>
      <c r="HP160" s="373">
        <v>11</v>
      </c>
      <c r="HQ160" s="444">
        <v>31.3</v>
      </c>
      <c r="HR160" s="377">
        <v>8</v>
      </c>
      <c r="HS160" s="373">
        <v>17</v>
      </c>
      <c r="HT160" s="444">
        <v>32</v>
      </c>
      <c r="HU160" s="377"/>
      <c r="HV160" s="373"/>
      <c r="HW160" s="444"/>
      <c r="HX160" s="377">
        <v>6</v>
      </c>
      <c r="HY160" s="373"/>
      <c r="HZ160" s="444">
        <v>100</v>
      </c>
      <c r="IA160" s="377">
        <v>2</v>
      </c>
      <c r="IB160" s="373"/>
      <c r="IC160" s="444">
        <v>100</v>
      </c>
      <c r="ID160" s="377">
        <v>4</v>
      </c>
      <c r="IE160" s="373"/>
      <c r="IF160" s="444">
        <v>100</v>
      </c>
      <c r="IG160" s="377"/>
      <c r="IH160" s="373"/>
      <c r="II160" s="444"/>
      <c r="IJ160" s="377">
        <v>2</v>
      </c>
      <c r="IK160" s="373">
        <v>1</v>
      </c>
      <c r="IL160" s="444">
        <v>66.7</v>
      </c>
      <c r="IM160" s="377"/>
      <c r="IN160" s="373"/>
      <c r="IO160" s="444" t="s">
        <v>6</v>
      </c>
      <c r="IP160" s="377"/>
      <c r="IQ160" s="373"/>
      <c r="IR160" s="444" t="s">
        <v>6</v>
      </c>
      <c r="IS160" s="377"/>
      <c r="IT160" s="373"/>
      <c r="IU160" s="444"/>
      <c r="IV160" s="377">
        <v>343</v>
      </c>
      <c r="IW160" s="373">
        <v>881</v>
      </c>
      <c r="IX160" s="444">
        <v>28</v>
      </c>
      <c r="IY160" s="377">
        <v>463</v>
      </c>
      <c r="IZ160" s="373">
        <v>709</v>
      </c>
      <c r="JA160" s="444">
        <v>39.5</v>
      </c>
      <c r="JB160" s="377">
        <v>355</v>
      </c>
      <c r="JC160" s="373">
        <v>395</v>
      </c>
      <c r="JD160" s="444">
        <v>47.3</v>
      </c>
      <c r="JE160" s="377"/>
      <c r="JF160" s="373"/>
      <c r="JG160" s="444"/>
      <c r="JH160" s="377">
        <v>80</v>
      </c>
      <c r="JI160" s="373">
        <v>117</v>
      </c>
      <c r="JJ160" s="444">
        <v>40.6</v>
      </c>
      <c r="JK160" s="377">
        <v>164</v>
      </c>
      <c r="JL160" s="373">
        <v>101</v>
      </c>
      <c r="JM160" s="444">
        <v>61.9</v>
      </c>
      <c r="JN160" s="377">
        <v>79</v>
      </c>
      <c r="JO160" s="373">
        <v>50</v>
      </c>
      <c r="JP160" s="444">
        <v>61.2</v>
      </c>
      <c r="JQ160" s="377"/>
      <c r="JR160" s="373"/>
      <c r="JS160" s="444"/>
      <c r="JT160" s="377">
        <v>7</v>
      </c>
      <c r="JU160" s="373"/>
      <c r="JV160" s="444">
        <v>100</v>
      </c>
      <c r="JW160" s="377">
        <v>5</v>
      </c>
      <c r="JX160" s="373"/>
      <c r="JY160" s="444">
        <v>100</v>
      </c>
      <c r="JZ160" s="377">
        <v>5</v>
      </c>
      <c r="KA160" s="373"/>
      <c r="KB160" s="444">
        <v>100</v>
      </c>
      <c r="KC160" s="377"/>
      <c r="KD160" s="373"/>
      <c r="KE160" s="444"/>
      <c r="KF160" s="377">
        <v>1</v>
      </c>
      <c r="KG160" s="373"/>
      <c r="KH160" s="444">
        <v>100</v>
      </c>
      <c r="KI160" s="377">
        <v>2</v>
      </c>
      <c r="KJ160" s="373"/>
      <c r="KK160" s="444">
        <v>100</v>
      </c>
      <c r="KL160" s="377"/>
      <c r="KM160" s="373"/>
      <c r="KN160" s="444" t="s">
        <v>6</v>
      </c>
      <c r="KO160" s="377"/>
      <c r="KP160" s="373"/>
      <c r="KQ160" s="444"/>
      <c r="KR160" s="377">
        <v>96</v>
      </c>
      <c r="KS160" s="373">
        <v>126</v>
      </c>
      <c r="KT160" s="444">
        <v>43.2</v>
      </c>
      <c r="KU160" s="377">
        <v>176</v>
      </c>
      <c r="KV160" s="373">
        <v>108</v>
      </c>
      <c r="KW160" s="444">
        <v>62</v>
      </c>
      <c r="KX160" s="377">
        <v>99</v>
      </c>
      <c r="KY160" s="373">
        <v>55</v>
      </c>
      <c r="KZ160" s="444">
        <v>64.3</v>
      </c>
      <c r="LA160" s="377"/>
      <c r="LB160" s="373"/>
      <c r="LC160" s="444"/>
      <c r="LD160" s="377">
        <v>949</v>
      </c>
      <c r="LE160" s="373">
        <v>959</v>
      </c>
      <c r="LF160" s="444">
        <v>49.7</v>
      </c>
      <c r="LG160" s="377">
        <v>558</v>
      </c>
      <c r="LH160" s="373">
        <v>807</v>
      </c>
      <c r="LI160" s="444">
        <v>40.9</v>
      </c>
      <c r="LJ160" s="377">
        <v>442</v>
      </c>
      <c r="LK160" s="373">
        <v>458</v>
      </c>
      <c r="LL160" s="444">
        <v>49.1</v>
      </c>
      <c r="LM160" s="377"/>
      <c r="LN160" s="373"/>
      <c r="LO160" s="444"/>
    </row>
    <row r="161" spans="1:327" x14ac:dyDescent="0.2">
      <c r="A161" s="1001"/>
      <c r="B161" s="747" t="s">
        <v>621</v>
      </c>
      <c r="C161" s="151" t="s">
        <v>744</v>
      </c>
      <c r="D161" s="377"/>
      <c r="E161" s="373"/>
      <c r="F161" s="444" t="s">
        <v>6</v>
      </c>
      <c r="G161" s="377"/>
      <c r="H161" s="373"/>
      <c r="I161" s="444" t="s">
        <v>6</v>
      </c>
      <c r="J161" s="377"/>
      <c r="K161" s="373"/>
      <c r="L161" s="444" t="s">
        <v>6</v>
      </c>
      <c r="M161" s="377"/>
      <c r="N161" s="373"/>
      <c r="O161" s="444"/>
      <c r="P161" s="377"/>
      <c r="Q161" s="373"/>
      <c r="R161" s="444" t="s">
        <v>6</v>
      </c>
      <c r="S161" s="377"/>
      <c r="T161" s="373"/>
      <c r="U161" s="444" t="s">
        <v>6</v>
      </c>
      <c r="V161" s="377"/>
      <c r="W161" s="373"/>
      <c r="X161" s="444" t="s">
        <v>6</v>
      </c>
      <c r="Y161" s="377"/>
      <c r="Z161" s="373"/>
      <c r="AA161" s="444"/>
      <c r="AB161" s="377"/>
      <c r="AC161" s="373"/>
      <c r="AD161" s="444" t="s">
        <v>6</v>
      </c>
      <c r="AE161" s="377"/>
      <c r="AF161" s="373"/>
      <c r="AG161" s="444" t="s">
        <v>6</v>
      </c>
      <c r="AH161" s="377"/>
      <c r="AI161" s="373"/>
      <c r="AJ161" s="444" t="s">
        <v>6</v>
      </c>
      <c r="AK161" s="377"/>
      <c r="AL161" s="373"/>
      <c r="AM161" s="444"/>
      <c r="AN161" s="377">
        <v>18</v>
      </c>
      <c r="AO161" s="373"/>
      <c r="AP161" s="444">
        <v>100</v>
      </c>
      <c r="AQ161" s="377">
        <v>17</v>
      </c>
      <c r="AR161" s="373"/>
      <c r="AS161" s="444">
        <v>100</v>
      </c>
      <c r="AT161" s="377">
        <v>13</v>
      </c>
      <c r="AU161" s="373">
        <v>4</v>
      </c>
      <c r="AV161" s="444">
        <v>76.5</v>
      </c>
      <c r="AW161" s="377"/>
      <c r="AX161" s="373"/>
      <c r="AY161" s="444"/>
      <c r="AZ161" s="377">
        <v>4</v>
      </c>
      <c r="BA161" s="373"/>
      <c r="BB161" s="444">
        <v>100</v>
      </c>
      <c r="BC161" s="377">
        <v>6</v>
      </c>
      <c r="BD161" s="373"/>
      <c r="BE161" s="444">
        <v>100</v>
      </c>
      <c r="BF161" s="377">
        <v>5</v>
      </c>
      <c r="BG161" s="373">
        <v>2</v>
      </c>
      <c r="BH161" s="444">
        <v>71.400000000000006</v>
      </c>
      <c r="BI161" s="377"/>
      <c r="BJ161" s="373"/>
      <c r="BK161" s="444"/>
      <c r="BL161" s="377"/>
      <c r="BM161" s="373"/>
      <c r="BN161" s="444" t="s">
        <v>6</v>
      </c>
      <c r="BO161" s="377"/>
      <c r="BP161" s="373"/>
      <c r="BQ161" s="444" t="s">
        <v>6</v>
      </c>
      <c r="BR161" s="377"/>
      <c r="BS161" s="373"/>
      <c r="BT161" s="444" t="s">
        <v>6</v>
      </c>
      <c r="BU161" s="377"/>
      <c r="BV161" s="373"/>
      <c r="BW161" s="444"/>
      <c r="BX161" s="377"/>
      <c r="BY161" s="373"/>
      <c r="BZ161" s="444" t="s">
        <v>6</v>
      </c>
      <c r="CA161" s="377"/>
      <c r="CB161" s="373"/>
      <c r="CC161" s="444" t="s">
        <v>6</v>
      </c>
      <c r="CD161" s="377"/>
      <c r="CE161" s="373"/>
      <c r="CF161" s="444" t="s">
        <v>6</v>
      </c>
      <c r="CG161" s="377"/>
      <c r="CH161" s="373"/>
      <c r="CI161" s="444"/>
      <c r="CJ161" s="377"/>
      <c r="CK161" s="373"/>
      <c r="CL161" s="444" t="s">
        <v>6</v>
      </c>
      <c r="CM161" s="377"/>
      <c r="CN161" s="373"/>
      <c r="CO161" s="444" t="s">
        <v>6</v>
      </c>
      <c r="CP161" s="377"/>
      <c r="CQ161" s="373"/>
      <c r="CR161" s="444" t="s">
        <v>6</v>
      </c>
      <c r="CS161" s="377"/>
      <c r="CT161" s="373"/>
      <c r="CU161" s="444"/>
      <c r="CV161" s="377">
        <v>41</v>
      </c>
      <c r="CW161" s="373">
        <v>27</v>
      </c>
      <c r="CX161" s="444">
        <v>60.3</v>
      </c>
      <c r="CY161" s="377">
        <v>43</v>
      </c>
      <c r="CZ161" s="373">
        <v>34</v>
      </c>
      <c r="DA161" s="444">
        <v>55.8</v>
      </c>
      <c r="DB161" s="377">
        <v>25</v>
      </c>
      <c r="DC161" s="373">
        <v>20</v>
      </c>
      <c r="DD161" s="444">
        <v>55.6</v>
      </c>
      <c r="DE161" s="377"/>
      <c r="DF161" s="373"/>
      <c r="DG161" s="444"/>
      <c r="DH161" s="377">
        <v>1</v>
      </c>
      <c r="DI161" s="373">
        <v>1</v>
      </c>
      <c r="DJ161" s="444">
        <v>50</v>
      </c>
      <c r="DK161" s="377">
        <v>2</v>
      </c>
      <c r="DL161" s="373"/>
      <c r="DM161" s="444">
        <v>100</v>
      </c>
      <c r="DN161" s="377"/>
      <c r="DO161" s="373"/>
      <c r="DP161" s="444" t="s">
        <v>6</v>
      </c>
      <c r="DQ161" s="377"/>
      <c r="DR161" s="373"/>
      <c r="DS161" s="444"/>
      <c r="DT161" s="377">
        <v>2</v>
      </c>
      <c r="DU161" s="373"/>
      <c r="DV161" s="444">
        <v>100</v>
      </c>
      <c r="DW161" s="377">
        <v>2</v>
      </c>
      <c r="DX161" s="373"/>
      <c r="DY161" s="444">
        <v>100</v>
      </c>
      <c r="DZ161" s="377">
        <v>6</v>
      </c>
      <c r="EA161" s="373">
        <v>2</v>
      </c>
      <c r="EB161" s="444">
        <v>75</v>
      </c>
      <c r="EC161" s="377"/>
      <c r="ED161" s="373"/>
      <c r="EE161" s="444"/>
      <c r="EF161" s="377">
        <v>227</v>
      </c>
      <c r="EG161" s="373">
        <v>458</v>
      </c>
      <c r="EH161" s="444">
        <v>33.1</v>
      </c>
      <c r="EI161" s="377">
        <v>279</v>
      </c>
      <c r="EJ161" s="373">
        <v>334</v>
      </c>
      <c r="EK161" s="444">
        <v>45.5</v>
      </c>
      <c r="EL161" s="377">
        <v>148</v>
      </c>
      <c r="EM161" s="373">
        <v>267</v>
      </c>
      <c r="EN161" s="444">
        <v>35.700000000000003</v>
      </c>
      <c r="EO161" s="377"/>
      <c r="EP161" s="373"/>
      <c r="EQ161" s="444"/>
      <c r="ER161" s="377">
        <v>1</v>
      </c>
      <c r="ES161" s="373"/>
      <c r="ET161" s="444">
        <v>100</v>
      </c>
      <c r="EU161" s="377">
        <v>2</v>
      </c>
      <c r="EV161" s="373"/>
      <c r="EW161" s="444">
        <v>100</v>
      </c>
      <c r="EX161" s="377"/>
      <c r="EY161" s="373"/>
      <c r="EZ161" s="444" t="s">
        <v>6</v>
      </c>
      <c r="FA161" s="377"/>
      <c r="FB161" s="373"/>
      <c r="FC161" s="444"/>
      <c r="FD161" s="377"/>
      <c r="FE161" s="373">
        <v>3</v>
      </c>
      <c r="FF161" s="444">
        <v>0</v>
      </c>
      <c r="FG161" s="377"/>
      <c r="FH161" s="373">
        <v>3</v>
      </c>
      <c r="FI161" s="444">
        <v>0</v>
      </c>
      <c r="FJ161" s="377"/>
      <c r="FK161" s="373"/>
      <c r="FL161" s="444" t="s">
        <v>6</v>
      </c>
      <c r="FM161" s="377"/>
      <c r="FN161" s="373"/>
      <c r="FO161" s="444"/>
      <c r="FP161" s="377">
        <v>40</v>
      </c>
      <c r="FQ161" s="373">
        <v>118</v>
      </c>
      <c r="FR161" s="444">
        <v>25.3</v>
      </c>
      <c r="FS161" s="377">
        <v>66</v>
      </c>
      <c r="FT161" s="373">
        <v>128</v>
      </c>
      <c r="FU161" s="444">
        <v>34</v>
      </c>
      <c r="FV161" s="377">
        <v>43</v>
      </c>
      <c r="FW161" s="373">
        <v>74</v>
      </c>
      <c r="FX161" s="444">
        <v>36.799999999999997</v>
      </c>
      <c r="FY161" s="377"/>
      <c r="FZ161" s="373"/>
      <c r="GA161" s="444"/>
      <c r="GB161" s="377">
        <v>6</v>
      </c>
      <c r="GC161" s="373"/>
      <c r="GD161" s="444">
        <v>100</v>
      </c>
      <c r="GE161" s="377">
        <v>11</v>
      </c>
      <c r="GF161" s="373"/>
      <c r="GG161" s="444">
        <v>100</v>
      </c>
      <c r="GH161" s="377">
        <v>5</v>
      </c>
      <c r="GI161" s="373"/>
      <c r="GJ161" s="444">
        <v>100</v>
      </c>
      <c r="GK161" s="377"/>
      <c r="GL161" s="373"/>
      <c r="GM161" s="444"/>
      <c r="GN161" s="377">
        <v>2</v>
      </c>
      <c r="GO161" s="373"/>
      <c r="GP161" s="444">
        <v>100</v>
      </c>
      <c r="GQ161" s="377">
        <v>6</v>
      </c>
      <c r="GR161" s="373"/>
      <c r="GS161" s="444">
        <v>100</v>
      </c>
      <c r="GT161" s="377">
        <v>3</v>
      </c>
      <c r="GU161" s="373">
        <v>1</v>
      </c>
      <c r="GV161" s="444">
        <v>75</v>
      </c>
      <c r="GW161" s="377"/>
      <c r="GX161" s="373"/>
      <c r="GY161" s="444"/>
      <c r="GZ161" s="377"/>
      <c r="HA161" s="373"/>
      <c r="HB161" s="444" t="s">
        <v>6</v>
      </c>
      <c r="HC161" s="377"/>
      <c r="HD161" s="373"/>
      <c r="HE161" s="444" t="s">
        <v>6</v>
      </c>
      <c r="HF161" s="377"/>
      <c r="HG161" s="373"/>
      <c r="HH161" s="444" t="s">
        <v>6</v>
      </c>
      <c r="HI161" s="377"/>
      <c r="HJ161" s="373"/>
      <c r="HK161" s="444"/>
      <c r="HL161" s="377">
        <v>8</v>
      </c>
      <c r="HM161" s="373">
        <v>10</v>
      </c>
      <c r="HN161" s="444">
        <v>44.4</v>
      </c>
      <c r="HO161" s="377">
        <v>10</v>
      </c>
      <c r="HP161" s="373">
        <v>19</v>
      </c>
      <c r="HQ161" s="444">
        <v>34.5</v>
      </c>
      <c r="HR161" s="377">
        <v>12</v>
      </c>
      <c r="HS161" s="373">
        <v>8</v>
      </c>
      <c r="HT161" s="444">
        <v>60</v>
      </c>
      <c r="HU161" s="377"/>
      <c r="HV161" s="373"/>
      <c r="HW161" s="444"/>
      <c r="HX161" s="377">
        <v>2</v>
      </c>
      <c r="HY161" s="373"/>
      <c r="HZ161" s="444">
        <v>100</v>
      </c>
      <c r="IA161" s="377">
        <v>2</v>
      </c>
      <c r="IB161" s="373"/>
      <c r="IC161" s="444">
        <v>100</v>
      </c>
      <c r="ID161" s="377">
        <v>1</v>
      </c>
      <c r="IE161" s="373"/>
      <c r="IF161" s="444">
        <v>100</v>
      </c>
      <c r="IG161" s="377"/>
      <c r="IH161" s="373"/>
      <c r="II161" s="444"/>
      <c r="IJ161" s="377"/>
      <c r="IK161" s="373">
        <v>1</v>
      </c>
      <c r="IL161" s="444">
        <v>0</v>
      </c>
      <c r="IM161" s="377">
        <v>3</v>
      </c>
      <c r="IN161" s="373"/>
      <c r="IO161" s="444">
        <v>100</v>
      </c>
      <c r="IP161" s="377">
        <v>1</v>
      </c>
      <c r="IQ161" s="373"/>
      <c r="IR161" s="444">
        <v>100</v>
      </c>
      <c r="IS161" s="377"/>
      <c r="IT161" s="373"/>
      <c r="IU161" s="444"/>
      <c r="IV161" s="377">
        <v>307</v>
      </c>
      <c r="IW161" s="373">
        <v>497</v>
      </c>
      <c r="IX161" s="444">
        <v>38.200000000000003</v>
      </c>
      <c r="IY161" s="377">
        <v>375</v>
      </c>
      <c r="IZ161" s="373">
        <v>387</v>
      </c>
      <c r="JA161" s="444">
        <v>49.2</v>
      </c>
      <c r="JB161" s="377">
        <v>214</v>
      </c>
      <c r="JC161" s="373">
        <v>302</v>
      </c>
      <c r="JD161" s="444">
        <v>41.5</v>
      </c>
      <c r="JE161" s="377"/>
      <c r="JF161" s="373"/>
      <c r="JG161" s="444"/>
      <c r="JH161" s="377">
        <v>58</v>
      </c>
      <c r="JI161" s="373">
        <v>52</v>
      </c>
      <c r="JJ161" s="444">
        <v>52.7</v>
      </c>
      <c r="JK161" s="377">
        <v>60</v>
      </c>
      <c r="JL161" s="373">
        <v>63</v>
      </c>
      <c r="JM161" s="444">
        <v>48.8</v>
      </c>
      <c r="JN161" s="377">
        <v>36</v>
      </c>
      <c r="JO161" s="373">
        <v>34</v>
      </c>
      <c r="JP161" s="444">
        <v>51.4</v>
      </c>
      <c r="JQ161" s="377"/>
      <c r="JR161" s="373"/>
      <c r="JS161" s="444"/>
      <c r="JT161" s="377">
        <v>1</v>
      </c>
      <c r="JU161" s="373"/>
      <c r="JV161" s="444">
        <v>100</v>
      </c>
      <c r="JW161" s="377">
        <v>1</v>
      </c>
      <c r="JX161" s="373"/>
      <c r="JY161" s="444">
        <v>100</v>
      </c>
      <c r="JZ161" s="377">
        <v>2</v>
      </c>
      <c r="KA161" s="373"/>
      <c r="KB161" s="444">
        <v>100</v>
      </c>
      <c r="KC161" s="377"/>
      <c r="KD161" s="373"/>
      <c r="KE161" s="444"/>
      <c r="KF161" s="377"/>
      <c r="KG161" s="373"/>
      <c r="KH161" s="444" t="s">
        <v>6</v>
      </c>
      <c r="KI161" s="377"/>
      <c r="KJ161" s="373"/>
      <c r="KK161" s="444" t="s">
        <v>6</v>
      </c>
      <c r="KL161" s="377"/>
      <c r="KM161" s="373"/>
      <c r="KN161" s="444" t="s">
        <v>6</v>
      </c>
      <c r="KO161" s="377"/>
      <c r="KP161" s="373"/>
      <c r="KQ161" s="444"/>
      <c r="KR161" s="377">
        <v>71</v>
      </c>
      <c r="KS161" s="373">
        <v>58</v>
      </c>
      <c r="KT161" s="444">
        <v>55</v>
      </c>
      <c r="KU161" s="377">
        <v>70</v>
      </c>
      <c r="KV161" s="373">
        <v>72</v>
      </c>
      <c r="KW161" s="444">
        <v>49.3</v>
      </c>
      <c r="KX161" s="377">
        <v>49</v>
      </c>
      <c r="KY161" s="373">
        <v>39</v>
      </c>
      <c r="KZ161" s="444">
        <v>55.7</v>
      </c>
      <c r="LA161" s="377"/>
      <c r="LB161" s="373"/>
      <c r="LC161" s="444"/>
      <c r="LD161" s="377">
        <v>369</v>
      </c>
      <c r="LE161" s="373">
        <v>538</v>
      </c>
      <c r="LF161" s="444">
        <v>40.700000000000003</v>
      </c>
      <c r="LG161" s="377">
        <v>525</v>
      </c>
      <c r="LH161" s="373">
        <v>430</v>
      </c>
      <c r="LI161" s="444">
        <v>55</v>
      </c>
      <c r="LJ161" s="377">
        <v>283</v>
      </c>
      <c r="LK161" s="373">
        <v>360</v>
      </c>
      <c r="LL161" s="444">
        <v>44</v>
      </c>
      <c r="LM161" s="377"/>
      <c r="LN161" s="373"/>
      <c r="LO161" s="444"/>
    </row>
    <row r="162" spans="1:327" x14ac:dyDescent="0.2">
      <c r="A162" s="1001"/>
      <c r="B162" s="747" t="s">
        <v>621</v>
      </c>
      <c r="C162" s="151" t="s">
        <v>745</v>
      </c>
      <c r="D162" s="377"/>
      <c r="E162" s="373"/>
      <c r="F162" s="444" t="s">
        <v>6</v>
      </c>
      <c r="G162" s="377"/>
      <c r="H162" s="373"/>
      <c r="I162" s="444" t="s">
        <v>6</v>
      </c>
      <c r="J162" s="377"/>
      <c r="K162" s="373"/>
      <c r="L162" s="444" t="s">
        <v>6</v>
      </c>
      <c r="M162" s="377"/>
      <c r="N162" s="373"/>
      <c r="O162" s="444"/>
      <c r="P162" s="377"/>
      <c r="Q162" s="373"/>
      <c r="R162" s="444" t="s">
        <v>6</v>
      </c>
      <c r="S162" s="377"/>
      <c r="T162" s="373"/>
      <c r="U162" s="444" t="s">
        <v>6</v>
      </c>
      <c r="V162" s="377"/>
      <c r="W162" s="373"/>
      <c r="X162" s="444" t="s">
        <v>6</v>
      </c>
      <c r="Y162" s="377"/>
      <c r="Z162" s="373"/>
      <c r="AA162" s="444"/>
      <c r="AB162" s="377"/>
      <c r="AC162" s="373"/>
      <c r="AD162" s="444" t="s">
        <v>6</v>
      </c>
      <c r="AE162" s="377"/>
      <c r="AF162" s="373"/>
      <c r="AG162" s="444" t="s">
        <v>6</v>
      </c>
      <c r="AH162" s="377"/>
      <c r="AI162" s="373"/>
      <c r="AJ162" s="444" t="s">
        <v>6</v>
      </c>
      <c r="AK162" s="377"/>
      <c r="AL162" s="373"/>
      <c r="AM162" s="444"/>
      <c r="AN162" s="377">
        <v>20</v>
      </c>
      <c r="AO162" s="373">
        <v>1</v>
      </c>
      <c r="AP162" s="444">
        <v>95.2</v>
      </c>
      <c r="AQ162" s="377">
        <v>11</v>
      </c>
      <c r="AR162" s="373">
        <v>2</v>
      </c>
      <c r="AS162" s="444">
        <v>84.6</v>
      </c>
      <c r="AT162" s="377">
        <v>11</v>
      </c>
      <c r="AU162" s="373">
        <v>1</v>
      </c>
      <c r="AV162" s="444">
        <v>91.7</v>
      </c>
      <c r="AW162" s="377"/>
      <c r="AX162" s="373"/>
      <c r="AY162" s="444"/>
      <c r="AZ162" s="377">
        <v>7</v>
      </c>
      <c r="BA162" s="373">
        <v>1</v>
      </c>
      <c r="BB162" s="444">
        <v>87.5</v>
      </c>
      <c r="BC162" s="377">
        <v>2</v>
      </c>
      <c r="BD162" s="373">
        <v>2</v>
      </c>
      <c r="BE162" s="444">
        <v>50</v>
      </c>
      <c r="BF162" s="377">
        <v>4</v>
      </c>
      <c r="BG162" s="373"/>
      <c r="BH162" s="444">
        <v>100</v>
      </c>
      <c r="BI162" s="377"/>
      <c r="BJ162" s="373"/>
      <c r="BK162" s="444"/>
      <c r="BL162" s="377"/>
      <c r="BM162" s="373"/>
      <c r="BN162" s="444" t="s">
        <v>6</v>
      </c>
      <c r="BO162" s="377"/>
      <c r="BP162" s="373"/>
      <c r="BQ162" s="444" t="s">
        <v>6</v>
      </c>
      <c r="BR162" s="377"/>
      <c r="BS162" s="373"/>
      <c r="BT162" s="444" t="s">
        <v>6</v>
      </c>
      <c r="BU162" s="377"/>
      <c r="BV162" s="373"/>
      <c r="BW162" s="444"/>
      <c r="BX162" s="377"/>
      <c r="BY162" s="373"/>
      <c r="BZ162" s="444" t="s">
        <v>6</v>
      </c>
      <c r="CA162" s="377"/>
      <c r="CB162" s="373"/>
      <c r="CC162" s="444" t="s">
        <v>6</v>
      </c>
      <c r="CD162" s="377"/>
      <c r="CE162" s="373"/>
      <c r="CF162" s="444" t="s">
        <v>6</v>
      </c>
      <c r="CG162" s="377"/>
      <c r="CH162" s="373"/>
      <c r="CI162" s="444"/>
      <c r="CJ162" s="377"/>
      <c r="CK162" s="373"/>
      <c r="CL162" s="444" t="s">
        <v>6</v>
      </c>
      <c r="CM162" s="377"/>
      <c r="CN162" s="373"/>
      <c r="CO162" s="444" t="s">
        <v>6</v>
      </c>
      <c r="CP162" s="377"/>
      <c r="CQ162" s="373"/>
      <c r="CR162" s="444" t="s">
        <v>6</v>
      </c>
      <c r="CS162" s="377"/>
      <c r="CT162" s="373"/>
      <c r="CU162" s="444"/>
      <c r="CV162" s="377">
        <v>18</v>
      </c>
      <c r="CW162" s="373">
        <v>2</v>
      </c>
      <c r="CX162" s="444">
        <v>90</v>
      </c>
      <c r="CY162" s="377">
        <v>23</v>
      </c>
      <c r="CZ162" s="373">
        <v>12</v>
      </c>
      <c r="DA162" s="444">
        <v>65.7</v>
      </c>
      <c r="DB162" s="377">
        <v>12</v>
      </c>
      <c r="DC162" s="373">
        <v>2</v>
      </c>
      <c r="DD162" s="444">
        <v>85.7</v>
      </c>
      <c r="DE162" s="377"/>
      <c r="DF162" s="373"/>
      <c r="DG162" s="444"/>
      <c r="DH162" s="377">
        <v>1</v>
      </c>
      <c r="DI162" s="373"/>
      <c r="DJ162" s="444">
        <v>100</v>
      </c>
      <c r="DK162" s="377"/>
      <c r="DL162" s="373"/>
      <c r="DM162" s="444" t="s">
        <v>6</v>
      </c>
      <c r="DN162" s="377">
        <v>1</v>
      </c>
      <c r="DO162" s="373">
        <v>1</v>
      </c>
      <c r="DP162" s="444">
        <v>50</v>
      </c>
      <c r="DQ162" s="377"/>
      <c r="DR162" s="373"/>
      <c r="DS162" s="444"/>
      <c r="DT162" s="377"/>
      <c r="DU162" s="373"/>
      <c r="DV162" s="444" t="s">
        <v>6</v>
      </c>
      <c r="DW162" s="377"/>
      <c r="DX162" s="373"/>
      <c r="DY162" s="444" t="s">
        <v>6</v>
      </c>
      <c r="DZ162" s="377">
        <v>1</v>
      </c>
      <c r="EA162" s="373"/>
      <c r="EB162" s="444">
        <v>100</v>
      </c>
      <c r="EC162" s="377"/>
      <c r="ED162" s="373"/>
      <c r="EE162" s="444"/>
      <c r="EF162" s="377">
        <v>142</v>
      </c>
      <c r="EG162" s="373">
        <v>323</v>
      </c>
      <c r="EH162" s="444">
        <v>30.5</v>
      </c>
      <c r="EI162" s="377">
        <v>156</v>
      </c>
      <c r="EJ162" s="373">
        <v>363</v>
      </c>
      <c r="EK162" s="444">
        <v>30.1</v>
      </c>
      <c r="EL162" s="377">
        <v>121</v>
      </c>
      <c r="EM162" s="373">
        <v>205</v>
      </c>
      <c r="EN162" s="444">
        <v>37.1</v>
      </c>
      <c r="EO162" s="377"/>
      <c r="EP162" s="373"/>
      <c r="EQ162" s="444"/>
      <c r="ER162" s="377"/>
      <c r="ES162" s="373"/>
      <c r="ET162" s="444" t="s">
        <v>6</v>
      </c>
      <c r="EU162" s="377"/>
      <c r="EV162" s="373"/>
      <c r="EW162" s="444" t="s">
        <v>6</v>
      </c>
      <c r="EX162" s="377"/>
      <c r="EY162" s="373"/>
      <c r="EZ162" s="444" t="s">
        <v>6</v>
      </c>
      <c r="FA162" s="377"/>
      <c r="FB162" s="373"/>
      <c r="FC162" s="444"/>
      <c r="FD162" s="377">
        <v>3</v>
      </c>
      <c r="FE162" s="373">
        <v>5</v>
      </c>
      <c r="FF162" s="444">
        <v>37.5</v>
      </c>
      <c r="FG162" s="377"/>
      <c r="FH162" s="373">
        <v>4</v>
      </c>
      <c r="FI162" s="444">
        <v>0</v>
      </c>
      <c r="FJ162" s="377"/>
      <c r="FK162" s="373">
        <v>2</v>
      </c>
      <c r="FL162" s="444">
        <v>0</v>
      </c>
      <c r="FM162" s="377"/>
      <c r="FN162" s="373"/>
      <c r="FO162" s="444"/>
      <c r="FP162" s="377">
        <v>34</v>
      </c>
      <c r="FQ162" s="373">
        <v>83</v>
      </c>
      <c r="FR162" s="444">
        <v>29.1</v>
      </c>
      <c r="FS162" s="377">
        <v>61</v>
      </c>
      <c r="FT162" s="373">
        <v>148</v>
      </c>
      <c r="FU162" s="444">
        <v>29.2</v>
      </c>
      <c r="FV162" s="377">
        <v>34</v>
      </c>
      <c r="FW162" s="373">
        <v>52</v>
      </c>
      <c r="FX162" s="444">
        <v>39.5</v>
      </c>
      <c r="FY162" s="377"/>
      <c r="FZ162" s="373"/>
      <c r="GA162" s="444"/>
      <c r="GB162" s="377">
        <v>9</v>
      </c>
      <c r="GC162" s="373">
        <v>1</v>
      </c>
      <c r="GD162" s="444">
        <v>90</v>
      </c>
      <c r="GE162" s="377">
        <v>2</v>
      </c>
      <c r="GF162" s="373"/>
      <c r="GG162" s="444">
        <v>100</v>
      </c>
      <c r="GH162" s="377">
        <v>2</v>
      </c>
      <c r="GI162" s="373"/>
      <c r="GJ162" s="444">
        <v>100</v>
      </c>
      <c r="GK162" s="377"/>
      <c r="GL162" s="373"/>
      <c r="GM162" s="444"/>
      <c r="GN162" s="377">
        <v>2</v>
      </c>
      <c r="GO162" s="373"/>
      <c r="GP162" s="444">
        <v>100</v>
      </c>
      <c r="GQ162" s="377">
        <v>3</v>
      </c>
      <c r="GR162" s="373">
        <v>3</v>
      </c>
      <c r="GS162" s="444">
        <v>50</v>
      </c>
      <c r="GT162" s="377">
        <v>1</v>
      </c>
      <c r="GU162" s="373">
        <v>2</v>
      </c>
      <c r="GV162" s="444">
        <v>33.299999999999997</v>
      </c>
      <c r="GW162" s="377"/>
      <c r="GX162" s="373"/>
      <c r="GY162" s="444"/>
      <c r="GZ162" s="377"/>
      <c r="HA162" s="373"/>
      <c r="HB162" s="444" t="s">
        <v>6</v>
      </c>
      <c r="HC162" s="377"/>
      <c r="HD162" s="373"/>
      <c r="HE162" s="444" t="s">
        <v>6</v>
      </c>
      <c r="HF162" s="377"/>
      <c r="HG162" s="373"/>
      <c r="HH162" s="444" t="s">
        <v>6</v>
      </c>
      <c r="HI162" s="377"/>
      <c r="HJ162" s="373"/>
      <c r="HK162" s="444"/>
      <c r="HL162" s="377">
        <v>1</v>
      </c>
      <c r="HM162" s="373">
        <v>8</v>
      </c>
      <c r="HN162" s="444">
        <v>11.1</v>
      </c>
      <c r="HO162" s="377">
        <v>3</v>
      </c>
      <c r="HP162" s="373">
        <v>8</v>
      </c>
      <c r="HQ162" s="444">
        <v>27.3</v>
      </c>
      <c r="HR162" s="377">
        <v>3</v>
      </c>
      <c r="HS162" s="373">
        <v>4</v>
      </c>
      <c r="HT162" s="444">
        <v>42.9</v>
      </c>
      <c r="HU162" s="377"/>
      <c r="HV162" s="373"/>
      <c r="HW162" s="444"/>
      <c r="HX162" s="377"/>
      <c r="HY162" s="373"/>
      <c r="HZ162" s="444" t="s">
        <v>6</v>
      </c>
      <c r="IA162" s="377"/>
      <c r="IB162" s="373">
        <v>4</v>
      </c>
      <c r="IC162" s="444">
        <v>0</v>
      </c>
      <c r="ID162" s="377">
        <v>1</v>
      </c>
      <c r="IE162" s="373"/>
      <c r="IF162" s="444">
        <v>100</v>
      </c>
      <c r="IG162" s="377"/>
      <c r="IH162" s="373"/>
      <c r="II162" s="444"/>
      <c r="IJ162" s="377">
        <v>3</v>
      </c>
      <c r="IK162" s="373"/>
      <c r="IL162" s="444">
        <v>100</v>
      </c>
      <c r="IM162" s="377">
        <v>2</v>
      </c>
      <c r="IN162" s="373">
        <v>2</v>
      </c>
      <c r="IO162" s="444">
        <v>50</v>
      </c>
      <c r="IP162" s="377"/>
      <c r="IQ162" s="373"/>
      <c r="IR162" s="444" t="s">
        <v>6</v>
      </c>
      <c r="IS162" s="377"/>
      <c r="IT162" s="373"/>
      <c r="IU162" s="444"/>
      <c r="IV162" s="377">
        <v>196</v>
      </c>
      <c r="IW162" s="373">
        <v>335</v>
      </c>
      <c r="IX162" s="444">
        <v>36.9</v>
      </c>
      <c r="IY162" s="377">
        <v>200</v>
      </c>
      <c r="IZ162" s="373">
        <v>394</v>
      </c>
      <c r="JA162" s="444">
        <v>33.700000000000003</v>
      </c>
      <c r="JB162" s="377">
        <v>153</v>
      </c>
      <c r="JC162" s="373">
        <v>215</v>
      </c>
      <c r="JD162" s="444">
        <v>41.6</v>
      </c>
      <c r="JE162" s="377"/>
      <c r="JF162" s="373"/>
      <c r="JG162" s="444"/>
      <c r="JH162" s="377">
        <v>45</v>
      </c>
      <c r="JI162" s="373">
        <v>26</v>
      </c>
      <c r="JJ162" s="444">
        <v>63.4</v>
      </c>
      <c r="JK162" s="377">
        <v>45</v>
      </c>
      <c r="JL162" s="373">
        <v>57</v>
      </c>
      <c r="JM162" s="444">
        <v>44.1</v>
      </c>
      <c r="JN162" s="377">
        <v>26</v>
      </c>
      <c r="JO162" s="373">
        <v>17</v>
      </c>
      <c r="JP162" s="444">
        <v>60.5</v>
      </c>
      <c r="JQ162" s="377"/>
      <c r="JR162" s="373"/>
      <c r="JS162" s="444"/>
      <c r="JT162" s="377"/>
      <c r="JU162" s="373"/>
      <c r="JV162" s="444" t="s">
        <v>6</v>
      </c>
      <c r="JW162" s="377">
        <v>1</v>
      </c>
      <c r="JX162" s="373">
        <v>1</v>
      </c>
      <c r="JY162" s="444">
        <v>50</v>
      </c>
      <c r="JZ162" s="377"/>
      <c r="KA162" s="373"/>
      <c r="KB162" s="444" t="s">
        <v>6</v>
      </c>
      <c r="KC162" s="377"/>
      <c r="KD162" s="373"/>
      <c r="KE162" s="444"/>
      <c r="KF162" s="377"/>
      <c r="KG162" s="373"/>
      <c r="KH162" s="444" t="s">
        <v>6</v>
      </c>
      <c r="KI162" s="377"/>
      <c r="KJ162" s="373">
        <v>1</v>
      </c>
      <c r="KK162" s="444">
        <v>0</v>
      </c>
      <c r="KL162" s="377"/>
      <c r="KM162" s="373"/>
      <c r="KN162" s="444" t="s">
        <v>6</v>
      </c>
      <c r="KO162" s="377"/>
      <c r="KP162" s="373"/>
      <c r="KQ162" s="444"/>
      <c r="KR162" s="377">
        <v>47</v>
      </c>
      <c r="KS162" s="373">
        <v>35</v>
      </c>
      <c r="KT162" s="444">
        <v>57.3</v>
      </c>
      <c r="KU162" s="377">
        <v>47</v>
      </c>
      <c r="KV162" s="373">
        <v>62</v>
      </c>
      <c r="KW162" s="444">
        <v>43.1</v>
      </c>
      <c r="KX162" s="377">
        <v>27</v>
      </c>
      <c r="KY162" s="373">
        <v>22</v>
      </c>
      <c r="KZ162" s="444">
        <v>55.1</v>
      </c>
      <c r="LA162" s="377"/>
      <c r="LB162" s="373"/>
      <c r="LC162" s="444"/>
      <c r="LD162" s="377">
        <v>329</v>
      </c>
      <c r="LE162" s="373">
        <v>375</v>
      </c>
      <c r="LF162" s="444">
        <v>46.7</v>
      </c>
      <c r="LG162" s="377">
        <v>551</v>
      </c>
      <c r="LH162" s="373">
        <v>438</v>
      </c>
      <c r="LI162" s="444">
        <v>55.7</v>
      </c>
      <c r="LJ162" s="377">
        <v>176</v>
      </c>
      <c r="LK162" s="373">
        <v>236</v>
      </c>
      <c r="LL162" s="444">
        <v>42.7</v>
      </c>
      <c r="LM162" s="377"/>
      <c r="LN162" s="373"/>
      <c r="LO162" s="444"/>
    </row>
    <row r="163" spans="1:327" x14ac:dyDescent="0.2">
      <c r="A163" s="1001"/>
      <c r="B163" s="747" t="s">
        <v>621</v>
      </c>
      <c r="C163" s="151" t="s">
        <v>746</v>
      </c>
      <c r="D163" s="377"/>
      <c r="E163" s="373"/>
      <c r="F163" s="444" t="s">
        <v>6</v>
      </c>
      <c r="G163" s="377"/>
      <c r="H163" s="373"/>
      <c r="I163" s="444" t="s">
        <v>6</v>
      </c>
      <c r="J163" s="377"/>
      <c r="K163" s="373"/>
      <c r="L163" s="444" t="s">
        <v>6</v>
      </c>
      <c r="M163" s="377"/>
      <c r="N163" s="373"/>
      <c r="O163" s="444"/>
      <c r="P163" s="377"/>
      <c r="Q163" s="373"/>
      <c r="R163" s="444" t="s">
        <v>6</v>
      </c>
      <c r="S163" s="377"/>
      <c r="T163" s="373"/>
      <c r="U163" s="444" t="s">
        <v>6</v>
      </c>
      <c r="V163" s="377"/>
      <c r="W163" s="373"/>
      <c r="X163" s="444" t="s">
        <v>6</v>
      </c>
      <c r="Y163" s="377"/>
      <c r="Z163" s="373"/>
      <c r="AA163" s="444"/>
      <c r="AB163" s="377"/>
      <c r="AC163" s="373"/>
      <c r="AD163" s="444" t="s">
        <v>6</v>
      </c>
      <c r="AE163" s="377"/>
      <c r="AF163" s="373"/>
      <c r="AG163" s="444" t="s">
        <v>6</v>
      </c>
      <c r="AH163" s="377"/>
      <c r="AI163" s="373"/>
      <c r="AJ163" s="444" t="s">
        <v>6</v>
      </c>
      <c r="AK163" s="377"/>
      <c r="AL163" s="373"/>
      <c r="AM163" s="444"/>
      <c r="AN163" s="377">
        <v>3</v>
      </c>
      <c r="AO163" s="373"/>
      <c r="AP163" s="444">
        <v>100</v>
      </c>
      <c r="AQ163" s="377">
        <v>8</v>
      </c>
      <c r="AR163" s="373"/>
      <c r="AS163" s="444">
        <v>100</v>
      </c>
      <c r="AT163" s="377">
        <v>4</v>
      </c>
      <c r="AU163" s="373"/>
      <c r="AV163" s="444">
        <v>100</v>
      </c>
      <c r="AW163" s="377"/>
      <c r="AX163" s="373"/>
      <c r="AY163" s="444"/>
      <c r="AZ163" s="377"/>
      <c r="BA163" s="373"/>
      <c r="BB163" s="444" t="s">
        <v>6</v>
      </c>
      <c r="BC163" s="377">
        <v>4</v>
      </c>
      <c r="BD163" s="373"/>
      <c r="BE163" s="444">
        <v>100</v>
      </c>
      <c r="BF163" s="377">
        <v>2</v>
      </c>
      <c r="BG163" s="373"/>
      <c r="BH163" s="444">
        <v>100</v>
      </c>
      <c r="BI163" s="377"/>
      <c r="BJ163" s="373"/>
      <c r="BK163" s="444"/>
      <c r="BL163" s="377"/>
      <c r="BM163" s="373"/>
      <c r="BN163" s="444" t="s">
        <v>6</v>
      </c>
      <c r="BO163" s="377"/>
      <c r="BP163" s="373"/>
      <c r="BQ163" s="444" t="s">
        <v>6</v>
      </c>
      <c r="BR163" s="377"/>
      <c r="BS163" s="373"/>
      <c r="BT163" s="444" t="s">
        <v>6</v>
      </c>
      <c r="BU163" s="377"/>
      <c r="BV163" s="373"/>
      <c r="BW163" s="444"/>
      <c r="BX163" s="377"/>
      <c r="BY163" s="373"/>
      <c r="BZ163" s="444" t="s">
        <v>6</v>
      </c>
      <c r="CA163" s="377"/>
      <c r="CB163" s="373"/>
      <c r="CC163" s="444" t="s">
        <v>6</v>
      </c>
      <c r="CD163" s="377"/>
      <c r="CE163" s="373"/>
      <c r="CF163" s="444" t="s">
        <v>6</v>
      </c>
      <c r="CG163" s="377"/>
      <c r="CH163" s="373"/>
      <c r="CI163" s="444"/>
      <c r="CJ163" s="377"/>
      <c r="CK163" s="373"/>
      <c r="CL163" s="444" t="s">
        <v>6</v>
      </c>
      <c r="CM163" s="377"/>
      <c r="CN163" s="373"/>
      <c r="CO163" s="444" t="s">
        <v>6</v>
      </c>
      <c r="CP163" s="377"/>
      <c r="CQ163" s="373"/>
      <c r="CR163" s="444" t="s">
        <v>6</v>
      </c>
      <c r="CS163" s="377"/>
      <c r="CT163" s="373"/>
      <c r="CU163" s="444"/>
      <c r="CV163" s="377">
        <v>12</v>
      </c>
      <c r="CW163" s="373">
        <v>10</v>
      </c>
      <c r="CX163" s="444">
        <v>54.5</v>
      </c>
      <c r="CY163" s="377">
        <v>15</v>
      </c>
      <c r="CZ163" s="373">
        <v>7</v>
      </c>
      <c r="DA163" s="444">
        <v>68.2</v>
      </c>
      <c r="DB163" s="377">
        <v>10</v>
      </c>
      <c r="DC163" s="373">
        <v>3</v>
      </c>
      <c r="DD163" s="444">
        <v>76.900000000000006</v>
      </c>
      <c r="DE163" s="377"/>
      <c r="DF163" s="373"/>
      <c r="DG163" s="444"/>
      <c r="DH163" s="377"/>
      <c r="DI163" s="373"/>
      <c r="DJ163" s="444" t="s">
        <v>6</v>
      </c>
      <c r="DK163" s="377"/>
      <c r="DL163" s="373"/>
      <c r="DM163" s="444" t="s">
        <v>6</v>
      </c>
      <c r="DN163" s="377"/>
      <c r="DO163" s="373"/>
      <c r="DP163" s="444" t="s">
        <v>6</v>
      </c>
      <c r="DQ163" s="377"/>
      <c r="DR163" s="373"/>
      <c r="DS163" s="444"/>
      <c r="DT163" s="377"/>
      <c r="DU163" s="373"/>
      <c r="DV163" s="444" t="s">
        <v>6</v>
      </c>
      <c r="DW163" s="377"/>
      <c r="DX163" s="373">
        <v>1</v>
      </c>
      <c r="DY163" s="444">
        <v>0</v>
      </c>
      <c r="DZ163" s="377"/>
      <c r="EA163" s="373"/>
      <c r="EB163" s="444" t="s">
        <v>6</v>
      </c>
      <c r="EC163" s="377"/>
      <c r="ED163" s="373"/>
      <c r="EE163" s="444"/>
      <c r="EF163" s="377">
        <v>63</v>
      </c>
      <c r="EG163" s="373">
        <v>210</v>
      </c>
      <c r="EH163" s="444">
        <v>23.1</v>
      </c>
      <c r="EI163" s="377">
        <v>57</v>
      </c>
      <c r="EJ163" s="373">
        <v>144</v>
      </c>
      <c r="EK163" s="444">
        <v>28.4</v>
      </c>
      <c r="EL163" s="377">
        <v>57</v>
      </c>
      <c r="EM163" s="373">
        <v>124</v>
      </c>
      <c r="EN163" s="444">
        <v>31.5</v>
      </c>
      <c r="EO163" s="377"/>
      <c r="EP163" s="373"/>
      <c r="EQ163" s="444"/>
      <c r="ER163" s="377"/>
      <c r="ES163" s="373"/>
      <c r="ET163" s="444" t="s">
        <v>6</v>
      </c>
      <c r="EU163" s="377"/>
      <c r="EV163" s="373"/>
      <c r="EW163" s="444" t="s">
        <v>6</v>
      </c>
      <c r="EX163" s="377">
        <v>1</v>
      </c>
      <c r="EY163" s="373"/>
      <c r="EZ163" s="444">
        <v>100</v>
      </c>
      <c r="FA163" s="377"/>
      <c r="FB163" s="373"/>
      <c r="FC163" s="444"/>
      <c r="FD163" s="377">
        <v>1</v>
      </c>
      <c r="FE163" s="373">
        <v>2</v>
      </c>
      <c r="FF163" s="444">
        <v>33.299999999999997</v>
      </c>
      <c r="FG163" s="377">
        <v>1</v>
      </c>
      <c r="FH163" s="373"/>
      <c r="FI163" s="444">
        <v>100</v>
      </c>
      <c r="FJ163" s="377"/>
      <c r="FK163" s="373">
        <v>1</v>
      </c>
      <c r="FL163" s="444">
        <v>0</v>
      </c>
      <c r="FM163" s="377"/>
      <c r="FN163" s="373"/>
      <c r="FO163" s="444"/>
      <c r="FP163" s="377">
        <v>19</v>
      </c>
      <c r="FQ163" s="373">
        <v>36</v>
      </c>
      <c r="FR163" s="444">
        <v>34.5</v>
      </c>
      <c r="FS163" s="377">
        <v>13</v>
      </c>
      <c r="FT163" s="373">
        <v>44</v>
      </c>
      <c r="FU163" s="444">
        <v>22.8</v>
      </c>
      <c r="FV163" s="377">
        <v>5</v>
      </c>
      <c r="FW163" s="373">
        <v>23</v>
      </c>
      <c r="FX163" s="444">
        <v>17.899999999999999</v>
      </c>
      <c r="FY163" s="377"/>
      <c r="FZ163" s="373"/>
      <c r="GA163" s="444"/>
      <c r="GB163" s="377">
        <v>1</v>
      </c>
      <c r="GC163" s="373"/>
      <c r="GD163" s="444">
        <v>100</v>
      </c>
      <c r="GE163" s="377"/>
      <c r="GF163" s="373"/>
      <c r="GG163" s="444" t="s">
        <v>6</v>
      </c>
      <c r="GH163" s="377"/>
      <c r="GI163" s="373"/>
      <c r="GJ163" s="444" t="s">
        <v>6</v>
      </c>
      <c r="GK163" s="377"/>
      <c r="GL163" s="373"/>
      <c r="GM163" s="444"/>
      <c r="GN163" s="377">
        <v>1</v>
      </c>
      <c r="GO163" s="373">
        <v>1</v>
      </c>
      <c r="GP163" s="444">
        <v>50</v>
      </c>
      <c r="GQ163" s="377">
        <v>1</v>
      </c>
      <c r="GR163" s="373">
        <v>1</v>
      </c>
      <c r="GS163" s="444">
        <v>50</v>
      </c>
      <c r="GT163" s="377"/>
      <c r="GU163" s="373">
        <v>1</v>
      </c>
      <c r="GV163" s="444">
        <v>0</v>
      </c>
      <c r="GW163" s="377"/>
      <c r="GX163" s="373"/>
      <c r="GY163" s="444"/>
      <c r="GZ163" s="377"/>
      <c r="HA163" s="373"/>
      <c r="HB163" s="444" t="s">
        <v>6</v>
      </c>
      <c r="HC163" s="377">
        <v>1</v>
      </c>
      <c r="HD163" s="373"/>
      <c r="HE163" s="444">
        <v>100</v>
      </c>
      <c r="HF163" s="377"/>
      <c r="HG163" s="373"/>
      <c r="HH163" s="444" t="s">
        <v>6</v>
      </c>
      <c r="HI163" s="377"/>
      <c r="HJ163" s="373"/>
      <c r="HK163" s="444"/>
      <c r="HL163" s="377">
        <v>3</v>
      </c>
      <c r="HM163" s="373">
        <v>4</v>
      </c>
      <c r="HN163" s="444">
        <v>42.9</v>
      </c>
      <c r="HO163" s="377">
        <v>3</v>
      </c>
      <c r="HP163" s="373">
        <v>6</v>
      </c>
      <c r="HQ163" s="444">
        <v>33.299999999999997</v>
      </c>
      <c r="HR163" s="377"/>
      <c r="HS163" s="373">
        <v>1</v>
      </c>
      <c r="HT163" s="444">
        <v>0</v>
      </c>
      <c r="HU163" s="377"/>
      <c r="HV163" s="373"/>
      <c r="HW163" s="444"/>
      <c r="HX163" s="377">
        <v>3</v>
      </c>
      <c r="HY163" s="373"/>
      <c r="HZ163" s="444">
        <v>100</v>
      </c>
      <c r="IA163" s="377">
        <v>2</v>
      </c>
      <c r="IB163" s="373"/>
      <c r="IC163" s="444">
        <v>100</v>
      </c>
      <c r="ID163" s="377"/>
      <c r="IE163" s="373"/>
      <c r="IF163" s="444" t="s">
        <v>6</v>
      </c>
      <c r="IG163" s="377"/>
      <c r="IH163" s="373"/>
      <c r="II163" s="444"/>
      <c r="IJ163" s="377">
        <v>2</v>
      </c>
      <c r="IK163" s="373"/>
      <c r="IL163" s="444">
        <v>100</v>
      </c>
      <c r="IM163" s="377"/>
      <c r="IN163" s="373"/>
      <c r="IO163" s="444" t="s">
        <v>6</v>
      </c>
      <c r="IP163" s="377"/>
      <c r="IQ163" s="373"/>
      <c r="IR163" s="444" t="s">
        <v>6</v>
      </c>
      <c r="IS163" s="377"/>
      <c r="IT163" s="373"/>
      <c r="IU163" s="444"/>
      <c r="IV163" s="377">
        <v>88</v>
      </c>
      <c r="IW163" s="373">
        <v>225</v>
      </c>
      <c r="IX163" s="444">
        <v>28.1</v>
      </c>
      <c r="IY163" s="377">
        <v>87</v>
      </c>
      <c r="IZ163" s="373">
        <v>159</v>
      </c>
      <c r="JA163" s="444">
        <v>35.4</v>
      </c>
      <c r="JB163" s="377">
        <v>71</v>
      </c>
      <c r="JC163" s="373">
        <v>129</v>
      </c>
      <c r="JD163" s="444">
        <v>35.5</v>
      </c>
      <c r="JE163" s="377"/>
      <c r="JF163" s="373"/>
      <c r="JG163" s="444"/>
      <c r="JH163" s="377">
        <v>12</v>
      </c>
      <c r="JI163" s="373">
        <v>28</v>
      </c>
      <c r="JJ163" s="444">
        <v>30</v>
      </c>
      <c r="JK163" s="377">
        <v>21</v>
      </c>
      <c r="JL163" s="373">
        <v>24</v>
      </c>
      <c r="JM163" s="444">
        <v>46.7</v>
      </c>
      <c r="JN163" s="377">
        <v>15</v>
      </c>
      <c r="JO163" s="373">
        <v>9</v>
      </c>
      <c r="JP163" s="444">
        <v>62.5</v>
      </c>
      <c r="JQ163" s="377"/>
      <c r="JR163" s="373"/>
      <c r="JS163" s="444"/>
      <c r="JT163" s="377"/>
      <c r="JU163" s="373"/>
      <c r="JV163" s="444" t="s">
        <v>6</v>
      </c>
      <c r="JW163" s="377">
        <v>5</v>
      </c>
      <c r="JX163" s="373"/>
      <c r="JY163" s="444">
        <v>100</v>
      </c>
      <c r="JZ163" s="377"/>
      <c r="KA163" s="373"/>
      <c r="KB163" s="444" t="s">
        <v>6</v>
      </c>
      <c r="KC163" s="377"/>
      <c r="KD163" s="373"/>
      <c r="KE163" s="444"/>
      <c r="KF163" s="377"/>
      <c r="KG163" s="373">
        <v>1</v>
      </c>
      <c r="KH163" s="444">
        <v>0</v>
      </c>
      <c r="KI163" s="377"/>
      <c r="KJ163" s="373"/>
      <c r="KK163" s="444" t="s">
        <v>6</v>
      </c>
      <c r="KL163" s="377"/>
      <c r="KM163" s="373"/>
      <c r="KN163" s="444" t="s">
        <v>6</v>
      </c>
      <c r="KO163" s="377"/>
      <c r="KP163" s="373"/>
      <c r="KQ163" s="444"/>
      <c r="KR163" s="377">
        <v>15</v>
      </c>
      <c r="KS163" s="373">
        <v>34</v>
      </c>
      <c r="KT163" s="444">
        <v>30.6</v>
      </c>
      <c r="KU163" s="377">
        <v>31</v>
      </c>
      <c r="KV163" s="373">
        <v>26</v>
      </c>
      <c r="KW163" s="444">
        <v>54.4</v>
      </c>
      <c r="KX163" s="377">
        <v>20</v>
      </c>
      <c r="KY163" s="373">
        <v>11</v>
      </c>
      <c r="KZ163" s="444">
        <v>64.5</v>
      </c>
      <c r="LA163" s="377"/>
      <c r="LB163" s="373"/>
      <c r="LC163" s="444"/>
      <c r="LD163" s="377">
        <v>128</v>
      </c>
      <c r="LE163" s="373">
        <v>315</v>
      </c>
      <c r="LF163" s="444">
        <v>28.9</v>
      </c>
      <c r="LG163" s="377">
        <v>192</v>
      </c>
      <c r="LH163" s="373">
        <v>173</v>
      </c>
      <c r="LI163" s="444">
        <v>52.6</v>
      </c>
      <c r="LJ163" s="377">
        <v>98</v>
      </c>
      <c r="LK163" s="373">
        <v>150</v>
      </c>
      <c r="LL163" s="444">
        <v>39.5</v>
      </c>
      <c r="LM163" s="377"/>
      <c r="LN163" s="373"/>
      <c r="LO163" s="444"/>
    </row>
    <row r="164" spans="1:327" x14ac:dyDescent="0.2">
      <c r="A164" s="1001"/>
      <c r="B164" s="747" t="s">
        <v>621</v>
      </c>
      <c r="C164" s="151" t="s">
        <v>747</v>
      </c>
      <c r="D164" s="377"/>
      <c r="E164" s="373"/>
      <c r="F164" s="444" t="s">
        <v>6</v>
      </c>
      <c r="G164" s="377"/>
      <c r="H164" s="373"/>
      <c r="I164" s="444" t="s">
        <v>6</v>
      </c>
      <c r="J164" s="377"/>
      <c r="K164" s="373"/>
      <c r="L164" s="444" t="s">
        <v>6</v>
      </c>
      <c r="M164" s="377"/>
      <c r="N164" s="373"/>
      <c r="O164" s="444"/>
      <c r="P164" s="377"/>
      <c r="Q164" s="373"/>
      <c r="R164" s="444" t="s">
        <v>6</v>
      </c>
      <c r="S164" s="377"/>
      <c r="T164" s="373"/>
      <c r="U164" s="444" t="s">
        <v>6</v>
      </c>
      <c r="V164" s="377"/>
      <c r="W164" s="373"/>
      <c r="X164" s="444" t="s">
        <v>6</v>
      </c>
      <c r="Y164" s="377"/>
      <c r="Z164" s="373"/>
      <c r="AA164" s="444"/>
      <c r="AB164" s="377"/>
      <c r="AC164" s="373"/>
      <c r="AD164" s="444" t="s">
        <v>6</v>
      </c>
      <c r="AE164" s="377"/>
      <c r="AF164" s="373"/>
      <c r="AG164" s="444" t="s">
        <v>6</v>
      </c>
      <c r="AH164" s="377"/>
      <c r="AI164" s="373"/>
      <c r="AJ164" s="444" t="s">
        <v>6</v>
      </c>
      <c r="AK164" s="377"/>
      <c r="AL164" s="373"/>
      <c r="AM164" s="444"/>
      <c r="AN164" s="377">
        <v>12</v>
      </c>
      <c r="AO164" s="373">
        <v>2</v>
      </c>
      <c r="AP164" s="444">
        <v>85.7</v>
      </c>
      <c r="AQ164" s="377">
        <v>7</v>
      </c>
      <c r="AR164" s="373"/>
      <c r="AS164" s="444">
        <v>100</v>
      </c>
      <c r="AT164" s="377">
        <v>16</v>
      </c>
      <c r="AU164" s="373"/>
      <c r="AV164" s="444">
        <v>100</v>
      </c>
      <c r="AW164" s="377"/>
      <c r="AX164" s="373"/>
      <c r="AY164" s="444"/>
      <c r="AZ164" s="377">
        <v>2</v>
      </c>
      <c r="BA164" s="373">
        <v>1</v>
      </c>
      <c r="BB164" s="444">
        <v>66.7</v>
      </c>
      <c r="BC164" s="377">
        <v>3</v>
      </c>
      <c r="BD164" s="373"/>
      <c r="BE164" s="444">
        <v>100</v>
      </c>
      <c r="BF164" s="377">
        <v>3</v>
      </c>
      <c r="BG164" s="373"/>
      <c r="BH164" s="444">
        <v>100</v>
      </c>
      <c r="BI164" s="377"/>
      <c r="BJ164" s="373"/>
      <c r="BK164" s="444"/>
      <c r="BL164" s="377"/>
      <c r="BM164" s="373"/>
      <c r="BN164" s="444" t="s">
        <v>6</v>
      </c>
      <c r="BO164" s="377"/>
      <c r="BP164" s="373"/>
      <c r="BQ164" s="444" t="s">
        <v>6</v>
      </c>
      <c r="BR164" s="377"/>
      <c r="BS164" s="373"/>
      <c r="BT164" s="444" t="s">
        <v>6</v>
      </c>
      <c r="BU164" s="377"/>
      <c r="BV164" s="373"/>
      <c r="BW164" s="444"/>
      <c r="BX164" s="377"/>
      <c r="BY164" s="373"/>
      <c r="BZ164" s="444" t="s">
        <v>6</v>
      </c>
      <c r="CA164" s="377"/>
      <c r="CB164" s="373"/>
      <c r="CC164" s="444" t="s">
        <v>6</v>
      </c>
      <c r="CD164" s="377"/>
      <c r="CE164" s="373"/>
      <c r="CF164" s="444" t="s">
        <v>6</v>
      </c>
      <c r="CG164" s="377"/>
      <c r="CH164" s="373"/>
      <c r="CI164" s="444"/>
      <c r="CJ164" s="377"/>
      <c r="CK164" s="373"/>
      <c r="CL164" s="444" t="s">
        <v>6</v>
      </c>
      <c r="CM164" s="377"/>
      <c r="CN164" s="373"/>
      <c r="CO164" s="444" t="s">
        <v>6</v>
      </c>
      <c r="CP164" s="377"/>
      <c r="CQ164" s="373"/>
      <c r="CR164" s="444" t="s">
        <v>6</v>
      </c>
      <c r="CS164" s="377"/>
      <c r="CT164" s="373"/>
      <c r="CU164" s="444"/>
      <c r="CV164" s="377">
        <v>24</v>
      </c>
      <c r="CW164" s="373">
        <v>4</v>
      </c>
      <c r="CX164" s="444">
        <v>85.7</v>
      </c>
      <c r="CY164" s="377">
        <v>26</v>
      </c>
      <c r="CZ164" s="373">
        <v>3</v>
      </c>
      <c r="DA164" s="444">
        <v>89.7</v>
      </c>
      <c r="DB164" s="377">
        <v>20</v>
      </c>
      <c r="DC164" s="373">
        <v>2</v>
      </c>
      <c r="DD164" s="444">
        <v>90.9</v>
      </c>
      <c r="DE164" s="377"/>
      <c r="DF164" s="373"/>
      <c r="DG164" s="444"/>
      <c r="DH164" s="377"/>
      <c r="DI164" s="373"/>
      <c r="DJ164" s="444" t="s">
        <v>6</v>
      </c>
      <c r="DK164" s="377"/>
      <c r="DL164" s="373"/>
      <c r="DM164" s="444" t="s">
        <v>6</v>
      </c>
      <c r="DN164" s="377"/>
      <c r="DO164" s="373"/>
      <c r="DP164" s="444" t="s">
        <v>6</v>
      </c>
      <c r="DQ164" s="377"/>
      <c r="DR164" s="373"/>
      <c r="DS164" s="444"/>
      <c r="DT164" s="377"/>
      <c r="DU164" s="373"/>
      <c r="DV164" s="444" t="s">
        <v>6</v>
      </c>
      <c r="DW164" s="377"/>
      <c r="DX164" s="373"/>
      <c r="DY164" s="444" t="s">
        <v>6</v>
      </c>
      <c r="DZ164" s="377"/>
      <c r="EA164" s="373"/>
      <c r="EB164" s="444" t="s">
        <v>6</v>
      </c>
      <c r="EC164" s="377"/>
      <c r="ED164" s="373"/>
      <c r="EE164" s="444"/>
      <c r="EF164" s="377">
        <v>81</v>
      </c>
      <c r="EG164" s="373">
        <v>161</v>
      </c>
      <c r="EH164" s="444">
        <v>33.5</v>
      </c>
      <c r="EI164" s="377">
        <v>44</v>
      </c>
      <c r="EJ164" s="373">
        <v>61</v>
      </c>
      <c r="EK164" s="444">
        <v>41.9</v>
      </c>
      <c r="EL164" s="377">
        <v>42</v>
      </c>
      <c r="EM164" s="373">
        <v>23</v>
      </c>
      <c r="EN164" s="444">
        <v>64.599999999999994</v>
      </c>
      <c r="EO164" s="377"/>
      <c r="EP164" s="373"/>
      <c r="EQ164" s="444"/>
      <c r="ER164" s="377"/>
      <c r="ES164" s="373"/>
      <c r="ET164" s="444" t="s">
        <v>6</v>
      </c>
      <c r="EU164" s="377"/>
      <c r="EV164" s="373"/>
      <c r="EW164" s="444" t="s">
        <v>6</v>
      </c>
      <c r="EX164" s="377"/>
      <c r="EY164" s="373"/>
      <c r="EZ164" s="444" t="s">
        <v>6</v>
      </c>
      <c r="FA164" s="377"/>
      <c r="FB164" s="373"/>
      <c r="FC164" s="444"/>
      <c r="FD164" s="377">
        <v>1</v>
      </c>
      <c r="FE164" s="373">
        <v>1</v>
      </c>
      <c r="FF164" s="444">
        <v>50</v>
      </c>
      <c r="FG164" s="377">
        <v>7</v>
      </c>
      <c r="FH164" s="373"/>
      <c r="FI164" s="444">
        <v>100</v>
      </c>
      <c r="FJ164" s="377"/>
      <c r="FK164" s="373"/>
      <c r="FL164" s="444" t="s">
        <v>6</v>
      </c>
      <c r="FM164" s="377"/>
      <c r="FN164" s="373"/>
      <c r="FO164" s="444"/>
      <c r="FP164" s="377">
        <v>26</v>
      </c>
      <c r="FQ164" s="373">
        <v>52</v>
      </c>
      <c r="FR164" s="444">
        <v>33.299999999999997</v>
      </c>
      <c r="FS164" s="377">
        <v>16</v>
      </c>
      <c r="FT164" s="373">
        <v>19</v>
      </c>
      <c r="FU164" s="444">
        <v>45.7</v>
      </c>
      <c r="FV164" s="377">
        <v>16</v>
      </c>
      <c r="FW164" s="373">
        <v>4</v>
      </c>
      <c r="FX164" s="444">
        <v>80</v>
      </c>
      <c r="FY164" s="377"/>
      <c r="FZ164" s="373"/>
      <c r="GA164" s="444"/>
      <c r="GB164" s="377"/>
      <c r="GC164" s="373"/>
      <c r="GD164" s="444" t="s">
        <v>6</v>
      </c>
      <c r="GE164" s="377">
        <v>2</v>
      </c>
      <c r="GF164" s="373"/>
      <c r="GG164" s="444">
        <v>100</v>
      </c>
      <c r="GH164" s="377"/>
      <c r="GI164" s="373"/>
      <c r="GJ164" s="444" t="s">
        <v>6</v>
      </c>
      <c r="GK164" s="377"/>
      <c r="GL164" s="373"/>
      <c r="GM164" s="444"/>
      <c r="GN164" s="377"/>
      <c r="GO164" s="373"/>
      <c r="GP164" s="444" t="s">
        <v>6</v>
      </c>
      <c r="GQ164" s="377">
        <v>1</v>
      </c>
      <c r="GR164" s="373"/>
      <c r="GS164" s="444">
        <v>100</v>
      </c>
      <c r="GT164" s="377"/>
      <c r="GU164" s="373"/>
      <c r="GV164" s="444" t="s">
        <v>6</v>
      </c>
      <c r="GW164" s="377"/>
      <c r="GX164" s="373"/>
      <c r="GY164" s="444"/>
      <c r="GZ164" s="377"/>
      <c r="HA164" s="373"/>
      <c r="HB164" s="444" t="s">
        <v>6</v>
      </c>
      <c r="HC164" s="377"/>
      <c r="HD164" s="373"/>
      <c r="HE164" s="444" t="s">
        <v>6</v>
      </c>
      <c r="HF164" s="377"/>
      <c r="HG164" s="373"/>
      <c r="HH164" s="444" t="s">
        <v>6</v>
      </c>
      <c r="HI164" s="377"/>
      <c r="HJ164" s="373"/>
      <c r="HK164" s="444"/>
      <c r="HL164" s="377">
        <v>4</v>
      </c>
      <c r="HM164" s="373">
        <v>3</v>
      </c>
      <c r="HN164" s="444">
        <v>57.1</v>
      </c>
      <c r="HO164" s="377">
        <v>4</v>
      </c>
      <c r="HP164" s="373">
        <v>2</v>
      </c>
      <c r="HQ164" s="444">
        <v>66.7</v>
      </c>
      <c r="HR164" s="377">
        <v>3</v>
      </c>
      <c r="HS164" s="373"/>
      <c r="HT164" s="444">
        <v>100</v>
      </c>
      <c r="HU164" s="377"/>
      <c r="HV164" s="373"/>
      <c r="HW164" s="444"/>
      <c r="HX164" s="377"/>
      <c r="HY164" s="373"/>
      <c r="HZ164" s="444" t="s">
        <v>6</v>
      </c>
      <c r="IA164" s="377"/>
      <c r="IB164" s="373"/>
      <c r="IC164" s="444" t="s">
        <v>6</v>
      </c>
      <c r="ID164" s="377">
        <v>1</v>
      </c>
      <c r="IE164" s="373"/>
      <c r="IF164" s="444">
        <v>100</v>
      </c>
      <c r="IG164" s="377"/>
      <c r="IH164" s="373"/>
      <c r="II164" s="444"/>
      <c r="IJ164" s="377"/>
      <c r="IK164" s="373"/>
      <c r="IL164" s="444" t="s">
        <v>6</v>
      </c>
      <c r="IM164" s="377">
        <v>4</v>
      </c>
      <c r="IN164" s="373"/>
      <c r="IO164" s="444">
        <v>100</v>
      </c>
      <c r="IP164" s="377"/>
      <c r="IQ164" s="373"/>
      <c r="IR164" s="444" t="s">
        <v>6</v>
      </c>
      <c r="IS164" s="377"/>
      <c r="IT164" s="373"/>
      <c r="IU164" s="444"/>
      <c r="IV164" s="377">
        <v>121</v>
      </c>
      <c r="IW164" s="373">
        <v>170</v>
      </c>
      <c r="IX164" s="444">
        <v>41.6</v>
      </c>
      <c r="IY164" s="377">
        <v>88</v>
      </c>
      <c r="IZ164" s="373">
        <v>66</v>
      </c>
      <c r="JA164" s="444">
        <v>57.1</v>
      </c>
      <c r="JB164" s="377">
        <v>82</v>
      </c>
      <c r="JC164" s="373">
        <v>25</v>
      </c>
      <c r="JD164" s="444">
        <v>76.599999999999994</v>
      </c>
      <c r="JE164" s="377"/>
      <c r="JF164" s="373"/>
      <c r="JG164" s="444"/>
      <c r="JH164" s="377">
        <v>24</v>
      </c>
      <c r="JI164" s="373">
        <v>8</v>
      </c>
      <c r="JJ164" s="444">
        <v>75</v>
      </c>
      <c r="JK164" s="377">
        <v>11</v>
      </c>
      <c r="JL164" s="373">
        <v>2</v>
      </c>
      <c r="JM164" s="444">
        <v>84.6</v>
      </c>
      <c r="JN164" s="377">
        <v>12</v>
      </c>
      <c r="JO164" s="373"/>
      <c r="JP164" s="444">
        <v>100</v>
      </c>
      <c r="JQ164" s="377"/>
      <c r="JR164" s="373"/>
      <c r="JS164" s="444"/>
      <c r="JT164" s="377"/>
      <c r="JU164" s="373"/>
      <c r="JV164" s="444" t="s">
        <v>6</v>
      </c>
      <c r="JW164" s="377">
        <v>1</v>
      </c>
      <c r="JX164" s="373"/>
      <c r="JY164" s="444">
        <v>100</v>
      </c>
      <c r="JZ164" s="377"/>
      <c r="KA164" s="373"/>
      <c r="KB164" s="444" t="s">
        <v>6</v>
      </c>
      <c r="KC164" s="377"/>
      <c r="KD164" s="373"/>
      <c r="KE164" s="444"/>
      <c r="KF164" s="377">
        <v>1</v>
      </c>
      <c r="KG164" s="373"/>
      <c r="KH164" s="444">
        <v>100</v>
      </c>
      <c r="KI164" s="377"/>
      <c r="KJ164" s="373"/>
      <c r="KK164" s="444" t="s">
        <v>6</v>
      </c>
      <c r="KL164" s="377"/>
      <c r="KM164" s="373"/>
      <c r="KN164" s="444" t="s">
        <v>6</v>
      </c>
      <c r="KO164" s="377"/>
      <c r="KP164" s="373"/>
      <c r="KQ164" s="444"/>
      <c r="KR164" s="377">
        <v>27</v>
      </c>
      <c r="KS164" s="373">
        <v>13</v>
      </c>
      <c r="KT164" s="444">
        <v>67.5</v>
      </c>
      <c r="KU164" s="377">
        <v>26</v>
      </c>
      <c r="KV164" s="373">
        <v>2</v>
      </c>
      <c r="KW164" s="444">
        <v>92.9</v>
      </c>
      <c r="KX164" s="377">
        <v>15</v>
      </c>
      <c r="KY164" s="373"/>
      <c r="KZ164" s="444">
        <v>100</v>
      </c>
      <c r="LA164" s="377"/>
      <c r="LB164" s="373"/>
      <c r="LC164" s="444"/>
      <c r="LD164" s="377">
        <v>193</v>
      </c>
      <c r="LE164" s="373">
        <v>184</v>
      </c>
      <c r="LF164" s="444">
        <v>51.2</v>
      </c>
      <c r="LG164" s="377">
        <v>122</v>
      </c>
      <c r="LH164" s="373">
        <v>68</v>
      </c>
      <c r="LI164" s="444">
        <v>64.2</v>
      </c>
      <c r="LJ164" s="377">
        <v>102</v>
      </c>
      <c r="LK164" s="373">
        <v>28</v>
      </c>
      <c r="LL164" s="444">
        <v>78.5</v>
      </c>
      <c r="LM164" s="377"/>
      <c r="LN164" s="373"/>
      <c r="LO164" s="444"/>
    </row>
    <row r="165" spans="1:327" x14ac:dyDescent="0.2">
      <c r="A165" s="1001"/>
      <c r="B165" s="747" t="s">
        <v>621</v>
      </c>
      <c r="C165" s="151" t="s">
        <v>748</v>
      </c>
      <c r="D165" s="377"/>
      <c r="E165" s="373"/>
      <c r="F165" s="444" t="s">
        <v>6</v>
      </c>
      <c r="G165" s="377"/>
      <c r="H165" s="373"/>
      <c r="I165" s="444" t="s">
        <v>6</v>
      </c>
      <c r="J165" s="377"/>
      <c r="K165" s="373"/>
      <c r="L165" s="444" t="s">
        <v>6</v>
      </c>
      <c r="M165" s="377"/>
      <c r="N165" s="373"/>
      <c r="O165" s="444"/>
      <c r="P165" s="377"/>
      <c r="Q165" s="373"/>
      <c r="R165" s="444" t="s">
        <v>6</v>
      </c>
      <c r="S165" s="377"/>
      <c r="T165" s="373"/>
      <c r="U165" s="444" t="s">
        <v>6</v>
      </c>
      <c r="V165" s="377"/>
      <c r="W165" s="373"/>
      <c r="X165" s="444" t="s">
        <v>6</v>
      </c>
      <c r="Y165" s="377"/>
      <c r="Z165" s="373"/>
      <c r="AA165" s="444"/>
      <c r="AB165" s="377"/>
      <c r="AC165" s="373"/>
      <c r="AD165" s="444" t="s">
        <v>6</v>
      </c>
      <c r="AE165" s="377"/>
      <c r="AF165" s="373"/>
      <c r="AG165" s="444" t="s">
        <v>6</v>
      </c>
      <c r="AH165" s="377"/>
      <c r="AI165" s="373"/>
      <c r="AJ165" s="444" t="s">
        <v>6</v>
      </c>
      <c r="AK165" s="377"/>
      <c r="AL165" s="373"/>
      <c r="AM165" s="444"/>
      <c r="AN165" s="377">
        <v>18</v>
      </c>
      <c r="AO165" s="373"/>
      <c r="AP165" s="444">
        <v>100</v>
      </c>
      <c r="AQ165" s="377">
        <v>30</v>
      </c>
      <c r="AR165" s="373"/>
      <c r="AS165" s="444">
        <v>100</v>
      </c>
      <c r="AT165" s="377">
        <v>25</v>
      </c>
      <c r="AU165" s="373">
        <v>1</v>
      </c>
      <c r="AV165" s="444">
        <v>96.2</v>
      </c>
      <c r="AW165" s="377"/>
      <c r="AX165" s="373"/>
      <c r="AY165" s="444"/>
      <c r="AZ165" s="377">
        <v>4</v>
      </c>
      <c r="BA165" s="373"/>
      <c r="BB165" s="444">
        <v>100</v>
      </c>
      <c r="BC165" s="377">
        <v>8</v>
      </c>
      <c r="BD165" s="373"/>
      <c r="BE165" s="444">
        <v>100</v>
      </c>
      <c r="BF165" s="377">
        <v>2</v>
      </c>
      <c r="BG165" s="373"/>
      <c r="BH165" s="444">
        <v>100</v>
      </c>
      <c r="BI165" s="377"/>
      <c r="BJ165" s="373"/>
      <c r="BK165" s="444"/>
      <c r="BL165" s="377"/>
      <c r="BM165" s="373"/>
      <c r="BN165" s="444" t="s">
        <v>6</v>
      </c>
      <c r="BO165" s="377"/>
      <c r="BP165" s="373"/>
      <c r="BQ165" s="444" t="s">
        <v>6</v>
      </c>
      <c r="BR165" s="377"/>
      <c r="BS165" s="373"/>
      <c r="BT165" s="444" t="s">
        <v>6</v>
      </c>
      <c r="BU165" s="377"/>
      <c r="BV165" s="373"/>
      <c r="BW165" s="444"/>
      <c r="BX165" s="377">
        <v>1</v>
      </c>
      <c r="BY165" s="373"/>
      <c r="BZ165" s="444">
        <v>100</v>
      </c>
      <c r="CA165" s="377"/>
      <c r="CB165" s="373"/>
      <c r="CC165" s="444" t="s">
        <v>6</v>
      </c>
      <c r="CD165" s="377"/>
      <c r="CE165" s="373"/>
      <c r="CF165" s="444" t="s">
        <v>6</v>
      </c>
      <c r="CG165" s="377"/>
      <c r="CH165" s="373"/>
      <c r="CI165" s="444"/>
      <c r="CJ165" s="377"/>
      <c r="CK165" s="373"/>
      <c r="CL165" s="444" t="s">
        <v>6</v>
      </c>
      <c r="CM165" s="377"/>
      <c r="CN165" s="373"/>
      <c r="CO165" s="444" t="s">
        <v>6</v>
      </c>
      <c r="CP165" s="377"/>
      <c r="CQ165" s="373"/>
      <c r="CR165" s="444" t="s">
        <v>6</v>
      </c>
      <c r="CS165" s="377"/>
      <c r="CT165" s="373"/>
      <c r="CU165" s="444"/>
      <c r="CV165" s="377">
        <v>16</v>
      </c>
      <c r="CW165" s="373">
        <v>2</v>
      </c>
      <c r="CX165" s="444">
        <v>88.9</v>
      </c>
      <c r="CY165" s="377">
        <v>26</v>
      </c>
      <c r="CZ165" s="373">
        <v>6</v>
      </c>
      <c r="DA165" s="444">
        <v>81.3</v>
      </c>
      <c r="DB165" s="377">
        <v>25</v>
      </c>
      <c r="DC165" s="373">
        <v>3</v>
      </c>
      <c r="DD165" s="444">
        <v>89.3</v>
      </c>
      <c r="DE165" s="377"/>
      <c r="DF165" s="373"/>
      <c r="DG165" s="444"/>
      <c r="DH165" s="377">
        <v>2</v>
      </c>
      <c r="DI165" s="373"/>
      <c r="DJ165" s="444">
        <v>100</v>
      </c>
      <c r="DK165" s="377"/>
      <c r="DL165" s="373"/>
      <c r="DM165" s="444" t="s">
        <v>6</v>
      </c>
      <c r="DN165" s="377"/>
      <c r="DO165" s="373"/>
      <c r="DP165" s="444" t="s">
        <v>6</v>
      </c>
      <c r="DQ165" s="377"/>
      <c r="DR165" s="373"/>
      <c r="DS165" s="444"/>
      <c r="DT165" s="377">
        <v>1</v>
      </c>
      <c r="DU165" s="373"/>
      <c r="DV165" s="444">
        <v>100</v>
      </c>
      <c r="DW165" s="377">
        <v>1</v>
      </c>
      <c r="DX165" s="373"/>
      <c r="DY165" s="444">
        <v>100</v>
      </c>
      <c r="DZ165" s="377">
        <v>2</v>
      </c>
      <c r="EA165" s="373">
        <v>1</v>
      </c>
      <c r="EB165" s="444">
        <v>66.7</v>
      </c>
      <c r="EC165" s="377"/>
      <c r="ED165" s="373"/>
      <c r="EE165" s="444"/>
      <c r="EF165" s="377">
        <v>183</v>
      </c>
      <c r="EG165" s="373">
        <v>235</v>
      </c>
      <c r="EH165" s="444">
        <v>43.8</v>
      </c>
      <c r="EI165" s="377">
        <v>150</v>
      </c>
      <c r="EJ165" s="373">
        <v>163</v>
      </c>
      <c r="EK165" s="444">
        <v>47.9</v>
      </c>
      <c r="EL165" s="377">
        <v>127</v>
      </c>
      <c r="EM165" s="373">
        <v>130</v>
      </c>
      <c r="EN165" s="444">
        <v>49.4</v>
      </c>
      <c r="EO165" s="377"/>
      <c r="EP165" s="373"/>
      <c r="EQ165" s="444"/>
      <c r="ER165" s="377"/>
      <c r="ES165" s="373"/>
      <c r="ET165" s="444" t="s">
        <v>6</v>
      </c>
      <c r="EU165" s="377">
        <v>1</v>
      </c>
      <c r="EV165" s="373">
        <v>2</v>
      </c>
      <c r="EW165" s="444">
        <v>33.299999999999997</v>
      </c>
      <c r="EX165" s="377"/>
      <c r="EY165" s="373"/>
      <c r="EZ165" s="444" t="s">
        <v>6</v>
      </c>
      <c r="FA165" s="377"/>
      <c r="FB165" s="373"/>
      <c r="FC165" s="444"/>
      <c r="FD165" s="377"/>
      <c r="FE165" s="373">
        <v>4</v>
      </c>
      <c r="FF165" s="444">
        <v>0</v>
      </c>
      <c r="FG165" s="377">
        <v>2</v>
      </c>
      <c r="FH165" s="373">
        <v>1</v>
      </c>
      <c r="FI165" s="444">
        <v>66.7</v>
      </c>
      <c r="FJ165" s="377"/>
      <c r="FK165" s="373"/>
      <c r="FL165" s="444" t="s">
        <v>6</v>
      </c>
      <c r="FM165" s="377"/>
      <c r="FN165" s="373"/>
      <c r="FO165" s="444"/>
      <c r="FP165" s="377">
        <v>46</v>
      </c>
      <c r="FQ165" s="373">
        <v>51</v>
      </c>
      <c r="FR165" s="444">
        <v>47.4</v>
      </c>
      <c r="FS165" s="377">
        <v>26</v>
      </c>
      <c r="FT165" s="373">
        <v>38</v>
      </c>
      <c r="FU165" s="444">
        <v>40.6</v>
      </c>
      <c r="FV165" s="377">
        <v>25</v>
      </c>
      <c r="FW165" s="373">
        <v>29</v>
      </c>
      <c r="FX165" s="444">
        <v>46.3</v>
      </c>
      <c r="FY165" s="377"/>
      <c r="FZ165" s="373"/>
      <c r="GA165" s="444"/>
      <c r="GB165" s="377">
        <v>4</v>
      </c>
      <c r="GC165" s="373"/>
      <c r="GD165" s="444">
        <v>100</v>
      </c>
      <c r="GE165" s="377">
        <v>6</v>
      </c>
      <c r="GF165" s="373"/>
      <c r="GG165" s="444">
        <v>100</v>
      </c>
      <c r="GH165" s="377">
        <v>2</v>
      </c>
      <c r="GI165" s="373"/>
      <c r="GJ165" s="444">
        <v>100</v>
      </c>
      <c r="GK165" s="377"/>
      <c r="GL165" s="373"/>
      <c r="GM165" s="444"/>
      <c r="GN165" s="377">
        <v>1</v>
      </c>
      <c r="GO165" s="373"/>
      <c r="GP165" s="444">
        <v>100</v>
      </c>
      <c r="GQ165" s="377">
        <v>1</v>
      </c>
      <c r="GR165" s="373"/>
      <c r="GS165" s="444">
        <v>100</v>
      </c>
      <c r="GT165" s="377">
        <v>2</v>
      </c>
      <c r="GU165" s="373"/>
      <c r="GV165" s="444">
        <v>100</v>
      </c>
      <c r="GW165" s="377"/>
      <c r="GX165" s="373"/>
      <c r="GY165" s="444"/>
      <c r="GZ165" s="377"/>
      <c r="HA165" s="373"/>
      <c r="HB165" s="444" t="s">
        <v>6</v>
      </c>
      <c r="HC165" s="377"/>
      <c r="HD165" s="373"/>
      <c r="HE165" s="444" t="s">
        <v>6</v>
      </c>
      <c r="HF165" s="377"/>
      <c r="HG165" s="373"/>
      <c r="HH165" s="444" t="s">
        <v>6</v>
      </c>
      <c r="HI165" s="377"/>
      <c r="HJ165" s="373"/>
      <c r="HK165" s="444"/>
      <c r="HL165" s="377">
        <v>5</v>
      </c>
      <c r="HM165" s="373">
        <v>5</v>
      </c>
      <c r="HN165" s="444">
        <v>50</v>
      </c>
      <c r="HO165" s="377">
        <v>5</v>
      </c>
      <c r="HP165" s="373">
        <v>4</v>
      </c>
      <c r="HQ165" s="444">
        <v>55.6</v>
      </c>
      <c r="HR165" s="377">
        <v>6</v>
      </c>
      <c r="HS165" s="373">
        <v>3</v>
      </c>
      <c r="HT165" s="444">
        <v>66.7</v>
      </c>
      <c r="HU165" s="377"/>
      <c r="HV165" s="373"/>
      <c r="HW165" s="444"/>
      <c r="HX165" s="377">
        <v>2</v>
      </c>
      <c r="HY165" s="373"/>
      <c r="HZ165" s="444">
        <v>100</v>
      </c>
      <c r="IA165" s="377">
        <v>1</v>
      </c>
      <c r="IB165" s="373"/>
      <c r="IC165" s="444">
        <v>100</v>
      </c>
      <c r="ID165" s="377"/>
      <c r="IE165" s="373"/>
      <c r="IF165" s="444" t="s">
        <v>6</v>
      </c>
      <c r="IG165" s="377"/>
      <c r="IH165" s="373"/>
      <c r="II165" s="444"/>
      <c r="IJ165" s="377"/>
      <c r="IK165" s="373"/>
      <c r="IL165" s="444" t="s">
        <v>6</v>
      </c>
      <c r="IM165" s="377">
        <v>1</v>
      </c>
      <c r="IN165" s="373"/>
      <c r="IO165" s="444">
        <v>100</v>
      </c>
      <c r="IP165" s="377">
        <v>2</v>
      </c>
      <c r="IQ165" s="373"/>
      <c r="IR165" s="444">
        <v>100</v>
      </c>
      <c r="IS165" s="377"/>
      <c r="IT165" s="373"/>
      <c r="IU165" s="444"/>
      <c r="IV165" s="377">
        <v>233</v>
      </c>
      <c r="IW165" s="373">
        <v>242</v>
      </c>
      <c r="IX165" s="444">
        <v>49.1</v>
      </c>
      <c r="IY165" s="377">
        <v>221</v>
      </c>
      <c r="IZ165" s="373">
        <v>173</v>
      </c>
      <c r="JA165" s="444">
        <v>56.1</v>
      </c>
      <c r="JB165" s="377">
        <v>191</v>
      </c>
      <c r="JC165" s="373">
        <v>138</v>
      </c>
      <c r="JD165" s="444">
        <v>58.1</v>
      </c>
      <c r="JE165" s="377"/>
      <c r="JF165" s="373"/>
      <c r="JG165" s="444"/>
      <c r="JH165" s="377">
        <v>47</v>
      </c>
      <c r="JI165" s="373">
        <v>22</v>
      </c>
      <c r="JJ165" s="444">
        <v>68.099999999999994</v>
      </c>
      <c r="JK165" s="377">
        <v>88</v>
      </c>
      <c r="JL165" s="373">
        <v>35</v>
      </c>
      <c r="JM165" s="444">
        <v>71.5</v>
      </c>
      <c r="JN165" s="377">
        <v>93</v>
      </c>
      <c r="JO165" s="373">
        <v>33</v>
      </c>
      <c r="JP165" s="444">
        <v>73.8</v>
      </c>
      <c r="JQ165" s="377"/>
      <c r="JR165" s="373"/>
      <c r="JS165" s="444"/>
      <c r="JT165" s="377">
        <v>1</v>
      </c>
      <c r="JU165" s="373"/>
      <c r="JV165" s="444">
        <v>100</v>
      </c>
      <c r="JW165" s="377">
        <v>2</v>
      </c>
      <c r="JX165" s="373"/>
      <c r="JY165" s="444">
        <v>100</v>
      </c>
      <c r="JZ165" s="377"/>
      <c r="KA165" s="373"/>
      <c r="KB165" s="444" t="s">
        <v>6</v>
      </c>
      <c r="KC165" s="377"/>
      <c r="KD165" s="373"/>
      <c r="KE165" s="444"/>
      <c r="KF165" s="377"/>
      <c r="KG165" s="373"/>
      <c r="KH165" s="444" t="s">
        <v>6</v>
      </c>
      <c r="KI165" s="377"/>
      <c r="KJ165" s="373"/>
      <c r="KK165" s="444" t="s">
        <v>6</v>
      </c>
      <c r="KL165" s="377"/>
      <c r="KM165" s="373"/>
      <c r="KN165" s="444" t="s">
        <v>6</v>
      </c>
      <c r="KO165" s="377"/>
      <c r="KP165" s="373"/>
      <c r="KQ165" s="444"/>
      <c r="KR165" s="377">
        <v>53</v>
      </c>
      <c r="KS165" s="373">
        <v>26</v>
      </c>
      <c r="KT165" s="444">
        <v>67.099999999999994</v>
      </c>
      <c r="KU165" s="377">
        <v>97</v>
      </c>
      <c r="KV165" s="373">
        <v>39</v>
      </c>
      <c r="KW165" s="444">
        <v>71.3</v>
      </c>
      <c r="KX165" s="377">
        <v>104</v>
      </c>
      <c r="KY165" s="373">
        <v>34</v>
      </c>
      <c r="KZ165" s="444">
        <v>75.400000000000006</v>
      </c>
      <c r="LA165" s="377"/>
      <c r="LB165" s="373"/>
      <c r="LC165" s="444"/>
      <c r="LD165" s="377">
        <v>289</v>
      </c>
      <c r="LE165" s="373">
        <v>262</v>
      </c>
      <c r="LF165" s="444">
        <v>52.5</v>
      </c>
      <c r="LG165" s="377">
        <v>291</v>
      </c>
      <c r="LH165" s="373">
        <v>197</v>
      </c>
      <c r="LI165" s="444">
        <v>59.6</v>
      </c>
      <c r="LJ165" s="377">
        <v>270</v>
      </c>
      <c r="LK165" s="373">
        <v>158</v>
      </c>
      <c r="LL165" s="444">
        <v>63.1</v>
      </c>
      <c r="LM165" s="377"/>
      <c r="LN165" s="373"/>
      <c r="LO165" s="444"/>
    </row>
    <row r="166" spans="1:327" ht="13.5" thickBot="1" x14ac:dyDescent="0.25">
      <c r="A166" s="1001"/>
      <c r="B166" s="748"/>
      <c r="C166" s="156" t="s">
        <v>749</v>
      </c>
      <c r="D166" s="445"/>
      <c r="E166" s="446"/>
      <c r="F166" s="447" t="s">
        <v>6</v>
      </c>
      <c r="G166" s="445"/>
      <c r="H166" s="446"/>
      <c r="I166" s="447" t="s">
        <v>6</v>
      </c>
      <c r="J166" s="445"/>
      <c r="K166" s="446"/>
      <c r="L166" s="447" t="s">
        <v>6</v>
      </c>
      <c r="M166" s="445"/>
      <c r="N166" s="446"/>
      <c r="O166" s="447"/>
      <c r="P166" s="445"/>
      <c r="Q166" s="446"/>
      <c r="R166" s="447" t="s">
        <v>6</v>
      </c>
      <c r="S166" s="445"/>
      <c r="T166" s="446"/>
      <c r="U166" s="447" t="s">
        <v>6</v>
      </c>
      <c r="V166" s="445"/>
      <c r="W166" s="446"/>
      <c r="X166" s="447" t="s">
        <v>6</v>
      </c>
      <c r="Y166" s="445"/>
      <c r="Z166" s="446"/>
      <c r="AA166" s="447"/>
      <c r="AB166" s="445"/>
      <c r="AC166" s="446"/>
      <c r="AD166" s="447" t="s">
        <v>6</v>
      </c>
      <c r="AE166" s="445"/>
      <c r="AF166" s="446"/>
      <c r="AG166" s="447" t="s">
        <v>6</v>
      </c>
      <c r="AH166" s="445"/>
      <c r="AI166" s="446"/>
      <c r="AJ166" s="447" t="s">
        <v>6</v>
      </c>
      <c r="AK166" s="445"/>
      <c r="AL166" s="446"/>
      <c r="AM166" s="447"/>
      <c r="AN166" s="445"/>
      <c r="AO166" s="446"/>
      <c r="AP166" s="447" t="s">
        <v>6</v>
      </c>
      <c r="AQ166" s="445"/>
      <c r="AR166" s="446"/>
      <c r="AS166" s="447" t="s">
        <v>6</v>
      </c>
      <c r="AT166" s="445"/>
      <c r="AU166" s="446"/>
      <c r="AV166" s="447" t="s">
        <v>6</v>
      </c>
      <c r="AW166" s="445"/>
      <c r="AX166" s="446"/>
      <c r="AY166" s="447"/>
      <c r="AZ166" s="445"/>
      <c r="BA166" s="446"/>
      <c r="BB166" s="447" t="s">
        <v>6</v>
      </c>
      <c r="BC166" s="445"/>
      <c r="BD166" s="446"/>
      <c r="BE166" s="447" t="s">
        <v>6</v>
      </c>
      <c r="BF166" s="445"/>
      <c r="BG166" s="446"/>
      <c r="BH166" s="447" t="s">
        <v>6</v>
      </c>
      <c r="BI166" s="445"/>
      <c r="BJ166" s="446"/>
      <c r="BK166" s="447"/>
      <c r="BL166" s="445"/>
      <c r="BM166" s="446"/>
      <c r="BN166" s="447" t="s">
        <v>6</v>
      </c>
      <c r="BO166" s="445"/>
      <c r="BP166" s="446"/>
      <c r="BQ166" s="447" t="s">
        <v>6</v>
      </c>
      <c r="BR166" s="445"/>
      <c r="BS166" s="446"/>
      <c r="BT166" s="447" t="s">
        <v>6</v>
      </c>
      <c r="BU166" s="445"/>
      <c r="BV166" s="446"/>
      <c r="BW166" s="447"/>
      <c r="BX166" s="445"/>
      <c r="BY166" s="446"/>
      <c r="BZ166" s="447" t="s">
        <v>6</v>
      </c>
      <c r="CA166" s="445"/>
      <c r="CB166" s="446"/>
      <c r="CC166" s="447" t="s">
        <v>6</v>
      </c>
      <c r="CD166" s="445"/>
      <c r="CE166" s="446"/>
      <c r="CF166" s="447" t="s">
        <v>6</v>
      </c>
      <c r="CG166" s="445"/>
      <c r="CH166" s="446"/>
      <c r="CI166" s="447"/>
      <c r="CJ166" s="445"/>
      <c r="CK166" s="446"/>
      <c r="CL166" s="447" t="s">
        <v>6</v>
      </c>
      <c r="CM166" s="445"/>
      <c r="CN166" s="446"/>
      <c r="CO166" s="447" t="s">
        <v>6</v>
      </c>
      <c r="CP166" s="445"/>
      <c r="CQ166" s="446"/>
      <c r="CR166" s="447" t="s">
        <v>6</v>
      </c>
      <c r="CS166" s="445"/>
      <c r="CT166" s="446"/>
      <c r="CU166" s="447"/>
      <c r="CV166" s="445"/>
      <c r="CW166" s="446"/>
      <c r="CX166" s="447" t="s">
        <v>6</v>
      </c>
      <c r="CY166" s="445"/>
      <c r="CZ166" s="446"/>
      <c r="DA166" s="447" t="s">
        <v>6</v>
      </c>
      <c r="DB166" s="445"/>
      <c r="DC166" s="446"/>
      <c r="DD166" s="447" t="s">
        <v>6</v>
      </c>
      <c r="DE166" s="445"/>
      <c r="DF166" s="446"/>
      <c r="DG166" s="447"/>
      <c r="DH166" s="445"/>
      <c r="DI166" s="446"/>
      <c r="DJ166" s="447" t="s">
        <v>6</v>
      </c>
      <c r="DK166" s="445"/>
      <c r="DL166" s="446"/>
      <c r="DM166" s="447" t="s">
        <v>6</v>
      </c>
      <c r="DN166" s="445"/>
      <c r="DO166" s="446"/>
      <c r="DP166" s="447" t="s">
        <v>6</v>
      </c>
      <c r="DQ166" s="445"/>
      <c r="DR166" s="446"/>
      <c r="DS166" s="447"/>
      <c r="DT166" s="445"/>
      <c r="DU166" s="446"/>
      <c r="DV166" s="447" t="s">
        <v>6</v>
      </c>
      <c r="DW166" s="445"/>
      <c r="DX166" s="446"/>
      <c r="DY166" s="447" t="s">
        <v>6</v>
      </c>
      <c r="DZ166" s="445"/>
      <c r="EA166" s="446"/>
      <c r="EB166" s="447" t="s">
        <v>6</v>
      </c>
      <c r="EC166" s="445"/>
      <c r="ED166" s="446"/>
      <c r="EE166" s="447"/>
      <c r="EF166" s="445">
        <v>4</v>
      </c>
      <c r="EG166" s="446">
        <v>9</v>
      </c>
      <c r="EH166" s="447">
        <v>30.8</v>
      </c>
      <c r="EI166" s="445">
        <v>18</v>
      </c>
      <c r="EJ166" s="446">
        <v>13</v>
      </c>
      <c r="EK166" s="447">
        <v>58.1</v>
      </c>
      <c r="EL166" s="445">
        <v>10</v>
      </c>
      <c r="EM166" s="446">
        <v>13</v>
      </c>
      <c r="EN166" s="447">
        <v>43.5</v>
      </c>
      <c r="EO166" s="445"/>
      <c r="EP166" s="446"/>
      <c r="EQ166" s="447"/>
      <c r="ER166" s="445"/>
      <c r="ES166" s="446"/>
      <c r="ET166" s="447" t="s">
        <v>6</v>
      </c>
      <c r="EU166" s="445"/>
      <c r="EV166" s="446"/>
      <c r="EW166" s="447" t="s">
        <v>6</v>
      </c>
      <c r="EX166" s="445"/>
      <c r="EY166" s="446"/>
      <c r="EZ166" s="447" t="s">
        <v>6</v>
      </c>
      <c r="FA166" s="445"/>
      <c r="FB166" s="446"/>
      <c r="FC166" s="447"/>
      <c r="FD166" s="445"/>
      <c r="FE166" s="446"/>
      <c r="FF166" s="447" t="s">
        <v>6</v>
      </c>
      <c r="FG166" s="445"/>
      <c r="FH166" s="446"/>
      <c r="FI166" s="447" t="s">
        <v>6</v>
      </c>
      <c r="FJ166" s="445"/>
      <c r="FK166" s="446"/>
      <c r="FL166" s="447" t="s">
        <v>6</v>
      </c>
      <c r="FM166" s="445"/>
      <c r="FN166" s="446"/>
      <c r="FO166" s="447"/>
      <c r="FP166" s="445"/>
      <c r="FQ166" s="446"/>
      <c r="FR166" s="447" t="s">
        <v>6</v>
      </c>
      <c r="FS166" s="445"/>
      <c r="FT166" s="446"/>
      <c r="FU166" s="447" t="s">
        <v>6</v>
      </c>
      <c r="FV166" s="445"/>
      <c r="FW166" s="446"/>
      <c r="FX166" s="447" t="s">
        <v>6</v>
      </c>
      <c r="FY166" s="445"/>
      <c r="FZ166" s="446"/>
      <c r="GA166" s="447"/>
      <c r="GB166" s="445"/>
      <c r="GC166" s="446"/>
      <c r="GD166" s="447" t="s">
        <v>6</v>
      </c>
      <c r="GE166" s="445"/>
      <c r="GF166" s="446"/>
      <c r="GG166" s="447" t="s">
        <v>6</v>
      </c>
      <c r="GH166" s="445"/>
      <c r="GI166" s="446"/>
      <c r="GJ166" s="447" t="s">
        <v>6</v>
      </c>
      <c r="GK166" s="445"/>
      <c r="GL166" s="446"/>
      <c r="GM166" s="447"/>
      <c r="GN166" s="445"/>
      <c r="GO166" s="446"/>
      <c r="GP166" s="447" t="s">
        <v>6</v>
      </c>
      <c r="GQ166" s="445"/>
      <c r="GR166" s="446"/>
      <c r="GS166" s="447" t="s">
        <v>6</v>
      </c>
      <c r="GT166" s="445"/>
      <c r="GU166" s="446"/>
      <c r="GV166" s="447" t="s">
        <v>6</v>
      </c>
      <c r="GW166" s="445"/>
      <c r="GX166" s="446"/>
      <c r="GY166" s="447"/>
      <c r="GZ166" s="445"/>
      <c r="HA166" s="446"/>
      <c r="HB166" s="447" t="s">
        <v>6</v>
      </c>
      <c r="HC166" s="445"/>
      <c r="HD166" s="446"/>
      <c r="HE166" s="447" t="s">
        <v>6</v>
      </c>
      <c r="HF166" s="445"/>
      <c r="HG166" s="446"/>
      <c r="HH166" s="447" t="s">
        <v>6</v>
      </c>
      <c r="HI166" s="445"/>
      <c r="HJ166" s="446"/>
      <c r="HK166" s="447"/>
      <c r="HL166" s="445"/>
      <c r="HM166" s="446">
        <v>3</v>
      </c>
      <c r="HN166" s="447">
        <v>0</v>
      </c>
      <c r="HO166" s="445"/>
      <c r="HP166" s="446">
        <v>5</v>
      </c>
      <c r="HQ166" s="447">
        <v>0</v>
      </c>
      <c r="HR166" s="445"/>
      <c r="HS166" s="446"/>
      <c r="HT166" s="447" t="s">
        <v>6</v>
      </c>
      <c r="HU166" s="445"/>
      <c r="HV166" s="446"/>
      <c r="HW166" s="447"/>
      <c r="HX166" s="445"/>
      <c r="HY166" s="446">
        <v>1</v>
      </c>
      <c r="HZ166" s="447">
        <v>0</v>
      </c>
      <c r="IA166" s="445"/>
      <c r="IB166" s="446">
        <v>1</v>
      </c>
      <c r="IC166" s="447">
        <v>0</v>
      </c>
      <c r="ID166" s="445">
        <v>1</v>
      </c>
      <c r="IE166" s="446"/>
      <c r="IF166" s="447">
        <v>100</v>
      </c>
      <c r="IG166" s="445"/>
      <c r="IH166" s="446"/>
      <c r="II166" s="447"/>
      <c r="IJ166" s="445"/>
      <c r="IK166" s="446"/>
      <c r="IL166" s="447" t="s">
        <v>6</v>
      </c>
      <c r="IM166" s="445">
        <v>1</v>
      </c>
      <c r="IN166" s="446"/>
      <c r="IO166" s="447">
        <v>100</v>
      </c>
      <c r="IP166" s="445"/>
      <c r="IQ166" s="446"/>
      <c r="IR166" s="447" t="s">
        <v>6</v>
      </c>
      <c r="IS166" s="445"/>
      <c r="IT166" s="446"/>
      <c r="IU166" s="447"/>
      <c r="IV166" s="445">
        <v>4</v>
      </c>
      <c r="IW166" s="446">
        <v>13</v>
      </c>
      <c r="IX166" s="447">
        <v>23.5</v>
      </c>
      <c r="IY166" s="445">
        <v>19</v>
      </c>
      <c r="IZ166" s="446">
        <v>19</v>
      </c>
      <c r="JA166" s="447">
        <v>50</v>
      </c>
      <c r="JB166" s="445">
        <v>11</v>
      </c>
      <c r="JC166" s="446">
        <v>13</v>
      </c>
      <c r="JD166" s="447">
        <v>45.8</v>
      </c>
      <c r="JE166" s="445"/>
      <c r="JF166" s="446"/>
      <c r="JG166" s="447"/>
      <c r="JH166" s="445"/>
      <c r="JI166" s="446">
        <v>2</v>
      </c>
      <c r="JJ166" s="447">
        <v>0</v>
      </c>
      <c r="JK166" s="445">
        <v>5</v>
      </c>
      <c r="JL166" s="446">
        <v>4</v>
      </c>
      <c r="JM166" s="447">
        <v>55.6</v>
      </c>
      <c r="JN166" s="445">
        <v>7</v>
      </c>
      <c r="JO166" s="446">
        <v>5</v>
      </c>
      <c r="JP166" s="447">
        <v>58.3</v>
      </c>
      <c r="JQ166" s="445"/>
      <c r="JR166" s="446"/>
      <c r="JS166" s="447"/>
      <c r="JT166" s="445"/>
      <c r="JU166" s="446"/>
      <c r="JV166" s="447" t="s">
        <v>6</v>
      </c>
      <c r="JW166" s="445"/>
      <c r="JX166" s="446"/>
      <c r="JY166" s="447" t="s">
        <v>6</v>
      </c>
      <c r="JZ166" s="445"/>
      <c r="KA166" s="446"/>
      <c r="KB166" s="447" t="s">
        <v>6</v>
      </c>
      <c r="KC166" s="445"/>
      <c r="KD166" s="446"/>
      <c r="KE166" s="447"/>
      <c r="KF166" s="445"/>
      <c r="KG166" s="446"/>
      <c r="KH166" s="447" t="s">
        <v>6</v>
      </c>
      <c r="KI166" s="445"/>
      <c r="KJ166" s="446"/>
      <c r="KK166" s="447" t="s">
        <v>6</v>
      </c>
      <c r="KL166" s="445"/>
      <c r="KM166" s="446"/>
      <c r="KN166" s="447" t="s">
        <v>6</v>
      </c>
      <c r="KO166" s="445"/>
      <c r="KP166" s="446"/>
      <c r="KQ166" s="447"/>
      <c r="KR166" s="445">
        <v>3</v>
      </c>
      <c r="KS166" s="446">
        <v>2</v>
      </c>
      <c r="KT166" s="447">
        <v>60</v>
      </c>
      <c r="KU166" s="445">
        <v>8</v>
      </c>
      <c r="KV166" s="446">
        <v>4</v>
      </c>
      <c r="KW166" s="447">
        <v>66.7</v>
      </c>
      <c r="KX166" s="445">
        <v>10</v>
      </c>
      <c r="KY166" s="446">
        <v>5</v>
      </c>
      <c r="KZ166" s="447">
        <v>66.7</v>
      </c>
      <c r="LA166" s="445"/>
      <c r="LB166" s="446"/>
      <c r="LC166" s="447"/>
      <c r="LD166" s="445">
        <v>17</v>
      </c>
      <c r="LE166" s="446">
        <v>18</v>
      </c>
      <c r="LF166" s="447">
        <v>48.6</v>
      </c>
      <c r="LG166" s="445">
        <v>42</v>
      </c>
      <c r="LH166" s="446">
        <v>20</v>
      </c>
      <c r="LI166" s="447">
        <v>67.7</v>
      </c>
      <c r="LJ166" s="445">
        <v>44</v>
      </c>
      <c r="LK166" s="446">
        <v>14</v>
      </c>
      <c r="LL166" s="447">
        <v>75.900000000000006</v>
      </c>
      <c r="LM166" s="445"/>
      <c r="LN166" s="446"/>
      <c r="LO166" s="447"/>
    </row>
    <row r="167" spans="1:327" s="259" customFormat="1" ht="26.25" thickBot="1" x14ac:dyDescent="0.25">
      <c r="A167" s="1002"/>
      <c r="B167" s="751"/>
      <c r="C167" s="277" t="s">
        <v>791</v>
      </c>
      <c r="D167" s="384">
        <v>3</v>
      </c>
      <c r="E167" s="385"/>
      <c r="F167" s="451">
        <v>100</v>
      </c>
      <c r="G167" s="384">
        <v>2</v>
      </c>
      <c r="H167" s="385"/>
      <c r="I167" s="451">
        <v>100</v>
      </c>
      <c r="J167" s="384">
        <v>4</v>
      </c>
      <c r="K167" s="385">
        <v>1</v>
      </c>
      <c r="L167" s="451">
        <v>80</v>
      </c>
      <c r="M167" s="384"/>
      <c r="N167" s="385"/>
      <c r="O167" s="451"/>
      <c r="P167" s="384"/>
      <c r="Q167" s="385"/>
      <c r="R167" s="451" t="s">
        <v>6</v>
      </c>
      <c r="S167" s="384">
        <v>2</v>
      </c>
      <c r="T167" s="385"/>
      <c r="U167" s="451">
        <v>100</v>
      </c>
      <c r="V167" s="384">
        <v>4</v>
      </c>
      <c r="W167" s="385">
        <v>1</v>
      </c>
      <c r="X167" s="451">
        <v>80</v>
      </c>
      <c r="Y167" s="384"/>
      <c r="Z167" s="385"/>
      <c r="AA167" s="451"/>
      <c r="AB167" s="384">
        <v>3</v>
      </c>
      <c r="AC167" s="385"/>
      <c r="AD167" s="451">
        <v>100</v>
      </c>
      <c r="AE167" s="384"/>
      <c r="AF167" s="385"/>
      <c r="AG167" s="451" t="s">
        <v>6</v>
      </c>
      <c r="AH167" s="384"/>
      <c r="AI167" s="385"/>
      <c r="AJ167" s="451" t="s">
        <v>6</v>
      </c>
      <c r="AK167" s="384"/>
      <c r="AL167" s="385"/>
      <c r="AM167" s="451"/>
      <c r="AN167" s="384">
        <v>118</v>
      </c>
      <c r="AO167" s="385">
        <v>15</v>
      </c>
      <c r="AP167" s="451">
        <v>88.7</v>
      </c>
      <c r="AQ167" s="384">
        <v>130</v>
      </c>
      <c r="AR167" s="385">
        <v>10</v>
      </c>
      <c r="AS167" s="451">
        <v>92.9</v>
      </c>
      <c r="AT167" s="384">
        <v>159</v>
      </c>
      <c r="AU167" s="385">
        <v>16</v>
      </c>
      <c r="AV167" s="451">
        <v>90.9</v>
      </c>
      <c r="AW167" s="384"/>
      <c r="AX167" s="385"/>
      <c r="AY167" s="451"/>
      <c r="AZ167" s="384">
        <v>42</v>
      </c>
      <c r="BA167" s="385">
        <v>11</v>
      </c>
      <c r="BB167" s="451">
        <v>79.2</v>
      </c>
      <c r="BC167" s="384">
        <v>40</v>
      </c>
      <c r="BD167" s="385">
        <v>8</v>
      </c>
      <c r="BE167" s="451">
        <v>83.3</v>
      </c>
      <c r="BF167" s="384">
        <v>53</v>
      </c>
      <c r="BG167" s="385">
        <v>6</v>
      </c>
      <c r="BH167" s="451">
        <v>89.8</v>
      </c>
      <c r="BI167" s="384"/>
      <c r="BJ167" s="385"/>
      <c r="BK167" s="451"/>
      <c r="BL167" s="384">
        <v>1</v>
      </c>
      <c r="BM167" s="385"/>
      <c r="BN167" s="451">
        <v>100</v>
      </c>
      <c r="BO167" s="384"/>
      <c r="BP167" s="385"/>
      <c r="BQ167" s="451" t="s">
        <v>6</v>
      </c>
      <c r="BR167" s="384">
        <v>1</v>
      </c>
      <c r="BS167" s="385"/>
      <c r="BT167" s="451">
        <v>100</v>
      </c>
      <c r="BU167" s="384"/>
      <c r="BV167" s="385"/>
      <c r="BW167" s="451"/>
      <c r="BX167" s="384">
        <v>1</v>
      </c>
      <c r="BY167" s="385"/>
      <c r="BZ167" s="451">
        <v>100</v>
      </c>
      <c r="CA167" s="384"/>
      <c r="CB167" s="385"/>
      <c r="CC167" s="451" t="s">
        <v>6</v>
      </c>
      <c r="CD167" s="384"/>
      <c r="CE167" s="385"/>
      <c r="CF167" s="451" t="s">
        <v>6</v>
      </c>
      <c r="CG167" s="384"/>
      <c r="CH167" s="385"/>
      <c r="CI167" s="451"/>
      <c r="CJ167" s="384"/>
      <c r="CK167" s="385"/>
      <c r="CL167" s="451" t="s">
        <v>6</v>
      </c>
      <c r="CM167" s="384"/>
      <c r="CN167" s="385"/>
      <c r="CO167" s="451" t="s">
        <v>6</v>
      </c>
      <c r="CP167" s="384"/>
      <c r="CQ167" s="385"/>
      <c r="CR167" s="451" t="s">
        <v>6</v>
      </c>
      <c r="CS167" s="384"/>
      <c r="CT167" s="385"/>
      <c r="CU167" s="451"/>
      <c r="CV167" s="384">
        <v>189</v>
      </c>
      <c r="CW167" s="385">
        <v>97</v>
      </c>
      <c r="CX167" s="451">
        <v>66.099999999999994</v>
      </c>
      <c r="CY167" s="384">
        <v>217</v>
      </c>
      <c r="CZ167" s="385">
        <v>100</v>
      </c>
      <c r="DA167" s="451">
        <v>68.5</v>
      </c>
      <c r="DB167" s="384">
        <v>199</v>
      </c>
      <c r="DC167" s="385">
        <v>50</v>
      </c>
      <c r="DD167" s="451">
        <v>79.900000000000006</v>
      </c>
      <c r="DE167" s="384"/>
      <c r="DF167" s="385"/>
      <c r="DG167" s="451"/>
      <c r="DH167" s="384">
        <v>8</v>
      </c>
      <c r="DI167" s="385">
        <v>1</v>
      </c>
      <c r="DJ167" s="451">
        <v>88.9</v>
      </c>
      <c r="DK167" s="384">
        <v>4</v>
      </c>
      <c r="DL167" s="385"/>
      <c r="DM167" s="451">
        <v>100</v>
      </c>
      <c r="DN167" s="384">
        <v>3</v>
      </c>
      <c r="DO167" s="385">
        <v>1</v>
      </c>
      <c r="DP167" s="451">
        <v>75</v>
      </c>
      <c r="DQ167" s="384"/>
      <c r="DR167" s="385"/>
      <c r="DS167" s="451"/>
      <c r="DT167" s="384">
        <v>3</v>
      </c>
      <c r="DU167" s="385"/>
      <c r="DV167" s="451">
        <v>100</v>
      </c>
      <c r="DW167" s="384">
        <v>3</v>
      </c>
      <c r="DX167" s="385">
        <v>2</v>
      </c>
      <c r="DY167" s="451">
        <v>60</v>
      </c>
      <c r="DZ167" s="384">
        <v>10</v>
      </c>
      <c r="EA167" s="385">
        <v>4</v>
      </c>
      <c r="EB167" s="451">
        <v>71.400000000000006</v>
      </c>
      <c r="EC167" s="384"/>
      <c r="ED167" s="385"/>
      <c r="EE167" s="451"/>
      <c r="EF167" s="384">
        <v>1388</v>
      </c>
      <c r="EG167" s="385">
        <v>3578</v>
      </c>
      <c r="EH167" s="451">
        <v>28</v>
      </c>
      <c r="EI167" s="384">
        <v>1367</v>
      </c>
      <c r="EJ167" s="385">
        <v>2740</v>
      </c>
      <c r="EK167" s="451">
        <v>33.299999999999997</v>
      </c>
      <c r="EL167" s="384">
        <v>983</v>
      </c>
      <c r="EM167" s="385">
        <v>1933</v>
      </c>
      <c r="EN167" s="451">
        <v>33.700000000000003</v>
      </c>
      <c r="EO167" s="384"/>
      <c r="EP167" s="385"/>
      <c r="EQ167" s="451"/>
      <c r="ER167" s="384">
        <v>7</v>
      </c>
      <c r="ES167" s="385">
        <v>4</v>
      </c>
      <c r="ET167" s="451">
        <v>63.6</v>
      </c>
      <c r="EU167" s="384">
        <v>9</v>
      </c>
      <c r="EV167" s="385">
        <v>7</v>
      </c>
      <c r="EW167" s="451">
        <v>56.3</v>
      </c>
      <c r="EX167" s="384">
        <v>5</v>
      </c>
      <c r="EY167" s="385">
        <v>4</v>
      </c>
      <c r="EZ167" s="451">
        <v>55.6</v>
      </c>
      <c r="FA167" s="384"/>
      <c r="FB167" s="385"/>
      <c r="FC167" s="451"/>
      <c r="FD167" s="384">
        <v>30</v>
      </c>
      <c r="FE167" s="385">
        <v>67</v>
      </c>
      <c r="FF167" s="451">
        <v>30.9</v>
      </c>
      <c r="FG167" s="384">
        <v>31</v>
      </c>
      <c r="FH167" s="385">
        <v>65</v>
      </c>
      <c r="FI167" s="451">
        <v>32.299999999999997</v>
      </c>
      <c r="FJ167" s="384">
        <v>10</v>
      </c>
      <c r="FK167" s="385">
        <v>57</v>
      </c>
      <c r="FL167" s="451">
        <v>14.9</v>
      </c>
      <c r="FM167" s="384"/>
      <c r="FN167" s="385"/>
      <c r="FO167" s="451"/>
      <c r="FP167" s="384">
        <v>357</v>
      </c>
      <c r="FQ167" s="385">
        <v>806</v>
      </c>
      <c r="FR167" s="451">
        <v>30.7</v>
      </c>
      <c r="FS167" s="384">
        <v>358</v>
      </c>
      <c r="FT167" s="385">
        <v>901</v>
      </c>
      <c r="FU167" s="451">
        <v>28.4</v>
      </c>
      <c r="FV167" s="384">
        <v>281</v>
      </c>
      <c r="FW167" s="385">
        <v>424</v>
      </c>
      <c r="FX167" s="451">
        <v>39.9</v>
      </c>
      <c r="FY167" s="384"/>
      <c r="FZ167" s="385"/>
      <c r="GA167" s="451"/>
      <c r="GB167" s="384">
        <v>35</v>
      </c>
      <c r="GC167" s="385">
        <v>1</v>
      </c>
      <c r="GD167" s="451">
        <v>97.2</v>
      </c>
      <c r="GE167" s="384">
        <v>35</v>
      </c>
      <c r="GF167" s="385">
        <v>1</v>
      </c>
      <c r="GG167" s="451">
        <v>97.2</v>
      </c>
      <c r="GH167" s="384">
        <v>24</v>
      </c>
      <c r="GI167" s="385">
        <v>1</v>
      </c>
      <c r="GJ167" s="451">
        <v>96</v>
      </c>
      <c r="GK167" s="384"/>
      <c r="GL167" s="385"/>
      <c r="GM167" s="451"/>
      <c r="GN167" s="384">
        <v>18</v>
      </c>
      <c r="GO167" s="385">
        <v>7</v>
      </c>
      <c r="GP167" s="451">
        <v>72</v>
      </c>
      <c r="GQ167" s="384">
        <v>20</v>
      </c>
      <c r="GR167" s="385">
        <v>13</v>
      </c>
      <c r="GS167" s="451">
        <v>60.6</v>
      </c>
      <c r="GT167" s="384">
        <v>13</v>
      </c>
      <c r="GU167" s="385">
        <v>17</v>
      </c>
      <c r="GV167" s="451">
        <v>43.3</v>
      </c>
      <c r="GW167" s="384"/>
      <c r="GX167" s="385"/>
      <c r="GY167" s="451"/>
      <c r="GZ167" s="384">
        <v>5</v>
      </c>
      <c r="HA167" s="385">
        <v>1</v>
      </c>
      <c r="HB167" s="451">
        <v>83.3</v>
      </c>
      <c r="HC167" s="384">
        <v>2</v>
      </c>
      <c r="HD167" s="385">
        <v>1</v>
      </c>
      <c r="HE167" s="451">
        <v>66.7</v>
      </c>
      <c r="HF167" s="384">
        <v>2</v>
      </c>
      <c r="HG167" s="385"/>
      <c r="HH167" s="451">
        <v>100</v>
      </c>
      <c r="HI167" s="384"/>
      <c r="HJ167" s="385"/>
      <c r="HK167" s="451"/>
      <c r="HL167" s="384">
        <v>46</v>
      </c>
      <c r="HM167" s="385">
        <v>174</v>
      </c>
      <c r="HN167" s="451">
        <v>20.9</v>
      </c>
      <c r="HO167" s="384">
        <v>36</v>
      </c>
      <c r="HP167" s="385">
        <v>122</v>
      </c>
      <c r="HQ167" s="451">
        <v>22.8</v>
      </c>
      <c r="HR167" s="384">
        <v>38</v>
      </c>
      <c r="HS167" s="385">
        <v>79</v>
      </c>
      <c r="HT167" s="451">
        <v>32.5</v>
      </c>
      <c r="HU167" s="384"/>
      <c r="HV167" s="385"/>
      <c r="HW167" s="451"/>
      <c r="HX167" s="384">
        <v>39</v>
      </c>
      <c r="HY167" s="385">
        <v>1</v>
      </c>
      <c r="HZ167" s="451">
        <v>97.5</v>
      </c>
      <c r="IA167" s="384">
        <v>12</v>
      </c>
      <c r="IB167" s="385">
        <v>6</v>
      </c>
      <c r="IC167" s="451">
        <v>66.7</v>
      </c>
      <c r="ID167" s="384">
        <v>8</v>
      </c>
      <c r="IE167" s="385"/>
      <c r="IF167" s="451">
        <v>100</v>
      </c>
      <c r="IG167" s="384"/>
      <c r="IH167" s="385"/>
      <c r="II167" s="451"/>
      <c r="IJ167" s="384">
        <v>10</v>
      </c>
      <c r="IK167" s="385">
        <v>3</v>
      </c>
      <c r="IL167" s="451">
        <v>76.900000000000006</v>
      </c>
      <c r="IM167" s="384">
        <v>12</v>
      </c>
      <c r="IN167" s="385">
        <v>2</v>
      </c>
      <c r="IO167" s="451">
        <v>85.7</v>
      </c>
      <c r="IP167" s="384">
        <v>8</v>
      </c>
      <c r="IQ167" s="385">
        <v>1</v>
      </c>
      <c r="IR167" s="451">
        <v>88.9</v>
      </c>
      <c r="IS167" s="384"/>
      <c r="IT167" s="385"/>
      <c r="IU167" s="451"/>
      <c r="IV167" s="384">
        <v>1863</v>
      </c>
      <c r="IW167" s="385">
        <v>3878</v>
      </c>
      <c r="IX167" s="451">
        <v>32.5</v>
      </c>
      <c r="IY167" s="384">
        <v>1840</v>
      </c>
      <c r="IZ167" s="385">
        <v>2997</v>
      </c>
      <c r="JA167" s="451">
        <v>38</v>
      </c>
      <c r="JB167" s="384">
        <v>1451</v>
      </c>
      <c r="JC167" s="385">
        <v>2103</v>
      </c>
      <c r="JD167" s="451">
        <v>40.799999999999997</v>
      </c>
      <c r="JE167" s="384"/>
      <c r="JF167" s="385"/>
      <c r="JG167" s="451"/>
      <c r="JH167" s="384">
        <v>353</v>
      </c>
      <c r="JI167" s="385">
        <v>528</v>
      </c>
      <c r="JJ167" s="451">
        <v>40.1</v>
      </c>
      <c r="JK167" s="384">
        <v>478</v>
      </c>
      <c r="JL167" s="385">
        <v>435</v>
      </c>
      <c r="JM167" s="451">
        <v>52.4</v>
      </c>
      <c r="JN167" s="384">
        <v>360</v>
      </c>
      <c r="JO167" s="385">
        <v>292</v>
      </c>
      <c r="JP167" s="451">
        <v>55.2</v>
      </c>
      <c r="JQ167" s="384"/>
      <c r="JR167" s="385"/>
      <c r="JS167" s="451"/>
      <c r="JT167" s="384">
        <v>13</v>
      </c>
      <c r="JU167" s="385">
        <v>1</v>
      </c>
      <c r="JV167" s="451">
        <v>92.9</v>
      </c>
      <c r="JW167" s="384">
        <v>18</v>
      </c>
      <c r="JX167" s="385">
        <v>4</v>
      </c>
      <c r="JY167" s="451">
        <v>81.8</v>
      </c>
      <c r="JZ167" s="384">
        <v>10</v>
      </c>
      <c r="KA167" s="385"/>
      <c r="KB167" s="451">
        <v>100</v>
      </c>
      <c r="KC167" s="384"/>
      <c r="KD167" s="385"/>
      <c r="KE167" s="451"/>
      <c r="KF167" s="384">
        <v>4</v>
      </c>
      <c r="KG167" s="385">
        <v>3</v>
      </c>
      <c r="KH167" s="451">
        <v>57.1</v>
      </c>
      <c r="KI167" s="384">
        <v>2</v>
      </c>
      <c r="KJ167" s="385">
        <v>1</v>
      </c>
      <c r="KK167" s="451">
        <v>66.7</v>
      </c>
      <c r="KL167" s="384">
        <v>1</v>
      </c>
      <c r="KM167" s="385">
        <v>1</v>
      </c>
      <c r="KN167" s="451">
        <v>50</v>
      </c>
      <c r="KO167" s="384"/>
      <c r="KP167" s="385"/>
      <c r="KQ167" s="451"/>
      <c r="KR167" s="384">
        <v>417</v>
      </c>
      <c r="KS167" s="385">
        <v>584</v>
      </c>
      <c r="KT167" s="451">
        <v>41.7</v>
      </c>
      <c r="KU167" s="384">
        <v>556</v>
      </c>
      <c r="KV167" s="385">
        <v>481</v>
      </c>
      <c r="KW167" s="451">
        <v>53.6</v>
      </c>
      <c r="KX167" s="384">
        <v>427</v>
      </c>
      <c r="KY167" s="385">
        <v>321</v>
      </c>
      <c r="KZ167" s="451">
        <v>57.1</v>
      </c>
      <c r="LA167" s="384"/>
      <c r="LB167" s="385"/>
      <c r="LC167" s="451"/>
      <c r="LD167" s="384">
        <v>4360</v>
      </c>
      <c r="LE167" s="385">
        <v>4310</v>
      </c>
      <c r="LF167" s="451">
        <v>50.3</v>
      </c>
      <c r="LG167" s="384">
        <v>2861</v>
      </c>
      <c r="LH167" s="385">
        <v>3406</v>
      </c>
      <c r="LI167" s="451">
        <v>45.7</v>
      </c>
      <c r="LJ167" s="384">
        <v>3082</v>
      </c>
      <c r="LK167" s="385">
        <v>2452</v>
      </c>
      <c r="LL167" s="451">
        <v>55.7</v>
      </c>
      <c r="LM167" s="384"/>
      <c r="LN167" s="385"/>
      <c r="LO167" s="451"/>
    </row>
    <row r="168" spans="1:327" x14ac:dyDescent="0.2">
      <c r="A168" s="1000" t="s">
        <v>605</v>
      </c>
      <c r="B168" s="749"/>
      <c r="C168" s="247" t="s">
        <v>606</v>
      </c>
      <c r="D168" s="441">
        <v>1</v>
      </c>
      <c r="E168" s="442"/>
      <c r="F168" s="443">
        <v>100</v>
      </c>
      <c r="G168" s="441">
        <v>1</v>
      </c>
      <c r="H168" s="442"/>
      <c r="I168" s="443">
        <v>100</v>
      </c>
      <c r="J168" s="441">
        <v>1</v>
      </c>
      <c r="K168" s="442"/>
      <c r="L168" s="443">
        <v>100</v>
      </c>
      <c r="M168" s="441"/>
      <c r="N168" s="442"/>
      <c r="O168" s="443"/>
      <c r="P168" s="441">
        <v>1</v>
      </c>
      <c r="Q168" s="442"/>
      <c r="R168" s="443">
        <v>100</v>
      </c>
      <c r="S168" s="441"/>
      <c r="T168" s="442"/>
      <c r="U168" s="443" t="s">
        <v>6</v>
      </c>
      <c r="V168" s="441">
        <v>1</v>
      </c>
      <c r="W168" s="442"/>
      <c r="X168" s="443">
        <v>100</v>
      </c>
      <c r="Y168" s="441"/>
      <c r="Z168" s="442"/>
      <c r="AA168" s="443"/>
      <c r="AB168" s="441"/>
      <c r="AC168" s="442"/>
      <c r="AD168" s="443" t="s">
        <v>6</v>
      </c>
      <c r="AE168" s="441"/>
      <c r="AF168" s="442"/>
      <c r="AG168" s="443" t="s">
        <v>6</v>
      </c>
      <c r="AH168" s="441"/>
      <c r="AI168" s="442"/>
      <c r="AJ168" s="443" t="s">
        <v>6</v>
      </c>
      <c r="AK168" s="441"/>
      <c r="AL168" s="442"/>
      <c r="AM168" s="443"/>
      <c r="AN168" s="441">
        <v>2</v>
      </c>
      <c r="AO168" s="442">
        <v>2</v>
      </c>
      <c r="AP168" s="443">
        <v>50</v>
      </c>
      <c r="AQ168" s="441">
        <v>3</v>
      </c>
      <c r="AR168" s="442"/>
      <c r="AS168" s="443">
        <v>100</v>
      </c>
      <c r="AT168" s="441">
        <v>4</v>
      </c>
      <c r="AU168" s="442">
        <v>1</v>
      </c>
      <c r="AV168" s="443">
        <v>80</v>
      </c>
      <c r="AW168" s="441"/>
      <c r="AX168" s="442"/>
      <c r="AY168" s="443"/>
      <c r="AZ168" s="441">
        <v>2</v>
      </c>
      <c r="BA168" s="442">
        <v>2</v>
      </c>
      <c r="BB168" s="443">
        <v>50</v>
      </c>
      <c r="BC168" s="441">
        <v>3</v>
      </c>
      <c r="BD168" s="442"/>
      <c r="BE168" s="443">
        <v>100</v>
      </c>
      <c r="BF168" s="441">
        <v>4</v>
      </c>
      <c r="BG168" s="442">
        <v>1</v>
      </c>
      <c r="BH168" s="443">
        <v>80</v>
      </c>
      <c r="BI168" s="441"/>
      <c r="BJ168" s="442"/>
      <c r="BK168" s="443"/>
      <c r="BL168" s="441"/>
      <c r="BM168" s="442"/>
      <c r="BN168" s="443" t="s">
        <v>6</v>
      </c>
      <c r="BO168" s="441"/>
      <c r="BP168" s="442"/>
      <c r="BQ168" s="443" t="s">
        <v>6</v>
      </c>
      <c r="BR168" s="441">
        <v>1</v>
      </c>
      <c r="BS168" s="442"/>
      <c r="BT168" s="443">
        <v>100</v>
      </c>
      <c r="BU168" s="441"/>
      <c r="BV168" s="442"/>
      <c r="BW168" s="443"/>
      <c r="BX168" s="441"/>
      <c r="BY168" s="442"/>
      <c r="BZ168" s="443" t="s">
        <v>6</v>
      </c>
      <c r="CA168" s="441"/>
      <c r="CB168" s="442"/>
      <c r="CC168" s="443" t="s">
        <v>6</v>
      </c>
      <c r="CD168" s="441"/>
      <c r="CE168" s="442"/>
      <c r="CF168" s="443" t="s">
        <v>6</v>
      </c>
      <c r="CG168" s="441"/>
      <c r="CH168" s="442"/>
      <c r="CI168" s="443"/>
      <c r="CJ168" s="441"/>
      <c r="CK168" s="442"/>
      <c r="CL168" s="443" t="s">
        <v>6</v>
      </c>
      <c r="CM168" s="441"/>
      <c r="CN168" s="442"/>
      <c r="CO168" s="443" t="s">
        <v>6</v>
      </c>
      <c r="CP168" s="441"/>
      <c r="CQ168" s="442"/>
      <c r="CR168" s="443" t="s">
        <v>6</v>
      </c>
      <c r="CS168" s="441"/>
      <c r="CT168" s="442"/>
      <c r="CU168" s="443"/>
      <c r="CV168" s="441">
        <v>2</v>
      </c>
      <c r="CW168" s="442"/>
      <c r="CX168" s="443">
        <v>100</v>
      </c>
      <c r="CY168" s="441"/>
      <c r="CZ168" s="442"/>
      <c r="DA168" s="443" t="s">
        <v>6</v>
      </c>
      <c r="DB168" s="441"/>
      <c r="DC168" s="442"/>
      <c r="DD168" s="443" t="s">
        <v>6</v>
      </c>
      <c r="DE168" s="441"/>
      <c r="DF168" s="442"/>
      <c r="DG168" s="443"/>
      <c r="DH168" s="441"/>
      <c r="DI168" s="442"/>
      <c r="DJ168" s="443" t="s">
        <v>6</v>
      </c>
      <c r="DK168" s="441"/>
      <c r="DL168" s="442"/>
      <c r="DM168" s="443" t="s">
        <v>6</v>
      </c>
      <c r="DN168" s="441"/>
      <c r="DO168" s="442"/>
      <c r="DP168" s="443" t="s">
        <v>6</v>
      </c>
      <c r="DQ168" s="441"/>
      <c r="DR168" s="442"/>
      <c r="DS168" s="443"/>
      <c r="DT168" s="441">
        <v>1</v>
      </c>
      <c r="DU168" s="442"/>
      <c r="DV168" s="443">
        <v>100</v>
      </c>
      <c r="DW168" s="441">
        <v>1</v>
      </c>
      <c r="DX168" s="442"/>
      <c r="DY168" s="443">
        <v>100</v>
      </c>
      <c r="DZ168" s="441">
        <v>2</v>
      </c>
      <c r="EA168" s="442"/>
      <c r="EB168" s="443">
        <v>100</v>
      </c>
      <c r="EC168" s="441"/>
      <c r="ED168" s="442"/>
      <c r="EE168" s="443"/>
      <c r="EF168" s="441">
        <v>19</v>
      </c>
      <c r="EG168" s="442">
        <v>9</v>
      </c>
      <c r="EH168" s="443">
        <v>67.900000000000006</v>
      </c>
      <c r="EI168" s="441"/>
      <c r="EJ168" s="442">
        <v>5</v>
      </c>
      <c r="EK168" s="443">
        <v>0</v>
      </c>
      <c r="EL168" s="441">
        <v>74</v>
      </c>
      <c r="EM168" s="442">
        <v>3</v>
      </c>
      <c r="EN168" s="443">
        <v>96.1</v>
      </c>
      <c r="EO168" s="441"/>
      <c r="EP168" s="442"/>
      <c r="EQ168" s="443"/>
      <c r="ER168" s="441">
        <v>17</v>
      </c>
      <c r="ES168" s="442">
        <v>6</v>
      </c>
      <c r="ET168" s="443">
        <v>73.900000000000006</v>
      </c>
      <c r="EU168" s="441"/>
      <c r="EV168" s="442"/>
      <c r="EW168" s="443" t="s">
        <v>6</v>
      </c>
      <c r="EX168" s="441"/>
      <c r="EY168" s="442"/>
      <c r="EZ168" s="443" t="s">
        <v>6</v>
      </c>
      <c r="FA168" s="441"/>
      <c r="FB168" s="442"/>
      <c r="FC168" s="443"/>
      <c r="FD168" s="441"/>
      <c r="FE168" s="442"/>
      <c r="FF168" s="443" t="s">
        <v>6</v>
      </c>
      <c r="FG168" s="441"/>
      <c r="FH168" s="442"/>
      <c r="FI168" s="443" t="s">
        <v>6</v>
      </c>
      <c r="FJ168" s="441"/>
      <c r="FK168" s="442"/>
      <c r="FL168" s="443" t="s">
        <v>6</v>
      </c>
      <c r="FM168" s="441"/>
      <c r="FN168" s="442"/>
      <c r="FO168" s="443"/>
      <c r="FP168" s="441">
        <v>1</v>
      </c>
      <c r="FQ168" s="442">
        <v>2</v>
      </c>
      <c r="FR168" s="443">
        <v>33.299999999999997</v>
      </c>
      <c r="FS168" s="441"/>
      <c r="FT168" s="442"/>
      <c r="FU168" s="443" t="s">
        <v>6</v>
      </c>
      <c r="FV168" s="441"/>
      <c r="FW168" s="442">
        <v>2</v>
      </c>
      <c r="FX168" s="443">
        <v>0</v>
      </c>
      <c r="FY168" s="441"/>
      <c r="FZ168" s="442"/>
      <c r="GA168" s="443"/>
      <c r="GB168" s="441">
        <v>1</v>
      </c>
      <c r="GC168" s="442"/>
      <c r="GD168" s="443">
        <v>100</v>
      </c>
      <c r="GE168" s="441"/>
      <c r="GF168" s="442"/>
      <c r="GG168" s="443" t="s">
        <v>6</v>
      </c>
      <c r="GH168" s="441">
        <v>2</v>
      </c>
      <c r="GI168" s="442">
        <v>1</v>
      </c>
      <c r="GJ168" s="443">
        <v>66.7</v>
      </c>
      <c r="GK168" s="441"/>
      <c r="GL168" s="442"/>
      <c r="GM168" s="443"/>
      <c r="GN168" s="441"/>
      <c r="GO168" s="442"/>
      <c r="GP168" s="443" t="s">
        <v>6</v>
      </c>
      <c r="GQ168" s="441"/>
      <c r="GR168" s="442"/>
      <c r="GS168" s="443" t="s">
        <v>6</v>
      </c>
      <c r="GT168" s="441"/>
      <c r="GU168" s="442"/>
      <c r="GV168" s="443" t="s">
        <v>6</v>
      </c>
      <c r="GW168" s="441"/>
      <c r="GX168" s="442"/>
      <c r="GY168" s="443"/>
      <c r="GZ168" s="441"/>
      <c r="HA168" s="442"/>
      <c r="HB168" s="443" t="s">
        <v>6</v>
      </c>
      <c r="HC168" s="441"/>
      <c r="HD168" s="442"/>
      <c r="HE168" s="443" t="s">
        <v>6</v>
      </c>
      <c r="HF168" s="441"/>
      <c r="HG168" s="442"/>
      <c r="HH168" s="443" t="s">
        <v>6</v>
      </c>
      <c r="HI168" s="441"/>
      <c r="HJ168" s="442"/>
      <c r="HK168" s="443"/>
      <c r="HL168" s="441"/>
      <c r="HM168" s="442"/>
      <c r="HN168" s="443" t="s">
        <v>6</v>
      </c>
      <c r="HO168" s="441">
        <v>1</v>
      </c>
      <c r="HP168" s="442"/>
      <c r="HQ168" s="443">
        <v>100</v>
      </c>
      <c r="HR168" s="441">
        <v>1</v>
      </c>
      <c r="HS168" s="442"/>
      <c r="HT168" s="443">
        <v>100</v>
      </c>
      <c r="HU168" s="441"/>
      <c r="HV168" s="442"/>
      <c r="HW168" s="443"/>
      <c r="HX168" s="441">
        <v>4</v>
      </c>
      <c r="HY168" s="442"/>
      <c r="HZ168" s="443">
        <v>100</v>
      </c>
      <c r="IA168" s="441"/>
      <c r="IB168" s="442"/>
      <c r="IC168" s="443" t="s">
        <v>6</v>
      </c>
      <c r="ID168" s="441"/>
      <c r="IE168" s="442"/>
      <c r="IF168" s="443" t="s">
        <v>6</v>
      </c>
      <c r="IG168" s="441"/>
      <c r="IH168" s="442"/>
      <c r="II168" s="443"/>
      <c r="IJ168" s="441"/>
      <c r="IK168" s="442"/>
      <c r="IL168" s="443" t="s">
        <v>6</v>
      </c>
      <c r="IM168" s="441"/>
      <c r="IN168" s="442"/>
      <c r="IO168" s="443" t="s">
        <v>6</v>
      </c>
      <c r="IP168" s="441"/>
      <c r="IQ168" s="442"/>
      <c r="IR168" s="443" t="s">
        <v>6</v>
      </c>
      <c r="IS168" s="441"/>
      <c r="IT168" s="442"/>
      <c r="IU168" s="443"/>
      <c r="IV168" s="441">
        <v>30</v>
      </c>
      <c r="IW168" s="442">
        <v>11</v>
      </c>
      <c r="IX168" s="443">
        <v>73.2</v>
      </c>
      <c r="IY168" s="441">
        <v>6</v>
      </c>
      <c r="IZ168" s="442">
        <v>5</v>
      </c>
      <c r="JA168" s="443">
        <v>54.5</v>
      </c>
      <c r="JB168" s="441">
        <v>84</v>
      </c>
      <c r="JC168" s="442">
        <v>5</v>
      </c>
      <c r="JD168" s="443">
        <v>94.4</v>
      </c>
      <c r="JE168" s="441"/>
      <c r="JF168" s="442"/>
      <c r="JG168" s="443"/>
      <c r="JH168" s="441">
        <v>18</v>
      </c>
      <c r="JI168" s="442">
        <v>5</v>
      </c>
      <c r="JJ168" s="443">
        <v>78.3</v>
      </c>
      <c r="JK168" s="441">
        <v>3</v>
      </c>
      <c r="JL168" s="442">
        <v>1</v>
      </c>
      <c r="JM168" s="443">
        <v>75</v>
      </c>
      <c r="JN168" s="441">
        <v>47</v>
      </c>
      <c r="JO168" s="442"/>
      <c r="JP168" s="443">
        <v>100</v>
      </c>
      <c r="JQ168" s="441"/>
      <c r="JR168" s="442"/>
      <c r="JS168" s="443"/>
      <c r="JT168" s="441"/>
      <c r="JU168" s="442"/>
      <c r="JV168" s="443" t="s">
        <v>6</v>
      </c>
      <c r="JW168" s="441"/>
      <c r="JX168" s="442"/>
      <c r="JY168" s="443" t="s">
        <v>6</v>
      </c>
      <c r="JZ168" s="441"/>
      <c r="KA168" s="442"/>
      <c r="KB168" s="443" t="s">
        <v>6</v>
      </c>
      <c r="KC168" s="441"/>
      <c r="KD168" s="442"/>
      <c r="KE168" s="443"/>
      <c r="KF168" s="441"/>
      <c r="KG168" s="442"/>
      <c r="KH168" s="443" t="s">
        <v>6</v>
      </c>
      <c r="KI168" s="441"/>
      <c r="KJ168" s="442"/>
      <c r="KK168" s="443" t="s">
        <v>6</v>
      </c>
      <c r="KL168" s="441"/>
      <c r="KM168" s="442"/>
      <c r="KN168" s="443" t="s">
        <v>6</v>
      </c>
      <c r="KO168" s="441"/>
      <c r="KP168" s="442"/>
      <c r="KQ168" s="443"/>
      <c r="KR168" s="441">
        <v>18</v>
      </c>
      <c r="KS168" s="442">
        <v>5</v>
      </c>
      <c r="KT168" s="443">
        <v>78.3</v>
      </c>
      <c r="KU168" s="441">
        <v>12</v>
      </c>
      <c r="KV168" s="442">
        <v>2</v>
      </c>
      <c r="KW168" s="443">
        <v>85.7</v>
      </c>
      <c r="KX168" s="441">
        <v>47</v>
      </c>
      <c r="KY168" s="442"/>
      <c r="KZ168" s="443">
        <v>100</v>
      </c>
      <c r="LA168" s="441"/>
      <c r="LB168" s="442"/>
      <c r="LC168" s="443"/>
      <c r="LD168" s="441">
        <v>38</v>
      </c>
      <c r="LE168" s="442">
        <v>12</v>
      </c>
      <c r="LF168" s="443">
        <v>76</v>
      </c>
      <c r="LG168" s="441">
        <v>70</v>
      </c>
      <c r="LH168" s="442">
        <v>39</v>
      </c>
      <c r="LI168" s="443">
        <v>64.2</v>
      </c>
      <c r="LJ168" s="441">
        <v>129</v>
      </c>
      <c r="LK168" s="442">
        <v>6</v>
      </c>
      <c r="LL168" s="443">
        <v>95.6</v>
      </c>
      <c r="LM168" s="441"/>
      <c r="LN168" s="442"/>
      <c r="LO168" s="443"/>
    </row>
    <row r="169" spans="1:327" x14ac:dyDescent="0.2">
      <c r="A169" s="1001"/>
      <c r="B169" s="747"/>
      <c r="C169" s="151" t="s">
        <v>750</v>
      </c>
      <c r="D169" s="377"/>
      <c r="E169" s="373"/>
      <c r="F169" s="444" t="s">
        <v>6</v>
      </c>
      <c r="G169" s="377"/>
      <c r="H169" s="373"/>
      <c r="I169" s="444" t="s">
        <v>6</v>
      </c>
      <c r="J169" s="377"/>
      <c r="K169" s="373"/>
      <c r="L169" s="444" t="s">
        <v>6</v>
      </c>
      <c r="M169" s="377"/>
      <c r="N169" s="373"/>
      <c r="O169" s="444"/>
      <c r="P169" s="377"/>
      <c r="Q169" s="373"/>
      <c r="R169" s="444" t="s">
        <v>6</v>
      </c>
      <c r="S169" s="377"/>
      <c r="T169" s="373"/>
      <c r="U169" s="444" t="s">
        <v>6</v>
      </c>
      <c r="V169" s="377"/>
      <c r="W169" s="373"/>
      <c r="X169" s="444" t="s">
        <v>6</v>
      </c>
      <c r="Y169" s="377"/>
      <c r="Z169" s="373"/>
      <c r="AA169" s="444"/>
      <c r="AB169" s="377"/>
      <c r="AC169" s="373"/>
      <c r="AD169" s="444" t="s">
        <v>6</v>
      </c>
      <c r="AE169" s="377"/>
      <c r="AF169" s="373"/>
      <c r="AG169" s="444" t="s">
        <v>6</v>
      </c>
      <c r="AH169" s="377"/>
      <c r="AI169" s="373"/>
      <c r="AJ169" s="444" t="s">
        <v>6</v>
      </c>
      <c r="AK169" s="377"/>
      <c r="AL169" s="373"/>
      <c r="AM169" s="444"/>
      <c r="AN169" s="377">
        <v>22</v>
      </c>
      <c r="AO169" s="373">
        <v>12</v>
      </c>
      <c r="AP169" s="444">
        <v>64.7</v>
      </c>
      <c r="AQ169" s="377">
        <v>26</v>
      </c>
      <c r="AR169" s="373">
        <v>4</v>
      </c>
      <c r="AS169" s="444">
        <v>86.7</v>
      </c>
      <c r="AT169" s="377">
        <v>16</v>
      </c>
      <c r="AU169" s="373">
        <v>7</v>
      </c>
      <c r="AV169" s="444">
        <v>69.599999999999994</v>
      </c>
      <c r="AW169" s="377"/>
      <c r="AX169" s="373"/>
      <c r="AY169" s="444"/>
      <c r="AZ169" s="377">
        <v>13</v>
      </c>
      <c r="BA169" s="373">
        <v>10</v>
      </c>
      <c r="BB169" s="444">
        <v>56.5</v>
      </c>
      <c r="BC169" s="377">
        <v>17</v>
      </c>
      <c r="BD169" s="373">
        <v>4</v>
      </c>
      <c r="BE169" s="444">
        <v>81</v>
      </c>
      <c r="BF169" s="377">
        <v>11</v>
      </c>
      <c r="BG169" s="373">
        <v>3</v>
      </c>
      <c r="BH169" s="444">
        <v>78.599999999999994</v>
      </c>
      <c r="BI169" s="377"/>
      <c r="BJ169" s="373"/>
      <c r="BK169" s="444"/>
      <c r="BL169" s="377"/>
      <c r="BM169" s="373"/>
      <c r="BN169" s="444" t="s">
        <v>6</v>
      </c>
      <c r="BO169" s="377"/>
      <c r="BP169" s="373"/>
      <c r="BQ169" s="444" t="s">
        <v>6</v>
      </c>
      <c r="BR169" s="377"/>
      <c r="BS169" s="373"/>
      <c r="BT169" s="444" t="s">
        <v>6</v>
      </c>
      <c r="BU169" s="377"/>
      <c r="BV169" s="373"/>
      <c r="BW169" s="444"/>
      <c r="BX169" s="377"/>
      <c r="BY169" s="373"/>
      <c r="BZ169" s="444" t="s">
        <v>6</v>
      </c>
      <c r="CA169" s="377"/>
      <c r="CB169" s="373"/>
      <c r="CC169" s="444" t="s">
        <v>6</v>
      </c>
      <c r="CD169" s="377"/>
      <c r="CE169" s="373"/>
      <c r="CF169" s="444" t="s">
        <v>6</v>
      </c>
      <c r="CG169" s="377"/>
      <c r="CH169" s="373"/>
      <c r="CI169" s="444"/>
      <c r="CJ169" s="377"/>
      <c r="CK169" s="373"/>
      <c r="CL169" s="444" t="s">
        <v>6</v>
      </c>
      <c r="CM169" s="377"/>
      <c r="CN169" s="373"/>
      <c r="CO169" s="444" t="s">
        <v>6</v>
      </c>
      <c r="CP169" s="377"/>
      <c r="CQ169" s="373"/>
      <c r="CR169" s="444" t="s">
        <v>6</v>
      </c>
      <c r="CS169" s="377"/>
      <c r="CT169" s="373"/>
      <c r="CU169" s="444"/>
      <c r="CV169" s="377">
        <v>10</v>
      </c>
      <c r="CW169" s="373">
        <v>6</v>
      </c>
      <c r="CX169" s="444">
        <v>62.5</v>
      </c>
      <c r="CY169" s="377">
        <v>14</v>
      </c>
      <c r="CZ169" s="373"/>
      <c r="DA169" s="444">
        <v>100</v>
      </c>
      <c r="DB169" s="377">
        <v>9</v>
      </c>
      <c r="DC169" s="373">
        <v>1</v>
      </c>
      <c r="DD169" s="444">
        <v>90</v>
      </c>
      <c r="DE169" s="377"/>
      <c r="DF169" s="373"/>
      <c r="DG169" s="444"/>
      <c r="DH169" s="377">
        <v>1</v>
      </c>
      <c r="DI169" s="373"/>
      <c r="DJ169" s="444">
        <v>100</v>
      </c>
      <c r="DK169" s="377"/>
      <c r="DL169" s="373"/>
      <c r="DM169" s="444" t="s">
        <v>6</v>
      </c>
      <c r="DN169" s="377"/>
      <c r="DO169" s="373"/>
      <c r="DP169" s="444" t="s">
        <v>6</v>
      </c>
      <c r="DQ169" s="377"/>
      <c r="DR169" s="373"/>
      <c r="DS169" s="444"/>
      <c r="DT169" s="377"/>
      <c r="DU169" s="373">
        <v>1</v>
      </c>
      <c r="DV169" s="444">
        <v>0</v>
      </c>
      <c r="DW169" s="377">
        <v>1</v>
      </c>
      <c r="DX169" s="373"/>
      <c r="DY169" s="444">
        <v>100</v>
      </c>
      <c r="DZ169" s="377">
        <v>1</v>
      </c>
      <c r="EA169" s="373"/>
      <c r="EB169" s="444">
        <v>100</v>
      </c>
      <c r="EC169" s="377"/>
      <c r="ED169" s="373"/>
      <c r="EE169" s="444"/>
      <c r="EF169" s="377">
        <v>197</v>
      </c>
      <c r="EG169" s="373">
        <v>680</v>
      </c>
      <c r="EH169" s="444">
        <v>22.5</v>
      </c>
      <c r="EI169" s="377">
        <v>241</v>
      </c>
      <c r="EJ169" s="373">
        <v>472</v>
      </c>
      <c r="EK169" s="444">
        <v>33.799999999999997</v>
      </c>
      <c r="EL169" s="377">
        <v>169</v>
      </c>
      <c r="EM169" s="373">
        <v>344</v>
      </c>
      <c r="EN169" s="444">
        <v>32.9</v>
      </c>
      <c r="EO169" s="377"/>
      <c r="EP169" s="373"/>
      <c r="EQ169" s="444"/>
      <c r="ER169" s="377">
        <v>2</v>
      </c>
      <c r="ES169" s="373">
        <v>3</v>
      </c>
      <c r="ET169" s="444">
        <v>40</v>
      </c>
      <c r="EU169" s="377">
        <v>1</v>
      </c>
      <c r="EV169" s="373">
        <v>1</v>
      </c>
      <c r="EW169" s="444">
        <v>50</v>
      </c>
      <c r="EX169" s="377"/>
      <c r="EY169" s="373"/>
      <c r="EZ169" s="444" t="s">
        <v>6</v>
      </c>
      <c r="FA169" s="377"/>
      <c r="FB169" s="373"/>
      <c r="FC169" s="444"/>
      <c r="FD169" s="377">
        <v>1</v>
      </c>
      <c r="FE169" s="373">
        <v>22</v>
      </c>
      <c r="FF169" s="444">
        <v>4.3</v>
      </c>
      <c r="FG169" s="377">
        <v>1</v>
      </c>
      <c r="FH169" s="373">
        <v>5</v>
      </c>
      <c r="FI169" s="444">
        <v>16.7</v>
      </c>
      <c r="FJ169" s="377">
        <v>11</v>
      </c>
      <c r="FK169" s="373">
        <v>5</v>
      </c>
      <c r="FL169" s="444">
        <v>68.8</v>
      </c>
      <c r="FM169" s="377"/>
      <c r="FN169" s="373"/>
      <c r="FO169" s="444"/>
      <c r="FP169" s="377">
        <v>54</v>
      </c>
      <c r="FQ169" s="373">
        <v>170</v>
      </c>
      <c r="FR169" s="444">
        <v>24.1</v>
      </c>
      <c r="FS169" s="377">
        <v>63</v>
      </c>
      <c r="FT169" s="373">
        <v>99</v>
      </c>
      <c r="FU169" s="444">
        <v>38.9</v>
      </c>
      <c r="FV169" s="377">
        <v>51</v>
      </c>
      <c r="FW169" s="373">
        <v>58</v>
      </c>
      <c r="FX169" s="444">
        <v>46.8</v>
      </c>
      <c r="FY169" s="377"/>
      <c r="FZ169" s="373"/>
      <c r="GA169" s="444"/>
      <c r="GB169" s="377">
        <v>3</v>
      </c>
      <c r="GC169" s="373">
        <v>1</v>
      </c>
      <c r="GD169" s="444">
        <v>75</v>
      </c>
      <c r="GE169" s="377">
        <v>6</v>
      </c>
      <c r="GF169" s="373"/>
      <c r="GG169" s="444">
        <v>100</v>
      </c>
      <c r="GH169" s="377">
        <v>6</v>
      </c>
      <c r="GI169" s="373">
        <v>1</v>
      </c>
      <c r="GJ169" s="444">
        <v>85.7</v>
      </c>
      <c r="GK169" s="377"/>
      <c r="GL169" s="373"/>
      <c r="GM169" s="444"/>
      <c r="GN169" s="377"/>
      <c r="GO169" s="373">
        <v>1</v>
      </c>
      <c r="GP169" s="444">
        <v>0</v>
      </c>
      <c r="GQ169" s="377">
        <v>1</v>
      </c>
      <c r="GR169" s="373"/>
      <c r="GS169" s="444">
        <v>100</v>
      </c>
      <c r="GT169" s="377">
        <v>2</v>
      </c>
      <c r="GU169" s="373">
        <v>1</v>
      </c>
      <c r="GV169" s="444">
        <v>66.7</v>
      </c>
      <c r="GW169" s="377"/>
      <c r="GX169" s="373"/>
      <c r="GY169" s="444"/>
      <c r="GZ169" s="377"/>
      <c r="HA169" s="373"/>
      <c r="HB169" s="444" t="s">
        <v>6</v>
      </c>
      <c r="HC169" s="377">
        <v>2</v>
      </c>
      <c r="HD169" s="373"/>
      <c r="HE169" s="444">
        <v>100</v>
      </c>
      <c r="HF169" s="377"/>
      <c r="HG169" s="373"/>
      <c r="HH169" s="444" t="s">
        <v>6</v>
      </c>
      <c r="HI169" s="377"/>
      <c r="HJ169" s="373"/>
      <c r="HK169" s="444"/>
      <c r="HL169" s="377">
        <v>14</v>
      </c>
      <c r="HM169" s="373">
        <v>30</v>
      </c>
      <c r="HN169" s="444">
        <v>31.8</v>
      </c>
      <c r="HO169" s="377">
        <v>17</v>
      </c>
      <c r="HP169" s="373">
        <v>27</v>
      </c>
      <c r="HQ169" s="444">
        <v>38.6</v>
      </c>
      <c r="HR169" s="377">
        <v>62</v>
      </c>
      <c r="HS169" s="373">
        <v>34</v>
      </c>
      <c r="HT169" s="444">
        <v>64.599999999999994</v>
      </c>
      <c r="HU169" s="377"/>
      <c r="HV169" s="373"/>
      <c r="HW169" s="444"/>
      <c r="HX169" s="377">
        <v>1</v>
      </c>
      <c r="HY169" s="373"/>
      <c r="HZ169" s="444">
        <v>100</v>
      </c>
      <c r="IA169" s="377">
        <v>3</v>
      </c>
      <c r="IB169" s="373"/>
      <c r="IC169" s="444">
        <v>100</v>
      </c>
      <c r="ID169" s="377">
        <v>1</v>
      </c>
      <c r="IE169" s="373"/>
      <c r="IF169" s="444">
        <v>100</v>
      </c>
      <c r="IG169" s="377"/>
      <c r="IH169" s="373"/>
      <c r="II169" s="444"/>
      <c r="IJ169" s="377">
        <v>1</v>
      </c>
      <c r="IK169" s="373">
        <v>1</v>
      </c>
      <c r="IL169" s="444">
        <v>50</v>
      </c>
      <c r="IM169" s="377">
        <v>2</v>
      </c>
      <c r="IN169" s="373">
        <v>1</v>
      </c>
      <c r="IO169" s="444">
        <v>66.7</v>
      </c>
      <c r="IP169" s="377">
        <v>6</v>
      </c>
      <c r="IQ169" s="373">
        <v>2</v>
      </c>
      <c r="IR169" s="444">
        <v>75</v>
      </c>
      <c r="IS169" s="377"/>
      <c r="IT169" s="373"/>
      <c r="IU169" s="444"/>
      <c r="IV169" s="377">
        <v>249</v>
      </c>
      <c r="IW169" s="373">
        <v>732</v>
      </c>
      <c r="IX169" s="444">
        <v>25.4</v>
      </c>
      <c r="IY169" s="377">
        <v>313</v>
      </c>
      <c r="IZ169" s="373">
        <v>504</v>
      </c>
      <c r="JA169" s="444">
        <v>38.299999999999997</v>
      </c>
      <c r="JB169" s="377">
        <v>272</v>
      </c>
      <c r="JC169" s="373">
        <v>390</v>
      </c>
      <c r="JD169" s="444">
        <v>41.1</v>
      </c>
      <c r="JE169" s="377"/>
      <c r="JF169" s="373"/>
      <c r="JG169" s="444"/>
      <c r="JH169" s="377">
        <v>37</v>
      </c>
      <c r="JI169" s="373">
        <v>128</v>
      </c>
      <c r="JJ169" s="444">
        <v>22.4</v>
      </c>
      <c r="JK169" s="377">
        <v>84</v>
      </c>
      <c r="JL169" s="373">
        <v>20</v>
      </c>
      <c r="JM169" s="444">
        <v>80.8</v>
      </c>
      <c r="JN169" s="377">
        <v>111</v>
      </c>
      <c r="JO169" s="373">
        <v>20</v>
      </c>
      <c r="JP169" s="444">
        <v>84.7</v>
      </c>
      <c r="JQ169" s="377"/>
      <c r="JR169" s="373"/>
      <c r="JS169" s="444"/>
      <c r="JT169" s="377"/>
      <c r="JU169" s="373"/>
      <c r="JV169" s="444" t="s">
        <v>6</v>
      </c>
      <c r="JW169" s="377"/>
      <c r="JX169" s="373"/>
      <c r="JY169" s="444" t="s">
        <v>6</v>
      </c>
      <c r="JZ169" s="377"/>
      <c r="KA169" s="373"/>
      <c r="KB169" s="444" t="s">
        <v>6</v>
      </c>
      <c r="KC169" s="377"/>
      <c r="KD169" s="373"/>
      <c r="KE169" s="444"/>
      <c r="KF169" s="377"/>
      <c r="KG169" s="373">
        <v>1</v>
      </c>
      <c r="KH169" s="444">
        <v>0</v>
      </c>
      <c r="KI169" s="377"/>
      <c r="KJ169" s="373"/>
      <c r="KK169" s="444" t="s">
        <v>6</v>
      </c>
      <c r="KL169" s="377">
        <v>1</v>
      </c>
      <c r="KM169" s="373">
        <v>1</v>
      </c>
      <c r="KN169" s="444">
        <v>50</v>
      </c>
      <c r="KO169" s="377"/>
      <c r="KP169" s="373"/>
      <c r="KQ169" s="444"/>
      <c r="KR169" s="377">
        <v>41</v>
      </c>
      <c r="KS169" s="373">
        <v>140</v>
      </c>
      <c r="KT169" s="444">
        <v>22.7</v>
      </c>
      <c r="KU169" s="377">
        <v>88</v>
      </c>
      <c r="KV169" s="373">
        <v>28</v>
      </c>
      <c r="KW169" s="444">
        <v>75.900000000000006</v>
      </c>
      <c r="KX169" s="377">
        <v>121</v>
      </c>
      <c r="KY169" s="373">
        <v>28</v>
      </c>
      <c r="KZ169" s="444">
        <v>81.2</v>
      </c>
      <c r="LA169" s="377"/>
      <c r="LB169" s="373"/>
      <c r="LC169" s="444"/>
      <c r="LD169" s="377">
        <v>432</v>
      </c>
      <c r="LE169" s="373">
        <v>841</v>
      </c>
      <c r="LF169" s="444">
        <v>33.9</v>
      </c>
      <c r="LG169" s="377">
        <v>647</v>
      </c>
      <c r="LH169" s="373">
        <v>616</v>
      </c>
      <c r="LI169" s="444">
        <v>51.2</v>
      </c>
      <c r="LJ169" s="377">
        <v>517</v>
      </c>
      <c r="LK169" s="373">
        <v>501</v>
      </c>
      <c r="LL169" s="444">
        <v>50.8</v>
      </c>
      <c r="LM169" s="377"/>
      <c r="LN169" s="373"/>
      <c r="LO169" s="444"/>
    </row>
    <row r="170" spans="1:327" x14ac:dyDescent="0.2">
      <c r="A170" s="1001"/>
      <c r="B170" s="747" t="s">
        <v>621</v>
      </c>
      <c r="C170" s="151" t="s">
        <v>751</v>
      </c>
      <c r="D170" s="377"/>
      <c r="E170" s="373"/>
      <c r="F170" s="444" t="s">
        <v>6</v>
      </c>
      <c r="G170" s="377"/>
      <c r="H170" s="373"/>
      <c r="I170" s="444" t="s">
        <v>6</v>
      </c>
      <c r="J170" s="377"/>
      <c r="K170" s="373"/>
      <c r="L170" s="444" t="s">
        <v>6</v>
      </c>
      <c r="M170" s="377"/>
      <c r="N170" s="373"/>
      <c r="O170" s="444"/>
      <c r="P170" s="377"/>
      <c r="Q170" s="373"/>
      <c r="R170" s="444" t="s">
        <v>6</v>
      </c>
      <c r="S170" s="377"/>
      <c r="T170" s="373"/>
      <c r="U170" s="444" t="s">
        <v>6</v>
      </c>
      <c r="V170" s="377"/>
      <c r="W170" s="373"/>
      <c r="X170" s="444" t="s">
        <v>6</v>
      </c>
      <c r="Y170" s="377"/>
      <c r="Z170" s="373"/>
      <c r="AA170" s="444"/>
      <c r="AB170" s="377"/>
      <c r="AC170" s="373"/>
      <c r="AD170" s="444" t="s">
        <v>6</v>
      </c>
      <c r="AE170" s="377"/>
      <c r="AF170" s="373"/>
      <c r="AG170" s="444" t="s">
        <v>6</v>
      </c>
      <c r="AH170" s="377"/>
      <c r="AI170" s="373"/>
      <c r="AJ170" s="444" t="s">
        <v>6</v>
      </c>
      <c r="AK170" s="377"/>
      <c r="AL170" s="373"/>
      <c r="AM170" s="444"/>
      <c r="AN170" s="377">
        <v>8</v>
      </c>
      <c r="AO170" s="373">
        <v>2</v>
      </c>
      <c r="AP170" s="444">
        <v>80</v>
      </c>
      <c r="AQ170" s="377">
        <v>15</v>
      </c>
      <c r="AR170" s="373"/>
      <c r="AS170" s="444">
        <v>100</v>
      </c>
      <c r="AT170" s="377">
        <v>17</v>
      </c>
      <c r="AU170" s="373"/>
      <c r="AV170" s="444">
        <v>100</v>
      </c>
      <c r="AW170" s="377"/>
      <c r="AX170" s="373"/>
      <c r="AY170" s="444"/>
      <c r="AZ170" s="377">
        <v>3</v>
      </c>
      <c r="BA170" s="373">
        <v>2</v>
      </c>
      <c r="BB170" s="444">
        <v>60</v>
      </c>
      <c r="BC170" s="377">
        <v>6</v>
      </c>
      <c r="BD170" s="373"/>
      <c r="BE170" s="444">
        <v>100</v>
      </c>
      <c r="BF170" s="377">
        <v>6</v>
      </c>
      <c r="BG170" s="373"/>
      <c r="BH170" s="444">
        <v>100</v>
      </c>
      <c r="BI170" s="377"/>
      <c r="BJ170" s="373"/>
      <c r="BK170" s="444"/>
      <c r="BL170" s="377"/>
      <c r="BM170" s="373"/>
      <c r="BN170" s="444" t="s">
        <v>6</v>
      </c>
      <c r="BO170" s="377"/>
      <c r="BP170" s="373"/>
      <c r="BQ170" s="444" t="s">
        <v>6</v>
      </c>
      <c r="BR170" s="377"/>
      <c r="BS170" s="373"/>
      <c r="BT170" s="444" t="s">
        <v>6</v>
      </c>
      <c r="BU170" s="377"/>
      <c r="BV170" s="373"/>
      <c r="BW170" s="444"/>
      <c r="BX170" s="377"/>
      <c r="BY170" s="373"/>
      <c r="BZ170" s="444" t="s">
        <v>6</v>
      </c>
      <c r="CA170" s="377"/>
      <c r="CB170" s="373"/>
      <c r="CC170" s="444" t="s">
        <v>6</v>
      </c>
      <c r="CD170" s="377"/>
      <c r="CE170" s="373"/>
      <c r="CF170" s="444" t="s">
        <v>6</v>
      </c>
      <c r="CG170" s="377"/>
      <c r="CH170" s="373"/>
      <c r="CI170" s="444"/>
      <c r="CJ170" s="377"/>
      <c r="CK170" s="373"/>
      <c r="CL170" s="444" t="s">
        <v>6</v>
      </c>
      <c r="CM170" s="377"/>
      <c r="CN170" s="373"/>
      <c r="CO170" s="444" t="s">
        <v>6</v>
      </c>
      <c r="CP170" s="377"/>
      <c r="CQ170" s="373"/>
      <c r="CR170" s="444" t="s">
        <v>6</v>
      </c>
      <c r="CS170" s="377"/>
      <c r="CT170" s="373"/>
      <c r="CU170" s="444"/>
      <c r="CV170" s="377">
        <v>4</v>
      </c>
      <c r="CW170" s="373"/>
      <c r="CX170" s="444">
        <v>100</v>
      </c>
      <c r="CY170" s="377">
        <v>5</v>
      </c>
      <c r="CZ170" s="373"/>
      <c r="DA170" s="444">
        <v>100</v>
      </c>
      <c r="DB170" s="377">
        <v>8</v>
      </c>
      <c r="DC170" s="373">
        <v>2</v>
      </c>
      <c r="DD170" s="444">
        <v>80</v>
      </c>
      <c r="DE170" s="377"/>
      <c r="DF170" s="373"/>
      <c r="DG170" s="444"/>
      <c r="DH170" s="377">
        <v>1</v>
      </c>
      <c r="DI170" s="373"/>
      <c r="DJ170" s="444">
        <v>100</v>
      </c>
      <c r="DK170" s="377">
        <v>1</v>
      </c>
      <c r="DL170" s="373"/>
      <c r="DM170" s="444">
        <v>100</v>
      </c>
      <c r="DN170" s="377">
        <v>1</v>
      </c>
      <c r="DO170" s="373"/>
      <c r="DP170" s="444">
        <v>100</v>
      </c>
      <c r="DQ170" s="377"/>
      <c r="DR170" s="373"/>
      <c r="DS170" s="444"/>
      <c r="DT170" s="377"/>
      <c r="DU170" s="373"/>
      <c r="DV170" s="444" t="s">
        <v>6</v>
      </c>
      <c r="DW170" s="377"/>
      <c r="DX170" s="373"/>
      <c r="DY170" s="444" t="s">
        <v>6</v>
      </c>
      <c r="DZ170" s="377"/>
      <c r="EA170" s="373"/>
      <c r="EB170" s="444" t="s">
        <v>6</v>
      </c>
      <c r="EC170" s="377"/>
      <c r="ED170" s="373"/>
      <c r="EE170" s="444"/>
      <c r="EF170" s="377">
        <v>54</v>
      </c>
      <c r="EG170" s="373">
        <v>107</v>
      </c>
      <c r="EH170" s="444">
        <v>33.5</v>
      </c>
      <c r="EI170" s="377">
        <v>44</v>
      </c>
      <c r="EJ170" s="373">
        <v>60</v>
      </c>
      <c r="EK170" s="444">
        <v>42.3</v>
      </c>
      <c r="EL170" s="377">
        <v>62</v>
      </c>
      <c r="EM170" s="373">
        <v>63</v>
      </c>
      <c r="EN170" s="444">
        <v>49.6</v>
      </c>
      <c r="EO170" s="377"/>
      <c r="EP170" s="373"/>
      <c r="EQ170" s="444"/>
      <c r="ER170" s="377"/>
      <c r="ES170" s="373"/>
      <c r="ET170" s="444" t="s">
        <v>6</v>
      </c>
      <c r="EU170" s="377">
        <v>1</v>
      </c>
      <c r="EV170" s="373"/>
      <c r="EW170" s="444">
        <v>100</v>
      </c>
      <c r="EX170" s="377"/>
      <c r="EY170" s="373"/>
      <c r="EZ170" s="444" t="s">
        <v>6</v>
      </c>
      <c r="FA170" s="377"/>
      <c r="FB170" s="373"/>
      <c r="FC170" s="444"/>
      <c r="FD170" s="377"/>
      <c r="FE170" s="373">
        <v>1</v>
      </c>
      <c r="FF170" s="444">
        <v>0</v>
      </c>
      <c r="FG170" s="377"/>
      <c r="FH170" s="373">
        <v>3</v>
      </c>
      <c r="FI170" s="444">
        <v>0</v>
      </c>
      <c r="FJ170" s="377"/>
      <c r="FK170" s="373"/>
      <c r="FL170" s="444" t="s">
        <v>6</v>
      </c>
      <c r="FM170" s="377"/>
      <c r="FN170" s="373"/>
      <c r="FO170" s="444"/>
      <c r="FP170" s="377">
        <v>8</v>
      </c>
      <c r="FQ170" s="373">
        <v>19</v>
      </c>
      <c r="FR170" s="444">
        <v>29.6</v>
      </c>
      <c r="FS170" s="377">
        <v>7</v>
      </c>
      <c r="FT170" s="373">
        <v>10</v>
      </c>
      <c r="FU170" s="444">
        <v>41.2</v>
      </c>
      <c r="FV170" s="377">
        <v>8</v>
      </c>
      <c r="FW170" s="373">
        <v>5</v>
      </c>
      <c r="FX170" s="444">
        <v>61.5</v>
      </c>
      <c r="FY170" s="377"/>
      <c r="FZ170" s="373"/>
      <c r="GA170" s="444"/>
      <c r="GB170" s="377"/>
      <c r="GC170" s="373"/>
      <c r="GD170" s="444" t="s">
        <v>6</v>
      </c>
      <c r="GE170" s="377">
        <v>2</v>
      </c>
      <c r="GF170" s="373"/>
      <c r="GG170" s="444">
        <v>100</v>
      </c>
      <c r="GH170" s="377"/>
      <c r="GI170" s="373"/>
      <c r="GJ170" s="444" t="s">
        <v>6</v>
      </c>
      <c r="GK170" s="377"/>
      <c r="GL170" s="373"/>
      <c r="GM170" s="444"/>
      <c r="GN170" s="377"/>
      <c r="GO170" s="373"/>
      <c r="GP170" s="444" t="s">
        <v>6</v>
      </c>
      <c r="GQ170" s="377"/>
      <c r="GR170" s="373"/>
      <c r="GS170" s="444" t="s">
        <v>6</v>
      </c>
      <c r="GT170" s="377"/>
      <c r="GU170" s="373"/>
      <c r="GV170" s="444" t="s">
        <v>6</v>
      </c>
      <c r="GW170" s="377"/>
      <c r="GX170" s="373"/>
      <c r="GY170" s="444"/>
      <c r="GZ170" s="377"/>
      <c r="HA170" s="373"/>
      <c r="HB170" s="444" t="s">
        <v>6</v>
      </c>
      <c r="HC170" s="377">
        <v>1</v>
      </c>
      <c r="HD170" s="373"/>
      <c r="HE170" s="444">
        <v>100</v>
      </c>
      <c r="HF170" s="377">
        <v>1</v>
      </c>
      <c r="HG170" s="373"/>
      <c r="HH170" s="444">
        <v>100</v>
      </c>
      <c r="HI170" s="377"/>
      <c r="HJ170" s="373"/>
      <c r="HK170" s="444"/>
      <c r="HL170" s="377">
        <v>4</v>
      </c>
      <c r="HM170" s="373">
        <v>8</v>
      </c>
      <c r="HN170" s="444">
        <v>33.299999999999997</v>
      </c>
      <c r="HO170" s="377">
        <v>5</v>
      </c>
      <c r="HP170" s="373">
        <v>7</v>
      </c>
      <c r="HQ170" s="444">
        <v>41.7</v>
      </c>
      <c r="HR170" s="377">
        <v>3</v>
      </c>
      <c r="HS170" s="373">
        <v>11</v>
      </c>
      <c r="HT170" s="444">
        <v>21.4</v>
      </c>
      <c r="HU170" s="377"/>
      <c r="HV170" s="373"/>
      <c r="HW170" s="444"/>
      <c r="HX170" s="377"/>
      <c r="HY170" s="373"/>
      <c r="HZ170" s="444" t="s">
        <v>6</v>
      </c>
      <c r="IA170" s="377"/>
      <c r="IB170" s="373"/>
      <c r="IC170" s="444" t="s">
        <v>6</v>
      </c>
      <c r="ID170" s="377"/>
      <c r="IE170" s="373"/>
      <c r="IF170" s="444" t="s">
        <v>6</v>
      </c>
      <c r="IG170" s="377"/>
      <c r="IH170" s="373"/>
      <c r="II170" s="444"/>
      <c r="IJ170" s="377">
        <v>2</v>
      </c>
      <c r="IK170" s="373"/>
      <c r="IL170" s="444">
        <v>100</v>
      </c>
      <c r="IM170" s="377">
        <v>3</v>
      </c>
      <c r="IN170" s="373">
        <v>1</v>
      </c>
      <c r="IO170" s="444">
        <v>75</v>
      </c>
      <c r="IP170" s="377">
        <v>1</v>
      </c>
      <c r="IQ170" s="373">
        <v>1</v>
      </c>
      <c r="IR170" s="444">
        <v>50</v>
      </c>
      <c r="IS170" s="377"/>
      <c r="IT170" s="373"/>
      <c r="IU170" s="444"/>
      <c r="IV170" s="377">
        <v>73</v>
      </c>
      <c r="IW170" s="373">
        <v>117</v>
      </c>
      <c r="IX170" s="444">
        <v>38.4</v>
      </c>
      <c r="IY170" s="377">
        <v>76</v>
      </c>
      <c r="IZ170" s="373">
        <v>68</v>
      </c>
      <c r="JA170" s="444">
        <v>52.8</v>
      </c>
      <c r="JB170" s="377">
        <v>93</v>
      </c>
      <c r="JC170" s="373">
        <v>77</v>
      </c>
      <c r="JD170" s="444">
        <v>54.7</v>
      </c>
      <c r="JE170" s="377"/>
      <c r="JF170" s="373"/>
      <c r="JG170" s="444"/>
      <c r="JH170" s="377">
        <v>11</v>
      </c>
      <c r="JI170" s="373">
        <v>5</v>
      </c>
      <c r="JJ170" s="444">
        <v>68.8</v>
      </c>
      <c r="JK170" s="377">
        <v>30</v>
      </c>
      <c r="JL170" s="373">
        <v>10</v>
      </c>
      <c r="JM170" s="444">
        <v>75</v>
      </c>
      <c r="JN170" s="377">
        <v>23</v>
      </c>
      <c r="JO170" s="373">
        <v>15</v>
      </c>
      <c r="JP170" s="444">
        <v>60.5</v>
      </c>
      <c r="JQ170" s="377"/>
      <c r="JR170" s="373"/>
      <c r="JS170" s="444"/>
      <c r="JT170" s="377"/>
      <c r="JU170" s="373"/>
      <c r="JV170" s="444" t="s">
        <v>6</v>
      </c>
      <c r="JW170" s="377"/>
      <c r="JX170" s="373">
        <v>1</v>
      </c>
      <c r="JY170" s="444">
        <v>0</v>
      </c>
      <c r="JZ170" s="377"/>
      <c r="KA170" s="373"/>
      <c r="KB170" s="444" t="s">
        <v>6</v>
      </c>
      <c r="KC170" s="377"/>
      <c r="KD170" s="373"/>
      <c r="KE170" s="444"/>
      <c r="KF170" s="377"/>
      <c r="KG170" s="373"/>
      <c r="KH170" s="444" t="s">
        <v>6</v>
      </c>
      <c r="KI170" s="377"/>
      <c r="KJ170" s="373"/>
      <c r="KK170" s="444" t="s">
        <v>6</v>
      </c>
      <c r="KL170" s="377">
        <v>1</v>
      </c>
      <c r="KM170" s="373"/>
      <c r="KN170" s="444">
        <v>100</v>
      </c>
      <c r="KO170" s="377"/>
      <c r="KP170" s="373"/>
      <c r="KQ170" s="444"/>
      <c r="KR170" s="377">
        <v>14</v>
      </c>
      <c r="KS170" s="373">
        <v>9</v>
      </c>
      <c r="KT170" s="444">
        <v>60.9</v>
      </c>
      <c r="KU170" s="377">
        <v>31</v>
      </c>
      <c r="KV170" s="373">
        <v>13</v>
      </c>
      <c r="KW170" s="444">
        <v>70.5</v>
      </c>
      <c r="KX170" s="377">
        <v>27</v>
      </c>
      <c r="KY170" s="373">
        <v>18</v>
      </c>
      <c r="KZ170" s="444">
        <v>60</v>
      </c>
      <c r="LA170" s="377"/>
      <c r="LB170" s="373"/>
      <c r="LC170" s="444"/>
      <c r="LD170" s="377">
        <v>160</v>
      </c>
      <c r="LE170" s="373">
        <v>135</v>
      </c>
      <c r="LF170" s="444">
        <v>54.2</v>
      </c>
      <c r="LG170" s="377">
        <v>120</v>
      </c>
      <c r="LH170" s="373">
        <v>83</v>
      </c>
      <c r="LI170" s="444">
        <v>59.1</v>
      </c>
      <c r="LJ170" s="377">
        <v>173</v>
      </c>
      <c r="LK170" s="373">
        <v>109</v>
      </c>
      <c r="LL170" s="444">
        <v>61.3</v>
      </c>
      <c r="LM170" s="377"/>
      <c r="LN170" s="373"/>
      <c r="LO170" s="444"/>
    </row>
    <row r="171" spans="1:327" x14ac:dyDescent="0.2">
      <c r="A171" s="1001"/>
      <c r="B171" s="747" t="s">
        <v>621</v>
      </c>
      <c r="C171" s="151" t="s">
        <v>752</v>
      </c>
      <c r="D171" s="377"/>
      <c r="E171" s="373"/>
      <c r="F171" s="444" t="s">
        <v>6</v>
      </c>
      <c r="G171" s="377"/>
      <c r="H171" s="373"/>
      <c r="I171" s="444" t="s">
        <v>6</v>
      </c>
      <c r="J171" s="377"/>
      <c r="K171" s="373"/>
      <c r="L171" s="444" t="s">
        <v>6</v>
      </c>
      <c r="M171" s="377"/>
      <c r="N171" s="373"/>
      <c r="O171" s="444"/>
      <c r="P171" s="377"/>
      <c r="Q171" s="373"/>
      <c r="R171" s="444" t="s">
        <v>6</v>
      </c>
      <c r="S171" s="377"/>
      <c r="T171" s="373"/>
      <c r="U171" s="444" t="s">
        <v>6</v>
      </c>
      <c r="V171" s="377"/>
      <c r="W171" s="373"/>
      <c r="X171" s="444" t="s">
        <v>6</v>
      </c>
      <c r="Y171" s="377"/>
      <c r="Z171" s="373"/>
      <c r="AA171" s="444"/>
      <c r="AB171" s="377"/>
      <c r="AC171" s="373"/>
      <c r="AD171" s="444" t="s">
        <v>6</v>
      </c>
      <c r="AE171" s="377"/>
      <c r="AF171" s="373"/>
      <c r="AG171" s="444" t="s">
        <v>6</v>
      </c>
      <c r="AH171" s="377"/>
      <c r="AI171" s="373"/>
      <c r="AJ171" s="444" t="s">
        <v>6</v>
      </c>
      <c r="AK171" s="377"/>
      <c r="AL171" s="373"/>
      <c r="AM171" s="444"/>
      <c r="AN171" s="377">
        <v>2</v>
      </c>
      <c r="AO171" s="373">
        <v>1</v>
      </c>
      <c r="AP171" s="444">
        <v>66.7</v>
      </c>
      <c r="AQ171" s="377">
        <v>6</v>
      </c>
      <c r="AR171" s="373">
        <v>1</v>
      </c>
      <c r="AS171" s="444">
        <v>85.7</v>
      </c>
      <c r="AT171" s="377">
        <v>21</v>
      </c>
      <c r="AU171" s="373"/>
      <c r="AV171" s="444">
        <v>100</v>
      </c>
      <c r="AW171" s="377"/>
      <c r="AX171" s="373"/>
      <c r="AY171" s="444"/>
      <c r="AZ171" s="377"/>
      <c r="BA171" s="373"/>
      <c r="BB171" s="444" t="s">
        <v>6</v>
      </c>
      <c r="BC171" s="377">
        <v>3</v>
      </c>
      <c r="BD171" s="373">
        <v>1</v>
      </c>
      <c r="BE171" s="444">
        <v>75</v>
      </c>
      <c r="BF171" s="377">
        <v>5</v>
      </c>
      <c r="BG171" s="373"/>
      <c r="BH171" s="444">
        <v>100</v>
      </c>
      <c r="BI171" s="377"/>
      <c r="BJ171" s="373"/>
      <c r="BK171" s="444"/>
      <c r="BL171" s="377"/>
      <c r="BM171" s="373"/>
      <c r="BN171" s="444" t="s">
        <v>6</v>
      </c>
      <c r="BO171" s="377"/>
      <c r="BP171" s="373"/>
      <c r="BQ171" s="444" t="s">
        <v>6</v>
      </c>
      <c r="BR171" s="377"/>
      <c r="BS171" s="373"/>
      <c r="BT171" s="444" t="s">
        <v>6</v>
      </c>
      <c r="BU171" s="377"/>
      <c r="BV171" s="373"/>
      <c r="BW171" s="444"/>
      <c r="BX171" s="377"/>
      <c r="BY171" s="373"/>
      <c r="BZ171" s="444" t="s">
        <v>6</v>
      </c>
      <c r="CA171" s="377"/>
      <c r="CB171" s="373"/>
      <c r="CC171" s="444" t="s">
        <v>6</v>
      </c>
      <c r="CD171" s="377"/>
      <c r="CE171" s="373"/>
      <c r="CF171" s="444" t="s">
        <v>6</v>
      </c>
      <c r="CG171" s="377"/>
      <c r="CH171" s="373"/>
      <c r="CI171" s="444"/>
      <c r="CJ171" s="377"/>
      <c r="CK171" s="373"/>
      <c r="CL171" s="444" t="s">
        <v>6</v>
      </c>
      <c r="CM171" s="377"/>
      <c r="CN171" s="373"/>
      <c r="CO171" s="444" t="s">
        <v>6</v>
      </c>
      <c r="CP171" s="377"/>
      <c r="CQ171" s="373"/>
      <c r="CR171" s="444" t="s">
        <v>6</v>
      </c>
      <c r="CS171" s="377"/>
      <c r="CT171" s="373"/>
      <c r="CU171" s="444"/>
      <c r="CV171" s="377">
        <v>3</v>
      </c>
      <c r="CW171" s="373"/>
      <c r="CX171" s="444">
        <v>100</v>
      </c>
      <c r="CY171" s="377">
        <v>6</v>
      </c>
      <c r="CZ171" s="373"/>
      <c r="DA171" s="444">
        <v>100</v>
      </c>
      <c r="DB171" s="377">
        <v>17</v>
      </c>
      <c r="DC171" s="373"/>
      <c r="DD171" s="444">
        <v>100</v>
      </c>
      <c r="DE171" s="377"/>
      <c r="DF171" s="373"/>
      <c r="DG171" s="444"/>
      <c r="DH171" s="377"/>
      <c r="DI171" s="373"/>
      <c r="DJ171" s="444" t="s">
        <v>6</v>
      </c>
      <c r="DK171" s="377"/>
      <c r="DL171" s="373"/>
      <c r="DM171" s="444" t="s">
        <v>6</v>
      </c>
      <c r="DN171" s="377">
        <v>1</v>
      </c>
      <c r="DO171" s="373"/>
      <c r="DP171" s="444">
        <v>100</v>
      </c>
      <c r="DQ171" s="377"/>
      <c r="DR171" s="373"/>
      <c r="DS171" s="444"/>
      <c r="DT171" s="377"/>
      <c r="DU171" s="373"/>
      <c r="DV171" s="444" t="s">
        <v>6</v>
      </c>
      <c r="DW171" s="377"/>
      <c r="DX171" s="373"/>
      <c r="DY171" s="444" t="s">
        <v>6</v>
      </c>
      <c r="DZ171" s="377">
        <v>4</v>
      </c>
      <c r="EA171" s="373"/>
      <c r="EB171" s="444">
        <v>100</v>
      </c>
      <c r="EC171" s="377"/>
      <c r="ED171" s="373"/>
      <c r="EE171" s="444"/>
      <c r="EF171" s="377">
        <v>116</v>
      </c>
      <c r="EG171" s="373">
        <v>170</v>
      </c>
      <c r="EH171" s="444">
        <v>40.6</v>
      </c>
      <c r="EI171" s="377">
        <v>86</v>
      </c>
      <c r="EJ171" s="373">
        <v>119</v>
      </c>
      <c r="EK171" s="444">
        <v>42</v>
      </c>
      <c r="EL171" s="377">
        <v>112</v>
      </c>
      <c r="EM171" s="373">
        <v>105</v>
      </c>
      <c r="EN171" s="444">
        <v>51.6</v>
      </c>
      <c r="EO171" s="377"/>
      <c r="EP171" s="373"/>
      <c r="EQ171" s="444"/>
      <c r="ER171" s="377"/>
      <c r="ES171" s="373">
        <v>1</v>
      </c>
      <c r="ET171" s="444">
        <v>0</v>
      </c>
      <c r="EU171" s="377">
        <v>2</v>
      </c>
      <c r="EV171" s="373"/>
      <c r="EW171" s="444">
        <v>100</v>
      </c>
      <c r="EX171" s="377">
        <v>1</v>
      </c>
      <c r="EY171" s="373"/>
      <c r="EZ171" s="444">
        <v>100</v>
      </c>
      <c r="FA171" s="377"/>
      <c r="FB171" s="373"/>
      <c r="FC171" s="444"/>
      <c r="FD171" s="377"/>
      <c r="FE171" s="373">
        <v>4</v>
      </c>
      <c r="FF171" s="444">
        <v>0</v>
      </c>
      <c r="FG171" s="377"/>
      <c r="FH171" s="373">
        <v>1</v>
      </c>
      <c r="FI171" s="444">
        <v>0</v>
      </c>
      <c r="FJ171" s="377"/>
      <c r="FK171" s="373"/>
      <c r="FL171" s="444" t="s">
        <v>6</v>
      </c>
      <c r="FM171" s="377"/>
      <c r="FN171" s="373"/>
      <c r="FO171" s="444"/>
      <c r="FP171" s="377">
        <v>28</v>
      </c>
      <c r="FQ171" s="373">
        <v>48</v>
      </c>
      <c r="FR171" s="444">
        <v>36.799999999999997</v>
      </c>
      <c r="FS171" s="377">
        <v>23</v>
      </c>
      <c r="FT171" s="373">
        <v>32</v>
      </c>
      <c r="FU171" s="444">
        <v>41.8</v>
      </c>
      <c r="FV171" s="377">
        <v>25</v>
      </c>
      <c r="FW171" s="373">
        <v>28</v>
      </c>
      <c r="FX171" s="444">
        <v>47.2</v>
      </c>
      <c r="FY171" s="377"/>
      <c r="FZ171" s="373"/>
      <c r="GA171" s="444"/>
      <c r="GB171" s="377"/>
      <c r="GC171" s="373"/>
      <c r="GD171" s="444" t="s">
        <v>6</v>
      </c>
      <c r="GE171" s="377">
        <v>2</v>
      </c>
      <c r="GF171" s="373"/>
      <c r="GG171" s="444">
        <v>100</v>
      </c>
      <c r="GH171" s="377">
        <v>1</v>
      </c>
      <c r="GI171" s="373"/>
      <c r="GJ171" s="444">
        <v>100</v>
      </c>
      <c r="GK171" s="377"/>
      <c r="GL171" s="373"/>
      <c r="GM171" s="444"/>
      <c r="GN171" s="377"/>
      <c r="GO171" s="373"/>
      <c r="GP171" s="444" t="s">
        <v>6</v>
      </c>
      <c r="GQ171" s="377"/>
      <c r="GR171" s="373"/>
      <c r="GS171" s="444" t="s">
        <v>6</v>
      </c>
      <c r="GT171" s="377"/>
      <c r="GU171" s="373"/>
      <c r="GV171" s="444" t="s">
        <v>6</v>
      </c>
      <c r="GW171" s="377"/>
      <c r="GX171" s="373"/>
      <c r="GY171" s="444"/>
      <c r="GZ171" s="377"/>
      <c r="HA171" s="373"/>
      <c r="HB171" s="444" t="s">
        <v>6</v>
      </c>
      <c r="HC171" s="377">
        <v>3</v>
      </c>
      <c r="HD171" s="373"/>
      <c r="HE171" s="444">
        <v>100</v>
      </c>
      <c r="HF171" s="377"/>
      <c r="HG171" s="373"/>
      <c r="HH171" s="444" t="s">
        <v>6</v>
      </c>
      <c r="HI171" s="377"/>
      <c r="HJ171" s="373"/>
      <c r="HK171" s="444"/>
      <c r="HL171" s="377">
        <v>4</v>
      </c>
      <c r="HM171" s="373">
        <v>3</v>
      </c>
      <c r="HN171" s="444">
        <v>57.1</v>
      </c>
      <c r="HO171" s="377">
        <v>18</v>
      </c>
      <c r="HP171" s="373">
        <v>11</v>
      </c>
      <c r="HQ171" s="444">
        <v>62.1</v>
      </c>
      <c r="HR171" s="377">
        <v>2</v>
      </c>
      <c r="HS171" s="373">
        <v>3</v>
      </c>
      <c r="HT171" s="444">
        <v>40</v>
      </c>
      <c r="HU171" s="377"/>
      <c r="HV171" s="373"/>
      <c r="HW171" s="444"/>
      <c r="HX171" s="377">
        <v>1</v>
      </c>
      <c r="HY171" s="373"/>
      <c r="HZ171" s="444">
        <v>100</v>
      </c>
      <c r="IA171" s="377">
        <v>2</v>
      </c>
      <c r="IB171" s="373"/>
      <c r="IC171" s="444">
        <v>100</v>
      </c>
      <c r="ID171" s="377"/>
      <c r="IE171" s="373"/>
      <c r="IF171" s="444" t="s">
        <v>6</v>
      </c>
      <c r="IG171" s="377"/>
      <c r="IH171" s="373"/>
      <c r="II171" s="444"/>
      <c r="IJ171" s="377"/>
      <c r="IK171" s="373"/>
      <c r="IL171" s="444" t="s">
        <v>6</v>
      </c>
      <c r="IM171" s="377">
        <v>1</v>
      </c>
      <c r="IN171" s="373"/>
      <c r="IO171" s="444">
        <v>100</v>
      </c>
      <c r="IP171" s="377"/>
      <c r="IQ171" s="373"/>
      <c r="IR171" s="444" t="s">
        <v>6</v>
      </c>
      <c r="IS171" s="377"/>
      <c r="IT171" s="373"/>
      <c r="IU171" s="444"/>
      <c r="IV171" s="377">
        <v>126</v>
      </c>
      <c r="IW171" s="373">
        <v>174</v>
      </c>
      <c r="IX171" s="444">
        <v>42</v>
      </c>
      <c r="IY171" s="377">
        <v>124</v>
      </c>
      <c r="IZ171" s="373">
        <v>131</v>
      </c>
      <c r="JA171" s="444">
        <v>48.6</v>
      </c>
      <c r="JB171" s="377">
        <v>158</v>
      </c>
      <c r="JC171" s="373">
        <v>108</v>
      </c>
      <c r="JD171" s="444">
        <v>59.4</v>
      </c>
      <c r="JE171" s="377"/>
      <c r="JF171" s="373"/>
      <c r="JG171" s="444"/>
      <c r="JH171" s="377">
        <v>15</v>
      </c>
      <c r="JI171" s="373">
        <v>17</v>
      </c>
      <c r="JJ171" s="444">
        <v>46.9</v>
      </c>
      <c r="JK171" s="377">
        <v>32</v>
      </c>
      <c r="JL171" s="373">
        <v>10</v>
      </c>
      <c r="JM171" s="444">
        <v>76.2</v>
      </c>
      <c r="JN171" s="377">
        <v>33</v>
      </c>
      <c r="JO171" s="373">
        <v>9</v>
      </c>
      <c r="JP171" s="444">
        <v>78.599999999999994</v>
      </c>
      <c r="JQ171" s="377"/>
      <c r="JR171" s="373"/>
      <c r="JS171" s="444"/>
      <c r="JT171" s="377"/>
      <c r="JU171" s="373"/>
      <c r="JV171" s="444" t="s">
        <v>6</v>
      </c>
      <c r="JW171" s="377">
        <v>1</v>
      </c>
      <c r="JX171" s="373"/>
      <c r="JY171" s="444">
        <v>100</v>
      </c>
      <c r="JZ171" s="377">
        <v>2</v>
      </c>
      <c r="KA171" s="373"/>
      <c r="KB171" s="444">
        <v>100</v>
      </c>
      <c r="KC171" s="377"/>
      <c r="KD171" s="373"/>
      <c r="KE171" s="444"/>
      <c r="KF171" s="377"/>
      <c r="KG171" s="373"/>
      <c r="KH171" s="444" t="s">
        <v>6</v>
      </c>
      <c r="KI171" s="377"/>
      <c r="KJ171" s="373"/>
      <c r="KK171" s="444" t="s">
        <v>6</v>
      </c>
      <c r="KL171" s="377"/>
      <c r="KM171" s="373"/>
      <c r="KN171" s="444" t="s">
        <v>6</v>
      </c>
      <c r="KO171" s="377"/>
      <c r="KP171" s="373"/>
      <c r="KQ171" s="444"/>
      <c r="KR171" s="377">
        <v>15</v>
      </c>
      <c r="KS171" s="373">
        <v>18</v>
      </c>
      <c r="KT171" s="444">
        <v>45.5</v>
      </c>
      <c r="KU171" s="377">
        <v>34</v>
      </c>
      <c r="KV171" s="373">
        <v>13</v>
      </c>
      <c r="KW171" s="444">
        <v>72.3</v>
      </c>
      <c r="KX171" s="377">
        <v>38</v>
      </c>
      <c r="KY171" s="373">
        <v>15</v>
      </c>
      <c r="KZ171" s="444">
        <v>71.7</v>
      </c>
      <c r="LA171" s="377"/>
      <c r="LB171" s="373"/>
      <c r="LC171" s="444"/>
      <c r="LD171" s="377">
        <v>165</v>
      </c>
      <c r="LE171" s="373">
        <v>189</v>
      </c>
      <c r="LF171" s="444">
        <v>46.6</v>
      </c>
      <c r="LG171" s="377">
        <v>235</v>
      </c>
      <c r="LH171" s="373">
        <v>151</v>
      </c>
      <c r="LI171" s="444">
        <v>60.9</v>
      </c>
      <c r="LJ171" s="377">
        <v>208</v>
      </c>
      <c r="LK171" s="373">
        <v>132</v>
      </c>
      <c r="LL171" s="444">
        <v>61.2</v>
      </c>
      <c r="LM171" s="377"/>
      <c r="LN171" s="373"/>
      <c r="LO171" s="444"/>
    </row>
    <row r="172" spans="1:327" x14ac:dyDescent="0.2">
      <c r="A172" s="1001"/>
      <c r="B172" s="747" t="s">
        <v>621</v>
      </c>
      <c r="C172" s="151" t="s">
        <v>753</v>
      </c>
      <c r="D172" s="377"/>
      <c r="E172" s="373"/>
      <c r="F172" s="444" t="s">
        <v>6</v>
      </c>
      <c r="G172" s="377"/>
      <c r="H172" s="373"/>
      <c r="I172" s="444" t="s">
        <v>6</v>
      </c>
      <c r="J172" s="377"/>
      <c r="K172" s="373"/>
      <c r="L172" s="444" t="s">
        <v>6</v>
      </c>
      <c r="M172" s="377"/>
      <c r="N172" s="373"/>
      <c r="O172" s="444"/>
      <c r="P172" s="377"/>
      <c r="Q172" s="373"/>
      <c r="R172" s="444" t="s">
        <v>6</v>
      </c>
      <c r="S172" s="377"/>
      <c r="T172" s="373"/>
      <c r="U172" s="444" t="s">
        <v>6</v>
      </c>
      <c r="V172" s="377"/>
      <c r="W172" s="373"/>
      <c r="X172" s="444" t="s">
        <v>6</v>
      </c>
      <c r="Y172" s="377"/>
      <c r="Z172" s="373"/>
      <c r="AA172" s="444"/>
      <c r="AB172" s="377"/>
      <c r="AC172" s="373"/>
      <c r="AD172" s="444" t="s">
        <v>6</v>
      </c>
      <c r="AE172" s="377"/>
      <c r="AF172" s="373"/>
      <c r="AG172" s="444" t="s">
        <v>6</v>
      </c>
      <c r="AH172" s="377"/>
      <c r="AI172" s="373"/>
      <c r="AJ172" s="444" t="s">
        <v>6</v>
      </c>
      <c r="AK172" s="377"/>
      <c r="AL172" s="373"/>
      <c r="AM172" s="444"/>
      <c r="AN172" s="377">
        <v>8</v>
      </c>
      <c r="AO172" s="373">
        <v>1</v>
      </c>
      <c r="AP172" s="444">
        <v>88.9</v>
      </c>
      <c r="AQ172" s="377">
        <v>3</v>
      </c>
      <c r="AR172" s="373"/>
      <c r="AS172" s="444">
        <v>100</v>
      </c>
      <c r="AT172" s="377">
        <v>10</v>
      </c>
      <c r="AU172" s="373"/>
      <c r="AV172" s="444">
        <v>100</v>
      </c>
      <c r="AW172" s="377"/>
      <c r="AX172" s="373"/>
      <c r="AY172" s="444"/>
      <c r="AZ172" s="377">
        <v>5</v>
      </c>
      <c r="BA172" s="373">
        <v>1</v>
      </c>
      <c r="BB172" s="444">
        <v>83.3</v>
      </c>
      <c r="BC172" s="377">
        <v>1</v>
      </c>
      <c r="BD172" s="373"/>
      <c r="BE172" s="444">
        <v>100</v>
      </c>
      <c r="BF172" s="377">
        <v>5</v>
      </c>
      <c r="BG172" s="373"/>
      <c r="BH172" s="444">
        <v>100</v>
      </c>
      <c r="BI172" s="377"/>
      <c r="BJ172" s="373"/>
      <c r="BK172" s="444"/>
      <c r="BL172" s="377"/>
      <c r="BM172" s="373"/>
      <c r="BN172" s="444" t="s">
        <v>6</v>
      </c>
      <c r="BO172" s="377"/>
      <c r="BP172" s="373"/>
      <c r="BQ172" s="444" t="s">
        <v>6</v>
      </c>
      <c r="BR172" s="377"/>
      <c r="BS172" s="373"/>
      <c r="BT172" s="444" t="s">
        <v>6</v>
      </c>
      <c r="BU172" s="377"/>
      <c r="BV172" s="373"/>
      <c r="BW172" s="444"/>
      <c r="BX172" s="377"/>
      <c r="BY172" s="373"/>
      <c r="BZ172" s="444" t="s">
        <v>6</v>
      </c>
      <c r="CA172" s="377"/>
      <c r="CB172" s="373"/>
      <c r="CC172" s="444" t="s">
        <v>6</v>
      </c>
      <c r="CD172" s="377"/>
      <c r="CE172" s="373"/>
      <c r="CF172" s="444" t="s">
        <v>6</v>
      </c>
      <c r="CG172" s="377"/>
      <c r="CH172" s="373"/>
      <c r="CI172" s="444"/>
      <c r="CJ172" s="377"/>
      <c r="CK172" s="373"/>
      <c r="CL172" s="444" t="s">
        <v>6</v>
      </c>
      <c r="CM172" s="377"/>
      <c r="CN172" s="373"/>
      <c r="CO172" s="444" t="s">
        <v>6</v>
      </c>
      <c r="CP172" s="377"/>
      <c r="CQ172" s="373"/>
      <c r="CR172" s="444" t="s">
        <v>6</v>
      </c>
      <c r="CS172" s="377"/>
      <c r="CT172" s="373"/>
      <c r="CU172" s="444"/>
      <c r="CV172" s="377">
        <v>14</v>
      </c>
      <c r="CW172" s="373"/>
      <c r="CX172" s="444">
        <v>100</v>
      </c>
      <c r="CY172" s="377">
        <v>5</v>
      </c>
      <c r="CZ172" s="373"/>
      <c r="DA172" s="444">
        <v>100</v>
      </c>
      <c r="DB172" s="377">
        <v>9</v>
      </c>
      <c r="DC172" s="373"/>
      <c r="DD172" s="444">
        <v>100</v>
      </c>
      <c r="DE172" s="377"/>
      <c r="DF172" s="373"/>
      <c r="DG172" s="444"/>
      <c r="DH172" s="377"/>
      <c r="DI172" s="373"/>
      <c r="DJ172" s="444" t="s">
        <v>6</v>
      </c>
      <c r="DK172" s="377"/>
      <c r="DL172" s="373"/>
      <c r="DM172" s="444" t="s">
        <v>6</v>
      </c>
      <c r="DN172" s="377"/>
      <c r="DO172" s="373"/>
      <c r="DP172" s="444" t="s">
        <v>6</v>
      </c>
      <c r="DQ172" s="377"/>
      <c r="DR172" s="373"/>
      <c r="DS172" s="444"/>
      <c r="DT172" s="377"/>
      <c r="DU172" s="373"/>
      <c r="DV172" s="444" t="s">
        <v>6</v>
      </c>
      <c r="DW172" s="377"/>
      <c r="DX172" s="373"/>
      <c r="DY172" s="444" t="s">
        <v>6</v>
      </c>
      <c r="DZ172" s="377">
        <v>2</v>
      </c>
      <c r="EA172" s="373"/>
      <c r="EB172" s="444">
        <v>100</v>
      </c>
      <c r="EC172" s="377"/>
      <c r="ED172" s="373"/>
      <c r="EE172" s="444"/>
      <c r="EF172" s="377">
        <v>123</v>
      </c>
      <c r="EG172" s="373">
        <v>172</v>
      </c>
      <c r="EH172" s="444">
        <v>41.7</v>
      </c>
      <c r="EI172" s="377">
        <v>116</v>
      </c>
      <c r="EJ172" s="373">
        <v>148</v>
      </c>
      <c r="EK172" s="444">
        <v>43.9</v>
      </c>
      <c r="EL172" s="377">
        <v>78</v>
      </c>
      <c r="EM172" s="373">
        <v>128</v>
      </c>
      <c r="EN172" s="444">
        <v>37.9</v>
      </c>
      <c r="EO172" s="377"/>
      <c r="EP172" s="373"/>
      <c r="EQ172" s="444"/>
      <c r="ER172" s="377">
        <v>1</v>
      </c>
      <c r="ES172" s="373"/>
      <c r="ET172" s="444">
        <v>100</v>
      </c>
      <c r="EU172" s="377">
        <v>1</v>
      </c>
      <c r="EV172" s="373"/>
      <c r="EW172" s="444">
        <v>100</v>
      </c>
      <c r="EX172" s="377"/>
      <c r="EY172" s="373"/>
      <c r="EZ172" s="444" t="s">
        <v>6</v>
      </c>
      <c r="FA172" s="377"/>
      <c r="FB172" s="373"/>
      <c r="FC172" s="444"/>
      <c r="FD172" s="377"/>
      <c r="FE172" s="373">
        <v>4</v>
      </c>
      <c r="FF172" s="444">
        <v>0</v>
      </c>
      <c r="FG172" s="377">
        <v>4</v>
      </c>
      <c r="FH172" s="373">
        <v>2</v>
      </c>
      <c r="FI172" s="444">
        <v>66.7</v>
      </c>
      <c r="FJ172" s="377">
        <v>2</v>
      </c>
      <c r="FK172" s="373">
        <v>2</v>
      </c>
      <c r="FL172" s="444">
        <v>50</v>
      </c>
      <c r="FM172" s="377"/>
      <c r="FN172" s="373"/>
      <c r="FO172" s="444"/>
      <c r="FP172" s="377">
        <v>34</v>
      </c>
      <c r="FQ172" s="373">
        <v>44</v>
      </c>
      <c r="FR172" s="444">
        <v>43.6</v>
      </c>
      <c r="FS172" s="377">
        <v>20</v>
      </c>
      <c r="FT172" s="373">
        <v>33</v>
      </c>
      <c r="FU172" s="444">
        <v>37.700000000000003</v>
      </c>
      <c r="FV172" s="377">
        <v>12</v>
      </c>
      <c r="FW172" s="373">
        <v>11</v>
      </c>
      <c r="FX172" s="444">
        <v>52.2</v>
      </c>
      <c r="FY172" s="377"/>
      <c r="FZ172" s="373"/>
      <c r="GA172" s="444"/>
      <c r="GB172" s="377">
        <v>3</v>
      </c>
      <c r="GC172" s="373"/>
      <c r="GD172" s="444">
        <v>100</v>
      </c>
      <c r="GE172" s="377">
        <v>1</v>
      </c>
      <c r="GF172" s="373"/>
      <c r="GG172" s="444">
        <v>100</v>
      </c>
      <c r="GH172" s="377">
        <v>2</v>
      </c>
      <c r="GI172" s="373"/>
      <c r="GJ172" s="444">
        <v>100</v>
      </c>
      <c r="GK172" s="377"/>
      <c r="GL172" s="373"/>
      <c r="GM172" s="444"/>
      <c r="GN172" s="377"/>
      <c r="GO172" s="373"/>
      <c r="GP172" s="444" t="s">
        <v>6</v>
      </c>
      <c r="GQ172" s="377"/>
      <c r="GR172" s="373"/>
      <c r="GS172" s="444" t="s">
        <v>6</v>
      </c>
      <c r="GT172" s="377"/>
      <c r="GU172" s="373"/>
      <c r="GV172" s="444" t="s">
        <v>6</v>
      </c>
      <c r="GW172" s="377"/>
      <c r="GX172" s="373"/>
      <c r="GY172" s="444"/>
      <c r="GZ172" s="377"/>
      <c r="HA172" s="373"/>
      <c r="HB172" s="444" t="s">
        <v>6</v>
      </c>
      <c r="HC172" s="377"/>
      <c r="HD172" s="373"/>
      <c r="HE172" s="444" t="s">
        <v>6</v>
      </c>
      <c r="HF172" s="377"/>
      <c r="HG172" s="373"/>
      <c r="HH172" s="444" t="s">
        <v>6</v>
      </c>
      <c r="HI172" s="377"/>
      <c r="HJ172" s="373"/>
      <c r="HK172" s="444"/>
      <c r="HL172" s="377">
        <v>19</v>
      </c>
      <c r="HM172" s="373">
        <v>20</v>
      </c>
      <c r="HN172" s="444">
        <v>48.7</v>
      </c>
      <c r="HO172" s="377">
        <v>6</v>
      </c>
      <c r="HP172" s="373">
        <v>6</v>
      </c>
      <c r="HQ172" s="444">
        <v>50</v>
      </c>
      <c r="HR172" s="377">
        <v>5</v>
      </c>
      <c r="HS172" s="373">
        <v>7</v>
      </c>
      <c r="HT172" s="444">
        <v>41.7</v>
      </c>
      <c r="HU172" s="377"/>
      <c r="HV172" s="373"/>
      <c r="HW172" s="444"/>
      <c r="HX172" s="377">
        <v>3</v>
      </c>
      <c r="HY172" s="373"/>
      <c r="HZ172" s="444">
        <v>100</v>
      </c>
      <c r="IA172" s="377"/>
      <c r="IB172" s="373"/>
      <c r="IC172" s="444" t="s">
        <v>6</v>
      </c>
      <c r="ID172" s="377"/>
      <c r="IE172" s="373"/>
      <c r="IF172" s="444" t="s">
        <v>6</v>
      </c>
      <c r="IG172" s="377"/>
      <c r="IH172" s="373"/>
      <c r="II172" s="444"/>
      <c r="IJ172" s="377"/>
      <c r="IK172" s="373"/>
      <c r="IL172" s="444" t="s">
        <v>6</v>
      </c>
      <c r="IM172" s="377">
        <v>1</v>
      </c>
      <c r="IN172" s="373"/>
      <c r="IO172" s="444">
        <v>100</v>
      </c>
      <c r="IP172" s="377">
        <v>1</v>
      </c>
      <c r="IQ172" s="373"/>
      <c r="IR172" s="444">
        <v>100</v>
      </c>
      <c r="IS172" s="377"/>
      <c r="IT172" s="373"/>
      <c r="IU172" s="444"/>
      <c r="IV172" s="377">
        <v>170</v>
      </c>
      <c r="IW172" s="373">
        <v>193</v>
      </c>
      <c r="IX172" s="444">
        <v>46.8</v>
      </c>
      <c r="IY172" s="377">
        <v>132</v>
      </c>
      <c r="IZ172" s="373">
        <v>154</v>
      </c>
      <c r="JA172" s="444">
        <v>46.2</v>
      </c>
      <c r="JB172" s="377">
        <v>107</v>
      </c>
      <c r="JC172" s="373">
        <v>135</v>
      </c>
      <c r="JD172" s="444">
        <v>44.2</v>
      </c>
      <c r="JE172" s="377"/>
      <c r="JF172" s="373"/>
      <c r="JG172" s="444"/>
      <c r="JH172" s="377">
        <v>44</v>
      </c>
      <c r="JI172" s="373">
        <v>20</v>
      </c>
      <c r="JJ172" s="444">
        <v>68.8</v>
      </c>
      <c r="JK172" s="377">
        <v>17</v>
      </c>
      <c r="JL172" s="373">
        <v>7</v>
      </c>
      <c r="JM172" s="444">
        <v>70.8</v>
      </c>
      <c r="JN172" s="377">
        <v>23</v>
      </c>
      <c r="JO172" s="373">
        <v>6</v>
      </c>
      <c r="JP172" s="444">
        <v>79.3</v>
      </c>
      <c r="JQ172" s="377"/>
      <c r="JR172" s="373"/>
      <c r="JS172" s="444"/>
      <c r="JT172" s="377"/>
      <c r="JU172" s="373"/>
      <c r="JV172" s="444" t="s">
        <v>6</v>
      </c>
      <c r="JW172" s="377">
        <v>1</v>
      </c>
      <c r="JX172" s="373"/>
      <c r="JY172" s="444">
        <v>100</v>
      </c>
      <c r="JZ172" s="377"/>
      <c r="KA172" s="373"/>
      <c r="KB172" s="444" t="s">
        <v>6</v>
      </c>
      <c r="KC172" s="377"/>
      <c r="KD172" s="373"/>
      <c r="KE172" s="444"/>
      <c r="KF172" s="377"/>
      <c r="KG172" s="373"/>
      <c r="KH172" s="444" t="s">
        <v>6</v>
      </c>
      <c r="KI172" s="377"/>
      <c r="KJ172" s="373"/>
      <c r="KK172" s="444" t="s">
        <v>6</v>
      </c>
      <c r="KL172" s="377"/>
      <c r="KM172" s="373">
        <v>1</v>
      </c>
      <c r="KN172" s="444">
        <v>0</v>
      </c>
      <c r="KO172" s="377"/>
      <c r="KP172" s="373"/>
      <c r="KQ172" s="444"/>
      <c r="KR172" s="377">
        <v>44</v>
      </c>
      <c r="KS172" s="373">
        <v>25</v>
      </c>
      <c r="KT172" s="444">
        <v>63.8</v>
      </c>
      <c r="KU172" s="377">
        <v>20</v>
      </c>
      <c r="KV172" s="373">
        <v>12</v>
      </c>
      <c r="KW172" s="444">
        <v>62.5</v>
      </c>
      <c r="KX172" s="377">
        <v>26</v>
      </c>
      <c r="KY172" s="373">
        <v>8</v>
      </c>
      <c r="KZ172" s="444">
        <v>76.5</v>
      </c>
      <c r="LA172" s="377"/>
      <c r="LB172" s="373"/>
      <c r="LC172" s="444"/>
      <c r="LD172" s="377">
        <v>305</v>
      </c>
      <c r="LE172" s="373">
        <v>229</v>
      </c>
      <c r="LF172" s="444">
        <v>57.1</v>
      </c>
      <c r="LG172" s="377">
        <v>582</v>
      </c>
      <c r="LH172" s="373">
        <v>214</v>
      </c>
      <c r="LI172" s="444">
        <v>73.099999999999994</v>
      </c>
      <c r="LJ172" s="377">
        <v>259</v>
      </c>
      <c r="LK172" s="373">
        <v>161</v>
      </c>
      <c r="LL172" s="444">
        <v>61.7</v>
      </c>
      <c r="LM172" s="377"/>
      <c r="LN172" s="373"/>
      <c r="LO172" s="444"/>
    </row>
    <row r="173" spans="1:327" ht="13.5" thickBot="1" x14ac:dyDescent="0.25">
      <c r="A173" s="1001"/>
      <c r="B173" s="748" t="s">
        <v>621</v>
      </c>
      <c r="C173" s="156" t="s">
        <v>626</v>
      </c>
      <c r="D173" s="377"/>
      <c r="E173" s="373"/>
      <c r="F173" s="444" t="s">
        <v>6</v>
      </c>
      <c r="G173" s="377"/>
      <c r="H173" s="373"/>
      <c r="I173" s="444" t="s">
        <v>6</v>
      </c>
      <c r="J173" s="377"/>
      <c r="K173" s="373"/>
      <c r="L173" s="444" t="s">
        <v>6</v>
      </c>
      <c r="M173" s="377"/>
      <c r="N173" s="373"/>
      <c r="O173" s="444"/>
      <c r="P173" s="377"/>
      <c r="Q173" s="373"/>
      <c r="R173" s="444" t="s">
        <v>6</v>
      </c>
      <c r="S173" s="377"/>
      <c r="T173" s="373"/>
      <c r="U173" s="444" t="s">
        <v>6</v>
      </c>
      <c r="V173" s="377"/>
      <c r="W173" s="373"/>
      <c r="X173" s="444" t="s">
        <v>6</v>
      </c>
      <c r="Y173" s="377"/>
      <c r="Z173" s="373"/>
      <c r="AA173" s="444"/>
      <c r="AB173" s="377"/>
      <c r="AC173" s="373"/>
      <c r="AD173" s="444" t="s">
        <v>6</v>
      </c>
      <c r="AE173" s="377"/>
      <c r="AF173" s="373"/>
      <c r="AG173" s="444" t="s">
        <v>6</v>
      </c>
      <c r="AH173" s="377"/>
      <c r="AI173" s="373"/>
      <c r="AJ173" s="444" t="s">
        <v>6</v>
      </c>
      <c r="AK173" s="377"/>
      <c r="AL173" s="373"/>
      <c r="AM173" s="444"/>
      <c r="AN173" s="377">
        <v>11</v>
      </c>
      <c r="AO173" s="373">
        <v>3</v>
      </c>
      <c r="AP173" s="444">
        <v>78.599999999999994</v>
      </c>
      <c r="AQ173" s="377">
        <v>14</v>
      </c>
      <c r="AR173" s="373"/>
      <c r="AS173" s="444">
        <v>100</v>
      </c>
      <c r="AT173" s="377">
        <v>10</v>
      </c>
      <c r="AU173" s="373">
        <v>1</v>
      </c>
      <c r="AV173" s="444">
        <v>90.9</v>
      </c>
      <c r="AW173" s="377"/>
      <c r="AX173" s="373"/>
      <c r="AY173" s="444"/>
      <c r="AZ173" s="377">
        <v>5</v>
      </c>
      <c r="BA173" s="373">
        <v>2</v>
      </c>
      <c r="BB173" s="444">
        <v>71.400000000000006</v>
      </c>
      <c r="BC173" s="377">
        <v>7</v>
      </c>
      <c r="BD173" s="373"/>
      <c r="BE173" s="444">
        <v>100</v>
      </c>
      <c r="BF173" s="377">
        <v>5</v>
      </c>
      <c r="BG173" s="373">
        <v>1</v>
      </c>
      <c r="BH173" s="444">
        <v>83.3</v>
      </c>
      <c r="BI173" s="377"/>
      <c r="BJ173" s="373"/>
      <c r="BK173" s="444"/>
      <c r="BL173" s="377"/>
      <c r="BM173" s="373"/>
      <c r="BN173" s="444" t="s">
        <v>6</v>
      </c>
      <c r="BO173" s="377"/>
      <c r="BP173" s="373"/>
      <c r="BQ173" s="444" t="s">
        <v>6</v>
      </c>
      <c r="BR173" s="377"/>
      <c r="BS173" s="373"/>
      <c r="BT173" s="444" t="s">
        <v>6</v>
      </c>
      <c r="BU173" s="377"/>
      <c r="BV173" s="373"/>
      <c r="BW173" s="444"/>
      <c r="BX173" s="377"/>
      <c r="BY173" s="373"/>
      <c r="BZ173" s="444" t="s">
        <v>6</v>
      </c>
      <c r="CA173" s="377"/>
      <c r="CB173" s="373"/>
      <c r="CC173" s="444" t="s">
        <v>6</v>
      </c>
      <c r="CD173" s="377"/>
      <c r="CE173" s="373"/>
      <c r="CF173" s="444" t="s">
        <v>6</v>
      </c>
      <c r="CG173" s="377"/>
      <c r="CH173" s="373"/>
      <c r="CI173" s="444"/>
      <c r="CJ173" s="377"/>
      <c r="CK173" s="373"/>
      <c r="CL173" s="444" t="s">
        <v>6</v>
      </c>
      <c r="CM173" s="377"/>
      <c r="CN173" s="373"/>
      <c r="CO173" s="444" t="s">
        <v>6</v>
      </c>
      <c r="CP173" s="377"/>
      <c r="CQ173" s="373"/>
      <c r="CR173" s="444" t="s">
        <v>6</v>
      </c>
      <c r="CS173" s="377"/>
      <c r="CT173" s="373"/>
      <c r="CU173" s="444"/>
      <c r="CV173" s="377">
        <v>11</v>
      </c>
      <c r="CW173" s="373">
        <v>1</v>
      </c>
      <c r="CX173" s="444">
        <v>91.7</v>
      </c>
      <c r="CY173" s="377">
        <v>20</v>
      </c>
      <c r="CZ173" s="373"/>
      <c r="DA173" s="444">
        <v>100</v>
      </c>
      <c r="DB173" s="377">
        <v>24</v>
      </c>
      <c r="DC173" s="373">
        <v>1</v>
      </c>
      <c r="DD173" s="444">
        <v>96</v>
      </c>
      <c r="DE173" s="377"/>
      <c r="DF173" s="373"/>
      <c r="DG173" s="444"/>
      <c r="DH173" s="377"/>
      <c r="DI173" s="373"/>
      <c r="DJ173" s="444" t="s">
        <v>6</v>
      </c>
      <c r="DK173" s="377"/>
      <c r="DL173" s="373"/>
      <c r="DM173" s="444" t="s">
        <v>6</v>
      </c>
      <c r="DN173" s="377">
        <v>1</v>
      </c>
      <c r="DO173" s="373"/>
      <c r="DP173" s="444">
        <v>100</v>
      </c>
      <c r="DQ173" s="377"/>
      <c r="DR173" s="373"/>
      <c r="DS173" s="444"/>
      <c r="DT173" s="377">
        <v>1</v>
      </c>
      <c r="DU173" s="373"/>
      <c r="DV173" s="444">
        <v>100</v>
      </c>
      <c r="DW173" s="377"/>
      <c r="DX173" s="373"/>
      <c r="DY173" s="444" t="s">
        <v>6</v>
      </c>
      <c r="DZ173" s="377">
        <v>1</v>
      </c>
      <c r="EA173" s="373"/>
      <c r="EB173" s="444">
        <v>100</v>
      </c>
      <c r="EC173" s="377"/>
      <c r="ED173" s="373"/>
      <c r="EE173" s="444"/>
      <c r="EF173" s="377">
        <v>110</v>
      </c>
      <c r="EG173" s="373">
        <v>190</v>
      </c>
      <c r="EH173" s="444">
        <v>36.700000000000003</v>
      </c>
      <c r="EI173" s="377">
        <v>107</v>
      </c>
      <c r="EJ173" s="373">
        <v>204</v>
      </c>
      <c r="EK173" s="444">
        <v>34.4</v>
      </c>
      <c r="EL173" s="377">
        <v>86</v>
      </c>
      <c r="EM173" s="373">
        <v>115</v>
      </c>
      <c r="EN173" s="444">
        <v>42.8</v>
      </c>
      <c r="EO173" s="377"/>
      <c r="EP173" s="373"/>
      <c r="EQ173" s="444"/>
      <c r="ER173" s="377"/>
      <c r="ES173" s="373">
        <v>1</v>
      </c>
      <c r="ET173" s="444">
        <v>0</v>
      </c>
      <c r="EU173" s="377"/>
      <c r="EV173" s="373">
        <v>1</v>
      </c>
      <c r="EW173" s="444">
        <v>0</v>
      </c>
      <c r="EX173" s="377"/>
      <c r="EY173" s="373"/>
      <c r="EZ173" s="444" t="s">
        <v>6</v>
      </c>
      <c r="FA173" s="377"/>
      <c r="FB173" s="373"/>
      <c r="FC173" s="444"/>
      <c r="FD173" s="377"/>
      <c r="FE173" s="373">
        <v>1</v>
      </c>
      <c r="FF173" s="444">
        <v>0</v>
      </c>
      <c r="FG173" s="377">
        <v>1</v>
      </c>
      <c r="FH173" s="373">
        <v>2</v>
      </c>
      <c r="FI173" s="444">
        <v>33.299999999999997</v>
      </c>
      <c r="FJ173" s="377"/>
      <c r="FK173" s="373"/>
      <c r="FL173" s="444" t="s">
        <v>6</v>
      </c>
      <c r="FM173" s="377"/>
      <c r="FN173" s="373"/>
      <c r="FO173" s="444"/>
      <c r="FP173" s="377">
        <v>38</v>
      </c>
      <c r="FQ173" s="373">
        <v>57</v>
      </c>
      <c r="FR173" s="444">
        <v>40</v>
      </c>
      <c r="FS173" s="377">
        <v>28</v>
      </c>
      <c r="FT173" s="373">
        <v>38</v>
      </c>
      <c r="FU173" s="444">
        <v>42.4</v>
      </c>
      <c r="FV173" s="377">
        <v>24</v>
      </c>
      <c r="FW173" s="373">
        <v>26</v>
      </c>
      <c r="FX173" s="444">
        <v>48</v>
      </c>
      <c r="FY173" s="377"/>
      <c r="FZ173" s="373"/>
      <c r="GA173" s="444"/>
      <c r="GB173" s="377">
        <v>5</v>
      </c>
      <c r="GC173" s="373"/>
      <c r="GD173" s="444">
        <v>100</v>
      </c>
      <c r="GE173" s="377">
        <v>1</v>
      </c>
      <c r="GF173" s="373"/>
      <c r="GG173" s="444">
        <v>100</v>
      </c>
      <c r="GH173" s="377">
        <v>2</v>
      </c>
      <c r="GI173" s="373"/>
      <c r="GJ173" s="444">
        <v>100</v>
      </c>
      <c r="GK173" s="377"/>
      <c r="GL173" s="373"/>
      <c r="GM173" s="444"/>
      <c r="GN173" s="377">
        <v>1</v>
      </c>
      <c r="GO173" s="373"/>
      <c r="GP173" s="444">
        <v>100</v>
      </c>
      <c r="GQ173" s="377">
        <v>1</v>
      </c>
      <c r="GR173" s="373"/>
      <c r="GS173" s="444">
        <v>100</v>
      </c>
      <c r="GT173" s="377"/>
      <c r="GU173" s="373">
        <v>1</v>
      </c>
      <c r="GV173" s="444">
        <v>0</v>
      </c>
      <c r="GW173" s="377"/>
      <c r="GX173" s="373"/>
      <c r="GY173" s="444"/>
      <c r="GZ173" s="377"/>
      <c r="HA173" s="373"/>
      <c r="HB173" s="444" t="s">
        <v>6</v>
      </c>
      <c r="HC173" s="377">
        <v>1</v>
      </c>
      <c r="HD173" s="373">
        <v>1</v>
      </c>
      <c r="HE173" s="444">
        <v>50</v>
      </c>
      <c r="HF173" s="377"/>
      <c r="HG173" s="373"/>
      <c r="HH173" s="444" t="s">
        <v>6</v>
      </c>
      <c r="HI173" s="377"/>
      <c r="HJ173" s="373"/>
      <c r="HK173" s="444"/>
      <c r="HL173" s="377">
        <v>8</v>
      </c>
      <c r="HM173" s="373">
        <v>6</v>
      </c>
      <c r="HN173" s="444">
        <v>57.1</v>
      </c>
      <c r="HO173" s="377">
        <v>8</v>
      </c>
      <c r="HP173" s="373">
        <v>11</v>
      </c>
      <c r="HQ173" s="444">
        <v>42.1</v>
      </c>
      <c r="HR173" s="377">
        <v>4</v>
      </c>
      <c r="HS173" s="373">
        <v>4</v>
      </c>
      <c r="HT173" s="444">
        <v>50</v>
      </c>
      <c r="HU173" s="377"/>
      <c r="HV173" s="373"/>
      <c r="HW173" s="444"/>
      <c r="HX173" s="377">
        <v>1</v>
      </c>
      <c r="HY173" s="373"/>
      <c r="HZ173" s="444">
        <v>100</v>
      </c>
      <c r="IA173" s="377">
        <v>2</v>
      </c>
      <c r="IB173" s="373"/>
      <c r="IC173" s="444">
        <v>100</v>
      </c>
      <c r="ID173" s="377">
        <v>3</v>
      </c>
      <c r="IE173" s="373"/>
      <c r="IF173" s="444">
        <v>100</v>
      </c>
      <c r="IG173" s="377"/>
      <c r="IH173" s="373"/>
      <c r="II173" s="444"/>
      <c r="IJ173" s="377"/>
      <c r="IK173" s="373">
        <v>1</v>
      </c>
      <c r="IL173" s="444">
        <v>0</v>
      </c>
      <c r="IM173" s="377">
        <v>2</v>
      </c>
      <c r="IN173" s="373"/>
      <c r="IO173" s="444">
        <v>100</v>
      </c>
      <c r="IP173" s="377">
        <v>1</v>
      </c>
      <c r="IQ173" s="373"/>
      <c r="IR173" s="444">
        <v>100</v>
      </c>
      <c r="IS173" s="377"/>
      <c r="IT173" s="373"/>
      <c r="IU173" s="444"/>
      <c r="IV173" s="377">
        <v>148</v>
      </c>
      <c r="IW173" s="373">
        <v>201</v>
      </c>
      <c r="IX173" s="444">
        <v>42.4</v>
      </c>
      <c r="IY173" s="377">
        <v>156</v>
      </c>
      <c r="IZ173" s="373">
        <v>216</v>
      </c>
      <c r="JA173" s="444">
        <v>41.9</v>
      </c>
      <c r="JB173" s="377">
        <v>132</v>
      </c>
      <c r="JC173" s="373">
        <v>122</v>
      </c>
      <c r="JD173" s="444">
        <v>52</v>
      </c>
      <c r="JE173" s="377"/>
      <c r="JF173" s="373"/>
      <c r="JG173" s="444"/>
      <c r="JH173" s="377">
        <v>29</v>
      </c>
      <c r="JI173" s="373">
        <v>8</v>
      </c>
      <c r="JJ173" s="444">
        <v>78.400000000000006</v>
      </c>
      <c r="JK173" s="377">
        <v>21</v>
      </c>
      <c r="JL173" s="373">
        <v>11</v>
      </c>
      <c r="JM173" s="444">
        <v>65.599999999999994</v>
      </c>
      <c r="JN173" s="377">
        <v>25</v>
      </c>
      <c r="JO173" s="373">
        <v>11</v>
      </c>
      <c r="JP173" s="444">
        <v>69.400000000000006</v>
      </c>
      <c r="JQ173" s="377"/>
      <c r="JR173" s="373"/>
      <c r="JS173" s="444"/>
      <c r="JT173" s="377"/>
      <c r="JU173" s="373"/>
      <c r="JV173" s="444" t="s">
        <v>6</v>
      </c>
      <c r="JW173" s="377"/>
      <c r="JX173" s="373"/>
      <c r="JY173" s="444" t="s">
        <v>6</v>
      </c>
      <c r="JZ173" s="377">
        <v>1</v>
      </c>
      <c r="KA173" s="373">
        <v>1</v>
      </c>
      <c r="KB173" s="444">
        <v>50</v>
      </c>
      <c r="KC173" s="377"/>
      <c r="KD173" s="373"/>
      <c r="KE173" s="444"/>
      <c r="KF173" s="377"/>
      <c r="KG173" s="373"/>
      <c r="KH173" s="444" t="s">
        <v>6</v>
      </c>
      <c r="KI173" s="377"/>
      <c r="KJ173" s="373"/>
      <c r="KK173" s="444" t="s">
        <v>6</v>
      </c>
      <c r="KL173" s="377"/>
      <c r="KM173" s="373"/>
      <c r="KN173" s="444" t="s">
        <v>6</v>
      </c>
      <c r="KO173" s="377"/>
      <c r="KP173" s="373"/>
      <c r="KQ173" s="444"/>
      <c r="KR173" s="377">
        <v>31</v>
      </c>
      <c r="KS173" s="373">
        <v>16</v>
      </c>
      <c r="KT173" s="444">
        <v>66</v>
      </c>
      <c r="KU173" s="377">
        <v>29</v>
      </c>
      <c r="KV173" s="373">
        <v>16</v>
      </c>
      <c r="KW173" s="444">
        <v>64.400000000000006</v>
      </c>
      <c r="KX173" s="377">
        <v>40</v>
      </c>
      <c r="KY173" s="373">
        <v>14</v>
      </c>
      <c r="KZ173" s="444">
        <v>74.099999999999994</v>
      </c>
      <c r="LA173" s="377"/>
      <c r="LB173" s="373"/>
      <c r="LC173" s="444"/>
      <c r="LD173" s="377">
        <v>255</v>
      </c>
      <c r="LE173" s="373">
        <v>234</v>
      </c>
      <c r="LF173" s="444">
        <v>52.1</v>
      </c>
      <c r="LG173" s="377">
        <v>324</v>
      </c>
      <c r="LH173" s="373">
        <v>259</v>
      </c>
      <c r="LI173" s="444">
        <v>55.6</v>
      </c>
      <c r="LJ173" s="377">
        <v>223</v>
      </c>
      <c r="LK173" s="373">
        <v>201</v>
      </c>
      <c r="LL173" s="444">
        <v>52.6</v>
      </c>
      <c r="LM173" s="377"/>
      <c r="LN173" s="373"/>
      <c r="LO173" s="444"/>
    </row>
    <row r="174" spans="1:327" s="259" customFormat="1" ht="13.5" thickBot="1" x14ac:dyDescent="0.25">
      <c r="A174" s="1002"/>
      <c r="B174" s="751"/>
      <c r="C174" s="189" t="s">
        <v>792</v>
      </c>
      <c r="D174" s="384">
        <v>1</v>
      </c>
      <c r="E174" s="385"/>
      <c r="F174" s="451">
        <v>100</v>
      </c>
      <c r="G174" s="384">
        <v>1</v>
      </c>
      <c r="H174" s="385"/>
      <c r="I174" s="451">
        <v>100</v>
      </c>
      <c r="J174" s="384">
        <v>1</v>
      </c>
      <c r="K174" s="385"/>
      <c r="L174" s="451">
        <v>100</v>
      </c>
      <c r="M174" s="384"/>
      <c r="N174" s="385"/>
      <c r="O174" s="451"/>
      <c r="P174" s="384">
        <v>1</v>
      </c>
      <c r="Q174" s="385"/>
      <c r="R174" s="451">
        <v>100</v>
      </c>
      <c r="S174" s="384"/>
      <c r="T174" s="385"/>
      <c r="U174" s="451" t="s">
        <v>6</v>
      </c>
      <c r="V174" s="384">
        <v>1</v>
      </c>
      <c r="W174" s="385"/>
      <c r="X174" s="451">
        <v>100</v>
      </c>
      <c r="Y174" s="384"/>
      <c r="Z174" s="385"/>
      <c r="AA174" s="451"/>
      <c r="AB174" s="384"/>
      <c r="AC174" s="385"/>
      <c r="AD174" s="451" t="s">
        <v>6</v>
      </c>
      <c r="AE174" s="384"/>
      <c r="AF174" s="385"/>
      <c r="AG174" s="451" t="s">
        <v>6</v>
      </c>
      <c r="AH174" s="384"/>
      <c r="AI174" s="385"/>
      <c r="AJ174" s="451" t="s">
        <v>6</v>
      </c>
      <c r="AK174" s="384"/>
      <c r="AL174" s="385"/>
      <c r="AM174" s="451"/>
      <c r="AN174" s="384">
        <v>53</v>
      </c>
      <c r="AO174" s="385">
        <v>21</v>
      </c>
      <c r="AP174" s="451">
        <v>71.599999999999994</v>
      </c>
      <c r="AQ174" s="384">
        <v>67</v>
      </c>
      <c r="AR174" s="385">
        <v>5</v>
      </c>
      <c r="AS174" s="451">
        <v>93.1</v>
      </c>
      <c r="AT174" s="384">
        <v>78</v>
      </c>
      <c r="AU174" s="385">
        <v>9</v>
      </c>
      <c r="AV174" s="451">
        <v>89.7</v>
      </c>
      <c r="AW174" s="384"/>
      <c r="AX174" s="385"/>
      <c r="AY174" s="451"/>
      <c r="AZ174" s="384">
        <v>28</v>
      </c>
      <c r="BA174" s="385">
        <v>17</v>
      </c>
      <c r="BB174" s="451">
        <v>62.2</v>
      </c>
      <c r="BC174" s="384">
        <v>37</v>
      </c>
      <c r="BD174" s="385">
        <v>5</v>
      </c>
      <c r="BE174" s="451">
        <v>88.1</v>
      </c>
      <c r="BF174" s="384">
        <v>36</v>
      </c>
      <c r="BG174" s="385">
        <v>5</v>
      </c>
      <c r="BH174" s="451">
        <v>87.8</v>
      </c>
      <c r="BI174" s="384"/>
      <c r="BJ174" s="385"/>
      <c r="BK174" s="451"/>
      <c r="BL174" s="384"/>
      <c r="BM174" s="385"/>
      <c r="BN174" s="451" t="s">
        <v>6</v>
      </c>
      <c r="BO174" s="384"/>
      <c r="BP174" s="385"/>
      <c r="BQ174" s="451" t="s">
        <v>6</v>
      </c>
      <c r="BR174" s="384">
        <v>1</v>
      </c>
      <c r="BS174" s="385"/>
      <c r="BT174" s="451">
        <v>100</v>
      </c>
      <c r="BU174" s="384"/>
      <c r="BV174" s="385"/>
      <c r="BW174" s="451"/>
      <c r="BX174" s="384"/>
      <c r="BY174" s="385"/>
      <c r="BZ174" s="451" t="s">
        <v>6</v>
      </c>
      <c r="CA174" s="384"/>
      <c r="CB174" s="385"/>
      <c r="CC174" s="451" t="s">
        <v>6</v>
      </c>
      <c r="CD174" s="384"/>
      <c r="CE174" s="385"/>
      <c r="CF174" s="451" t="s">
        <v>6</v>
      </c>
      <c r="CG174" s="384"/>
      <c r="CH174" s="385"/>
      <c r="CI174" s="451"/>
      <c r="CJ174" s="384"/>
      <c r="CK174" s="385"/>
      <c r="CL174" s="451" t="s">
        <v>6</v>
      </c>
      <c r="CM174" s="384"/>
      <c r="CN174" s="385"/>
      <c r="CO174" s="451" t="s">
        <v>6</v>
      </c>
      <c r="CP174" s="384"/>
      <c r="CQ174" s="385"/>
      <c r="CR174" s="451" t="s">
        <v>6</v>
      </c>
      <c r="CS174" s="384"/>
      <c r="CT174" s="385"/>
      <c r="CU174" s="451"/>
      <c r="CV174" s="384">
        <v>44</v>
      </c>
      <c r="CW174" s="385">
        <v>7</v>
      </c>
      <c r="CX174" s="451">
        <v>86.3</v>
      </c>
      <c r="CY174" s="384">
        <v>50</v>
      </c>
      <c r="CZ174" s="385"/>
      <c r="DA174" s="451">
        <v>100</v>
      </c>
      <c r="DB174" s="384">
        <v>67</v>
      </c>
      <c r="DC174" s="385">
        <v>4</v>
      </c>
      <c r="DD174" s="451">
        <v>94.4</v>
      </c>
      <c r="DE174" s="384"/>
      <c r="DF174" s="385"/>
      <c r="DG174" s="451"/>
      <c r="DH174" s="384">
        <v>2</v>
      </c>
      <c r="DI174" s="385"/>
      <c r="DJ174" s="451">
        <v>100</v>
      </c>
      <c r="DK174" s="384">
        <v>1</v>
      </c>
      <c r="DL174" s="385"/>
      <c r="DM174" s="451">
        <v>100</v>
      </c>
      <c r="DN174" s="384">
        <v>3</v>
      </c>
      <c r="DO174" s="385"/>
      <c r="DP174" s="451">
        <v>100</v>
      </c>
      <c r="DQ174" s="384"/>
      <c r="DR174" s="385"/>
      <c r="DS174" s="451"/>
      <c r="DT174" s="384">
        <v>2</v>
      </c>
      <c r="DU174" s="385">
        <v>1</v>
      </c>
      <c r="DV174" s="451">
        <v>66.7</v>
      </c>
      <c r="DW174" s="384">
        <v>2</v>
      </c>
      <c r="DX174" s="385"/>
      <c r="DY174" s="451">
        <v>100</v>
      </c>
      <c r="DZ174" s="384">
        <v>10</v>
      </c>
      <c r="EA174" s="385"/>
      <c r="EB174" s="451">
        <v>100</v>
      </c>
      <c r="EC174" s="384"/>
      <c r="ED174" s="385"/>
      <c r="EE174" s="451"/>
      <c r="EF174" s="384">
        <v>619</v>
      </c>
      <c r="EG174" s="385">
        <v>1328</v>
      </c>
      <c r="EH174" s="451">
        <v>31.8</v>
      </c>
      <c r="EI174" s="384">
        <v>594</v>
      </c>
      <c r="EJ174" s="385">
        <v>1008</v>
      </c>
      <c r="EK174" s="451">
        <v>37.1</v>
      </c>
      <c r="EL174" s="384">
        <v>581</v>
      </c>
      <c r="EM174" s="385">
        <v>758</v>
      </c>
      <c r="EN174" s="451">
        <v>43.4</v>
      </c>
      <c r="EO174" s="384"/>
      <c r="EP174" s="385"/>
      <c r="EQ174" s="451"/>
      <c r="ER174" s="384">
        <v>20</v>
      </c>
      <c r="ES174" s="385">
        <v>11</v>
      </c>
      <c r="ET174" s="451">
        <v>64.5</v>
      </c>
      <c r="EU174" s="384">
        <v>5</v>
      </c>
      <c r="EV174" s="385">
        <v>2</v>
      </c>
      <c r="EW174" s="451">
        <v>71.400000000000006</v>
      </c>
      <c r="EX174" s="384">
        <v>1</v>
      </c>
      <c r="EY174" s="385"/>
      <c r="EZ174" s="451">
        <v>100</v>
      </c>
      <c r="FA174" s="384"/>
      <c r="FB174" s="385"/>
      <c r="FC174" s="451"/>
      <c r="FD174" s="384">
        <v>1</v>
      </c>
      <c r="FE174" s="385">
        <v>32</v>
      </c>
      <c r="FF174" s="451">
        <v>3</v>
      </c>
      <c r="FG174" s="384">
        <v>6</v>
      </c>
      <c r="FH174" s="385">
        <v>13</v>
      </c>
      <c r="FI174" s="451">
        <v>31.6</v>
      </c>
      <c r="FJ174" s="384">
        <v>13</v>
      </c>
      <c r="FK174" s="385">
        <v>7</v>
      </c>
      <c r="FL174" s="451">
        <v>65</v>
      </c>
      <c r="FM174" s="384"/>
      <c r="FN174" s="385"/>
      <c r="FO174" s="451"/>
      <c r="FP174" s="384">
        <v>163</v>
      </c>
      <c r="FQ174" s="385">
        <v>340</v>
      </c>
      <c r="FR174" s="451">
        <v>32.4</v>
      </c>
      <c r="FS174" s="384">
        <v>141</v>
      </c>
      <c r="FT174" s="385">
        <v>212</v>
      </c>
      <c r="FU174" s="451">
        <v>39.9</v>
      </c>
      <c r="FV174" s="384">
        <v>120</v>
      </c>
      <c r="FW174" s="385">
        <v>130</v>
      </c>
      <c r="FX174" s="451">
        <v>48</v>
      </c>
      <c r="FY174" s="384"/>
      <c r="FZ174" s="385"/>
      <c r="GA174" s="451"/>
      <c r="GB174" s="384">
        <v>12</v>
      </c>
      <c r="GC174" s="385">
        <v>1</v>
      </c>
      <c r="GD174" s="451">
        <v>92.3</v>
      </c>
      <c r="GE174" s="384">
        <v>12</v>
      </c>
      <c r="GF174" s="385"/>
      <c r="GG174" s="451">
        <v>100</v>
      </c>
      <c r="GH174" s="384">
        <v>13</v>
      </c>
      <c r="GI174" s="385">
        <v>2</v>
      </c>
      <c r="GJ174" s="451">
        <v>86.7</v>
      </c>
      <c r="GK174" s="384"/>
      <c r="GL174" s="385"/>
      <c r="GM174" s="451"/>
      <c r="GN174" s="384">
        <v>1</v>
      </c>
      <c r="GO174" s="385">
        <v>1</v>
      </c>
      <c r="GP174" s="451">
        <v>50</v>
      </c>
      <c r="GQ174" s="384">
        <v>2</v>
      </c>
      <c r="GR174" s="385"/>
      <c r="GS174" s="451">
        <v>100</v>
      </c>
      <c r="GT174" s="384">
        <v>2</v>
      </c>
      <c r="GU174" s="385">
        <v>2</v>
      </c>
      <c r="GV174" s="451">
        <v>50</v>
      </c>
      <c r="GW174" s="384"/>
      <c r="GX174" s="385"/>
      <c r="GY174" s="451"/>
      <c r="GZ174" s="384"/>
      <c r="HA174" s="385"/>
      <c r="HB174" s="451" t="s">
        <v>6</v>
      </c>
      <c r="HC174" s="384">
        <v>7</v>
      </c>
      <c r="HD174" s="385">
        <v>1</v>
      </c>
      <c r="HE174" s="451">
        <v>87.5</v>
      </c>
      <c r="HF174" s="384">
        <v>1</v>
      </c>
      <c r="HG174" s="385"/>
      <c r="HH174" s="451">
        <v>100</v>
      </c>
      <c r="HI174" s="384"/>
      <c r="HJ174" s="385"/>
      <c r="HK174" s="451"/>
      <c r="HL174" s="384">
        <v>49</v>
      </c>
      <c r="HM174" s="385">
        <v>67</v>
      </c>
      <c r="HN174" s="451">
        <v>42.2</v>
      </c>
      <c r="HO174" s="384">
        <v>55</v>
      </c>
      <c r="HP174" s="385">
        <v>62</v>
      </c>
      <c r="HQ174" s="451">
        <v>47</v>
      </c>
      <c r="HR174" s="384">
        <v>77</v>
      </c>
      <c r="HS174" s="385">
        <v>59</v>
      </c>
      <c r="HT174" s="451">
        <v>56.6</v>
      </c>
      <c r="HU174" s="384"/>
      <c r="HV174" s="385"/>
      <c r="HW174" s="451"/>
      <c r="HX174" s="384">
        <v>10</v>
      </c>
      <c r="HY174" s="385"/>
      <c r="HZ174" s="451">
        <v>100</v>
      </c>
      <c r="IA174" s="384">
        <v>7</v>
      </c>
      <c r="IB174" s="385"/>
      <c r="IC174" s="451">
        <v>100</v>
      </c>
      <c r="ID174" s="384">
        <v>4</v>
      </c>
      <c r="IE174" s="385"/>
      <c r="IF174" s="451">
        <v>100</v>
      </c>
      <c r="IG174" s="384"/>
      <c r="IH174" s="385"/>
      <c r="II174" s="451"/>
      <c r="IJ174" s="384">
        <v>3</v>
      </c>
      <c r="IK174" s="385">
        <v>2</v>
      </c>
      <c r="IL174" s="451">
        <v>60</v>
      </c>
      <c r="IM174" s="384">
        <v>9</v>
      </c>
      <c r="IN174" s="385">
        <v>2</v>
      </c>
      <c r="IO174" s="451">
        <v>81.8</v>
      </c>
      <c r="IP174" s="384">
        <v>9</v>
      </c>
      <c r="IQ174" s="385">
        <v>3</v>
      </c>
      <c r="IR174" s="451">
        <v>75</v>
      </c>
      <c r="IS174" s="384"/>
      <c r="IT174" s="385"/>
      <c r="IU174" s="451"/>
      <c r="IV174" s="384">
        <v>796</v>
      </c>
      <c r="IW174" s="385">
        <v>1428</v>
      </c>
      <c r="IX174" s="451">
        <v>35.799999999999997</v>
      </c>
      <c r="IY174" s="384">
        <v>807</v>
      </c>
      <c r="IZ174" s="385">
        <v>1078</v>
      </c>
      <c r="JA174" s="451">
        <v>42.8</v>
      </c>
      <c r="JB174" s="384">
        <v>846</v>
      </c>
      <c r="JC174" s="385">
        <v>837</v>
      </c>
      <c r="JD174" s="451">
        <v>50.3</v>
      </c>
      <c r="JE174" s="384"/>
      <c r="JF174" s="385"/>
      <c r="JG174" s="451"/>
      <c r="JH174" s="384">
        <v>154</v>
      </c>
      <c r="JI174" s="385">
        <v>183</v>
      </c>
      <c r="JJ174" s="451">
        <v>45.7</v>
      </c>
      <c r="JK174" s="384">
        <v>187</v>
      </c>
      <c r="JL174" s="385">
        <v>59</v>
      </c>
      <c r="JM174" s="451">
        <v>76</v>
      </c>
      <c r="JN174" s="384">
        <v>262</v>
      </c>
      <c r="JO174" s="385">
        <v>61</v>
      </c>
      <c r="JP174" s="451">
        <v>81.099999999999994</v>
      </c>
      <c r="JQ174" s="384"/>
      <c r="JR174" s="385"/>
      <c r="JS174" s="451"/>
      <c r="JT174" s="384"/>
      <c r="JU174" s="385"/>
      <c r="JV174" s="451" t="s">
        <v>6</v>
      </c>
      <c r="JW174" s="384">
        <v>2</v>
      </c>
      <c r="JX174" s="385">
        <v>1</v>
      </c>
      <c r="JY174" s="451">
        <v>66.7</v>
      </c>
      <c r="JZ174" s="384">
        <v>3</v>
      </c>
      <c r="KA174" s="385">
        <v>1</v>
      </c>
      <c r="KB174" s="451">
        <v>75</v>
      </c>
      <c r="KC174" s="384"/>
      <c r="KD174" s="385"/>
      <c r="KE174" s="451"/>
      <c r="KF174" s="384"/>
      <c r="KG174" s="385">
        <v>1</v>
      </c>
      <c r="KH174" s="451">
        <v>0</v>
      </c>
      <c r="KI174" s="384"/>
      <c r="KJ174" s="385"/>
      <c r="KK174" s="451" t="s">
        <v>6</v>
      </c>
      <c r="KL174" s="384">
        <v>2</v>
      </c>
      <c r="KM174" s="385">
        <v>2</v>
      </c>
      <c r="KN174" s="451">
        <v>50</v>
      </c>
      <c r="KO174" s="384"/>
      <c r="KP174" s="385"/>
      <c r="KQ174" s="451"/>
      <c r="KR174" s="384">
        <v>163</v>
      </c>
      <c r="KS174" s="385">
        <v>213</v>
      </c>
      <c r="KT174" s="451">
        <v>43.4</v>
      </c>
      <c r="KU174" s="384">
        <v>214</v>
      </c>
      <c r="KV174" s="385">
        <v>84</v>
      </c>
      <c r="KW174" s="451">
        <v>71.8</v>
      </c>
      <c r="KX174" s="384">
        <v>299</v>
      </c>
      <c r="KY174" s="385">
        <v>83</v>
      </c>
      <c r="KZ174" s="451">
        <v>78.3</v>
      </c>
      <c r="LA174" s="384"/>
      <c r="LB174" s="385"/>
      <c r="LC174" s="451"/>
      <c r="LD174" s="384">
        <v>1355</v>
      </c>
      <c r="LE174" s="385">
        <v>1640</v>
      </c>
      <c r="LF174" s="451">
        <v>45.2</v>
      </c>
      <c r="LG174" s="384">
        <v>1978</v>
      </c>
      <c r="LH174" s="385">
        <v>1362</v>
      </c>
      <c r="LI174" s="451">
        <v>59.2</v>
      </c>
      <c r="LJ174" s="384">
        <v>1509</v>
      </c>
      <c r="LK174" s="385">
        <v>1110</v>
      </c>
      <c r="LL174" s="451">
        <v>57.6</v>
      </c>
      <c r="LM174" s="384"/>
      <c r="LN174" s="385"/>
      <c r="LO174" s="451"/>
    </row>
    <row r="175" spans="1:327" x14ac:dyDescent="0.2">
      <c r="A175" s="1000" t="s">
        <v>607</v>
      </c>
      <c r="B175" s="749"/>
      <c r="C175" s="146" t="s">
        <v>608</v>
      </c>
      <c r="D175" s="441">
        <v>1</v>
      </c>
      <c r="E175" s="442"/>
      <c r="F175" s="443">
        <v>100</v>
      </c>
      <c r="G175" s="441">
        <v>5</v>
      </c>
      <c r="H175" s="442"/>
      <c r="I175" s="443">
        <v>100</v>
      </c>
      <c r="J175" s="441">
        <v>1</v>
      </c>
      <c r="K175" s="442"/>
      <c r="L175" s="443">
        <v>100</v>
      </c>
      <c r="M175" s="441"/>
      <c r="N175" s="442"/>
      <c r="O175" s="443"/>
      <c r="P175" s="441">
        <v>1</v>
      </c>
      <c r="Q175" s="442"/>
      <c r="R175" s="443">
        <v>100</v>
      </c>
      <c r="S175" s="441">
        <v>2</v>
      </c>
      <c r="T175" s="442"/>
      <c r="U175" s="443">
        <v>100</v>
      </c>
      <c r="V175" s="441"/>
      <c r="W175" s="442"/>
      <c r="X175" s="443" t="s">
        <v>6</v>
      </c>
      <c r="Y175" s="441"/>
      <c r="Z175" s="442"/>
      <c r="AA175" s="443"/>
      <c r="AB175" s="441"/>
      <c r="AC175" s="442"/>
      <c r="AD175" s="443" t="s">
        <v>6</v>
      </c>
      <c r="AE175" s="441">
        <v>1</v>
      </c>
      <c r="AF175" s="442"/>
      <c r="AG175" s="443">
        <v>100</v>
      </c>
      <c r="AH175" s="441">
        <v>1</v>
      </c>
      <c r="AI175" s="442"/>
      <c r="AJ175" s="443">
        <v>100</v>
      </c>
      <c r="AK175" s="441"/>
      <c r="AL175" s="442"/>
      <c r="AM175" s="443"/>
      <c r="AN175" s="441">
        <v>9</v>
      </c>
      <c r="AO175" s="442">
        <v>1</v>
      </c>
      <c r="AP175" s="443">
        <v>90</v>
      </c>
      <c r="AQ175" s="441">
        <v>2</v>
      </c>
      <c r="AR175" s="442"/>
      <c r="AS175" s="443">
        <v>100</v>
      </c>
      <c r="AT175" s="441"/>
      <c r="AU175" s="442">
        <v>1</v>
      </c>
      <c r="AV175" s="443">
        <v>0</v>
      </c>
      <c r="AW175" s="441"/>
      <c r="AX175" s="442"/>
      <c r="AY175" s="443"/>
      <c r="AZ175" s="441">
        <v>7</v>
      </c>
      <c r="BA175" s="442">
        <v>1</v>
      </c>
      <c r="BB175" s="443">
        <v>87.5</v>
      </c>
      <c r="BC175" s="441">
        <v>2</v>
      </c>
      <c r="BD175" s="442"/>
      <c r="BE175" s="443">
        <v>100</v>
      </c>
      <c r="BF175" s="441"/>
      <c r="BG175" s="442">
        <v>1</v>
      </c>
      <c r="BH175" s="443">
        <v>0</v>
      </c>
      <c r="BI175" s="441"/>
      <c r="BJ175" s="442"/>
      <c r="BK175" s="443"/>
      <c r="BL175" s="441">
        <v>1</v>
      </c>
      <c r="BM175" s="442"/>
      <c r="BN175" s="443">
        <v>100</v>
      </c>
      <c r="BO175" s="441"/>
      <c r="BP175" s="442"/>
      <c r="BQ175" s="443" t="s">
        <v>6</v>
      </c>
      <c r="BR175" s="441"/>
      <c r="BS175" s="442"/>
      <c r="BT175" s="443" t="s">
        <v>6</v>
      </c>
      <c r="BU175" s="441"/>
      <c r="BV175" s="442"/>
      <c r="BW175" s="443"/>
      <c r="BX175" s="441"/>
      <c r="BY175" s="442"/>
      <c r="BZ175" s="443" t="s">
        <v>6</v>
      </c>
      <c r="CA175" s="441"/>
      <c r="CB175" s="442"/>
      <c r="CC175" s="443" t="s">
        <v>6</v>
      </c>
      <c r="CD175" s="441"/>
      <c r="CE175" s="442"/>
      <c r="CF175" s="443" t="s">
        <v>6</v>
      </c>
      <c r="CG175" s="441"/>
      <c r="CH175" s="442"/>
      <c r="CI175" s="443"/>
      <c r="CJ175" s="441"/>
      <c r="CK175" s="442"/>
      <c r="CL175" s="443" t="s">
        <v>6</v>
      </c>
      <c r="CM175" s="441"/>
      <c r="CN175" s="442"/>
      <c r="CO175" s="443" t="s">
        <v>6</v>
      </c>
      <c r="CP175" s="441"/>
      <c r="CQ175" s="442"/>
      <c r="CR175" s="443" t="s">
        <v>6</v>
      </c>
      <c r="CS175" s="441"/>
      <c r="CT175" s="442"/>
      <c r="CU175" s="443"/>
      <c r="CV175" s="441">
        <v>3</v>
      </c>
      <c r="CW175" s="442">
        <v>1</v>
      </c>
      <c r="CX175" s="443">
        <v>75</v>
      </c>
      <c r="CY175" s="441"/>
      <c r="CZ175" s="442">
        <v>1</v>
      </c>
      <c r="DA175" s="443">
        <v>0</v>
      </c>
      <c r="DB175" s="441"/>
      <c r="DC175" s="442">
        <v>2</v>
      </c>
      <c r="DD175" s="443">
        <v>0</v>
      </c>
      <c r="DE175" s="441"/>
      <c r="DF175" s="442"/>
      <c r="DG175" s="443"/>
      <c r="DH175" s="441"/>
      <c r="DI175" s="442"/>
      <c r="DJ175" s="443" t="s">
        <v>6</v>
      </c>
      <c r="DK175" s="441"/>
      <c r="DL175" s="442"/>
      <c r="DM175" s="443" t="s">
        <v>6</v>
      </c>
      <c r="DN175" s="441"/>
      <c r="DO175" s="442"/>
      <c r="DP175" s="443" t="s">
        <v>6</v>
      </c>
      <c r="DQ175" s="441"/>
      <c r="DR175" s="442"/>
      <c r="DS175" s="443"/>
      <c r="DT175" s="441">
        <v>3</v>
      </c>
      <c r="DU175" s="442"/>
      <c r="DV175" s="443">
        <v>100</v>
      </c>
      <c r="DW175" s="441">
        <v>1</v>
      </c>
      <c r="DX175" s="442"/>
      <c r="DY175" s="443">
        <v>100</v>
      </c>
      <c r="DZ175" s="441"/>
      <c r="EA175" s="442"/>
      <c r="EB175" s="443" t="s">
        <v>6</v>
      </c>
      <c r="EC175" s="441"/>
      <c r="ED175" s="442"/>
      <c r="EE175" s="443"/>
      <c r="EF175" s="441">
        <v>6</v>
      </c>
      <c r="EG175" s="442">
        <v>7</v>
      </c>
      <c r="EH175" s="443">
        <v>46.2</v>
      </c>
      <c r="EI175" s="441">
        <v>14</v>
      </c>
      <c r="EJ175" s="442">
        <v>9</v>
      </c>
      <c r="EK175" s="443">
        <v>60.9</v>
      </c>
      <c r="EL175" s="441">
        <v>3</v>
      </c>
      <c r="EM175" s="442">
        <v>7</v>
      </c>
      <c r="EN175" s="443">
        <v>30</v>
      </c>
      <c r="EO175" s="441"/>
      <c r="EP175" s="442"/>
      <c r="EQ175" s="443"/>
      <c r="ER175" s="441"/>
      <c r="ES175" s="442"/>
      <c r="ET175" s="443" t="s">
        <v>6</v>
      </c>
      <c r="EU175" s="441"/>
      <c r="EV175" s="442"/>
      <c r="EW175" s="443" t="s">
        <v>6</v>
      </c>
      <c r="EX175" s="441"/>
      <c r="EY175" s="442"/>
      <c r="EZ175" s="443" t="s">
        <v>6</v>
      </c>
      <c r="FA175" s="441"/>
      <c r="FB175" s="442"/>
      <c r="FC175" s="443"/>
      <c r="FD175" s="441"/>
      <c r="FE175" s="442"/>
      <c r="FF175" s="443" t="s">
        <v>6</v>
      </c>
      <c r="FG175" s="441"/>
      <c r="FH175" s="442"/>
      <c r="FI175" s="443" t="s">
        <v>6</v>
      </c>
      <c r="FJ175" s="441"/>
      <c r="FK175" s="442"/>
      <c r="FL175" s="443" t="s">
        <v>6</v>
      </c>
      <c r="FM175" s="441"/>
      <c r="FN175" s="442"/>
      <c r="FO175" s="443"/>
      <c r="FP175" s="441"/>
      <c r="FQ175" s="442"/>
      <c r="FR175" s="443" t="s">
        <v>6</v>
      </c>
      <c r="FS175" s="441"/>
      <c r="FT175" s="442"/>
      <c r="FU175" s="443" t="s">
        <v>6</v>
      </c>
      <c r="FV175" s="441"/>
      <c r="FW175" s="442"/>
      <c r="FX175" s="443" t="s">
        <v>6</v>
      </c>
      <c r="FY175" s="441"/>
      <c r="FZ175" s="442"/>
      <c r="GA175" s="443"/>
      <c r="GB175" s="441">
        <v>1</v>
      </c>
      <c r="GC175" s="442"/>
      <c r="GD175" s="443">
        <v>100</v>
      </c>
      <c r="GE175" s="441">
        <v>2</v>
      </c>
      <c r="GF175" s="442"/>
      <c r="GG175" s="443">
        <v>100</v>
      </c>
      <c r="GH175" s="441">
        <v>1</v>
      </c>
      <c r="GI175" s="442"/>
      <c r="GJ175" s="443">
        <v>100</v>
      </c>
      <c r="GK175" s="441"/>
      <c r="GL175" s="442"/>
      <c r="GM175" s="443"/>
      <c r="GN175" s="441"/>
      <c r="GO175" s="442"/>
      <c r="GP175" s="443" t="s">
        <v>6</v>
      </c>
      <c r="GQ175" s="441"/>
      <c r="GR175" s="442"/>
      <c r="GS175" s="443" t="s">
        <v>6</v>
      </c>
      <c r="GT175" s="441">
        <v>2</v>
      </c>
      <c r="GU175" s="442">
        <v>1</v>
      </c>
      <c r="GV175" s="443">
        <v>66.7</v>
      </c>
      <c r="GW175" s="441"/>
      <c r="GX175" s="442"/>
      <c r="GY175" s="443"/>
      <c r="GZ175" s="441"/>
      <c r="HA175" s="442"/>
      <c r="HB175" s="443" t="s">
        <v>6</v>
      </c>
      <c r="HC175" s="441"/>
      <c r="HD175" s="442"/>
      <c r="HE175" s="443" t="s">
        <v>6</v>
      </c>
      <c r="HF175" s="441"/>
      <c r="HG175" s="442"/>
      <c r="HH175" s="443" t="s">
        <v>6</v>
      </c>
      <c r="HI175" s="441"/>
      <c r="HJ175" s="442"/>
      <c r="HK175" s="443"/>
      <c r="HL175" s="441"/>
      <c r="HM175" s="442"/>
      <c r="HN175" s="443" t="s">
        <v>6</v>
      </c>
      <c r="HO175" s="441"/>
      <c r="HP175" s="442">
        <v>2</v>
      </c>
      <c r="HQ175" s="443">
        <v>0</v>
      </c>
      <c r="HR175" s="441"/>
      <c r="HS175" s="442">
        <v>6</v>
      </c>
      <c r="HT175" s="443">
        <v>0</v>
      </c>
      <c r="HU175" s="441"/>
      <c r="HV175" s="442"/>
      <c r="HW175" s="443"/>
      <c r="HX175" s="441">
        <v>6</v>
      </c>
      <c r="HY175" s="442"/>
      <c r="HZ175" s="443">
        <v>100</v>
      </c>
      <c r="IA175" s="441"/>
      <c r="IB175" s="442"/>
      <c r="IC175" s="443" t="s">
        <v>6</v>
      </c>
      <c r="ID175" s="441">
        <v>1</v>
      </c>
      <c r="IE175" s="442"/>
      <c r="IF175" s="443">
        <v>100</v>
      </c>
      <c r="IG175" s="441"/>
      <c r="IH175" s="442"/>
      <c r="II175" s="443"/>
      <c r="IJ175" s="441"/>
      <c r="IK175" s="442"/>
      <c r="IL175" s="443" t="s">
        <v>6</v>
      </c>
      <c r="IM175" s="441"/>
      <c r="IN175" s="442"/>
      <c r="IO175" s="443" t="s">
        <v>6</v>
      </c>
      <c r="IP175" s="441">
        <v>1</v>
      </c>
      <c r="IQ175" s="442"/>
      <c r="IR175" s="443">
        <v>100</v>
      </c>
      <c r="IS175" s="441"/>
      <c r="IT175" s="442"/>
      <c r="IU175" s="443"/>
      <c r="IV175" s="441">
        <v>29</v>
      </c>
      <c r="IW175" s="442">
        <v>9</v>
      </c>
      <c r="IX175" s="443">
        <v>76.3</v>
      </c>
      <c r="IY175" s="441">
        <v>24</v>
      </c>
      <c r="IZ175" s="442">
        <v>12</v>
      </c>
      <c r="JA175" s="443">
        <v>66.7</v>
      </c>
      <c r="JB175" s="441">
        <v>9</v>
      </c>
      <c r="JC175" s="442">
        <v>17</v>
      </c>
      <c r="JD175" s="443">
        <v>34.6</v>
      </c>
      <c r="JE175" s="441"/>
      <c r="JF175" s="442"/>
      <c r="JG175" s="443"/>
      <c r="JH175" s="441">
        <v>12</v>
      </c>
      <c r="JI175" s="442"/>
      <c r="JJ175" s="443">
        <v>100</v>
      </c>
      <c r="JK175" s="441">
        <v>3</v>
      </c>
      <c r="JL175" s="442">
        <v>1</v>
      </c>
      <c r="JM175" s="443">
        <v>75</v>
      </c>
      <c r="JN175" s="441">
        <v>1</v>
      </c>
      <c r="JO175" s="442">
        <v>1</v>
      </c>
      <c r="JP175" s="443">
        <v>50</v>
      </c>
      <c r="JQ175" s="441"/>
      <c r="JR175" s="442"/>
      <c r="JS175" s="443"/>
      <c r="JT175" s="441">
        <v>7</v>
      </c>
      <c r="JU175" s="442"/>
      <c r="JV175" s="443">
        <v>100</v>
      </c>
      <c r="JW175" s="441"/>
      <c r="JX175" s="442"/>
      <c r="JY175" s="443" t="s">
        <v>6</v>
      </c>
      <c r="JZ175" s="441"/>
      <c r="KA175" s="442"/>
      <c r="KB175" s="443" t="s">
        <v>6</v>
      </c>
      <c r="KC175" s="441"/>
      <c r="KD175" s="442"/>
      <c r="KE175" s="443"/>
      <c r="KF175" s="441"/>
      <c r="KG175" s="442"/>
      <c r="KH175" s="443" t="s">
        <v>6</v>
      </c>
      <c r="KI175" s="441"/>
      <c r="KJ175" s="442"/>
      <c r="KK175" s="443" t="s">
        <v>6</v>
      </c>
      <c r="KL175" s="441"/>
      <c r="KM175" s="442"/>
      <c r="KN175" s="443" t="s">
        <v>6</v>
      </c>
      <c r="KO175" s="441"/>
      <c r="KP175" s="442"/>
      <c r="KQ175" s="443"/>
      <c r="KR175" s="441">
        <v>19</v>
      </c>
      <c r="KS175" s="442"/>
      <c r="KT175" s="443">
        <v>100</v>
      </c>
      <c r="KU175" s="441">
        <v>7</v>
      </c>
      <c r="KV175" s="442">
        <v>2</v>
      </c>
      <c r="KW175" s="443">
        <v>77.8</v>
      </c>
      <c r="KX175" s="441">
        <v>1</v>
      </c>
      <c r="KY175" s="442">
        <v>2</v>
      </c>
      <c r="KZ175" s="443">
        <v>33.299999999999997</v>
      </c>
      <c r="LA175" s="441"/>
      <c r="LB175" s="442"/>
      <c r="LC175" s="443"/>
      <c r="LD175" s="441">
        <v>50</v>
      </c>
      <c r="LE175" s="442">
        <v>9</v>
      </c>
      <c r="LF175" s="443">
        <v>84.7</v>
      </c>
      <c r="LG175" s="441">
        <v>55</v>
      </c>
      <c r="LH175" s="442">
        <v>14</v>
      </c>
      <c r="LI175" s="443">
        <v>79.7</v>
      </c>
      <c r="LJ175" s="441">
        <v>250</v>
      </c>
      <c r="LK175" s="442">
        <v>21</v>
      </c>
      <c r="LL175" s="443">
        <v>92.3</v>
      </c>
      <c r="LM175" s="441"/>
      <c r="LN175" s="442"/>
      <c r="LO175" s="443"/>
    </row>
    <row r="176" spans="1:327" x14ac:dyDescent="0.2">
      <c r="A176" s="1001"/>
      <c r="B176" s="747"/>
      <c r="C176" s="151" t="s">
        <v>754</v>
      </c>
      <c r="D176" s="377"/>
      <c r="E176" s="373"/>
      <c r="F176" s="444" t="s">
        <v>6</v>
      </c>
      <c r="G176" s="377"/>
      <c r="H176" s="373"/>
      <c r="I176" s="444" t="s">
        <v>6</v>
      </c>
      <c r="J176" s="377"/>
      <c r="K176" s="373"/>
      <c r="L176" s="444" t="s">
        <v>6</v>
      </c>
      <c r="M176" s="377"/>
      <c r="N176" s="373"/>
      <c r="O176" s="444"/>
      <c r="P176" s="377"/>
      <c r="Q176" s="373"/>
      <c r="R176" s="444" t="s">
        <v>6</v>
      </c>
      <c r="S176" s="377"/>
      <c r="T176" s="373"/>
      <c r="U176" s="444" t="s">
        <v>6</v>
      </c>
      <c r="V176" s="377"/>
      <c r="W176" s="373"/>
      <c r="X176" s="444" t="s">
        <v>6</v>
      </c>
      <c r="Y176" s="377"/>
      <c r="Z176" s="373"/>
      <c r="AA176" s="444"/>
      <c r="AB176" s="377"/>
      <c r="AC176" s="373"/>
      <c r="AD176" s="444" t="s">
        <v>6</v>
      </c>
      <c r="AE176" s="377"/>
      <c r="AF176" s="373"/>
      <c r="AG176" s="444" t="s">
        <v>6</v>
      </c>
      <c r="AH176" s="377"/>
      <c r="AI176" s="373"/>
      <c r="AJ176" s="444" t="s">
        <v>6</v>
      </c>
      <c r="AK176" s="377"/>
      <c r="AL176" s="373"/>
      <c r="AM176" s="444"/>
      <c r="AN176" s="377">
        <v>42</v>
      </c>
      <c r="AO176" s="373">
        <v>11</v>
      </c>
      <c r="AP176" s="444">
        <v>79.2</v>
      </c>
      <c r="AQ176" s="377">
        <v>19</v>
      </c>
      <c r="AR176" s="373">
        <v>4</v>
      </c>
      <c r="AS176" s="444">
        <v>82.6</v>
      </c>
      <c r="AT176" s="377">
        <v>20</v>
      </c>
      <c r="AU176" s="373">
        <v>12</v>
      </c>
      <c r="AV176" s="444">
        <v>62.5</v>
      </c>
      <c r="AW176" s="377"/>
      <c r="AX176" s="373"/>
      <c r="AY176" s="444"/>
      <c r="AZ176" s="377">
        <v>18</v>
      </c>
      <c r="BA176" s="373">
        <v>11</v>
      </c>
      <c r="BB176" s="444">
        <v>62.1</v>
      </c>
      <c r="BC176" s="377">
        <v>8</v>
      </c>
      <c r="BD176" s="373">
        <v>4</v>
      </c>
      <c r="BE176" s="444">
        <v>66.7</v>
      </c>
      <c r="BF176" s="377">
        <v>11</v>
      </c>
      <c r="BG176" s="373">
        <v>9</v>
      </c>
      <c r="BH176" s="444">
        <v>55</v>
      </c>
      <c r="BI176" s="377"/>
      <c r="BJ176" s="373"/>
      <c r="BK176" s="444"/>
      <c r="BL176" s="377"/>
      <c r="BM176" s="373"/>
      <c r="BN176" s="444" t="s">
        <v>6</v>
      </c>
      <c r="BO176" s="377"/>
      <c r="BP176" s="373"/>
      <c r="BQ176" s="444" t="s">
        <v>6</v>
      </c>
      <c r="BR176" s="377"/>
      <c r="BS176" s="373"/>
      <c r="BT176" s="444" t="s">
        <v>6</v>
      </c>
      <c r="BU176" s="377"/>
      <c r="BV176" s="373"/>
      <c r="BW176" s="444"/>
      <c r="BX176" s="377"/>
      <c r="BY176" s="373"/>
      <c r="BZ176" s="444" t="s">
        <v>6</v>
      </c>
      <c r="CA176" s="377"/>
      <c r="CB176" s="373"/>
      <c r="CC176" s="444" t="s">
        <v>6</v>
      </c>
      <c r="CD176" s="377">
        <v>1</v>
      </c>
      <c r="CE176" s="373"/>
      <c r="CF176" s="444">
        <v>100</v>
      </c>
      <c r="CG176" s="377"/>
      <c r="CH176" s="373"/>
      <c r="CI176" s="444"/>
      <c r="CJ176" s="377"/>
      <c r="CK176" s="373"/>
      <c r="CL176" s="444" t="s">
        <v>6</v>
      </c>
      <c r="CM176" s="377">
        <v>2</v>
      </c>
      <c r="CN176" s="373"/>
      <c r="CO176" s="444">
        <v>100</v>
      </c>
      <c r="CP176" s="377"/>
      <c r="CQ176" s="373"/>
      <c r="CR176" s="444" t="s">
        <v>6</v>
      </c>
      <c r="CS176" s="377"/>
      <c r="CT176" s="373"/>
      <c r="CU176" s="444"/>
      <c r="CV176" s="377">
        <v>81</v>
      </c>
      <c r="CW176" s="373">
        <v>26</v>
      </c>
      <c r="CX176" s="444">
        <v>75.7</v>
      </c>
      <c r="CY176" s="377">
        <v>66</v>
      </c>
      <c r="CZ176" s="373">
        <v>35</v>
      </c>
      <c r="DA176" s="444">
        <v>65.3</v>
      </c>
      <c r="DB176" s="377">
        <v>74</v>
      </c>
      <c r="DC176" s="373">
        <v>32</v>
      </c>
      <c r="DD176" s="444">
        <v>69.8</v>
      </c>
      <c r="DE176" s="377"/>
      <c r="DF176" s="373"/>
      <c r="DG176" s="444"/>
      <c r="DH176" s="377"/>
      <c r="DI176" s="373"/>
      <c r="DJ176" s="444" t="s">
        <v>6</v>
      </c>
      <c r="DK176" s="377">
        <v>1</v>
      </c>
      <c r="DL176" s="373"/>
      <c r="DM176" s="444">
        <v>100</v>
      </c>
      <c r="DN176" s="377"/>
      <c r="DO176" s="373"/>
      <c r="DP176" s="444" t="s">
        <v>6</v>
      </c>
      <c r="DQ176" s="377"/>
      <c r="DR176" s="373"/>
      <c r="DS176" s="444"/>
      <c r="DT176" s="377">
        <v>4</v>
      </c>
      <c r="DU176" s="373">
        <v>2</v>
      </c>
      <c r="DV176" s="444">
        <v>66.7</v>
      </c>
      <c r="DW176" s="377">
        <v>1</v>
      </c>
      <c r="DX176" s="373">
        <v>2</v>
      </c>
      <c r="DY176" s="444">
        <v>33.299999999999997</v>
      </c>
      <c r="DZ176" s="377">
        <v>8</v>
      </c>
      <c r="EA176" s="373">
        <v>4</v>
      </c>
      <c r="EB176" s="444">
        <v>66.7</v>
      </c>
      <c r="EC176" s="377"/>
      <c r="ED176" s="373"/>
      <c r="EE176" s="444"/>
      <c r="EF176" s="377">
        <v>236</v>
      </c>
      <c r="EG176" s="373">
        <v>569</v>
      </c>
      <c r="EH176" s="444">
        <v>29.3</v>
      </c>
      <c r="EI176" s="377">
        <v>226</v>
      </c>
      <c r="EJ176" s="373">
        <v>381</v>
      </c>
      <c r="EK176" s="444">
        <v>37.200000000000003</v>
      </c>
      <c r="EL176" s="377">
        <v>210</v>
      </c>
      <c r="EM176" s="373">
        <v>357</v>
      </c>
      <c r="EN176" s="444">
        <v>37</v>
      </c>
      <c r="EO176" s="377"/>
      <c r="EP176" s="373"/>
      <c r="EQ176" s="444"/>
      <c r="ER176" s="377"/>
      <c r="ES176" s="373">
        <v>1</v>
      </c>
      <c r="ET176" s="444">
        <v>0</v>
      </c>
      <c r="EU176" s="377">
        <v>2</v>
      </c>
      <c r="EV176" s="373">
        <v>1</v>
      </c>
      <c r="EW176" s="444">
        <v>66.7</v>
      </c>
      <c r="EX176" s="377">
        <v>2</v>
      </c>
      <c r="EY176" s="373"/>
      <c r="EZ176" s="444">
        <v>100</v>
      </c>
      <c r="FA176" s="377"/>
      <c r="FB176" s="373"/>
      <c r="FC176" s="444"/>
      <c r="FD176" s="377">
        <v>7</v>
      </c>
      <c r="FE176" s="373">
        <v>19</v>
      </c>
      <c r="FF176" s="444">
        <v>26.9</v>
      </c>
      <c r="FG176" s="377"/>
      <c r="FH176" s="373">
        <v>8</v>
      </c>
      <c r="FI176" s="444">
        <v>0</v>
      </c>
      <c r="FJ176" s="377">
        <v>2</v>
      </c>
      <c r="FK176" s="373">
        <v>7</v>
      </c>
      <c r="FL176" s="444">
        <v>22.2</v>
      </c>
      <c r="FM176" s="377"/>
      <c r="FN176" s="373"/>
      <c r="FO176" s="444"/>
      <c r="FP176" s="377">
        <v>33</v>
      </c>
      <c r="FQ176" s="373">
        <v>94</v>
      </c>
      <c r="FR176" s="444">
        <v>26</v>
      </c>
      <c r="FS176" s="377">
        <v>57</v>
      </c>
      <c r="FT176" s="373">
        <v>76</v>
      </c>
      <c r="FU176" s="444">
        <v>42.9</v>
      </c>
      <c r="FV176" s="377">
        <v>24</v>
      </c>
      <c r="FW176" s="373">
        <v>41</v>
      </c>
      <c r="FX176" s="444">
        <v>36.9</v>
      </c>
      <c r="FY176" s="377"/>
      <c r="FZ176" s="373"/>
      <c r="GA176" s="444"/>
      <c r="GB176" s="377">
        <v>5</v>
      </c>
      <c r="GC176" s="373"/>
      <c r="GD176" s="444">
        <v>100</v>
      </c>
      <c r="GE176" s="377">
        <v>5</v>
      </c>
      <c r="GF176" s="373"/>
      <c r="GG176" s="444">
        <v>100</v>
      </c>
      <c r="GH176" s="377">
        <v>2</v>
      </c>
      <c r="GI176" s="373"/>
      <c r="GJ176" s="444">
        <v>100</v>
      </c>
      <c r="GK176" s="377"/>
      <c r="GL176" s="373"/>
      <c r="GM176" s="444"/>
      <c r="GN176" s="377">
        <v>1</v>
      </c>
      <c r="GO176" s="373"/>
      <c r="GP176" s="444">
        <v>100</v>
      </c>
      <c r="GQ176" s="377">
        <v>22</v>
      </c>
      <c r="GR176" s="373">
        <v>1</v>
      </c>
      <c r="GS176" s="444">
        <v>95.7</v>
      </c>
      <c r="GT176" s="377">
        <v>12</v>
      </c>
      <c r="GU176" s="373">
        <v>2</v>
      </c>
      <c r="GV176" s="444">
        <v>85.7</v>
      </c>
      <c r="GW176" s="377"/>
      <c r="GX176" s="373"/>
      <c r="GY176" s="444"/>
      <c r="GZ176" s="377">
        <v>2</v>
      </c>
      <c r="HA176" s="373">
        <v>2</v>
      </c>
      <c r="HB176" s="444">
        <v>50</v>
      </c>
      <c r="HC176" s="377"/>
      <c r="HD176" s="373"/>
      <c r="HE176" s="444" t="s">
        <v>6</v>
      </c>
      <c r="HF176" s="377">
        <v>1</v>
      </c>
      <c r="HG176" s="373">
        <v>1</v>
      </c>
      <c r="HH176" s="444">
        <v>50</v>
      </c>
      <c r="HI176" s="377"/>
      <c r="HJ176" s="373"/>
      <c r="HK176" s="444"/>
      <c r="HL176" s="377">
        <v>14</v>
      </c>
      <c r="HM176" s="373">
        <v>55</v>
      </c>
      <c r="HN176" s="444">
        <v>20.3</v>
      </c>
      <c r="HO176" s="377">
        <v>16</v>
      </c>
      <c r="HP176" s="373">
        <v>47</v>
      </c>
      <c r="HQ176" s="444">
        <v>25.4</v>
      </c>
      <c r="HR176" s="377">
        <v>24</v>
      </c>
      <c r="HS176" s="373">
        <v>51</v>
      </c>
      <c r="HT176" s="444">
        <v>32</v>
      </c>
      <c r="HU176" s="377"/>
      <c r="HV176" s="373"/>
      <c r="HW176" s="444"/>
      <c r="HX176" s="377">
        <v>11</v>
      </c>
      <c r="HY176" s="373">
        <v>2</v>
      </c>
      <c r="HZ176" s="444">
        <v>84.6</v>
      </c>
      <c r="IA176" s="377">
        <v>4</v>
      </c>
      <c r="IB176" s="373"/>
      <c r="IC176" s="444">
        <v>100</v>
      </c>
      <c r="ID176" s="377"/>
      <c r="IE176" s="373"/>
      <c r="IF176" s="444" t="s">
        <v>6</v>
      </c>
      <c r="IG176" s="377"/>
      <c r="IH176" s="373"/>
      <c r="II176" s="444"/>
      <c r="IJ176" s="377">
        <v>5</v>
      </c>
      <c r="IK176" s="373"/>
      <c r="IL176" s="444">
        <v>100</v>
      </c>
      <c r="IM176" s="377">
        <v>6</v>
      </c>
      <c r="IN176" s="373"/>
      <c r="IO176" s="444">
        <v>100</v>
      </c>
      <c r="IP176" s="377">
        <v>10</v>
      </c>
      <c r="IQ176" s="373">
        <v>2</v>
      </c>
      <c r="IR176" s="444">
        <v>83.3</v>
      </c>
      <c r="IS176" s="377"/>
      <c r="IT176" s="373"/>
      <c r="IU176" s="444"/>
      <c r="IV176" s="377">
        <v>401</v>
      </c>
      <c r="IW176" s="373">
        <v>667</v>
      </c>
      <c r="IX176" s="444">
        <v>37.5</v>
      </c>
      <c r="IY176" s="377">
        <v>368</v>
      </c>
      <c r="IZ176" s="373">
        <v>470</v>
      </c>
      <c r="JA176" s="444">
        <v>43.9</v>
      </c>
      <c r="JB176" s="377">
        <v>362</v>
      </c>
      <c r="JC176" s="373">
        <v>461</v>
      </c>
      <c r="JD176" s="444">
        <v>44</v>
      </c>
      <c r="JE176" s="377"/>
      <c r="JF176" s="373"/>
      <c r="JG176" s="444"/>
      <c r="JH176" s="377">
        <v>108</v>
      </c>
      <c r="JI176" s="373">
        <v>141</v>
      </c>
      <c r="JJ176" s="444">
        <v>43.4</v>
      </c>
      <c r="JK176" s="377">
        <v>126</v>
      </c>
      <c r="JL176" s="373">
        <v>94</v>
      </c>
      <c r="JM176" s="444">
        <v>57.3</v>
      </c>
      <c r="JN176" s="377">
        <v>104</v>
      </c>
      <c r="JO176" s="373">
        <v>43</v>
      </c>
      <c r="JP176" s="444">
        <v>70.7</v>
      </c>
      <c r="JQ176" s="377"/>
      <c r="JR176" s="373"/>
      <c r="JS176" s="444"/>
      <c r="JT176" s="377">
        <v>3</v>
      </c>
      <c r="JU176" s="373">
        <v>3</v>
      </c>
      <c r="JV176" s="444">
        <v>50</v>
      </c>
      <c r="JW176" s="377">
        <v>6</v>
      </c>
      <c r="JX176" s="373">
        <v>4</v>
      </c>
      <c r="JY176" s="444">
        <v>60</v>
      </c>
      <c r="JZ176" s="377">
        <v>5</v>
      </c>
      <c r="KA176" s="373">
        <v>2</v>
      </c>
      <c r="KB176" s="444">
        <v>71.400000000000006</v>
      </c>
      <c r="KC176" s="377"/>
      <c r="KD176" s="373"/>
      <c r="KE176" s="444"/>
      <c r="KF176" s="377">
        <v>3</v>
      </c>
      <c r="KG176" s="373">
        <v>1</v>
      </c>
      <c r="KH176" s="444">
        <v>75</v>
      </c>
      <c r="KI176" s="377">
        <v>3</v>
      </c>
      <c r="KJ176" s="373">
        <v>1</v>
      </c>
      <c r="KK176" s="444">
        <v>75</v>
      </c>
      <c r="KL176" s="377">
        <v>3</v>
      </c>
      <c r="KM176" s="373">
        <v>1</v>
      </c>
      <c r="KN176" s="444">
        <v>75</v>
      </c>
      <c r="KO176" s="377"/>
      <c r="KP176" s="373"/>
      <c r="KQ176" s="444"/>
      <c r="KR176" s="377">
        <v>140</v>
      </c>
      <c r="KS176" s="373">
        <v>179</v>
      </c>
      <c r="KT176" s="444">
        <v>43.9</v>
      </c>
      <c r="KU176" s="377">
        <v>158</v>
      </c>
      <c r="KV176" s="373">
        <v>126</v>
      </c>
      <c r="KW176" s="444">
        <v>55.6</v>
      </c>
      <c r="KX176" s="377">
        <v>146</v>
      </c>
      <c r="KY176" s="373">
        <v>95</v>
      </c>
      <c r="KZ176" s="444">
        <v>60.6</v>
      </c>
      <c r="LA176" s="377"/>
      <c r="LB176" s="373"/>
      <c r="LC176" s="444"/>
      <c r="LD176" s="377">
        <v>1333</v>
      </c>
      <c r="LE176" s="373">
        <v>818</v>
      </c>
      <c r="LF176" s="444">
        <v>62</v>
      </c>
      <c r="LG176" s="377">
        <v>788</v>
      </c>
      <c r="LH176" s="373">
        <v>661</v>
      </c>
      <c r="LI176" s="444">
        <v>54.4</v>
      </c>
      <c r="LJ176" s="377">
        <v>901</v>
      </c>
      <c r="LK176" s="373">
        <v>663</v>
      </c>
      <c r="LL176" s="444">
        <v>57.6</v>
      </c>
      <c r="LM176" s="377"/>
      <c r="LN176" s="373"/>
      <c r="LO176" s="444"/>
    </row>
    <row r="177" spans="1:327" x14ac:dyDescent="0.2">
      <c r="A177" s="1001"/>
      <c r="B177" s="747" t="s">
        <v>621</v>
      </c>
      <c r="C177" s="151" t="s">
        <v>755</v>
      </c>
      <c r="D177" s="377"/>
      <c r="E177" s="373"/>
      <c r="F177" s="444" t="s">
        <v>6</v>
      </c>
      <c r="G177" s="377"/>
      <c r="H177" s="373"/>
      <c r="I177" s="444" t="s">
        <v>6</v>
      </c>
      <c r="J177" s="377"/>
      <c r="K177" s="373"/>
      <c r="L177" s="444" t="s">
        <v>6</v>
      </c>
      <c r="M177" s="377"/>
      <c r="N177" s="373"/>
      <c r="O177" s="444"/>
      <c r="P177" s="377"/>
      <c r="Q177" s="373"/>
      <c r="R177" s="444" t="s">
        <v>6</v>
      </c>
      <c r="S177" s="377"/>
      <c r="T177" s="373"/>
      <c r="U177" s="444" t="s">
        <v>6</v>
      </c>
      <c r="V177" s="377"/>
      <c r="W177" s="373"/>
      <c r="X177" s="444" t="s">
        <v>6</v>
      </c>
      <c r="Y177" s="377"/>
      <c r="Z177" s="373"/>
      <c r="AA177" s="444"/>
      <c r="AB177" s="377"/>
      <c r="AC177" s="373"/>
      <c r="AD177" s="444" t="s">
        <v>6</v>
      </c>
      <c r="AE177" s="377"/>
      <c r="AF177" s="373"/>
      <c r="AG177" s="444" t="s">
        <v>6</v>
      </c>
      <c r="AH177" s="377"/>
      <c r="AI177" s="373"/>
      <c r="AJ177" s="444" t="s">
        <v>6</v>
      </c>
      <c r="AK177" s="377"/>
      <c r="AL177" s="373"/>
      <c r="AM177" s="444"/>
      <c r="AN177" s="377">
        <v>9</v>
      </c>
      <c r="AO177" s="373">
        <v>2</v>
      </c>
      <c r="AP177" s="444">
        <v>81.8</v>
      </c>
      <c r="AQ177" s="377">
        <v>3</v>
      </c>
      <c r="AR177" s="373">
        <v>2</v>
      </c>
      <c r="AS177" s="444">
        <v>60</v>
      </c>
      <c r="AT177" s="377">
        <v>3</v>
      </c>
      <c r="AU177" s="373"/>
      <c r="AV177" s="444">
        <v>100</v>
      </c>
      <c r="AW177" s="377"/>
      <c r="AX177" s="373"/>
      <c r="AY177" s="444"/>
      <c r="AZ177" s="377">
        <v>3</v>
      </c>
      <c r="BA177" s="373">
        <v>2</v>
      </c>
      <c r="BB177" s="444">
        <v>60</v>
      </c>
      <c r="BC177" s="377">
        <v>2</v>
      </c>
      <c r="BD177" s="373">
        <v>2</v>
      </c>
      <c r="BE177" s="444">
        <v>50</v>
      </c>
      <c r="BF177" s="377"/>
      <c r="BG177" s="373"/>
      <c r="BH177" s="444" t="s">
        <v>6</v>
      </c>
      <c r="BI177" s="377"/>
      <c r="BJ177" s="373"/>
      <c r="BK177" s="444"/>
      <c r="BL177" s="377"/>
      <c r="BM177" s="373"/>
      <c r="BN177" s="444" t="s">
        <v>6</v>
      </c>
      <c r="BO177" s="377"/>
      <c r="BP177" s="373"/>
      <c r="BQ177" s="444" t="s">
        <v>6</v>
      </c>
      <c r="BR177" s="377"/>
      <c r="BS177" s="373"/>
      <c r="BT177" s="444" t="s">
        <v>6</v>
      </c>
      <c r="BU177" s="377"/>
      <c r="BV177" s="373"/>
      <c r="BW177" s="444"/>
      <c r="BX177" s="377"/>
      <c r="BY177" s="373"/>
      <c r="BZ177" s="444" t="s">
        <v>6</v>
      </c>
      <c r="CA177" s="377"/>
      <c r="CB177" s="373"/>
      <c r="CC177" s="444" t="s">
        <v>6</v>
      </c>
      <c r="CD177" s="377"/>
      <c r="CE177" s="373"/>
      <c r="CF177" s="444" t="s">
        <v>6</v>
      </c>
      <c r="CG177" s="377"/>
      <c r="CH177" s="373"/>
      <c r="CI177" s="444"/>
      <c r="CJ177" s="377"/>
      <c r="CK177" s="373"/>
      <c r="CL177" s="444" t="s">
        <v>6</v>
      </c>
      <c r="CM177" s="377"/>
      <c r="CN177" s="373">
        <v>1</v>
      </c>
      <c r="CO177" s="444">
        <v>0</v>
      </c>
      <c r="CP177" s="377">
        <v>1</v>
      </c>
      <c r="CQ177" s="373"/>
      <c r="CR177" s="444">
        <v>100</v>
      </c>
      <c r="CS177" s="377"/>
      <c r="CT177" s="373"/>
      <c r="CU177" s="444"/>
      <c r="CV177" s="377">
        <v>15</v>
      </c>
      <c r="CW177" s="373">
        <v>4</v>
      </c>
      <c r="CX177" s="444">
        <v>78.900000000000006</v>
      </c>
      <c r="CY177" s="377">
        <v>8</v>
      </c>
      <c r="CZ177" s="373">
        <v>6</v>
      </c>
      <c r="DA177" s="444">
        <v>57.1</v>
      </c>
      <c r="DB177" s="377">
        <v>10</v>
      </c>
      <c r="DC177" s="373">
        <v>4</v>
      </c>
      <c r="DD177" s="444">
        <v>71.400000000000006</v>
      </c>
      <c r="DE177" s="377"/>
      <c r="DF177" s="373"/>
      <c r="DG177" s="444"/>
      <c r="DH177" s="377"/>
      <c r="DI177" s="373"/>
      <c r="DJ177" s="444" t="s">
        <v>6</v>
      </c>
      <c r="DK177" s="377"/>
      <c r="DL177" s="373"/>
      <c r="DM177" s="444" t="s">
        <v>6</v>
      </c>
      <c r="DN177" s="377"/>
      <c r="DO177" s="373"/>
      <c r="DP177" s="444" t="s">
        <v>6</v>
      </c>
      <c r="DQ177" s="377"/>
      <c r="DR177" s="373"/>
      <c r="DS177" s="444"/>
      <c r="DT177" s="377"/>
      <c r="DU177" s="373"/>
      <c r="DV177" s="444" t="s">
        <v>6</v>
      </c>
      <c r="DW177" s="377"/>
      <c r="DX177" s="373"/>
      <c r="DY177" s="444" t="s">
        <v>6</v>
      </c>
      <c r="DZ177" s="377"/>
      <c r="EA177" s="373"/>
      <c r="EB177" s="444" t="s">
        <v>6</v>
      </c>
      <c r="EC177" s="377"/>
      <c r="ED177" s="373"/>
      <c r="EE177" s="444"/>
      <c r="EF177" s="377">
        <v>83</v>
      </c>
      <c r="EG177" s="373">
        <v>88</v>
      </c>
      <c r="EH177" s="444">
        <v>48.5</v>
      </c>
      <c r="EI177" s="377">
        <v>38</v>
      </c>
      <c r="EJ177" s="373">
        <v>52</v>
      </c>
      <c r="EK177" s="444">
        <v>42.2</v>
      </c>
      <c r="EL177" s="377">
        <v>74</v>
      </c>
      <c r="EM177" s="373">
        <v>60</v>
      </c>
      <c r="EN177" s="444">
        <v>55.2</v>
      </c>
      <c r="EO177" s="377"/>
      <c r="EP177" s="373"/>
      <c r="EQ177" s="444"/>
      <c r="ER177" s="377">
        <v>5</v>
      </c>
      <c r="ES177" s="373">
        <v>1</v>
      </c>
      <c r="ET177" s="444">
        <v>83.3</v>
      </c>
      <c r="EU177" s="377"/>
      <c r="EV177" s="373"/>
      <c r="EW177" s="444" t="s">
        <v>6</v>
      </c>
      <c r="EX177" s="377">
        <v>6</v>
      </c>
      <c r="EY177" s="373"/>
      <c r="EZ177" s="444">
        <v>100</v>
      </c>
      <c r="FA177" s="377"/>
      <c r="FB177" s="373"/>
      <c r="FC177" s="444"/>
      <c r="FD177" s="377">
        <v>2</v>
      </c>
      <c r="FE177" s="373">
        <v>2</v>
      </c>
      <c r="FF177" s="444">
        <v>50</v>
      </c>
      <c r="FG177" s="377">
        <v>1</v>
      </c>
      <c r="FH177" s="373">
        <v>1</v>
      </c>
      <c r="FI177" s="444">
        <v>50</v>
      </c>
      <c r="FJ177" s="377"/>
      <c r="FK177" s="373">
        <v>1</v>
      </c>
      <c r="FL177" s="444">
        <v>0</v>
      </c>
      <c r="FM177" s="377"/>
      <c r="FN177" s="373"/>
      <c r="FO177" s="444"/>
      <c r="FP177" s="377">
        <v>19</v>
      </c>
      <c r="FQ177" s="373">
        <v>17</v>
      </c>
      <c r="FR177" s="444">
        <v>52.8</v>
      </c>
      <c r="FS177" s="377">
        <v>5</v>
      </c>
      <c r="FT177" s="373">
        <v>9</v>
      </c>
      <c r="FU177" s="444">
        <v>35.700000000000003</v>
      </c>
      <c r="FV177" s="377">
        <v>6</v>
      </c>
      <c r="FW177" s="373">
        <v>9</v>
      </c>
      <c r="FX177" s="444">
        <v>40</v>
      </c>
      <c r="FY177" s="377"/>
      <c r="FZ177" s="373"/>
      <c r="GA177" s="444"/>
      <c r="GB177" s="377">
        <v>1</v>
      </c>
      <c r="GC177" s="373"/>
      <c r="GD177" s="444">
        <v>100</v>
      </c>
      <c r="GE177" s="377"/>
      <c r="GF177" s="373"/>
      <c r="GG177" s="444" t="s">
        <v>6</v>
      </c>
      <c r="GH177" s="377">
        <v>1</v>
      </c>
      <c r="GI177" s="373"/>
      <c r="GJ177" s="444">
        <v>100</v>
      </c>
      <c r="GK177" s="377"/>
      <c r="GL177" s="373"/>
      <c r="GM177" s="444"/>
      <c r="GN177" s="377">
        <v>1</v>
      </c>
      <c r="GO177" s="373"/>
      <c r="GP177" s="444">
        <v>100</v>
      </c>
      <c r="GQ177" s="377"/>
      <c r="GR177" s="373">
        <v>2</v>
      </c>
      <c r="GS177" s="444">
        <v>0</v>
      </c>
      <c r="GT177" s="377">
        <v>1</v>
      </c>
      <c r="GU177" s="373"/>
      <c r="GV177" s="444">
        <v>100</v>
      </c>
      <c r="GW177" s="377"/>
      <c r="GX177" s="373"/>
      <c r="GY177" s="444"/>
      <c r="GZ177" s="377">
        <v>2</v>
      </c>
      <c r="HA177" s="373"/>
      <c r="HB177" s="444">
        <v>100</v>
      </c>
      <c r="HC177" s="377"/>
      <c r="HD177" s="373"/>
      <c r="HE177" s="444" t="s">
        <v>6</v>
      </c>
      <c r="HF177" s="377"/>
      <c r="HG177" s="373"/>
      <c r="HH177" s="444" t="s">
        <v>6</v>
      </c>
      <c r="HI177" s="377"/>
      <c r="HJ177" s="373"/>
      <c r="HK177" s="444"/>
      <c r="HL177" s="377">
        <v>28</v>
      </c>
      <c r="HM177" s="373">
        <v>10</v>
      </c>
      <c r="HN177" s="444">
        <v>73.7</v>
      </c>
      <c r="HO177" s="377">
        <v>3</v>
      </c>
      <c r="HP177" s="373">
        <v>3</v>
      </c>
      <c r="HQ177" s="444">
        <v>50</v>
      </c>
      <c r="HR177" s="377">
        <v>5</v>
      </c>
      <c r="HS177" s="373">
        <v>3</v>
      </c>
      <c r="HT177" s="444">
        <v>62.5</v>
      </c>
      <c r="HU177" s="377"/>
      <c r="HV177" s="373"/>
      <c r="HW177" s="444"/>
      <c r="HX177" s="377"/>
      <c r="HY177" s="373"/>
      <c r="HZ177" s="444" t="s">
        <v>6</v>
      </c>
      <c r="IA177" s="377"/>
      <c r="IB177" s="373"/>
      <c r="IC177" s="444" t="s">
        <v>6</v>
      </c>
      <c r="ID177" s="377"/>
      <c r="IE177" s="373"/>
      <c r="IF177" s="444" t="s">
        <v>6</v>
      </c>
      <c r="IG177" s="377"/>
      <c r="IH177" s="373"/>
      <c r="II177" s="444"/>
      <c r="IJ177" s="377">
        <v>3</v>
      </c>
      <c r="IK177" s="373">
        <v>1</v>
      </c>
      <c r="IL177" s="444">
        <v>75</v>
      </c>
      <c r="IM177" s="377">
        <v>3</v>
      </c>
      <c r="IN177" s="373"/>
      <c r="IO177" s="444">
        <v>100</v>
      </c>
      <c r="IP177" s="377">
        <v>3</v>
      </c>
      <c r="IQ177" s="373"/>
      <c r="IR177" s="444">
        <v>100</v>
      </c>
      <c r="IS177" s="377"/>
      <c r="IT177" s="373"/>
      <c r="IU177" s="444"/>
      <c r="IV177" s="377">
        <v>142</v>
      </c>
      <c r="IW177" s="373">
        <v>105</v>
      </c>
      <c r="IX177" s="444">
        <v>57.5</v>
      </c>
      <c r="IY177" s="377">
        <v>55</v>
      </c>
      <c r="IZ177" s="373">
        <v>66</v>
      </c>
      <c r="JA177" s="444">
        <v>45.5</v>
      </c>
      <c r="JB177" s="377">
        <v>98</v>
      </c>
      <c r="JC177" s="373">
        <v>67</v>
      </c>
      <c r="JD177" s="444">
        <v>59.4</v>
      </c>
      <c r="JE177" s="377"/>
      <c r="JF177" s="373"/>
      <c r="JG177" s="444"/>
      <c r="JH177" s="377">
        <v>32</v>
      </c>
      <c r="JI177" s="373">
        <v>14</v>
      </c>
      <c r="JJ177" s="444">
        <v>69.599999999999994</v>
      </c>
      <c r="JK177" s="377">
        <v>13</v>
      </c>
      <c r="JL177" s="373">
        <v>16</v>
      </c>
      <c r="JM177" s="444">
        <v>44.8</v>
      </c>
      <c r="JN177" s="377">
        <v>57</v>
      </c>
      <c r="JO177" s="373">
        <v>11</v>
      </c>
      <c r="JP177" s="444">
        <v>83.8</v>
      </c>
      <c r="JQ177" s="377"/>
      <c r="JR177" s="373"/>
      <c r="JS177" s="444"/>
      <c r="JT177" s="377"/>
      <c r="JU177" s="373"/>
      <c r="JV177" s="444" t="s">
        <v>6</v>
      </c>
      <c r="JW177" s="377"/>
      <c r="JX177" s="373"/>
      <c r="JY177" s="444" t="s">
        <v>6</v>
      </c>
      <c r="JZ177" s="377"/>
      <c r="KA177" s="373"/>
      <c r="KB177" s="444" t="s">
        <v>6</v>
      </c>
      <c r="KC177" s="377"/>
      <c r="KD177" s="373"/>
      <c r="KE177" s="444"/>
      <c r="KF177" s="377"/>
      <c r="KG177" s="373"/>
      <c r="KH177" s="444" t="s">
        <v>6</v>
      </c>
      <c r="KI177" s="377"/>
      <c r="KJ177" s="373"/>
      <c r="KK177" s="444" t="s">
        <v>6</v>
      </c>
      <c r="KL177" s="377"/>
      <c r="KM177" s="373"/>
      <c r="KN177" s="444" t="s">
        <v>6</v>
      </c>
      <c r="KO177" s="377"/>
      <c r="KP177" s="373"/>
      <c r="KQ177" s="444"/>
      <c r="KR177" s="377">
        <v>34</v>
      </c>
      <c r="KS177" s="373">
        <v>14</v>
      </c>
      <c r="KT177" s="444">
        <v>70.8</v>
      </c>
      <c r="KU177" s="377">
        <v>14</v>
      </c>
      <c r="KV177" s="373">
        <v>16</v>
      </c>
      <c r="KW177" s="444">
        <v>46.7</v>
      </c>
      <c r="KX177" s="377">
        <v>57</v>
      </c>
      <c r="KY177" s="373">
        <v>12</v>
      </c>
      <c r="KZ177" s="444">
        <v>82.6</v>
      </c>
      <c r="LA177" s="377"/>
      <c r="LB177" s="373"/>
      <c r="LC177" s="444"/>
      <c r="LD177" s="377">
        <v>198</v>
      </c>
      <c r="LE177" s="373">
        <v>114</v>
      </c>
      <c r="LF177" s="444">
        <v>63.5</v>
      </c>
      <c r="LG177" s="377">
        <v>140</v>
      </c>
      <c r="LH177" s="373">
        <v>76</v>
      </c>
      <c r="LI177" s="444">
        <v>64.8</v>
      </c>
      <c r="LJ177" s="377">
        <v>180</v>
      </c>
      <c r="LK177" s="373">
        <v>78</v>
      </c>
      <c r="LL177" s="444">
        <v>69.8</v>
      </c>
      <c r="LM177" s="377"/>
      <c r="LN177" s="373"/>
      <c r="LO177" s="444"/>
    </row>
    <row r="178" spans="1:327" x14ac:dyDescent="0.2">
      <c r="A178" s="1001"/>
      <c r="B178" s="747" t="s">
        <v>621</v>
      </c>
      <c r="C178" s="151" t="s">
        <v>756</v>
      </c>
      <c r="D178" s="377"/>
      <c r="E178" s="373"/>
      <c r="F178" s="444" t="s">
        <v>6</v>
      </c>
      <c r="G178" s="377"/>
      <c r="H178" s="373"/>
      <c r="I178" s="444" t="s">
        <v>6</v>
      </c>
      <c r="J178" s="377"/>
      <c r="K178" s="373"/>
      <c r="L178" s="444" t="s">
        <v>6</v>
      </c>
      <c r="M178" s="377"/>
      <c r="N178" s="373"/>
      <c r="O178" s="444"/>
      <c r="P178" s="377"/>
      <c r="Q178" s="373"/>
      <c r="R178" s="444" t="s">
        <v>6</v>
      </c>
      <c r="S178" s="377"/>
      <c r="T178" s="373"/>
      <c r="U178" s="444" t="s">
        <v>6</v>
      </c>
      <c r="V178" s="377"/>
      <c r="W178" s="373"/>
      <c r="X178" s="444" t="s">
        <v>6</v>
      </c>
      <c r="Y178" s="377"/>
      <c r="Z178" s="373"/>
      <c r="AA178" s="444"/>
      <c r="AB178" s="377"/>
      <c r="AC178" s="373"/>
      <c r="AD178" s="444" t="s">
        <v>6</v>
      </c>
      <c r="AE178" s="377"/>
      <c r="AF178" s="373"/>
      <c r="AG178" s="444" t="s">
        <v>6</v>
      </c>
      <c r="AH178" s="377"/>
      <c r="AI178" s="373"/>
      <c r="AJ178" s="444" t="s">
        <v>6</v>
      </c>
      <c r="AK178" s="377"/>
      <c r="AL178" s="373"/>
      <c r="AM178" s="444"/>
      <c r="AN178" s="377">
        <v>7</v>
      </c>
      <c r="AO178" s="373"/>
      <c r="AP178" s="444">
        <v>100</v>
      </c>
      <c r="AQ178" s="377">
        <v>12</v>
      </c>
      <c r="AR178" s="373">
        <v>1</v>
      </c>
      <c r="AS178" s="444">
        <v>92.3</v>
      </c>
      <c r="AT178" s="377">
        <v>13</v>
      </c>
      <c r="AU178" s="373">
        <v>1</v>
      </c>
      <c r="AV178" s="444">
        <v>92.9</v>
      </c>
      <c r="AW178" s="377"/>
      <c r="AX178" s="373"/>
      <c r="AY178" s="444"/>
      <c r="AZ178" s="377">
        <v>3</v>
      </c>
      <c r="BA178" s="373"/>
      <c r="BB178" s="444">
        <v>100</v>
      </c>
      <c r="BC178" s="377">
        <v>5</v>
      </c>
      <c r="BD178" s="373">
        <v>1</v>
      </c>
      <c r="BE178" s="444">
        <v>83.3</v>
      </c>
      <c r="BF178" s="377">
        <v>6</v>
      </c>
      <c r="BG178" s="373">
        <v>1</v>
      </c>
      <c r="BH178" s="444">
        <v>85.7</v>
      </c>
      <c r="BI178" s="377"/>
      <c r="BJ178" s="373"/>
      <c r="BK178" s="444"/>
      <c r="BL178" s="377"/>
      <c r="BM178" s="373"/>
      <c r="BN178" s="444" t="s">
        <v>6</v>
      </c>
      <c r="BO178" s="377"/>
      <c r="BP178" s="373"/>
      <c r="BQ178" s="444" t="s">
        <v>6</v>
      </c>
      <c r="BR178" s="377"/>
      <c r="BS178" s="373"/>
      <c r="BT178" s="444" t="s">
        <v>6</v>
      </c>
      <c r="BU178" s="377"/>
      <c r="BV178" s="373"/>
      <c r="BW178" s="444"/>
      <c r="BX178" s="377"/>
      <c r="BY178" s="373"/>
      <c r="BZ178" s="444" t="s">
        <v>6</v>
      </c>
      <c r="CA178" s="377"/>
      <c r="CB178" s="373"/>
      <c r="CC178" s="444" t="s">
        <v>6</v>
      </c>
      <c r="CD178" s="377"/>
      <c r="CE178" s="373"/>
      <c r="CF178" s="444" t="s">
        <v>6</v>
      </c>
      <c r="CG178" s="377"/>
      <c r="CH178" s="373"/>
      <c r="CI178" s="444"/>
      <c r="CJ178" s="377">
        <v>2</v>
      </c>
      <c r="CK178" s="373"/>
      <c r="CL178" s="444">
        <v>100</v>
      </c>
      <c r="CM178" s="377"/>
      <c r="CN178" s="373"/>
      <c r="CO178" s="444" t="s">
        <v>6</v>
      </c>
      <c r="CP178" s="377"/>
      <c r="CQ178" s="373"/>
      <c r="CR178" s="444" t="s">
        <v>6</v>
      </c>
      <c r="CS178" s="377"/>
      <c r="CT178" s="373"/>
      <c r="CU178" s="444"/>
      <c r="CV178" s="377">
        <v>25</v>
      </c>
      <c r="CW178" s="373">
        <v>5</v>
      </c>
      <c r="CX178" s="444">
        <v>83.3</v>
      </c>
      <c r="CY178" s="377">
        <v>10</v>
      </c>
      <c r="CZ178" s="373">
        <v>3</v>
      </c>
      <c r="DA178" s="444">
        <v>76.900000000000006</v>
      </c>
      <c r="DB178" s="377">
        <v>24</v>
      </c>
      <c r="DC178" s="373">
        <v>4</v>
      </c>
      <c r="DD178" s="444">
        <v>85.7</v>
      </c>
      <c r="DE178" s="377"/>
      <c r="DF178" s="373"/>
      <c r="DG178" s="444"/>
      <c r="DH178" s="377"/>
      <c r="DI178" s="373"/>
      <c r="DJ178" s="444" t="s">
        <v>6</v>
      </c>
      <c r="DK178" s="377">
        <v>1</v>
      </c>
      <c r="DL178" s="373"/>
      <c r="DM178" s="444">
        <v>100</v>
      </c>
      <c r="DN178" s="377">
        <v>1</v>
      </c>
      <c r="DO178" s="373"/>
      <c r="DP178" s="444">
        <v>100</v>
      </c>
      <c r="DQ178" s="377"/>
      <c r="DR178" s="373"/>
      <c r="DS178" s="444"/>
      <c r="DT178" s="377"/>
      <c r="DU178" s="373"/>
      <c r="DV178" s="444" t="s">
        <v>6</v>
      </c>
      <c r="DW178" s="377">
        <v>6</v>
      </c>
      <c r="DX178" s="373"/>
      <c r="DY178" s="444">
        <v>100</v>
      </c>
      <c r="DZ178" s="377">
        <v>2</v>
      </c>
      <c r="EA178" s="373"/>
      <c r="EB178" s="444">
        <v>100</v>
      </c>
      <c r="EC178" s="377"/>
      <c r="ED178" s="373"/>
      <c r="EE178" s="444"/>
      <c r="EF178" s="377">
        <v>43</v>
      </c>
      <c r="EG178" s="373">
        <v>121</v>
      </c>
      <c r="EH178" s="444">
        <v>26.2</v>
      </c>
      <c r="EI178" s="377">
        <v>51</v>
      </c>
      <c r="EJ178" s="373">
        <v>117</v>
      </c>
      <c r="EK178" s="444">
        <v>30.4</v>
      </c>
      <c r="EL178" s="377">
        <v>55</v>
      </c>
      <c r="EM178" s="373">
        <v>84</v>
      </c>
      <c r="EN178" s="444">
        <v>39.6</v>
      </c>
      <c r="EO178" s="377"/>
      <c r="EP178" s="373"/>
      <c r="EQ178" s="444"/>
      <c r="ER178" s="377"/>
      <c r="ES178" s="373">
        <v>1</v>
      </c>
      <c r="ET178" s="444">
        <v>0</v>
      </c>
      <c r="EU178" s="377"/>
      <c r="EV178" s="373"/>
      <c r="EW178" s="444" t="s">
        <v>6</v>
      </c>
      <c r="EX178" s="377">
        <v>1</v>
      </c>
      <c r="EY178" s="373"/>
      <c r="EZ178" s="444">
        <v>100</v>
      </c>
      <c r="FA178" s="377"/>
      <c r="FB178" s="373"/>
      <c r="FC178" s="444"/>
      <c r="FD178" s="377">
        <v>3</v>
      </c>
      <c r="FE178" s="373">
        <v>3</v>
      </c>
      <c r="FF178" s="444">
        <v>50</v>
      </c>
      <c r="FG178" s="377"/>
      <c r="FH178" s="373">
        <v>1</v>
      </c>
      <c r="FI178" s="444">
        <v>0</v>
      </c>
      <c r="FJ178" s="377">
        <v>3</v>
      </c>
      <c r="FK178" s="373"/>
      <c r="FL178" s="444">
        <v>100</v>
      </c>
      <c r="FM178" s="377"/>
      <c r="FN178" s="373"/>
      <c r="FO178" s="444"/>
      <c r="FP178" s="377">
        <v>1</v>
      </c>
      <c r="FQ178" s="373">
        <v>16</v>
      </c>
      <c r="FR178" s="444">
        <v>5.9</v>
      </c>
      <c r="FS178" s="377">
        <v>4</v>
      </c>
      <c r="FT178" s="373">
        <v>7</v>
      </c>
      <c r="FU178" s="444">
        <v>36.4</v>
      </c>
      <c r="FV178" s="377">
        <v>7</v>
      </c>
      <c r="FW178" s="373">
        <v>4</v>
      </c>
      <c r="FX178" s="444">
        <v>63.6</v>
      </c>
      <c r="FY178" s="377"/>
      <c r="FZ178" s="373"/>
      <c r="GA178" s="444"/>
      <c r="GB178" s="377"/>
      <c r="GC178" s="373"/>
      <c r="GD178" s="444" t="s">
        <v>6</v>
      </c>
      <c r="GE178" s="377"/>
      <c r="GF178" s="373"/>
      <c r="GG178" s="444" t="s">
        <v>6</v>
      </c>
      <c r="GH178" s="377"/>
      <c r="GI178" s="373"/>
      <c r="GJ178" s="444" t="s">
        <v>6</v>
      </c>
      <c r="GK178" s="377"/>
      <c r="GL178" s="373"/>
      <c r="GM178" s="444"/>
      <c r="GN178" s="377"/>
      <c r="GO178" s="373"/>
      <c r="GP178" s="444" t="s">
        <v>6</v>
      </c>
      <c r="GQ178" s="377">
        <v>7</v>
      </c>
      <c r="GR178" s="373"/>
      <c r="GS178" s="444">
        <v>100</v>
      </c>
      <c r="GT178" s="377"/>
      <c r="GU178" s="373"/>
      <c r="GV178" s="444" t="s">
        <v>6</v>
      </c>
      <c r="GW178" s="377"/>
      <c r="GX178" s="373"/>
      <c r="GY178" s="444"/>
      <c r="GZ178" s="377"/>
      <c r="HA178" s="373"/>
      <c r="HB178" s="444" t="s">
        <v>6</v>
      </c>
      <c r="HC178" s="377">
        <v>1</v>
      </c>
      <c r="HD178" s="373"/>
      <c r="HE178" s="444">
        <v>100</v>
      </c>
      <c r="HF178" s="377">
        <v>1</v>
      </c>
      <c r="HG178" s="373"/>
      <c r="HH178" s="444">
        <v>100</v>
      </c>
      <c r="HI178" s="377"/>
      <c r="HJ178" s="373"/>
      <c r="HK178" s="444"/>
      <c r="HL178" s="377">
        <v>3</v>
      </c>
      <c r="HM178" s="373">
        <v>10</v>
      </c>
      <c r="HN178" s="444">
        <v>23.1</v>
      </c>
      <c r="HO178" s="377">
        <v>3</v>
      </c>
      <c r="HP178" s="373">
        <v>8</v>
      </c>
      <c r="HQ178" s="444">
        <v>27.3</v>
      </c>
      <c r="HR178" s="377">
        <v>3</v>
      </c>
      <c r="HS178" s="373">
        <v>15</v>
      </c>
      <c r="HT178" s="444">
        <v>16.7</v>
      </c>
      <c r="HU178" s="377"/>
      <c r="HV178" s="373"/>
      <c r="HW178" s="444"/>
      <c r="HX178" s="377">
        <v>3</v>
      </c>
      <c r="HY178" s="373"/>
      <c r="HZ178" s="444">
        <v>100</v>
      </c>
      <c r="IA178" s="377">
        <v>1</v>
      </c>
      <c r="IB178" s="373"/>
      <c r="IC178" s="444">
        <v>100</v>
      </c>
      <c r="ID178" s="377">
        <v>3</v>
      </c>
      <c r="IE178" s="373"/>
      <c r="IF178" s="444">
        <v>100</v>
      </c>
      <c r="IG178" s="377"/>
      <c r="IH178" s="373"/>
      <c r="II178" s="444"/>
      <c r="IJ178" s="377"/>
      <c r="IK178" s="373"/>
      <c r="IL178" s="444" t="s">
        <v>6</v>
      </c>
      <c r="IM178" s="377">
        <v>3</v>
      </c>
      <c r="IN178" s="373"/>
      <c r="IO178" s="444">
        <v>100</v>
      </c>
      <c r="IP178" s="377">
        <v>2</v>
      </c>
      <c r="IQ178" s="373"/>
      <c r="IR178" s="444">
        <v>100</v>
      </c>
      <c r="IS178" s="377"/>
      <c r="IT178" s="373"/>
      <c r="IU178" s="444"/>
      <c r="IV178" s="377">
        <v>83</v>
      </c>
      <c r="IW178" s="373">
        <v>136</v>
      </c>
      <c r="IX178" s="444">
        <v>37.9</v>
      </c>
      <c r="IY178" s="377">
        <v>95</v>
      </c>
      <c r="IZ178" s="373">
        <v>129</v>
      </c>
      <c r="JA178" s="444">
        <v>42.4</v>
      </c>
      <c r="JB178" s="377">
        <v>104</v>
      </c>
      <c r="JC178" s="373">
        <v>104</v>
      </c>
      <c r="JD178" s="444">
        <v>50</v>
      </c>
      <c r="JE178" s="377"/>
      <c r="JF178" s="373"/>
      <c r="JG178" s="444"/>
      <c r="JH178" s="377">
        <v>13</v>
      </c>
      <c r="JI178" s="373">
        <v>15</v>
      </c>
      <c r="JJ178" s="444">
        <v>46.4</v>
      </c>
      <c r="JK178" s="377">
        <v>38</v>
      </c>
      <c r="JL178" s="373">
        <v>14</v>
      </c>
      <c r="JM178" s="444">
        <v>73.099999999999994</v>
      </c>
      <c r="JN178" s="377">
        <v>45</v>
      </c>
      <c r="JO178" s="373">
        <v>11</v>
      </c>
      <c r="JP178" s="444">
        <v>80.400000000000006</v>
      </c>
      <c r="JQ178" s="377"/>
      <c r="JR178" s="373"/>
      <c r="JS178" s="444"/>
      <c r="JT178" s="377">
        <v>2</v>
      </c>
      <c r="JU178" s="373">
        <v>1</v>
      </c>
      <c r="JV178" s="444">
        <v>66.7</v>
      </c>
      <c r="JW178" s="377"/>
      <c r="JX178" s="373"/>
      <c r="JY178" s="444" t="s">
        <v>6</v>
      </c>
      <c r="JZ178" s="377">
        <v>1</v>
      </c>
      <c r="KA178" s="373"/>
      <c r="KB178" s="444">
        <v>100</v>
      </c>
      <c r="KC178" s="377"/>
      <c r="KD178" s="373"/>
      <c r="KE178" s="444"/>
      <c r="KF178" s="377"/>
      <c r="KG178" s="373"/>
      <c r="KH178" s="444" t="s">
        <v>6</v>
      </c>
      <c r="KI178" s="377">
        <v>2</v>
      </c>
      <c r="KJ178" s="373"/>
      <c r="KK178" s="444">
        <v>100</v>
      </c>
      <c r="KL178" s="377">
        <v>1</v>
      </c>
      <c r="KM178" s="373"/>
      <c r="KN178" s="444">
        <v>100</v>
      </c>
      <c r="KO178" s="377"/>
      <c r="KP178" s="373"/>
      <c r="KQ178" s="444"/>
      <c r="KR178" s="377">
        <v>19</v>
      </c>
      <c r="KS178" s="373">
        <v>20</v>
      </c>
      <c r="KT178" s="444">
        <v>48.7</v>
      </c>
      <c r="KU178" s="377">
        <v>53</v>
      </c>
      <c r="KV178" s="373">
        <v>21</v>
      </c>
      <c r="KW178" s="444">
        <v>71.599999999999994</v>
      </c>
      <c r="KX178" s="377">
        <v>78</v>
      </c>
      <c r="KY178" s="373">
        <v>24</v>
      </c>
      <c r="KZ178" s="444">
        <v>76.5</v>
      </c>
      <c r="LA178" s="377"/>
      <c r="LB178" s="373"/>
      <c r="LC178" s="444"/>
      <c r="LD178" s="377">
        <v>203</v>
      </c>
      <c r="LE178" s="373">
        <v>169</v>
      </c>
      <c r="LF178" s="444">
        <v>54.6</v>
      </c>
      <c r="LG178" s="377">
        <v>196</v>
      </c>
      <c r="LH178" s="373">
        <v>160</v>
      </c>
      <c r="LI178" s="444">
        <v>55.1</v>
      </c>
      <c r="LJ178" s="377">
        <v>433</v>
      </c>
      <c r="LK178" s="373">
        <v>144</v>
      </c>
      <c r="LL178" s="444">
        <v>75</v>
      </c>
      <c r="LM178" s="377"/>
      <c r="LN178" s="373"/>
      <c r="LO178" s="444"/>
    </row>
    <row r="179" spans="1:327" x14ac:dyDescent="0.2">
      <c r="A179" s="1001"/>
      <c r="B179" s="747" t="s">
        <v>621</v>
      </c>
      <c r="C179" s="151" t="s">
        <v>757</v>
      </c>
      <c r="D179" s="377"/>
      <c r="E179" s="373"/>
      <c r="F179" s="444" t="s">
        <v>6</v>
      </c>
      <c r="G179" s="377"/>
      <c r="H179" s="373"/>
      <c r="I179" s="444" t="s">
        <v>6</v>
      </c>
      <c r="J179" s="377"/>
      <c r="K179" s="373"/>
      <c r="L179" s="444" t="s">
        <v>6</v>
      </c>
      <c r="M179" s="377"/>
      <c r="N179" s="373"/>
      <c r="O179" s="444"/>
      <c r="P179" s="377"/>
      <c r="Q179" s="373"/>
      <c r="R179" s="444" t="s">
        <v>6</v>
      </c>
      <c r="S179" s="377"/>
      <c r="T179" s="373"/>
      <c r="U179" s="444" t="s">
        <v>6</v>
      </c>
      <c r="V179" s="377"/>
      <c r="W179" s="373"/>
      <c r="X179" s="444" t="s">
        <v>6</v>
      </c>
      <c r="Y179" s="377"/>
      <c r="Z179" s="373"/>
      <c r="AA179" s="444"/>
      <c r="AB179" s="377"/>
      <c r="AC179" s="373"/>
      <c r="AD179" s="444" t="s">
        <v>6</v>
      </c>
      <c r="AE179" s="377"/>
      <c r="AF179" s="373"/>
      <c r="AG179" s="444" t="s">
        <v>6</v>
      </c>
      <c r="AH179" s="377"/>
      <c r="AI179" s="373"/>
      <c r="AJ179" s="444" t="s">
        <v>6</v>
      </c>
      <c r="AK179" s="377"/>
      <c r="AL179" s="373"/>
      <c r="AM179" s="444"/>
      <c r="AN179" s="377">
        <v>10</v>
      </c>
      <c r="AO179" s="373"/>
      <c r="AP179" s="444">
        <v>100</v>
      </c>
      <c r="AQ179" s="377">
        <v>13</v>
      </c>
      <c r="AR179" s="373">
        <v>1</v>
      </c>
      <c r="AS179" s="444">
        <v>92.9</v>
      </c>
      <c r="AT179" s="377">
        <v>14</v>
      </c>
      <c r="AU179" s="373">
        <v>1</v>
      </c>
      <c r="AV179" s="444">
        <v>93.3</v>
      </c>
      <c r="AW179" s="377"/>
      <c r="AX179" s="373"/>
      <c r="AY179" s="444"/>
      <c r="AZ179" s="377">
        <v>9</v>
      </c>
      <c r="BA179" s="373"/>
      <c r="BB179" s="444">
        <v>100</v>
      </c>
      <c r="BC179" s="377">
        <v>9</v>
      </c>
      <c r="BD179" s="373">
        <v>1</v>
      </c>
      <c r="BE179" s="444">
        <v>90</v>
      </c>
      <c r="BF179" s="377">
        <v>12</v>
      </c>
      <c r="BG179" s="373">
        <v>1</v>
      </c>
      <c r="BH179" s="444">
        <v>92.3</v>
      </c>
      <c r="BI179" s="377"/>
      <c r="BJ179" s="373"/>
      <c r="BK179" s="444"/>
      <c r="BL179" s="377"/>
      <c r="BM179" s="373"/>
      <c r="BN179" s="444" t="s">
        <v>6</v>
      </c>
      <c r="BO179" s="377"/>
      <c r="BP179" s="373"/>
      <c r="BQ179" s="444" t="s">
        <v>6</v>
      </c>
      <c r="BR179" s="377"/>
      <c r="BS179" s="373"/>
      <c r="BT179" s="444" t="s">
        <v>6</v>
      </c>
      <c r="BU179" s="377"/>
      <c r="BV179" s="373"/>
      <c r="BW179" s="444"/>
      <c r="BX179" s="377"/>
      <c r="BY179" s="373"/>
      <c r="BZ179" s="444" t="s">
        <v>6</v>
      </c>
      <c r="CA179" s="377"/>
      <c r="CB179" s="373"/>
      <c r="CC179" s="444" t="s">
        <v>6</v>
      </c>
      <c r="CD179" s="377"/>
      <c r="CE179" s="373"/>
      <c r="CF179" s="444" t="s">
        <v>6</v>
      </c>
      <c r="CG179" s="377"/>
      <c r="CH179" s="373"/>
      <c r="CI179" s="444"/>
      <c r="CJ179" s="377"/>
      <c r="CK179" s="373"/>
      <c r="CL179" s="444" t="s">
        <v>6</v>
      </c>
      <c r="CM179" s="377">
        <v>1</v>
      </c>
      <c r="CN179" s="373"/>
      <c r="CO179" s="444">
        <v>100</v>
      </c>
      <c r="CP179" s="377"/>
      <c r="CQ179" s="373"/>
      <c r="CR179" s="444" t="s">
        <v>6</v>
      </c>
      <c r="CS179" s="377"/>
      <c r="CT179" s="373"/>
      <c r="CU179" s="444"/>
      <c r="CV179" s="377">
        <v>23</v>
      </c>
      <c r="CW179" s="373">
        <v>4</v>
      </c>
      <c r="CX179" s="444">
        <v>85.2</v>
      </c>
      <c r="CY179" s="377">
        <v>28</v>
      </c>
      <c r="CZ179" s="373">
        <v>6</v>
      </c>
      <c r="DA179" s="444">
        <v>82.4</v>
      </c>
      <c r="DB179" s="377">
        <v>21</v>
      </c>
      <c r="DC179" s="373">
        <v>7</v>
      </c>
      <c r="DD179" s="444">
        <v>75</v>
      </c>
      <c r="DE179" s="377"/>
      <c r="DF179" s="373"/>
      <c r="DG179" s="444"/>
      <c r="DH179" s="377"/>
      <c r="DI179" s="373"/>
      <c r="DJ179" s="444" t="s">
        <v>6</v>
      </c>
      <c r="DK179" s="377">
        <v>2</v>
      </c>
      <c r="DL179" s="373"/>
      <c r="DM179" s="444">
        <v>100</v>
      </c>
      <c r="DN179" s="377">
        <v>1</v>
      </c>
      <c r="DO179" s="373"/>
      <c r="DP179" s="444">
        <v>100</v>
      </c>
      <c r="DQ179" s="377"/>
      <c r="DR179" s="373"/>
      <c r="DS179" s="444"/>
      <c r="DT179" s="377"/>
      <c r="DU179" s="373"/>
      <c r="DV179" s="444" t="s">
        <v>6</v>
      </c>
      <c r="DW179" s="377">
        <v>2</v>
      </c>
      <c r="DX179" s="373"/>
      <c r="DY179" s="444">
        <v>100</v>
      </c>
      <c r="DZ179" s="377">
        <v>3</v>
      </c>
      <c r="EA179" s="373"/>
      <c r="EB179" s="444">
        <v>100</v>
      </c>
      <c r="EC179" s="377"/>
      <c r="ED179" s="373"/>
      <c r="EE179" s="444"/>
      <c r="EF179" s="377">
        <v>72</v>
      </c>
      <c r="EG179" s="373">
        <v>146</v>
      </c>
      <c r="EH179" s="444">
        <v>33</v>
      </c>
      <c r="EI179" s="377">
        <v>66</v>
      </c>
      <c r="EJ179" s="373">
        <v>128</v>
      </c>
      <c r="EK179" s="444">
        <v>34</v>
      </c>
      <c r="EL179" s="377">
        <v>107</v>
      </c>
      <c r="EM179" s="373">
        <v>113</v>
      </c>
      <c r="EN179" s="444">
        <v>48.6</v>
      </c>
      <c r="EO179" s="377"/>
      <c r="EP179" s="373"/>
      <c r="EQ179" s="444"/>
      <c r="ER179" s="377"/>
      <c r="ES179" s="373">
        <v>2</v>
      </c>
      <c r="ET179" s="444">
        <v>0</v>
      </c>
      <c r="EU179" s="377"/>
      <c r="EV179" s="373"/>
      <c r="EW179" s="444" t="s">
        <v>6</v>
      </c>
      <c r="EX179" s="377">
        <v>1</v>
      </c>
      <c r="EY179" s="373"/>
      <c r="EZ179" s="444">
        <v>100</v>
      </c>
      <c r="FA179" s="377"/>
      <c r="FB179" s="373"/>
      <c r="FC179" s="444"/>
      <c r="FD179" s="377"/>
      <c r="FE179" s="373">
        <v>4</v>
      </c>
      <c r="FF179" s="444">
        <v>0</v>
      </c>
      <c r="FG179" s="377"/>
      <c r="FH179" s="373">
        <v>2</v>
      </c>
      <c r="FI179" s="444">
        <v>0</v>
      </c>
      <c r="FJ179" s="377">
        <v>2</v>
      </c>
      <c r="FK179" s="373">
        <v>3</v>
      </c>
      <c r="FL179" s="444">
        <v>40</v>
      </c>
      <c r="FM179" s="377"/>
      <c r="FN179" s="373"/>
      <c r="FO179" s="444"/>
      <c r="FP179" s="377">
        <v>7</v>
      </c>
      <c r="FQ179" s="373">
        <v>21</v>
      </c>
      <c r="FR179" s="444">
        <v>25</v>
      </c>
      <c r="FS179" s="377">
        <v>4</v>
      </c>
      <c r="FT179" s="373">
        <v>20</v>
      </c>
      <c r="FU179" s="444">
        <v>16.7</v>
      </c>
      <c r="FV179" s="377">
        <v>17</v>
      </c>
      <c r="FW179" s="373">
        <v>12</v>
      </c>
      <c r="FX179" s="444">
        <v>58.6</v>
      </c>
      <c r="FY179" s="377"/>
      <c r="FZ179" s="373"/>
      <c r="GA179" s="444"/>
      <c r="GB179" s="377"/>
      <c r="GC179" s="373"/>
      <c r="GD179" s="444" t="s">
        <v>6</v>
      </c>
      <c r="GE179" s="377"/>
      <c r="GF179" s="373"/>
      <c r="GG179" s="444" t="s">
        <v>6</v>
      </c>
      <c r="GH179" s="377">
        <v>1</v>
      </c>
      <c r="GI179" s="373"/>
      <c r="GJ179" s="444">
        <v>100</v>
      </c>
      <c r="GK179" s="377"/>
      <c r="GL179" s="373"/>
      <c r="GM179" s="444"/>
      <c r="GN179" s="377"/>
      <c r="GO179" s="373"/>
      <c r="GP179" s="444" t="s">
        <v>6</v>
      </c>
      <c r="GQ179" s="377">
        <v>1</v>
      </c>
      <c r="GR179" s="373"/>
      <c r="GS179" s="444">
        <v>100</v>
      </c>
      <c r="GT179" s="377">
        <v>4</v>
      </c>
      <c r="GU179" s="373"/>
      <c r="GV179" s="444">
        <v>100</v>
      </c>
      <c r="GW179" s="377"/>
      <c r="GX179" s="373"/>
      <c r="GY179" s="444"/>
      <c r="GZ179" s="377"/>
      <c r="HA179" s="373"/>
      <c r="HB179" s="444" t="s">
        <v>6</v>
      </c>
      <c r="HC179" s="377"/>
      <c r="HD179" s="373"/>
      <c r="HE179" s="444" t="s">
        <v>6</v>
      </c>
      <c r="HF179" s="377"/>
      <c r="HG179" s="373"/>
      <c r="HH179" s="444" t="s">
        <v>6</v>
      </c>
      <c r="HI179" s="377"/>
      <c r="HJ179" s="373"/>
      <c r="HK179" s="444"/>
      <c r="HL179" s="377">
        <v>2</v>
      </c>
      <c r="HM179" s="373">
        <v>5</v>
      </c>
      <c r="HN179" s="444">
        <v>28.6</v>
      </c>
      <c r="HO179" s="377">
        <v>3</v>
      </c>
      <c r="HP179" s="373">
        <v>4</v>
      </c>
      <c r="HQ179" s="444">
        <v>42.9</v>
      </c>
      <c r="HR179" s="377">
        <v>6</v>
      </c>
      <c r="HS179" s="373">
        <v>2</v>
      </c>
      <c r="HT179" s="444">
        <v>75</v>
      </c>
      <c r="HU179" s="377"/>
      <c r="HV179" s="373"/>
      <c r="HW179" s="444"/>
      <c r="HX179" s="377">
        <v>3</v>
      </c>
      <c r="HY179" s="373"/>
      <c r="HZ179" s="444">
        <v>100</v>
      </c>
      <c r="IA179" s="377">
        <v>2</v>
      </c>
      <c r="IB179" s="373"/>
      <c r="IC179" s="444">
        <v>100</v>
      </c>
      <c r="ID179" s="377">
        <v>3</v>
      </c>
      <c r="IE179" s="373"/>
      <c r="IF179" s="444">
        <v>100</v>
      </c>
      <c r="IG179" s="377"/>
      <c r="IH179" s="373"/>
      <c r="II179" s="444"/>
      <c r="IJ179" s="377">
        <v>4</v>
      </c>
      <c r="IK179" s="373"/>
      <c r="IL179" s="444">
        <v>100</v>
      </c>
      <c r="IM179" s="377">
        <v>1</v>
      </c>
      <c r="IN179" s="373">
        <v>1</v>
      </c>
      <c r="IO179" s="444">
        <v>50</v>
      </c>
      <c r="IP179" s="377">
        <v>10</v>
      </c>
      <c r="IQ179" s="373"/>
      <c r="IR179" s="444">
        <v>100</v>
      </c>
      <c r="IS179" s="377"/>
      <c r="IT179" s="373"/>
      <c r="IU179" s="444"/>
      <c r="IV179" s="377">
        <v>114</v>
      </c>
      <c r="IW179" s="373">
        <v>155</v>
      </c>
      <c r="IX179" s="444">
        <v>42.4</v>
      </c>
      <c r="IY179" s="377">
        <v>119</v>
      </c>
      <c r="IZ179" s="373">
        <v>140</v>
      </c>
      <c r="JA179" s="444">
        <v>45.9</v>
      </c>
      <c r="JB179" s="377">
        <v>170</v>
      </c>
      <c r="JC179" s="373">
        <v>123</v>
      </c>
      <c r="JD179" s="444">
        <v>58</v>
      </c>
      <c r="JE179" s="377"/>
      <c r="JF179" s="373"/>
      <c r="JG179" s="444"/>
      <c r="JH179" s="377">
        <v>40</v>
      </c>
      <c r="JI179" s="373">
        <v>23</v>
      </c>
      <c r="JJ179" s="444">
        <v>63.5</v>
      </c>
      <c r="JK179" s="377">
        <v>29</v>
      </c>
      <c r="JL179" s="373">
        <v>16</v>
      </c>
      <c r="JM179" s="444">
        <v>64.400000000000006</v>
      </c>
      <c r="JN179" s="377">
        <v>62</v>
      </c>
      <c r="JO179" s="373">
        <v>11</v>
      </c>
      <c r="JP179" s="444">
        <v>84.9</v>
      </c>
      <c r="JQ179" s="377"/>
      <c r="JR179" s="373"/>
      <c r="JS179" s="444"/>
      <c r="JT179" s="377">
        <v>2</v>
      </c>
      <c r="JU179" s="373"/>
      <c r="JV179" s="444">
        <v>100</v>
      </c>
      <c r="JW179" s="377">
        <v>1</v>
      </c>
      <c r="JX179" s="373"/>
      <c r="JY179" s="444">
        <v>100</v>
      </c>
      <c r="JZ179" s="377"/>
      <c r="KA179" s="373"/>
      <c r="KB179" s="444" t="s">
        <v>6</v>
      </c>
      <c r="KC179" s="377"/>
      <c r="KD179" s="373"/>
      <c r="KE179" s="444"/>
      <c r="KF179" s="377">
        <v>1</v>
      </c>
      <c r="KG179" s="373"/>
      <c r="KH179" s="444">
        <v>100</v>
      </c>
      <c r="KI179" s="377"/>
      <c r="KJ179" s="373"/>
      <c r="KK179" s="444" t="s">
        <v>6</v>
      </c>
      <c r="KL179" s="377">
        <v>1</v>
      </c>
      <c r="KM179" s="373"/>
      <c r="KN179" s="444">
        <v>100</v>
      </c>
      <c r="KO179" s="377"/>
      <c r="KP179" s="373"/>
      <c r="KQ179" s="444"/>
      <c r="KR179" s="377">
        <v>53</v>
      </c>
      <c r="KS179" s="373">
        <v>37</v>
      </c>
      <c r="KT179" s="444">
        <v>58.9</v>
      </c>
      <c r="KU179" s="377">
        <v>38</v>
      </c>
      <c r="KV179" s="373">
        <v>28</v>
      </c>
      <c r="KW179" s="444">
        <v>57.6</v>
      </c>
      <c r="KX179" s="377">
        <v>69</v>
      </c>
      <c r="KY179" s="373">
        <v>30</v>
      </c>
      <c r="KZ179" s="444">
        <v>69.7</v>
      </c>
      <c r="LA179" s="377"/>
      <c r="LB179" s="373"/>
      <c r="LC179" s="444"/>
      <c r="LD179" s="377">
        <v>318</v>
      </c>
      <c r="LE179" s="373">
        <v>188</v>
      </c>
      <c r="LF179" s="444">
        <v>62.8</v>
      </c>
      <c r="LG179" s="377">
        <v>208</v>
      </c>
      <c r="LH179" s="373">
        <v>181</v>
      </c>
      <c r="LI179" s="444">
        <v>53.5</v>
      </c>
      <c r="LJ179" s="377">
        <v>254</v>
      </c>
      <c r="LK179" s="373">
        <v>180</v>
      </c>
      <c r="LL179" s="444">
        <v>58.5</v>
      </c>
      <c r="LM179" s="377"/>
      <c r="LN179" s="373"/>
      <c r="LO179" s="444"/>
    </row>
    <row r="180" spans="1:327" x14ac:dyDescent="0.2">
      <c r="A180" s="1001"/>
      <c r="B180" s="747" t="s">
        <v>621</v>
      </c>
      <c r="C180" s="151" t="s">
        <v>758</v>
      </c>
      <c r="D180" s="377"/>
      <c r="E180" s="373"/>
      <c r="F180" s="444" t="s">
        <v>6</v>
      </c>
      <c r="G180" s="377"/>
      <c r="H180" s="373"/>
      <c r="I180" s="444" t="s">
        <v>6</v>
      </c>
      <c r="J180" s="377"/>
      <c r="K180" s="373"/>
      <c r="L180" s="444" t="s">
        <v>6</v>
      </c>
      <c r="M180" s="377"/>
      <c r="N180" s="373"/>
      <c r="O180" s="444"/>
      <c r="P180" s="377"/>
      <c r="Q180" s="373"/>
      <c r="R180" s="444" t="s">
        <v>6</v>
      </c>
      <c r="S180" s="377"/>
      <c r="T180" s="373"/>
      <c r="U180" s="444" t="s">
        <v>6</v>
      </c>
      <c r="V180" s="377"/>
      <c r="W180" s="373"/>
      <c r="X180" s="444" t="s">
        <v>6</v>
      </c>
      <c r="Y180" s="377"/>
      <c r="Z180" s="373"/>
      <c r="AA180" s="444"/>
      <c r="AB180" s="377"/>
      <c r="AC180" s="373"/>
      <c r="AD180" s="444" t="s">
        <v>6</v>
      </c>
      <c r="AE180" s="377"/>
      <c r="AF180" s="373"/>
      <c r="AG180" s="444" t="s">
        <v>6</v>
      </c>
      <c r="AH180" s="377"/>
      <c r="AI180" s="373"/>
      <c r="AJ180" s="444" t="s">
        <v>6</v>
      </c>
      <c r="AK180" s="377"/>
      <c r="AL180" s="373"/>
      <c r="AM180" s="444"/>
      <c r="AN180" s="377">
        <v>7</v>
      </c>
      <c r="AO180" s="373">
        <v>2</v>
      </c>
      <c r="AP180" s="444">
        <v>77.8</v>
      </c>
      <c r="AQ180" s="377">
        <v>11</v>
      </c>
      <c r="AR180" s="373">
        <v>2</v>
      </c>
      <c r="AS180" s="444">
        <v>84.6</v>
      </c>
      <c r="AT180" s="377">
        <v>9</v>
      </c>
      <c r="AU180" s="373"/>
      <c r="AV180" s="444">
        <v>100</v>
      </c>
      <c r="AW180" s="377"/>
      <c r="AX180" s="373"/>
      <c r="AY180" s="444"/>
      <c r="AZ180" s="377">
        <v>3</v>
      </c>
      <c r="BA180" s="373">
        <v>2</v>
      </c>
      <c r="BB180" s="444">
        <v>60</v>
      </c>
      <c r="BC180" s="377">
        <v>3</v>
      </c>
      <c r="BD180" s="373">
        <v>2</v>
      </c>
      <c r="BE180" s="444">
        <v>60</v>
      </c>
      <c r="BF180" s="377">
        <v>3</v>
      </c>
      <c r="BG180" s="373"/>
      <c r="BH180" s="444">
        <v>100</v>
      </c>
      <c r="BI180" s="377"/>
      <c r="BJ180" s="373"/>
      <c r="BK180" s="444"/>
      <c r="BL180" s="377"/>
      <c r="BM180" s="373"/>
      <c r="BN180" s="444" t="s">
        <v>6</v>
      </c>
      <c r="BO180" s="377"/>
      <c r="BP180" s="373"/>
      <c r="BQ180" s="444" t="s">
        <v>6</v>
      </c>
      <c r="BR180" s="377"/>
      <c r="BS180" s="373"/>
      <c r="BT180" s="444" t="s">
        <v>6</v>
      </c>
      <c r="BU180" s="377"/>
      <c r="BV180" s="373"/>
      <c r="BW180" s="444"/>
      <c r="BX180" s="377"/>
      <c r="BY180" s="373"/>
      <c r="BZ180" s="444" t="s">
        <v>6</v>
      </c>
      <c r="CA180" s="377"/>
      <c r="CB180" s="373"/>
      <c r="CC180" s="444" t="s">
        <v>6</v>
      </c>
      <c r="CD180" s="377"/>
      <c r="CE180" s="373"/>
      <c r="CF180" s="444" t="s">
        <v>6</v>
      </c>
      <c r="CG180" s="377"/>
      <c r="CH180" s="373"/>
      <c r="CI180" s="444"/>
      <c r="CJ180" s="377">
        <v>1</v>
      </c>
      <c r="CK180" s="373"/>
      <c r="CL180" s="444">
        <v>100</v>
      </c>
      <c r="CM180" s="377"/>
      <c r="CN180" s="373"/>
      <c r="CO180" s="444" t="s">
        <v>6</v>
      </c>
      <c r="CP180" s="377"/>
      <c r="CQ180" s="373"/>
      <c r="CR180" s="444" t="s">
        <v>6</v>
      </c>
      <c r="CS180" s="377"/>
      <c r="CT180" s="373"/>
      <c r="CU180" s="444"/>
      <c r="CV180" s="377">
        <v>15</v>
      </c>
      <c r="CW180" s="373">
        <v>4</v>
      </c>
      <c r="CX180" s="444">
        <v>78.900000000000006</v>
      </c>
      <c r="CY180" s="377">
        <v>17</v>
      </c>
      <c r="CZ180" s="373">
        <v>3</v>
      </c>
      <c r="DA180" s="444">
        <v>85</v>
      </c>
      <c r="DB180" s="377">
        <v>13</v>
      </c>
      <c r="DC180" s="373">
        <v>3</v>
      </c>
      <c r="DD180" s="444">
        <v>81.3</v>
      </c>
      <c r="DE180" s="377"/>
      <c r="DF180" s="373"/>
      <c r="DG180" s="444"/>
      <c r="DH180" s="377">
        <v>1</v>
      </c>
      <c r="DI180" s="373"/>
      <c r="DJ180" s="444">
        <v>100</v>
      </c>
      <c r="DK180" s="377"/>
      <c r="DL180" s="373"/>
      <c r="DM180" s="444" t="s">
        <v>6</v>
      </c>
      <c r="DN180" s="377"/>
      <c r="DO180" s="373"/>
      <c r="DP180" s="444" t="s">
        <v>6</v>
      </c>
      <c r="DQ180" s="377"/>
      <c r="DR180" s="373"/>
      <c r="DS180" s="444"/>
      <c r="DT180" s="377"/>
      <c r="DU180" s="373"/>
      <c r="DV180" s="444" t="s">
        <v>6</v>
      </c>
      <c r="DW180" s="377">
        <v>1</v>
      </c>
      <c r="DX180" s="373"/>
      <c r="DY180" s="444">
        <v>100</v>
      </c>
      <c r="DZ180" s="377">
        <v>3</v>
      </c>
      <c r="EA180" s="373"/>
      <c r="EB180" s="444">
        <v>100</v>
      </c>
      <c r="EC180" s="377"/>
      <c r="ED180" s="373"/>
      <c r="EE180" s="444"/>
      <c r="EF180" s="377">
        <v>69</v>
      </c>
      <c r="EG180" s="373">
        <v>115</v>
      </c>
      <c r="EH180" s="444">
        <v>37.5</v>
      </c>
      <c r="EI180" s="377">
        <v>61</v>
      </c>
      <c r="EJ180" s="373">
        <v>75</v>
      </c>
      <c r="EK180" s="444">
        <v>44.9</v>
      </c>
      <c r="EL180" s="377">
        <v>49</v>
      </c>
      <c r="EM180" s="373">
        <v>79</v>
      </c>
      <c r="EN180" s="444">
        <v>38.299999999999997</v>
      </c>
      <c r="EO180" s="377"/>
      <c r="EP180" s="373"/>
      <c r="EQ180" s="444"/>
      <c r="ER180" s="377"/>
      <c r="ES180" s="373">
        <v>2</v>
      </c>
      <c r="ET180" s="444">
        <v>0</v>
      </c>
      <c r="EU180" s="377">
        <v>1</v>
      </c>
      <c r="EV180" s="373"/>
      <c r="EW180" s="444">
        <v>100</v>
      </c>
      <c r="EX180" s="377"/>
      <c r="EY180" s="373"/>
      <c r="EZ180" s="444" t="s">
        <v>6</v>
      </c>
      <c r="FA180" s="377"/>
      <c r="FB180" s="373"/>
      <c r="FC180" s="444"/>
      <c r="FD180" s="377"/>
      <c r="FE180" s="373">
        <v>1</v>
      </c>
      <c r="FF180" s="444">
        <v>0</v>
      </c>
      <c r="FG180" s="377"/>
      <c r="FH180" s="373">
        <v>3</v>
      </c>
      <c r="FI180" s="444">
        <v>0</v>
      </c>
      <c r="FJ180" s="377"/>
      <c r="FK180" s="373">
        <v>2</v>
      </c>
      <c r="FL180" s="444">
        <v>0</v>
      </c>
      <c r="FM180" s="377"/>
      <c r="FN180" s="373"/>
      <c r="FO180" s="444"/>
      <c r="FP180" s="377">
        <v>9</v>
      </c>
      <c r="FQ180" s="373">
        <v>12</v>
      </c>
      <c r="FR180" s="444">
        <v>42.9</v>
      </c>
      <c r="FS180" s="377">
        <v>12</v>
      </c>
      <c r="FT180" s="373">
        <v>14</v>
      </c>
      <c r="FU180" s="444">
        <v>46.2</v>
      </c>
      <c r="FV180" s="377">
        <v>13</v>
      </c>
      <c r="FW180" s="373">
        <v>10</v>
      </c>
      <c r="FX180" s="444">
        <v>56.5</v>
      </c>
      <c r="FY180" s="377"/>
      <c r="FZ180" s="373"/>
      <c r="GA180" s="444"/>
      <c r="GB180" s="377"/>
      <c r="GC180" s="373">
        <v>1</v>
      </c>
      <c r="GD180" s="444">
        <v>0</v>
      </c>
      <c r="GE180" s="377"/>
      <c r="GF180" s="373"/>
      <c r="GG180" s="444" t="s">
        <v>6</v>
      </c>
      <c r="GH180" s="377"/>
      <c r="GI180" s="373"/>
      <c r="GJ180" s="444" t="s">
        <v>6</v>
      </c>
      <c r="GK180" s="377"/>
      <c r="GL180" s="373"/>
      <c r="GM180" s="444"/>
      <c r="GN180" s="377"/>
      <c r="GO180" s="373">
        <v>1</v>
      </c>
      <c r="GP180" s="444">
        <v>0</v>
      </c>
      <c r="GQ180" s="377"/>
      <c r="GR180" s="373"/>
      <c r="GS180" s="444" t="s">
        <v>6</v>
      </c>
      <c r="GT180" s="377"/>
      <c r="GU180" s="373"/>
      <c r="GV180" s="444" t="s">
        <v>6</v>
      </c>
      <c r="GW180" s="377"/>
      <c r="GX180" s="373"/>
      <c r="GY180" s="444"/>
      <c r="GZ180" s="377"/>
      <c r="HA180" s="373"/>
      <c r="HB180" s="444" t="s">
        <v>6</v>
      </c>
      <c r="HC180" s="377"/>
      <c r="HD180" s="373"/>
      <c r="HE180" s="444" t="s">
        <v>6</v>
      </c>
      <c r="HF180" s="377">
        <v>1</v>
      </c>
      <c r="HG180" s="373"/>
      <c r="HH180" s="444">
        <v>100</v>
      </c>
      <c r="HI180" s="377"/>
      <c r="HJ180" s="373"/>
      <c r="HK180" s="444"/>
      <c r="HL180" s="377">
        <v>6</v>
      </c>
      <c r="HM180" s="373">
        <v>6</v>
      </c>
      <c r="HN180" s="444">
        <v>50</v>
      </c>
      <c r="HO180" s="377">
        <v>1</v>
      </c>
      <c r="HP180" s="373">
        <v>9</v>
      </c>
      <c r="HQ180" s="444">
        <v>10</v>
      </c>
      <c r="HR180" s="377">
        <v>2</v>
      </c>
      <c r="HS180" s="373">
        <v>8</v>
      </c>
      <c r="HT180" s="444">
        <v>20</v>
      </c>
      <c r="HU180" s="377"/>
      <c r="HV180" s="373"/>
      <c r="HW180" s="444"/>
      <c r="HX180" s="377">
        <v>2</v>
      </c>
      <c r="HY180" s="373"/>
      <c r="HZ180" s="444">
        <v>100</v>
      </c>
      <c r="IA180" s="377">
        <v>1</v>
      </c>
      <c r="IB180" s="373"/>
      <c r="IC180" s="444">
        <v>100</v>
      </c>
      <c r="ID180" s="377">
        <v>2</v>
      </c>
      <c r="IE180" s="373"/>
      <c r="IF180" s="444">
        <v>100</v>
      </c>
      <c r="IG180" s="377"/>
      <c r="IH180" s="373"/>
      <c r="II180" s="444"/>
      <c r="IJ180" s="377">
        <v>1</v>
      </c>
      <c r="IK180" s="373"/>
      <c r="IL180" s="444">
        <v>100</v>
      </c>
      <c r="IM180" s="377">
        <v>2</v>
      </c>
      <c r="IN180" s="373"/>
      <c r="IO180" s="444">
        <v>100</v>
      </c>
      <c r="IP180" s="377"/>
      <c r="IQ180" s="373"/>
      <c r="IR180" s="444" t="s">
        <v>6</v>
      </c>
      <c r="IS180" s="377"/>
      <c r="IT180" s="373"/>
      <c r="IU180" s="444"/>
      <c r="IV180" s="377">
        <v>102</v>
      </c>
      <c r="IW180" s="373">
        <v>129</v>
      </c>
      <c r="IX180" s="444">
        <v>44.2</v>
      </c>
      <c r="IY180" s="377">
        <v>94</v>
      </c>
      <c r="IZ180" s="373">
        <v>89</v>
      </c>
      <c r="JA180" s="444">
        <v>51.4</v>
      </c>
      <c r="JB180" s="377">
        <v>79</v>
      </c>
      <c r="JC180" s="373">
        <v>90</v>
      </c>
      <c r="JD180" s="444">
        <v>46.7</v>
      </c>
      <c r="JE180" s="377"/>
      <c r="JF180" s="373"/>
      <c r="JG180" s="444"/>
      <c r="JH180" s="377">
        <v>40</v>
      </c>
      <c r="JI180" s="373">
        <v>22</v>
      </c>
      <c r="JJ180" s="444">
        <v>64.5</v>
      </c>
      <c r="JK180" s="377">
        <v>39</v>
      </c>
      <c r="JL180" s="373">
        <v>14</v>
      </c>
      <c r="JM180" s="444">
        <v>73.599999999999994</v>
      </c>
      <c r="JN180" s="377">
        <v>11</v>
      </c>
      <c r="JO180" s="373">
        <v>6</v>
      </c>
      <c r="JP180" s="444">
        <v>64.7</v>
      </c>
      <c r="JQ180" s="377"/>
      <c r="JR180" s="373"/>
      <c r="JS180" s="444"/>
      <c r="JT180" s="377"/>
      <c r="JU180" s="373"/>
      <c r="JV180" s="444" t="s">
        <v>6</v>
      </c>
      <c r="JW180" s="377"/>
      <c r="JX180" s="373"/>
      <c r="JY180" s="444" t="s">
        <v>6</v>
      </c>
      <c r="JZ180" s="377"/>
      <c r="KA180" s="373"/>
      <c r="KB180" s="444" t="s">
        <v>6</v>
      </c>
      <c r="KC180" s="377"/>
      <c r="KD180" s="373"/>
      <c r="KE180" s="444"/>
      <c r="KF180" s="377"/>
      <c r="KG180" s="373"/>
      <c r="KH180" s="444" t="s">
        <v>6</v>
      </c>
      <c r="KI180" s="377"/>
      <c r="KJ180" s="373"/>
      <c r="KK180" s="444" t="s">
        <v>6</v>
      </c>
      <c r="KL180" s="377"/>
      <c r="KM180" s="373"/>
      <c r="KN180" s="444" t="s">
        <v>6</v>
      </c>
      <c r="KO180" s="377"/>
      <c r="KP180" s="373"/>
      <c r="KQ180" s="444"/>
      <c r="KR180" s="377">
        <v>40</v>
      </c>
      <c r="KS180" s="373">
        <v>25</v>
      </c>
      <c r="KT180" s="444">
        <v>61.5</v>
      </c>
      <c r="KU180" s="377">
        <v>44</v>
      </c>
      <c r="KV180" s="373">
        <v>14</v>
      </c>
      <c r="KW180" s="444">
        <v>75.900000000000006</v>
      </c>
      <c r="KX180" s="377">
        <v>11</v>
      </c>
      <c r="KY180" s="373">
        <v>6</v>
      </c>
      <c r="KZ180" s="444">
        <v>64.7</v>
      </c>
      <c r="LA180" s="377"/>
      <c r="LB180" s="373"/>
      <c r="LC180" s="444"/>
      <c r="LD180" s="377">
        <v>136</v>
      </c>
      <c r="LE180" s="373">
        <v>147</v>
      </c>
      <c r="LF180" s="444">
        <v>48.1</v>
      </c>
      <c r="LG180" s="377">
        <v>253</v>
      </c>
      <c r="LH180" s="373">
        <v>112</v>
      </c>
      <c r="LI180" s="444">
        <v>69.3</v>
      </c>
      <c r="LJ180" s="377">
        <v>100</v>
      </c>
      <c r="LK180" s="373">
        <v>115</v>
      </c>
      <c r="LL180" s="444">
        <v>46.5</v>
      </c>
      <c r="LM180" s="377"/>
      <c r="LN180" s="373"/>
      <c r="LO180" s="444"/>
    </row>
    <row r="181" spans="1:327" ht="13.5" thickBot="1" x14ac:dyDescent="0.25">
      <c r="A181" s="1001"/>
      <c r="B181" s="748" t="s">
        <v>621</v>
      </c>
      <c r="C181" s="156" t="s">
        <v>759</v>
      </c>
      <c r="D181" s="377"/>
      <c r="E181" s="373"/>
      <c r="F181" s="444" t="s">
        <v>6</v>
      </c>
      <c r="G181" s="377"/>
      <c r="H181" s="373"/>
      <c r="I181" s="444" t="s">
        <v>6</v>
      </c>
      <c r="J181" s="377"/>
      <c r="K181" s="373"/>
      <c r="L181" s="444" t="s">
        <v>6</v>
      </c>
      <c r="M181" s="377"/>
      <c r="N181" s="373"/>
      <c r="O181" s="444"/>
      <c r="P181" s="377"/>
      <c r="Q181" s="373"/>
      <c r="R181" s="444" t="s">
        <v>6</v>
      </c>
      <c r="S181" s="377"/>
      <c r="T181" s="373"/>
      <c r="U181" s="444" t="s">
        <v>6</v>
      </c>
      <c r="V181" s="377"/>
      <c r="W181" s="373"/>
      <c r="X181" s="444" t="s">
        <v>6</v>
      </c>
      <c r="Y181" s="377"/>
      <c r="Z181" s="373"/>
      <c r="AA181" s="444"/>
      <c r="AB181" s="377"/>
      <c r="AC181" s="373"/>
      <c r="AD181" s="444" t="s">
        <v>6</v>
      </c>
      <c r="AE181" s="377"/>
      <c r="AF181" s="373"/>
      <c r="AG181" s="444" t="s">
        <v>6</v>
      </c>
      <c r="AH181" s="377"/>
      <c r="AI181" s="373"/>
      <c r="AJ181" s="444" t="s">
        <v>6</v>
      </c>
      <c r="AK181" s="377"/>
      <c r="AL181" s="373"/>
      <c r="AM181" s="444"/>
      <c r="AN181" s="377">
        <v>18</v>
      </c>
      <c r="AO181" s="373"/>
      <c r="AP181" s="444">
        <v>100</v>
      </c>
      <c r="AQ181" s="377">
        <v>24</v>
      </c>
      <c r="AR181" s="373"/>
      <c r="AS181" s="444">
        <v>100</v>
      </c>
      <c r="AT181" s="377">
        <v>26</v>
      </c>
      <c r="AU181" s="373"/>
      <c r="AV181" s="444">
        <v>100</v>
      </c>
      <c r="AW181" s="377"/>
      <c r="AX181" s="373"/>
      <c r="AY181" s="444"/>
      <c r="AZ181" s="377">
        <v>3</v>
      </c>
      <c r="BA181" s="373"/>
      <c r="BB181" s="444">
        <v>100</v>
      </c>
      <c r="BC181" s="377">
        <v>3</v>
      </c>
      <c r="BD181" s="373"/>
      <c r="BE181" s="444">
        <v>100</v>
      </c>
      <c r="BF181" s="377">
        <v>8</v>
      </c>
      <c r="BG181" s="373"/>
      <c r="BH181" s="444">
        <v>100</v>
      </c>
      <c r="BI181" s="377"/>
      <c r="BJ181" s="373"/>
      <c r="BK181" s="444"/>
      <c r="BL181" s="377"/>
      <c r="BM181" s="373"/>
      <c r="BN181" s="444" t="s">
        <v>6</v>
      </c>
      <c r="BO181" s="377"/>
      <c r="BP181" s="373"/>
      <c r="BQ181" s="444" t="s">
        <v>6</v>
      </c>
      <c r="BR181" s="377"/>
      <c r="BS181" s="373"/>
      <c r="BT181" s="444" t="s">
        <v>6</v>
      </c>
      <c r="BU181" s="377"/>
      <c r="BV181" s="373"/>
      <c r="BW181" s="444"/>
      <c r="BX181" s="377"/>
      <c r="BY181" s="373"/>
      <c r="BZ181" s="444" t="s">
        <v>6</v>
      </c>
      <c r="CA181" s="377"/>
      <c r="CB181" s="373"/>
      <c r="CC181" s="444" t="s">
        <v>6</v>
      </c>
      <c r="CD181" s="377"/>
      <c r="CE181" s="373"/>
      <c r="CF181" s="444" t="s">
        <v>6</v>
      </c>
      <c r="CG181" s="377"/>
      <c r="CH181" s="373"/>
      <c r="CI181" s="444"/>
      <c r="CJ181" s="377"/>
      <c r="CK181" s="373"/>
      <c r="CL181" s="444" t="s">
        <v>6</v>
      </c>
      <c r="CM181" s="377"/>
      <c r="CN181" s="373"/>
      <c r="CO181" s="444" t="s">
        <v>6</v>
      </c>
      <c r="CP181" s="377"/>
      <c r="CQ181" s="373"/>
      <c r="CR181" s="444" t="s">
        <v>6</v>
      </c>
      <c r="CS181" s="377"/>
      <c r="CT181" s="373"/>
      <c r="CU181" s="444"/>
      <c r="CV181" s="377">
        <v>30</v>
      </c>
      <c r="CW181" s="373">
        <v>4</v>
      </c>
      <c r="CX181" s="444">
        <v>88.2</v>
      </c>
      <c r="CY181" s="377">
        <v>35</v>
      </c>
      <c r="CZ181" s="373">
        <v>4</v>
      </c>
      <c r="DA181" s="444">
        <v>89.7</v>
      </c>
      <c r="DB181" s="377">
        <v>34</v>
      </c>
      <c r="DC181" s="373"/>
      <c r="DD181" s="444">
        <v>100</v>
      </c>
      <c r="DE181" s="377"/>
      <c r="DF181" s="373"/>
      <c r="DG181" s="444"/>
      <c r="DH181" s="377"/>
      <c r="DI181" s="373"/>
      <c r="DJ181" s="444" t="s">
        <v>6</v>
      </c>
      <c r="DK181" s="377">
        <v>1</v>
      </c>
      <c r="DL181" s="373"/>
      <c r="DM181" s="444">
        <v>100</v>
      </c>
      <c r="DN181" s="377">
        <v>1</v>
      </c>
      <c r="DO181" s="373"/>
      <c r="DP181" s="444">
        <v>100</v>
      </c>
      <c r="DQ181" s="377"/>
      <c r="DR181" s="373"/>
      <c r="DS181" s="444"/>
      <c r="DT181" s="377"/>
      <c r="DU181" s="373"/>
      <c r="DV181" s="444" t="s">
        <v>6</v>
      </c>
      <c r="DW181" s="377">
        <v>2</v>
      </c>
      <c r="DX181" s="373"/>
      <c r="DY181" s="444">
        <v>100</v>
      </c>
      <c r="DZ181" s="377">
        <v>2</v>
      </c>
      <c r="EA181" s="373"/>
      <c r="EB181" s="444">
        <v>100</v>
      </c>
      <c r="EC181" s="377"/>
      <c r="ED181" s="373"/>
      <c r="EE181" s="444"/>
      <c r="EF181" s="377">
        <v>38</v>
      </c>
      <c r="EG181" s="373">
        <v>82</v>
      </c>
      <c r="EH181" s="444">
        <v>31.7</v>
      </c>
      <c r="EI181" s="377">
        <v>33</v>
      </c>
      <c r="EJ181" s="373">
        <v>46</v>
      </c>
      <c r="EK181" s="444">
        <v>41.8</v>
      </c>
      <c r="EL181" s="377">
        <v>40</v>
      </c>
      <c r="EM181" s="373">
        <v>35</v>
      </c>
      <c r="EN181" s="444">
        <v>53.3</v>
      </c>
      <c r="EO181" s="377"/>
      <c r="EP181" s="373"/>
      <c r="EQ181" s="444"/>
      <c r="ER181" s="377"/>
      <c r="ES181" s="373"/>
      <c r="ET181" s="444" t="s">
        <v>6</v>
      </c>
      <c r="EU181" s="377"/>
      <c r="EV181" s="373"/>
      <c r="EW181" s="444" t="s">
        <v>6</v>
      </c>
      <c r="EX181" s="377">
        <v>1</v>
      </c>
      <c r="EY181" s="373"/>
      <c r="EZ181" s="444">
        <v>100</v>
      </c>
      <c r="FA181" s="377"/>
      <c r="FB181" s="373"/>
      <c r="FC181" s="444"/>
      <c r="FD181" s="377"/>
      <c r="FE181" s="373">
        <v>1</v>
      </c>
      <c r="FF181" s="444">
        <v>0</v>
      </c>
      <c r="FG181" s="377">
        <v>1</v>
      </c>
      <c r="FH181" s="373"/>
      <c r="FI181" s="444">
        <v>100</v>
      </c>
      <c r="FJ181" s="377"/>
      <c r="FK181" s="373"/>
      <c r="FL181" s="444" t="s">
        <v>6</v>
      </c>
      <c r="FM181" s="377"/>
      <c r="FN181" s="373"/>
      <c r="FO181" s="444"/>
      <c r="FP181" s="377">
        <v>10</v>
      </c>
      <c r="FQ181" s="373">
        <v>20</v>
      </c>
      <c r="FR181" s="444">
        <v>33.299999999999997</v>
      </c>
      <c r="FS181" s="377">
        <v>11</v>
      </c>
      <c r="FT181" s="373">
        <v>18</v>
      </c>
      <c r="FU181" s="444">
        <v>37.9</v>
      </c>
      <c r="FV181" s="377">
        <v>14</v>
      </c>
      <c r="FW181" s="373">
        <v>11</v>
      </c>
      <c r="FX181" s="444">
        <v>56</v>
      </c>
      <c r="FY181" s="377"/>
      <c r="FZ181" s="373"/>
      <c r="GA181" s="444"/>
      <c r="GB181" s="377"/>
      <c r="GC181" s="373"/>
      <c r="GD181" s="444" t="s">
        <v>6</v>
      </c>
      <c r="GE181" s="377"/>
      <c r="GF181" s="373"/>
      <c r="GG181" s="444" t="s">
        <v>6</v>
      </c>
      <c r="GH181" s="377"/>
      <c r="GI181" s="373"/>
      <c r="GJ181" s="444" t="s">
        <v>6</v>
      </c>
      <c r="GK181" s="377"/>
      <c r="GL181" s="373"/>
      <c r="GM181" s="444"/>
      <c r="GN181" s="377"/>
      <c r="GO181" s="373"/>
      <c r="GP181" s="444" t="s">
        <v>6</v>
      </c>
      <c r="GQ181" s="377">
        <v>1</v>
      </c>
      <c r="GR181" s="373"/>
      <c r="GS181" s="444">
        <v>100</v>
      </c>
      <c r="GT181" s="377">
        <v>1</v>
      </c>
      <c r="GU181" s="373"/>
      <c r="GV181" s="444">
        <v>100</v>
      </c>
      <c r="GW181" s="377"/>
      <c r="GX181" s="373"/>
      <c r="GY181" s="444"/>
      <c r="GZ181" s="377"/>
      <c r="HA181" s="373"/>
      <c r="HB181" s="444" t="s">
        <v>6</v>
      </c>
      <c r="HC181" s="377"/>
      <c r="HD181" s="373"/>
      <c r="HE181" s="444" t="s">
        <v>6</v>
      </c>
      <c r="HF181" s="377"/>
      <c r="HG181" s="373"/>
      <c r="HH181" s="444" t="s">
        <v>6</v>
      </c>
      <c r="HI181" s="377"/>
      <c r="HJ181" s="373"/>
      <c r="HK181" s="444"/>
      <c r="HL181" s="377">
        <v>1</v>
      </c>
      <c r="HM181" s="373"/>
      <c r="HN181" s="444">
        <v>100</v>
      </c>
      <c r="HO181" s="377">
        <v>2</v>
      </c>
      <c r="HP181" s="373">
        <v>4</v>
      </c>
      <c r="HQ181" s="444">
        <v>33.299999999999997</v>
      </c>
      <c r="HR181" s="377"/>
      <c r="HS181" s="373">
        <v>1</v>
      </c>
      <c r="HT181" s="444">
        <v>0</v>
      </c>
      <c r="HU181" s="377"/>
      <c r="HV181" s="373"/>
      <c r="HW181" s="444"/>
      <c r="HX181" s="377"/>
      <c r="HY181" s="373"/>
      <c r="HZ181" s="444" t="s">
        <v>6</v>
      </c>
      <c r="IA181" s="377"/>
      <c r="IB181" s="373"/>
      <c r="IC181" s="444" t="s">
        <v>6</v>
      </c>
      <c r="ID181" s="377"/>
      <c r="IE181" s="373"/>
      <c r="IF181" s="444" t="s">
        <v>6</v>
      </c>
      <c r="IG181" s="377"/>
      <c r="IH181" s="373"/>
      <c r="II181" s="444"/>
      <c r="IJ181" s="377"/>
      <c r="IK181" s="373"/>
      <c r="IL181" s="444" t="s">
        <v>6</v>
      </c>
      <c r="IM181" s="377">
        <v>1</v>
      </c>
      <c r="IN181" s="373"/>
      <c r="IO181" s="444">
        <v>100</v>
      </c>
      <c r="IP181" s="377">
        <v>2</v>
      </c>
      <c r="IQ181" s="373"/>
      <c r="IR181" s="444">
        <v>100</v>
      </c>
      <c r="IS181" s="377"/>
      <c r="IT181" s="373"/>
      <c r="IU181" s="444"/>
      <c r="IV181" s="377">
        <v>87</v>
      </c>
      <c r="IW181" s="373">
        <v>86</v>
      </c>
      <c r="IX181" s="444">
        <v>50.3</v>
      </c>
      <c r="IY181" s="377">
        <v>99</v>
      </c>
      <c r="IZ181" s="373">
        <v>54</v>
      </c>
      <c r="JA181" s="444">
        <v>64.7</v>
      </c>
      <c r="JB181" s="377">
        <v>106</v>
      </c>
      <c r="JC181" s="373">
        <v>36</v>
      </c>
      <c r="JD181" s="444">
        <v>74.599999999999994</v>
      </c>
      <c r="JE181" s="377"/>
      <c r="JF181" s="373"/>
      <c r="JG181" s="444"/>
      <c r="JH181" s="377">
        <v>22</v>
      </c>
      <c r="JI181" s="373">
        <v>3</v>
      </c>
      <c r="JJ181" s="444">
        <v>88</v>
      </c>
      <c r="JK181" s="377">
        <v>28</v>
      </c>
      <c r="JL181" s="373">
        <v>5</v>
      </c>
      <c r="JM181" s="444">
        <v>84.8</v>
      </c>
      <c r="JN181" s="377">
        <v>49</v>
      </c>
      <c r="JO181" s="373">
        <v>1</v>
      </c>
      <c r="JP181" s="444">
        <v>98</v>
      </c>
      <c r="JQ181" s="377"/>
      <c r="JR181" s="373"/>
      <c r="JS181" s="444"/>
      <c r="JT181" s="377"/>
      <c r="JU181" s="373"/>
      <c r="JV181" s="444" t="s">
        <v>6</v>
      </c>
      <c r="JW181" s="377"/>
      <c r="JX181" s="373"/>
      <c r="JY181" s="444" t="s">
        <v>6</v>
      </c>
      <c r="JZ181" s="377"/>
      <c r="KA181" s="373"/>
      <c r="KB181" s="444" t="s">
        <v>6</v>
      </c>
      <c r="KC181" s="377"/>
      <c r="KD181" s="373"/>
      <c r="KE181" s="444"/>
      <c r="KF181" s="377"/>
      <c r="KG181" s="373"/>
      <c r="KH181" s="444" t="s">
        <v>6</v>
      </c>
      <c r="KI181" s="377"/>
      <c r="KJ181" s="373"/>
      <c r="KK181" s="444" t="s">
        <v>6</v>
      </c>
      <c r="KL181" s="377"/>
      <c r="KM181" s="373"/>
      <c r="KN181" s="444" t="s">
        <v>6</v>
      </c>
      <c r="KO181" s="377"/>
      <c r="KP181" s="373"/>
      <c r="KQ181" s="444"/>
      <c r="KR181" s="377">
        <v>22</v>
      </c>
      <c r="KS181" s="373">
        <v>3</v>
      </c>
      <c r="KT181" s="444">
        <v>88</v>
      </c>
      <c r="KU181" s="377">
        <v>30</v>
      </c>
      <c r="KV181" s="373">
        <v>5</v>
      </c>
      <c r="KW181" s="444">
        <v>85.7</v>
      </c>
      <c r="KX181" s="377">
        <v>54</v>
      </c>
      <c r="KY181" s="373">
        <v>1</v>
      </c>
      <c r="KZ181" s="444">
        <v>98.2</v>
      </c>
      <c r="LA181" s="377"/>
      <c r="LB181" s="373"/>
      <c r="LC181" s="444"/>
      <c r="LD181" s="377">
        <v>116</v>
      </c>
      <c r="LE181" s="373">
        <v>93</v>
      </c>
      <c r="LF181" s="444">
        <v>55.5</v>
      </c>
      <c r="LG181" s="377">
        <v>314</v>
      </c>
      <c r="LH181" s="373">
        <v>64</v>
      </c>
      <c r="LI181" s="444">
        <v>83.1</v>
      </c>
      <c r="LJ181" s="377">
        <v>143</v>
      </c>
      <c r="LK181" s="373">
        <v>46</v>
      </c>
      <c r="LL181" s="444">
        <v>75.7</v>
      </c>
      <c r="LM181" s="377"/>
      <c r="LN181" s="373"/>
      <c r="LO181" s="444"/>
    </row>
    <row r="182" spans="1:327" s="259" customFormat="1" ht="13.5" thickBot="1" x14ac:dyDescent="0.25">
      <c r="A182" s="1002"/>
      <c r="B182" s="751"/>
      <c r="C182" s="189" t="s">
        <v>793</v>
      </c>
      <c r="D182" s="384">
        <v>1</v>
      </c>
      <c r="E182" s="385"/>
      <c r="F182" s="451">
        <v>100</v>
      </c>
      <c r="G182" s="384">
        <v>5</v>
      </c>
      <c r="H182" s="385"/>
      <c r="I182" s="451">
        <v>100</v>
      </c>
      <c r="J182" s="384">
        <v>1</v>
      </c>
      <c r="K182" s="385"/>
      <c r="L182" s="451">
        <v>100</v>
      </c>
      <c r="M182" s="384"/>
      <c r="N182" s="385"/>
      <c r="O182" s="451"/>
      <c r="P182" s="384">
        <v>1</v>
      </c>
      <c r="Q182" s="385"/>
      <c r="R182" s="451">
        <v>100</v>
      </c>
      <c r="S182" s="384">
        <v>2</v>
      </c>
      <c r="T182" s="385"/>
      <c r="U182" s="451">
        <v>100</v>
      </c>
      <c r="V182" s="384"/>
      <c r="W182" s="385"/>
      <c r="X182" s="451" t="s">
        <v>6</v>
      </c>
      <c r="Y182" s="384"/>
      <c r="Z182" s="385"/>
      <c r="AA182" s="451"/>
      <c r="AB182" s="384"/>
      <c r="AC182" s="385"/>
      <c r="AD182" s="451" t="s">
        <v>6</v>
      </c>
      <c r="AE182" s="384">
        <v>1</v>
      </c>
      <c r="AF182" s="385"/>
      <c r="AG182" s="451">
        <v>100</v>
      </c>
      <c r="AH182" s="384">
        <v>1</v>
      </c>
      <c r="AI182" s="385"/>
      <c r="AJ182" s="451">
        <v>100</v>
      </c>
      <c r="AK182" s="384"/>
      <c r="AL182" s="385"/>
      <c r="AM182" s="451"/>
      <c r="AN182" s="384">
        <v>102</v>
      </c>
      <c r="AO182" s="385">
        <v>16</v>
      </c>
      <c r="AP182" s="451">
        <v>86.4</v>
      </c>
      <c r="AQ182" s="384">
        <v>84</v>
      </c>
      <c r="AR182" s="385">
        <v>10</v>
      </c>
      <c r="AS182" s="451">
        <v>89.4</v>
      </c>
      <c r="AT182" s="384">
        <v>85</v>
      </c>
      <c r="AU182" s="385">
        <v>15</v>
      </c>
      <c r="AV182" s="451">
        <v>85</v>
      </c>
      <c r="AW182" s="384"/>
      <c r="AX182" s="385"/>
      <c r="AY182" s="451"/>
      <c r="AZ182" s="384">
        <v>46</v>
      </c>
      <c r="BA182" s="385">
        <v>16</v>
      </c>
      <c r="BB182" s="451">
        <v>74.2</v>
      </c>
      <c r="BC182" s="384">
        <v>32</v>
      </c>
      <c r="BD182" s="385">
        <v>10</v>
      </c>
      <c r="BE182" s="451">
        <v>76.2</v>
      </c>
      <c r="BF182" s="384">
        <v>40</v>
      </c>
      <c r="BG182" s="385">
        <v>12</v>
      </c>
      <c r="BH182" s="451">
        <v>76.900000000000006</v>
      </c>
      <c r="BI182" s="384"/>
      <c r="BJ182" s="385"/>
      <c r="BK182" s="451"/>
      <c r="BL182" s="384">
        <v>1</v>
      </c>
      <c r="BM182" s="385"/>
      <c r="BN182" s="451">
        <v>100</v>
      </c>
      <c r="BO182" s="384"/>
      <c r="BP182" s="385"/>
      <c r="BQ182" s="451" t="s">
        <v>6</v>
      </c>
      <c r="BR182" s="384"/>
      <c r="BS182" s="385"/>
      <c r="BT182" s="451" t="s">
        <v>6</v>
      </c>
      <c r="BU182" s="384"/>
      <c r="BV182" s="385"/>
      <c r="BW182" s="451"/>
      <c r="BX182" s="384"/>
      <c r="BY182" s="385"/>
      <c r="BZ182" s="451" t="s">
        <v>6</v>
      </c>
      <c r="CA182" s="384"/>
      <c r="CB182" s="385"/>
      <c r="CC182" s="451" t="s">
        <v>6</v>
      </c>
      <c r="CD182" s="384">
        <v>1</v>
      </c>
      <c r="CE182" s="385"/>
      <c r="CF182" s="451">
        <v>100</v>
      </c>
      <c r="CG182" s="384"/>
      <c r="CH182" s="385"/>
      <c r="CI182" s="451"/>
      <c r="CJ182" s="384">
        <v>3</v>
      </c>
      <c r="CK182" s="385"/>
      <c r="CL182" s="451">
        <v>100</v>
      </c>
      <c r="CM182" s="384">
        <v>3</v>
      </c>
      <c r="CN182" s="385">
        <v>1</v>
      </c>
      <c r="CO182" s="451">
        <v>75</v>
      </c>
      <c r="CP182" s="384">
        <v>1</v>
      </c>
      <c r="CQ182" s="385"/>
      <c r="CR182" s="451">
        <v>100</v>
      </c>
      <c r="CS182" s="384"/>
      <c r="CT182" s="385"/>
      <c r="CU182" s="451"/>
      <c r="CV182" s="384">
        <v>192</v>
      </c>
      <c r="CW182" s="385">
        <v>48</v>
      </c>
      <c r="CX182" s="451">
        <v>80</v>
      </c>
      <c r="CY182" s="384">
        <v>164</v>
      </c>
      <c r="CZ182" s="385">
        <v>58</v>
      </c>
      <c r="DA182" s="451">
        <v>73.900000000000006</v>
      </c>
      <c r="DB182" s="384">
        <v>176</v>
      </c>
      <c r="DC182" s="385">
        <v>52</v>
      </c>
      <c r="DD182" s="451">
        <v>77.2</v>
      </c>
      <c r="DE182" s="384"/>
      <c r="DF182" s="385"/>
      <c r="DG182" s="451"/>
      <c r="DH182" s="384">
        <v>1</v>
      </c>
      <c r="DI182" s="385"/>
      <c r="DJ182" s="451">
        <v>100</v>
      </c>
      <c r="DK182" s="384">
        <v>5</v>
      </c>
      <c r="DL182" s="385"/>
      <c r="DM182" s="451">
        <v>100</v>
      </c>
      <c r="DN182" s="384">
        <v>3</v>
      </c>
      <c r="DO182" s="385"/>
      <c r="DP182" s="451">
        <v>100</v>
      </c>
      <c r="DQ182" s="384"/>
      <c r="DR182" s="385"/>
      <c r="DS182" s="451"/>
      <c r="DT182" s="384">
        <v>7</v>
      </c>
      <c r="DU182" s="385">
        <v>2</v>
      </c>
      <c r="DV182" s="451">
        <v>77.8</v>
      </c>
      <c r="DW182" s="384">
        <v>13</v>
      </c>
      <c r="DX182" s="385">
        <v>2</v>
      </c>
      <c r="DY182" s="451">
        <v>86.7</v>
      </c>
      <c r="DZ182" s="384">
        <v>18</v>
      </c>
      <c r="EA182" s="385">
        <v>4</v>
      </c>
      <c r="EB182" s="451">
        <v>81.8</v>
      </c>
      <c r="EC182" s="384"/>
      <c r="ED182" s="385"/>
      <c r="EE182" s="451"/>
      <c r="EF182" s="384">
        <v>547</v>
      </c>
      <c r="EG182" s="385">
        <v>1128</v>
      </c>
      <c r="EH182" s="451">
        <v>32.700000000000003</v>
      </c>
      <c r="EI182" s="384">
        <v>489</v>
      </c>
      <c r="EJ182" s="385">
        <v>808</v>
      </c>
      <c r="EK182" s="451">
        <v>37.700000000000003</v>
      </c>
      <c r="EL182" s="384">
        <v>538</v>
      </c>
      <c r="EM182" s="385">
        <v>735</v>
      </c>
      <c r="EN182" s="451">
        <v>42.3</v>
      </c>
      <c r="EO182" s="384"/>
      <c r="EP182" s="385"/>
      <c r="EQ182" s="451"/>
      <c r="ER182" s="384">
        <v>5</v>
      </c>
      <c r="ES182" s="385">
        <v>7</v>
      </c>
      <c r="ET182" s="451">
        <v>41.7</v>
      </c>
      <c r="EU182" s="384">
        <v>3</v>
      </c>
      <c r="EV182" s="385">
        <v>1</v>
      </c>
      <c r="EW182" s="451">
        <v>75</v>
      </c>
      <c r="EX182" s="384">
        <v>11</v>
      </c>
      <c r="EY182" s="385"/>
      <c r="EZ182" s="451">
        <v>100</v>
      </c>
      <c r="FA182" s="384"/>
      <c r="FB182" s="385"/>
      <c r="FC182" s="451"/>
      <c r="FD182" s="384">
        <v>12</v>
      </c>
      <c r="FE182" s="385">
        <v>30</v>
      </c>
      <c r="FF182" s="451">
        <v>28.6</v>
      </c>
      <c r="FG182" s="384">
        <v>2</v>
      </c>
      <c r="FH182" s="385">
        <v>15</v>
      </c>
      <c r="FI182" s="451">
        <v>11.8</v>
      </c>
      <c r="FJ182" s="384">
        <v>7</v>
      </c>
      <c r="FK182" s="385">
        <v>13</v>
      </c>
      <c r="FL182" s="451">
        <v>35</v>
      </c>
      <c r="FM182" s="384"/>
      <c r="FN182" s="385"/>
      <c r="FO182" s="451"/>
      <c r="FP182" s="384">
        <v>79</v>
      </c>
      <c r="FQ182" s="385">
        <v>180</v>
      </c>
      <c r="FR182" s="451">
        <v>30.5</v>
      </c>
      <c r="FS182" s="384">
        <v>93</v>
      </c>
      <c r="FT182" s="385">
        <v>144</v>
      </c>
      <c r="FU182" s="451">
        <v>39.200000000000003</v>
      </c>
      <c r="FV182" s="384">
        <v>81</v>
      </c>
      <c r="FW182" s="385">
        <v>87</v>
      </c>
      <c r="FX182" s="451">
        <v>48.2</v>
      </c>
      <c r="FY182" s="384"/>
      <c r="FZ182" s="385"/>
      <c r="GA182" s="451"/>
      <c r="GB182" s="384">
        <v>7</v>
      </c>
      <c r="GC182" s="385">
        <v>1</v>
      </c>
      <c r="GD182" s="451">
        <v>87.5</v>
      </c>
      <c r="GE182" s="384">
        <v>7</v>
      </c>
      <c r="GF182" s="385"/>
      <c r="GG182" s="451">
        <v>100</v>
      </c>
      <c r="GH182" s="384">
        <v>5</v>
      </c>
      <c r="GI182" s="385"/>
      <c r="GJ182" s="451">
        <v>100</v>
      </c>
      <c r="GK182" s="384"/>
      <c r="GL182" s="385"/>
      <c r="GM182" s="451"/>
      <c r="GN182" s="384">
        <v>2</v>
      </c>
      <c r="GO182" s="385">
        <v>1</v>
      </c>
      <c r="GP182" s="451">
        <v>66.7</v>
      </c>
      <c r="GQ182" s="384">
        <v>31</v>
      </c>
      <c r="GR182" s="385">
        <v>3</v>
      </c>
      <c r="GS182" s="451">
        <v>91.2</v>
      </c>
      <c r="GT182" s="384">
        <v>20</v>
      </c>
      <c r="GU182" s="385">
        <v>3</v>
      </c>
      <c r="GV182" s="451">
        <v>87</v>
      </c>
      <c r="GW182" s="384"/>
      <c r="GX182" s="385"/>
      <c r="GY182" s="451"/>
      <c r="GZ182" s="384">
        <v>4</v>
      </c>
      <c r="HA182" s="385">
        <v>2</v>
      </c>
      <c r="HB182" s="451">
        <v>66.7</v>
      </c>
      <c r="HC182" s="384">
        <v>1</v>
      </c>
      <c r="HD182" s="385"/>
      <c r="HE182" s="451">
        <v>100</v>
      </c>
      <c r="HF182" s="384">
        <v>3</v>
      </c>
      <c r="HG182" s="385">
        <v>1</v>
      </c>
      <c r="HH182" s="451">
        <v>75</v>
      </c>
      <c r="HI182" s="384"/>
      <c r="HJ182" s="385"/>
      <c r="HK182" s="451"/>
      <c r="HL182" s="384">
        <v>54</v>
      </c>
      <c r="HM182" s="385">
        <v>86</v>
      </c>
      <c r="HN182" s="451">
        <v>38.6</v>
      </c>
      <c r="HO182" s="384">
        <v>28</v>
      </c>
      <c r="HP182" s="385">
        <v>77</v>
      </c>
      <c r="HQ182" s="451">
        <v>26.7</v>
      </c>
      <c r="HR182" s="384">
        <v>40</v>
      </c>
      <c r="HS182" s="385">
        <v>86</v>
      </c>
      <c r="HT182" s="451">
        <v>31.7</v>
      </c>
      <c r="HU182" s="384"/>
      <c r="HV182" s="385"/>
      <c r="HW182" s="451"/>
      <c r="HX182" s="384">
        <v>25</v>
      </c>
      <c r="HY182" s="385">
        <v>2</v>
      </c>
      <c r="HZ182" s="451">
        <v>92.6</v>
      </c>
      <c r="IA182" s="384">
        <v>8</v>
      </c>
      <c r="IB182" s="385"/>
      <c r="IC182" s="451">
        <v>100</v>
      </c>
      <c r="ID182" s="384">
        <v>9</v>
      </c>
      <c r="IE182" s="385"/>
      <c r="IF182" s="451">
        <v>100</v>
      </c>
      <c r="IG182" s="384"/>
      <c r="IH182" s="385"/>
      <c r="II182" s="451"/>
      <c r="IJ182" s="384">
        <v>13</v>
      </c>
      <c r="IK182" s="385">
        <v>1</v>
      </c>
      <c r="IL182" s="451">
        <v>92.9</v>
      </c>
      <c r="IM182" s="384">
        <v>16</v>
      </c>
      <c r="IN182" s="385">
        <v>1</v>
      </c>
      <c r="IO182" s="451">
        <v>94.1</v>
      </c>
      <c r="IP182" s="384">
        <v>28</v>
      </c>
      <c r="IQ182" s="385">
        <v>2</v>
      </c>
      <c r="IR182" s="451">
        <v>93.3</v>
      </c>
      <c r="IS182" s="384"/>
      <c r="IT182" s="385"/>
      <c r="IU182" s="451"/>
      <c r="IV182" s="384">
        <v>958</v>
      </c>
      <c r="IW182" s="385">
        <v>1287</v>
      </c>
      <c r="IX182" s="451">
        <v>42.7</v>
      </c>
      <c r="IY182" s="384">
        <v>854</v>
      </c>
      <c r="IZ182" s="385">
        <v>960</v>
      </c>
      <c r="JA182" s="451">
        <v>47.1</v>
      </c>
      <c r="JB182" s="384">
        <v>928</v>
      </c>
      <c r="JC182" s="385">
        <v>898</v>
      </c>
      <c r="JD182" s="451">
        <v>50.8</v>
      </c>
      <c r="JE182" s="384"/>
      <c r="JF182" s="385"/>
      <c r="JG182" s="451"/>
      <c r="JH182" s="384">
        <v>267</v>
      </c>
      <c r="JI182" s="385">
        <v>218</v>
      </c>
      <c r="JJ182" s="451">
        <v>55.1</v>
      </c>
      <c r="JK182" s="384">
        <v>276</v>
      </c>
      <c r="JL182" s="385">
        <v>160</v>
      </c>
      <c r="JM182" s="451">
        <v>63.3</v>
      </c>
      <c r="JN182" s="384">
        <v>329</v>
      </c>
      <c r="JO182" s="385">
        <v>84</v>
      </c>
      <c r="JP182" s="451">
        <v>79.7</v>
      </c>
      <c r="JQ182" s="384"/>
      <c r="JR182" s="385"/>
      <c r="JS182" s="451"/>
      <c r="JT182" s="384">
        <v>14</v>
      </c>
      <c r="JU182" s="385">
        <v>4</v>
      </c>
      <c r="JV182" s="451">
        <v>77.8</v>
      </c>
      <c r="JW182" s="384">
        <v>7</v>
      </c>
      <c r="JX182" s="385">
        <v>4</v>
      </c>
      <c r="JY182" s="451">
        <v>63.6</v>
      </c>
      <c r="JZ182" s="384">
        <v>6</v>
      </c>
      <c r="KA182" s="385">
        <v>2</v>
      </c>
      <c r="KB182" s="451">
        <v>75</v>
      </c>
      <c r="KC182" s="384"/>
      <c r="KD182" s="385"/>
      <c r="KE182" s="451"/>
      <c r="KF182" s="384">
        <v>4</v>
      </c>
      <c r="KG182" s="385">
        <v>1</v>
      </c>
      <c r="KH182" s="451">
        <v>80</v>
      </c>
      <c r="KI182" s="384">
        <v>5</v>
      </c>
      <c r="KJ182" s="385">
        <v>1</v>
      </c>
      <c r="KK182" s="451">
        <v>83.3</v>
      </c>
      <c r="KL182" s="384">
        <v>5</v>
      </c>
      <c r="KM182" s="385">
        <v>1</v>
      </c>
      <c r="KN182" s="451">
        <v>83.3</v>
      </c>
      <c r="KO182" s="384"/>
      <c r="KP182" s="385"/>
      <c r="KQ182" s="451"/>
      <c r="KR182" s="384">
        <v>327</v>
      </c>
      <c r="KS182" s="385">
        <v>278</v>
      </c>
      <c r="KT182" s="451">
        <v>54</v>
      </c>
      <c r="KU182" s="384">
        <v>344</v>
      </c>
      <c r="KV182" s="385">
        <v>212</v>
      </c>
      <c r="KW182" s="451">
        <v>61.9</v>
      </c>
      <c r="KX182" s="384">
        <v>416</v>
      </c>
      <c r="KY182" s="385">
        <v>170</v>
      </c>
      <c r="KZ182" s="451">
        <v>71</v>
      </c>
      <c r="LA182" s="384"/>
      <c r="LB182" s="385"/>
      <c r="LC182" s="451"/>
      <c r="LD182" s="384">
        <v>2354</v>
      </c>
      <c r="LE182" s="385">
        <v>1538</v>
      </c>
      <c r="LF182" s="451">
        <v>60.5</v>
      </c>
      <c r="LG182" s="384">
        <v>1954</v>
      </c>
      <c r="LH182" s="385">
        <v>1268</v>
      </c>
      <c r="LI182" s="451">
        <v>60.6</v>
      </c>
      <c r="LJ182" s="384">
        <v>2261</v>
      </c>
      <c r="LK182" s="385">
        <v>1247</v>
      </c>
      <c r="LL182" s="451">
        <v>64.5</v>
      </c>
      <c r="LM182" s="384"/>
      <c r="LN182" s="385"/>
      <c r="LO182" s="451"/>
    </row>
    <row r="183" spans="1:327" x14ac:dyDescent="0.2">
      <c r="A183" s="1000" t="s">
        <v>609</v>
      </c>
      <c r="B183" s="749"/>
      <c r="C183" s="146" t="s">
        <v>610</v>
      </c>
      <c r="D183" s="441">
        <v>2</v>
      </c>
      <c r="E183" s="442"/>
      <c r="F183" s="443">
        <v>100</v>
      </c>
      <c r="G183" s="441">
        <v>3</v>
      </c>
      <c r="H183" s="442"/>
      <c r="I183" s="443">
        <v>100</v>
      </c>
      <c r="J183" s="441">
        <v>2</v>
      </c>
      <c r="K183" s="442"/>
      <c r="L183" s="443">
        <v>100</v>
      </c>
      <c r="M183" s="441"/>
      <c r="N183" s="442"/>
      <c r="O183" s="443"/>
      <c r="P183" s="441">
        <v>2</v>
      </c>
      <c r="Q183" s="442"/>
      <c r="R183" s="443">
        <v>100</v>
      </c>
      <c r="S183" s="441">
        <v>1</v>
      </c>
      <c r="T183" s="442"/>
      <c r="U183" s="443">
        <v>100</v>
      </c>
      <c r="V183" s="441">
        <v>2</v>
      </c>
      <c r="W183" s="442"/>
      <c r="X183" s="443">
        <v>100</v>
      </c>
      <c r="Y183" s="441"/>
      <c r="Z183" s="442"/>
      <c r="AA183" s="443"/>
      <c r="AB183" s="441"/>
      <c r="AC183" s="442"/>
      <c r="AD183" s="443" t="s">
        <v>6</v>
      </c>
      <c r="AE183" s="441">
        <v>2</v>
      </c>
      <c r="AF183" s="442"/>
      <c r="AG183" s="443">
        <v>100</v>
      </c>
      <c r="AH183" s="441"/>
      <c r="AI183" s="442"/>
      <c r="AJ183" s="443" t="s">
        <v>6</v>
      </c>
      <c r="AK183" s="441"/>
      <c r="AL183" s="442"/>
      <c r="AM183" s="443"/>
      <c r="AN183" s="441">
        <v>3</v>
      </c>
      <c r="AO183" s="442"/>
      <c r="AP183" s="443">
        <v>100</v>
      </c>
      <c r="AQ183" s="441">
        <v>2</v>
      </c>
      <c r="AR183" s="442">
        <v>1</v>
      </c>
      <c r="AS183" s="443">
        <v>66.7</v>
      </c>
      <c r="AT183" s="441">
        <v>1</v>
      </c>
      <c r="AU183" s="442">
        <v>1</v>
      </c>
      <c r="AV183" s="443">
        <v>50</v>
      </c>
      <c r="AW183" s="441"/>
      <c r="AX183" s="442"/>
      <c r="AY183" s="443"/>
      <c r="AZ183" s="441">
        <v>3</v>
      </c>
      <c r="BA183" s="442"/>
      <c r="BB183" s="443">
        <v>100</v>
      </c>
      <c r="BC183" s="441">
        <v>2</v>
      </c>
      <c r="BD183" s="442">
        <v>1</v>
      </c>
      <c r="BE183" s="443">
        <v>66.7</v>
      </c>
      <c r="BF183" s="441">
        <v>1</v>
      </c>
      <c r="BG183" s="442">
        <v>1</v>
      </c>
      <c r="BH183" s="443">
        <v>50</v>
      </c>
      <c r="BI183" s="441"/>
      <c r="BJ183" s="442"/>
      <c r="BK183" s="443"/>
      <c r="BL183" s="441"/>
      <c r="BM183" s="442"/>
      <c r="BN183" s="443" t="s">
        <v>6</v>
      </c>
      <c r="BO183" s="441">
        <v>2</v>
      </c>
      <c r="BP183" s="442"/>
      <c r="BQ183" s="443">
        <v>100</v>
      </c>
      <c r="BR183" s="441"/>
      <c r="BS183" s="442"/>
      <c r="BT183" s="443" t="s">
        <v>6</v>
      </c>
      <c r="BU183" s="441"/>
      <c r="BV183" s="442"/>
      <c r="BW183" s="443"/>
      <c r="BX183" s="441"/>
      <c r="BY183" s="442"/>
      <c r="BZ183" s="443" t="s">
        <v>6</v>
      </c>
      <c r="CA183" s="441"/>
      <c r="CB183" s="442"/>
      <c r="CC183" s="443" t="s">
        <v>6</v>
      </c>
      <c r="CD183" s="441"/>
      <c r="CE183" s="442"/>
      <c r="CF183" s="443" t="s">
        <v>6</v>
      </c>
      <c r="CG183" s="441"/>
      <c r="CH183" s="442"/>
      <c r="CI183" s="443"/>
      <c r="CJ183" s="441"/>
      <c r="CK183" s="442"/>
      <c r="CL183" s="443" t="s">
        <v>6</v>
      </c>
      <c r="CM183" s="441">
        <v>2</v>
      </c>
      <c r="CN183" s="442"/>
      <c r="CO183" s="443">
        <v>100</v>
      </c>
      <c r="CP183" s="441"/>
      <c r="CQ183" s="442"/>
      <c r="CR183" s="443" t="s">
        <v>6</v>
      </c>
      <c r="CS183" s="441"/>
      <c r="CT183" s="442"/>
      <c r="CU183" s="443"/>
      <c r="CV183" s="441"/>
      <c r="CW183" s="442"/>
      <c r="CX183" s="443" t="s">
        <v>6</v>
      </c>
      <c r="CY183" s="441"/>
      <c r="CZ183" s="442"/>
      <c r="DA183" s="443" t="s">
        <v>6</v>
      </c>
      <c r="DB183" s="441"/>
      <c r="DC183" s="442"/>
      <c r="DD183" s="443" t="s">
        <v>6</v>
      </c>
      <c r="DE183" s="441"/>
      <c r="DF183" s="442"/>
      <c r="DG183" s="443"/>
      <c r="DH183" s="441"/>
      <c r="DI183" s="442"/>
      <c r="DJ183" s="443" t="s">
        <v>6</v>
      </c>
      <c r="DK183" s="441"/>
      <c r="DL183" s="442"/>
      <c r="DM183" s="443" t="s">
        <v>6</v>
      </c>
      <c r="DN183" s="441"/>
      <c r="DO183" s="442"/>
      <c r="DP183" s="443" t="s">
        <v>6</v>
      </c>
      <c r="DQ183" s="441"/>
      <c r="DR183" s="442"/>
      <c r="DS183" s="443"/>
      <c r="DT183" s="441">
        <v>2</v>
      </c>
      <c r="DU183" s="442"/>
      <c r="DV183" s="443">
        <v>100</v>
      </c>
      <c r="DW183" s="441">
        <v>1</v>
      </c>
      <c r="DX183" s="442"/>
      <c r="DY183" s="443">
        <v>100</v>
      </c>
      <c r="DZ183" s="441">
        <v>2</v>
      </c>
      <c r="EA183" s="442"/>
      <c r="EB183" s="443">
        <v>100</v>
      </c>
      <c r="EC183" s="441"/>
      <c r="ED183" s="442"/>
      <c r="EE183" s="443"/>
      <c r="EF183" s="441">
        <v>1</v>
      </c>
      <c r="EG183" s="442"/>
      <c r="EH183" s="443">
        <v>100</v>
      </c>
      <c r="EI183" s="441">
        <v>13</v>
      </c>
      <c r="EJ183" s="442">
        <v>1</v>
      </c>
      <c r="EK183" s="443">
        <v>92.9</v>
      </c>
      <c r="EL183" s="441"/>
      <c r="EM183" s="442"/>
      <c r="EN183" s="443" t="s">
        <v>6</v>
      </c>
      <c r="EO183" s="441"/>
      <c r="EP183" s="442"/>
      <c r="EQ183" s="443"/>
      <c r="ER183" s="441"/>
      <c r="ES183" s="442"/>
      <c r="ET183" s="443" t="s">
        <v>6</v>
      </c>
      <c r="EU183" s="441"/>
      <c r="EV183" s="442"/>
      <c r="EW183" s="443" t="s">
        <v>6</v>
      </c>
      <c r="EX183" s="441"/>
      <c r="EY183" s="442"/>
      <c r="EZ183" s="443" t="s">
        <v>6</v>
      </c>
      <c r="FA183" s="441"/>
      <c r="FB183" s="442"/>
      <c r="FC183" s="443"/>
      <c r="FD183" s="441"/>
      <c r="FE183" s="442"/>
      <c r="FF183" s="443" t="s">
        <v>6</v>
      </c>
      <c r="FG183" s="441">
        <v>13</v>
      </c>
      <c r="FH183" s="442"/>
      <c r="FI183" s="443">
        <v>100</v>
      </c>
      <c r="FJ183" s="441"/>
      <c r="FK183" s="442"/>
      <c r="FL183" s="443" t="s">
        <v>6</v>
      </c>
      <c r="FM183" s="441"/>
      <c r="FN183" s="442"/>
      <c r="FO183" s="443"/>
      <c r="FP183" s="441"/>
      <c r="FQ183" s="442"/>
      <c r="FR183" s="443" t="s">
        <v>6</v>
      </c>
      <c r="FS183" s="441"/>
      <c r="FT183" s="442"/>
      <c r="FU183" s="443" t="s">
        <v>6</v>
      </c>
      <c r="FV183" s="441"/>
      <c r="FW183" s="442"/>
      <c r="FX183" s="443" t="s">
        <v>6</v>
      </c>
      <c r="FY183" s="441"/>
      <c r="FZ183" s="442"/>
      <c r="GA183" s="443"/>
      <c r="GB183" s="441">
        <v>3</v>
      </c>
      <c r="GC183" s="442">
        <v>1</v>
      </c>
      <c r="GD183" s="443">
        <v>75</v>
      </c>
      <c r="GE183" s="441"/>
      <c r="GF183" s="442"/>
      <c r="GG183" s="443" t="s">
        <v>6</v>
      </c>
      <c r="GH183" s="441">
        <v>1</v>
      </c>
      <c r="GI183" s="442"/>
      <c r="GJ183" s="443">
        <v>100</v>
      </c>
      <c r="GK183" s="441"/>
      <c r="GL183" s="442"/>
      <c r="GM183" s="443"/>
      <c r="GN183" s="441"/>
      <c r="GO183" s="442"/>
      <c r="GP183" s="443" t="s">
        <v>6</v>
      </c>
      <c r="GQ183" s="441"/>
      <c r="GR183" s="442"/>
      <c r="GS183" s="443" t="s">
        <v>6</v>
      </c>
      <c r="GT183" s="441"/>
      <c r="GU183" s="442"/>
      <c r="GV183" s="443" t="s">
        <v>6</v>
      </c>
      <c r="GW183" s="441"/>
      <c r="GX183" s="442"/>
      <c r="GY183" s="443"/>
      <c r="GZ183" s="441"/>
      <c r="HA183" s="442"/>
      <c r="HB183" s="443" t="s">
        <v>6</v>
      </c>
      <c r="HC183" s="441"/>
      <c r="HD183" s="442"/>
      <c r="HE183" s="443" t="s">
        <v>6</v>
      </c>
      <c r="HF183" s="441"/>
      <c r="HG183" s="442"/>
      <c r="HH183" s="443" t="s">
        <v>6</v>
      </c>
      <c r="HI183" s="441"/>
      <c r="HJ183" s="442"/>
      <c r="HK183" s="443"/>
      <c r="HL183" s="441">
        <v>1</v>
      </c>
      <c r="HM183" s="442"/>
      <c r="HN183" s="443">
        <v>100</v>
      </c>
      <c r="HO183" s="441"/>
      <c r="HP183" s="442"/>
      <c r="HQ183" s="443" t="s">
        <v>6</v>
      </c>
      <c r="HR183" s="441"/>
      <c r="HS183" s="442"/>
      <c r="HT183" s="443" t="s">
        <v>6</v>
      </c>
      <c r="HU183" s="441"/>
      <c r="HV183" s="442"/>
      <c r="HW183" s="443"/>
      <c r="HX183" s="441"/>
      <c r="HY183" s="442"/>
      <c r="HZ183" s="443" t="s">
        <v>6</v>
      </c>
      <c r="IA183" s="441"/>
      <c r="IB183" s="442"/>
      <c r="IC183" s="443" t="s">
        <v>6</v>
      </c>
      <c r="ID183" s="441"/>
      <c r="IE183" s="442"/>
      <c r="IF183" s="443" t="s">
        <v>6</v>
      </c>
      <c r="IG183" s="441"/>
      <c r="IH183" s="442"/>
      <c r="II183" s="443"/>
      <c r="IJ183" s="441">
        <v>1</v>
      </c>
      <c r="IK183" s="442"/>
      <c r="IL183" s="443">
        <v>100</v>
      </c>
      <c r="IM183" s="441"/>
      <c r="IN183" s="442"/>
      <c r="IO183" s="443" t="s">
        <v>6</v>
      </c>
      <c r="IP183" s="441">
        <v>1</v>
      </c>
      <c r="IQ183" s="442"/>
      <c r="IR183" s="443">
        <v>100</v>
      </c>
      <c r="IS183" s="441"/>
      <c r="IT183" s="442"/>
      <c r="IU183" s="443"/>
      <c r="IV183" s="441">
        <v>13</v>
      </c>
      <c r="IW183" s="442">
        <v>1</v>
      </c>
      <c r="IX183" s="443">
        <v>92.9</v>
      </c>
      <c r="IY183" s="441">
        <v>21</v>
      </c>
      <c r="IZ183" s="442">
        <v>2</v>
      </c>
      <c r="JA183" s="443">
        <v>91.3</v>
      </c>
      <c r="JB183" s="441">
        <v>7</v>
      </c>
      <c r="JC183" s="442">
        <v>1</v>
      </c>
      <c r="JD183" s="443">
        <v>87.5</v>
      </c>
      <c r="JE183" s="441"/>
      <c r="JF183" s="442"/>
      <c r="JG183" s="443"/>
      <c r="JH183" s="441">
        <v>6</v>
      </c>
      <c r="JI183" s="442"/>
      <c r="JJ183" s="443">
        <v>100</v>
      </c>
      <c r="JK183" s="441">
        <v>12</v>
      </c>
      <c r="JL183" s="442">
        <v>1</v>
      </c>
      <c r="JM183" s="443">
        <v>92.3</v>
      </c>
      <c r="JN183" s="441"/>
      <c r="JO183" s="442"/>
      <c r="JP183" s="443" t="s">
        <v>6</v>
      </c>
      <c r="JQ183" s="441"/>
      <c r="JR183" s="442"/>
      <c r="JS183" s="443"/>
      <c r="JT183" s="441"/>
      <c r="JU183" s="442"/>
      <c r="JV183" s="443" t="s">
        <v>6</v>
      </c>
      <c r="JW183" s="441">
        <v>1</v>
      </c>
      <c r="JX183" s="442"/>
      <c r="JY183" s="443">
        <v>100</v>
      </c>
      <c r="JZ183" s="441"/>
      <c r="KA183" s="442"/>
      <c r="KB183" s="443" t="s">
        <v>6</v>
      </c>
      <c r="KC183" s="441"/>
      <c r="KD183" s="442"/>
      <c r="KE183" s="443"/>
      <c r="KF183" s="441"/>
      <c r="KG183" s="442"/>
      <c r="KH183" s="443" t="s">
        <v>6</v>
      </c>
      <c r="KI183" s="441"/>
      <c r="KJ183" s="442"/>
      <c r="KK183" s="443" t="s">
        <v>6</v>
      </c>
      <c r="KL183" s="441">
        <v>1</v>
      </c>
      <c r="KM183" s="442"/>
      <c r="KN183" s="443">
        <v>100</v>
      </c>
      <c r="KO183" s="441"/>
      <c r="KP183" s="442"/>
      <c r="KQ183" s="443"/>
      <c r="KR183" s="441">
        <v>8</v>
      </c>
      <c r="KS183" s="442"/>
      <c r="KT183" s="443">
        <v>100</v>
      </c>
      <c r="KU183" s="441">
        <v>18</v>
      </c>
      <c r="KV183" s="442">
        <v>1</v>
      </c>
      <c r="KW183" s="443">
        <v>94.7</v>
      </c>
      <c r="KX183" s="441">
        <v>7</v>
      </c>
      <c r="KY183" s="442"/>
      <c r="KZ183" s="443">
        <v>100</v>
      </c>
      <c r="LA183" s="441"/>
      <c r="LB183" s="442"/>
      <c r="LC183" s="443"/>
      <c r="LD183" s="441">
        <v>62</v>
      </c>
      <c r="LE183" s="442">
        <v>2</v>
      </c>
      <c r="LF183" s="443">
        <v>96.9</v>
      </c>
      <c r="LG183" s="441">
        <v>91</v>
      </c>
      <c r="LH183" s="442">
        <v>5</v>
      </c>
      <c r="LI183" s="443">
        <v>94.8</v>
      </c>
      <c r="LJ183" s="441">
        <v>30</v>
      </c>
      <c r="LK183" s="442">
        <v>2</v>
      </c>
      <c r="LL183" s="443">
        <v>93.8</v>
      </c>
      <c r="LM183" s="441"/>
      <c r="LN183" s="442"/>
      <c r="LO183" s="443"/>
    </row>
    <row r="184" spans="1:327" x14ac:dyDescent="0.2">
      <c r="A184" s="1001"/>
      <c r="B184" s="747"/>
      <c r="C184" s="151" t="s">
        <v>760</v>
      </c>
      <c r="D184" s="377"/>
      <c r="E184" s="373"/>
      <c r="F184" s="444" t="s">
        <v>6</v>
      </c>
      <c r="G184" s="377"/>
      <c r="H184" s="373"/>
      <c r="I184" s="444" t="s">
        <v>6</v>
      </c>
      <c r="J184" s="377"/>
      <c r="K184" s="373"/>
      <c r="L184" s="444" t="s">
        <v>6</v>
      </c>
      <c r="M184" s="377"/>
      <c r="N184" s="373"/>
      <c r="O184" s="444"/>
      <c r="P184" s="377"/>
      <c r="Q184" s="373"/>
      <c r="R184" s="444" t="s">
        <v>6</v>
      </c>
      <c r="S184" s="377"/>
      <c r="T184" s="373"/>
      <c r="U184" s="444" t="s">
        <v>6</v>
      </c>
      <c r="V184" s="377"/>
      <c r="W184" s="373"/>
      <c r="X184" s="444" t="s">
        <v>6</v>
      </c>
      <c r="Y184" s="377"/>
      <c r="Z184" s="373"/>
      <c r="AA184" s="444"/>
      <c r="AB184" s="377"/>
      <c r="AC184" s="373"/>
      <c r="AD184" s="444" t="s">
        <v>6</v>
      </c>
      <c r="AE184" s="377"/>
      <c r="AF184" s="373"/>
      <c r="AG184" s="444" t="s">
        <v>6</v>
      </c>
      <c r="AH184" s="377"/>
      <c r="AI184" s="373"/>
      <c r="AJ184" s="444" t="s">
        <v>6</v>
      </c>
      <c r="AK184" s="377"/>
      <c r="AL184" s="373"/>
      <c r="AM184" s="444"/>
      <c r="AN184" s="377">
        <v>15</v>
      </c>
      <c r="AO184" s="373">
        <v>8</v>
      </c>
      <c r="AP184" s="444">
        <v>65.2</v>
      </c>
      <c r="AQ184" s="377">
        <v>20</v>
      </c>
      <c r="AR184" s="373">
        <v>12</v>
      </c>
      <c r="AS184" s="444">
        <v>62.5</v>
      </c>
      <c r="AT184" s="377">
        <v>23</v>
      </c>
      <c r="AU184" s="373">
        <v>3</v>
      </c>
      <c r="AV184" s="444">
        <v>88.5</v>
      </c>
      <c r="AW184" s="377"/>
      <c r="AX184" s="373"/>
      <c r="AY184" s="444"/>
      <c r="AZ184" s="377">
        <v>7</v>
      </c>
      <c r="BA184" s="373">
        <v>7</v>
      </c>
      <c r="BB184" s="444">
        <v>50</v>
      </c>
      <c r="BC184" s="377">
        <v>12</v>
      </c>
      <c r="BD184" s="373">
        <v>12</v>
      </c>
      <c r="BE184" s="444">
        <v>50</v>
      </c>
      <c r="BF184" s="377">
        <v>13</v>
      </c>
      <c r="BG184" s="373">
        <v>3</v>
      </c>
      <c r="BH184" s="444">
        <v>81.3</v>
      </c>
      <c r="BI184" s="377"/>
      <c r="BJ184" s="373"/>
      <c r="BK184" s="444"/>
      <c r="BL184" s="377"/>
      <c r="BM184" s="373"/>
      <c r="BN184" s="444" t="s">
        <v>6</v>
      </c>
      <c r="BO184" s="377"/>
      <c r="BP184" s="373"/>
      <c r="BQ184" s="444" t="s">
        <v>6</v>
      </c>
      <c r="BR184" s="377"/>
      <c r="BS184" s="373"/>
      <c r="BT184" s="444" t="s">
        <v>6</v>
      </c>
      <c r="BU184" s="377"/>
      <c r="BV184" s="373"/>
      <c r="BW184" s="444"/>
      <c r="BX184" s="377"/>
      <c r="BY184" s="373"/>
      <c r="BZ184" s="444" t="s">
        <v>6</v>
      </c>
      <c r="CA184" s="377"/>
      <c r="CB184" s="373"/>
      <c r="CC184" s="444" t="s">
        <v>6</v>
      </c>
      <c r="CD184" s="377"/>
      <c r="CE184" s="373"/>
      <c r="CF184" s="444" t="s">
        <v>6</v>
      </c>
      <c r="CG184" s="377"/>
      <c r="CH184" s="373"/>
      <c r="CI184" s="444"/>
      <c r="CJ184" s="377"/>
      <c r="CK184" s="373"/>
      <c r="CL184" s="444" t="s">
        <v>6</v>
      </c>
      <c r="CM184" s="377"/>
      <c r="CN184" s="373"/>
      <c r="CO184" s="444" t="s">
        <v>6</v>
      </c>
      <c r="CP184" s="377"/>
      <c r="CQ184" s="373"/>
      <c r="CR184" s="444" t="s">
        <v>6</v>
      </c>
      <c r="CS184" s="377"/>
      <c r="CT184" s="373"/>
      <c r="CU184" s="444"/>
      <c r="CV184" s="377">
        <v>19</v>
      </c>
      <c r="CW184" s="373">
        <v>6</v>
      </c>
      <c r="CX184" s="444">
        <v>76</v>
      </c>
      <c r="CY184" s="377">
        <v>29</v>
      </c>
      <c r="CZ184" s="373">
        <v>12</v>
      </c>
      <c r="DA184" s="444">
        <v>70.7</v>
      </c>
      <c r="DB184" s="377">
        <v>32</v>
      </c>
      <c r="DC184" s="373">
        <v>12</v>
      </c>
      <c r="DD184" s="444">
        <v>72.7</v>
      </c>
      <c r="DE184" s="377"/>
      <c r="DF184" s="373"/>
      <c r="DG184" s="444"/>
      <c r="DH184" s="377">
        <v>2</v>
      </c>
      <c r="DI184" s="373"/>
      <c r="DJ184" s="444">
        <v>100</v>
      </c>
      <c r="DK184" s="377"/>
      <c r="DL184" s="373"/>
      <c r="DM184" s="444" t="s">
        <v>6</v>
      </c>
      <c r="DN184" s="377">
        <v>1</v>
      </c>
      <c r="DO184" s="373"/>
      <c r="DP184" s="444">
        <v>100</v>
      </c>
      <c r="DQ184" s="377"/>
      <c r="DR184" s="373"/>
      <c r="DS184" s="444"/>
      <c r="DT184" s="377"/>
      <c r="DU184" s="373"/>
      <c r="DV184" s="444" t="s">
        <v>6</v>
      </c>
      <c r="DW184" s="377"/>
      <c r="DX184" s="373"/>
      <c r="DY184" s="444" t="s">
        <v>6</v>
      </c>
      <c r="DZ184" s="377">
        <v>1</v>
      </c>
      <c r="EA184" s="373"/>
      <c r="EB184" s="444">
        <v>100</v>
      </c>
      <c r="EC184" s="377"/>
      <c r="ED184" s="373"/>
      <c r="EE184" s="444"/>
      <c r="EF184" s="377">
        <v>195</v>
      </c>
      <c r="EG184" s="373">
        <v>489</v>
      </c>
      <c r="EH184" s="444">
        <v>28.5</v>
      </c>
      <c r="EI184" s="377">
        <v>214</v>
      </c>
      <c r="EJ184" s="373">
        <v>335</v>
      </c>
      <c r="EK184" s="444">
        <v>39</v>
      </c>
      <c r="EL184" s="377">
        <v>140</v>
      </c>
      <c r="EM184" s="373">
        <v>215</v>
      </c>
      <c r="EN184" s="444">
        <v>39.4</v>
      </c>
      <c r="EO184" s="377"/>
      <c r="EP184" s="373"/>
      <c r="EQ184" s="444"/>
      <c r="ER184" s="377"/>
      <c r="ES184" s="373">
        <v>5</v>
      </c>
      <c r="ET184" s="444">
        <v>0</v>
      </c>
      <c r="EU184" s="377"/>
      <c r="EV184" s="373">
        <v>2</v>
      </c>
      <c r="EW184" s="444">
        <v>0</v>
      </c>
      <c r="EX184" s="377"/>
      <c r="EY184" s="373">
        <v>1</v>
      </c>
      <c r="EZ184" s="444">
        <v>0</v>
      </c>
      <c r="FA184" s="377"/>
      <c r="FB184" s="373"/>
      <c r="FC184" s="444"/>
      <c r="FD184" s="377">
        <v>1</v>
      </c>
      <c r="FE184" s="373">
        <v>21</v>
      </c>
      <c r="FF184" s="444">
        <v>4.5</v>
      </c>
      <c r="FG184" s="377"/>
      <c r="FH184" s="373">
        <v>21</v>
      </c>
      <c r="FI184" s="444">
        <v>0</v>
      </c>
      <c r="FJ184" s="377">
        <v>8</v>
      </c>
      <c r="FK184" s="373">
        <v>6</v>
      </c>
      <c r="FL184" s="444">
        <v>57.1</v>
      </c>
      <c r="FM184" s="377"/>
      <c r="FN184" s="373"/>
      <c r="FO184" s="444"/>
      <c r="FP184" s="377">
        <v>65</v>
      </c>
      <c r="FQ184" s="373">
        <v>88</v>
      </c>
      <c r="FR184" s="444">
        <v>42.5</v>
      </c>
      <c r="FS184" s="377">
        <v>82</v>
      </c>
      <c r="FT184" s="373">
        <v>68</v>
      </c>
      <c r="FU184" s="444">
        <v>54.7</v>
      </c>
      <c r="FV184" s="377">
        <v>25</v>
      </c>
      <c r="FW184" s="373">
        <v>19</v>
      </c>
      <c r="FX184" s="444">
        <v>56.8</v>
      </c>
      <c r="FY184" s="377"/>
      <c r="FZ184" s="373"/>
      <c r="GA184" s="444"/>
      <c r="GB184" s="377">
        <v>3</v>
      </c>
      <c r="GC184" s="373">
        <v>1</v>
      </c>
      <c r="GD184" s="444">
        <v>75</v>
      </c>
      <c r="GE184" s="377">
        <v>7</v>
      </c>
      <c r="GF184" s="373">
        <v>1</v>
      </c>
      <c r="GG184" s="444">
        <v>87.5</v>
      </c>
      <c r="GH184" s="377">
        <v>3</v>
      </c>
      <c r="GI184" s="373"/>
      <c r="GJ184" s="444">
        <v>100</v>
      </c>
      <c r="GK184" s="377"/>
      <c r="GL184" s="373"/>
      <c r="GM184" s="444"/>
      <c r="GN184" s="377">
        <v>61</v>
      </c>
      <c r="GO184" s="373">
        <v>2</v>
      </c>
      <c r="GP184" s="444">
        <v>96.8</v>
      </c>
      <c r="GQ184" s="377">
        <v>3</v>
      </c>
      <c r="GR184" s="373">
        <v>4</v>
      </c>
      <c r="GS184" s="444">
        <v>42.9</v>
      </c>
      <c r="GT184" s="377">
        <v>21</v>
      </c>
      <c r="GU184" s="373">
        <v>3</v>
      </c>
      <c r="GV184" s="444">
        <v>87.5</v>
      </c>
      <c r="GW184" s="377"/>
      <c r="GX184" s="373"/>
      <c r="GY184" s="444"/>
      <c r="GZ184" s="377"/>
      <c r="HA184" s="373">
        <v>3</v>
      </c>
      <c r="HB184" s="444">
        <v>0</v>
      </c>
      <c r="HC184" s="377">
        <v>1</v>
      </c>
      <c r="HD184" s="373">
        <v>4</v>
      </c>
      <c r="HE184" s="444">
        <v>20</v>
      </c>
      <c r="HF184" s="377">
        <v>1</v>
      </c>
      <c r="HG184" s="373"/>
      <c r="HH184" s="444">
        <v>100</v>
      </c>
      <c r="HI184" s="377"/>
      <c r="HJ184" s="373"/>
      <c r="HK184" s="444"/>
      <c r="HL184" s="377">
        <v>17</v>
      </c>
      <c r="HM184" s="373">
        <v>60</v>
      </c>
      <c r="HN184" s="444">
        <v>22.1</v>
      </c>
      <c r="HO184" s="377">
        <v>10</v>
      </c>
      <c r="HP184" s="373">
        <v>49</v>
      </c>
      <c r="HQ184" s="444">
        <v>16.899999999999999</v>
      </c>
      <c r="HR184" s="377">
        <v>16</v>
      </c>
      <c r="HS184" s="373">
        <v>42</v>
      </c>
      <c r="HT184" s="444">
        <v>27.6</v>
      </c>
      <c r="HU184" s="377"/>
      <c r="HV184" s="373"/>
      <c r="HW184" s="444"/>
      <c r="HX184" s="377">
        <v>4</v>
      </c>
      <c r="HY184" s="373"/>
      <c r="HZ184" s="444">
        <v>100</v>
      </c>
      <c r="IA184" s="377"/>
      <c r="IB184" s="373"/>
      <c r="IC184" s="444" t="s">
        <v>6</v>
      </c>
      <c r="ID184" s="377">
        <v>1</v>
      </c>
      <c r="IE184" s="373">
        <v>3</v>
      </c>
      <c r="IF184" s="444">
        <v>25</v>
      </c>
      <c r="IG184" s="377"/>
      <c r="IH184" s="373"/>
      <c r="II184" s="444"/>
      <c r="IJ184" s="377">
        <v>2</v>
      </c>
      <c r="IK184" s="373"/>
      <c r="IL184" s="444">
        <v>100</v>
      </c>
      <c r="IM184" s="377">
        <v>3</v>
      </c>
      <c r="IN184" s="373"/>
      <c r="IO184" s="444">
        <v>100</v>
      </c>
      <c r="IP184" s="377">
        <v>3</v>
      </c>
      <c r="IQ184" s="373">
        <v>1</v>
      </c>
      <c r="IR184" s="444">
        <v>75</v>
      </c>
      <c r="IS184" s="377"/>
      <c r="IT184" s="373"/>
      <c r="IU184" s="444"/>
      <c r="IV184" s="377">
        <v>318</v>
      </c>
      <c r="IW184" s="373">
        <v>569</v>
      </c>
      <c r="IX184" s="444">
        <v>35.9</v>
      </c>
      <c r="IY184" s="377">
        <v>287</v>
      </c>
      <c r="IZ184" s="373">
        <v>417</v>
      </c>
      <c r="JA184" s="444">
        <v>40.799999999999997</v>
      </c>
      <c r="JB184" s="377">
        <v>242</v>
      </c>
      <c r="JC184" s="373">
        <v>279</v>
      </c>
      <c r="JD184" s="444">
        <v>46.4</v>
      </c>
      <c r="JE184" s="377"/>
      <c r="JF184" s="373"/>
      <c r="JG184" s="444"/>
      <c r="JH184" s="377">
        <v>26</v>
      </c>
      <c r="JI184" s="373">
        <v>98</v>
      </c>
      <c r="JJ184" s="444">
        <v>21</v>
      </c>
      <c r="JK184" s="377">
        <v>37</v>
      </c>
      <c r="JL184" s="373">
        <v>57</v>
      </c>
      <c r="JM184" s="444">
        <v>39.4</v>
      </c>
      <c r="JN184" s="377">
        <v>59</v>
      </c>
      <c r="JO184" s="373">
        <v>49</v>
      </c>
      <c r="JP184" s="444">
        <v>54.6</v>
      </c>
      <c r="JQ184" s="377"/>
      <c r="JR184" s="373"/>
      <c r="JS184" s="444"/>
      <c r="JT184" s="377">
        <v>2</v>
      </c>
      <c r="JU184" s="373"/>
      <c r="JV184" s="444">
        <v>100</v>
      </c>
      <c r="JW184" s="377">
        <v>3</v>
      </c>
      <c r="JX184" s="373"/>
      <c r="JY184" s="444">
        <v>100</v>
      </c>
      <c r="JZ184" s="377">
        <v>4</v>
      </c>
      <c r="KA184" s="373">
        <v>1</v>
      </c>
      <c r="KB184" s="444">
        <v>80</v>
      </c>
      <c r="KC184" s="377"/>
      <c r="KD184" s="373"/>
      <c r="KE184" s="444"/>
      <c r="KF184" s="377">
        <v>5</v>
      </c>
      <c r="KG184" s="373">
        <v>1</v>
      </c>
      <c r="KH184" s="444">
        <v>83.3</v>
      </c>
      <c r="KI184" s="377">
        <v>1</v>
      </c>
      <c r="KJ184" s="373">
        <v>2</v>
      </c>
      <c r="KK184" s="444">
        <v>33.299999999999997</v>
      </c>
      <c r="KL184" s="377">
        <v>8</v>
      </c>
      <c r="KM184" s="373">
        <v>3</v>
      </c>
      <c r="KN184" s="444">
        <v>72.7</v>
      </c>
      <c r="KO184" s="377"/>
      <c r="KP184" s="373"/>
      <c r="KQ184" s="444"/>
      <c r="KR184" s="377">
        <v>42</v>
      </c>
      <c r="KS184" s="373">
        <v>112</v>
      </c>
      <c r="KT184" s="444">
        <v>27.3</v>
      </c>
      <c r="KU184" s="377">
        <v>47</v>
      </c>
      <c r="KV184" s="373">
        <v>65</v>
      </c>
      <c r="KW184" s="444">
        <v>42</v>
      </c>
      <c r="KX184" s="377">
        <v>77</v>
      </c>
      <c r="KY184" s="373">
        <v>62</v>
      </c>
      <c r="KZ184" s="444">
        <v>55.4</v>
      </c>
      <c r="LA184" s="377"/>
      <c r="LB184" s="373"/>
      <c r="LC184" s="444"/>
      <c r="LD184" s="377">
        <v>523</v>
      </c>
      <c r="LE184" s="373">
        <v>699</v>
      </c>
      <c r="LF184" s="444">
        <v>42.8</v>
      </c>
      <c r="LG184" s="377">
        <v>459</v>
      </c>
      <c r="LH184" s="373">
        <v>534</v>
      </c>
      <c r="LI184" s="444">
        <v>46.2</v>
      </c>
      <c r="LJ184" s="377">
        <v>548</v>
      </c>
      <c r="LK184" s="373">
        <v>396</v>
      </c>
      <c r="LL184" s="444">
        <v>58.1</v>
      </c>
      <c r="LM184" s="377"/>
      <c r="LN184" s="373"/>
      <c r="LO184" s="444"/>
    </row>
    <row r="185" spans="1:327" x14ac:dyDescent="0.2">
      <c r="A185" s="1001"/>
      <c r="B185" s="747" t="s">
        <v>621</v>
      </c>
      <c r="C185" s="151" t="s">
        <v>761</v>
      </c>
      <c r="D185" s="377"/>
      <c r="E185" s="373"/>
      <c r="F185" s="444" t="s">
        <v>6</v>
      </c>
      <c r="G185" s="377"/>
      <c r="H185" s="373"/>
      <c r="I185" s="444" t="s">
        <v>6</v>
      </c>
      <c r="J185" s="377"/>
      <c r="K185" s="373"/>
      <c r="L185" s="444" t="s">
        <v>6</v>
      </c>
      <c r="M185" s="377"/>
      <c r="N185" s="373"/>
      <c r="O185" s="444"/>
      <c r="P185" s="377"/>
      <c r="Q185" s="373"/>
      <c r="R185" s="444" t="s">
        <v>6</v>
      </c>
      <c r="S185" s="377"/>
      <c r="T185" s="373"/>
      <c r="U185" s="444" t="s">
        <v>6</v>
      </c>
      <c r="V185" s="377"/>
      <c r="W185" s="373"/>
      <c r="X185" s="444" t="s">
        <v>6</v>
      </c>
      <c r="Y185" s="377"/>
      <c r="Z185" s="373"/>
      <c r="AA185" s="444"/>
      <c r="AB185" s="377"/>
      <c r="AC185" s="373"/>
      <c r="AD185" s="444" t="s">
        <v>6</v>
      </c>
      <c r="AE185" s="377"/>
      <c r="AF185" s="373"/>
      <c r="AG185" s="444" t="s">
        <v>6</v>
      </c>
      <c r="AH185" s="377"/>
      <c r="AI185" s="373"/>
      <c r="AJ185" s="444" t="s">
        <v>6</v>
      </c>
      <c r="AK185" s="377"/>
      <c r="AL185" s="373"/>
      <c r="AM185" s="444"/>
      <c r="AN185" s="377">
        <v>5</v>
      </c>
      <c r="AO185" s="373"/>
      <c r="AP185" s="444">
        <v>100</v>
      </c>
      <c r="AQ185" s="377">
        <v>4</v>
      </c>
      <c r="AR185" s="373">
        <v>1</v>
      </c>
      <c r="AS185" s="444">
        <v>80</v>
      </c>
      <c r="AT185" s="377">
        <v>9</v>
      </c>
      <c r="AU185" s="373">
        <v>2</v>
      </c>
      <c r="AV185" s="444">
        <v>81.8</v>
      </c>
      <c r="AW185" s="377"/>
      <c r="AX185" s="373"/>
      <c r="AY185" s="444"/>
      <c r="AZ185" s="377">
        <v>3</v>
      </c>
      <c r="BA185" s="373"/>
      <c r="BB185" s="444">
        <v>100</v>
      </c>
      <c r="BC185" s="377">
        <v>2</v>
      </c>
      <c r="BD185" s="373">
        <v>1</v>
      </c>
      <c r="BE185" s="444">
        <v>66.7</v>
      </c>
      <c r="BF185" s="377">
        <v>4</v>
      </c>
      <c r="BG185" s="373">
        <v>1</v>
      </c>
      <c r="BH185" s="444">
        <v>80</v>
      </c>
      <c r="BI185" s="377"/>
      <c r="BJ185" s="373"/>
      <c r="BK185" s="444"/>
      <c r="BL185" s="377"/>
      <c r="BM185" s="373"/>
      <c r="BN185" s="444" t="s">
        <v>6</v>
      </c>
      <c r="BO185" s="377"/>
      <c r="BP185" s="373"/>
      <c r="BQ185" s="444" t="s">
        <v>6</v>
      </c>
      <c r="BR185" s="377"/>
      <c r="BS185" s="373"/>
      <c r="BT185" s="444" t="s">
        <v>6</v>
      </c>
      <c r="BU185" s="377"/>
      <c r="BV185" s="373"/>
      <c r="BW185" s="444"/>
      <c r="BX185" s="377"/>
      <c r="BY185" s="373"/>
      <c r="BZ185" s="444" t="s">
        <v>6</v>
      </c>
      <c r="CA185" s="377"/>
      <c r="CB185" s="373"/>
      <c r="CC185" s="444" t="s">
        <v>6</v>
      </c>
      <c r="CD185" s="377"/>
      <c r="CE185" s="373"/>
      <c r="CF185" s="444" t="s">
        <v>6</v>
      </c>
      <c r="CG185" s="377"/>
      <c r="CH185" s="373"/>
      <c r="CI185" s="444"/>
      <c r="CJ185" s="377"/>
      <c r="CK185" s="373"/>
      <c r="CL185" s="444" t="s">
        <v>6</v>
      </c>
      <c r="CM185" s="377"/>
      <c r="CN185" s="373"/>
      <c r="CO185" s="444" t="s">
        <v>6</v>
      </c>
      <c r="CP185" s="377"/>
      <c r="CQ185" s="373"/>
      <c r="CR185" s="444" t="s">
        <v>6</v>
      </c>
      <c r="CS185" s="377"/>
      <c r="CT185" s="373"/>
      <c r="CU185" s="444"/>
      <c r="CV185" s="377">
        <v>2</v>
      </c>
      <c r="CW185" s="373">
        <v>1</v>
      </c>
      <c r="CX185" s="444">
        <v>66.7</v>
      </c>
      <c r="CY185" s="377">
        <v>6</v>
      </c>
      <c r="CZ185" s="373">
        <v>2</v>
      </c>
      <c r="DA185" s="444">
        <v>75</v>
      </c>
      <c r="DB185" s="377">
        <v>45</v>
      </c>
      <c r="DC185" s="373">
        <v>4</v>
      </c>
      <c r="DD185" s="444">
        <v>91.8</v>
      </c>
      <c r="DE185" s="377"/>
      <c r="DF185" s="373"/>
      <c r="DG185" s="444"/>
      <c r="DH185" s="377">
        <v>5</v>
      </c>
      <c r="DI185" s="373"/>
      <c r="DJ185" s="444">
        <v>100</v>
      </c>
      <c r="DK185" s="377"/>
      <c r="DL185" s="373"/>
      <c r="DM185" s="444" t="s">
        <v>6</v>
      </c>
      <c r="DN185" s="377"/>
      <c r="DO185" s="373">
        <v>1</v>
      </c>
      <c r="DP185" s="444">
        <v>0</v>
      </c>
      <c r="DQ185" s="377"/>
      <c r="DR185" s="373"/>
      <c r="DS185" s="444"/>
      <c r="DT185" s="377"/>
      <c r="DU185" s="373"/>
      <c r="DV185" s="444" t="s">
        <v>6</v>
      </c>
      <c r="DW185" s="377"/>
      <c r="DX185" s="373"/>
      <c r="DY185" s="444" t="s">
        <v>6</v>
      </c>
      <c r="DZ185" s="377"/>
      <c r="EA185" s="373">
        <v>1</v>
      </c>
      <c r="EB185" s="444">
        <v>0</v>
      </c>
      <c r="EC185" s="377"/>
      <c r="ED185" s="373"/>
      <c r="EE185" s="444"/>
      <c r="EF185" s="377">
        <v>109</v>
      </c>
      <c r="EG185" s="373">
        <v>211</v>
      </c>
      <c r="EH185" s="444">
        <v>34.1</v>
      </c>
      <c r="EI185" s="377">
        <v>130</v>
      </c>
      <c r="EJ185" s="373">
        <v>198</v>
      </c>
      <c r="EK185" s="444">
        <v>39.6</v>
      </c>
      <c r="EL185" s="377">
        <v>128</v>
      </c>
      <c r="EM185" s="373">
        <v>155</v>
      </c>
      <c r="EN185" s="444">
        <v>45.2</v>
      </c>
      <c r="EO185" s="377"/>
      <c r="EP185" s="373"/>
      <c r="EQ185" s="444"/>
      <c r="ER185" s="377">
        <v>2</v>
      </c>
      <c r="ES185" s="373">
        <v>1</v>
      </c>
      <c r="ET185" s="444">
        <v>66.7</v>
      </c>
      <c r="EU185" s="377">
        <v>1</v>
      </c>
      <c r="EV185" s="373">
        <v>1</v>
      </c>
      <c r="EW185" s="444">
        <v>50</v>
      </c>
      <c r="EX185" s="377">
        <v>1</v>
      </c>
      <c r="EY185" s="373">
        <v>1</v>
      </c>
      <c r="EZ185" s="444">
        <v>50</v>
      </c>
      <c r="FA185" s="377"/>
      <c r="FB185" s="373"/>
      <c r="FC185" s="444"/>
      <c r="FD185" s="377"/>
      <c r="FE185" s="373">
        <v>3</v>
      </c>
      <c r="FF185" s="444">
        <v>0</v>
      </c>
      <c r="FG185" s="377">
        <v>3</v>
      </c>
      <c r="FH185" s="373">
        <v>5</v>
      </c>
      <c r="FI185" s="444">
        <v>37.5</v>
      </c>
      <c r="FJ185" s="377">
        <v>16</v>
      </c>
      <c r="FK185" s="373">
        <v>3</v>
      </c>
      <c r="FL185" s="444">
        <v>84.2</v>
      </c>
      <c r="FM185" s="377"/>
      <c r="FN185" s="373"/>
      <c r="FO185" s="444"/>
      <c r="FP185" s="377">
        <v>6</v>
      </c>
      <c r="FQ185" s="373">
        <v>26</v>
      </c>
      <c r="FR185" s="444">
        <v>18.8</v>
      </c>
      <c r="FS185" s="377">
        <v>27</v>
      </c>
      <c r="FT185" s="373">
        <v>19</v>
      </c>
      <c r="FU185" s="444">
        <v>58.7</v>
      </c>
      <c r="FV185" s="377">
        <v>19</v>
      </c>
      <c r="FW185" s="373">
        <v>10</v>
      </c>
      <c r="FX185" s="444">
        <v>65.5</v>
      </c>
      <c r="FY185" s="377"/>
      <c r="FZ185" s="373"/>
      <c r="GA185" s="444"/>
      <c r="GB185" s="377">
        <v>3</v>
      </c>
      <c r="GC185" s="373"/>
      <c r="GD185" s="444">
        <v>100</v>
      </c>
      <c r="GE185" s="377">
        <v>3</v>
      </c>
      <c r="GF185" s="373"/>
      <c r="GG185" s="444">
        <v>100</v>
      </c>
      <c r="GH185" s="377">
        <v>6</v>
      </c>
      <c r="GI185" s="373"/>
      <c r="GJ185" s="444">
        <v>100</v>
      </c>
      <c r="GK185" s="377"/>
      <c r="GL185" s="373"/>
      <c r="GM185" s="444"/>
      <c r="GN185" s="377">
        <v>1</v>
      </c>
      <c r="GO185" s="373">
        <v>1</v>
      </c>
      <c r="GP185" s="444">
        <v>50</v>
      </c>
      <c r="GQ185" s="377">
        <v>2</v>
      </c>
      <c r="GR185" s="373">
        <v>3</v>
      </c>
      <c r="GS185" s="444">
        <v>40</v>
      </c>
      <c r="GT185" s="377">
        <v>15</v>
      </c>
      <c r="GU185" s="373">
        <v>8</v>
      </c>
      <c r="GV185" s="444">
        <v>65.2</v>
      </c>
      <c r="GW185" s="377"/>
      <c r="GX185" s="373"/>
      <c r="GY185" s="444"/>
      <c r="GZ185" s="377">
        <v>3</v>
      </c>
      <c r="HA185" s="373">
        <v>2</v>
      </c>
      <c r="HB185" s="444">
        <v>60</v>
      </c>
      <c r="HC185" s="377">
        <v>1</v>
      </c>
      <c r="HD185" s="373"/>
      <c r="HE185" s="444">
        <v>100</v>
      </c>
      <c r="HF185" s="377">
        <v>3</v>
      </c>
      <c r="HG185" s="373"/>
      <c r="HH185" s="444">
        <v>100</v>
      </c>
      <c r="HI185" s="377"/>
      <c r="HJ185" s="373"/>
      <c r="HK185" s="444"/>
      <c r="HL185" s="377"/>
      <c r="HM185" s="373">
        <v>16</v>
      </c>
      <c r="HN185" s="444">
        <v>0</v>
      </c>
      <c r="HO185" s="377">
        <v>6</v>
      </c>
      <c r="HP185" s="373">
        <v>26</v>
      </c>
      <c r="HQ185" s="444">
        <v>18.8</v>
      </c>
      <c r="HR185" s="377">
        <v>28</v>
      </c>
      <c r="HS185" s="373">
        <v>21</v>
      </c>
      <c r="HT185" s="444">
        <v>57.1</v>
      </c>
      <c r="HU185" s="377"/>
      <c r="HV185" s="373"/>
      <c r="HW185" s="444"/>
      <c r="HX185" s="377">
        <v>8</v>
      </c>
      <c r="HY185" s="373">
        <v>1</v>
      </c>
      <c r="HZ185" s="444">
        <v>88.9</v>
      </c>
      <c r="IA185" s="377">
        <v>2</v>
      </c>
      <c r="IB185" s="373"/>
      <c r="IC185" s="444">
        <v>100</v>
      </c>
      <c r="ID185" s="377">
        <v>3</v>
      </c>
      <c r="IE185" s="373">
        <v>1</v>
      </c>
      <c r="IF185" s="444">
        <v>75</v>
      </c>
      <c r="IG185" s="377"/>
      <c r="IH185" s="373"/>
      <c r="II185" s="444"/>
      <c r="IJ185" s="377"/>
      <c r="IK185" s="373">
        <v>2</v>
      </c>
      <c r="IL185" s="444">
        <v>0</v>
      </c>
      <c r="IM185" s="377">
        <v>5</v>
      </c>
      <c r="IN185" s="373">
        <v>7</v>
      </c>
      <c r="IO185" s="444">
        <v>41.7</v>
      </c>
      <c r="IP185" s="377">
        <v>7</v>
      </c>
      <c r="IQ185" s="373">
        <v>1</v>
      </c>
      <c r="IR185" s="444">
        <v>87.5</v>
      </c>
      <c r="IS185" s="377"/>
      <c r="IT185" s="373"/>
      <c r="IU185" s="444"/>
      <c r="IV185" s="377">
        <v>136</v>
      </c>
      <c r="IW185" s="373">
        <v>234</v>
      </c>
      <c r="IX185" s="444">
        <v>36.799999999999997</v>
      </c>
      <c r="IY185" s="377">
        <v>159</v>
      </c>
      <c r="IZ185" s="373">
        <v>237</v>
      </c>
      <c r="JA185" s="444">
        <v>40.200000000000003</v>
      </c>
      <c r="JB185" s="377">
        <v>244</v>
      </c>
      <c r="JC185" s="373">
        <v>194</v>
      </c>
      <c r="JD185" s="444">
        <v>55.7</v>
      </c>
      <c r="JE185" s="377"/>
      <c r="JF185" s="373"/>
      <c r="JG185" s="444"/>
      <c r="JH185" s="377">
        <v>10</v>
      </c>
      <c r="JI185" s="373">
        <v>35</v>
      </c>
      <c r="JJ185" s="444">
        <v>22.2</v>
      </c>
      <c r="JK185" s="377">
        <v>37</v>
      </c>
      <c r="JL185" s="373">
        <v>41</v>
      </c>
      <c r="JM185" s="444">
        <v>47.4</v>
      </c>
      <c r="JN185" s="377">
        <v>119</v>
      </c>
      <c r="JO185" s="373">
        <v>17</v>
      </c>
      <c r="JP185" s="444">
        <v>87.5</v>
      </c>
      <c r="JQ185" s="377"/>
      <c r="JR185" s="373"/>
      <c r="JS185" s="444"/>
      <c r="JT185" s="377"/>
      <c r="JU185" s="373"/>
      <c r="JV185" s="444" t="s">
        <v>6</v>
      </c>
      <c r="JW185" s="377"/>
      <c r="JX185" s="373">
        <v>4</v>
      </c>
      <c r="JY185" s="444">
        <v>0</v>
      </c>
      <c r="JZ185" s="377">
        <v>2</v>
      </c>
      <c r="KA185" s="373"/>
      <c r="KB185" s="444">
        <v>100</v>
      </c>
      <c r="KC185" s="377"/>
      <c r="KD185" s="373"/>
      <c r="KE185" s="444"/>
      <c r="KF185" s="377">
        <v>1</v>
      </c>
      <c r="KG185" s="373"/>
      <c r="KH185" s="444">
        <v>100</v>
      </c>
      <c r="KI185" s="377"/>
      <c r="KJ185" s="373"/>
      <c r="KK185" s="444" t="s">
        <v>6</v>
      </c>
      <c r="KL185" s="377">
        <v>1</v>
      </c>
      <c r="KM185" s="373"/>
      <c r="KN185" s="444">
        <v>100</v>
      </c>
      <c r="KO185" s="377"/>
      <c r="KP185" s="373"/>
      <c r="KQ185" s="444"/>
      <c r="KR185" s="377">
        <v>11</v>
      </c>
      <c r="KS185" s="373">
        <v>38</v>
      </c>
      <c r="KT185" s="444">
        <v>22.4</v>
      </c>
      <c r="KU185" s="377">
        <v>38</v>
      </c>
      <c r="KV185" s="373">
        <v>46</v>
      </c>
      <c r="KW185" s="444">
        <v>45.2</v>
      </c>
      <c r="KX185" s="377">
        <v>133</v>
      </c>
      <c r="KY185" s="373">
        <v>18</v>
      </c>
      <c r="KZ185" s="444">
        <v>88.1</v>
      </c>
      <c r="LA185" s="377"/>
      <c r="LB185" s="373"/>
      <c r="LC185" s="444"/>
      <c r="LD185" s="377">
        <v>354</v>
      </c>
      <c r="LE185" s="373">
        <v>291</v>
      </c>
      <c r="LF185" s="444">
        <v>54.9</v>
      </c>
      <c r="LG185" s="377">
        <v>301</v>
      </c>
      <c r="LH185" s="373">
        <v>314</v>
      </c>
      <c r="LI185" s="444">
        <v>48.9</v>
      </c>
      <c r="LJ185" s="377">
        <v>304</v>
      </c>
      <c r="LK185" s="373">
        <v>272</v>
      </c>
      <c r="LL185" s="444">
        <v>52.8</v>
      </c>
      <c r="LM185" s="377"/>
      <c r="LN185" s="373"/>
      <c r="LO185" s="444"/>
    </row>
    <row r="186" spans="1:327" x14ac:dyDescent="0.2">
      <c r="A186" s="1001"/>
      <c r="B186" s="747" t="s">
        <v>621</v>
      </c>
      <c r="C186" s="151" t="s">
        <v>762</v>
      </c>
      <c r="D186" s="377"/>
      <c r="E186" s="373"/>
      <c r="F186" s="444" t="s">
        <v>6</v>
      </c>
      <c r="G186" s="377"/>
      <c r="H186" s="373"/>
      <c r="I186" s="444" t="s">
        <v>6</v>
      </c>
      <c r="J186" s="377"/>
      <c r="K186" s="373"/>
      <c r="L186" s="444" t="s">
        <v>6</v>
      </c>
      <c r="M186" s="377"/>
      <c r="N186" s="373"/>
      <c r="O186" s="444"/>
      <c r="P186" s="377"/>
      <c r="Q186" s="373"/>
      <c r="R186" s="444" t="s">
        <v>6</v>
      </c>
      <c r="S186" s="377"/>
      <c r="T186" s="373"/>
      <c r="U186" s="444" t="s">
        <v>6</v>
      </c>
      <c r="V186" s="377"/>
      <c r="W186" s="373"/>
      <c r="X186" s="444" t="s">
        <v>6</v>
      </c>
      <c r="Y186" s="377"/>
      <c r="Z186" s="373"/>
      <c r="AA186" s="444"/>
      <c r="AB186" s="377"/>
      <c r="AC186" s="373"/>
      <c r="AD186" s="444" t="s">
        <v>6</v>
      </c>
      <c r="AE186" s="377"/>
      <c r="AF186" s="373"/>
      <c r="AG186" s="444" t="s">
        <v>6</v>
      </c>
      <c r="AH186" s="377"/>
      <c r="AI186" s="373"/>
      <c r="AJ186" s="444" t="s">
        <v>6</v>
      </c>
      <c r="AK186" s="377"/>
      <c r="AL186" s="373"/>
      <c r="AM186" s="444"/>
      <c r="AN186" s="377">
        <v>6</v>
      </c>
      <c r="AO186" s="373">
        <v>3</v>
      </c>
      <c r="AP186" s="444">
        <v>66.7</v>
      </c>
      <c r="AQ186" s="377">
        <v>10</v>
      </c>
      <c r="AR186" s="373"/>
      <c r="AS186" s="444">
        <v>100</v>
      </c>
      <c r="AT186" s="377">
        <v>25</v>
      </c>
      <c r="AU186" s="373">
        <v>2</v>
      </c>
      <c r="AV186" s="444">
        <v>92.6</v>
      </c>
      <c r="AW186" s="377"/>
      <c r="AX186" s="373"/>
      <c r="AY186" s="444"/>
      <c r="AZ186" s="377">
        <v>2</v>
      </c>
      <c r="BA186" s="373">
        <v>1</v>
      </c>
      <c r="BB186" s="444">
        <v>66.7</v>
      </c>
      <c r="BC186" s="377">
        <v>4</v>
      </c>
      <c r="BD186" s="373"/>
      <c r="BE186" s="444">
        <v>100</v>
      </c>
      <c r="BF186" s="377">
        <v>10</v>
      </c>
      <c r="BG186" s="373">
        <v>2</v>
      </c>
      <c r="BH186" s="444">
        <v>83.3</v>
      </c>
      <c r="BI186" s="377"/>
      <c r="BJ186" s="373"/>
      <c r="BK186" s="444"/>
      <c r="BL186" s="377"/>
      <c r="BM186" s="373"/>
      <c r="BN186" s="444" t="s">
        <v>6</v>
      </c>
      <c r="BO186" s="377"/>
      <c r="BP186" s="373"/>
      <c r="BQ186" s="444" t="s">
        <v>6</v>
      </c>
      <c r="BR186" s="377"/>
      <c r="BS186" s="373"/>
      <c r="BT186" s="444" t="s">
        <v>6</v>
      </c>
      <c r="BU186" s="377"/>
      <c r="BV186" s="373"/>
      <c r="BW186" s="444"/>
      <c r="BX186" s="377"/>
      <c r="BY186" s="373"/>
      <c r="BZ186" s="444" t="s">
        <v>6</v>
      </c>
      <c r="CA186" s="377"/>
      <c r="CB186" s="373"/>
      <c r="CC186" s="444" t="s">
        <v>6</v>
      </c>
      <c r="CD186" s="377"/>
      <c r="CE186" s="373"/>
      <c r="CF186" s="444" t="s">
        <v>6</v>
      </c>
      <c r="CG186" s="377"/>
      <c r="CH186" s="373"/>
      <c r="CI186" s="444"/>
      <c r="CJ186" s="377"/>
      <c r="CK186" s="373"/>
      <c r="CL186" s="444" t="s">
        <v>6</v>
      </c>
      <c r="CM186" s="377"/>
      <c r="CN186" s="373"/>
      <c r="CO186" s="444" t="s">
        <v>6</v>
      </c>
      <c r="CP186" s="377"/>
      <c r="CQ186" s="373"/>
      <c r="CR186" s="444" t="s">
        <v>6</v>
      </c>
      <c r="CS186" s="377"/>
      <c r="CT186" s="373"/>
      <c r="CU186" s="444"/>
      <c r="CV186" s="377">
        <v>5</v>
      </c>
      <c r="CW186" s="373">
        <v>1</v>
      </c>
      <c r="CX186" s="444">
        <v>83.3</v>
      </c>
      <c r="CY186" s="377">
        <v>11</v>
      </c>
      <c r="CZ186" s="373">
        <v>1</v>
      </c>
      <c r="DA186" s="444">
        <v>91.7</v>
      </c>
      <c r="DB186" s="377">
        <v>14</v>
      </c>
      <c r="DC186" s="373">
        <v>1</v>
      </c>
      <c r="DD186" s="444">
        <v>93.3</v>
      </c>
      <c r="DE186" s="377"/>
      <c r="DF186" s="373"/>
      <c r="DG186" s="444"/>
      <c r="DH186" s="377"/>
      <c r="DI186" s="373">
        <v>1</v>
      </c>
      <c r="DJ186" s="444">
        <v>0</v>
      </c>
      <c r="DK186" s="377">
        <v>2</v>
      </c>
      <c r="DL186" s="373"/>
      <c r="DM186" s="444">
        <v>100</v>
      </c>
      <c r="DN186" s="377">
        <v>2</v>
      </c>
      <c r="DO186" s="373"/>
      <c r="DP186" s="444">
        <v>100</v>
      </c>
      <c r="DQ186" s="377"/>
      <c r="DR186" s="373"/>
      <c r="DS186" s="444"/>
      <c r="DT186" s="377"/>
      <c r="DU186" s="373"/>
      <c r="DV186" s="444" t="s">
        <v>6</v>
      </c>
      <c r="DW186" s="377">
        <v>1</v>
      </c>
      <c r="DX186" s="373">
        <v>1</v>
      </c>
      <c r="DY186" s="444">
        <v>50</v>
      </c>
      <c r="DZ186" s="377">
        <v>1</v>
      </c>
      <c r="EA186" s="373"/>
      <c r="EB186" s="444">
        <v>100</v>
      </c>
      <c r="EC186" s="377"/>
      <c r="ED186" s="373"/>
      <c r="EE186" s="444"/>
      <c r="EF186" s="377">
        <v>78</v>
      </c>
      <c r="EG186" s="373">
        <v>171</v>
      </c>
      <c r="EH186" s="444">
        <v>31.3</v>
      </c>
      <c r="EI186" s="377">
        <v>54</v>
      </c>
      <c r="EJ186" s="373">
        <v>80</v>
      </c>
      <c r="EK186" s="444">
        <v>40.299999999999997</v>
      </c>
      <c r="EL186" s="377">
        <v>128</v>
      </c>
      <c r="EM186" s="373">
        <v>100</v>
      </c>
      <c r="EN186" s="444">
        <v>56.1</v>
      </c>
      <c r="EO186" s="377"/>
      <c r="EP186" s="373"/>
      <c r="EQ186" s="444"/>
      <c r="ER186" s="377">
        <v>2</v>
      </c>
      <c r="ES186" s="373"/>
      <c r="ET186" s="444">
        <v>100</v>
      </c>
      <c r="EU186" s="377">
        <v>1</v>
      </c>
      <c r="EV186" s="373"/>
      <c r="EW186" s="444">
        <v>100</v>
      </c>
      <c r="EX186" s="377">
        <v>1</v>
      </c>
      <c r="EY186" s="373">
        <v>1</v>
      </c>
      <c r="EZ186" s="444">
        <v>50</v>
      </c>
      <c r="FA186" s="377"/>
      <c r="FB186" s="373"/>
      <c r="FC186" s="444"/>
      <c r="FD186" s="377">
        <v>2</v>
      </c>
      <c r="FE186" s="373">
        <v>4</v>
      </c>
      <c r="FF186" s="444">
        <v>33.299999999999997</v>
      </c>
      <c r="FG186" s="377"/>
      <c r="FH186" s="373">
        <v>2</v>
      </c>
      <c r="FI186" s="444">
        <v>0</v>
      </c>
      <c r="FJ186" s="377">
        <v>20</v>
      </c>
      <c r="FK186" s="373">
        <v>2</v>
      </c>
      <c r="FL186" s="444">
        <v>90.9</v>
      </c>
      <c r="FM186" s="377"/>
      <c r="FN186" s="373"/>
      <c r="FO186" s="444"/>
      <c r="FP186" s="377">
        <v>15</v>
      </c>
      <c r="FQ186" s="373">
        <v>15</v>
      </c>
      <c r="FR186" s="444">
        <v>50</v>
      </c>
      <c r="FS186" s="377">
        <v>10</v>
      </c>
      <c r="FT186" s="373">
        <v>3</v>
      </c>
      <c r="FU186" s="444">
        <v>76.900000000000006</v>
      </c>
      <c r="FV186" s="377">
        <v>42</v>
      </c>
      <c r="FW186" s="373">
        <v>6</v>
      </c>
      <c r="FX186" s="444">
        <v>87.5</v>
      </c>
      <c r="FY186" s="377"/>
      <c r="FZ186" s="373"/>
      <c r="GA186" s="444"/>
      <c r="GB186" s="377">
        <v>1</v>
      </c>
      <c r="GC186" s="373"/>
      <c r="GD186" s="444">
        <v>100</v>
      </c>
      <c r="GE186" s="377">
        <v>1</v>
      </c>
      <c r="GF186" s="373"/>
      <c r="GG186" s="444">
        <v>100</v>
      </c>
      <c r="GH186" s="377">
        <v>3</v>
      </c>
      <c r="GI186" s="373"/>
      <c r="GJ186" s="444">
        <v>100</v>
      </c>
      <c r="GK186" s="377"/>
      <c r="GL186" s="373"/>
      <c r="GM186" s="444"/>
      <c r="GN186" s="377"/>
      <c r="GO186" s="373"/>
      <c r="GP186" s="444" t="s">
        <v>6</v>
      </c>
      <c r="GQ186" s="377"/>
      <c r="GR186" s="373"/>
      <c r="GS186" s="444" t="s">
        <v>6</v>
      </c>
      <c r="GT186" s="377"/>
      <c r="GU186" s="373"/>
      <c r="GV186" s="444" t="s">
        <v>6</v>
      </c>
      <c r="GW186" s="377"/>
      <c r="GX186" s="373"/>
      <c r="GY186" s="444"/>
      <c r="GZ186" s="377">
        <v>1</v>
      </c>
      <c r="HA186" s="373"/>
      <c r="HB186" s="444">
        <v>100</v>
      </c>
      <c r="HC186" s="377">
        <v>1</v>
      </c>
      <c r="HD186" s="373"/>
      <c r="HE186" s="444">
        <v>100</v>
      </c>
      <c r="HF186" s="377"/>
      <c r="HG186" s="373"/>
      <c r="HH186" s="444" t="s">
        <v>6</v>
      </c>
      <c r="HI186" s="377"/>
      <c r="HJ186" s="373"/>
      <c r="HK186" s="444"/>
      <c r="HL186" s="377">
        <v>6</v>
      </c>
      <c r="HM186" s="373">
        <v>10</v>
      </c>
      <c r="HN186" s="444">
        <v>37.5</v>
      </c>
      <c r="HO186" s="377">
        <v>10</v>
      </c>
      <c r="HP186" s="373">
        <v>9</v>
      </c>
      <c r="HQ186" s="444">
        <v>52.6</v>
      </c>
      <c r="HR186" s="377">
        <v>28</v>
      </c>
      <c r="HS186" s="373">
        <v>15</v>
      </c>
      <c r="HT186" s="444">
        <v>65.099999999999994</v>
      </c>
      <c r="HU186" s="377"/>
      <c r="HV186" s="373"/>
      <c r="HW186" s="444"/>
      <c r="HX186" s="377">
        <v>2</v>
      </c>
      <c r="HY186" s="373"/>
      <c r="HZ186" s="444">
        <v>100</v>
      </c>
      <c r="IA186" s="377"/>
      <c r="IB186" s="373"/>
      <c r="IC186" s="444" t="s">
        <v>6</v>
      </c>
      <c r="ID186" s="377"/>
      <c r="IE186" s="373"/>
      <c r="IF186" s="444" t="s">
        <v>6</v>
      </c>
      <c r="IG186" s="377"/>
      <c r="IH186" s="373"/>
      <c r="II186" s="444"/>
      <c r="IJ186" s="377">
        <v>2</v>
      </c>
      <c r="IK186" s="373">
        <v>1</v>
      </c>
      <c r="IL186" s="444">
        <v>66.7</v>
      </c>
      <c r="IM186" s="377">
        <v>3</v>
      </c>
      <c r="IN186" s="373"/>
      <c r="IO186" s="444">
        <v>100</v>
      </c>
      <c r="IP186" s="377">
        <v>2</v>
      </c>
      <c r="IQ186" s="373">
        <v>1</v>
      </c>
      <c r="IR186" s="444">
        <v>66.7</v>
      </c>
      <c r="IS186" s="377"/>
      <c r="IT186" s="373"/>
      <c r="IU186" s="444"/>
      <c r="IV186" s="377">
        <v>101</v>
      </c>
      <c r="IW186" s="373">
        <v>187</v>
      </c>
      <c r="IX186" s="444">
        <v>35.1</v>
      </c>
      <c r="IY186" s="377">
        <v>93</v>
      </c>
      <c r="IZ186" s="373">
        <v>91</v>
      </c>
      <c r="JA186" s="444">
        <v>50.5</v>
      </c>
      <c r="JB186" s="377">
        <v>203</v>
      </c>
      <c r="JC186" s="373">
        <v>119</v>
      </c>
      <c r="JD186" s="444">
        <v>63</v>
      </c>
      <c r="JE186" s="377"/>
      <c r="JF186" s="373"/>
      <c r="JG186" s="444"/>
      <c r="JH186" s="377">
        <v>8</v>
      </c>
      <c r="JI186" s="373">
        <v>15</v>
      </c>
      <c r="JJ186" s="444">
        <v>34.799999999999997</v>
      </c>
      <c r="JK186" s="377">
        <v>16</v>
      </c>
      <c r="JL186" s="373">
        <v>4</v>
      </c>
      <c r="JM186" s="444">
        <v>80</v>
      </c>
      <c r="JN186" s="377">
        <v>33</v>
      </c>
      <c r="JO186" s="373"/>
      <c r="JP186" s="444">
        <v>100</v>
      </c>
      <c r="JQ186" s="377"/>
      <c r="JR186" s="373"/>
      <c r="JS186" s="444"/>
      <c r="JT186" s="377"/>
      <c r="JU186" s="373"/>
      <c r="JV186" s="444" t="s">
        <v>6</v>
      </c>
      <c r="JW186" s="377">
        <v>3</v>
      </c>
      <c r="JX186" s="373"/>
      <c r="JY186" s="444">
        <v>100</v>
      </c>
      <c r="JZ186" s="377">
        <v>3</v>
      </c>
      <c r="KA186" s="373">
        <v>1</v>
      </c>
      <c r="KB186" s="444">
        <v>75</v>
      </c>
      <c r="KC186" s="377"/>
      <c r="KD186" s="373"/>
      <c r="KE186" s="444"/>
      <c r="KF186" s="377">
        <v>1</v>
      </c>
      <c r="KG186" s="373"/>
      <c r="KH186" s="444">
        <v>100</v>
      </c>
      <c r="KI186" s="377"/>
      <c r="KJ186" s="373"/>
      <c r="KK186" s="444" t="s">
        <v>6</v>
      </c>
      <c r="KL186" s="377"/>
      <c r="KM186" s="373"/>
      <c r="KN186" s="444" t="s">
        <v>6</v>
      </c>
      <c r="KO186" s="377"/>
      <c r="KP186" s="373"/>
      <c r="KQ186" s="444"/>
      <c r="KR186" s="377">
        <v>10</v>
      </c>
      <c r="KS186" s="373">
        <v>17</v>
      </c>
      <c r="KT186" s="444">
        <v>37</v>
      </c>
      <c r="KU186" s="377">
        <v>26</v>
      </c>
      <c r="KV186" s="373">
        <v>7</v>
      </c>
      <c r="KW186" s="444">
        <v>78.8</v>
      </c>
      <c r="KX186" s="377">
        <v>50</v>
      </c>
      <c r="KY186" s="373">
        <v>1</v>
      </c>
      <c r="KZ186" s="444">
        <v>98</v>
      </c>
      <c r="LA186" s="377"/>
      <c r="LB186" s="373"/>
      <c r="LC186" s="444"/>
      <c r="LD186" s="377">
        <v>142</v>
      </c>
      <c r="LE186" s="373">
        <v>241</v>
      </c>
      <c r="LF186" s="444">
        <v>37.1</v>
      </c>
      <c r="LG186" s="377">
        <v>185</v>
      </c>
      <c r="LH186" s="373">
        <v>127</v>
      </c>
      <c r="LI186" s="444">
        <v>59.3</v>
      </c>
      <c r="LJ186" s="377">
        <v>290</v>
      </c>
      <c r="LK186" s="373">
        <v>145</v>
      </c>
      <c r="LL186" s="444">
        <v>66.7</v>
      </c>
      <c r="LM186" s="377"/>
      <c r="LN186" s="373"/>
      <c r="LO186" s="444"/>
    </row>
    <row r="187" spans="1:327" x14ac:dyDescent="0.2">
      <c r="A187" s="1001"/>
      <c r="B187" s="747" t="s">
        <v>621</v>
      </c>
      <c r="C187" s="151" t="s">
        <v>763</v>
      </c>
      <c r="D187" s="377"/>
      <c r="E187" s="373"/>
      <c r="F187" s="444" t="s">
        <v>6</v>
      </c>
      <c r="G187" s="377"/>
      <c r="H187" s="373"/>
      <c r="I187" s="444" t="s">
        <v>6</v>
      </c>
      <c r="J187" s="377"/>
      <c r="K187" s="373"/>
      <c r="L187" s="444" t="s">
        <v>6</v>
      </c>
      <c r="M187" s="377"/>
      <c r="N187" s="373"/>
      <c r="O187" s="444"/>
      <c r="P187" s="377"/>
      <c r="Q187" s="373"/>
      <c r="R187" s="444" t="s">
        <v>6</v>
      </c>
      <c r="S187" s="377"/>
      <c r="T187" s="373"/>
      <c r="U187" s="444" t="s">
        <v>6</v>
      </c>
      <c r="V187" s="377"/>
      <c r="W187" s="373"/>
      <c r="X187" s="444" t="s">
        <v>6</v>
      </c>
      <c r="Y187" s="377"/>
      <c r="Z187" s="373"/>
      <c r="AA187" s="444"/>
      <c r="AB187" s="377"/>
      <c r="AC187" s="373"/>
      <c r="AD187" s="444" t="s">
        <v>6</v>
      </c>
      <c r="AE187" s="377"/>
      <c r="AF187" s="373"/>
      <c r="AG187" s="444" t="s">
        <v>6</v>
      </c>
      <c r="AH187" s="377"/>
      <c r="AI187" s="373"/>
      <c r="AJ187" s="444" t="s">
        <v>6</v>
      </c>
      <c r="AK187" s="377"/>
      <c r="AL187" s="373"/>
      <c r="AM187" s="444"/>
      <c r="AN187" s="377">
        <v>8</v>
      </c>
      <c r="AO187" s="373">
        <v>2</v>
      </c>
      <c r="AP187" s="444">
        <v>80</v>
      </c>
      <c r="AQ187" s="377">
        <v>8</v>
      </c>
      <c r="AR187" s="373">
        <v>1</v>
      </c>
      <c r="AS187" s="444">
        <v>88.9</v>
      </c>
      <c r="AT187" s="377">
        <v>4</v>
      </c>
      <c r="AU187" s="373">
        <v>2</v>
      </c>
      <c r="AV187" s="444">
        <v>66.7</v>
      </c>
      <c r="AW187" s="377"/>
      <c r="AX187" s="373"/>
      <c r="AY187" s="444"/>
      <c r="AZ187" s="377">
        <v>3</v>
      </c>
      <c r="BA187" s="373">
        <v>2</v>
      </c>
      <c r="BB187" s="444">
        <v>60</v>
      </c>
      <c r="BC187" s="377">
        <v>7</v>
      </c>
      <c r="BD187" s="373">
        <v>1</v>
      </c>
      <c r="BE187" s="444">
        <v>87.5</v>
      </c>
      <c r="BF187" s="377">
        <v>2</v>
      </c>
      <c r="BG187" s="373">
        <v>2</v>
      </c>
      <c r="BH187" s="444">
        <v>50</v>
      </c>
      <c r="BI187" s="377"/>
      <c r="BJ187" s="373"/>
      <c r="BK187" s="444"/>
      <c r="BL187" s="377"/>
      <c r="BM187" s="373"/>
      <c r="BN187" s="444" t="s">
        <v>6</v>
      </c>
      <c r="BO187" s="377"/>
      <c r="BP187" s="373"/>
      <c r="BQ187" s="444" t="s">
        <v>6</v>
      </c>
      <c r="BR187" s="377"/>
      <c r="BS187" s="373"/>
      <c r="BT187" s="444" t="s">
        <v>6</v>
      </c>
      <c r="BU187" s="377"/>
      <c r="BV187" s="373"/>
      <c r="BW187" s="444"/>
      <c r="BX187" s="377"/>
      <c r="BY187" s="373"/>
      <c r="BZ187" s="444" t="s">
        <v>6</v>
      </c>
      <c r="CA187" s="377"/>
      <c r="CB187" s="373"/>
      <c r="CC187" s="444" t="s">
        <v>6</v>
      </c>
      <c r="CD187" s="377"/>
      <c r="CE187" s="373"/>
      <c r="CF187" s="444" t="s">
        <v>6</v>
      </c>
      <c r="CG187" s="377"/>
      <c r="CH187" s="373"/>
      <c r="CI187" s="444"/>
      <c r="CJ187" s="377"/>
      <c r="CK187" s="373"/>
      <c r="CL187" s="444" t="s">
        <v>6</v>
      </c>
      <c r="CM187" s="377"/>
      <c r="CN187" s="373"/>
      <c r="CO187" s="444" t="s">
        <v>6</v>
      </c>
      <c r="CP187" s="377"/>
      <c r="CQ187" s="373"/>
      <c r="CR187" s="444" t="s">
        <v>6</v>
      </c>
      <c r="CS187" s="377"/>
      <c r="CT187" s="373"/>
      <c r="CU187" s="444"/>
      <c r="CV187" s="377">
        <v>18</v>
      </c>
      <c r="CW187" s="373">
        <v>9</v>
      </c>
      <c r="CX187" s="444">
        <v>66.7</v>
      </c>
      <c r="CY187" s="377">
        <v>10</v>
      </c>
      <c r="CZ187" s="373">
        <v>8</v>
      </c>
      <c r="DA187" s="444">
        <v>55.6</v>
      </c>
      <c r="DB187" s="377">
        <v>11</v>
      </c>
      <c r="DC187" s="373">
        <v>4</v>
      </c>
      <c r="DD187" s="444">
        <v>73.3</v>
      </c>
      <c r="DE187" s="377"/>
      <c r="DF187" s="373"/>
      <c r="DG187" s="444"/>
      <c r="DH187" s="377"/>
      <c r="DI187" s="373"/>
      <c r="DJ187" s="444" t="s">
        <v>6</v>
      </c>
      <c r="DK187" s="377"/>
      <c r="DL187" s="373"/>
      <c r="DM187" s="444" t="s">
        <v>6</v>
      </c>
      <c r="DN187" s="377">
        <v>2</v>
      </c>
      <c r="DO187" s="373"/>
      <c r="DP187" s="444">
        <v>100</v>
      </c>
      <c r="DQ187" s="377"/>
      <c r="DR187" s="373"/>
      <c r="DS187" s="444"/>
      <c r="DT187" s="377"/>
      <c r="DU187" s="373"/>
      <c r="DV187" s="444" t="s">
        <v>6</v>
      </c>
      <c r="DW187" s="377"/>
      <c r="DX187" s="373"/>
      <c r="DY187" s="444" t="s">
        <v>6</v>
      </c>
      <c r="DZ187" s="377"/>
      <c r="EA187" s="373"/>
      <c r="EB187" s="444" t="s">
        <v>6</v>
      </c>
      <c r="EC187" s="377"/>
      <c r="ED187" s="373"/>
      <c r="EE187" s="444"/>
      <c r="EF187" s="377">
        <v>90</v>
      </c>
      <c r="EG187" s="373">
        <v>197</v>
      </c>
      <c r="EH187" s="444">
        <v>31.4</v>
      </c>
      <c r="EI187" s="377">
        <v>39</v>
      </c>
      <c r="EJ187" s="373">
        <v>81</v>
      </c>
      <c r="EK187" s="444">
        <v>32.5</v>
      </c>
      <c r="EL187" s="377">
        <v>63</v>
      </c>
      <c r="EM187" s="373">
        <v>87</v>
      </c>
      <c r="EN187" s="444">
        <v>42</v>
      </c>
      <c r="EO187" s="377"/>
      <c r="EP187" s="373"/>
      <c r="EQ187" s="444"/>
      <c r="ER187" s="377">
        <v>2</v>
      </c>
      <c r="ES187" s="373">
        <v>3</v>
      </c>
      <c r="ET187" s="444">
        <v>40</v>
      </c>
      <c r="EU187" s="377"/>
      <c r="EV187" s="373"/>
      <c r="EW187" s="444" t="s">
        <v>6</v>
      </c>
      <c r="EX187" s="377"/>
      <c r="EY187" s="373"/>
      <c r="EZ187" s="444" t="s">
        <v>6</v>
      </c>
      <c r="FA187" s="377"/>
      <c r="FB187" s="373"/>
      <c r="FC187" s="444"/>
      <c r="FD187" s="377"/>
      <c r="FE187" s="373">
        <v>1</v>
      </c>
      <c r="FF187" s="444">
        <v>0</v>
      </c>
      <c r="FG187" s="377"/>
      <c r="FH187" s="373">
        <v>1</v>
      </c>
      <c r="FI187" s="444">
        <v>0</v>
      </c>
      <c r="FJ187" s="377"/>
      <c r="FK187" s="373">
        <v>9</v>
      </c>
      <c r="FL187" s="444">
        <v>0</v>
      </c>
      <c r="FM187" s="377"/>
      <c r="FN187" s="373"/>
      <c r="FO187" s="444"/>
      <c r="FP187" s="377">
        <v>35</v>
      </c>
      <c r="FQ187" s="373">
        <v>36</v>
      </c>
      <c r="FR187" s="444">
        <v>49.3</v>
      </c>
      <c r="FS187" s="377">
        <v>5</v>
      </c>
      <c r="FT187" s="373">
        <v>11</v>
      </c>
      <c r="FU187" s="444">
        <v>31.3</v>
      </c>
      <c r="FV187" s="377">
        <v>13</v>
      </c>
      <c r="FW187" s="373">
        <v>12</v>
      </c>
      <c r="FX187" s="444">
        <v>52</v>
      </c>
      <c r="FY187" s="377"/>
      <c r="FZ187" s="373"/>
      <c r="GA187" s="444"/>
      <c r="GB187" s="377">
        <v>1</v>
      </c>
      <c r="GC187" s="373"/>
      <c r="GD187" s="444">
        <v>100</v>
      </c>
      <c r="GE187" s="377">
        <v>7</v>
      </c>
      <c r="GF187" s="373"/>
      <c r="GG187" s="444">
        <v>100</v>
      </c>
      <c r="GH187" s="377"/>
      <c r="GI187" s="373"/>
      <c r="GJ187" s="444" t="s">
        <v>6</v>
      </c>
      <c r="GK187" s="377"/>
      <c r="GL187" s="373"/>
      <c r="GM187" s="444"/>
      <c r="GN187" s="377"/>
      <c r="GO187" s="373"/>
      <c r="GP187" s="444" t="s">
        <v>6</v>
      </c>
      <c r="GQ187" s="377">
        <v>4</v>
      </c>
      <c r="GR187" s="373">
        <v>4</v>
      </c>
      <c r="GS187" s="444">
        <v>50</v>
      </c>
      <c r="GT187" s="377"/>
      <c r="GU187" s="373">
        <v>6</v>
      </c>
      <c r="GV187" s="444">
        <v>0</v>
      </c>
      <c r="GW187" s="377"/>
      <c r="GX187" s="373"/>
      <c r="GY187" s="444"/>
      <c r="GZ187" s="377"/>
      <c r="HA187" s="373"/>
      <c r="HB187" s="444" t="s">
        <v>6</v>
      </c>
      <c r="HC187" s="377"/>
      <c r="HD187" s="373"/>
      <c r="HE187" s="444" t="s">
        <v>6</v>
      </c>
      <c r="HF187" s="377"/>
      <c r="HG187" s="373"/>
      <c r="HH187" s="444" t="s">
        <v>6</v>
      </c>
      <c r="HI187" s="377"/>
      <c r="HJ187" s="373"/>
      <c r="HK187" s="444"/>
      <c r="HL187" s="377">
        <v>7</v>
      </c>
      <c r="HM187" s="373">
        <v>16</v>
      </c>
      <c r="HN187" s="444">
        <v>30.4</v>
      </c>
      <c r="HO187" s="377">
        <v>6</v>
      </c>
      <c r="HP187" s="373">
        <v>14</v>
      </c>
      <c r="HQ187" s="444">
        <v>30</v>
      </c>
      <c r="HR187" s="377">
        <v>4</v>
      </c>
      <c r="HS187" s="373">
        <v>16</v>
      </c>
      <c r="HT187" s="444">
        <v>20</v>
      </c>
      <c r="HU187" s="377"/>
      <c r="HV187" s="373"/>
      <c r="HW187" s="444"/>
      <c r="HX187" s="377"/>
      <c r="HY187" s="373"/>
      <c r="HZ187" s="444" t="s">
        <v>6</v>
      </c>
      <c r="IA187" s="377">
        <v>2</v>
      </c>
      <c r="IB187" s="373"/>
      <c r="IC187" s="444">
        <v>100</v>
      </c>
      <c r="ID187" s="377">
        <v>2</v>
      </c>
      <c r="IE187" s="373"/>
      <c r="IF187" s="444">
        <v>100</v>
      </c>
      <c r="IG187" s="377"/>
      <c r="IH187" s="373"/>
      <c r="II187" s="444"/>
      <c r="IJ187" s="377">
        <v>1</v>
      </c>
      <c r="IK187" s="373">
        <v>1</v>
      </c>
      <c r="IL187" s="444">
        <v>50</v>
      </c>
      <c r="IM187" s="377">
        <v>1</v>
      </c>
      <c r="IN187" s="373"/>
      <c r="IO187" s="444">
        <v>100</v>
      </c>
      <c r="IP187" s="377"/>
      <c r="IQ187" s="373"/>
      <c r="IR187" s="444" t="s">
        <v>6</v>
      </c>
      <c r="IS187" s="377"/>
      <c r="IT187" s="373"/>
      <c r="IU187" s="444"/>
      <c r="IV187" s="377">
        <v>125</v>
      </c>
      <c r="IW187" s="373">
        <v>225</v>
      </c>
      <c r="IX187" s="444">
        <v>35.700000000000003</v>
      </c>
      <c r="IY187" s="377">
        <v>77</v>
      </c>
      <c r="IZ187" s="373">
        <v>108</v>
      </c>
      <c r="JA187" s="444">
        <v>41.6</v>
      </c>
      <c r="JB187" s="377">
        <v>86</v>
      </c>
      <c r="JC187" s="373">
        <v>115</v>
      </c>
      <c r="JD187" s="444">
        <v>42.8</v>
      </c>
      <c r="JE187" s="377"/>
      <c r="JF187" s="373"/>
      <c r="JG187" s="444"/>
      <c r="JH187" s="377">
        <v>31</v>
      </c>
      <c r="JI187" s="373">
        <v>29</v>
      </c>
      <c r="JJ187" s="444">
        <v>51.7</v>
      </c>
      <c r="JK187" s="377">
        <v>27</v>
      </c>
      <c r="JL187" s="373">
        <v>20</v>
      </c>
      <c r="JM187" s="444">
        <v>57.4</v>
      </c>
      <c r="JN187" s="377">
        <v>17</v>
      </c>
      <c r="JO187" s="373">
        <v>9</v>
      </c>
      <c r="JP187" s="444">
        <v>65.400000000000006</v>
      </c>
      <c r="JQ187" s="377"/>
      <c r="JR187" s="373"/>
      <c r="JS187" s="444"/>
      <c r="JT187" s="377"/>
      <c r="JU187" s="373"/>
      <c r="JV187" s="444" t="s">
        <v>6</v>
      </c>
      <c r="JW187" s="377"/>
      <c r="JX187" s="373"/>
      <c r="JY187" s="444" t="s">
        <v>6</v>
      </c>
      <c r="JZ187" s="377">
        <v>2</v>
      </c>
      <c r="KA187" s="373"/>
      <c r="KB187" s="444">
        <v>100</v>
      </c>
      <c r="KC187" s="377"/>
      <c r="KD187" s="373"/>
      <c r="KE187" s="444"/>
      <c r="KF187" s="377"/>
      <c r="KG187" s="373"/>
      <c r="KH187" s="444" t="s">
        <v>6</v>
      </c>
      <c r="KI187" s="377"/>
      <c r="KJ187" s="373"/>
      <c r="KK187" s="444" t="s">
        <v>6</v>
      </c>
      <c r="KL187" s="377"/>
      <c r="KM187" s="373"/>
      <c r="KN187" s="444" t="s">
        <v>6</v>
      </c>
      <c r="KO187" s="377"/>
      <c r="KP187" s="373"/>
      <c r="KQ187" s="444"/>
      <c r="KR187" s="377">
        <v>37</v>
      </c>
      <c r="KS187" s="373">
        <v>31</v>
      </c>
      <c r="KT187" s="444">
        <v>54.4</v>
      </c>
      <c r="KU187" s="377">
        <v>29</v>
      </c>
      <c r="KV187" s="373">
        <v>22</v>
      </c>
      <c r="KW187" s="444">
        <v>56.9</v>
      </c>
      <c r="KX187" s="377">
        <v>21</v>
      </c>
      <c r="KY187" s="373">
        <v>9</v>
      </c>
      <c r="KZ187" s="444">
        <v>70</v>
      </c>
      <c r="LA187" s="377"/>
      <c r="LB187" s="373"/>
      <c r="LC187" s="444"/>
      <c r="LD187" s="377">
        <v>279</v>
      </c>
      <c r="LE187" s="373">
        <v>286</v>
      </c>
      <c r="LF187" s="444">
        <v>49.4</v>
      </c>
      <c r="LG187" s="377">
        <v>161</v>
      </c>
      <c r="LH187" s="373">
        <v>150</v>
      </c>
      <c r="LI187" s="444">
        <v>51.8</v>
      </c>
      <c r="LJ187" s="377">
        <v>202</v>
      </c>
      <c r="LK187" s="373">
        <v>165</v>
      </c>
      <c r="LL187" s="444">
        <v>55</v>
      </c>
      <c r="LM187" s="377"/>
      <c r="LN187" s="373"/>
      <c r="LO187" s="444"/>
    </row>
    <row r="188" spans="1:327" x14ac:dyDescent="0.2">
      <c r="A188" s="1001"/>
      <c r="B188" s="747" t="s">
        <v>621</v>
      </c>
      <c r="C188" s="151" t="s">
        <v>764</v>
      </c>
      <c r="D188" s="377">
        <v>1</v>
      </c>
      <c r="E188" s="373"/>
      <c r="F188" s="444">
        <v>100</v>
      </c>
      <c r="G188" s="377"/>
      <c r="H188" s="373"/>
      <c r="I188" s="444" t="s">
        <v>6</v>
      </c>
      <c r="J188" s="377"/>
      <c r="K188" s="373"/>
      <c r="L188" s="444" t="s">
        <v>6</v>
      </c>
      <c r="M188" s="377"/>
      <c r="N188" s="373"/>
      <c r="O188" s="444"/>
      <c r="P188" s="377">
        <v>1</v>
      </c>
      <c r="Q188" s="373"/>
      <c r="R188" s="444">
        <v>100</v>
      </c>
      <c r="S188" s="377"/>
      <c r="T188" s="373"/>
      <c r="U188" s="444" t="s">
        <v>6</v>
      </c>
      <c r="V188" s="377"/>
      <c r="W188" s="373"/>
      <c r="X188" s="444" t="s">
        <v>6</v>
      </c>
      <c r="Y188" s="377"/>
      <c r="Z188" s="373"/>
      <c r="AA188" s="444"/>
      <c r="AB188" s="377"/>
      <c r="AC188" s="373"/>
      <c r="AD188" s="444" t="s">
        <v>6</v>
      </c>
      <c r="AE188" s="377"/>
      <c r="AF188" s="373"/>
      <c r="AG188" s="444" t="s">
        <v>6</v>
      </c>
      <c r="AH188" s="377"/>
      <c r="AI188" s="373"/>
      <c r="AJ188" s="444" t="s">
        <v>6</v>
      </c>
      <c r="AK188" s="377"/>
      <c r="AL188" s="373"/>
      <c r="AM188" s="444"/>
      <c r="AN188" s="377">
        <v>26</v>
      </c>
      <c r="AO188" s="373"/>
      <c r="AP188" s="444">
        <v>100</v>
      </c>
      <c r="AQ188" s="377">
        <v>21</v>
      </c>
      <c r="AR188" s="373">
        <v>4</v>
      </c>
      <c r="AS188" s="444">
        <v>84</v>
      </c>
      <c r="AT188" s="377">
        <v>14</v>
      </c>
      <c r="AU188" s="373">
        <v>1</v>
      </c>
      <c r="AV188" s="444">
        <v>93.3</v>
      </c>
      <c r="AW188" s="377"/>
      <c r="AX188" s="373"/>
      <c r="AY188" s="444"/>
      <c r="AZ188" s="377">
        <v>10</v>
      </c>
      <c r="BA188" s="373"/>
      <c r="BB188" s="444">
        <v>100</v>
      </c>
      <c r="BC188" s="377">
        <v>6</v>
      </c>
      <c r="BD188" s="373">
        <v>3</v>
      </c>
      <c r="BE188" s="444">
        <v>66.7</v>
      </c>
      <c r="BF188" s="377">
        <v>5</v>
      </c>
      <c r="BG188" s="373">
        <v>1</v>
      </c>
      <c r="BH188" s="444">
        <v>83.3</v>
      </c>
      <c r="BI188" s="377"/>
      <c r="BJ188" s="373"/>
      <c r="BK188" s="444"/>
      <c r="BL188" s="377"/>
      <c r="BM188" s="373"/>
      <c r="BN188" s="444" t="s">
        <v>6</v>
      </c>
      <c r="BO188" s="377"/>
      <c r="BP188" s="373"/>
      <c r="BQ188" s="444" t="s">
        <v>6</v>
      </c>
      <c r="BR188" s="377"/>
      <c r="BS188" s="373"/>
      <c r="BT188" s="444" t="s">
        <v>6</v>
      </c>
      <c r="BU188" s="377"/>
      <c r="BV188" s="373"/>
      <c r="BW188" s="444"/>
      <c r="BX188" s="377">
        <v>2</v>
      </c>
      <c r="BY188" s="373"/>
      <c r="BZ188" s="444">
        <v>100</v>
      </c>
      <c r="CA188" s="377"/>
      <c r="CB188" s="373"/>
      <c r="CC188" s="444" t="s">
        <v>6</v>
      </c>
      <c r="CD188" s="377"/>
      <c r="CE188" s="373"/>
      <c r="CF188" s="444" t="s">
        <v>6</v>
      </c>
      <c r="CG188" s="377"/>
      <c r="CH188" s="373"/>
      <c r="CI188" s="444"/>
      <c r="CJ188" s="377"/>
      <c r="CK188" s="373"/>
      <c r="CL188" s="444" t="s">
        <v>6</v>
      </c>
      <c r="CM188" s="377"/>
      <c r="CN188" s="373"/>
      <c r="CO188" s="444" t="s">
        <v>6</v>
      </c>
      <c r="CP188" s="377"/>
      <c r="CQ188" s="373"/>
      <c r="CR188" s="444" t="s">
        <v>6</v>
      </c>
      <c r="CS188" s="377"/>
      <c r="CT188" s="373"/>
      <c r="CU188" s="444"/>
      <c r="CV188" s="377">
        <v>34</v>
      </c>
      <c r="CW188" s="373">
        <v>3</v>
      </c>
      <c r="CX188" s="444">
        <v>91.9</v>
      </c>
      <c r="CY188" s="377">
        <v>45</v>
      </c>
      <c r="CZ188" s="373">
        <v>8</v>
      </c>
      <c r="DA188" s="444">
        <v>84.9</v>
      </c>
      <c r="DB188" s="377">
        <v>22</v>
      </c>
      <c r="DC188" s="373">
        <v>7</v>
      </c>
      <c r="DD188" s="444">
        <v>75.900000000000006</v>
      </c>
      <c r="DE188" s="377"/>
      <c r="DF188" s="373"/>
      <c r="DG188" s="444"/>
      <c r="DH188" s="377"/>
      <c r="DI188" s="373"/>
      <c r="DJ188" s="444" t="s">
        <v>6</v>
      </c>
      <c r="DK188" s="377"/>
      <c r="DL188" s="373"/>
      <c r="DM188" s="444" t="s">
        <v>6</v>
      </c>
      <c r="DN188" s="377"/>
      <c r="DO188" s="373"/>
      <c r="DP188" s="444" t="s">
        <v>6</v>
      </c>
      <c r="DQ188" s="377"/>
      <c r="DR188" s="373"/>
      <c r="DS188" s="444"/>
      <c r="DT188" s="377"/>
      <c r="DU188" s="373"/>
      <c r="DV188" s="444" t="s">
        <v>6</v>
      </c>
      <c r="DW188" s="377"/>
      <c r="DX188" s="373"/>
      <c r="DY188" s="444" t="s">
        <v>6</v>
      </c>
      <c r="DZ188" s="377"/>
      <c r="EA188" s="373"/>
      <c r="EB188" s="444" t="s">
        <v>6</v>
      </c>
      <c r="EC188" s="377"/>
      <c r="ED188" s="373"/>
      <c r="EE188" s="444"/>
      <c r="EF188" s="377">
        <v>74</v>
      </c>
      <c r="EG188" s="373">
        <v>165</v>
      </c>
      <c r="EH188" s="444">
        <v>31</v>
      </c>
      <c r="EI188" s="377">
        <v>92</v>
      </c>
      <c r="EJ188" s="373">
        <v>176</v>
      </c>
      <c r="EK188" s="444">
        <v>34.299999999999997</v>
      </c>
      <c r="EL188" s="377">
        <v>77</v>
      </c>
      <c r="EM188" s="373">
        <v>118</v>
      </c>
      <c r="EN188" s="444">
        <v>39.5</v>
      </c>
      <c r="EO188" s="377"/>
      <c r="EP188" s="373"/>
      <c r="EQ188" s="444"/>
      <c r="ER188" s="377"/>
      <c r="ES188" s="373"/>
      <c r="ET188" s="444" t="s">
        <v>6</v>
      </c>
      <c r="EU188" s="377"/>
      <c r="EV188" s="373">
        <v>1</v>
      </c>
      <c r="EW188" s="444">
        <v>0</v>
      </c>
      <c r="EX188" s="377">
        <v>1</v>
      </c>
      <c r="EY188" s="373"/>
      <c r="EZ188" s="444">
        <v>100</v>
      </c>
      <c r="FA188" s="377"/>
      <c r="FB188" s="373"/>
      <c r="FC188" s="444"/>
      <c r="FD188" s="377">
        <v>1</v>
      </c>
      <c r="FE188" s="373">
        <v>2</v>
      </c>
      <c r="FF188" s="444">
        <v>33.299999999999997</v>
      </c>
      <c r="FG188" s="377"/>
      <c r="FH188" s="373">
        <v>1</v>
      </c>
      <c r="FI188" s="444">
        <v>0</v>
      </c>
      <c r="FJ188" s="377"/>
      <c r="FK188" s="373"/>
      <c r="FL188" s="444" t="s">
        <v>6</v>
      </c>
      <c r="FM188" s="377"/>
      <c r="FN188" s="373"/>
      <c r="FO188" s="444"/>
      <c r="FP188" s="377">
        <v>7</v>
      </c>
      <c r="FQ188" s="373">
        <v>10</v>
      </c>
      <c r="FR188" s="444">
        <v>41.2</v>
      </c>
      <c r="FS188" s="377">
        <v>9</v>
      </c>
      <c r="FT188" s="373">
        <v>11</v>
      </c>
      <c r="FU188" s="444">
        <v>45</v>
      </c>
      <c r="FV188" s="377">
        <v>11</v>
      </c>
      <c r="FW188" s="373">
        <v>7</v>
      </c>
      <c r="FX188" s="444">
        <v>61.1</v>
      </c>
      <c r="FY188" s="377"/>
      <c r="FZ188" s="373"/>
      <c r="GA188" s="444"/>
      <c r="GB188" s="377"/>
      <c r="GC188" s="373"/>
      <c r="GD188" s="444" t="s">
        <v>6</v>
      </c>
      <c r="GE188" s="377">
        <v>1</v>
      </c>
      <c r="GF188" s="373"/>
      <c r="GG188" s="444">
        <v>100</v>
      </c>
      <c r="GH188" s="377"/>
      <c r="GI188" s="373"/>
      <c r="GJ188" s="444" t="s">
        <v>6</v>
      </c>
      <c r="GK188" s="377"/>
      <c r="GL188" s="373"/>
      <c r="GM188" s="444"/>
      <c r="GN188" s="377"/>
      <c r="GO188" s="373"/>
      <c r="GP188" s="444" t="s">
        <v>6</v>
      </c>
      <c r="GQ188" s="377">
        <v>1</v>
      </c>
      <c r="GR188" s="373">
        <v>1</v>
      </c>
      <c r="GS188" s="444">
        <v>50</v>
      </c>
      <c r="GT188" s="377">
        <v>1</v>
      </c>
      <c r="GU188" s="373"/>
      <c r="GV188" s="444">
        <v>100</v>
      </c>
      <c r="GW188" s="377"/>
      <c r="GX188" s="373"/>
      <c r="GY188" s="444"/>
      <c r="GZ188" s="377">
        <v>1</v>
      </c>
      <c r="HA188" s="373">
        <v>1</v>
      </c>
      <c r="HB188" s="444">
        <v>50</v>
      </c>
      <c r="HC188" s="377"/>
      <c r="HD188" s="373">
        <v>1</v>
      </c>
      <c r="HE188" s="444">
        <v>0</v>
      </c>
      <c r="HF188" s="377">
        <v>2</v>
      </c>
      <c r="HG188" s="373">
        <v>1</v>
      </c>
      <c r="HH188" s="444">
        <v>66.7</v>
      </c>
      <c r="HI188" s="377"/>
      <c r="HJ188" s="373"/>
      <c r="HK188" s="444"/>
      <c r="HL188" s="377">
        <v>5</v>
      </c>
      <c r="HM188" s="373">
        <v>16</v>
      </c>
      <c r="HN188" s="444">
        <v>23.8</v>
      </c>
      <c r="HO188" s="377">
        <v>4</v>
      </c>
      <c r="HP188" s="373">
        <v>23</v>
      </c>
      <c r="HQ188" s="444">
        <v>14.8</v>
      </c>
      <c r="HR188" s="377">
        <v>4</v>
      </c>
      <c r="HS188" s="373">
        <v>20</v>
      </c>
      <c r="HT188" s="444">
        <v>16.7</v>
      </c>
      <c r="HU188" s="377"/>
      <c r="HV188" s="373"/>
      <c r="HW188" s="444"/>
      <c r="HX188" s="377"/>
      <c r="HY188" s="373"/>
      <c r="HZ188" s="444" t="s">
        <v>6</v>
      </c>
      <c r="IA188" s="377">
        <v>2</v>
      </c>
      <c r="IB188" s="373"/>
      <c r="IC188" s="444">
        <v>100</v>
      </c>
      <c r="ID188" s="377">
        <v>1</v>
      </c>
      <c r="IE188" s="373"/>
      <c r="IF188" s="444">
        <v>100</v>
      </c>
      <c r="IG188" s="377"/>
      <c r="IH188" s="373"/>
      <c r="II188" s="444"/>
      <c r="IJ188" s="377"/>
      <c r="IK188" s="373">
        <v>1</v>
      </c>
      <c r="IL188" s="444">
        <v>0</v>
      </c>
      <c r="IM188" s="377">
        <v>2</v>
      </c>
      <c r="IN188" s="373">
        <v>2</v>
      </c>
      <c r="IO188" s="444">
        <v>50</v>
      </c>
      <c r="IP188" s="377">
        <v>2</v>
      </c>
      <c r="IQ188" s="373">
        <v>1</v>
      </c>
      <c r="IR188" s="444">
        <v>66.7</v>
      </c>
      <c r="IS188" s="377"/>
      <c r="IT188" s="373"/>
      <c r="IU188" s="444"/>
      <c r="IV188" s="377">
        <v>143</v>
      </c>
      <c r="IW188" s="373">
        <v>186</v>
      </c>
      <c r="IX188" s="444">
        <v>43.5</v>
      </c>
      <c r="IY188" s="377">
        <v>168</v>
      </c>
      <c r="IZ188" s="373">
        <v>215</v>
      </c>
      <c r="JA188" s="444">
        <v>43.9</v>
      </c>
      <c r="JB188" s="377">
        <v>123</v>
      </c>
      <c r="JC188" s="373">
        <v>148</v>
      </c>
      <c r="JD188" s="444">
        <v>45.4</v>
      </c>
      <c r="JE188" s="377"/>
      <c r="JF188" s="373"/>
      <c r="JG188" s="444"/>
      <c r="JH188" s="377">
        <v>30</v>
      </c>
      <c r="JI188" s="373">
        <v>28</v>
      </c>
      <c r="JJ188" s="444">
        <v>51.7</v>
      </c>
      <c r="JK188" s="377">
        <v>35</v>
      </c>
      <c r="JL188" s="373">
        <v>37</v>
      </c>
      <c r="JM188" s="444">
        <v>48.6</v>
      </c>
      <c r="JN188" s="377">
        <v>48</v>
      </c>
      <c r="JO188" s="373">
        <v>6</v>
      </c>
      <c r="JP188" s="444">
        <v>88.9</v>
      </c>
      <c r="JQ188" s="377"/>
      <c r="JR188" s="373"/>
      <c r="JS188" s="444"/>
      <c r="JT188" s="377"/>
      <c r="JU188" s="373"/>
      <c r="JV188" s="444" t="s">
        <v>6</v>
      </c>
      <c r="JW188" s="377"/>
      <c r="JX188" s="373">
        <v>2</v>
      </c>
      <c r="JY188" s="444">
        <v>0</v>
      </c>
      <c r="JZ188" s="377">
        <v>1</v>
      </c>
      <c r="KA188" s="373"/>
      <c r="KB188" s="444">
        <v>100</v>
      </c>
      <c r="KC188" s="377"/>
      <c r="KD188" s="373"/>
      <c r="KE188" s="444"/>
      <c r="KF188" s="377"/>
      <c r="KG188" s="373"/>
      <c r="KH188" s="444" t="s">
        <v>6</v>
      </c>
      <c r="KI188" s="377">
        <v>1</v>
      </c>
      <c r="KJ188" s="373"/>
      <c r="KK188" s="444">
        <v>100</v>
      </c>
      <c r="KL188" s="377"/>
      <c r="KM188" s="373"/>
      <c r="KN188" s="444" t="s">
        <v>6</v>
      </c>
      <c r="KO188" s="377"/>
      <c r="KP188" s="373"/>
      <c r="KQ188" s="444"/>
      <c r="KR188" s="377">
        <v>37</v>
      </c>
      <c r="KS188" s="373">
        <v>33</v>
      </c>
      <c r="KT188" s="444">
        <v>52.9</v>
      </c>
      <c r="KU188" s="377">
        <v>40</v>
      </c>
      <c r="KV188" s="373">
        <v>41</v>
      </c>
      <c r="KW188" s="444">
        <v>49.4</v>
      </c>
      <c r="KX188" s="377">
        <v>61</v>
      </c>
      <c r="KY188" s="373">
        <v>7</v>
      </c>
      <c r="KZ188" s="444">
        <v>89.7</v>
      </c>
      <c r="LA188" s="377"/>
      <c r="LB188" s="373"/>
      <c r="LC188" s="444"/>
      <c r="LD188" s="377">
        <v>207</v>
      </c>
      <c r="LE188" s="373">
        <v>227</v>
      </c>
      <c r="LF188" s="444">
        <v>47.7</v>
      </c>
      <c r="LG188" s="377">
        <v>281</v>
      </c>
      <c r="LH188" s="373">
        <v>271</v>
      </c>
      <c r="LI188" s="444">
        <v>50.9</v>
      </c>
      <c r="LJ188" s="377">
        <v>202</v>
      </c>
      <c r="LK188" s="373">
        <v>205</v>
      </c>
      <c r="LL188" s="444">
        <v>49.6</v>
      </c>
      <c r="LM188" s="377"/>
      <c r="LN188" s="373"/>
      <c r="LO188" s="444"/>
    </row>
    <row r="189" spans="1:327" x14ac:dyDescent="0.2">
      <c r="A189" s="1001"/>
      <c r="B189" s="747" t="s">
        <v>621</v>
      </c>
      <c r="C189" s="151" t="s">
        <v>765</v>
      </c>
      <c r="D189" s="377"/>
      <c r="E189" s="373"/>
      <c r="F189" s="444" t="s">
        <v>6</v>
      </c>
      <c r="G189" s="377"/>
      <c r="H189" s="373"/>
      <c r="I189" s="444" t="s">
        <v>6</v>
      </c>
      <c r="J189" s="377"/>
      <c r="K189" s="373"/>
      <c r="L189" s="444" t="s">
        <v>6</v>
      </c>
      <c r="M189" s="377"/>
      <c r="N189" s="373"/>
      <c r="O189" s="444"/>
      <c r="P189" s="377"/>
      <c r="Q189" s="373"/>
      <c r="R189" s="444" t="s">
        <v>6</v>
      </c>
      <c r="S189" s="377"/>
      <c r="T189" s="373"/>
      <c r="U189" s="444" t="s">
        <v>6</v>
      </c>
      <c r="V189" s="377"/>
      <c r="W189" s="373"/>
      <c r="X189" s="444" t="s">
        <v>6</v>
      </c>
      <c r="Y189" s="377"/>
      <c r="Z189" s="373"/>
      <c r="AA189" s="444"/>
      <c r="AB189" s="377"/>
      <c r="AC189" s="373"/>
      <c r="AD189" s="444" t="s">
        <v>6</v>
      </c>
      <c r="AE189" s="377"/>
      <c r="AF189" s="373"/>
      <c r="AG189" s="444" t="s">
        <v>6</v>
      </c>
      <c r="AH189" s="377"/>
      <c r="AI189" s="373"/>
      <c r="AJ189" s="444" t="s">
        <v>6</v>
      </c>
      <c r="AK189" s="377"/>
      <c r="AL189" s="373"/>
      <c r="AM189" s="444"/>
      <c r="AN189" s="377">
        <v>1</v>
      </c>
      <c r="AO189" s="373">
        <v>1</v>
      </c>
      <c r="AP189" s="444">
        <v>50</v>
      </c>
      <c r="AQ189" s="377">
        <v>8</v>
      </c>
      <c r="AR189" s="373">
        <v>1</v>
      </c>
      <c r="AS189" s="444">
        <v>88.9</v>
      </c>
      <c r="AT189" s="377">
        <v>8</v>
      </c>
      <c r="AU189" s="373">
        <v>1</v>
      </c>
      <c r="AV189" s="444">
        <v>88.9</v>
      </c>
      <c r="AW189" s="377"/>
      <c r="AX189" s="373"/>
      <c r="AY189" s="444"/>
      <c r="AZ189" s="377">
        <v>1</v>
      </c>
      <c r="BA189" s="373">
        <v>1</v>
      </c>
      <c r="BB189" s="444">
        <v>50</v>
      </c>
      <c r="BC189" s="377">
        <v>4</v>
      </c>
      <c r="BD189" s="373"/>
      <c r="BE189" s="444">
        <v>100</v>
      </c>
      <c r="BF189" s="377">
        <v>1</v>
      </c>
      <c r="BG189" s="373">
        <v>1</v>
      </c>
      <c r="BH189" s="444">
        <v>50</v>
      </c>
      <c r="BI189" s="377"/>
      <c r="BJ189" s="373"/>
      <c r="BK189" s="444"/>
      <c r="BL189" s="377"/>
      <c r="BM189" s="373"/>
      <c r="BN189" s="444" t="s">
        <v>6</v>
      </c>
      <c r="BO189" s="377"/>
      <c r="BP189" s="373"/>
      <c r="BQ189" s="444" t="s">
        <v>6</v>
      </c>
      <c r="BR189" s="377"/>
      <c r="BS189" s="373"/>
      <c r="BT189" s="444" t="s">
        <v>6</v>
      </c>
      <c r="BU189" s="377"/>
      <c r="BV189" s="373"/>
      <c r="BW189" s="444"/>
      <c r="BX189" s="377"/>
      <c r="BY189" s="373"/>
      <c r="BZ189" s="444" t="s">
        <v>6</v>
      </c>
      <c r="CA189" s="377"/>
      <c r="CB189" s="373"/>
      <c r="CC189" s="444" t="s">
        <v>6</v>
      </c>
      <c r="CD189" s="377"/>
      <c r="CE189" s="373"/>
      <c r="CF189" s="444" t="s">
        <v>6</v>
      </c>
      <c r="CG189" s="377"/>
      <c r="CH189" s="373"/>
      <c r="CI189" s="444"/>
      <c r="CJ189" s="377"/>
      <c r="CK189" s="373"/>
      <c r="CL189" s="444" t="s">
        <v>6</v>
      </c>
      <c r="CM189" s="377"/>
      <c r="CN189" s="373"/>
      <c r="CO189" s="444" t="s">
        <v>6</v>
      </c>
      <c r="CP189" s="377"/>
      <c r="CQ189" s="373"/>
      <c r="CR189" s="444" t="s">
        <v>6</v>
      </c>
      <c r="CS189" s="377"/>
      <c r="CT189" s="373"/>
      <c r="CU189" s="444"/>
      <c r="CV189" s="377">
        <v>2</v>
      </c>
      <c r="CW189" s="373">
        <v>2</v>
      </c>
      <c r="CX189" s="444">
        <v>50</v>
      </c>
      <c r="CY189" s="377">
        <v>7</v>
      </c>
      <c r="CZ189" s="373">
        <v>3</v>
      </c>
      <c r="DA189" s="444">
        <v>70</v>
      </c>
      <c r="DB189" s="377">
        <v>3</v>
      </c>
      <c r="DC189" s="373"/>
      <c r="DD189" s="444">
        <v>100</v>
      </c>
      <c r="DE189" s="377"/>
      <c r="DF189" s="373"/>
      <c r="DG189" s="444"/>
      <c r="DH189" s="377">
        <v>2</v>
      </c>
      <c r="DI189" s="373"/>
      <c r="DJ189" s="444">
        <v>100</v>
      </c>
      <c r="DK189" s="377"/>
      <c r="DL189" s="373"/>
      <c r="DM189" s="444" t="s">
        <v>6</v>
      </c>
      <c r="DN189" s="377"/>
      <c r="DO189" s="373"/>
      <c r="DP189" s="444" t="s">
        <v>6</v>
      </c>
      <c r="DQ189" s="377"/>
      <c r="DR189" s="373"/>
      <c r="DS189" s="444"/>
      <c r="DT189" s="377">
        <v>3</v>
      </c>
      <c r="DU189" s="373"/>
      <c r="DV189" s="444">
        <v>100</v>
      </c>
      <c r="DW189" s="377"/>
      <c r="DX189" s="373"/>
      <c r="DY189" s="444" t="s">
        <v>6</v>
      </c>
      <c r="DZ189" s="377">
        <v>5</v>
      </c>
      <c r="EA189" s="373"/>
      <c r="EB189" s="444">
        <v>100</v>
      </c>
      <c r="EC189" s="377"/>
      <c r="ED189" s="373"/>
      <c r="EE189" s="444"/>
      <c r="EF189" s="377">
        <v>54</v>
      </c>
      <c r="EG189" s="373">
        <v>134</v>
      </c>
      <c r="EH189" s="444">
        <v>28.7</v>
      </c>
      <c r="EI189" s="377">
        <v>53</v>
      </c>
      <c r="EJ189" s="373">
        <v>107</v>
      </c>
      <c r="EK189" s="444">
        <v>33.1</v>
      </c>
      <c r="EL189" s="377">
        <v>48</v>
      </c>
      <c r="EM189" s="373">
        <v>75</v>
      </c>
      <c r="EN189" s="444">
        <v>39</v>
      </c>
      <c r="EO189" s="377"/>
      <c r="EP189" s="373"/>
      <c r="EQ189" s="444"/>
      <c r="ER189" s="377"/>
      <c r="ES189" s="373">
        <v>1</v>
      </c>
      <c r="ET189" s="444">
        <v>0</v>
      </c>
      <c r="EU189" s="377"/>
      <c r="EV189" s="373"/>
      <c r="EW189" s="444" t="s">
        <v>6</v>
      </c>
      <c r="EX189" s="377"/>
      <c r="EY189" s="373"/>
      <c r="EZ189" s="444" t="s">
        <v>6</v>
      </c>
      <c r="FA189" s="377"/>
      <c r="FB189" s="373"/>
      <c r="FC189" s="444"/>
      <c r="FD189" s="377"/>
      <c r="FE189" s="373">
        <v>10</v>
      </c>
      <c r="FF189" s="444">
        <v>0</v>
      </c>
      <c r="FG189" s="377"/>
      <c r="FH189" s="373">
        <v>4</v>
      </c>
      <c r="FI189" s="444">
        <v>0</v>
      </c>
      <c r="FJ189" s="377">
        <v>1</v>
      </c>
      <c r="FK189" s="373"/>
      <c r="FL189" s="444">
        <v>100</v>
      </c>
      <c r="FM189" s="377"/>
      <c r="FN189" s="373"/>
      <c r="FO189" s="444"/>
      <c r="FP189" s="377">
        <v>4</v>
      </c>
      <c r="FQ189" s="373">
        <v>4</v>
      </c>
      <c r="FR189" s="444">
        <v>50</v>
      </c>
      <c r="FS189" s="377">
        <v>18</v>
      </c>
      <c r="FT189" s="373">
        <v>5</v>
      </c>
      <c r="FU189" s="444">
        <v>78.3</v>
      </c>
      <c r="FV189" s="377">
        <v>7</v>
      </c>
      <c r="FW189" s="373">
        <v>4</v>
      </c>
      <c r="FX189" s="444">
        <v>63.6</v>
      </c>
      <c r="FY189" s="377"/>
      <c r="FZ189" s="373"/>
      <c r="GA189" s="444"/>
      <c r="GB189" s="377"/>
      <c r="GC189" s="373"/>
      <c r="GD189" s="444" t="s">
        <v>6</v>
      </c>
      <c r="GE189" s="377"/>
      <c r="GF189" s="373"/>
      <c r="GG189" s="444" t="s">
        <v>6</v>
      </c>
      <c r="GH189" s="377">
        <v>1</v>
      </c>
      <c r="GI189" s="373"/>
      <c r="GJ189" s="444">
        <v>100</v>
      </c>
      <c r="GK189" s="377"/>
      <c r="GL189" s="373"/>
      <c r="GM189" s="444"/>
      <c r="GN189" s="377">
        <v>2</v>
      </c>
      <c r="GO189" s="373"/>
      <c r="GP189" s="444">
        <v>100</v>
      </c>
      <c r="GQ189" s="377">
        <v>1</v>
      </c>
      <c r="GR189" s="373">
        <v>1</v>
      </c>
      <c r="GS189" s="444">
        <v>50</v>
      </c>
      <c r="GT189" s="377">
        <v>3</v>
      </c>
      <c r="GU189" s="373">
        <v>4</v>
      </c>
      <c r="GV189" s="444">
        <v>42.9</v>
      </c>
      <c r="GW189" s="377"/>
      <c r="GX189" s="373"/>
      <c r="GY189" s="444"/>
      <c r="GZ189" s="377"/>
      <c r="HA189" s="373"/>
      <c r="HB189" s="444" t="s">
        <v>6</v>
      </c>
      <c r="HC189" s="377"/>
      <c r="HD189" s="373">
        <v>1</v>
      </c>
      <c r="HE189" s="444">
        <v>0</v>
      </c>
      <c r="HF189" s="377"/>
      <c r="HG189" s="373"/>
      <c r="HH189" s="444" t="s">
        <v>6</v>
      </c>
      <c r="HI189" s="377"/>
      <c r="HJ189" s="373"/>
      <c r="HK189" s="444"/>
      <c r="HL189" s="377">
        <v>3</v>
      </c>
      <c r="HM189" s="373">
        <v>12</v>
      </c>
      <c r="HN189" s="444">
        <v>20</v>
      </c>
      <c r="HO189" s="377">
        <v>7</v>
      </c>
      <c r="HP189" s="373">
        <v>11</v>
      </c>
      <c r="HQ189" s="444">
        <v>38.9</v>
      </c>
      <c r="HR189" s="377">
        <v>4</v>
      </c>
      <c r="HS189" s="373">
        <v>11</v>
      </c>
      <c r="HT189" s="444">
        <v>26.7</v>
      </c>
      <c r="HU189" s="377"/>
      <c r="HV189" s="373"/>
      <c r="HW189" s="444"/>
      <c r="HX189" s="377">
        <v>3</v>
      </c>
      <c r="HY189" s="373"/>
      <c r="HZ189" s="444">
        <v>100</v>
      </c>
      <c r="IA189" s="377">
        <v>1</v>
      </c>
      <c r="IB189" s="373"/>
      <c r="IC189" s="444">
        <v>100</v>
      </c>
      <c r="ID189" s="377">
        <v>3</v>
      </c>
      <c r="IE189" s="373"/>
      <c r="IF189" s="444">
        <v>100</v>
      </c>
      <c r="IG189" s="377"/>
      <c r="IH189" s="373"/>
      <c r="II189" s="444"/>
      <c r="IJ189" s="377">
        <v>2</v>
      </c>
      <c r="IK189" s="373"/>
      <c r="IL189" s="444">
        <v>100</v>
      </c>
      <c r="IM189" s="377">
        <v>1</v>
      </c>
      <c r="IN189" s="373"/>
      <c r="IO189" s="444">
        <v>100</v>
      </c>
      <c r="IP189" s="377">
        <v>1</v>
      </c>
      <c r="IQ189" s="373"/>
      <c r="IR189" s="444">
        <v>100</v>
      </c>
      <c r="IS189" s="377"/>
      <c r="IT189" s="373"/>
      <c r="IU189" s="444"/>
      <c r="IV189" s="377">
        <v>72</v>
      </c>
      <c r="IW189" s="373">
        <v>149</v>
      </c>
      <c r="IX189" s="444">
        <v>32.6</v>
      </c>
      <c r="IY189" s="377">
        <v>78</v>
      </c>
      <c r="IZ189" s="373">
        <v>124</v>
      </c>
      <c r="JA189" s="444">
        <v>38.6</v>
      </c>
      <c r="JB189" s="377">
        <v>76</v>
      </c>
      <c r="JC189" s="373">
        <v>91</v>
      </c>
      <c r="JD189" s="444">
        <v>45.5</v>
      </c>
      <c r="JE189" s="377"/>
      <c r="JF189" s="373"/>
      <c r="JG189" s="444"/>
      <c r="JH189" s="377">
        <v>18</v>
      </c>
      <c r="JI189" s="373">
        <v>8</v>
      </c>
      <c r="JJ189" s="444">
        <v>69.2</v>
      </c>
      <c r="JK189" s="377">
        <v>18</v>
      </c>
      <c r="JL189" s="373">
        <v>4</v>
      </c>
      <c r="JM189" s="444">
        <v>81.8</v>
      </c>
      <c r="JN189" s="377">
        <v>15</v>
      </c>
      <c r="JO189" s="373">
        <v>1</v>
      </c>
      <c r="JP189" s="444">
        <v>93.8</v>
      </c>
      <c r="JQ189" s="377"/>
      <c r="JR189" s="373"/>
      <c r="JS189" s="444"/>
      <c r="JT189" s="377">
        <v>1</v>
      </c>
      <c r="JU189" s="373"/>
      <c r="JV189" s="444">
        <v>100</v>
      </c>
      <c r="JW189" s="377"/>
      <c r="JX189" s="373"/>
      <c r="JY189" s="444" t="s">
        <v>6</v>
      </c>
      <c r="JZ189" s="377">
        <v>1</v>
      </c>
      <c r="KA189" s="373"/>
      <c r="KB189" s="444">
        <v>100</v>
      </c>
      <c r="KC189" s="377"/>
      <c r="KD189" s="373"/>
      <c r="KE189" s="444"/>
      <c r="KF189" s="377"/>
      <c r="KG189" s="373"/>
      <c r="KH189" s="444" t="s">
        <v>6</v>
      </c>
      <c r="KI189" s="377"/>
      <c r="KJ189" s="373"/>
      <c r="KK189" s="444" t="s">
        <v>6</v>
      </c>
      <c r="KL189" s="377"/>
      <c r="KM189" s="373"/>
      <c r="KN189" s="444" t="s">
        <v>6</v>
      </c>
      <c r="KO189" s="377"/>
      <c r="KP189" s="373"/>
      <c r="KQ189" s="444"/>
      <c r="KR189" s="377">
        <v>22</v>
      </c>
      <c r="KS189" s="373">
        <v>12</v>
      </c>
      <c r="KT189" s="444">
        <v>64.7</v>
      </c>
      <c r="KU189" s="377">
        <v>24</v>
      </c>
      <c r="KV189" s="373">
        <v>4</v>
      </c>
      <c r="KW189" s="444">
        <v>85.7</v>
      </c>
      <c r="KX189" s="377">
        <v>22</v>
      </c>
      <c r="KY189" s="373">
        <v>4</v>
      </c>
      <c r="KZ189" s="444">
        <v>84.6</v>
      </c>
      <c r="LA189" s="377"/>
      <c r="LB189" s="373"/>
      <c r="LC189" s="444"/>
      <c r="LD189" s="377">
        <v>128</v>
      </c>
      <c r="LE189" s="373">
        <v>184</v>
      </c>
      <c r="LF189" s="444">
        <v>41</v>
      </c>
      <c r="LG189" s="377">
        <v>139</v>
      </c>
      <c r="LH189" s="373">
        <v>176</v>
      </c>
      <c r="LI189" s="444">
        <v>44.1</v>
      </c>
      <c r="LJ189" s="377">
        <v>143</v>
      </c>
      <c r="LK189" s="373">
        <v>155</v>
      </c>
      <c r="LL189" s="444">
        <v>48</v>
      </c>
      <c r="LM189" s="377"/>
      <c r="LN189" s="373"/>
      <c r="LO189" s="444"/>
    </row>
    <row r="190" spans="1:327" ht="13.5" thickBot="1" x14ac:dyDescent="0.25">
      <c r="A190" s="1001"/>
      <c r="B190" s="748" t="s">
        <v>621</v>
      </c>
      <c r="C190" s="156" t="s">
        <v>627</v>
      </c>
      <c r="D190" s="377"/>
      <c r="E190" s="373"/>
      <c r="F190" s="444" t="s">
        <v>6</v>
      </c>
      <c r="G190" s="377"/>
      <c r="H190" s="373"/>
      <c r="I190" s="444" t="s">
        <v>6</v>
      </c>
      <c r="J190" s="377"/>
      <c r="K190" s="373"/>
      <c r="L190" s="444" t="s">
        <v>6</v>
      </c>
      <c r="M190" s="377"/>
      <c r="N190" s="373"/>
      <c r="O190" s="444"/>
      <c r="P190" s="377"/>
      <c r="Q190" s="373"/>
      <c r="R190" s="444" t="s">
        <v>6</v>
      </c>
      <c r="S190" s="377"/>
      <c r="T190" s="373"/>
      <c r="U190" s="444" t="s">
        <v>6</v>
      </c>
      <c r="V190" s="377"/>
      <c r="W190" s="373"/>
      <c r="X190" s="444" t="s">
        <v>6</v>
      </c>
      <c r="Y190" s="377"/>
      <c r="Z190" s="373"/>
      <c r="AA190" s="444"/>
      <c r="AB190" s="377"/>
      <c r="AC190" s="373"/>
      <c r="AD190" s="444" t="s">
        <v>6</v>
      </c>
      <c r="AE190" s="377"/>
      <c r="AF190" s="373"/>
      <c r="AG190" s="444" t="s">
        <v>6</v>
      </c>
      <c r="AH190" s="377"/>
      <c r="AI190" s="373"/>
      <c r="AJ190" s="444" t="s">
        <v>6</v>
      </c>
      <c r="AK190" s="377"/>
      <c r="AL190" s="373"/>
      <c r="AM190" s="444"/>
      <c r="AN190" s="377">
        <v>8</v>
      </c>
      <c r="AO190" s="373">
        <v>2</v>
      </c>
      <c r="AP190" s="444">
        <v>80</v>
      </c>
      <c r="AQ190" s="377">
        <v>11</v>
      </c>
      <c r="AR190" s="373">
        <v>1</v>
      </c>
      <c r="AS190" s="444">
        <v>91.7</v>
      </c>
      <c r="AT190" s="377">
        <v>16</v>
      </c>
      <c r="AU190" s="373">
        <v>1</v>
      </c>
      <c r="AV190" s="444">
        <v>94.1</v>
      </c>
      <c r="AW190" s="377"/>
      <c r="AX190" s="373"/>
      <c r="AY190" s="444"/>
      <c r="AZ190" s="377">
        <v>3</v>
      </c>
      <c r="BA190" s="373">
        <v>2</v>
      </c>
      <c r="BB190" s="444">
        <v>60</v>
      </c>
      <c r="BC190" s="377">
        <v>4</v>
      </c>
      <c r="BD190" s="373">
        <v>1</v>
      </c>
      <c r="BE190" s="444">
        <v>80</v>
      </c>
      <c r="BF190" s="377">
        <v>4</v>
      </c>
      <c r="BG190" s="373">
        <v>1</v>
      </c>
      <c r="BH190" s="444">
        <v>80</v>
      </c>
      <c r="BI190" s="377"/>
      <c r="BJ190" s="373"/>
      <c r="BK190" s="444"/>
      <c r="BL190" s="377"/>
      <c r="BM190" s="373"/>
      <c r="BN190" s="444" t="s">
        <v>6</v>
      </c>
      <c r="BO190" s="377"/>
      <c r="BP190" s="373"/>
      <c r="BQ190" s="444" t="s">
        <v>6</v>
      </c>
      <c r="BR190" s="377"/>
      <c r="BS190" s="373"/>
      <c r="BT190" s="444" t="s">
        <v>6</v>
      </c>
      <c r="BU190" s="377"/>
      <c r="BV190" s="373"/>
      <c r="BW190" s="444"/>
      <c r="BX190" s="377"/>
      <c r="BY190" s="373"/>
      <c r="BZ190" s="444" t="s">
        <v>6</v>
      </c>
      <c r="CA190" s="377"/>
      <c r="CB190" s="373"/>
      <c r="CC190" s="444" t="s">
        <v>6</v>
      </c>
      <c r="CD190" s="377"/>
      <c r="CE190" s="373"/>
      <c r="CF190" s="444" t="s">
        <v>6</v>
      </c>
      <c r="CG190" s="377"/>
      <c r="CH190" s="373"/>
      <c r="CI190" s="444"/>
      <c r="CJ190" s="377"/>
      <c r="CK190" s="373"/>
      <c r="CL190" s="444" t="s">
        <v>6</v>
      </c>
      <c r="CM190" s="377"/>
      <c r="CN190" s="373"/>
      <c r="CO190" s="444" t="s">
        <v>6</v>
      </c>
      <c r="CP190" s="377"/>
      <c r="CQ190" s="373"/>
      <c r="CR190" s="444" t="s">
        <v>6</v>
      </c>
      <c r="CS190" s="377"/>
      <c r="CT190" s="373"/>
      <c r="CU190" s="444"/>
      <c r="CV190" s="377">
        <v>8</v>
      </c>
      <c r="CW190" s="373">
        <v>5</v>
      </c>
      <c r="CX190" s="444">
        <v>61.5</v>
      </c>
      <c r="CY190" s="377">
        <v>12</v>
      </c>
      <c r="CZ190" s="373">
        <v>2</v>
      </c>
      <c r="DA190" s="444">
        <v>85.7</v>
      </c>
      <c r="DB190" s="377">
        <v>14</v>
      </c>
      <c r="DC190" s="373">
        <v>1</v>
      </c>
      <c r="DD190" s="444">
        <v>93.3</v>
      </c>
      <c r="DE190" s="377"/>
      <c r="DF190" s="373"/>
      <c r="DG190" s="444"/>
      <c r="DH190" s="377">
        <v>2</v>
      </c>
      <c r="DI190" s="373"/>
      <c r="DJ190" s="444">
        <v>100</v>
      </c>
      <c r="DK190" s="377">
        <v>1</v>
      </c>
      <c r="DL190" s="373"/>
      <c r="DM190" s="444">
        <v>100</v>
      </c>
      <c r="DN190" s="377"/>
      <c r="DO190" s="373"/>
      <c r="DP190" s="444" t="s">
        <v>6</v>
      </c>
      <c r="DQ190" s="377"/>
      <c r="DR190" s="373"/>
      <c r="DS190" s="444"/>
      <c r="DT190" s="377"/>
      <c r="DU190" s="373"/>
      <c r="DV190" s="444" t="s">
        <v>6</v>
      </c>
      <c r="DW190" s="377">
        <v>1</v>
      </c>
      <c r="DX190" s="373"/>
      <c r="DY190" s="444">
        <v>100</v>
      </c>
      <c r="DZ190" s="377"/>
      <c r="EA190" s="373"/>
      <c r="EB190" s="444" t="s">
        <v>6</v>
      </c>
      <c r="EC190" s="377"/>
      <c r="ED190" s="373"/>
      <c r="EE190" s="444"/>
      <c r="EF190" s="377">
        <v>33</v>
      </c>
      <c r="EG190" s="373">
        <v>148</v>
      </c>
      <c r="EH190" s="444">
        <v>18.2</v>
      </c>
      <c r="EI190" s="377">
        <v>46</v>
      </c>
      <c r="EJ190" s="373">
        <v>103</v>
      </c>
      <c r="EK190" s="444">
        <v>30.9</v>
      </c>
      <c r="EL190" s="377">
        <v>75</v>
      </c>
      <c r="EM190" s="373">
        <v>87</v>
      </c>
      <c r="EN190" s="444">
        <v>46.3</v>
      </c>
      <c r="EO190" s="377"/>
      <c r="EP190" s="373"/>
      <c r="EQ190" s="444"/>
      <c r="ER190" s="377"/>
      <c r="ES190" s="373">
        <v>1</v>
      </c>
      <c r="ET190" s="444">
        <v>0</v>
      </c>
      <c r="EU190" s="377"/>
      <c r="EV190" s="373"/>
      <c r="EW190" s="444" t="s">
        <v>6</v>
      </c>
      <c r="EX190" s="377">
        <v>2</v>
      </c>
      <c r="EY190" s="373"/>
      <c r="EZ190" s="444">
        <v>100</v>
      </c>
      <c r="FA190" s="377"/>
      <c r="FB190" s="373"/>
      <c r="FC190" s="444"/>
      <c r="FD190" s="377">
        <v>1</v>
      </c>
      <c r="FE190" s="373">
        <v>8</v>
      </c>
      <c r="FF190" s="444">
        <v>11.1</v>
      </c>
      <c r="FG190" s="377"/>
      <c r="FH190" s="373">
        <v>3</v>
      </c>
      <c r="FI190" s="444">
        <v>0</v>
      </c>
      <c r="FJ190" s="377"/>
      <c r="FK190" s="373">
        <v>4</v>
      </c>
      <c r="FL190" s="444">
        <v>0</v>
      </c>
      <c r="FM190" s="377"/>
      <c r="FN190" s="373"/>
      <c r="FO190" s="444"/>
      <c r="FP190" s="377">
        <v>7</v>
      </c>
      <c r="FQ190" s="373">
        <v>13</v>
      </c>
      <c r="FR190" s="444">
        <v>35</v>
      </c>
      <c r="FS190" s="377">
        <v>10</v>
      </c>
      <c r="FT190" s="373">
        <v>8</v>
      </c>
      <c r="FU190" s="444">
        <v>55.6</v>
      </c>
      <c r="FV190" s="377">
        <v>15</v>
      </c>
      <c r="FW190" s="373">
        <v>12</v>
      </c>
      <c r="FX190" s="444">
        <v>55.6</v>
      </c>
      <c r="FY190" s="377"/>
      <c r="FZ190" s="373"/>
      <c r="GA190" s="444"/>
      <c r="GB190" s="377">
        <v>3</v>
      </c>
      <c r="GC190" s="373"/>
      <c r="GD190" s="444">
        <v>100</v>
      </c>
      <c r="GE190" s="377">
        <v>1</v>
      </c>
      <c r="GF190" s="373"/>
      <c r="GG190" s="444">
        <v>100</v>
      </c>
      <c r="GH190" s="377">
        <v>2</v>
      </c>
      <c r="GI190" s="373"/>
      <c r="GJ190" s="444">
        <v>100</v>
      </c>
      <c r="GK190" s="377"/>
      <c r="GL190" s="373"/>
      <c r="GM190" s="444"/>
      <c r="GN190" s="377"/>
      <c r="GO190" s="373"/>
      <c r="GP190" s="444" t="s">
        <v>6</v>
      </c>
      <c r="GQ190" s="377">
        <v>1</v>
      </c>
      <c r="GR190" s="373">
        <v>2</v>
      </c>
      <c r="GS190" s="444">
        <v>33.299999999999997</v>
      </c>
      <c r="GT190" s="377"/>
      <c r="GU190" s="373">
        <v>2</v>
      </c>
      <c r="GV190" s="444">
        <v>0</v>
      </c>
      <c r="GW190" s="377"/>
      <c r="GX190" s="373"/>
      <c r="GY190" s="444"/>
      <c r="GZ190" s="377">
        <v>1</v>
      </c>
      <c r="HA190" s="373"/>
      <c r="HB190" s="444">
        <v>100</v>
      </c>
      <c r="HC190" s="377"/>
      <c r="HD190" s="373"/>
      <c r="HE190" s="444" t="s">
        <v>6</v>
      </c>
      <c r="HF190" s="377"/>
      <c r="HG190" s="373"/>
      <c r="HH190" s="444" t="s">
        <v>6</v>
      </c>
      <c r="HI190" s="377"/>
      <c r="HJ190" s="373"/>
      <c r="HK190" s="444"/>
      <c r="HL190" s="377">
        <v>2</v>
      </c>
      <c r="HM190" s="373">
        <v>7</v>
      </c>
      <c r="HN190" s="444">
        <v>22.2</v>
      </c>
      <c r="HO190" s="377">
        <v>2</v>
      </c>
      <c r="HP190" s="373">
        <v>6</v>
      </c>
      <c r="HQ190" s="444">
        <v>25</v>
      </c>
      <c r="HR190" s="377">
        <v>2</v>
      </c>
      <c r="HS190" s="373">
        <v>12</v>
      </c>
      <c r="HT190" s="444">
        <v>14.3</v>
      </c>
      <c r="HU190" s="377"/>
      <c r="HV190" s="373"/>
      <c r="HW190" s="444"/>
      <c r="HX190" s="377"/>
      <c r="HY190" s="373"/>
      <c r="HZ190" s="444" t="s">
        <v>6</v>
      </c>
      <c r="IA190" s="377">
        <v>2</v>
      </c>
      <c r="IB190" s="373">
        <v>2</v>
      </c>
      <c r="IC190" s="444">
        <v>50</v>
      </c>
      <c r="ID190" s="377"/>
      <c r="IE190" s="373"/>
      <c r="IF190" s="444" t="s">
        <v>6</v>
      </c>
      <c r="IG190" s="377"/>
      <c r="IH190" s="373"/>
      <c r="II190" s="444"/>
      <c r="IJ190" s="377"/>
      <c r="IK190" s="373"/>
      <c r="IL190" s="444" t="s">
        <v>6</v>
      </c>
      <c r="IM190" s="377"/>
      <c r="IN190" s="373"/>
      <c r="IO190" s="444" t="s">
        <v>6</v>
      </c>
      <c r="IP190" s="377"/>
      <c r="IQ190" s="373"/>
      <c r="IR190" s="444" t="s">
        <v>6</v>
      </c>
      <c r="IS190" s="377"/>
      <c r="IT190" s="373"/>
      <c r="IU190" s="444"/>
      <c r="IV190" s="377">
        <v>57</v>
      </c>
      <c r="IW190" s="373">
        <v>162</v>
      </c>
      <c r="IX190" s="444">
        <v>26</v>
      </c>
      <c r="IY190" s="377">
        <v>77</v>
      </c>
      <c r="IZ190" s="373">
        <v>116</v>
      </c>
      <c r="JA190" s="444">
        <v>39.9</v>
      </c>
      <c r="JB190" s="377">
        <v>109</v>
      </c>
      <c r="JC190" s="373">
        <v>103</v>
      </c>
      <c r="JD190" s="444">
        <v>51.4</v>
      </c>
      <c r="JE190" s="377"/>
      <c r="JF190" s="373"/>
      <c r="JG190" s="444"/>
      <c r="JH190" s="377">
        <v>14</v>
      </c>
      <c r="JI190" s="373">
        <v>10</v>
      </c>
      <c r="JJ190" s="444">
        <v>58.3</v>
      </c>
      <c r="JK190" s="377">
        <v>28</v>
      </c>
      <c r="JL190" s="373">
        <v>15</v>
      </c>
      <c r="JM190" s="444">
        <v>65.099999999999994</v>
      </c>
      <c r="JN190" s="377">
        <v>41</v>
      </c>
      <c r="JO190" s="373">
        <v>11</v>
      </c>
      <c r="JP190" s="444">
        <v>78.8</v>
      </c>
      <c r="JQ190" s="377"/>
      <c r="JR190" s="373"/>
      <c r="JS190" s="444"/>
      <c r="JT190" s="377">
        <v>3</v>
      </c>
      <c r="JU190" s="373">
        <v>2</v>
      </c>
      <c r="JV190" s="444">
        <v>60</v>
      </c>
      <c r="JW190" s="377"/>
      <c r="JX190" s="373"/>
      <c r="JY190" s="444" t="s">
        <v>6</v>
      </c>
      <c r="JZ190" s="377">
        <v>1</v>
      </c>
      <c r="KA190" s="373"/>
      <c r="KB190" s="444">
        <v>100</v>
      </c>
      <c r="KC190" s="377"/>
      <c r="KD190" s="373"/>
      <c r="KE190" s="444"/>
      <c r="KF190" s="377"/>
      <c r="KG190" s="373"/>
      <c r="KH190" s="444" t="s">
        <v>6</v>
      </c>
      <c r="KI190" s="377"/>
      <c r="KJ190" s="373">
        <v>1</v>
      </c>
      <c r="KK190" s="444">
        <v>0</v>
      </c>
      <c r="KL190" s="377"/>
      <c r="KM190" s="373"/>
      <c r="KN190" s="444" t="s">
        <v>6</v>
      </c>
      <c r="KO190" s="377"/>
      <c r="KP190" s="373"/>
      <c r="KQ190" s="444"/>
      <c r="KR190" s="377">
        <v>24</v>
      </c>
      <c r="KS190" s="373">
        <v>15</v>
      </c>
      <c r="KT190" s="444">
        <v>61.5</v>
      </c>
      <c r="KU190" s="377">
        <v>35</v>
      </c>
      <c r="KV190" s="373">
        <v>20</v>
      </c>
      <c r="KW190" s="444">
        <v>63.6</v>
      </c>
      <c r="KX190" s="377">
        <v>50</v>
      </c>
      <c r="KY190" s="373">
        <v>16</v>
      </c>
      <c r="KZ190" s="444">
        <v>75.8</v>
      </c>
      <c r="LA190" s="377"/>
      <c r="LB190" s="373"/>
      <c r="LC190" s="444"/>
      <c r="LD190" s="377">
        <v>146</v>
      </c>
      <c r="LE190" s="373">
        <v>194</v>
      </c>
      <c r="LF190" s="444">
        <v>42.9</v>
      </c>
      <c r="LG190" s="377">
        <v>227</v>
      </c>
      <c r="LH190" s="373">
        <v>155</v>
      </c>
      <c r="LI190" s="444">
        <v>59.4</v>
      </c>
      <c r="LJ190" s="377">
        <v>237</v>
      </c>
      <c r="LK190" s="373">
        <v>139</v>
      </c>
      <c r="LL190" s="444">
        <v>63</v>
      </c>
      <c r="LM190" s="377"/>
      <c r="LN190" s="373"/>
      <c r="LO190" s="444"/>
    </row>
    <row r="191" spans="1:327" s="259" customFormat="1" ht="13.5" thickBot="1" x14ac:dyDescent="0.25">
      <c r="A191" s="1002"/>
      <c r="B191" s="751"/>
      <c r="C191" s="189" t="s">
        <v>794</v>
      </c>
      <c r="D191" s="384">
        <v>3</v>
      </c>
      <c r="E191" s="385"/>
      <c r="F191" s="451">
        <v>100</v>
      </c>
      <c r="G191" s="384">
        <v>3</v>
      </c>
      <c r="H191" s="385"/>
      <c r="I191" s="451">
        <v>100</v>
      </c>
      <c r="J191" s="384">
        <v>2</v>
      </c>
      <c r="K191" s="385"/>
      <c r="L191" s="451">
        <v>100</v>
      </c>
      <c r="M191" s="384"/>
      <c r="N191" s="385"/>
      <c r="O191" s="451"/>
      <c r="P191" s="384">
        <v>3</v>
      </c>
      <c r="Q191" s="385"/>
      <c r="R191" s="451">
        <v>100</v>
      </c>
      <c r="S191" s="384">
        <v>1</v>
      </c>
      <c r="T191" s="385"/>
      <c r="U191" s="451">
        <v>100</v>
      </c>
      <c r="V191" s="384">
        <v>2</v>
      </c>
      <c r="W191" s="385"/>
      <c r="X191" s="451">
        <v>100</v>
      </c>
      <c r="Y191" s="384"/>
      <c r="Z191" s="385"/>
      <c r="AA191" s="451"/>
      <c r="AB191" s="384"/>
      <c r="AC191" s="385"/>
      <c r="AD191" s="451" t="s">
        <v>6</v>
      </c>
      <c r="AE191" s="384">
        <v>2</v>
      </c>
      <c r="AF191" s="385"/>
      <c r="AG191" s="451">
        <v>100</v>
      </c>
      <c r="AH191" s="384"/>
      <c r="AI191" s="385"/>
      <c r="AJ191" s="451" t="s">
        <v>6</v>
      </c>
      <c r="AK191" s="384"/>
      <c r="AL191" s="385"/>
      <c r="AM191" s="451"/>
      <c r="AN191" s="384">
        <v>72</v>
      </c>
      <c r="AO191" s="385">
        <v>16</v>
      </c>
      <c r="AP191" s="451">
        <v>81.8</v>
      </c>
      <c r="AQ191" s="384">
        <v>84</v>
      </c>
      <c r="AR191" s="385">
        <v>21</v>
      </c>
      <c r="AS191" s="451">
        <v>80</v>
      </c>
      <c r="AT191" s="384">
        <v>100</v>
      </c>
      <c r="AU191" s="385">
        <v>13</v>
      </c>
      <c r="AV191" s="451">
        <v>88.5</v>
      </c>
      <c r="AW191" s="384"/>
      <c r="AX191" s="385"/>
      <c r="AY191" s="451"/>
      <c r="AZ191" s="384">
        <v>32</v>
      </c>
      <c r="BA191" s="385">
        <v>13</v>
      </c>
      <c r="BB191" s="451">
        <v>71.099999999999994</v>
      </c>
      <c r="BC191" s="384">
        <v>41</v>
      </c>
      <c r="BD191" s="385">
        <v>19</v>
      </c>
      <c r="BE191" s="451">
        <v>68.3</v>
      </c>
      <c r="BF191" s="384">
        <v>40</v>
      </c>
      <c r="BG191" s="385">
        <v>12</v>
      </c>
      <c r="BH191" s="451">
        <v>76.900000000000006</v>
      </c>
      <c r="BI191" s="384"/>
      <c r="BJ191" s="385"/>
      <c r="BK191" s="451"/>
      <c r="BL191" s="384"/>
      <c r="BM191" s="385"/>
      <c r="BN191" s="451" t="s">
        <v>6</v>
      </c>
      <c r="BO191" s="384">
        <v>2</v>
      </c>
      <c r="BP191" s="385"/>
      <c r="BQ191" s="451">
        <v>100</v>
      </c>
      <c r="BR191" s="384"/>
      <c r="BS191" s="385"/>
      <c r="BT191" s="451" t="s">
        <v>6</v>
      </c>
      <c r="BU191" s="384"/>
      <c r="BV191" s="385"/>
      <c r="BW191" s="451"/>
      <c r="BX191" s="384">
        <v>2</v>
      </c>
      <c r="BY191" s="385"/>
      <c r="BZ191" s="451">
        <v>100</v>
      </c>
      <c r="CA191" s="384"/>
      <c r="CB191" s="385"/>
      <c r="CC191" s="451" t="s">
        <v>6</v>
      </c>
      <c r="CD191" s="384"/>
      <c r="CE191" s="385"/>
      <c r="CF191" s="451" t="s">
        <v>6</v>
      </c>
      <c r="CG191" s="384"/>
      <c r="CH191" s="385"/>
      <c r="CI191" s="451"/>
      <c r="CJ191" s="384"/>
      <c r="CK191" s="385"/>
      <c r="CL191" s="451" t="s">
        <v>6</v>
      </c>
      <c r="CM191" s="384">
        <v>2</v>
      </c>
      <c r="CN191" s="385"/>
      <c r="CO191" s="451">
        <v>100</v>
      </c>
      <c r="CP191" s="384"/>
      <c r="CQ191" s="385"/>
      <c r="CR191" s="451" t="s">
        <v>6</v>
      </c>
      <c r="CS191" s="384"/>
      <c r="CT191" s="385"/>
      <c r="CU191" s="451"/>
      <c r="CV191" s="384">
        <v>88</v>
      </c>
      <c r="CW191" s="385">
        <v>27</v>
      </c>
      <c r="CX191" s="451">
        <v>76.5</v>
      </c>
      <c r="CY191" s="384">
        <v>120</v>
      </c>
      <c r="CZ191" s="385">
        <v>36</v>
      </c>
      <c r="DA191" s="451">
        <v>76.900000000000006</v>
      </c>
      <c r="DB191" s="384">
        <v>141</v>
      </c>
      <c r="DC191" s="385">
        <v>29</v>
      </c>
      <c r="DD191" s="451">
        <v>82.9</v>
      </c>
      <c r="DE191" s="384"/>
      <c r="DF191" s="385"/>
      <c r="DG191" s="451"/>
      <c r="DH191" s="384">
        <v>11</v>
      </c>
      <c r="DI191" s="385">
        <v>1</v>
      </c>
      <c r="DJ191" s="451">
        <v>91.7</v>
      </c>
      <c r="DK191" s="384">
        <v>3</v>
      </c>
      <c r="DL191" s="385"/>
      <c r="DM191" s="451">
        <v>100</v>
      </c>
      <c r="DN191" s="384">
        <v>5</v>
      </c>
      <c r="DO191" s="385">
        <v>1</v>
      </c>
      <c r="DP191" s="451">
        <v>83.3</v>
      </c>
      <c r="DQ191" s="384"/>
      <c r="DR191" s="385"/>
      <c r="DS191" s="451"/>
      <c r="DT191" s="384">
        <v>5</v>
      </c>
      <c r="DU191" s="385"/>
      <c r="DV191" s="451">
        <v>100</v>
      </c>
      <c r="DW191" s="384">
        <v>3</v>
      </c>
      <c r="DX191" s="385">
        <v>1</v>
      </c>
      <c r="DY191" s="451">
        <v>75</v>
      </c>
      <c r="DZ191" s="384">
        <v>9</v>
      </c>
      <c r="EA191" s="385">
        <v>1</v>
      </c>
      <c r="EB191" s="451">
        <v>90</v>
      </c>
      <c r="EC191" s="384"/>
      <c r="ED191" s="385"/>
      <c r="EE191" s="451"/>
      <c r="EF191" s="384">
        <v>634</v>
      </c>
      <c r="EG191" s="385">
        <v>1515</v>
      </c>
      <c r="EH191" s="451">
        <v>29.5</v>
      </c>
      <c r="EI191" s="384">
        <v>641</v>
      </c>
      <c r="EJ191" s="385">
        <v>1081</v>
      </c>
      <c r="EK191" s="451">
        <v>37.200000000000003</v>
      </c>
      <c r="EL191" s="384">
        <v>659</v>
      </c>
      <c r="EM191" s="385">
        <v>837</v>
      </c>
      <c r="EN191" s="451">
        <v>44.1</v>
      </c>
      <c r="EO191" s="384"/>
      <c r="EP191" s="385"/>
      <c r="EQ191" s="451"/>
      <c r="ER191" s="384">
        <v>6</v>
      </c>
      <c r="ES191" s="385">
        <v>11</v>
      </c>
      <c r="ET191" s="451">
        <v>35.299999999999997</v>
      </c>
      <c r="EU191" s="384">
        <v>2</v>
      </c>
      <c r="EV191" s="385">
        <v>4</v>
      </c>
      <c r="EW191" s="451">
        <v>33.299999999999997</v>
      </c>
      <c r="EX191" s="384">
        <v>5</v>
      </c>
      <c r="EY191" s="385">
        <v>3</v>
      </c>
      <c r="EZ191" s="451">
        <v>62.5</v>
      </c>
      <c r="FA191" s="384"/>
      <c r="FB191" s="385"/>
      <c r="FC191" s="451"/>
      <c r="FD191" s="384">
        <v>5</v>
      </c>
      <c r="FE191" s="385">
        <v>49</v>
      </c>
      <c r="FF191" s="451">
        <v>9.3000000000000007</v>
      </c>
      <c r="FG191" s="384">
        <v>16</v>
      </c>
      <c r="FH191" s="385">
        <v>37</v>
      </c>
      <c r="FI191" s="451">
        <v>30.2</v>
      </c>
      <c r="FJ191" s="384">
        <v>45</v>
      </c>
      <c r="FK191" s="385">
        <v>24</v>
      </c>
      <c r="FL191" s="451">
        <v>65.2</v>
      </c>
      <c r="FM191" s="384"/>
      <c r="FN191" s="385"/>
      <c r="FO191" s="451"/>
      <c r="FP191" s="384">
        <v>139</v>
      </c>
      <c r="FQ191" s="385">
        <v>192</v>
      </c>
      <c r="FR191" s="451">
        <v>42</v>
      </c>
      <c r="FS191" s="384">
        <v>161</v>
      </c>
      <c r="FT191" s="385">
        <v>125</v>
      </c>
      <c r="FU191" s="451">
        <v>56.3</v>
      </c>
      <c r="FV191" s="384">
        <v>132</v>
      </c>
      <c r="FW191" s="385">
        <v>70</v>
      </c>
      <c r="FX191" s="451">
        <v>65.3</v>
      </c>
      <c r="FY191" s="384"/>
      <c r="FZ191" s="385"/>
      <c r="GA191" s="451"/>
      <c r="GB191" s="384">
        <v>14</v>
      </c>
      <c r="GC191" s="385">
        <v>2</v>
      </c>
      <c r="GD191" s="451">
        <v>87.5</v>
      </c>
      <c r="GE191" s="384">
        <v>20</v>
      </c>
      <c r="GF191" s="385">
        <v>1</v>
      </c>
      <c r="GG191" s="451">
        <v>95.2</v>
      </c>
      <c r="GH191" s="384">
        <v>16</v>
      </c>
      <c r="GI191" s="385"/>
      <c r="GJ191" s="451">
        <v>100</v>
      </c>
      <c r="GK191" s="384"/>
      <c r="GL191" s="385"/>
      <c r="GM191" s="451"/>
      <c r="GN191" s="384">
        <v>64</v>
      </c>
      <c r="GO191" s="385">
        <v>3</v>
      </c>
      <c r="GP191" s="451">
        <v>95.5</v>
      </c>
      <c r="GQ191" s="384">
        <v>12</v>
      </c>
      <c r="GR191" s="385">
        <v>15</v>
      </c>
      <c r="GS191" s="451">
        <v>44.4</v>
      </c>
      <c r="GT191" s="384">
        <v>40</v>
      </c>
      <c r="GU191" s="385">
        <v>23</v>
      </c>
      <c r="GV191" s="451">
        <v>63.5</v>
      </c>
      <c r="GW191" s="384"/>
      <c r="GX191" s="385"/>
      <c r="GY191" s="451"/>
      <c r="GZ191" s="384">
        <v>6</v>
      </c>
      <c r="HA191" s="385">
        <v>6</v>
      </c>
      <c r="HB191" s="451">
        <v>50</v>
      </c>
      <c r="HC191" s="384">
        <v>3</v>
      </c>
      <c r="HD191" s="385">
        <v>6</v>
      </c>
      <c r="HE191" s="451">
        <v>33.299999999999997</v>
      </c>
      <c r="HF191" s="384">
        <v>6</v>
      </c>
      <c r="HG191" s="385">
        <v>1</v>
      </c>
      <c r="HH191" s="451">
        <v>85.7</v>
      </c>
      <c r="HI191" s="384"/>
      <c r="HJ191" s="385"/>
      <c r="HK191" s="451"/>
      <c r="HL191" s="384">
        <v>41</v>
      </c>
      <c r="HM191" s="385">
        <v>137</v>
      </c>
      <c r="HN191" s="451">
        <v>23</v>
      </c>
      <c r="HO191" s="384">
        <v>45</v>
      </c>
      <c r="HP191" s="385">
        <v>138</v>
      </c>
      <c r="HQ191" s="451">
        <v>24.6</v>
      </c>
      <c r="HR191" s="384">
        <v>86</v>
      </c>
      <c r="HS191" s="385">
        <v>137</v>
      </c>
      <c r="HT191" s="451">
        <v>38.6</v>
      </c>
      <c r="HU191" s="384"/>
      <c r="HV191" s="385"/>
      <c r="HW191" s="451"/>
      <c r="HX191" s="384">
        <v>17</v>
      </c>
      <c r="HY191" s="385">
        <v>1</v>
      </c>
      <c r="HZ191" s="451">
        <v>94.4</v>
      </c>
      <c r="IA191" s="384">
        <v>9</v>
      </c>
      <c r="IB191" s="385">
        <v>2</v>
      </c>
      <c r="IC191" s="451">
        <v>81.8</v>
      </c>
      <c r="ID191" s="384">
        <v>10</v>
      </c>
      <c r="IE191" s="385">
        <v>4</v>
      </c>
      <c r="IF191" s="451">
        <v>71.400000000000006</v>
      </c>
      <c r="IG191" s="384"/>
      <c r="IH191" s="385"/>
      <c r="II191" s="451"/>
      <c r="IJ191" s="384">
        <v>8</v>
      </c>
      <c r="IK191" s="385">
        <v>5</v>
      </c>
      <c r="IL191" s="451">
        <v>61.5</v>
      </c>
      <c r="IM191" s="384">
        <v>15</v>
      </c>
      <c r="IN191" s="385">
        <v>9</v>
      </c>
      <c r="IO191" s="451">
        <v>62.5</v>
      </c>
      <c r="IP191" s="384">
        <v>16</v>
      </c>
      <c r="IQ191" s="385">
        <v>4</v>
      </c>
      <c r="IR191" s="451">
        <v>80</v>
      </c>
      <c r="IS191" s="384"/>
      <c r="IT191" s="385"/>
      <c r="IU191" s="451"/>
      <c r="IV191" s="384">
        <v>965</v>
      </c>
      <c r="IW191" s="385">
        <v>1713</v>
      </c>
      <c r="IX191" s="451">
        <v>36</v>
      </c>
      <c r="IY191" s="384">
        <v>960</v>
      </c>
      <c r="IZ191" s="385">
        <v>1310</v>
      </c>
      <c r="JA191" s="451">
        <v>42.3</v>
      </c>
      <c r="JB191" s="384">
        <v>1090</v>
      </c>
      <c r="JC191" s="385">
        <v>1050</v>
      </c>
      <c r="JD191" s="451">
        <v>50.9</v>
      </c>
      <c r="JE191" s="384"/>
      <c r="JF191" s="385"/>
      <c r="JG191" s="451"/>
      <c r="JH191" s="384">
        <v>143</v>
      </c>
      <c r="JI191" s="385">
        <v>223</v>
      </c>
      <c r="JJ191" s="451">
        <v>39.1</v>
      </c>
      <c r="JK191" s="384">
        <v>210</v>
      </c>
      <c r="JL191" s="385">
        <v>179</v>
      </c>
      <c r="JM191" s="451">
        <v>54</v>
      </c>
      <c r="JN191" s="384">
        <v>332</v>
      </c>
      <c r="JO191" s="385">
        <v>93</v>
      </c>
      <c r="JP191" s="451">
        <v>78.099999999999994</v>
      </c>
      <c r="JQ191" s="384"/>
      <c r="JR191" s="385"/>
      <c r="JS191" s="451"/>
      <c r="JT191" s="384">
        <v>6</v>
      </c>
      <c r="JU191" s="385">
        <v>2</v>
      </c>
      <c r="JV191" s="451">
        <v>75</v>
      </c>
      <c r="JW191" s="384">
        <v>7</v>
      </c>
      <c r="JX191" s="385">
        <v>6</v>
      </c>
      <c r="JY191" s="451">
        <v>53.8</v>
      </c>
      <c r="JZ191" s="384">
        <v>14</v>
      </c>
      <c r="KA191" s="385">
        <v>2</v>
      </c>
      <c r="KB191" s="451">
        <v>87.5</v>
      </c>
      <c r="KC191" s="384"/>
      <c r="KD191" s="385"/>
      <c r="KE191" s="451"/>
      <c r="KF191" s="384">
        <v>7</v>
      </c>
      <c r="KG191" s="385">
        <v>1</v>
      </c>
      <c r="KH191" s="451">
        <v>87.5</v>
      </c>
      <c r="KI191" s="384">
        <v>2</v>
      </c>
      <c r="KJ191" s="385">
        <v>3</v>
      </c>
      <c r="KK191" s="451">
        <v>40</v>
      </c>
      <c r="KL191" s="384">
        <v>10</v>
      </c>
      <c r="KM191" s="385">
        <v>3</v>
      </c>
      <c r="KN191" s="451">
        <v>76.900000000000006</v>
      </c>
      <c r="KO191" s="384"/>
      <c r="KP191" s="385"/>
      <c r="KQ191" s="451"/>
      <c r="KR191" s="384">
        <v>191</v>
      </c>
      <c r="KS191" s="385">
        <v>258</v>
      </c>
      <c r="KT191" s="451">
        <v>42.5</v>
      </c>
      <c r="KU191" s="384">
        <v>257</v>
      </c>
      <c r="KV191" s="385">
        <v>206</v>
      </c>
      <c r="KW191" s="451">
        <v>55.5</v>
      </c>
      <c r="KX191" s="384">
        <v>421</v>
      </c>
      <c r="KY191" s="385">
        <v>117</v>
      </c>
      <c r="KZ191" s="451">
        <v>78.3</v>
      </c>
      <c r="LA191" s="384"/>
      <c r="LB191" s="385"/>
      <c r="LC191" s="451"/>
      <c r="LD191" s="384">
        <v>1841</v>
      </c>
      <c r="LE191" s="385">
        <v>2124</v>
      </c>
      <c r="LF191" s="451">
        <v>46.4</v>
      </c>
      <c r="LG191" s="384">
        <v>1844</v>
      </c>
      <c r="LH191" s="385">
        <v>1732</v>
      </c>
      <c r="LI191" s="451">
        <v>51.6</v>
      </c>
      <c r="LJ191" s="384">
        <v>1956</v>
      </c>
      <c r="LK191" s="385">
        <v>1479</v>
      </c>
      <c r="LL191" s="451">
        <v>56.9</v>
      </c>
      <c r="LM191" s="384"/>
      <c r="LN191" s="385"/>
      <c r="LO191" s="451"/>
    </row>
    <row r="192" spans="1:327" x14ac:dyDescent="0.2">
      <c r="A192" s="1000" t="s">
        <v>611</v>
      </c>
      <c r="B192" s="749"/>
      <c r="C192" s="146" t="s">
        <v>612</v>
      </c>
      <c r="D192" s="441">
        <v>3</v>
      </c>
      <c r="E192" s="442"/>
      <c r="F192" s="443">
        <v>100</v>
      </c>
      <c r="G192" s="441">
        <v>1</v>
      </c>
      <c r="H192" s="442"/>
      <c r="I192" s="443">
        <v>100</v>
      </c>
      <c r="J192" s="441">
        <v>2</v>
      </c>
      <c r="K192" s="442"/>
      <c r="L192" s="443">
        <v>100</v>
      </c>
      <c r="M192" s="441"/>
      <c r="N192" s="442"/>
      <c r="O192" s="443"/>
      <c r="P192" s="441">
        <v>2</v>
      </c>
      <c r="Q192" s="442"/>
      <c r="R192" s="443">
        <v>100</v>
      </c>
      <c r="S192" s="441">
        <v>1</v>
      </c>
      <c r="T192" s="442"/>
      <c r="U192" s="443">
        <v>100</v>
      </c>
      <c r="V192" s="441">
        <v>2</v>
      </c>
      <c r="W192" s="442"/>
      <c r="X192" s="443">
        <v>100</v>
      </c>
      <c r="Y192" s="441"/>
      <c r="Z192" s="442"/>
      <c r="AA192" s="443"/>
      <c r="AB192" s="441">
        <v>1</v>
      </c>
      <c r="AC192" s="442"/>
      <c r="AD192" s="443">
        <v>100</v>
      </c>
      <c r="AE192" s="441"/>
      <c r="AF192" s="442"/>
      <c r="AG192" s="443" t="s">
        <v>6</v>
      </c>
      <c r="AH192" s="441"/>
      <c r="AI192" s="442"/>
      <c r="AJ192" s="443" t="s">
        <v>6</v>
      </c>
      <c r="AK192" s="441"/>
      <c r="AL192" s="442"/>
      <c r="AM192" s="443"/>
      <c r="AN192" s="441"/>
      <c r="AO192" s="442"/>
      <c r="AP192" s="443" t="s">
        <v>6</v>
      </c>
      <c r="AQ192" s="441">
        <v>4</v>
      </c>
      <c r="AR192" s="442"/>
      <c r="AS192" s="443">
        <v>100</v>
      </c>
      <c r="AT192" s="441">
        <v>1</v>
      </c>
      <c r="AU192" s="442"/>
      <c r="AV192" s="443">
        <v>100</v>
      </c>
      <c r="AW192" s="441"/>
      <c r="AX192" s="442"/>
      <c r="AY192" s="443"/>
      <c r="AZ192" s="441"/>
      <c r="BA192" s="442"/>
      <c r="BB192" s="443" t="s">
        <v>6</v>
      </c>
      <c r="BC192" s="441">
        <v>3</v>
      </c>
      <c r="BD192" s="442"/>
      <c r="BE192" s="443">
        <v>100</v>
      </c>
      <c r="BF192" s="441">
        <v>1</v>
      </c>
      <c r="BG192" s="442"/>
      <c r="BH192" s="443">
        <v>100</v>
      </c>
      <c r="BI192" s="441"/>
      <c r="BJ192" s="442"/>
      <c r="BK192" s="443"/>
      <c r="BL192" s="441"/>
      <c r="BM192" s="442"/>
      <c r="BN192" s="443" t="s">
        <v>6</v>
      </c>
      <c r="BO192" s="441"/>
      <c r="BP192" s="442"/>
      <c r="BQ192" s="443" t="s">
        <v>6</v>
      </c>
      <c r="BR192" s="441"/>
      <c r="BS192" s="442"/>
      <c r="BT192" s="443" t="s">
        <v>6</v>
      </c>
      <c r="BU192" s="441"/>
      <c r="BV192" s="442"/>
      <c r="BW192" s="443"/>
      <c r="BX192" s="441"/>
      <c r="BY192" s="442"/>
      <c r="BZ192" s="443" t="s">
        <v>6</v>
      </c>
      <c r="CA192" s="441"/>
      <c r="CB192" s="442"/>
      <c r="CC192" s="443" t="s">
        <v>6</v>
      </c>
      <c r="CD192" s="441"/>
      <c r="CE192" s="442"/>
      <c r="CF192" s="443" t="s">
        <v>6</v>
      </c>
      <c r="CG192" s="441"/>
      <c r="CH192" s="442"/>
      <c r="CI192" s="443"/>
      <c r="CJ192" s="441">
        <v>10</v>
      </c>
      <c r="CK192" s="442"/>
      <c r="CL192" s="443">
        <v>100</v>
      </c>
      <c r="CM192" s="441">
        <v>5</v>
      </c>
      <c r="CN192" s="442">
        <v>2</v>
      </c>
      <c r="CO192" s="443">
        <v>71.400000000000006</v>
      </c>
      <c r="CP192" s="441">
        <v>6</v>
      </c>
      <c r="CQ192" s="442"/>
      <c r="CR192" s="443">
        <v>100</v>
      </c>
      <c r="CS192" s="441"/>
      <c r="CT192" s="442"/>
      <c r="CU192" s="443"/>
      <c r="CV192" s="441"/>
      <c r="CW192" s="442"/>
      <c r="CX192" s="443" t="s">
        <v>6</v>
      </c>
      <c r="CY192" s="441"/>
      <c r="CZ192" s="442"/>
      <c r="DA192" s="443" t="s">
        <v>6</v>
      </c>
      <c r="DB192" s="441"/>
      <c r="DC192" s="442"/>
      <c r="DD192" s="443" t="s">
        <v>6</v>
      </c>
      <c r="DE192" s="441"/>
      <c r="DF192" s="442"/>
      <c r="DG192" s="443"/>
      <c r="DH192" s="441"/>
      <c r="DI192" s="442"/>
      <c r="DJ192" s="443" t="s">
        <v>6</v>
      </c>
      <c r="DK192" s="441"/>
      <c r="DL192" s="442"/>
      <c r="DM192" s="443" t="s">
        <v>6</v>
      </c>
      <c r="DN192" s="441"/>
      <c r="DO192" s="442"/>
      <c r="DP192" s="443" t="s">
        <v>6</v>
      </c>
      <c r="DQ192" s="441"/>
      <c r="DR192" s="442"/>
      <c r="DS192" s="443"/>
      <c r="DT192" s="441"/>
      <c r="DU192" s="442"/>
      <c r="DV192" s="443" t="s">
        <v>6</v>
      </c>
      <c r="DW192" s="441">
        <v>3</v>
      </c>
      <c r="DX192" s="442"/>
      <c r="DY192" s="443">
        <v>100</v>
      </c>
      <c r="DZ192" s="441"/>
      <c r="EA192" s="442"/>
      <c r="EB192" s="443" t="s">
        <v>6</v>
      </c>
      <c r="EC192" s="441"/>
      <c r="ED192" s="442"/>
      <c r="EE192" s="443"/>
      <c r="EF192" s="441">
        <v>12</v>
      </c>
      <c r="EG192" s="442">
        <v>3</v>
      </c>
      <c r="EH192" s="443">
        <v>80</v>
      </c>
      <c r="EI192" s="441">
        <v>1</v>
      </c>
      <c r="EJ192" s="442"/>
      <c r="EK192" s="443">
        <v>100</v>
      </c>
      <c r="EL192" s="441"/>
      <c r="EM192" s="442">
        <v>1</v>
      </c>
      <c r="EN192" s="443">
        <v>0</v>
      </c>
      <c r="EO192" s="441"/>
      <c r="EP192" s="442"/>
      <c r="EQ192" s="443"/>
      <c r="ER192" s="441">
        <v>4</v>
      </c>
      <c r="ES192" s="442"/>
      <c r="ET192" s="443">
        <v>100</v>
      </c>
      <c r="EU192" s="441"/>
      <c r="EV192" s="442"/>
      <c r="EW192" s="443" t="s">
        <v>6</v>
      </c>
      <c r="EX192" s="441"/>
      <c r="EY192" s="442"/>
      <c r="EZ192" s="443" t="s">
        <v>6</v>
      </c>
      <c r="FA192" s="441"/>
      <c r="FB192" s="442"/>
      <c r="FC192" s="443"/>
      <c r="FD192" s="441">
        <v>2</v>
      </c>
      <c r="FE192" s="442"/>
      <c r="FF192" s="443">
        <v>100</v>
      </c>
      <c r="FG192" s="441"/>
      <c r="FH192" s="442"/>
      <c r="FI192" s="443" t="s">
        <v>6</v>
      </c>
      <c r="FJ192" s="441"/>
      <c r="FK192" s="442"/>
      <c r="FL192" s="443" t="s">
        <v>6</v>
      </c>
      <c r="FM192" s="441"/>
      <c r="FN192" s="442"/>
      <c r="FO192" s="443"/>
      <c r="FP192" s="441">
        <v>1</v>
      </c>
      <c r="FQ192" s="442">
        <v>1</v>
      </c>
      <c r="FR192" s="443">
        <v>50</v>
      </c>
      <c r="FS192" s="441"/>
      <c r="FT192" s="442"/>
      <c r="FU192" s="443" t="s">
        <v>6</v>
      </c>
      <c r="FV192" s="441"/>
      <c r="FW192" s="442"/>
      <c r="FX192" s="443" t="s">
        <v>6</v>
      </c>
      <c r="FY192" s="441"/>
      <c r="FZ192" s="442"/>
      <c r="GA192" s="443"/>
      <c r="GB192" s="441"/>
      <c r="GC192" s="442">
        <v>1</v>
      </c>
      <c r="GD192" s="443">
        <v>0</v>
      </c>
      <c r="GE192" s="441">
        <v>1</v>
      </c>
      <c r="GF192" s="442"/>
      <c r="GG192" s="443">
        <v>100</v>
      </c>
      <c r="GH192" s="441"/>
      <c r="GI192" s="442"/>
      <c r="GJ192" s="443" t="s">
        <v>6</v>
      </c>
      <c r="GK192" s="441"/>
      <c r="GL192" s="442"/>
      <c r="GM192" s="443"/>
      <c r="GN192" s="441">
        <v>1</v>
      </c>
      <c r="GO192" s="442"/>
      <c r="GP192" s="443">
        <v>100</v>
      </c>
      <c r="GQ192" s="441">
        <v>1</v>
      </c>
      <c r="GR192" s="442"/>
      <c r="GS192" s="443">
        <v>100</v>
      </c>
      <c r="GT192" s="441"/>
      <c r="GU192" s="442"/>
      <c r="GV192" s="443" t="s">
        <v>6</v>
      </c>
      <c r="GW192" s="441"/>
      <c r="GX192" s="442"/>
      <c r="GY192" s="443"/>
      <c r="GZ192" s="441"/>
      <c r="HA192" s="442"/>
      <c r="HB192" s="443" t="s">
        <v>6</v>
      </c>
      <c r="HC192" s="441"/>
      <c r="HD192" s="442"/>
      <c r="HE192" s="443" t="s">
        <v>6</v>
      </c>
      <c r="HF192" s="441"/>
      <c r="HG192" s="442"/>
      <c r="HH192" s="443" t="s">
        <v>6</v>
      </c>
      <c r="HI192" s="441"/>
      <c r="HJ192" s="442"/>
      <c r="HK192" s="443"/>
      <c r="HL192" s="441"/>
      <c r="HM192" s="442"/>
      <c r="HN192" s="443" t="s">
        <v>6</v>
      </c>
      <c r="HO192" s="441"/>
      <c r="HP192" s="442"/>
      <c r="HQ192" s="443" t="s">
        <v>6</v>
      </c>
      <c r="HR192" s="441"/>
      <c r="HS192" s="442"/>
      <c r="HT192" s="443" t="s">
        <v>6</v>
      </c>
      <c r="HU192" s="441"/>
      <c r="HV192" s="442"/>
      <c r="HW192" s="443"/>
      <c r="HX192" s="441"/>
      <c r="HY192" s="442"/>
      <c r="HZ192" s="443" t="s">
        <v>6</v>
      </c>
      <c r="IA192" s="441"/>
      <c r="IB192" s="442"/>
      <c r="IC192" s="443" t="s">
        <v>6</v>
      </c>
      <c r="ID192" s="441"/>
      <c r="IE192" s="442"/>
      <c r="IF192" s="443" t="s">
        <v>6</v>
      </c>
      <c r="IG192" s="441"/>
      <c r="IH192" s="442"/>
      <c r="II192" s="443"/>
      <c r="IJ192" s="441"/>
      <c r="IK192" s="442"/>
      <c r="IL192" s="443" t="s">
        <v>6</v>
      </c>
      <c r="IM192" s="441"/>
      <c r="IN192" s="442"/>
      <c r="IO192" s="443" t="s">
        <v>6</v>
      </c>
      <c r="IP192" s="441"/>
      <c r="IQ192" s="442"/>
      <c r="IR192" s="443" t="s">
        <v>6</v>
      </c>
      <c r="IS192" s="441"/>
      <c r="IT192" s="442"/>
      <c r="IU192" s="443"/>
      <c r="IV192" s="441">
        <v>26</v>
      </c>
      <c r="IW192" s="442">
        <v>4</v>
      </c>
      <c r="IX192" s="443">
        <v>86.7</v>
      </c>
      <c r="IY192" s="441">
        <v>16</v>
      </c>
      <c r="IZ192" s="442">
        <v>2</v>
      </c>
      <c r="JA192" s="443">
        <v>88.9</v>
      </c>
      <c r="JB192" s="441">
        <v>9</v>
      </c>
      <c r="JC192" s="442">
        <v>1</v>
      </c>
      <c r="JD192" s="443">
        <v>90</v>
      </c>
      <c r="JE192" s="441"/>
      <c r="JF192" s="442"/>
      <c r="JG192" s="443"/>
      <c r="JH192" s="441">
        <v>12</v>
      </c>
      <c r="JI192" s="442"/>
      <c r="JJ192" s="443">
        <v>100</v>
      </c>
      <c r="JK192" s="441">
        <v>5</v>
      </c>
      <c r="JL192" s="442">
        <v>2</v>
      </c>
      <c r="JM192" s="443">
        <v>71.400000000000006</v>
      </c>
      <c r="JN192" s="441">
        <v>2</v>
      </c>
      <c r="JO192" s="442"/>
      <c r="JP192" s="443">
        <v>100</v>
      </c>
      <c r="JQ192" s="441"/>
      <c r="JR192" s="442"/>
      <c r="JS192" s="443"/>
      <c r="JT192" s="441"/>
      <c r="JU192" s="442"/>
      <c r="JV192" s="443" t="s">
        <v>6</v>
      </c>
      <c r="JW192" s="441"/>
      <c r="JX192" s="442"/>
      <c r="JY192" s="443" t="s">
        <v>6</v>
      </c>
      <c r="JZ192" s="441">
        <v>1</v>
      </c>
      <c r="KA192" s="442"/>
      <c r="KB192" s="443">
        <v>100</v>
      </c>
      <c r="KC192" s="441"/>
      <c r="KD192" s="442"/>
      <c r="KE192" s="443"/>
      <c r="KF192" s="441"/>
      <c r="KG192" s="442"/>
      <c r="KH192" s="443" t="s">
        <v>6</v>
      </c>
      <c r="KI192" s="441"/>
      <c r="KJ192" s="442"/>
      <c r="KK192" s="443" t="s">
        <v>6</v>
      </c>
      <c r="KL192" s="441"/>
      <c r="KM192" s="442"/>
      <c r="KN192" s="443" t="s">
        <v>6</v>
      </c>
      <c r="KO192" s="441"/>
      <c r="KP192" s="442"/>
      <c r="KQ192" s="443"/>
      <c r="KR192" s="441">
        <v>13</v>
      </c>
      <c r="KS192" s="442"/>
      <c r="KT192" s="443">
        <v>100</v>
      </c>
      <c r="KU192" s="441">
        <v>6</v>
      </c>
      <c r="KV192" s="442">
        <v>2</v>
      </c>
      <c r="KW192" s="443">
        <v>75</v>
      </c>
      <c r="KX192" s="441">
        <v>5</v>
      </c>
      <c r="KY192" s="442">
        <v>1</v>
      </c>
      <c r="KZ192" s="443">
        <v>83.3</v>
      </c>
      <c r="LA192" s="441"/>
      <c r="LB192" s="442"/>
      <c r="LC192" s="443"/>
      <c r="LD192" s="441">
        <v>28</v>
      </c>
      <c r="LE192" s="442">
        <v>4</v>
      </c>
      <c r="LF192" s="443">
        <v>87.5</v>
      </c>
      <c r="LG192" s="441">
        <v>39</v>
      </c>
      <c r="LH192" s="442">
        <v>4</v>
      </c>
      <c r="LI192" s="443">
        <v>90.7</v>
      </c>
      <c r="LJ192" s="441">
        <v>841</v>
      </c>
      <c r="LK192" s="442">
        <v>2</v>
      </c>
      <c r="LL192" s="443">
        <v>99.8</v>
      </c>
      <c r="LM192" s="441"/>
      <c r="LN192" s="442"/>
      <c r="LO192" s="443"/>
    </row>
    <row r="193" spans="1:327" x14ac:dyDescent="0.2">
      <c r="A193" s="1001"/>
      <c r="B193" s="747"/>
      <c r="C193" s="151" t="s">
        <v>766</v>
      </c>
      <c r="D193" s="377"/>
      <c r="E193" s="373"/>
      <c r="F193" s="444" t="s">
        <v>6</v>
      </c>
      <c r="G193" s="377"/>
      <c r="H193" s="373"/>
      <c r="I193" s="444" t="s">
        <v>6</v>
      </c>
      <c r="J193" s="377"/>
      <c r="K193" s="373"/>
      <c r="L193" s="444" t="s">
        <v>6</v>
      </c>
      <c r="M193" s="377"/>
      <c r="N193" s="373"/>
      <c r="O193" s="444"/>
      <c r="P193" s="377"/>
      <c r="Q193" s="373"/>
      <c r="R193" s="444" t="s">
        <v>6</v>
      </c>
      <c r="S193" s="377"/>
      <c r="T193" s="373"/>
      <c r="U193" s="444" t="s">
        <v>6</v>
      </c>
      <c r="V193" s="377"/>
      <c r="W193" s="373"/>
      <c r="X193" s="444" t="s">
        <v>6</v>
      </c>
      <c r="Y193" s="377"/>
      <c r="Z193" s="373"/>
      <c r="AA193" s="444"/>
      <c r="AB193" s="377"/>
      <c r="AC193" s="373"/>
      <c r="AD193" s="444" t="s">
        <v>6</v>
      </c>
      <c r="AE193" s="377"/>
      <c r="AF193" s="373"/>
      <c r="AG193" s="444" t="s">
        <v>6</v>
      </c>
      <c r="AH193" s="377"/>
      <c r="AI193" s="373"/>
      <c r="AJ193" s="444" t="s">
        <v>6</v>
      </c>
      <c r="AK193" s="377"/>
      <c r="AL193" s="373"/>
      <c r="AM193" s="444"/>
      <c r="AN193" s="377">
        <v>11</v>
      </c>
      <c r="AO193" s="373">
        <v>8</v>
      </c>
      <c r="AP193" s="444">
        <v>57.9</v>
      </c>
      <c r="AQ193" s="377">
        <v>24</v>
      </c>
      <c r="AR193" s="373">
        <v>6</v>
      </c>
      <c r="AS193" s="444">
        <v>80</v>
      </c>
      <c r="AT193" s="377">
        <v>30</v>
      </c>
      <c r="AU193" s="373">
        <v>6</v>
      </c>
      <c r="AV193" s="444">
        <v>83.3</v>
      </c>
      <c r="AW193" s="377"/>
      <c r="AX193" s="373"/>
      <c r="AY193" s="444"/>
      <c r="AZ193" s="377">
        <v>7</v>
      </c>
      <c r="BA193" s="373">
        <v>6</v>
      </c>
      <c r="BB193" s="444">
        <v>53.8</v>
      </c>
      <c r="BC193" s="377">
        <v>13</v>
      </c>
      <c r="BD193" s="373">
        <v>5</v>
      </c>
      <c r="BE193" s="444">
        <v>72.2</v>
      </c>
      <c r="BF193" s="377">
        <v>16</v>
      </c>
      <c r="BG193" s="373">
        <v>5</v>
      </c>
      <c r="BH193" s="444">
        <v>76.2</v>
      </c>
      <c r="BI193" s="377"/>
      <c r="BJ193" s="373"/>
      <c r="BK193" s="444"/>
      <c r="BL193" s="377"/>
      <c r="BM193" s="373"/>
      <c r="BN193" s="444" t="s">
        <v>6</v>
      </c>
      <c r="BO193" s="377"/>
      <c r="BP193" s="373"/>
      <c r="BQ193" s="444" t="s">
        <v>6</v>
      </c>
      <c r="BR193" s="377"/>
      <c r="BS193" s="373"/>
      <c r="BT193" s="444" t="s">
        <v>6</v>
      </c>
      <c r="BU193" s="377"/>
      <c r="BV193" s="373"/>
      <c r="BW193" s="444"/>
      <c r="BX193" s="377"/>
      <c r="BY193" s="373"/>
      <c r="BZ193" s="444" t="s">
        <v>6</v>
      </c>
      <c r="CA193" s="377"/>
      <c r="CB193" s="373"/>
      <c r="CC193" s="444" t="s">
        <v>6</v>
      </c>
      <c r="CD193" s="377"/>
      <c r="CE193" s="373"/>
      <c r="CF193" s="444" t="s">
        <v>6</v>
      </c>
      <c r="CG193" s="377"/>
      <c r="CH193" s="373"/>
      <c r="CI193" s="444"/>
      <c r="CJ193" s="377"/>
      <c r="CK193" s="373"/>
      <c r="CL193" s="444" t="s">
        <v>6</v>
      </c>
      <c r="CM193" s="377"/>
      <c r="CN193" s="373"/>
      <c r="CO193" s="444" t="s">
        <v>6</v>
      </c>
      <c r="CP193" s="377"/>
      <c r="CQ193" s="373"/>
      <c r="CR193" s="444" t="s">
        <v>6</v>
      </c>
      <c r="CS193" s="377"/>
      <c r="CT193" s="373"/>
      <c r="CU193" s="444"/>
      <c r="CV193" s="377">
        <v>6</v>
      </c>
      <c r="CW193" s="373">
        <v>17</v>
      </c>
      <c r="CX193" s="444">
        <v>26.1</v>
      </c>
      <c r="CY193" s="377">
        <v>30</v>
      </c>
      <c r="CZ193" s="373">
        <v>6</v>
      </c>
      <c r="DA193" s="444">
        <v>83.3</v>
      </c>
      <c r="DB193" s="377">
        <v>34</v>
      </c>
      <c r="DC193" s="373">
        <v>4</v>
      </c>
      <c r="DD193" s="444">
        <v>89.5</v>
      </c>
      <c r="DE193" s="377"/>
      <c r="DF193" s="373"/>
      <c r="DG193" s="444"/>
      <c r="DH193" s="377"/>
      <c r="DI193" s="373"/>
      <c r="DJ193" s="444" t="s">
        <v>6</v>
      </c>
      <c r="DK193" s="377">
        <v>2</v>
      </c>
      <c r="DL193" s="373"/>
      <c r="DM193" s="444">
        <v>100</v>
      </c>
      <c r="DN193" s="377">
        <v>1</v>
      </c>
      <c r="DO193" s="373"/>
      <c r="DP193" s="444">
        <v>100</v>
      </c>
      <c r="DQ193" s="377"/>
      <c r="DR193" s="373"/>
      <c r="DS193" s="444"/>
      <c r="DT193" s="377"/>
      <c r="DU193" s="373"/>
      <c r="DV193" s="444" t="s">
        <v>6</v>
      </c>
      <c r="DW193" s="377">
        <v>3</v>
      </c>
      <c r="DX193" s="373">
        <v>1</v>
      </c>
      <c r="DY193" s="444">
        <v>75</v>
      </c>
      <c r="DZ193" s="377">
        <v>1</v>
      </c>
      <c r="EA193" s="373"/>
      <c r="EB193" s="444">
        <v>100</v>
      </c>
      <c r="EC193" s="377"/>
      <c r="ED193" s="373"/>
      <c r="EE193" s="444"/>
      <c r="EF193" s="377">
        <v>168</v>
      </c>
      <c r="EG193" s="373">
        <v>581</v>
      </c>
      <c r="EH193" s="444">
        <v>22.4</v>
      </c>
      <c r="EI193" s="377">
        <v>525</v>
      </c>
      <c r="EJ193" s="373">
        <v>657</v>
      </c>
      <c r="EK193" s="444">
        <v>44.4</v>
      </c>
      <c r="EL193" s="377">
        <v>105</v>
      </c>
      <c r="EM193" s="373">
        <v>275</v>
      </c>
      <c r="EN193" s="444">
        <v>27.6</v>
      </c>
      <c r="EO193" s="377"/>
      <c r="EP193" s="373"/>
      <c r="EQ193" s="444"/>
      <c r="ER193" s="377"/>
      <c r="ES193" s="373">
        <v>2</v>
      </c>
      <c r="ET193" s="444">
        <v>0</v>
      </c>
      <c r="EU193" s="377"/>
      <c r="EV193" s="373"/>
      <c r="EW193" s="444" t="s">
        <v>6</v>
      </c>
      <c r="EX193" s="377"/>
      <c r="EY193" s="373"/>
      <c r="EZ193" s="444" t="s">
        <v>6</v>
      </c>
      <c r="FA193" s="377"/>
      <c r="FB193" s="373"/>
      <c r="FC193" s="444"/>
      <c r="FD193" s="377">
        <v>1</v>
      </c>
      <c r="FE193" s="373">
        <v>11</v>
      </c>
      <c r="FF193" s="444">
        <v>8.3000000000000007</v>
      </c>
      <c r="FG193" s="377">
        <v>5</v>
      </c>
      <c r="FH193" s="373">
        <v>2</v>
      </c>
      <c r="FI193" s="444">
        <v>71.400000000000006</v>
      </c>
      <c r="FJ193" s="377">
        <v>1</v>
      </c>
      <c r="FK193" s="373">
        <v>4</v>
      </c>
      <c r="FL193" s="444">
        <v>20</v>
      </c>
      <c r="FM193" s="377"/>
      <c r="FN193" s="373"/>
      <c r="FO193" s="444"/>
      <c r="FP193" s="377">
        <v>42</v>
      </c>
      <c r="FQ193" s="373">
        <v>117</v>
      </c>
      <c r="FR193" s="444">
        <v>26.4</v>
      </c>
      <c r="FS193" s="377">
        <v>28</v>
      </c>
      <c r="FT193" s="373">
        <v>19</v>
      </c>
      <c r="FU193" s="444">
        <v>59.6</v>
      </c>
      <c r="FV193" s="377">
        <v>11</v>
      </c>
      <c r="FW193" s="373">
        <v>3</v>
      </c>
      <c r="FX193" s="444">
        <v>78.599999999999994</v>
      </c>
      <c r="FY193" s="377"/>
      <c r="FZ193" s="373"/>
      <c r="GA193" s="444"/>
      <c r="GB193" s="377"/>
      <c r="GC193" s="373">
        <v>1</v>
      </c>
      <c r="GD193" s="444">
        <v>0</v>
      </c>
      <c r="GE193" s="377">
        <v>2</v>
      </c>
      <c r="GF193" s="373"/>
      <c r="GG193" s="444">
        <v>100</v>
      </c>
      <c r="GH193" s="377">
        <v>3</v>
      </c>
      <c r="GI193" s="373"/>
      <c r="GJ193" s="444">
        <v>100</v>
      </c>
      <c r="GK193" s="377"/>
      <c r="GL193" s="373"/>
      <c r="GM193" s="444"/>
      <c r="GN193" s="377">
        <v>9</v>
      </c>
      <c r="GO193" s="373">
        <v>1</v>
      </c>
      <c r="GP193" s="444">
        <v>90</v>
      </c>
      <c r="GQ193" s="377">
        <v>5</v>
      </c>
      <c r="GR193" s="373">
        <v>1</v>
      </c>
      <c r="GS193" s="444">
        <v>83.3</v>
      </c>
      <c r="GT193" s="377">
        <v>4</v>
      </c>
      <c r="GU193" s="373">
        <v>3</v>
      </c>
      <c r="GV193" s="444">
        <v>57.1</v>
      </c>
      <c r="GW193" s="377"/>
      <c r="GX193" s="373"/>
      <c r="GY193" s="444"/>
      <c r="GZ193" s="377">
        <v>2</v>
      </c>
      <c r="HA193" s="373"/>
      <c r="HB193" s="444">
        <v>100</v>
      </c>
      <c r="HC193" s="377">
        <v>5</v>
      </c>
      <c r="HD193" s="373"/>
      <c r="HE193" s="444">
        <v>100</v>
      </c>
      <c r="HF193" s="377"/>
      <c r="HG193" s="373"/>
      <c r="HH193" s="444" t="s">
        <v>6</v>
      </c>
      <c r="HI193" s="377"/>
      <c r="HJ193" s="373"/>
      <c r="HK193" s="444"/>
      <c r="HL193" s="377">
        <v>4</v>
      </c>
      <c r="HM193" s="373">
        <v>54</v>
      </c>
      <c r="HN193" s="444">
        <v>6.9</v>
      </c>
      <c r="HO193" s="377">
        <v>12</v>
      </c>
      <c r="HP193" s="373">
        <v>26</v>
      </c>
      <c r="HQ193" s="444">
        <v>31.6</v>
      </c>
      <c r="HR193" s="377">
        <v>14</v>
      </c>
      <c r="HS193" s="373">
        <v>24</v>
      </c>
      <c r="HT193" s="444">
        <v>36.799999999999997</v>
      </c>
      <c r="HU193" s="377"/>
      <c r="HV193" s="373"/>
      <c r="HW193" s="444"/>
      <c r="HX193" s="377">
        <v>6</v>
      </c>
      <c r="HY193" s="373"/>
      <c r="HZ193" s="444">
        <v>100</v>
      </c>
      <c r="IA193" s="377">
        <v>5</v>
      </c>
      <c r="IB193" s="373"/>
      <c r="IC193" s="444">
        <v>100</v>
      </c>
      <c r="ID193" s="377">
        <v>1</v>
      </c>
      <c r="IE193" s="373"/>
      <c r="IF193" s="444">
        <v>100</v>
      </c>
      <c r="IG193" s="377"/>
      <c r="IH193" s="373"/>
      <c r="II193" s="444"/>
      <c r="IJ193" s="377">
        <v>1</v>
      </c>
      <c r="IK193" s="373"/>
      <c r="IL193" s="444">
        <v>100</v>
      </c>
      <c r="IM193" s="377">
        <v>2</v>
      </c>
      <c r="IN193" s="373"/>
      <c r="IO193" s="444">
        <v>100</v>
      </c>
      <c r="IP193" s="377">
        <v>1</v>
      </c>
      <c r="IQ193" s="373"/>
      <c r="IR193" s="444">
        <v>100</v>
      </c>
      <c r="IS193" s="377"/>
      <c r="IT193" s="373"/>
      <c r="IU193" s="444"/>
      <c r="IV193" s="377">
        <v>207</v>
      </c>
      <c r="IW193" s="373">
        <v>662</v>
      </c>
      <c r="IX193" s="444">
        <v>23.8</v>
      </c>
      <c r="IY193" s="377">
        <v>615</v>
      </c>
      <c r="IZ193" s="373">
        <v>697</v>
      </c>
      <c r="JA193" s="444">
        <v>46.9</v>
      </c>
      <c r="JB193" s="377">
        <v>194</v>
      </c>
      <c r="JC193" s="373">
        <v>312</v>
      </c>
      <c r="JD193" s="444">
        <v>38.299999999999997</v>
      </c>
      <c r="JE193" s="377"/>
      <c r="JF193" s="373"/>
      <c r="JG193" s="444"/>
      <c r="JH193" s="377">
        <v>25</v>
      </c>
      <c r="JI193" s="373">
        <v>114</v>
      </c>
      <c r="JJ193" s="444">
        <v>18</v>
      </c>
      <c r="JK193" s="377">
        <v>33</v>
      </c>
      <c r="JL193" s="373">
        <v>58</v>
      </c>
      <c r="JM193" s="444">
        <v>36.299999999999997</v>
      </c>
      <c r="JN193" s="377">
        <v>62</v>
      </c>
      <c r="JO193" s="373">
        <v>13</v>
      </c>
      <c r="JP193" s="444">
        <v>82.7</v>
      </c>
      <c r="JQ193" s="377"/>
      <c r="JR193" s="373"/>
      <c r="JS193" s="444"/>
      <c r="JT193" s="377">
        <v>1</v>
      </c>
      <c r="JU193" s="373">
        <v>1</v>
      </c>
      <c r="JV193" s="444">
        <v>50</v>
      </c>
      <c r="JW193" s="377">
        <v>2</v>
      </c>
      <c r="JX193" s="373">
        <v>2</v>
      </c>
      <c r="JY193" s="444">
        <v>50</v>
      </c>
      <c r="JZ193" s="377">
        <v>2</v>
      </c>
      <c r="KA193" s="373">
        <v>1</v>
      </c>
      <c r="KB193" s="444">
        <v>66.7</v>
      </c>
      <c r="KC193" s="377"/>
      <c r="KD193" s="373"/>
      <c r="KE193" s="444"/>
      <c r="KF193" s="377">
        <v>2</v>
      </c>
      <c r="KG193" s="373"/>
      <c r="KH193" s="444">
        <v>100</v>
      </c>
      <c r="KI193" s="377">
        <v>1</v>
      </c>
      <c r="KJ193" s="373"/>
      <c r="KK193" s="444">
        <v>100</v>
      </c>
      <c r="KL193" s="377">
        <v>3</v>
      </c>
      <c r="KM193" s="373"/>
      <c r="KN193" s="444">
        <v>100</v>
      </c>
      <c r="KO193" s="377"/>
      <c r="KP193" s="373"/>
      <c r="KQ193" s="444"/>
      <c r="KR193" s="377">
        <v>43</v>
      </c>
      <c r="KS193" s="373">
        <v>126</v>
      </c>
      <c r="KT193" s="444">
        <v>25.4</v>
      </c>
      <c r="KU193" s="377">
        <v>59</v>
      </c>
      <c r="KV193" s="373">
        <v>88</v>
      </c>
      <c r="KW193" s="444">
        <v>40.1</v>
      </c>
      <c r="KX193" s="377">
        <v>83</v>
      </c>
      <c r="KY193" s="373">
        <v>36</v>
      </c>
      <c r="KZ193" s="444">
        <v>69.7</v>
      </c>
      <c r="LA193" s="377"/>
      <c r="LB193" s="373"/>
      <c r="LC193" s="444"/>
      <c r="LD193" s="377">
        <v>285</v>
      </c>
      <c r="LE193" s="373">
        <v>826</v>
      </c>
      <c r="LF193" s="444">
        <v>25.7</v>
      </c>
      <c r="LG193" s="377">
        <v>1533</v>
      </c>
      <c r="LH193" s="373">
        <v>951</v>
      </c>
      <c r="LI193" s="444">
        <v>61.7</v>
      </c>
      <c r="LJ193" s="377">
        <v>628</v>
      </c>
      <c r="LK193" s="373">
        <v>641</v>
      </c>
      <c r="LL193" s="444">
        <v>49.5</v>
      </c>
      <c r="LM193" s="377"/>
      <c r="LN193" s="373"/>
      <c r="LO193" s="444"/>
    </row>
    <row r="194" spans="1:327" x14ac:dyDescent="0.2">
      <c r="A194" s="1001"/>
      <c r="B194" s="747" t="s">
        <v>621</v>
      </c>
      <c r="C194" s="151" t="s">
        <v>628</v>
      </c>
      <c r="D194" s="377"/>
      <c r="E194" s="373"/>
      <c r="F194" s="444" t="s">
        <v>6</v>
      </c>
      <c r="G194" s="377"/>
      <c r="H194" s="373"/>
      <c r="I194" s="444" t="s">
        <v>6</v>
      </c>
      <c r="J194" s="377"/>
      <c r="K194" s="373"/>
      <c r="L194" s="444" t="s">
        <v>6</v>
      </c>
      <c r="M194" s="377"/>
      <c r="N194" s="373"/>
      <c r="O194" s="444"/>
      <c r="P194" s="377"/>
      <c r="Q194" s="373"/>
      <c r="R194" s="444" t="s">
        <v>6</v>
      </c>
      <c r="S194" s="377"/>
      <c r="T194" s="373"/>
      <c r="U194" s="444" t="s">
        <v>6</v>
      </c>
      <c r="V194" s="377"/>
      <c r="W194" s="373"/>
      <c r="X194" s="444" t="s">
        <v>6</v>
      </c>
      <c r="Y194" s="377"/>
      <c r="Z194" s="373"/>
      <c r="AA194" s="444"/>
      <c r="AB194" s="377"/>
      <c r="AC194" s="373"/>
      <c r="AD194" s="444" t="s">
        <v>6</v>
      </c>
      <c r="AE194" s="377"/>
      <c r="AF194" s="373"/>
      <c r="AG194" s="444" t="s">
        <v>6</v>
      </c>
      <c r="AH194" s="377"/>
      <c r="AI194" s="373"/>
      <c r="AJ194" s="444" t="s">
        <v>6</v>
      </c>
      <c r="AK194" s="377"/>
      <c r="AL194" s="373"/>
      <c r="AM194" s="444"/>
      <c r="AN194" s="377">
        <v>2</v>
      </c>
      <c r="AO194" s="373">
        <v>1</v>
      </c>
      <c r="AP194" s="444">
        <v>66.7</v>
      </c>
      <c r="AQ194" s="377">
        <v>1</v>
      </c>
      <c r="AR194" s="373">
        <v>1</v>
      </c>
      <c r="AS194" s="444">
        <v>50</v>
      </c>
      <c r="AT194" s="377">
        <v>2</v>
      </c>
      <c r="AU194" s="373"/>
      <c r="AV194" s="444">
        <v>100</v>
      </c>
      <c r="AW194" s="377"/>
      <c r="AX194" s="373"/>
      <c r="AY194" s="444"/>
      <c r="AZ194" s="377">
        <v>1</v>
      </c>
      <c r="BA194" s="373"/>
      <c r="BB194" s="444">
        <v>100</v>
      </c>
      <c r="BC194" s="377">
        <v>1</v>
      </c>
      <c r="BD194" s="373"/>
      <c r="BE194" s="444">
        <v>100</v>
      </c>
      <c r="BF194" s="377">
        <v>2</v>
      </c>
      <c r="BG194" s="373"/>
      <c r="BH194" s="444">
        <v>100</v>
      </c>
      <c r="BI194" s="377"/>
      <c r="BJ194" s="373"/>
      <c r="BK194" s="444"/>
      <c r="BL194" s="377"/>
      <c r="BM194" s="373"/>
      <c r="BN194" s="444" t="s">
        <v>6</v>
      </c>
      <c r="BO194" s="377"/>
      <c r="BP194" s="373"/>
      <c r="BQ194" s="444" t="s">
        <v>6</v>
      </c>
      <c r="BR194" s="377"/>
      <c r="BS194" s="373"/>
      <c r="BT194" s="444" t="s">
        <v>6</v>
      </c>
      <c r="BU194" s="377"/>
      <c r="BV194" s="373"/>
      <c r="BW194" s="444"/>
      <c r="BX194" s="377"/>
      <c r="BY194" s="373"/>
      <c r="BZ194" s="444" t="s">
        <v>6</v>
      </c>
      <c r="CA194" s="377"/>
      <c r="CB194" s="373"/>
      <c r="CC194" s="444" t="s">
        <v>6</v>
      </c>
      <c r="CD194" s="377"/>
      <c r="CE194" s="373"/>
      <c r="CF194" s="444" t="s">
        <v>6</v>
      </c>
      <c r="CG194" s="377"/>
      <c r="CH194" s="373"/>
      <c r="CI194" s="444"/>
      <c r="CJ194" s="377"/>
      <c r="CK194" s="373"/>
      <c r="CL194" s="444" t="s">
        <v>6</v>
      </c>
      <c r="CM194" s="377"/>
      <c r="CN194" s="373"/>
      <c r="CO194" s="444" t="s">
        <v>6</v>
      </c>
      <c r="CP194" s="377"/>
      <c r="CQ194" s="373"/>
      <c r="CR194" s="444" t="s">
        <v>6</v>
      </c>
      <c r="CS194" s="377"/>
      <c r="CT194" s="373"/>
      <c r="CU194" s="444"/>
      <c r="CV194" s="377">
        <v>4</v>
      </c>
      <c r="CW194" s="373">
        <v>2</v>
      </c>
      <c r="CX194" s="444">
        <v>66.7</v>
      </c>
      <c r="CY194" s="377">
        <v>2</v>
      </c>
      <c r="CZ194" s="373">
        <v>2</v>
      </c>
      <c r="DA194" s="444">
        <v>50</v>
      </c>
      <c r="DB194" s="377">
        <v>4</v>
      </c>
      <c r="DC194" s="373">
        <v>2</v>
      </c>
      <c r="DD194" s="444">
        <v>66.7</v>
      </c>
      <c r="DE194" s="377"/>
      <c r="DF194" s="373"/>
      <c r="DG194" s="444"/>
      <c r="DH194" s="377"/>
      <c r="DI194" s="373"/>
      <c r="DJ194" s="444" t="s">
        <v>6</v>
      </c>
      <c r="DK194" s="377"/>
      <c r="DL194" s="373"/>
      <c r="DM194" s="444" t="s">
        <v>6</v>
      </c>
      <c r="DN194" s="377"/>
      <c r="DO194" s="373"/>
      <c r="DP194" s="444" t="s">
        <v>6</v>
      </c>
      <c r="DQ194" s="377"/>
      <c r="DR194" s="373"/>
      <c r="DS194" s="444"/>
      <c r="DT194" s="377"/>
      <c r="DU194" s="373"/>
      <c r="DV194" s="444" t="s">
        <v>6</v>
      </c>
      <c r="DW194" s="377"/>
      <c r="DX194" s="373"/>
      <c r="DY194" s="444" t="s">
        <v>6</v>
      </c>
      <c r="DZ194" s="377"/>
      <c r="EA194" s="373"/>
      <c r="EB194" s="444" t="s">
        <v>6</v>
      </c>
      <c r="EC194" s="377"/>
      <c r="ED194" s="373"/>
      <c r="EE194" s="444"/>
      <c r="EF194" s="377">
        <v>49</v>
      </c>
      <c r="EG194" s="373">
        <v>85</v>
      </c>
      <c r="EH194" s="444">
        <v>36.6</v>
      </c>
      <c r="EI194" s="377">
        <v>33</v>
      </c>
      <c r="EJ194" s="373">
        <v>78</v>
      </c>
      <c r="EK194" s="444">
        <v>29.7</v>
      </c>
      <c r="EL194" s="377">
        <v>19</v>
      </c>
      <c r="EM194" s="373">
        <v>49</v>
      </c>
      <c r="EN194" s="444">
        <v>27.9</v>
      </c>
      <c r="EO194" s="377"/>
      <c r="EP194" s="373"/>
      <c r="EQ194" s="444"/>
      <c r="ER194" s="377"/>
      <c r="ES194" s="373">
        <v>1</v>
      </c>
      <c r="ET194" s="444">
        <v>0</v>
      </c>
      <c r="EU194" s="377"/>
      <c r="EV194" s="373"/>
      <c r="EW194" s="444" t="s">
        <v>6</v>
      </c>
      <c r="EX194" s="377"/>
      <c r="EY194" s="373"/>
      <c r="EZ194" s="444" t="s">
        <v>6</v>
      </c>
      <c r="FA194" s="377"/>
      <c r="FB194" s="373"/>
      <c r="FC194" s="444"/>
      <c r="FD194" s="377"/>
      <c r="FE194" s="373">
        <v>2</v>
      </c>
      <c r="FF194" s="444">
        <v>0</v>
      </c>
      <c r="FG194" s="377"/>
      <c r="FH194" s="373"/>
      <c r="FI194" s="444" t="s">
        <v>6</v>
      </c>
      <c r="FJ194" s="377"/>
      <c r="FK194" s="373">
        <v>1</v>
      </c>
      <c r="FL194" s="444">
        <v>0</v>
      </c>
      <c r="FM194" s="377"/>
      <c r="FN194" s="373"/>
      <c r="FO194" s="444"/>
      <c r="FP194" s="377">
        <v>10</v>
      </c>
      <c r="FQ194" s="373">
        <v>9</v>
      </c>
      <c r="FR194" s="444">
        <v>52.6</v>
      </c>
      <c r="FS194" s="377">
        <v>5</v>
      </c>
      <c r="FT194" s="373">
        <v>9</v>
      </c>
      <c r="FU194" s="444">
        <v>35.700000000000003</v>
      </c>
      <c r="FV194" s="377">
        <v>6</v>
      </c>
      <c r="FW194" s="373">
        <v>12</v>
      </c>
      <c r="FX194" s="444">
        <v>33.299999999999997</v>
      </c>
      <c r="FY194" s="377"/>
      <c r="FZ194" s="373"/>
      <c r="GA194" s="444"/>
      <c r="GB194" s="377"/>
      <c r="GC194" s="373"/>
      <c r="GD194" s="444" t="s">
        <v>6</v>
      </c>
      <c r="GE194" s="377">
        <v>1</v>
      </c>
      <c r="GF194" s="373"/>
      <c r="GG194" s="444">
        <v>100</v>
      </c>
      <c r="GH194" s="377"/>
      <c r="GI194" s="373"/>
      <c r="GJ194" s="444" t="s">
        <v>6</v>
      </c>
      <c r="GK194" s="377"/>
      <c r="GL194" s="373"/>
      <c r="GM194" s="444"/>
      <c r="GN194" s="377">
        <v>2</v>
      </c>
      <c r="GO194" s="373"/>
      <c r="GP194" s="444">
        <v>100</v>
      </c>
      <c r="GQ194" s="377">
        <v>1</v>
      </c>
      <c r="GR194" s="373"/>
      <c r="GS194" s="444">
        <v>100</v>
      </c>
      <c r="GT194" s="377"/>
      <c r="GU194" s="373"/>
      <c r="GV194" s="444" t="s">
        <v>6</v>
      </c>
      <c r="GW194" s="377"/>
      <c r="GX194" s="373"/>
      <c r="GY194" s="444"/>
      <c r="GZ194" s="377"/>
      <c r="HA194" s="373"/>
      <c r="HB194" s="444" t="s">
        <v>6</v>
      </c>
      <c r="HC194" s="377"/>
      <c r="HD194" s="373"/>
      <c r="HE194" s="444" t="s">
        <v>6</v>
      </c>
      <c r="HF194" s="377"/>
      <c r="HG194" s="373"/>
      <c r="HH194" s="444" t="s">
        <v>6</v>
      </c>
      <c r="HI194" s="377"/>
      <c r="HJ194" s="373"/>
      <c r="HK194" s="444"/>
      <c r="HL194" s="377">
        <v>3</v>
      </c>
      <c r="HM194" s="373">
        <v>1</v>
      </c>
      <c r="HN194" s="444">
        <v>75</v>
      </c>
      <c r="HO194" s="377"/>
      <c r="HP194" s="373">
        <v>3</v>
      </c>
      <c r="HQ194" s="444">
        <v>0</v>
      </c>
      <c r="HR194" s="377"/>
      <c r="HS194" s="373">
        <v>3</v>
      </c>
      <c r="HT194" s="444">
        <v>0</v>
      </c>
      <c r="HU194" s="377"/>
      <c r="HV194" s="373"/>
      <c r="HW194" s="444"/>
      <c r="HX194" s="377"/>
      <c r="HY194" s="373"/>
      <c r="HZ194" s="444" t="s">
        <v>6</v>
      </c>
      <c r="IA194" s="377">
        <v>1</v>
      </c>
      <c r="IB194" s="373"/>
      <c r="IC194" s="444">
        <v>100</v>
      </c>
      <c r="ID194" s="377">
        <v>1</v>
      </c>
      <c r="IE194" s="373"/>
      <c r="IF194" s="444">
        <v>100</v>
      </c>
      <c r="IG194" s="377"/>
      <c r="IH194" s="373"/>
      <c r="II194" s="444"/>
      <c r="IJ194" s="377"/>
      <c r="IK194" s="373"/>
      <c r="IL194" s="444" t="s">
        <v>6</v>
      </c>
      <c r="IM194" s="377"/>
      <c r="IN194" s="373"/>
      <c r="IO194" s="444" t="s">
        <v>6</v>
      </c>
      <c r="IP194" s="377"/>
      <c r="IQ194" s="373"/>
      <c r="IR194" s="444" t="s">
        <v>6</v>
      </c>
      <c r="IS194" s="377"/>
      <c r="IT194" s="373"/>
      <c r="IU194" s="444"/>
      <c r="IV194" s="377">
        <v>60</v>
      </c>
      <c r="IW194" s="373">
        <v>89</v>
      </c>
      <c r="IX194" s="444">
        <v>40.299999999999997</v>
      </c>
      <c r="IY194" s="377">
        <v>39</v>
      </c>
      <c r="IZ194" s="373">
        <v>84</v>
      </c>
      <c r="JA194" s="444">
        <v>31.7</v>
      </c>
      <c r="JB194" s="377">
        <v>26</v>
      </c>
      <c r="JC194" s="373">
        <v>54</v>
      </c>
      <c r="JD194" s="444">
        <v>32.5</v>
      </c>
      <c r="JE194" s="377"/>
      <c r="JF194" s="373"/>
      <c r="JG194" s="444"/>
      <c r="JH194" s="377">
        <v>4</v>
      </c>
      <c r="JI194" s="373">
        <v>10</v>
      </c>
      <c r="JJ194" s="444">
        <v>28.6</v>
      </c>
      <c r="JK194" s="377">
        <v>4</v>
      </c>
      <c r="JL194" s="373">
        <v>9</v>
      </c>
      <c r="JM194" s="444">
        <v>30.8</v>
      </c>
      <c r="JN194" s="377">
        <v>5</v>
      </c>
      <c r="JO194" s="373">
        <v>4</v>
      </c>
      <c r="JP194" s="444">
        <v>55.6</v>
      </c>
      <c r="JQ194" s="377"/>
      <c r="JR194" s="373"/>
      <c r="JS194" s="444"/>
      <c r="JT194" s="377"/>
      <c r="JU194" s="373">
        <v>1</v>
      </c>
      <c r="JV194" s="444">
        <v>0</v>
      </c>
      <c r="JW194" s="377"/>
      <c r="JX194" s="373">
        <v>1</v>
      </c>
      <c r="JY194" s="444">
        <v>0</v>
      </c>
      <c r="JZ194" s="377">
        <v>1</v>
      </c>
      <c r="KA194" s="373"/>
      <c r="KB194" s="444">
        <v>100</v>
      </c>
      <c r="KC194" s="377"/>
      <c r="KD194" s="373"/>
      <c r="KE194" s="444"/>
      <c r="KF194" s="377"/>
      <c r="KG194" s="373"/>
      <c r="KH194" s="444" t="s">
        <v>6</v>
      </c>
      <c r="KI194" s="377"/>
      <c r="KJ194" s="373"/>
      <c r="KK194" s="444" t="s">
        <v>6</v>
      </c>
      <c r="KL194" s="377">
        <v>1</v>
      </c>
      <c r="KM194" s="373">
        <v>1</v>
      </c>
      <c r="KN194" s="444">
        <v>50</v>
      </c>
      <c r="KO194" s="377"/>
      <c r="KP194" s="373"/>
      <c r="KQ194" s="444"/>
      <c r="KR194" s="377">
        <v>7</v>
      </c>
      <c r="KS194" s="373">
        <v>14</v>
      </c>
      <c r="KT194" s="444">
        <v>33.299999999999997</v>
      </c>
      <c r="KU194" s="377">
        <v>6</v>
      </c>
      <c r="KV194" s="373">
        <v>14</v>
      </c>
      <c r="KW194" s="444">
        <v>30</v>
      </c>
      <c r="KX194" s="377">
        <v>9</v>
      </c>
      <c r="KY194" s="373">
        <v>5</v>
      </c>
      <c r="KZ194" s="444">
        <v>64.3</v>
      </c>
      <c r="LA194" s="377"/>
      <c r="LB194" s="373"/>
      <c r="LC194" s="444"/>
      <c r="LD194" s="377">
        <v>242</v>
      </c>
      <c r="LE194" s="373">
        <v>101</v>
      </c>
      <c r="LF194" s="444">
        <v>70.599999999999994</v>
      </c>
      <c r="LG194" s="377">
        <v>66</v>
      </c>
      <c r="LH194" s="373">
        <v>105</v>
      </c>
      <c r="LI194" s="444">
        <v>38.6</v>
      </c>
      <c r="LJ194" s="377">
        <v>37</v>
      </c>
      <c r="LK194" s="373">
        <v>72</v>
      </c>
      <c r="LL194" s="444">
        <v>33.9</v>
      </c>
      <c r="LM194" s="377"/>
      <c r="LN194" s="373"/>
      <c r="LO194" s="444"/>
    </row>
    <row r="195" spans="1:327" x14ac:dyDescent="0.2">
      <c r="A195" s="1001"/>
      <c r="B195" s="747"/>
      <c r="C195" s="151" t="s">
        <v>767</v>
      </c>
      <c r="D195" s="377"/>
      <c r="E195" s="373"/>
      <c r="F195" s="444" t="s">
        <v>6</v>
      </c>
      <c r="G195" s="377"/>
      <c r="H195" s="373"/>
      <c r="I195" s="444" t="s">
        <v>6</v>
      </c>
      <c r="J195" s="377"/>
      <c r="K195" s="373"/>
      <c r="L195" s="444" t="s">
        <v>6</v>
      </c>
      <c r="M195" s="377"/>
      <c r="N195" s="373"/>
      <c r="O195" s="444"/>
      <c r="P195" s="377"/>
      <c r="Q195" s="373"/>
      <c r="R195" s="444" t="s">
        <v>6</v>
      </c>
      <c r="S195" s="377"/>
      <c r="T195" s="373"/>
      <c r="U195" s="444" t="s">
        <v>6</v>
      </c>
      <c r="V195" s="377"/>
      <c r="W195" s="373"/>
      <c r="X195" s="444" t="s">
        <v>6</v>
      </c>
      <c r="Y195" s="377"/>
      <c r="Z195" s="373"/>
      <c r="AA195" s="444"/>
      <c r="AB195" s="377"/>
      <c r="AC195" s="373"/>
      <c r="AD195" s="444" t="s">
        <v>6</v>
      </c>
      <c r="AE195" s="377"/>
      <c r="AF195" s="373"/>
      <c r="AG195" s="444" t="s">
        <v>6</v>
      </c>
      <c r="AH195" s="377"/>
      <c r="AI195" s="373"/>
      <c r="AJ195" s="444" t="s">
        <v>6</v>
      </c>
      <c r="AK195" s="377"/>
      <c r="AL195" s="373"/>
      <c r="AM195" s="444"/>
      <c r="AN195" s="377">
        <v>10</v>
      </c>
      <c r="AO195" s="373">
        <v>7</v>
      </c>
      <c r="AP195" s="444">
        <v>58.8</v>
      </c>
      <c r="AQ195" s="377">
        <v>21</v>
      </c>
      <c r="AR195" s="373">
        <v>5</v>
      </c>
      <c r="AS195" s="444">
        <v>80.8</v>
      </c>
      <c r="AT195" s="377">
        <v>19</v>
      </c>
      <c r="AU195" s="373">
        <v>2</v>
      </c>
      <c r="AV195" s="444">
        <v>90.5</v>
      </c>
      <c r="AW195" s="377"/>
      <c r="AX195" s="373"/>
      <c r="AY195" s="444"/>
      <c r="AZ195" s="377">
        <v>6</v>
      </c>
      <c r="BA195" s="373">
        <v>5</v>
      </c>
      <c r="BB195" s="444">
        <v>54.5</v>
      </c>
      <c r="BC195" s="377">
        <v>9</v>
      </c>
      <c r="BD195" s="373">
        <v>4</v>
      </c>
      <c r="BE195" s="444">
        <v>69.2</v>
      </c>
      <c r="BF195" s="377">
        <v>6</v>
      </c>
      <c r="BG195" s="373">
        <v>2</v>
      </c>
      <c r="BH195" s="444">
        <v>75</v>
      </c>
      <c r="BI195" s="377"/>
      <c r="BJ195" s="373"/>
      <c r="BK195" s="444"/>
      <c r="BL195" s="377"/>
      <c r="BM195" s="373"/>
      <c r="BN195" s="444" t="s">
        <v>6</v>
      </c>
      <c r="BO195" s="377"/>
      <c r="BP195" s="373"/>
      <c r="BQ195" s="444" t="s">
        <v>6</v>
      </c>
      <c r="BR195" s="377"/>
      <c r="BS195" s="373"/>
      <c r="BT195" s="444" t="s">
        <v>6</v>
      </c>
      <c r="BU195" s="377"/>
      <c r="BV195" s="373"/>
      <c r="BW195" s="444"/>
      <c r="BX195" s="377"/>
      <c r="BY195" s="373"/>
      <c r="BZ195" s="444" t="s">
        <v>6</v>
      </c>
      <c r="CA195" s="377"/>
      <c r="CB195" s="373"/>
      <c r="CC195" s="444" t="s">
        <v>6</v>
      </c>
      <c r="CD195" s="377">
        <v>1</v>
      </c>
      <c r="CE195" s="373"/>
      <c r="CF195" s="444">
        <v>100</v>
      </c>
      <c r="CG195" s="377"/>
      <c r="CH195" s="373"/>
      <c r="CI195" s="444"/>
      <c r="CJ195" s="377"/>
      <c r="CK195" s="373"/>
      <c r="CL195" s="444" t="s">
        <v>6</v>
      </c>
      <c r="CM195" s="377"/>
      <c r="CN195" s="373"/>
      <c r="CO195" s="444" t="s">
        <v>6</v>
      </c>
      <c r="CP195" s="377"/>
      <c r="CQ195" s="373"/>
      <c r="CR195" s="444" t="s">
        <v>6</v>
      </c>
      <c r="CS195" s="377"/>
      <c r="CT195" s="373"/>
      <c r="CU195" s="444"/>
      <c r="CV195" s="377">
        <v>6</v>
      </c>
      <c r="CW195" s="373">
        <v>3</v>
      </c>
      <c r="CX195" s="444">
        <v>66.7</v>
      </c>
      <c r="CY195" s="377">
        <v>21</v>
      </c>
      <c r="CZ195" s="373">
        <v>3</v>
      </c>
      <c r="DA195" s="444">
        <v>87.5</v>
      </c>
      <c r="DB195" s="377">
        <v>24</v>
      </c>
      <c r="DC195" s="373"/>
      <c r="DD195" s="444">
        <v>100</v>
      </c>
      <c r="DE195" s="377"/>
      <c r="DF195" s="373"/>
      <c r="DG195" s="444"/>
      <c r="DH195" s="377"/>
      <c r="DI195" s="373"/>
      <c r="DJ195" s="444" t="s">
        <v>6</v>
      </c>
      <c r="DK195" s="377">
        <v>1</v>
      </c>
      <c r="DL195" s="373"/>
      <c r="DM195" s="444">
        <v>100</v>
      </c>
      <c r="DN195" s="377"/>
      <c r="DO195" s="373"/>
      <c r="DP195" s="444" t="s">
        <v>6</v>
      </c>
      <c r="DQ195" s="377"/>
      <c r="DR195" s="373"/>
      <c r="DS195" s="444"/>
      <c r="DT195" s="377"/>
      <c r="DU195" s="373"/>
      <c r="DV195" s="444" t="s">
        <v>6</v>
      </c>
      <c r="DW195" s="377"/>
      <c r="DX195" s="373"/>
      <c r="DY195" s="444" t="s">
        <v>6</v>
      </c>
      <c r="DZ195" s="377">
        <v>1</v>
      </c>
      <c r="EA195" s="373"/>
      <c r="EB195" s="444">
        <v>100</v>
      </c>
      <c r="EC195" s="377"/>
      <c r="ED195" s="373"/>
      <c r="EE195" s="444"/>
      <c r="EF195" s="377">
        <v>190</v>
      </c>
      <c r="EG195" s="373">
        <v>572</v>
      </c>
      <c r="EH195" s="444">
        <v>24.9</v>
      </c>
      <c r="EI195" s="377">
        <v>134</v>
      </c>
      <c r="EJ195" s="373">
        <v>320</v>
      </c>
      <c r="EK195" s="444">
        <v>29.5</v>
      </c>
      <c r="EL195" s="377">
        <v>178</v>
      </c>
      <c r="EM195" s="373">
        <v>274</v>
      </c>
      <c r="EN195" s="444">
        <v>39.4</v>
      </c>
      <c r="EO195" s="377"/>
      <c r="EP195" s="373"/>
      <c r="EQ195" s="444"/>
      <c r="ER195" s="377">
        <v>1</v>
      </c>
      <c r="ES195" s="373">
        <v>1</v>
      </c>
      <c r="ET195" s="444">
        <v>50</v>
      </c>
      <c r="EU195" s="377"/>
      <c r="EV195" s="373"/>
      <c r="EW195" s="444" t="s">
        <v>6</v>
      </c>
      <c r="EX195" s="377"/>
      <c r="EY195" s="373"/>
      <c r="EZ195" s="444" t="s">
        <v>6</v>
      </c>
      <c r="FA195" s="377"/>
      <c r="FB195" s="373"/>
      <c r="FC195" s="444"/>
      <c r="FD195" s="377">
        <v>1</v>
      </c>
      <c r="FE195" s="373">
        <v>16</v>
      </c>
      <c r="FF195" s="444">
        <v>5.9</v>
      </c>
      <c r="FG195" s="377">
        <v>1</v>
      </c>
      <c r="FH195" s="373">
        <v>3</v>
      </c>
      <c r="FI195" s="444">
        <v>25</v>
      </c>
      <c r="FJ195" s="377">
        <v>4</v>
      </c>
      <c r="FK195" s="373">
        <v>4</v>
      </c>
      <c r="FL195" s="444">
        <v>50</v>
      </c>
      <c r="FM195" s="377"/>
      <c r="FN195" s="373"/>
      <c r="FO195" s="444"/>
      <c r="FP195" s="377">
        <v>77</v>
      </c>
      <c r="FQ195" s="373">
        <v>95</v>
      </c>
      <c r="FR195" s="444">
        <v>44.8</v>
      </c>
      <c r="FS195" s="377">
        <v>36</v>
      </c>
      <c r="FT195" s="373">
        <v>34</v>
      </c>
      <c r="FU195" s="444">
        <v>51.4</v>
      </c>
      <c r="FV195" s="377">
        <v>25</v>
      </c>
      <c r="FW195" s="373">
        <v>25</v>
      </c>
      <c r="FX195" s="444">
        <v>50</v>
      </c>
      <c r="FY195" s="377"/>
      <c r="FZ195" s="373"/>
      <c r="GA195" s="444"/>
      <c r="GB195" s="377">
        <v>1</v>
      </c>
      <c r="GC195" s="373">
        <v>1</v>
      </c>
      <c r="GD195" s="444">
        <v>50</v>
      </c>
      <c r="GE195" s="377">
        <v>2</v>
      </c>
      <c r="GF195" s="373"/>
      <c r="GG195" s="444">
        <v>100</v>
      </c>
      <c r="GH195" s="377">
        <v>3</v>
      </c>
      <c r="GI195" s="373"/>
      <c r="GJ195" s="444">
        <v>100</v>
      </c>
      <c r="GK195" s="377"/>
      <c r="GL195" s="373"/>
      <c r="GM195" s="444"/>
      <c r="GN195" s="377"/>
      <c r="GO195" s="373"/>
      <c r="GP195" s="444" t="s">
        <v>6</v>
      </c>
      <c r="GQ195" s="377">
        <v>1</v>
      </c>
      <c r="GR195" s="373"/>
      <c r="GS195" s="444">
        <v>100</v>
      </c>
      <c r="GT195" s="377">
        <v>1</v>
      </c>
      <c r="GU195" s="373"/>
      <c r="GV195" s="444">
        <v>100</v>
      </c>
      <c r="GW195" s="377"/>
      <c r="GX195" s="373"/>
      <c r="GY195" s="444"/>
      <c r="GZ195" s="377"/>
      <c r="HA195" s="373"/>
      <c r="HB195" s="444" t="s">
        <v>6</v>
      </c>
      <c r="HC195" s="377"/>
      <c r="HD195" s="373"/>
      <c r="HE195" s="444" t="s">
        <v>6</v>
      </c>
      <c r="HF195" s="377"/>
      <c r="HG195" s="373"/>
      <c r="HH195" s="444" t="s">
        <v>6</v>
      </c>
      <c r="HI195" s="377"/>
      <c r="HJ195" s="373"/>
      <c r="HK195" s="444"/>
      <c r="HL195" s="377">
        <v>16</v>
      </c>
      <c r="HM195" s="373">
        <v>34</v>
      </c>
      <c r="HN195" s="444">
        <v>32</v>
      </c>
      <c r="HO195" s="377">
        <v>20</v>
      </c>
      <c r="HP195" s="373">
        <v>34</v>
      </c>
      <c r="HQ195" s="444">
        <v>37</v>
      </c>
      <c r="HR195" s="377">
        <v>10</v>
      </c>
      <c r="HS195" s="373">
        <v>20</v>
      </c>
      <c r="HT195" s="444">
        <v>33.299999999999997</v>
      </c>
      <c r="HU195" s="377"/>
      <c r="HV195" s="373"/>
      <c r="HW195" s="444"/>
      <c r="HX195" s="377">
        <v>1</v>
      </c>
      <c r="HY195" s="373"/>
      <c r="HZ195" s="444">
        <v>100</v>
      </c>
      <c r="IA195" s="377">
        <v>2</v>
      </c>
      <c r="IB195" s="373"/>
      <c r="IC195" s="444">
        <v>100</v>
      </c>
      <c r="ID195" s="377"/>
      <c r="IE195" s="373"/>
      <c r="IF195" s="444" t="s">
        <v>6</v>
      </c>
      <c r="IG195" s="377"/>
      <c r="IH195" s="373"/>
      <c r="II195" s="444"/>
      <c r="IJ195" s="377">
        <v>1</v>
      </c>
      <c r="IK195" s="373">
        <v>1</v>
      </c>
      <c r="IL195" s="444">
        <v>50</v>
      </c>
      <c r="IM195" s="377">
        <v>3</v>
      </c>
      <c r="IN195" s="373"/>
      <c r="IO195" s="444">
        <v>100</v>
      </c>
      <c r="IP195" s="377">
        <v>4</v>
      </c>
      <c r="IQ195" s="373">
        <v>1</v>
      </c>
      <c r="IR195" s="444">
        <v>80</v>
      </c>
      <c r="IS195" s="377"/>
      <c r="IT195" s="373"/>
      <c r="IU195" s="444"/>
      <c r="IV195" s="377">
        <v>225</v>
      </c>
      <c r="IW195" s="373">
        <v>618</v>
      </c>
      <c r="IX195" s="444">
        <v>26.7</v>
      </c>
      <c r="IY195" s="377">
        <v>205</v>
      </c>
      <c r="IZ195" s="373">
        <v>362</v>
      </c>
      <c r="JA195" s="444">
        <v>36.200000000000003</v>
      </c>
      <c r="JB195" s="377">
        <v>241</v>
      </c>
      <c r="JC195" s="373">
        <v>297</v>
      </c>
      <c r="JD195" s="444">
        <v>44.8</v>
      </c>
      <c r="JE195" s="377"/>
      <c r="JF195" s="373"/>
      <c r="JG195" s="444"/>
      <c r="JH195" s="377">
        <v>17</v>
      </c>
      <c r="JI195" s="373">
        <v>49</v>
      </c>
      <c r="JJ195" s="444">
        <v>25.8</v>
      </c>
      <c r="JK195" s="377">
        <v>39</v>
      </c>
      <c r="JL195" s="373">
        <v>25</v>
      </c>
      <c r="JM195" s="444">
        <v>60.9</v>
      </c>
      <c r="JN195" s="377">
        <v>37</v>
      </c>
      <c r="JO195" s="373">
        <v>23</v>
      </c>
      <c r="JP195" s="444">
        <v>61.7</v>
      </c>
      <c r="JQ195" s="377"/>
      <c r="JR195" s="373"/>
      <c r="JS195" s="444"/>
      <c r="JT195" s="377">
        <v>1</v>
      </c>
      <c r="JU195" s="373"/>
      <c r="JV195" s="444">
        <v>100</v>
      </c>
      <c r="JW195" s="377">
        <v>1</v>
      </c>
      <c r="JX195" s="373">
        <v>1</v>
      </c>
      <c r="JY195" s="444">
        <v>50</v>
      </c>
      <c r="JZ195" s="377">
        <v>1</v>
      </c>
      <c r="KA195" s="373"/>
      <c r="KB195" s="444">
        <v>100</v>
      </c>
      <c r="KC195" s="377"/>
      <c r="KD195" s="373"/>
      <c r="KE195" s="444"/>
      <c r="KF195" s="377"/>
      <c r="KG195" s="373">
        <v>1</v>
      </c>
      <c r="KH195" s="444">
        <v>0</v>
      </c>
      <c r="KI195" s="377"/>
      <c r="KJ195" s="373"/>
      <c r="KK195" s="444" t="s">
        <v>6</v>
      </c>
      <c r="KL195" s="377">
        <v>1</v>
      </c>
      <c r="KM195" s="373"/>
      <c r="KN195" s="444">
        <v>100</v>
      </c>
      <c r="KO195" s="377"/>
      <c r="KP195" s="373"/>
      <c r="KQ195" s="444"/>
      <c r="KR195" s="377">
        <v>21</v>
      </c>
      <c r="KS195" s="373">
        <v>56</v>
      </c>
      <c r="KT195" s="444">
        <v>27.3</v>
      </c>
      <c r="KU195" s="377">
        <v>48</v>
      </c>
      <c r="KV195" s="373">
        <v>30</v>
      </c>
      <c r="KW195" s="444">
        <v>61.5</v>
      </c>
      <c r="KX195" s="377">
        <v>42</v>
      </c>
      <c r="KY195" s="373">
        <v>26</v>
      </c>
      <c r="KZ195" s="444">
        <v>61.8</v>
      </c>
      <c r="LA195" s="377"/>
      <c r="LB195" s="373"/>
      <c r="LC195" s="444"/>
      <c r="LD195" s="377">
        <v>314</v>
      </c>
      <c r="LE195" s="373">
        <v>671</v>
      </c>
      <c r="LF195" s="444">
        <v>31.9</v>
      </c>
      <c r="LG195" s="377">
        <v>429</v>
      </c>
      <c r="LH195" s="373">
        <v>420</v>
      </c>
      <c r="LI195" s="444">
        <v>50.5</v>
      </c>
      <c r="LJ195" s="377">
        <v>504</v>
      </c>
      <c r="LK195" s="373">
        <v>380</v>
      </c>
      <c r="LL195" s="444">
        <v>57</v>
      </c>
      <c r="LM195" s="377"/>
      <c r="LN195" s="373"/>
      <c r="LO195" s="444"/>
    </row>
    <row r="196" spans="1:327" ht="13.5" thickBot="1" x14ac:dyDescent="0.25">
      <c r="A196" s="1001"/>
      <c r="B196" s="748" t="s">
        <v>621</v>
      </c>
      <c r="C196" s="156" t="s">
        <v>768</v>
      </c>
      <c r="D196" s="377"/>
      <c r="E196" s="373"/>
      <c r="F196" s="444" t="s">
        <v>6</v>
      </c>
      <c r="G196" s="377"/>
      <c r="H196" s="373"/>
      <c r="I196" s="444" t="s">
        <v>6</v>
      </c>
      <c r="J196" s="377"/>
      <c r="K196" s="373"/>
      <c r="L196" s="444" t="s">
        <v>6</v>
      </c>
      <c r="M196" s="377"/>
      <c r="N196" s="373"/>
      <c r="O196" s="444"/>
      <c r="P196" s="377"/>
      <c r="Q196" s="373"/>
      <c r="R196" s="444" t="s">
        <v>6</v>
      </c>
      <c r="S196" s="377"/>
      <c r="T196" s="373"/>
      <c r="U196" s="444" t="s">
        <v>6</v>
      </c>
      <c r="V196" s="377"/>
      <c r="W196" s="373"/>
      <c r="X196" s="444" t="s">
        <v>6</v>
      </c>
      <c r="Y196" s="377"/>
      <c r="Z196" s="373"/>
      <c r="AA196" s="444"/>
      <c r="AB196" s="377"/>
      <c r="AC196" s="373"/>
      <c r="AD196" s="444" t="s">
        <v>6</v>
      </c>
      <c r="AE196" s="377"/>
      <c r="AF196" s="373"/>
      <c r="AG196" s="444" t="s">
        <v>6</v>
      </c>
      <c r="AH196" s="377"/>
      <c r="AI196" s="373"/>
      <c r="AJ196" s="444" t="s">
        <v>6</v>
      </c>
      <c r="AK196" s="377"/>
      <c r="AL196" s="373"/>
      <c r="AM196" s="444"/>
      <c r="AN196" s="377">
        <v>5</v>
      </c>
      <c r="AO196" s="373">
        <v>4</v>
      </c>
      <c r="AP196" s="444">
        <v>55.6</v>
      </c>
      <c r="AQ196" s="377">
        <v>12</v>
      </c>
      <c r="AR196" s="373">
        <v>2</v>
      </c>
      <c r="AS196" s="444">
        <v>85.7</v>
      </c>
      <c r="AT196" s="377">
        <v>10</v>
      </c>
      <c r="AU196" s="373">
        <v>3</v>
      </c>
      <c r="AV196" s="444">
        <v>76.900000000000006</v>
      </c>
      <c r="AW196" s="377"/>
      <c r="AX196" s="373"/>
      <c r="AY196" s="444"/>
      <c r="AZ196" s="377">
        <v>1</v>
      </c>
      <c r="BA196" s="373">
        <v>3</v>
      </c>
      <c r="BB196" s="444">
        <v>25</v>
      </c>
      <c r="BC196" s="377">
        <v>4</v>
      </c>
      <c r="BD196" s="373">
        <v>1</v>
      </c>
      <c r="BE196" s="444">
        <v>80</v>
      </c>
      <c r="BF196" s="377">
        <v>2</v>
      </c>
      <c r="BG196" s="373">
        <v>2</v>
      </c>
      <c r="BH196" s="444">
        <v>50</v>
      </c>
      <c r="BI196" s="377"/>
      <c r="BJ196" s="373"/>
      <c r="BK196" s="444"/>
      <c r="BL196" s="377"/>
      <c r="BM196" s="373"/>
      <c r="BN196" s="444" t="s">
        <v>6</v>
      </c>
      <c r="BO196" s="377"/>
      <c r="BP196" s="373"/>
      <c r="BQ196" s="444" t="s">
        <v>6</v>
      </c>
      <c r="BR196" s="377"/>
      <c r="BS196" s="373"/>
      <c r="BT196" s="444" t="s">
        <v>6</v>
      </c>
      <c r="BU196" s="377"/>
      <c r="BV196" s="373"/>
      <c r="BW196" s="444"/>
      <c r="BX196" s="377"/>
      <c r="BY196" s="373"/>
      <c r="BZ196" s="444" t="s">
        <v>6</v>
      </c>
      <c r="CA196" s="377"/>
      <c r="CB196" s="373"/>
      <c r="CC196" s="444" t="s">
        <v>6</v>
      </c>
      <c r="CD196" s="377"/>
      <c r="CE196" s="373"/>
      <c r="CF196" s="444" t="s">
        <v>6</v>
      </c>
      <c r="CG196" s="377"/>
      <c r="CH196" s="373"/>
      <c r="CI196" s="444"/>
      <c r="CJ196" s="377"/>
      <c r="CK196" s="373"/>
      <c r="CL196" s="444" t="s">
        <v>6</v>
      </c>
      <c r="CM196" s="377"/>
      <c r="CN196" s="373"/>
      <c r="CO196" s="444" t="s">
        <v>6</v>
      </c>
      <c r="CP196" s="377"/>
      <c r="CQ196" s="373"/>
      <c r="CR196" s="444" t="s">
        <v>6</v>
      </c>
      <c r="CS196" s="377"/>
      <c r="CT196" s="373"/>
      <c r="CU196" s="444"/>
      <c r="CV196" s="377">
        <v>9</v>
      </c>
      <c r="CW196" s="373">
        <v>5</v>
      </c>
      <c r="CX196" s="444">
        <v>64.3</v>
      </c>
      <c r="CY196" s="377">
        <v>19</v>
      </c>
      <c r="CZ196" s="373">
        <v>5</v>
      </c>
      <c r="DA196" s="444">
        <v>79.2</v>
      </c>
      <c r="DB196" s="377">
        <v>15</v>
      </c>
      <c r="DC196" s="373">
        <v>6</v>
      </c>
      <c r="DD196" s="444">
        <v>71.400000000000006</v>
      </c>
      <c r="DE196" s="377"/>
      <c r="DF196" s="373"/>
      <c r="DG196" s="444"/>
      <c r="DH196" s="377"/>
      <c r="DI196" s="373"/>
      <c r="DJ196" s="444" t="s">
        <v>6</v>
      </c>
      <c r="DK196" s="377"/>
      <c r="DL196" s="373"/>
      <c r="DM196" s="444" t="s">
        <v>6</v>
      </c>
      <c r="DN196" s="377"/>
      <c r="DO196" s="373"/>
      <c r="DP196" s="444" t="s">
        <v>6</v>
      </c>
      <c r="DQ196" s="377"/>
      <c r="DR196" s="373"/>
      <c r="DS196" s="444"/>
      <c r="DT196" s="377">
        <v>1</v>
      </c>
      <c r="DU196" s="373">
        <v>1</v>
      </c>
      <c r="DV196" s="444">
        <v>50</v>
      </c>
      <c r="DW196" s="377"/>
      <c r="DX196" s="373"/>
      <c r="DY196" s="444" t="s">
        <v>6</v>
      </c>
      <c r="DZ196" s="377">
        <v>2</v>
      </c>
      <c r="EA196" s="373"/>
      <c r="EB196" s="444">
        <v>100</v>
      </c>
      <c r="EC196" s="377"/>
      <c r="ED196" s="373"/>
      <c r="EE196" s="444"/>
      <c r="EF196" s="377">
        <v>142</v>
      </c>
      <c r="EG196" s="373">
        <v>358</v>
      </c>
      <c r="EH196" s="444">
        <v>28.4</v>
      </c>
      <c r="EI196" s="377">
        <v>106</v>
      </c>
      <c r="EJ196" s="373">
        <v>413</v>
      </c>
      <c r="EK196" s="444">
        <v>20.399999999999999</v>
      </c>
      <c r="EL196" s="377">
        <v>127</v>
      </c>
      <c r="EM196" s="373">
        <v>289</v>
      </c>
      <c r="EN196" s="444">
        <v>30.5</v>
      </c>
      <c r="EO196" s="377"/>
      <c r="EP196" s="373"/>
      <c r="EQ196" s="444"/>
      <c r="ER196" s="377">
        <v>15</v>
      </c>
      <c r="ES196" s="373">
        <v>1</v>
      </c>
      <c r="ET196" s="444">
        <v>93.8</v>
      </c>
      <c r="EU196" s="377"/>
      <c r="EV196" s="373">
        <v>1</v>
      </c>
      <c r="EW196" s="444">
        <v>0</v>
      </c>
      <c r="EX196" s="377"/>
      <c r="EY196" s="373"/>
      <c r="EZ196" s="444" t="s">
        <v>6</v>
      </c>
      <c r="FA196" s="377"/>
      <c r="FB196" s="373"/>
      <c r="FC196" s="444"/>
      <c r="FD196" s="377">
        <v>9</v>
      </c>
      <c r="FE196" s="373">
        <v>7</v>
      </c>
      <c r="FF196" s="444">
        <v>56.3</v>
      </c>
      <c r="FG196" s="377"/>
      <c r="FH196" s="373">
        <v>14</v>
      </c>
      <c r="FI196" s="444">
        <v>0</v>
      </c>
      <c r="FJ196" s="377">
        <v>10</v>
      </c>
      <c r="FK196" s="373">
        <v>4</v>
      </c>
      <c r="FL196" s="444">
        <v>71.400000000000006</v>
      </c>
      <c r="FM196" s="377"/>
      <c r="FN196" s="373"/>
      <c r="FO196" s="444"/>
      <c r="FP196" s="377">
        <v>26</v>
      </c>
      <c r="FQ196" s="373">
        <v>54</v>
      </c>
      <c r="FR196" s="444">
        <v>32.5</v>
      </c>
      <c r="FS196" s="377">
        <v>17</v>
      </c>
      <c r="FT196" s="373">
        <v>62</v>
      </c>
      <c r="FU196" s="444">
        <v>21.5</v>
      </c>
      <c r="FV196" s="377">
        <v>41</v>
      </c>
      <c r="FW196" s="373">
        <v>21</v>
      </c>
      <c r="FX196" s="444">
        <v>66.099999999999994</v>
      </c>
      <c r="FY196" s="377"/>
      <c r="FZ196" s="373"/>
      <c r="GA196" s="444"/>
      <c r="GB196" s="377">
        <v>3</v>
      </c>
      <c r="GC196" s="373"/>
      <c r="GD196" s="444">
        <v>100</v>
      </c>
      <c r="GE196" s="377"/>
      <c r="GF196" s="373">
        <v>1</v>
      </c>
      <c r="GG196" s="444">
        <v>0</v>
      </c>
      <c r="GH196" s="377">
        <v>1</v>
      </c>
      <c r="GI196" s="373"/>
      <c r="GJ196" s="444">
        <v>100</v>
      </c>
      <c r="GK196" s="377"/>
      <c r="GL196" s="373"/>
      <c r="GM196" s="444"/>
      <c r="GN196" s="377"/>
      <c r="GO196" s="373"/>
      <c r="GP196" s="444" t="s">
        <v>6</v>
      </c>
      <c r="GQ196" s="377">
        <v>1</v>
      </c>
      <c r="GR196" s="373"/>
      <c r="GS196" s="444">
        <v>100</v>
      </c>
      <c r="GT196" s="377">
        <v>1</v>
      </c>
      <c r="GU196" s="373"/>
      <c r="GV196" s="444">
        <v>100</v>
      </c>
      <c r="GW196" s="377"/>
      <c r="GX196" s="373"/>
      <c r="GY196" s="444"/>
      <c r="GZ196" s="377"/>
      <c r="HA196" s="373"/>
      <c r="HB196" s="444" t="s">
        <v>6</v>
      </c>
      <c r="HC196" s="377">
        <v>3</v>
      </c>
      <c r="HD196" s="373"/>
      <c r="HE196" s="444">
        <v>100</v>
      </c>
      <c r="HF196" s="377"/>
      <c r="HG196" s="373"/>
      <c r="HH196" s="444" t="s">
        <v>6</v>
      </c>
      <c r="HI196" s="377"/>
      <c r="HJ196" s="373"/>
      <c r="HK196" s="444"/>
      <c r="HL196" s="377">
        <v>4</v>
      </c>
      <c r="HM196" s="373">
        <v>26</v>
      </c>
      <c r="HN196" s="444">
        <v>13.3</v>
      </c>
      <c r="HO196" s="377">
        <v>17</v>
      </c>
      <c r="HP196" s="373">
        <v>27</v>
      </c>
      <c r="HQ196" s="444">
        <v>38.6</v>
      </c>
      <c r="HR196" s="377">
        <v>8</v>
      </c>
      <c r="HS196" s="373">
        <v>20</v>
      </c>
      <c r="HT196" s="444">
        <v>28.6</v>
      </c>
      <c r="HU196" s="377"/>
      <c r="HV196" s="373"/>
      <c r="HW196" s="444"/>
      <c r="HX196" s="377"/>
      <c r="HY196" s="373"/>
      <c r="HZ196" s="444" t="s">
        <v>6</v>
      </c>
      <c r="IA196" s="377">
        <v>1</v>
      </c>
      <c r="IB196" s="373"/>
      <c r="IC196" s="444">
        <v>100</v>
      </c>
      <c r="ID196" s="377"/>
      <c r="IE196" s="373"/>
      <c r="IF196" s="444" t="s">
        <v>6</v>
      </c>
      <c r="IG196" s="377"/>
      <c r="IH196" s="373"/>
      <c r="II196" s="444"/>
      <c r="IJ196" s="377">
        <v>2</v>
      </c>
      <c r="IK196" s="373"/>
      <c r="IL196" s="444">
        <v>100</v>
      </c>
      <c r="IM196" s="377">
        <v>3</v>
      </c>
      <c r="IN196" s="373">
        <v>1</v>
      </c>
      <c r="IO196" s="444">
        <v>75</v>
      </c>
      <c r="IP196" s="377"/>
      <c r="IQ196" s="373">
        <v>1</v>
      </c>
      <c r="IR196" s="444">
        <v>0</v>
      </c>
      <c r="IS196" s="377"/>
      <c r="IT196" s="373"/>
      <c r="IU196" s="444"/>
      <c r="IV196" s="377">
        <v>166</v>
      </c>
      <c r="IW196" s="373">
        <v>394</v>
      </c>
      <c r="IX196" s="444">
        <v>29.6</v>
      </c>
      <c r="IY196" s="377">
        <v>162</v>
      </c>
      <c r="IZ196" s="373">
        <v>449</v>
      </c>
      <c r="JA196" s="444">
        <v>26.5</v>
      </c>
      <c r="JB196" s="377">
        <v>164</v>
      </c>
      <c r="JC196" s="373">
        <v>319</v>
      </c>
      <c r="JD196" s="444">
        <v>34</v>
      </c>
      <c r="JE196" s="377"/>
      <c r="JF196" s="373"/>
      <c r="JG196" s="444"/>
      <c r="JH196" s="377">
        <v>27</v>
      </c>
      <c r="JI196" s="373">
        <v>50</v>
      </c>
      <c r="JJ196" s="444">
        <v>35.1</v>
      </c>
      <c r="JK196" s="377">
        <v>36</v>
      </c>
      <c r="JL196" s="373">
        <v>56</v>
      </c>
      <c r="JM196" s="444">
        <v>39.1</v>
      </c>
      <c r="JN196" s="377">
        <v>44</v>
      </c>
      <c r="JO196" s="373">
        <v>20</v>
      </c>
      <c r="JP196" s="444">
        <v>68.8</v>
      </c>
      <c r="JQ196" s="377"/>
      <c r="JR196" s="373"/>
      <c r="JS196" s="444"/>
      <c r="JT196" s="377">
        <v>1</v>
      </c>
      <c r="JU196" s="373"/>
      <c r="JV196" s="444">
        <v>100</v>
      </c>
      <c r="JW196" s="377"/>
      <c r="JX196" s="373"/>
      <c r="JY196" s="444" t="s">
        <v>6</v>
      </c>
      <c r="JZ196" s="377">
        <v>1</v>
      </c>
      <c r="KA196" s="373"/>
      <c r="KB196" s="444">
        <v>100</v>
      </c>
      <c r="KC196" s="377"/>
      <c r="KD196" s="373"/>
      <c r="KE196" s="444"/>
      <c r="KF196" s="377"/>
      <c r="KG196" s="373">
        <v>1</v>
      </c>
      <c r="KH196" s="444">
        <v>0</v>
      </c>
      <c r="KI196" s="377"/>
      <c r="KJ196" s="373"/>
      <c r="KK196" s="444" t="s">
        <v>6</v>
      </c>
      <c r="KL196" s="377">
        <v>1</v>
      </c>
      <c r="KM196" s="373"/>
      <c r="KN196" s="444">
        <v>100</v>
      </c>
      <c r="KO196" s="377"/>
      <c r="KP196" s="373"/>
      <c r="KQ196" s="444"/>
      <c r="KR196" s="377">
        <v>29</v>
      </c>
      <c r="KS196" s="373">
        <v>54</v>
      </c>
      <c r="KT196" s="444">
        <v>34.9</v>
      </c>
      <c r="KU196" s="377">
        <v>38</v>
      </c>
      <c r="KV196" s="373">
        <v>59</v>
      </c>
      <c r="KW196" s="444">
        <v>39.200000000000003</v>
      </c>
      <c r="KX196" s="377">
        <v>49</v>
      </c>
      <c r="KY196" s="373">
        <v>23</v>
      </c>
      <c r="KZ196" s="444">
        <v>68.099999999999994</v>
      </c>
      <c r="LA196" s="377"/>
      <c r="LB196" s="373"/>
      <c r="LC196" s="444"/>
      <c r="LD196" s="377">
        <v>252</v>
      </c>
      <c r="LE196" s="373">
        <v>492</v>
      </c>
      <c r="LF196" s="444">
        <v>33.9</v>
      </c>
      <c r="LG196" s="377">
        <v>201</v>
      </c>
      <c r="LH196" s="373">
        <v>541</v>
      </c>
      <c r="LI196" s="444">
        <v>27.1</v>
      </c>
      <c r="LJ196" s="377">
        <v>278</v>
      </c>
      <c r="LK196" s="373">
        <v>426</v>
      </c>
      <c r="LL196" s="444">
        <v>39.5</v>
      </c>
      <c r="LM196" s="377"/>
      <c r="LN196" s="373"/>
      <c r="LO196" s="444"/>
    </row>
    <row r="197" spans="1:327" s="259" customFormat="1" ht="13.5" thickBot="1" x14ac:dyDescent="0.25">
      <c r="A197" s="1002"/>
      <c r="B197" s="751"/>
      <c r="C197" s="289" t="s">
        <v>795</v>
      </c>
      <c r="D197" s="384">
        <v>3</v>
      </c>
      <c r="E197" s="385"/>
      <c r="F197" s="451">
        <v>100</v>
      </c>
      <c r="G197" s="384">
        <v>1</v>
      </c>
      <c r="H197" s="385"/>
      <c r="I197" s="451">
        <v>100</v>
      </c>
      <c r="J197" s="384">
        <v>2</v>
      </c>
      <c r="K197" s="385"/>
      <c r="L197" s="451">
        <v>100</v>
      </c>
      <c r="M197" s="384"/>
      <c r="N197" s="385"/>
      <c r="O197" s="451"/>
      <c r="P197" s="384">
        <v>2</v>
      </c>
      <c r="Q197" s="385"/>
      <c r="R197" s="451">
        <v>100</v>
      </c>
      <c r="S197" s="384">
        <v>1</v>
      </c>
      <c r="T197" s="385"/>
      <c r="U197" s="451">
        <v>100</v>
      </c>
      <c r="V197" s="384">
        <v>2</v>
      </c>
      <c r="W197" s="385"/>
      <c r="X197" s="451">
        <v>100</v>
      </c>
      <c r="Y197" s="384"/>
      <c r="Z197" s="385"/>
      <c r="AA197" s="451"/>
      <c r="AB197" s="384">
        <v>1</v>
      </c>
      <c r="AC197" s="385"/>
      <c r="AD197" s="451">
        <v>100</v>
      </c>
      <c r="AE197" s="384"/>
      <c r="AF197" s="385"/>
      <c r="AG197" s="451" t="s">
        <v>6</v>
      </c>
      <c r="AH197" s="384"/>
      <c r="AI197" s="385"/>
      <c r="AJ197" s="451" t="s">
        <v>6</v>
      </c>
      <c r="AK197" s="384"/>
      <c r="AL197" s="385"/>
      <c r="AM197" s="451"/>
      <c r="AN197" s="384">
        <v>28</v>
      </c>
      <c r="AO197" s="385">
        <v>20</v>
      </c>
      <c r="AP197" s="451">
        <v>58.3</v>
      </c>
      <c r="AQ197" s="384">
        <v>62</v>
      </c>
      <c r="AR197" s="385">
        <v>14</v>
      </c>
      <c r="AS197" s="451">
        <v>81.599999999999994</v>
      </c>
      <c r="AT197" s="384">
        <v>62</v>
      </c>
      <c r="AU197" s="385">
        <v>11</v>
      </c>
      <c r="AV197" s="451">
        <v>84.9</v>
      </c>
      <c r="AW197" s="384"/>
      <c r="AX197" s="385"/>
      <c r="AY197" s="451"/>
      <c r="AZ197" s="384">
        <v>15</v>
      </c>
      <c r="BA197" s="385">
        <v>14</v>
      </c>
      <c r="BB197" s="451">
        <v>51.7</v>
      </c>
      <c r="BC197" s="384">
        <v>30</v>
      </c>
      <c r="BD197" s="385">
        <v>10</v>
      </c>
      <c r="BE197" s="451">
        <v>75</v>
      </c>
      <c r="BF197" s="384">
        <v>27</v>
      </c>
      <c r="BG197" s="385">
        <v>9</v>
      </c>
      <c r="BH197" s="451">
        <v>75</v>
      </c>
      <c r="BI197" s="384"/>
      <c r="BJ197" s="385"/>
      <c r="BK197" s="451"/>
      <c r="BL197" s="384"/>
      <c r="BM197" s="385"/>
      <c r="BN197" s="451" t="s">
        <v>6</v>
      </c>
      <c r="BO197" s="384"/>
      <c r="BP197" s="385"/>
      <c r="BQ197" s="451" t="s">
        <v>6</v>
      </c>
      <c r="BR197" s="384"/>
      <c r="BS197" s="385"/>
      <c r="BT197" s="451" t="s">
        <v>6</v>
      </c>
      <c r="BU197" s="384"/>
      <c r="BV197" s="385"/>
      <c r="BW197" s="451"/>
      <c r="BX197" s="384"/>
      <c r="BY197" s="385"/>
      <c r="BZ197" s="451" t="s">
        <v>6</v>
      </c>
      <c r="CA197" s="384"/>
      <c r="CB197" s="385"/>
      <c r="CC197" s="451" t="s">
        <v>6</v>
      </c>
      <c r="CD197" s="384">
        <v>1</v>
      </c>
      <c r="CE197" s="385"/>
      <c r="CF197" s="451">
        <v>100</v>
      </c>
      <c r="CG197" s="384"/>
      <c r="CH197" s="385"/>
      <c r="CI197" s="451"/>
      <c r="CJ197" s="384">
        <v>10</v>
      </c>
      <c r="CK197" s="385"/>
      <c r="CL197" s="451">
        <v>100</v>
      </c>
      <c r="CM197" s="384">
        <v>5</v>
      </c>
      <c r="CN197" s="385">
        <v>2</v>
      </c>
      <c r="CO197" s="451">
        <v>71.400000000000006</v>
      </c>
      <c r="CP197" s="384">
        <v>6</v>
      </c>
      <c r="CQ197" s="385"/>
      <c r="CR197" s="451">
        <v>100</v>
      </c>
      <c r="CS197" s="384"/>
      <c r="CT197" s="385"/>
      <c r="CU197" s="451"/>
      <c r="CV197" s="384">
        <v>25</v>
      </c>
      <c r="CW197" s="385">
        <v>27</v>
      </c>
      <c r="CX197" s="451">
        <v>48.1</v>
      </c>
      <c r="CY197" s="384">
        <v>72</v>
      </c>
      <c r="CZ197" s="385">
        <v>16</v>
      </c>
      <c r="DA197" s="451">
        <v>81.8</v>
      </c>
      <c r="DB197" s="384">
        <v>77</v>
      </c>
      <c r="DC197" s="385">
        <v>12</v>
      </c>
      <c r="DD197" s="451">
        <v>86.5</v>
      </c>
      <c r="DE197" s="384"/>
      <c r="DF197" s="385"/>
      <c r="DG197" s="451"/>
      <c r="DH197" s="384"/>
      <c r="DI197" s="385"/>
      <c r="DJ197" s="451" t="s">
        <v>6</v>
      </c>
      <c r="DK197" s="384">
        <v>3</v>
      </c>
      <c r="DL197" s="385"/>
      <c r="DM197" s="451">
        <v>100</v>
      </c>
      <c r="DN197" s="384">
        <v>1</v>
      </c>
      <c r="DO197" s="385"/>
      <c r="DP197" s="451">
        <v>100</v>
      </c>
      <c r="DQ197" s="384"/>
      <c r="DR197" s="385"/>
      <c r="DS197" s="451"/>
      <c r="DT197" s="384">
        <v>1</v>
      </c>
      <c r="DU197" s="385">
        <v>1</v>
      </c>
      <c r="DV197" s="451">
        <v>50</v>
      </c>
      <c r="DW197" s="384">
        <v>6</v>
      </c>
      <c r="DX197" s="385">
        <v>1</v>
      </c>
      <c r="DY197" s="451">
        <v>85.7</v>
      </c>
      <c r="DZ197" s="384">
        <v>4</v>
      </c>
      <c r="EA197" s="385"/>
      <c r="EB197" s="451">
        <v>100</v>
      </c>
      <c r="EC197" s="384"/>
      <c r="ED197" s="385"/>
      <c r="EE197" s="451"/>
      <c r="EF197" s="384">
        <v>561</v>
      </c>
      <c r="EG197" s="385">
        <v>1599</v>
      </c>
      <c r="EH197" s="451">
        <v>26</v>
      </c>
      <c r="EI197" s="384">
        <v>799</v>
      </c>
      <c r="EJ197" s="385">
        <v>1468</v>
      </c>
      <c r="EK197" s="451">
        <v>35.200000000000003</v>
      </c>
      <c r="EL197" s="384">
        <v>429</v>
      </c>
      <c r="EM197" s="385">
        <v>888</v>
      </c>
      <c r="EN197" s="451">
        <v>32.6</v>
      </c>
      <c r="EO197" s="384"/>
      <c r="EP197" s="385"/>
      <c r="EQ197" s="451"/>
      <c r="ER197" s="384">
        <v>20</v>
      </c>
      <c r="ES197" s="385">
        <v>5</v>
      </c>
      <c r="ET197" s="451">
        <v>80</v>
      </c>
      <c r="EU197" s="384"/>
      <c r="EV197" s="385">
        <v>1</v>
      </c>
      <c r="EW197" s="451">
        <v>0</v>
      </c>
      <c r="EX197" s="384"/>
      <c r="EY197" s="385"/>
      <c r="EZ197" s="451" t="s">
        <v>6</v>
      </c>
      <c r="FA197" s="384"/>
      <c r="FB197" s="385"/>
      <c r="FC197" s="451"/>
      <c r="FD197" s="384">
        <v>13</v>
      </c>
      <c r="FE197" s="385">
        <v>36</v>
      </c>
      <c r="FF197" s="451">
        <v>26.5</v>
      </c>
      <c r="FG197" s="384">
        <v>6</v>
      </c>
      <c r="FH197" s="385">
        <v>19</v>
      </c>
      <c r="FI197" s="451">
        <v>24</v>
      </c>
      <c r="FJ197" s="384">
        <v>15</v>
      </c>
      <c r="FK197" s="385">
        <v>13</v>
      </c>
      <c r="FL197" s="451">
        <v>53.6</v>
      </c>
      <c r="FM197" s="384"/>
      <c r="FN197" s="385"/>
      <c r="FO197" s="451"/>
      <c r="FP197" s="384">
        <v>156</v>
      </c>
      <c r="FQ197" s="385">
        <v>276</v>
      </c>
      <c r="FR197" s="451">
        <v>36.1</v>
      </c>
      <c r="FS197" s="384">
        <v>86</v>
      </c>
      <c r="FT197" s="385">
        <v>124</v>
      </c>
      <c r="FU197" s="451">
        <v>41</v>
      </c>
      <c r="FV197" s="384">
        <v>83</v>
      </c>
      <c r="FW197" s="385">
        <v>61</v>
      </c>
      <c r="FX197" s="451">
        <v>57.6</v>
      </c>
      <c r="FY197" s="384"/>
      <c r="FZ197" s="385"/>
      <c r="GA197" s="451"/>
      <c r="GB197" s="384">
        <v>4</v>
      </c>
      <c r="GC197" s="385">
        <v>3</v>
      </c>
      <c r="GD197" s="451">
        <v>57.1</v>
      </c>
      <c r="GE197" s="384">
        <v>6</v>
      </c>
      <c r="GF197" s="385">
        <v>1</v>
      </c>
      <c r="GG197" s="451">
        <v>85.7</v>
      </c>
      <c r="GH197" s="384">
        <v>7</v>
      </c>
      <c r="GI197" s="385"/>
      <c r="GJ197" s="451">
        <v>100</v>
      </c>
      <c r="GK197" s="384"/>
      <c r="GL197" s="385"/>
      <c r="GM197" s="451"/>
      <c r="GN197" s="384">
        <v>12</v>
      </c>
      <c r="GO197" s="385">
        <v>1</v>
      </c>
      <c r="GP197" s="451">
        <v>92.3</v>
      </c>
      <c r="GQ197" s="384">
        <v>9</v>
      </c>
      <c r="GR197" s="385">
        <v>1</v>
      </c>
      <c r="GS197" s="451">
        <v>90</v>
      </c>
      <c r="GT197" s="384">
        <v>6</v>
      </c>
      <c r="GU197" s="385">
        <v>3</v>
      </c>
      <c r="GV197" s="451">
        <v>66.7</v>
      </c>
      <c r="GW197" s="384"/>
      <c r="GX197" s="385"/>
      <c r="GY197" s="451"/>
      <c r="GZ197" s="384">
        <v>2</v>
      </c>
      <c r="HA197" s="385"/>
      <c r="HB197" s="451">
        <v>100</v>
      </c>
      <c r="HC197" s="384">
        <v>8</v>
      </c>
      <c r="HD197" s="385"/>
      <c r="HE197" s="451">
        <v>100</v>
      </c>
      <c r="HF197" s="384"/>
      <c r="HG197" s="385"/>
      <c r="HH197" s="451" t="s">
        <v>6</v>
      </c>
      <c r="HI197" s="384"/>
      <c r="HJ197" s="385"/>
      <c r="HK197" s="451"/>
      <c r="HL197" s="384">
        <v>27</v>
      </c>
      <c r="HM197" s="385">
        <v>115</v>
      </c>
      <c r="HN197" s="451">
        <v>19</v>
      </c>
      <c r="HO197" s="384">
        <v>49</v>
      </c>
      <c r="HP197" s="385">
        <v>90</v>
      </c>
      <c r="HQ197" s="451">
        <v>35.299999999999997</v>
      </c>
      <c r="HR197" s="384">
        <v>32</v>
      </c>
      <c r="HS197" s="385">
        <v>67</v>
      </c>
      <c r="HT197" s="451">
        <v>32.299999999999997</v>
      </c>
      <c r="HU197" s="384"/>
      <c r="HV197" s="385"/>
      <c r="HW197" s="451"/>
      <c r="HX197" s="384">
        <v>7</v>
      </c>
      <c r="HY197" s="385"/>
      <c r="HZ197" s="451">
        <v>100</v>
      </c>
      <c r="IA197" s="384">
        <v>9</v>
      </c>
      <c r="IB197" s="385"/>
      <c r="IC197" s="451">
        <v>100</v>
      </c>
      <c r="ID197" s="384">
        <v>2</v>
      </c>
      <c r="IE197" s="385"/>
      <c r="IF197" s="451">
        <v>100</v>
      </c>
      <c r="IG197" s="384"/>
      <c r="IH197" s="385"/>
      <c r="II197" s="451"/>
      <c r="IJ197" s="384">
        <v>4</v>
      </c>
      <c r="IK197" s="385">
        <v>1</v>
      </c>
      <c r="IL197" s="451">
        <v>80</v>
      </c>
      <c r="IM197" s="384">
        <v>8</v>
      </c>
      <c r="IN197" s="385">
        <v>1</v>
      </c>
      <c r="IO197" s="451">
        <v>88.9</v>
      </c>
      <c r="IP197" s="384">
        <v>5</v>
      </c>
      <c r="IQ197" s="385">
        <v>2</v>
      </c>
      <c r="IR197" s="451">
        <v>71.400000000000006</v>
      </c>
      <c r="IS197" s="384"/>
      <c r="IT197" s="385"/>
      <c r="IU197" s="451"/>
      <c r="IV197" s="384">
        <v>684</v>
      </c>
      <c r="IW197" s="385">
        <v>1767</v>
      </c>
      <c r="IX197" s="451">
        <v>27.9</v>
      </c>
      <c r="IY197" s="384">
        <v>1037</v>
      </c>
      <c r="IZ197" s="385">
        <v>1594</v>
      </c>
      <c r="JA197" s="451">
        <v>39.4</v>
      </c>
      <c r="JB197" s="384">
        <v>634</v>
      </c>
      <c r="JC197" s="385">
        <v>983</v>
      </c>
      <c r="JD197" s="451">
        <v>39.200000000000003</v>
      </c>
      <c r="JE197" s="384"/>
      <c r="JF197" s="385"/>
      <c r="JG197" s="451"/>
      <c r="JH197" s="384">
        <v>85</v>
      </c>
      <c r="JI197" s="385">
        <v>223</v>
      </c>
      <c r="JJ197" s="451">
        <v>27.6</v>
      </c>
      <c r="JK197" s="384">
        <v>117</v>
      </c>
      <c r="JL197" s="385">
        <v>150</v>
      </c>
      <c r="JM197" s="451">
        <v>43.8</v>
      </c>
      <c r="JN197" s="384">
        <v>150</v>
      </c>
      <c r="JO197" s="385">
        <v>60</v>
      </c>
      <c r="JP197" s="451">
        <v>71.400000000000006</v>
      </c>
      <c r="JQ197" s="384"/>
      <c r="JR197" s="385"/>
      <c r="JS197" s="451"/>
      <c r="JT197" s="384">
        <v>3</v>
      </c>
      <c r="JU197" s="385">
        <v>2</v>
      </c>
      <c r="JV197" s="451">
        <v>60</v>
      </c>
      <c r="JW197" s="384">
        <v>3</v>
      </c>
      <c r="JX197" s="385">
        <v>4</v>
      </c>
      <c r="JY197" s="451">
        <v>42.9</v>
      </c>
      <c r="JZ197" s="384">
        <v>6</v>
      </c>
      <c r="KA197" s="385">
        <v>1</v>
      </c>
      <c r="KB197" s="451">
        <v>85.7</v>
      </c>
      <c r="KC197" s="384"/>
      <c r="KD197" s="385"/>
      <c r="KE197" s="451"/>
      <c r="KF197" s="384">
        <v>2</v>
      </c>
      <c r="KG197" s="385">
        <v>2</v>
      </c>
      <c r="KH197" s="451">
        <v>50</v>
      </c>
      <c r="KI197" s="384">
        <v>1</v>
      </c>
      <c r="KJ197" s="385"/>
      <c r="KK197" s="451">
        <v>100</v>
      </c>
      <c r="KL197" s="384">
        <v>6</v>
      </c>
      <c r="KM197" s="385">
        <v>1</v>
      </c>
      <c r="KN197" s="451">
        <v>85.7</v>
      </c>
      <c r="KO197" s="384"/>
      <c r="KP197" s="385"/>
      <c r="KQ197" s="451"/>
      <c r="KR197" s="384">
        <v>113</v>
      </c>
      <c r="KS197" s="385">
        <v>250</v>
      </c>
      <c r="KT197" s="451">
        <v>31.1</v>
      </c>
      <c r="KU197" s="384">
        <v>157</v>
      </c>
      <c r="KV197" s="385">
        <v>193</v>
      </c>
      <c r="KW197" s="451">
        <v>44.9</v>
      </c>
      <c r="KX197" s="384">
        <v>188</v>
      </c>
      <c r="KY197" s="385">
        <v>91</v>
      </c>
      <c r="KZ197" s="451">
        <v>67.400000000000006</v>
      </c>
      <c r="LA197" s="384"/>
      <c r="LB197" s="385"/>
      <c r="LC197" s="451"/>
      <c r="LD197" s="384">
        <v>1121</v>
      </c>
      <c r="LE197" s="385">
        <v>2094</v>
      </c>
      <c r="LF197" s="451">
        <v>34.9</v>
      </c>
      <c r="LG197" s="384">
        <v>2268</v>
      </c>
      <c r="LH197" s="385">
        <v>2021</v>
      </c>
      <c r="LI197" s="451">
        <v>52.9</v>
      </c>
      <c r="LJ197" s="384">
        <v>2288</v>
      </c>
      <c r="LK197" s="385">
        <v>1521</v>
      </c>
      <c r="LL197" s="451">
        <v>60.1</v>
      </c>
      <c r="LM197" s="384"/>
      <c r="LN197" s="385"/>
      <c r="LO197" s="451"/>
    </row>
    <row r="198" spans="1:327" s="259" customFormat="1" ht="13.5" thickBot="1" x14ac:dyDescent="0.25">
      <c r="A198" s="711" t="s">
        <v>613</v>
      </c>
      <c r="B198" s="711"/>
      <c r="C198" s="745" t="s">
        <v>614</v>
      </c>
      <c r="D198" s="384"/>
      <c r="E198" s="385"/>
      <c r="F198" s="451" t="s">
        <v>6</v>
      </c>
      <c r="G198" s="384"/>
      <c r="H198" s="385"/>
      <c r="I198" s="451" t="s">
        <v>6</v>
      </c>
      <c r="J198" s="384">
        <v>2</v>
      </c>
      <c r="K198" s="385"/>
      <c r="L198" s="451">
        <v>100</v>
      </c>
      <c r="M198" s="384"/>
      <c r="N198" s="385"/>
      <c r="O198" s="451"/>
      <c r="P198" s="384"/>
      <c r="Q198" s="385"/>
      <c r="R198" s="451" t="s">
        <v>6</v>
      </c>
      <c r="S198" s="384"/>
      <c r="T198" s="385"/>
      <c r="U198" s="451" t="s">
        <v>6</v>
      </c>
      <c r="V198" s="384">
        <v>2</v>
      </c>
      <c r="W198" s="385"/>
      <c r="X198" s="451">
        <v>100</v>
      </c>
      <c r="Y198" s="384"/>
      <c r="Z198" s="385"/>
      <c r="AA198" s="451"/>
      <c r="AB198" s="384"/>
      <c r="AC198" s="385"/>
      <c r="AD198" s="451" t="s">
        <v>6</v>
      </c>
      <c r="AE198" s="384"/>
      <c r="AF198" s="385"/>
      <c r="AG198" s="451" t="s">
        <v>6</v>
      </c>
      <c r="AH198" s="384"/>
      <c r="AI198" s="385"/>
      <c r="AJ198" s="451" t="s">
        <v>6</v>
      </c>
      <c r="AK198" s="384"/>
      <c r="AL198" s="385"/>
      <c r="AM198" s="451"/>
      <c r="AN198" s="384"/>
      <c r="AO198" s="385">
        <v>1</v>
      </c>
      <c r="AP198" s="451">
        <v>0</v>
      </c>
      <c r="AQ198" s="384">
        <v>2</v>
      </c>
      <c r="AR198" s="385"/>
      <c r="AS198" s="451">
        <v>100</v>
      </c>
      <c r="AT198" s="384">
        <v>68</v>
      </c>
      <c r="AU198" s="385"/>
      <c r="AV198" s="451">
        <v>100</v>
      </c>
      <c r="AW198" s="384"/>
      <c r="AX198" s="385"/>
      <c r="AY198" s="451"/>
      <c r="AZ198" s="384"/>
      <c r="BA198" s="385"/>
      <c r="BB198" s="451" t="s">
        <v>6</v>
      </c>
      <c r="BC198" s="384">
        <v>2</v>
      </c>
      <c r="BD198" s="385"/>
      <c r="BE198" s="451">
        <v>100</v>
      </c>
      <c r="BF198" s="384">
        <v>67</v>
      </c>
      <c r="BG198" s="385"/>
      <c r="BH198" s="451">
        <v>100</v>
      </c>
      <c r="BI198" s="384"/>
      <c r="BJ198" s="385"/>
      <c r="BK198" s="451"/>
      <c r="BL198" s="384"/>
      <c r="BM198" s="385"/>
      <c r="BN198" s="451" t="s">
        <v>6</v>
      </c>
      <c r="BO198" s="384"/>
      <c r="BP198" s="385"/>
      <c r="BQ198" s="451" t="s">
        <v>6</v>
      </c>
      <c r="BR198" s="384"/>
      <c r="BS198" s="385"/>
      <c r="BT198" s="451" t="s">
        <v>6</v>
      </c>
      <c r="BU198" s="384"/>
      <c r="BV198" s="385"/>
      <c r="BW198" s="451"/>
      <c r="BX198" s="384"/>
      <c r="BY198" s="385"/>
      <c r="BZ198" s="451" t="s">
        <v>6</v>
      </c>
      <c r="CA198" s="384"/>
      <c r="CB198" s="385"/>
      <c r="CC198" s="451" t="s">
        <v>6</v>
      </c>
      <c r="CD198" s="384"/>
      <c r="CE198" s="385"/>
      <c r="CF198" s="451" t="s">
        <v>6</v>
      </c>
      <c r="CG198" s="384"/>
      <c r="CH198" s="385"/>
      <c r="CI198" s="451"/>
      <c r="CJ198" s="384">
        <v>3</v>
      </c>
      <c r="CK198" s="385"/>
      <c r="CL198" s="451">
        <v>100</v>
      </c>
      <c r="CM198" s="384">
        <v>12</v>
      </c>
      <c r="CN198" s="385"/>
      <c r="CO198" s="451">
        <v>100</v>
      </c>
      <c r="CP198" s="384">
        <v>17</v>
      </c>
      <c r="CQ198" s="385"/>
      <c r="CR198" s="451">
        <v>100</v>
      </c>
      <c r="CS198" s="384"/>
      <c r="CT198" s="385"/>
      <c r="CU198" s="451"/>
      <c r="CV198" s="384"/>
      <c r="CW198" s="385"/>
      <c r="CX198" s="451" t="s">
        <v>6</v>
      </c>
      <c r="CY198" s="384"/>
      <c r="CZ198" s="385"/>
      <c r="DA198" s="451" t="s">
        <v>6</v>
      </c>
      <c r="DB198" s="384"/>
      <c r="DC198" s="385">
        <v>1</v>
      </c>
      <c r="DD198" s="451">
        <v>0</v>
      </c>
      <c r="DE198" s="384"/>
      <c r="DF198" s="385"/>
      <c r="DG198" s="451"/>
      <c r="DH198" s="384">
        <v>1</v>
      </c>
      <c r="DI198" s="385"/>
      <c r="DJ198" s="451">
        <v>100</v>
      </c>
      <c r="DK198" s="384"/>
      <c r="DL198" s="385"/>
      <c r="DM198" s="451" t="s">
        <v>6</v>
      </c>
      <c r="DN198" s="384"/>
      <c r="DO198" s="385"/>
      <c r="DP198" s="451" t="s">
        <v>6</v>
      </c>
      <c r="DQ198" s="384"/>
      <c r="DR198" s="385"/>
      <c r="DS198" s="451"/>
      <c r="DT198" s="384">
        <v>6</v>
      </c>
      <c r="DU198" s="385"/>
      <c r="DV198" s="451">
        <v>100</v>
      </c>
      <c r="DW198" s="384">
        <v>15</v>
      </c>
      <c r="DX198" s="385">
        <v>1</v>
      </c>
      <c r="DY198" s="451">
        <v>93.8</v>
      </c>
      <c r="DZ198" s="384">
        <v>6</v>
      </c>
      <c r="EA198" s="385"/>
      <c r="EB198" s="451">
        <v>100</v>
      </c>
      <c r="EC198" s="384"/>
      <c r="ED198" s="385"/>
      <c r="EE198" s="451"/>
      <c r="EF198" s="384"/>
      <c r="EG198" s="385">
        <v>2</v>
      </c>
      <c r="EH198" s="451">
        <v>0</v>
      </c>
      <c r="EI198" s="384">
        <v>3</v>
      </c>
      <c r="EJ198" s="385">
        <v>2</v>
      </c>
      <c r="EK198" s="451">
        <v>60</v>
      </c>
      <c r="EL198" s="384">
        <v>8</v>
      </c>
      <c r="EM198" s="385">
        <v>2</v>
      </c>
      <c r="EN198" s="451">
        <v>80</v>
      </c>
      <c r="EO198" s="384"/>
      <c r="EP198" s="385"/>
      <c r="EQ198" s="451"/>
      <c r="ER198" s="384"/>
      <c r="ES198" s="385"/>
      <c r="ET198" s="451" t="s">
        <v>6</v>
      </c>
      <c r="EU198" s="384"/>
      <c r="EV198" s="385"/>
      <c r="EW198" s="451" t="s">
        <v>6</v>
      </c>
      <c r="EX198" s="384"/>
      <c r="EY198" s="385">
        <v>1</v>
      </c>
      <c r="EZ198" s="451">
        <v>0</v>
      </c>
      <c r="FA198" s="384"/>
      <c r="FB198" s="385"/>
      <c r="FC198" s="451"/>
      <c r="FD198" s="384"/>
      <c r="FE198" s="385">
        <v>2</v>
      </c>
      <c r="FF198" s="451">
        <v>0</v>
      </c>
      <c r="FG198" s="384"/>
      <c r="FH198" s="385"/>
      <c r="FI198" s="451" t="s">
        <v>6</v>
      </c>
      <c r="FJ198" s="384"/>
      <c r="FK198" s="385"/>
      <c r="FL198" s="451" t="s">
        <v>6</v>
      </c>
      <c r="FM198" s="384"/>
      <c r="FN198" s="385"/>
      <c r="FO198" s="451"/>
      <c r="FP198" s="384"/>
      <c r="FQ198" s="385"/>
      <c r="FR198" s="451" t="s">
        <v>6</v>
      </c>
      <c r="FS198" s="384"/>
      <c r="FT198" s="385">
        <v>2</v>
      </c>
      <c r="FU198" s="451">
        <v>0</v>
      </c>
      <c r="FV198" s="384">
        <v>3</v>
      </c>
      <c r="FW198" s="385">
        <v>1</v>
      </c>
      <c r="FX198" s="451">
        <v>75</v>
      </c>
      <c r="FY198" s="384"/>
      <c r="FZ198" s="385"/>
      <c r="GA198" s="451"/>
      <c r="GB198" s="384"/>
      <c r="GC198" s="385"/>
      <c r="GD198" s="451" t="s">
        <v>6</v>
      </c>
      <c r="GE198" s="384">
        <v>8</v>
      </c>
      <c r="GF198" s="385"/>
      <c r="GG198" s="451">
        <v>100</v>
      </c>
      <c r="GH198" s="384"/>
      <c r="GI198" s="385"/>
      <c r="GJ198" s="451" t="s">
        <v>6</v>
      </c>
      <c r="GK198" s="384"/>
      <c r="GL198" s="385"/>
      <c r="GM198" s="451"/>
      <c r="GN198" s="384"/>
      <c r="GO198" s="385"/>
      <c r="GP198" s="451" t="s">
        <v>6</v>
      </c>
      <c r="GQ198" s="384"/>
      <c r="GR198" s="385"/>
      <c r="GS198" s="451" t="s">
        <v>6</v>
      </c>
      <c r="GT198" s="384"/>
      <c r="GU198" s="385"/>
      <c r="GV198" s="451" t="s">
        <v>6</v>
      </c>
      <c r="GW198" s="384"/>
      <c r="GX198" s="385"/>
      <c r="GY198" s="451"/>
      <c r="GZ198" s="384"/>
      <c r="HA198" s="385"/>
      <c r="HB198" s="451" t="s">
        <v>6</v>
      </c>
      <c r="HC198" s="384">
        <v>1</v>
      </c>
      <c r="HD198" s="385"/>
      <c r="HE198" s="451">
        <v>100</v>
      </c>
      <c r="HF198" s="384"/>
      <c r="HG198" s="385">
        <v>3</v>
      </c>
      <c r="HH198" s="451">
        <v>0</v>
      </c>
      <c r="HI198" s="384"/>
      <c r="HJ198" s="385"/>
      <c r="HK198" s="451"/>
      <c r="HL198" s="384"/>
      <c r="HM198" s="385"/>
      <c r="HN198" s="451" t="s">
        <v>6</v>
      </c>
      <c r="HO198" s="384"/>
      <c r="HP198" s="385"/>
      <c r="HQ198" s="451" t="s">
        <v>6</v>
      </c>
      <c r="HR198" s="384"/>
      <c r="HS198" s="385"/>
      <c r="HT198" s="451" t="s">
        <v>6</v>
      </c>
      <c r="HU198" s="384"/>
      <c r="HV198" s="385"/>
      <c r="HW198" s="451"/>
      <c r="HX198" s="384">
        <v>1</v>
      </c>
      <c r="HY198" s="385"/>
      <c r="HZ198" s="451">
        <v>100</v>
      </c>
      <c r="IA198" s="384"/>
      <c r="IB198" s="385"/>
      <c r="IC198" s="451" t="s">
        <v>6</v>
      </c>
      <c r="ID198" s="384"/>
      <c r="IE198" s="385"/>
      <c r="IF198" s="451" t="s">
        <v>6</v>
      </c>
      <c r="IG198" s="384"/>
      <c r="IH198" s="385"/>
      <c r="II198" s="451"/>
      <c r="IJ198" s="384"/>
      <c r="IK198" s="385"/>
      <c r="IL198" s="451" t="s">
        <v>6</v>
      </c>
      <c r="IM198" s="384"/>
      <c r="IN198" s="385"/>
      <c r="IO198" s="451" t="s">
        <v>6</v>
      </c>
      <c r="IP198" s="384"/>
      <c r="IQ198" s="385"/>
      <c r="IR198" s="451" t="s">
        <v>6</v>
      </c>
      <c r="IS198" s="384"/>
      <c r="IT198" s="385"/>
      <c r="IU198" s="451"/>
      <c r="IV198" s="384">
        <v>11</v>
      </c>
      <c r="IW198" s="385">
        <v>3</v>
      </c>
      <c r="IX198" s="451">
        <v>78.599999999999994</v>
      </c>
      <c r="IY198" s="384">
        <v>41</v>
      </c>
      <c r="IZ198" s="385">
        <v>3</v>
      </c>
      <c r="JA198" s="451">
        <v>93.2</v>
      </c>
      <c r="JB198" s="384">
        <v>101</v>
      </c>
      <c r="JC198" s="385">
        <v>6</v>
      </c>
      <c r="JD198" s="451">
        <v>94.4</v>
      </c>
      <c r="JE198" s="384"/>
      <c r="JF198" s="385"/>
      <c r="JG198" s="451"/>
      <c r="JH198" s="384">
        <v>4</v>
      </c>
      <c r="JI198" s="385">
        <v>1</v>
      </c>
      <c r="JJ198" s="451">
        <v>80</v>
      </c>
      <c r="JK198" s="384">
        <v>7</v>
      </c>
      <c r="JL198" s="385"/>
      <c r="JM198" s="451">
        <v>100</v>
      </c>
      <c r="JN198" s="384">
        <v>13</v>
      </c>
      <c r="JO198" s="385"/>
      <c r="JP198" s="451">
        <v>100</v>
      </c>
      <c r="JQ198" s="384"/>
      <c r="JR198" s="385"/>
      <c r="JS198" s="451"/>
      <c r="JT198" s="384"/>
      <c r="JU198" s="385"/>
      <c r="JV198" s="451" t="s">
        <v>6</v>
      </c>
      <c r="JW198" s="384"/>
      <c r="JX198" s="385"/>
      <c r="JY198" s="451" t="s">
        <v>6</v>
      </c>
      <c r="JZ198" s="384"/>
      <c r="KA198" s="385"/>
      <c r="KB198" s="451" t="s">
        <v>6</v>
      </c>
      <c r="KC198" s="384"/>
      <c r="KD198" s="385"/>
      <c r="KE198" s="451"/>
      <c r="KF198" s="384"/>
      <c r="KG198" s="385"/>
      <c r="KH198" s="451" t="s">
        <v>6</v>
      </c>
      <c r="KI198" s="384"/>
      <c r="KJ198" s="385"/>
      <c r="KK198" s="451" t="s">
        <v>6</v>
      </c>
      <c r="KL198" s="384"/>
      <c r="KM198" s="385"/>
      <c r="KN198" s="451" t="s">
        <v>6</v>
      </c>
      <c r="KO198" s="384"/>
      <c r="KP198" s="385"/>
      <c r="KQ198" s="451"/>
      <c r="KR198" s="384">
        <v>5</v>
      </c>
      <c r="KS198" s="385">
        <v>1</v>
      </c>
      <c r="KT198" s="451">
        <v>83.3</v>
      </c>
      <c r="KU198" s="384">
        <v>8</v>
      </c>
      <c r="KV198" s="385"/>
      <c r="KW198" s="451">
        <v>100</v>
      </c>
      <c r="KX198" s="384">
        <v>21</v>
      </c>
      <c r="KY198" s="385">
        <v>1</v>
      </c>
      <c r="KZ198" s="451">
        <v>95.5</v>
      </c>
      <c r="LA198" s="384"/>
      <c r="LB198" s="385"/>
      <c r="LC198" s="451"/>
      <c r="LD198" s="384">
        <v>1163</v>
      </c>
      <c r="LE198" s="385">
        <v>19</v>
      </c>
      <c r="LF198" s="451">
        <v>98.4</v>
      </c>
      <c r="LG198" s="384">
        <v>23392</v>
      </c>
      <c r="LH198" s="385">
        <v>34</v>
      </c>
      <c r="LI198" s="451">
        <v>99.9</v>
      </c>
      <c r="LJ198" s="384">
        <v>1428</v>
      </c>
      <c r="LK198" s="385">
        <v>53</v>
      </c>
      <c r="LL198" s="451">
        <v>96.4</v>
      </c>
      <c r="LM198" s="384"/>
      <c r="LN198" s="385"/>
      <c r="LO198" s="451"/>
    </row>
    <row r="199" spans="1:327" s="259" customFormat="1" ht="13.5" thickBot="1" x14ac:dyDescent="0.25">
      <c r="A199" s="711" t="s">
        <v>830</v>
      </c>
      <c r="B199" s="711"/>
      <c r="C199" s="745" t="s">
        <v>830</v>
      </c>
      <c r="D199" s="384"/>
      <c r="E199" s="385"/>
      <c r="F199" s="451" t="s">
        <v>6</v>
      </c>
      <c r="G199" s="384"/>
      <c r="H199" s="385"/>
      <c r="I199" s="451" t="s">
        <v>6</v>
      </c>
      <c r="J199" s="384"/>
      <c r="K199" s="385"/>
      <c r="L199" s="451" t="s">
        <v>6</v>
      </c>
      <c r="M199" s="384"/>
      <c r="N199" s="385"/>
      <c r="O199" s="451"/>
      <c r="P199" s="384"/>
      <c r="Q199" s="385"/>
      <c r="R199" s="451" t="s">
        <v>6</v>
      </c>
      <c r="S199" s="384"/>
      <c r="T199" s="385"/>
      <c r="U199" s="451" t="s">
        <v>6</v>
      </c>
      <c r="V199" s="384"/>
      <c r="W199" s="385"/>
      <c r="X199" s="451" t="s">
        <v>6</v>
      </c>
      <c r="Y199" s="384"/>
      <c r="Z199" s="385"/>
      <c r="AA199" s="451"/>
      <c r="AB199" s="384"/>
      <c r="AC199" s="385"/>
      <c r="AD199" s="451" t="s">
        <v>6</v>
      </c>
      <c r="AE199" s="384"/>
      <c r="AF199" s="385"/>
      <c r="AG199" s="451" t="s">
        <v>6</v>
      </c>
      <c r="AH199" s="384"/>
      <c r="AI199" s="385"/>
      <c r="AJ199" s="451" t="s">
        <v>6</v>
      </c>
      <c r="AK199" s="384"/>
      <c r="AL199" s="385"/>
      <c r="AM199" s="451"/>
      <c r="AN199" s="384">
        <v>2</v>
      </c>
      <c r="AO199" s="385"/>
      <c r="AP199" s="451">
        <v>100</v>
      </c>
      <c r="AQ199" s="384"/>
      <c r="AR199" s="385"/>
      <c r="AS199" s="451" t="s">
        <v>6</v>
      </c>
      <c r="AT199" s="384">
        <v>1</v>
      </c>
      <c r="AU199" s="385"/>
      <c r="AV199" s="451">
        <v>100</v>
      </c>
      <c r="AW199" s="384"/>
      <c r="AX199" s="385"/>
      <c r="AY199" s="451"/>
      <c r="AZ199" s="384">
        <v>1</v>
      </c>
      <c r="BA199" s="385"/>
      <c r="BB199" s="451">
        <v>100</v>
      </c>
      <c r="BC199" s="384"/>
      <c r="BD199" s="385"/>
      <c r="BE199" s="451" t="s">
        <v>6</v>
      </c>
      <c r="BF199" s="384"/>
      <c r="BG199" s="385"/>
      <c r="BH199" s="451" t="s">
        <v>6</v>
      </c>
      <c r="BI199" s="384"/>
      <c r="BJ199" s="385"/>
      <c r="BK199" s="451"/>
      <c r="BL199" s="384"/>
      <c r="BM199" s="385"/>
      <c r="BN199" s="451" t="s">
        <v>6</v>
      </c>
      <c r="BO199" s="384"/>
      <c r="BP199" s="385"/>
      <c r="BQ199" s="451" t="s">
        <v>6</v>
      </c>
      <c r="BR199" s="384"/>
      <c r="BS199" s="385"/>
      <c r="BT199" s="451" t="s">
        <v>6</v>
      </c>
      <c r="BU199" s="384"/>
      <c r="BV199" s="385"/>
      <c r="BW199" s="451"/>
      <c r="BX199" s="384"/>
      <c r="BY199" s="385"/>
      <c r="BZ199" s="451" t="s">
        <v>6</v>
      </c>
      <c r="CA199" s="384"/>
      <c r="CB199" s="385"/>
      <c r="CC199" s="451" t="s">
        <v>6</v>
      </c>
      <c r="CD199" s="384"/>
      <c r="CE199" s="385"/>
      <c r="CF199" s="451" t="s">
        <v>6</v>
      </c>
      <c r="CG199" s="384"/>
      <c r="CH199" s="385"/>
      <c r="CI199" s="451"/>
      <c r="CJ199" s="384">
        <v>3</v>
      </c>
      <c r="CK199" s="385"/>
      <c r="CL199" s="451">
        <v>100</v>
      </c>
      <c r="CM199" s="384">
        <v>1</v>
      </c>
      <c r="CN199" s="385"/>
      <c r="CO199" s="451">
        <v>100</v>
      </c>
      <c r="CP199" s="384">
        <v>1</v>
      </c>
      <c r="CQ199" s="385"/>
      <c r="CR199" s="451">
        <v>100</v>
      </c>
      <c r="CS199" s="384"/>
      <c r="CT199" s="385"/>
      <c r="CU199" s="451"/>
      <c r="CV199" s="384">
        <v>4</v>
      </c>
      <c r="CW199" s="385"/>
      <c r="CX199" s="451">
        <v>100</v>
      </c>
      <c r="CY199" s="384">
        <v>2</v>
      </c>
      <c r="CZ199" s="385"/>
      <c r="DA199" s="451">
        <v>100</v>
      </c>
      <c r="DB199" s="384">
        <v>8</v>
      </c>
      <c r="DC199" s="385"/>
      <c r="DD199" s="451">
        <v>100</v>
      </c>
      <c r="DE199" s="384"/>
      <c r="DF199" s="385"/>
      <c r="DG199" s="451"/>
      <c r="DH199" s="384"/>
      <c r="DI199" s="385"/>
      <c r="DJ199" s="451" t="s">
        <v>6</v>
      </c>
      <c r="DK199" s="384"/>
      <c r="DL199" s="385"/>
      <c r="DM199" s="451" t="s">
        <v>6</v>
      </c>
      <c r="DN199" s="384"/>
      <c r="DO199" s="385"/>
      <c r="DP199" s="451" t="s">
        <v>6</v>
      </c>
      <c r="DQ199" s="384"/>
      <c r="DR199" s="385"/>
      <c r="DS199" s="451"/>
      <c r="DT199" s="384">
        <v>2</v>
      </c>
      <c r="DU199" s="385"/>
      <c r="DV199" s="451">
        <v>100</v>
      </c>
      <c r="DW199" s="384">
        <v>1</v>
      </c>
      <c r="DX199" s="385"/>
      <c r="DY199" s="451">
        <v>100</v>
      </c>
      <c r="DZ199" s="384">
        <v>1</v>
      </c>
      <c r="EA199" s="385"/>
      <c r="EB199" s="451">
        <v>100</v>
      </c>
      <c r="EC199" s="384"/>
      <c r="ED199" s="385"/>
      <c r="EE199" s="451"/>
      <c r="EF199" s="384">
        <v>23</v>
      </c>
      <c r="EG199" s="385">
        <v>45</v>
      </c>
      <c r="EH199" s="451">
        <v>33.799999999999997</v>
      </c>
      <c r="EI199" s="384">
        <v>38</v>
      </c>
      <c r="EJ199" s="385">
        <v>62</v>
      </c>
      <c r="EK199" s="451">
        <v>38</v>
      </c>
      <c r="EL199" s="384">
        <v>86</v>
      </c>
      <c r="EM199" s="385">
        <v>135</v>
      </c>
      <c r="EN199" s="451">
        <v>38.9</v>
      </c>
      <c r="EO199" s="384"/>
      <c r="EP199" s="385"/>
      <c r="EQ199" s="451"/>
      <c r="ER199" s="384"/>
      <c r="ES199" s="385"/>
      <c r="ET199" s="451" t="s">
        <v>6</v>
      </c>
      <c r="EU199" s="384"/>
      <c r="EV199" s="385"/>
      <c r="EW199" s="451" t="s">
        <v>6</v>
      </c>
      <c r="EX199" s="384"/>
      <c r="EY199" s="385"/>
      <c r="EZ199" s="451" t="s">
        <v>6</v>
      </c>
      <c r="FA199" s="384"/>
      <c r="FB199" s="385"/>
      <c r="FC199" s="451"/>
      <c r="FD199" s="384"/>
      <c r="FE199" s="385"/>
      <c r="FF199" s="451" t="s">
        <v>6</v>
      </c>
      <c r="FG199" s="384"/>
      <c r="FH199" s="385"/>
      <c r="FI199" s="451" t="s">
        <v>6</v>
      </c>
      <c r="FJ199" s="384"/>
      <c r="FK199" s="385"/>
      <c r="FL199" s="451" t="s">
        <v>6</v>
      </c>
      <c r="FM199" s="384"/>
      <c r="FN199" s="385"/>
      <c r="FO199" s="451"/>
      <c r="FP199" s="384"/>
      <c r="FQ199" s="385"/>
      <c r="FR199" s="451" t="s">
        <v>6</v>
      </c>
      <c r="FS199" s="384"/>
      <c r="FT199" s="385"/>
      <c r="FU199" s="451" t="s">
        <v>6</v>
      </c>
      <c r="FV199" s="384"/>
      <c r="FW199" s="385"/>
      <c r="FX199" s="451" t="s">
        <v>6</v>
      </c>
      <c r="FY199" s="384"/>
      <c r="FZ199" s="385"/>
      <c r="GA199" s="451"/>
      <c r="GB199" s="384"/>
      <c r="GC199" s="385"/>
      <c r="GD199" s="451" t="s">
        <v>6</v>
      </c>
      <c r="GE199" s="384"/>
      <c r="GF199" s="385"/>
      <c r="GG199" s="451" t="s">
        <v>6</v>
      </c>
      <c r="GH199" s="384"/>
      <c r="GI199" s="385"/>
      <c r="GJ199" s="451" t="s">
        <v>6</v>
      </c>
      <c r="GK199" s="384"/>
      <c r="GL199" s="385"/>
      <c r="GM199" s="451"/>
      <c r="GN199" s="384"/>
      <c r="GO199" s="385"/>
      <c r="GP199" s="451" t="s">
        <v>6</v>
      </c>
      <c r="GQ199" s="384"/>
      <c r="GR199" s="385"/>
      <c r="GS199" s="451" t="s">
        <v>6</v>
      </c>
      <c r="GT199" s="384"/>
      <c r="GU199" s="385"/>
      <c r="GV199" s="451" t="s">
        <v>6</v>
      </c>
      <c r="GW199" s="384"/>
      <c r="GX199" s="385"/>
      <c r="GY199" s="451"/>
      <c r="GZ199" s="384"/>
      <c r="HA199" s="385"/>
      <c r="HB199" s="451" t="s">
        <v>6</v>
      </c>
      <c r="HC199" s="384"/>
      <c r="HD199" s="385"/>
      <c r="HE199" s="451" t="s">
        <v>6</v>
      </c>
      <c r="HF199" s="384"/>
      <c r="HG199" s="385"/>
      <c r="HH199" s="451" t="s">
        <v>6</v>
      </c>
      <c r="HI199" s="384"/>
      <c r="HJ199" s="385"/>
      <c r="HK199" s="451"/>
      <c r="HL199" s="384">
        <v>1</v>
      </c>
      <c r="HM199" s="385">
        <v>1</v>
      </c>
      <c r="HN199" s="451">
        <v>50</v>
      </c>
      <c r="HO199" s="384"/>
      <c r="HP199" s="385"/>
      <c r="HQ199" s="451" t="s">
        <v>6</v>
      </c>
      <c r="HR199" s="384"/>
      <c r="HS199" s="385"/>
      <c r="HT199" s="451" t="s">
        <v>6</v>
      </c>
      <c r="HU199" s="384"/>
      <c r="HV199" s="385"/>
      <c r="HW199" s="451"/>
      <c r="HX199" s="384"/>
      <c r="HY199" s="385"/>
      <c r="HZ199" s="451" t="s">
        <v>6</v>
      </c>
      <c r="IA199" s="384"/>
      <c r="IB199" s="385"/>
      <c r="IC199" s="451" t="s">
        <v>6</v>
      </c>
      <c r="ID199" s="384"/>
      <c r="IE199" s="385"/>
      <c r="IF199" s="451" t="s">
        <v>6</v>
      </c>
      <c r="IG199" s="384"/>
      <c r="IH199" s="385"/>
      <c r="II199" s="451"/>
      <c r="IJ199" s="384"/>
      <c r="IK199" s="385"/>
      <c r="IL199" s="451" t="s">
        <v>6</v>
      </c>
      <c r="IM199" s="384"/>
      <c r="IN199" s="385"/>
      <c r="IO199" s="451" t="s">
        <v>6</v>
      </c>
      <c r="IP199" s="384"/>
      <c r="IQ199" s="385"/>
      <c r="IR199" s="451" t="s">
        <v>6</v>
      </c>
      <c r="IS199" s="384"/>
      <c r="IT199" s="385"/>
      <c r="IU199" s="451"/>
      <c r="IV199" s="384">
        <v>35</v>
      </c>
      <c r="IW199" s="385">
        <v>46</v>
      </c>
      <c r="IX199" s="451">
        <v>43.2</v>
      </c>
      <c r="IY199" s="384">
        <v>42</v>
      </c>
      <c r="IZ199" s="385">
        <v>62</v>
      </c>
      <c r="JA199" s="451">
        <v>40.4</v>
      </c>
      <c r="JB199" s="384">
        <v>97</v>
      </c>
      <c r="JC199" s="385">
        <v>135</v>
      </c>
      <c r="JD199" s="451">
        <v>41.8</v>
      </c>
      <c r="JE199" s="384"/>
      <c r="JF199" s="385"/>
      <c r="JG199" s="451"/>
      <c r="JH199" s="384">
        <v>13</v>
      </c>
      <c r="JI199" s="385">
        <v>3</v>
      </c>
      <c r="JJ199" s="451">
        <v>81.3</v>
      </c>
      <c r="JK199" s="384">
        <v>14</v>
      </c>
      <c r="JL199" s="385">
        <v>24</v>
      </c>
      <c r="JM199" s="451">
        <v>36.799999999999997</v>
      </c>
      <c r="JN199" s="384">
        <v>2</v>
      </c>
      <c r="JO199" s="385">
        <v>10</v>
      </c>
      <c r="JP199" s="451">
        <v>16.7</v>
      </c>
      <c r="JQ199" s="384"/>
      <c r="JR199" s="385"/>
      <c r="JS199" s="451"/>
      <c r="JT199" s="384">
        <v>1</v>
      </c>
      <c r="JU199" s="385"/>
      <c r="JV199" s="451">
        <v>100</v>
      </c>
      <c r="JW199" s="384"/>
      <c r="JX199" s="385"/>
      <c r="JY199" s="451" t="s">
        <v>6</v>
      </c>
      <c r="JZ199" s="384">
        <v>1</v>
      </c>
      <c r="KA199" s="385"/>
      <c r="KB199" s="451">
        <v>100</v>
      </c>
      <c r="KC199" s="384"/>
      <c r="KD199" s="385"/>
      <c r="KE199" s="451"/>
      <c r="KF199" s="384"/>
      <c r="KG199" s="385"/>
      <c r="KH199" s="451" t="s">
        <v>6</v>
      </c>
      <c r="KI199" s="384"/>
      <c r="KJ199" s="385"/>
      <c r="KK199" s="451" t="s">
        <v>6</v>
      </c>
      <c r="KL199" s="384"/>
      <c r="KM199" s="385"/>
      <c r="KN199" s="451" t="s">
        <v>6</v>
      </c>
      <c r="KO199" s="384"/>
      <c r="KP199" s="385"/>
      <c r="KQ199" s="451"/>
      <c r="KR199" s="384">
        <v>16</v>
      </c>
      <c r="KS199" s="385">
        <v>3</v>
      </c>
      <c r="KT199" s="451">
        <v>84.2</v>
      </c>
      <c r="KU199" s="384">
        <v>18</v>
      </c>
      <c r="KV199" s="385">
        <v>26</v>
      </c>
      <c r="KW199" s="451">
        <v>40.9</v>
      </c>
      <c r="KX199" s="384">
        <v>6</v>
      </c>
      <c r="KY199" s="385">
        <v>15</v>
      </c>
      <c r="KZ199" s="451">
        <v>28.6</v>
      </c>
      <c r="LA199" s="384"/>
      <c r="LB199" s="385"/>
      <c r="LC199" s="451"/>
      <c r="LD199" s="384">
        <v>122</v>
      </c>
      <c r="LE199" s="385">
        <v>106</v>
      </c>
      <c r="LF199" s="451">
        <v>53.5</v>
      </c>
      <c r="LG199" s="384">
        <v>218</v>
      </c>
      <c r="LH199" s="385">
        <v>107</v>
      </c>
      <c r="LI199" s="451">
        <v>67.099999999999994</v>
      </c>
      <c r="LJ199" s="384">
        <v>295</v>
      </c>
      <c r="LK199" s="385">
        <v>182</v>
      </c>
      <c r="LL199" s="451">
        <v>61.8</v>
      </c>
      <c r="LM199" s="384"/>
      <c r="LN199" s="385"/>
      <c r="LO199" s="451"/>
    </row>
    <row r="200" spans="1:327" s="259" customFormat="1" ht="13.5" thickBot="1" x14ac:dyDescent="0.25">
      <c r="A200" s="710" t="s">
        <v>1072</v>
      </c>
      <c r="B200" s="750" t="s">
        <v>1072</v>
      </c>
      <c r="C200" s="709" t="s">
        <v>1072</v>
      </c>
      <c r="D200" s="384">
        <v>76</v>
      </c>
      <c r="E200" s="385">
        <v>3</v>
      </c>
      <c r="F200" s="451">
        <v>96.2</v>
      </c>
      <c r="G200" s="384">
        <v>92</v>
      </c>
      <c r="H200" s="385">
        <v>5</v>
      </c>
      <c r="I200" s="451">
        <v>94.8</v>
      </c>
      <c r="J200" s="384">
        <v>88</v>
      </c>
      <c r="K200" s="385">
        <v>3</v>
      </c>
      <c r="L200" s="451">
        <v>96.7</v>
      </c>
      <c r="M200" s="384"/>
      <c r="N200" s="385"/>
      <c r="O200" s="451"/>
      <c r="P200" s="384">
        <v>48</v>
      </c>
      <c r="Q200" s="385"/>
      <c r="R200" s="451">
        <v>100</v>
      </c>
      <c r="S200" s="384">
        <v>52</v>
      </c>
      <c r="T200" s="385">
        <v>5</v>
      </c>
      <c r="U200" s="451">
        <v>91.2</v>
      </c>
      <c r="V200" s="384">
        <v>59</v>
      </c>
      <c r="W200" s="385">
        <v>2</v>
      </c>
      <c r="X200" s="451">
        <v>96.7</v>
      </c>
      <c r="Y200" s="384"/>
      <c r="Z200" s="385"/>
      <c r="AA200" s="451"/>
      <c r="AB200" s="384">
        <v>24</v>
      </c>
      <c r="AC200" s="385">
        <v>2</v>
      </c>
      <c r="AD200" s="451">
        <v>92.3</v>
      </c>
      <c r="AE200" s="384">
        <v>29</v>
      </c>
      <c r="AF200" s="385"/>
      <c r="AG200" s="451">
        <v>100</v>
      </c>
      <c r="AH200" s="384">
        <v>19</v>
      </c>
      <c r="AI200" s="385">
        <v>1</v>
      </c>
      <c r="AJ200" s="451">
        <v>95</v>
      </c>
      <c r="AK200" s="384"/>
      <c r="AL200" s="385"/>
      <c r="AM200" s="451"/>
      <c r="AN200" s="384">
        <v>2552</v>
      </c>
      <c r="AO200" s="385">
        <v>991</v>
      </c>
      <c r="AP200" s="451">
        <v>72</v>
      </c>
      <c r="AQ200" s="384">
        <v>2798</v>
      </c>
      <c r="AR200" s="385">
        <v>910</v>
      </c>
      <c r="AS200" s="451">
        <v>75.5</v>
      </c>
      <c r="AT200" s="384">
        <v>3247</v>
      </c>
      <c r="AU200" s="385">
        <v>771</v>
      </c>
      <c r="AV200" s="451">
        <v>80.8</v>
      </c>
      <c r="AW200" s="384"/>
      <c r="AX200" s="385"/>
      <c r="AY200" s="451"/>
      <c r="AZ200" s="384">
        <v>1355</v>
      </c>
      <c r="BA200" s="385">
        <v>882</v>
      </c>
      <c r="BB200" s="451">
        <v>60.6</v>
      </c>
      <c r="BC200" s="384">
        <v>1466</v>
      </c>
      <c r="BD200" s="385">
        <v>811</v>
      </c>
      <c r="BE200" s="451">
        <v>64.400000000000006</v>
      </c>
      <c r="BF200" s="384">
        <v>1669</v>
      </c>
      <c r="BG200" s="385">
        <v>658</v>
      </c>
      <c r="BH200" s="451">
        <v>71.7</v>
      </c>
      <c r="BI200" s="384"/>
      <c r="BJ200" s="385"/>
      <c r="BK200" s="451"/>
      <c r="BL200" s="384">
        <v>4</v>
      </c>
      <c r="BM200" s="385"/>
      <c r="BN200" s="451">
        <v>100</v>
      </c>
      <c r="BO200" s="384">
        <v>13</v>
      </c>
      <c r="BP200" s="385">
        <v>2</v>
      </c>
      <c r="BQ200" s="451">
        <v>86.7</v>
      </c>
      <c r="BR200" s="384">
        <v>10</v>
      </c>
      <c r="BS200" s="385">
        <v>4</v>
      </c>
      <c r="BT200" s="451">
        <v>71.400000000000006</v>
      </c>
      <c r="BU200" s="384"/>
      <c r="BV200" s="385"/>
      <c r="BW200" s="451"/>
      <c r="BX200" s="384">
        <v>49</v>
      </c>
      <c r="BY200" s="385">
        <v>8</v>
      </c>
      <c r="BZ200" s="451">
        <v>86</v>
      </c>
      <c r="CA200" s="384">
        <v>18</v>
      </c>
      <c r="CB200" s="385">
        <v>9</v>
      </c>
      <c r="CC200" s="451">
        <v>66.7</v>
      </c>
      <c r="CD200" s="384">
        <v>26</v>
      </c>
      <c r="CE200" s="385">
        <v>6</v>
      </c>
      <c r="CF200" s="451">
        <v>81.3</v>
      </c>
      <c r="CG200" s="384"/>
      <c r="CH200" s="385"/>
      <c r="CI200" s="451"/>
      <c r="CJ200" s="384">
        <v>66</v>
      </c>
      <c r="CK200" s="385">
        <v>54</v>
      </c>
      <c r="CL200" s="451">
        <v>55</v>
      </c>
      <c r="CM200" s="384">
        <v>57</v>
      </c>
      <c r="CN200" s="385">
        <v>37</v>
      </c>
      <c r="CO200" s="451">
        <v>60.6</v>
      </c>
      <c r="CP200" s="384">
        <v>71</v>
      </c>
      <c r="CQ200" s="385">
        <v>13</v>
      </c>
      <c r="CR200" s="451">
        <v>84.5</v>
      </c>
      <c r="CS200" s="384"/>
      <c r="CT200" s="385"/>
      <c r="CU200" s="451"/>
      <c r="CV200" s="384">
        <v>3006</v>
      </c>
      <c r="CW200" s="385">
        <v>1416</v>
      </c>
      <c r="CX200" s="451">
        <v>68</v>
      </c>
      <c r="CY200" s="384">
        <v>3281</v>
      </c>
      <c r="CZ200" s="385">
        <v>1260</v>
      </c>
      <c r="DA200" s="451">
        <v>72.3</v>
      </c>
      <c r="DB200" s="384">
        <v>3878</v>
      </c>
      <c r="DC200" s="385">
        <v>1129</v>
      </c>
      <c r="DD200" s="451">
        <v>77.5</v>
      </c>
      <c r="DE200" s="384"/>
      <c r="DF200" s="385"/>
      <c r="DG200" s="451"/>
      <c r="DH200" s="384">
        <v>117</v>
      </c>
      <c r="DI200" s="385">
        <v>26</v>
      </c>
      <c r="DJ200" s="451">
        <v>81.8</v>
      </c>
      <c r="DK200" s="384">
        <v>121</v>
      </c>
      <c r="DL200" s="385">
        <v>25</v>
      </c>
      <c r="DM200" s="451">
        <v>82.9</v>
      </c>
      <c r="DN200" s="384">
        <v>112</v>
      </c>
      <c r="DO200" s="385">
        <v>33</v>
      </c>
      <c r="DP200" s="451">
        <v>77.2</v>
      </c>
      <c r="DQ200" s="384"/>
      <c r="DR200" s="385"/>
      <c r="DS200" s="451"/>
      <c r="DT200" s="384">
        <v>149</v>
      </c>
      <c r="DU200" s="385">
        <v>37</v>
      </c>
      <c r="DV200" s="451">
        <v>80.099999999999994</v>
      </c>
      <c r="DW200" s="384">
        <v>248</v>
      </c>
      <c r="DX200" s="385">
        <v>32</v>
      </c>
      <c r="DY200" s="451">
        <v>88.6</v>
      </c>
      <c r="DZ200" s="384">
        <v>341</v>
      </c>
      <c r="EA200" s="385">
        <v>56</v>
      </c>
      <c r="EB200" s="451">
        <v>85.9</v>
      </c>
      <c r="EC200" s="384"/>
      <c r="ED200" s="385"/>
      <c r="EE200" s="451"/>
      <c r="EF200" s="384">
        <v>20058</v>
      </c>
      <c r="EG200" s="385">
        <v>81816</v>
      </c>
      <c r="EH200" s="451">
        <v>19.7</v>
      </c>
      <c r="EI200" s="384">
        <v>20437</v>
      </c>
      <c r="EJ200" s="385">
        <v>63864</v>
      </c>
      <c r="EK200" s="451">
        <v>24.2</v>
      </c>
      <c r="EL200" s="384">
        <v>20645</v>
      </c>
      <c r="EM200" s="385">
        <v>51986</v>
      </c>
      <c r="EN200" s="451">
        <v>28.4</v>
      </c>
      <c r="EO200" s="384"/>
      <c r="EP200" s="385"/>
      <c r="EQ200" s="451"/>
      <c r="ER200" s="384">
        <v>334</v>
      </c>
      <c r="ES200" s="385">
        <v>1997</v>
      </c>
      <c r="ET200" s="451">
        <v>14.3</v>
      </c>
      <c r="EU200" s="384">
        <v>217</v>
      </c>
      <c r="EV200" s="385">
        <v>1296</v>
      </c>
      <c r="EW200" s="451">
        <v>14.3</v>
      </c>
      <c r="EX200" s="384">
        <v>373</v>
      </c>
      <c r="EY200" s="385">
        <v>892</v>
      </c>
      <c r="EZ200" s="451">
        <v>29.5</v>
      </c>
      <c r="FA200" s="384"/>
      <c r="FB200" s="385"/>
      <c r="FC200" s="451"/>
      <c r="FD200" s="384">
        <v>494</v>
      </c>
      <c r="FE200" s="385">
        <v>4405</v>
      </c>
      <c r="FF200" s="451">
        <v>10.1</v>
      </c>
      <c r="FG200" s="384">
        <v>685</v>
      </c>
      <c r="FH200" s="385">
        <v>3353</v>
      </c>
      <c r="FI200" s="451">
        <v>17</v>
      </c>
      <c r="FJ200" s="384">
        <v>788</v>
      </c>
      <c r="FK200" s="385">
        <v>2461</v>
      </c>
      <c r="FL200" s="451">
        <v>24.3</v>
      </c>
      <c r="FM200" s="384"/>
      <c r="FN200" s="385"/>
      <c r="FO200" s="451"/>
      <c r="FP200" s="384">
        <v>4287</v>
      </c>
      <c r="FQ200" s="385">
        <v>15388</v>
      </c>
      <c r="FR200" s="451">
        <v>21.8</v>
      </c>
      <c r="FS200" s="384">
        <v>4383</v>
      </c>
      <c r="FT200" s="385">
        <v>11774</v>
      </c>
      <c r="FU200" s="451">
        <v>27.1</v>
      </c>
      <c r="FV200" s="384">
        <v>4037</v>
      </c>
      <c r="FW200" s="385">
        <v>8047</v>
      </c>
      <c r="FX200" s="451">
        <v>33.4</v>
      </c>
      <c r="FY200" s="384"/>
      <c r="FZ200" s="385"/>
      <c r="GA200" s="451"/>
      <c r="GB200" s="384">
        <v>729</v>
      </c>
      <c r="GC200" s="385">
        <v>382</v>
      </c>
      <c r="GD200" s="451">
        <v>65.599999999999994</v>
      </c>
      <c r="GE200" s="384">
        <v>702</v>
      </c>
      <c r="GF200" s="385">
        <v>210</v>
      </c>
      <c r="GG200" s="451">
        <v>77</v>
      </c>
      <c r="GH200" s="384">
        <v>565</v>
      </c>
      <c r="GI200" s="385">
        <v>129</v>
      </c>
      <c r="GJ200" s="451">
        <v>81.400000000000006</v>
      </c>
      <c r="GK200" s="384"/>
      <c r="GL200" s="385"/>
      <c r="GM200" s="451"/>
      <c r="GN200" s="384">
        <v>393</v>
      </c>
      <c r="GO200" s="385">
        <v>1339</v>
      </c>
      <c r="GP200" s="451">
        <v>22.7</v>
      </c>
      <c r="GQ200" s="384">
        <v>545</v>
      </c>
      <c r="GR200" s="385">
        <v>1069</v>
      </c>
      <c r="GS200" s="451">
        <v>33.799999999999997</v>
      </c>
      <c r="GT200" s="384">
        <v>613</v>
      </c>
      <c r="GU200" s="385">
        <v>786</v>
      </c>
      <c r="GV200" s="451">
        <v>43.8</v>
      </c>
      <c r="GW200" s="384"/>
      <c r="GX200" s="385"/>
      <c r="GY200" s="451"/>
      <c r="GZ200" s="384">
        <v>127</v>
      </c>
      <c r="HA200" s="385">
        <v>47</v>
      </c>
      <c r="HB200" s="451">
        <v>73</v>
      </c>
      <c r="HC200" s="384">
        <v>134</v>
      </c>
      <c r="HD200" s="385">
        <v>43</v>
      </c>
      <c r="HE200" s="451">
        <v>75.7</v>
      </c>
      <c r="HF200" s="384">
        <v>97</v>
      </c>
      <c r="HG200" s="385">
        <v>35</v>
      </c>
      <c r="HH200" s="451">
        <v>73.5</v>
      </c>
      <c r="HI200" s="384"/>
      <c r="HJ200" s="385"/>
      <c r="HK200" s="451"/>
      <c r="HL200" s="384">
        <v>1074</v>
      </c>
      <c r="HM200" s="385">
        <v>5102</v>
      </c>
      <c r="HN200" s="451">
        <v>17.399999999999999</v>
      </c>
      <c r="HO200" s="384">
        <v>1105</v>
      </c>
      <c r="HP200" s="385">
        <v>4749</v>
      </c>
      <c r="HQ200" s="451">
        <v>18.899999999999999</v>
      </c>
      <c r="HR200" s="384">
        <v>1345</v>
      </c>
      <c r="HS200" s="385">
        <v>4190</v>
      </c>
      <c r="HT200" s="451">
        <v>24.3</v>
      </c>
      <c r="HU200" s="384"/>
      <c r="HV200" s="385"/>
      <c r="HW200" s="451"/>
      <c r="HX200" s="384">
        <v>508</v>
      </c>
      <c r="HY200" s="385">
        <v>42</v>
      </c>
      <c r="HZ200" s="451">
        <v>92.4</v>
      </c>
      <c r="IA200" s="384">
        <v>309</v>
      </c>
      <c r="IB200" s="385">
        <v>39</v>
      </c>
      <c r="IC200" s="451">
        <v>88.8</v>
      </c>
      <c r="ID200" s="384">
        <v>280</v>
      </c>
      <c r="IE200" s="385">
        <v>32</v>
      </c>
      <c r="IF200" s="451">
        <v>89.7</v>
      </c>
      <c r="IG200" s="384"/>
      <c r="IH200" s="385"/>
      <c r="II200" s="451"/>
      <c r="IJ200" s="384">
        <v>250</v>
      </c>
      <c r="IK200" s="385">
        <v>308</v>
      </c>
      <c r="IL200" s="451">
        <v>44.8</v>
      </c>
      <c r="IM200" s="384">
        <v>315</v>
      </c>
      <c r="IN200" s="385">
        <v>203</v>
      </c>
      <c r="IO200" s="451">
        <v>60.8</v>
      </c>
      <c r="IP200" s="384">
        <v>363</v>
      </c>
      <c r="IQ200" s="385">
        <v>168</v>
      </c>
      <c r="IR200" s="451">
        <v>68.400000000000006</v>
      </c>
      <c r="IS200" s="384"/>
      <c r="IT200" s="385"/>
      <c r="IU200" s="451"/>
      <c r="IV200" s="384">
        <v>29154</v>
      </c>
      <c r="IW200" s="385">
        <v>91571</v>
      </c>
      <c r="IX200" s="451">
        <v>24.1</v>
      </c>
      <c r="IY200" s="384">
        <v>30162</v>
      </c>
      <c r="IZ200" s="385">
        <v>72455</v>
      </c>
      <c r="JA200" s="451">
        <v>29.4</v>
      </c>
      <c r="JB200" s="384">
        <v>31671</v>
      </c>
      <c r="JC200" s="385">
        <v>59337</v>
      </c>
      <c r="JD200" s="451">
        <v>34.799999999999997</v>
      </c>
      <c r="JE200" s="384"/>
      <c r="JF200" s="385"/>
      <c r="JG200" s="451"/>
      <c r="JH200" s="384">
        <v>5969</v>
      </c>
      <c r="JI200" s="385">
        <v>18139</v>
      </c>
      <c r="JJ200" s="451">
        <v>24.8</v>
      </c>
      <c r="JK200" s="384">
        <v>6945</v>
      </c>
      <c r="JL200" s="385">
        <v>14137</v>
      </c>
      <c r="JM200" s="451">
        <v>32.9</v>
      </c>
      <c r="JN200" s="384">
        <v>8206</v>
      </c>
      <c r="JO200" s="385">
        <v>11329</v>
      </c>
      <c r="JP200" s="451">
        <v>42</v>
      </c>
      <c r="JQ200" s="384"/>
      <c r="JR200" s="385"/>
      <c r="JS200" s="451"/>
      <c r="JT200" s="384">
        <v>204</v>
      </c>
      <c r="JU200" s="385">
        <v>247</v>
      </c>
      <c r="JV200" s="451">
        <v>45.2</v>
      </c>
      <c r="JW200" s="384">
        <v>248</v>
      </c>
      <c r="JX200" s="385">
        <v>179</v>
      </c>
      <c r="JY200" s="451">
        <v>58.1</v>
      </c>
      <c r="JZ200" s="384">
        <v>255</v>
      </c>
      <c r="KA200" s="385">
        <v>143</v>
      </c>
      <c r="KB200" s="451">
        <v>64.099999999999994</v>
      </c>
      <c r="KC200" s="384"/>
      <c r="KD200" s="385"/>
      <c r="KE200" s="451"/>
      <c r="KF200" s="384">
        <v>101</v>
      </c>
      <c r="KG200" s="385">
        <v>58</v>
      </c>
      <c r="KH200" s="451">
        <v>63.5</v>
      </c>
      <c r="KI200" s="384">
        <v>86</v>
      </c>
      <c r="KJ200" s="385">
        <v>44</v>
      </c>
      <c r="KK200" s="451">
        <v>66.2</v>
      </c>
      <c r="KL200" s="384">
        <v>114</v>
      </c>
      <c r="KM200" s="385">
        <v>37</v>
      </c>
      <c r="KN200" s="451">
        <v>75.5</v>
      </c>
      <c r="KO200" s="384"/>
      <c r="KP200" s="385"/>
      <c r="KQ200" s="451"/>
      <c r="KR200" s="384">
        <v>7493</v>
      </c>
      <c r="KS200" s="385">
        <v>19566</v>
      </c>
      <c r="KT200" s="451">
        <v>27.7</v>
      </c>
      <c r="KU200" s="384">
        <v>8591</v>
      </c>
      <c r="KV200" s="385">
        <v>15272</v>
      </c>
      <c r="KW200" s="451">
        <v>36</v>
      </c>
      <c r="KX200" s="384">
        <v>10122</v>
      </c>
      <c r="KY200" s="385">
        <v>12409</v>
      </c>
      <c r="KZ200" s="451">
        <v>44.9</v>
      </c>
      <c r="LA200" s="384"/>
      <c r="LB200" s="385"/>
      <c r="LC200" s="451"/>
      <c r="LD200" s="384">
        <v>64534</v>
      </c>
      <c r="LE200" s="385">
        <v>106606</v>
      </c>
      <c r="LF200" s="451">
        <v>37.700000000000003</v>
      </c>
      <c r="LG200" s="384">
        <v>85172</v>
      </c>
      <c r="LH200" s="385">
        <v>89383</v>
      </c>
      <c r="LI200" s="451">
        <v>48.8</v>
      </c>
      <c r="LJ200" s="384">
        <v>66732</v>
      </c>
      <c r="LK200" s="385">
        <v>76208</v>
      </c>
      <c r="LL200" s="451">
        <v>46.7</v>
      </c>
      <c r="LM200" s="384"/>
      <c r="LN200" s="385"/>
      <c r="LO200" s="451"/>
    </row>
  </sheetData>
  <autoFilter ref="A3:LO200"/>
  <mergeCells count="156">
    <mergeCell ref="DB2:DD2"/>
    <mergeCell ref="BO2:BQ2"/>
    <mergeCell ref="CA2:CC2"/>
    <mergeCell ref="CM2:CO2"/>
    <mergeCell ref="CY2:DA2"/>
    <mergeCell ref="IP2:IR2"/>
    <mergeCell ref="JB2:JD2"/>
    <mergeCell ref="JN2:JP2"/>
    <mergeCell ref="JZ2:KB2"/>
    <mergeCell ref="DZ2:EB2"/>
    <mergeCell ref="EL2:EN2"/>
    <mergeCell ref="EX2:EZ2"/>
    <mergeCell ref="FJ2:FL2"/>
    <mergeCell ref="FV2:FX2"/>
    <mergeCell ref="GH2:GJ2"/>
    <mergeCell ref="GT2:GV2"/>
    <mergeCell ref="HF2:HH2"/>
    <mergeCell ref="HR2:HT2"/>
    <mergeCell ref="HU2:HW2"/>
    <mergeCell ref="HX2:HZ2"/>
    <mergeCell ref="IG2:II2"/>
    <mergeCell ref="FP2:FR2"/>
    <mergeCell ref="FY2:GA2"/>
    <mergeCell ref="GB2:GD2"/>
    <mergeCell ref="A183:A191"/>
    <mergeCell ref="A192:A197"/>
    <mergeCell ref="J2:L2"/>
    <mergeCell ref="V2:X2"/>
    <mergeCell ref="AH2:AJ2"/>
    <mergeCell ref="AT2:AV2"/>
    <mergeCell ref="BF2:BH2"/>
    <mergeCell ref="BR2:BT2"/>
    <mergeCell ref="CD2:CF2"/>
    <mergeCell ref="BL2:BN2"/>
    <mergeCell ref="BU2:BW2"/>
    <mergeCell ref="BX2:BZ2"/>
    <mergeCell ref="A4:A28"/>
    <mergeCell ref="A29:A35"/>
    <mergeCell ref="A36:A44"/>
    <mergeCell ref="A45:A54"/>
    <mergeCell ref="A55:A66"/>
    <mergeCell ref="A67:A74"/>
    <mergeCell ref="A75:A82"/>
    <mergeCell ref="A83:A89"/>
    <mergeCell ref="A90:A99"/>
    <mergeCell ref="A100:A106"/>
    <mergeCell ref="A107:A115"/>
    <mergeCell ref="A116:A123"/>
    <mergeCell ref="G2:I2"/>
    <mergeCell ref="S2:U2"/>
    <mergeCell ref="AE2:AG2"/>
    <mergeCell ref="AQ2:AS2"/>
    <mergeCell ref="BC2:BE2"/>
    <mergeCell ref="CP2:CR2"/>
    <mergeCell ref="LD2:LF2"/>
    <mergeCell ref="LM2:LO2"/>
    <mergeCell ref="JT2:JV2"/>
    <mergeCell ref="KC2:KE2"/>
    <mergeCell ref="KF2:KH2"/>
    <mergeCell ref="KO2:KQ2"/>
    <mergeCell ref="KR2:KT2"/>
    <mergeCell ref="LA2:LC2"/>
    <mergeCell ref="IJ2:IL2"/>
    <mergeCell ref="IS2:IU2"/>
    <mergeCell ref="IV2:IX2"/>
    <mergeCell ref="JE2:JG2"/>
    <mergeCell ref="JH2:JJ2"/>
    <mergeCell ref="JQ2:JS2"/>
    <mergeCell ref="KL2:KN2"/>
    <mergeCell ref="KX2:KZ2"/>
    <mergeCell ref="LJ2:LL2"/>
    <mergeCell ref="LG2:LI2"/>
    <mergeCell ref="JT1:KE1"/>
    <mergeCell ref="KF1:KQ1"/>
    <mergeCell ref="KR1:LC1"/>
    <mergeCell ref="DT1:EE1"/>
    <mergeCell ref="EF2:EH2"/>
    <mergeCell ref="EO2:EQ2"/>
    <mergeCell ref="ER2:ET2"/>
    <mergeCell ref="FA2:FC2"/>
    <mergeCell ref="FD2:FF2"/>
    <mergeCell ref="FM2:FO2"/>
    <mergeCell ref="DT2:DV2"/>
    <mergeCell ref="EC2:EE2"/>
    <mergeCell ref="GZ2:HB2"/>
    <mergeCell ref="HI2:HK2"/>
    <mergeCell ref="IM2:IO2"/>
    <mergeCell ref="IY2:JA2"/>
    <mergeCell ref="JK2:JM2"/>
    <mergeCell ref="JW2:JY2"/>
    <mergeCell ref="KI2:KK2"/>
    <mergeCell ref="KU2:KW2"/>
    <mergeCell ref="GW2:GY2"/>
    <mergeCell ref="FS2:FU2"/>
    <mergeCell ref="GE2:GG2"/>
    <mergeCell ref="GQ2:GS2"/>
    <mergeCell ref="LD1:LO1"/>
    <mergeCell ref="D2:F2"/>
    <mergeCell ref="M2:O2"/>
    <mergeCell ref="P2:R2"/>
    <mergeCell ref="Y2:AA2"/>
    <mergeCell ref="AB2:AD2"/>
    <mergeCell ref="AK2:AM2"/>
    <mergeCell ref="GZ1:HK1"/>
    <mergeCell ref="HL1:HW1"/>
    <mergeCell ref="HX1:II1"/>
    <mergeCell ref="IJ1:IU1"/>
    <mergeCell ref="IV1:JG1"/>
    <mergeCell ref="JH1:JS1"/>
    <mergeCell ref="EF1:EQ1"/>
    <mergeCell ref="ER1:FC1"/>
    <mergeCell ref="FD1:FO1"/>
    <mergeCell ref="FP1:GA1"/>
    <mergeCell ref="GB1:GM1"/>
    <mergeCell ref="GN1:GY1"/>
    <mergeCell ref="BL1:BW1"/>
    <mergeCell ref="BX1:CI1"/>
    <mergeCell ref="CJ1:CU1"/>
    <mergeCell ref="CV1:DG1"/>
    <mergeCell ref="DH1:DS1"/>
    <mergeCell ref="ID2:IF2"/>
    <mergeCell ref="DH2:DJ2"/>
    <mergeCell ref="DQ2:DS2"/>
    <mergeCell ref="DN2:DP2"/>
    <mergeCell ref="DK2:DM2"/>
    <mergeCell ref="DW2:DY2"/>
    <mergeCell ref="EI2:EK2"/>
    <mergeCell ref="EU2:EW2"/>
    <mergeCell ref="FG2:FI2"/>
    <mergeCell ref="HL2:HN2"/>
    <mergeCell ref="GN2:GP2"/>
    <mergeCell ref="GK2:GM2"/>
    <mergeCell ref="A124:A138"/>
    <mergeCell ref="A139:A147"/>
    <mergeCell ref="A148:A157"/>
    <mergeCell ref="A158:A167"/>
    <mergeCell ref="A168:A174"/>
    <mergeCell ref="A175:A182"/>
    <mergeCell ref="HC2:HE2"/>
    <mergeCell ref="HO2:HQ2"/>
    <mergeCell ref="IA2:IC2"/>
    <mergeCell ref="CG2:CI2"/>
    <mergeCell ref="CJ2:CL2"/>
    <mergeCell ref="CS2:CU2"/>
    <mergeCell ref="CV2:CX2"/>
    <mergeCell ref="DE2:DG2"/>
    <mergeCell ref="A1:C3"/>
    <mergeCell ref="D1:O1"/>
    <mergeCell ref="P1:AA1"/>
    <mergeCell ref="AB1:AM1"/>
    <mergeCell ref="AN1:AY1"/>
    <mergeCell ref="AZ1:BK1"/>
    <mergeCell ref="AN2:AP2"/>
    <mergeCell ref="AW2:AY2"/>
    <mergeCell ref="AZ2:BB2"/>
    <mergeCell ref="BI2:BK2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78" orientation="landscape" r:id="rId1"/>
  <rowBreaks count="2" manualBreakCount="2">
    <brk id="35" max="16383" man="1"/>
    <brk id="74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2"/>
  <sheetViews>
    <sheetView workbookViewId="0">
      <selection activeCell="L3" sqref="L3:S200"/>
    </sheetView>
  </sheetViews>
  <sheetFormatPr defaultRowHeight="12.75" customHeight="1" x14ac:dyDescent="0.25"/>
  <cols>
    <col min="1" max="1" width="44.7109375" style="94" customWidth="1"/>
    <col min="2" max="2" width="19.5703125" hidden="1" customWidth="1"/>
    <col min="3" max="10" width="8.28515625" customWidth="1"/>
    <col min="11" max="11" width="9.28515625" style="246" customWidth="1"/>
    <col min="12" max="19" width="8.28515625" customWidth="1"/>
    <col min="20" max="20" width="9.28515625" style="246" customWidth="1"/>
    <col min="23" max="23" width="13.28515625" bestFit="1" customWidth="1"/>
  </cols>
  <sheetData>
    <row r="1" spans="1:25" ht="24.75" customHeight="1" thickBot="1" x14ac:dyDescent="0.3">
      <c r="A1" s="967" t="s">
        <v>1170</v>
      </c>
      <c r="B1" s="1015"/>
      <c r="C1" s="957" t="s">
        <v>798</v>
      </c>
      <c r="D1" s="958"/>
      <c r="E1" s="958"/>
      <c r="F1" s="958"/>
      <c r="G1" s="958"/>
      <c r="H1" s="958"/>
      <c r="I1" s="958"/>
      <c r="J1" s="958"/>
      <c r="K1" s="959"/>
      <c r="L1" s="958" t="s">
        <v>30</v>
      </c>
      <c r="M1" s="958"/>
      <c r="N1" s="958"/>
      <c r="O1" s="958"/>
      <c r="P1" s="958"/>
      <c r="Q1" s="958"/>
      <c r="R1" s="958"/>
      <c r="S1" s="958"/>
      <c r="T1" s="959"/>
    </row>
    <row r="2" spans="1:25" ht="27.75" customHeight="1" thickBot="1" x14ac:dyDescent="0.3">
      <c r="A2" s="966"/>
      <c r="B2" s="1016"/>
      <c r="C2" s="142" t="s">
        <v>1084</v>
      </c>
      <c r="D2" s="143" t="s">
        <v>1085</v>
      </c>
      <c r="E2" s="143" t="s">
        <v>1086</v>
      </c>
      <c r="F2" s="143" t="s">
        <v>1087</v>
      </c>
      <c r="G2" s="143" t="s">
        <v>1088</v>
      </c>
      <c r="H2" s="143" t="s">
        <v>1089</v>
      </c>
      <c r="I2" s="143" t="s">
        <v>1090</v>
      </c>
      <c r="J2" s="143" t="s">
        <v>1091</v>
      </c>
      <c r="K2" s="144" t="s">
        <v>1154</v>
      </c>
      <c r="L2" s="712" t="s">
        <v>1084</v>
      </c>
      <c r="M2" s="143" t="s">
        <v>1085</v>
      </c>
      <c r="N2" s="143" t="s">
        <v>1086</v>
      </c>
      <c r="O2" s="143" t="s">
        <v>1087</v>
      </c>
      <c r="P2" s="143" t="s">
        <v>1088</v>
      </c>
      <c r="Q2" s="143" t="s">
        <v>1089</v>
      </c>
      <c r="R2" s="143" t="s">
        <v>1090</v>
      </c>
      <c r="S2" s="610" t="s">
        <v>1091</v>
      </c>
      <c r="T2" s="144" t="s">
        <v>1154</v>
      </c>
    </row>
    <row r="3" spans="1:25" ht="12.95" customHeight="1" x14ac:dyDescent="0.25">
      <c r="A3" s="504" t="s">
        <v>574</v>
      </c>
      <c r="B3" s="721"/>
      <c r="C3" s="227">
        <v>93</v>
      </c>
      <c r="D3" s="229">
        <v>27</v>
      </c>
      <c r="E3" s="229">
        <v>28</v>
      </c>
      <c r="F3" s="229">
        <v>22</v>
      </c>
      <c r="G3" s="229">
        <v>10</v>
      </c>
      <c r="H3" s="229">
        <v>24</v>
      </c>
      <c r="I3" s="229">
        <v>7</v>
      </c>
      <c r="J3" s="229">
        <v>2</v>
      </c>
      <c r="K3" s="230"/>
      <c r="L3" s="240">
        <v>5388</v>
      </c>
      <c r="M3" s="241">
        <v>2741</v>
      </c>
      <c r="N3" s="241">
        <v>2966</v>
      </c>
      <c r="O3" s="241">
        <v>1756</v>
      </c>
      <c r="P3" s="241">
        <v>6763</v>
      </c>
      <c r="Q3" s="241">
        <v>1343</v>
      </c>
      <c r="R3" s="241">
        <v>1397</v>
      </c>
      <c r="S3" s="241">
        <v>3349</v>
      </c>
      <c r="T3" s="242"/>
      <c r="U3" s="231"/>
      <c r="V3" s="231"/>
      <c r="W3" s="232"/>
      <c r="X3" s="231"/>
    </row>
    <row r="4" spans="1:25" ht="12.95" customHeight="1" x14ac:dyDescent="0.25">
      <c r="A4" s="359" t="s">
        <v>629</v>
      </c>
      <c r="B4" s="718"/>
      <c r="C4" s="233">
        <v>6</v>
      </c>
      <c r="D4" s="235">
        <v>1</v>
      </c>
      <c r="E4" s="235"/>
      <c r="F4" s="235">
        <v>35</v>
      </c>
      <c r="G4" s="235">
        <v>35</v>
      </c>
      <c r="H4" s="235">
        <v>39</v>
      </c>
      <c r="I4" s="235">
        <v>39</v>
      </c>
      <c r="J4" s="235">
        <v>75</v>
      </c>
      <c r="K4" s="236"/>
      <c r="L4" s="234">
        <v>302</v>
      </c>
      <c r="M4" s="235">
        <v>375</v>
      </c>
      <c r="N4" s="235">
        <v>260</v>
      </c>
      <c r="O4" s="235">
        <v>392</v>
      </c>
      <c r="P4" s="235">
        <v>241</v>
      </c>
      <c r="Q4" s="235">
        <v>267</v>
      </c>
      <c r="R4" s="235">
        <v>260</v>
      </c>
      <c r="S4" s="235">
        <v>304</v>
      </c>
      <c r="T4" s="236"/>
      <c r="U4" s="231"/>
      <c r="V4" s="231"/>
      <c r="W4" s="231"/>
      <c r="X4" s="231"/>
      <c r="Y4" s="231"/>
    </row>
    <row r="5" spans="1:25" ht="12.95" customHeight="1" x14ac:dyDescent="0.25">
      <c r="A5" s="359" t="s">
        <v>630</v>
      </c>
      <c r="B5" s="718"/>
      <c r="C5" s="233">
        <v>19</v>
      </c>
      <c r="D5" s="235">
        <v>13</v>
      </c>
      <c r="E5" s="235">
        <v>5</v>
      </c>
      <c r="F5" s="235">
        <v>71</v>
      </c>
      <c r="G5" s="235">
        <v>70</v>
      </c>
      <c r="H5" s="235">
        <v>68</v>
      </c>
      <c r="I5" s="235">
        <v>54</v>
      </c>
      <c r="J5" s="235">
        <v>101</v>
      </c>
      <c r="K5" s="236"/>
      <c r="L5" s="234">
        <v>743</v>
      </c>
      <c r="M5" s="235">
        <v>1087</v>
      </c>
      <c r="N5" s="235">
        <v>791</v>
      </c>
      <c r="O5" s="235">
        <v>1050</v>
      </c>
      <c r="P5" s="235">
        <v>1496</v>
      </c>
      <c r="Q5" s="235">
        <v>1365</v>
      </c>
      <c r="R5" s="235">
        <v>1317</v>
      </c>
      <c r="S5" s="235">
        <v>1301</v>
      </c>
      <c r="T5" s="236"/>
      <c r="U5" s="231"/>
      <c r="V5" s="231"/>
      <c r="W5" s="231"/>
      <c r="X5" s="231"/>
      <c r="Y5" s="231"/>
    </row>
    <row r="6" spans="1:25" ht="12.95" customHeight="1" x14ac:dyDescent="0.25">
      <c r="A6" s="359" t="s">
        <v>631</v>
      </c>
      <c r="B6" s="718"/>
      <c r="C6" s="233">
        <v>8</v>
      </c>
      <c r="D6" s="235">
        <v>20</v>
      </c>
      <c r="E6" s="235">
        <v>5</v>
      </c>
      <c r="F6" s="235">
        <v>62</v>
      </c>
      <c r="G6" s="235">
        <v>154</v>
      </c>
      <c r="H6" s="235">
        <v>136</v>
      </c>
      <c r="I6" s="235">
        <v>149</v>
      </c>
      <c r="J6" s="235">
        <v>106</v>
      </c>
      <c r="K6" s="236"/>
      <c r="L6" s="234">
        <v>1104</v>
      </c>
      <c r="M6" s="235">
        <v>2337</v>
      </c>
      <c r="N6" s="235">
        <v>943</v>
      </c>
      <c r="O6" s="235">
        <v>1646</v>
      </c>
      <c r="P6" s="235">
        <v>1989</v>
      </c>
      <c r="Q6" s="235">
        <v>1449</v>
      </c>
      <c r="R6" s="235">
        <v>1210</v>
      </c>
      <c r="S6" s="235">
        <v>865</v>
      </c>
      <c r="T6" s="236"/>
      <c r="U6" s="231"/>
      <c r="V6" s="231"/>
      <c r="W6" s="231"/>
      <c r="X6" s="231"/>
      <c r="Y6" s="231"/>
    </row>
    <row r="7" spans="1:25" ht="12.95" customHeight="1" x14ac:dyDescent="0.25">
      <c r="A7" s="359" t="s">
        <v>632</v>
      </c>
      <c r="B7" s="718"/>
      <c r="C7" s="233">
        <v>3</v>
      </c>
      <c r="D7" s="235">
        <v>1</v>
      </c>
      <c r="E7" s="235">
        <v>14</v>
      </c>
      <c r="F7" s="235">
        <v>86</v>
      </c>
      <c r="G7" s="235">
        <v>91</v>
      </c>
      <c r="H7" s="235">
        <v>84</v>
      </c>
      <c r="I7" s="235">
        <v>92</v>
      </c>
      <c r="J7" s="235">
        <v>89</v>
      </c>
      <c r="K7" s="236"/>
      <c r="L7" s="234">
        <v>799</v>
      </c>
      <c r="M7" s="235">
        <v>855</v>
      </c>
      <c r="N7" s="235">
        <v>1123</v>
      </c>
      <c r="O7" s="235">
        <v>1224</v>
      </c>
      <c r="P7" s="235">
        <v>612</v>
      </c>
      <c r="Q7" s="235">
        <v>608</v>
      </c>
      <c r="R7" s="235">
        <v>678</v>
      </c>
      <c r="S7" s="235">
        <v>954</v>
      </c>
      <c r="T7" s="236"/>
      <c r="U7" s="231"/>
      <c r="V7" s="231"/>
      <c r="W7" s="231"/>
      <c r="X7" s="231"/>
      <c r="Y7" s="231"/>
    </row>
    <row r="8" spans="1:25" ht="12.95" customHeight="1" x14ac:dyDescent="0.25">
      <c r="A8" s="359" t="s">
        <v>633</v>
      </c>
      <c r="B8" s="718"/>
      <c r="C8" s="233">
        <v>7</v>
      </c>
      <c r="D8" s="235">
        <v>5</v>
      </c>
      <c r="E8" s="235">
        <v>15</v>
      </c>
      <c r="F8" s="235">
        <v>88</v>
      </c>
      <c r="G8" s="235">
        <v>117</v>
      </c>
      <c r="H8" s="235">
        <v>125</v>
      </c>
      <c r="I8" s="235">
        <v>152</v>
      </c>
      <c r="J8" s="235">
        <v>211</v>
      </c>
      <c r="K8" s="236"/>
      <c r="L8" s="234">
        <v>3098</v>
      </c>
      <c r="M8" s="235">
        <v>1627</v>
      </c>
      <c r="N8" s="235">
        <v>451</v>
      </c>
      <c r="O8" s="235">
        <v>3587</v>
      </c>
      <c r="P8" s="235">
        <v>1711</v>
      </c>
      <c r="Q8" s="235">
        <v>699</v>
      </c>
      <c r="R8" s="235">
        <v>714</v>
      </c>
      <c r="S8" s="235">
        <v>1117</v>
      </c>
      <c r="T8" s="236"/>
      <c r="U8" s="231"/>
      <c r="V8" s="231"/>
      <c r="W8" s="231"/>
      <c r="X8" s="231"/>
      <c r="Y8" s="231"/>
    </row>
    <row r="9" spans="1:25" ht="12.95" customHeight="1" x14ac:dyDescent="0.25">
      <c r="A9" s="359" t="s">
        <v>634</v>
      </c>
      <c r="B9" s="718"/>
      <c r="C9" s="233">
        <v>1</v>
      </c>
      <c r="D9" s="235">
        <v>5</v>
      </c>
      <c r="E9" s="235">
        <v>3</v>
      </c>
      <c r="F9" s="235">
        <v>45</v>
      </c>
      <c r="G9" s="235">
        <v>101</v>
      </c>
      <c r="H9" s="235">
        <v>79</v>
      </c>
      <c r="I9" s="235">
        <v>145</v>
      </c>
      <c r="J9" s="235">
        <v>228</v>
      </c>
      <c r="K9" s="236"/>
      <c r="L9" s="234">
        <v>1322</v>
      </c>
      <c r="M9" s="235">
        <v>895</v>
      </c>
      <c r="N9" s="235">
        <v>871</v>
      </c>
      <c r="O9" s="235">
        <v>719</v>
      </c>
      <c r="P9" s="235">
        <v>775</v>
      </c>
      <c r="Q9" s="235">
        <v>806</v>
      </c>
      <c r="R9" s="235">
        <v>1982</v>
      </c>
      <c r="S9" s="235">
        <v>1199</v>
      </c>
      <c r="T9" s="236"/>
      <c r="U9" s="231"/>
      <c r="V9" s="231"/>
      <c r="W9" s="231"/>
      <c r="X9" s="231"/>
      <c r="Y9" s="231"/>
    </row>
    <row r="10" spans="1:25" ht="12.95" customHeight="1" x14ac:dyDescent="0.25">
      <c r="A10" s="359" t="s">
        <v>635</v>
      </c>
      <c r="B10" s="718"/>
      <c r="C10" s="233">
        <v>4</v>
      </c>
      <c r="D10" s="235">
        <v>5</v>
      </c>
      <c r="E10" s="235">
        <v>14</v>
      </c>
      <c r="F10" s="235">
        <v>40</v>
      </c>
      <c r="G10" s="235">
        <v>33</v>
      </c>
      <c r="H10" s="235">
        <v>42</v>
      </c>
      <c r="I10" s="235">
        <v>52</v>
      </c>
      <c r="J10" s="235">
        <v>79</v>
      </c>
      <c r="K10" s="236"/>
      <c r="L10" s="234">
        <v>979</v>
      </c>
      <c r="M10" s="235">
        <v>830</v>
      </c>
      <c r="N10" s="235">
        <v>699</v>
      </c>
      <c r="O10" s="235">
        <v>1599</v>
      </c>
      <c r="P10" s="235">
        <v>656</v>
      </c>
      <c r="Q10" s="235">
        <v>768</v>
      </c>
      <c r="R10" s="235">
        <v>661</v>
      </c>
      <c r="S10" s="235">
        <v>678</v>
      </c>
      <c r="T10" s="236"/>
      <c r="U10" s="231"/>
      <c r="V10" s="231"/>
      <c r="W10" s="231"/>
      <c r="X10" s="231"/>
      <c r="Y10" s="231"/>
    </row>
    <row r="11" spans="1:25" ht="12.95" customHeight="1" x14ac:dyDescent="0.25">
      <c r="A11" s="359" t="s">
        <v>636</v>
      </c>
      <c r="B11" s="718"/>
      <c r="C11" s="233">
        <v>21</v>
      </c>
      <c r="D11" s="235">
        <v>20</v>
      </c>
      <c r="E11" s="235">
        <v>17</v>
      </c>
      <c r="F11" s="235">
        <v>73</v>
      </c>
      <c r="G11" s="235">
        <v>107</v>
      </c>
      <c r="H11" s="235">
        <v>39</v>
      </c>
      <c r="I11" s="235">
        <v>139</v>
      </c>
      <c r="J11" s="235">
        <v>133</v>
      </c>
      <c r="K11" s="236"/>
      <c r="L11" s="234">
        <v>2858</v>
      </c>
      <c r="M11" s="235">
        <v>1808</v>
      </c>
      <c r="N11" s="235">
        <v>1317</v>
      </c>
      <c r="O11" s="235">
        <v>1363</v>
      </c>
      <c r="P11" s="235">
        <v>1256</v>
      </c>
      <c r="Q11" s="235">
        <v>1125</v>
      </c>
      <c r="R11" s="235">
        <v>1637</v>
      </c>
      <c r="S11" s="235">
        <v>1418</v>
      </c>
      <c r="T11" s="236"/>
      <c r="U11" s="231"/>
      <c r="V11" s="231"/>
      <c r="W11" s="231"/>
      <c r="X11" s="231"/>
      <c r="Y11" s="231"/>
    </row>
    <row r="12" spans="1:25" ht="12.95" customHeight="1" x14ac:dyDescent="0.25">
      <c r="A12" s="359" t="s">
        <v>637</v>
      </c>
      <c r="B12" s="718"/>
      <c r="C12" s="233">
        <v>7</v>
      </c>
      <c r="D12" s="235">
        <v>2</v>
      </c>
      <c r="E12" s="235">
        <v>4</v>
      </c>
      <c r="F12" s="235">
        <v>52</v>
      </c>
      <c r="G12" s="235">
        <v>80</v>
      </c>
      <c r="H12" s="235">
        <v>81</v>
      </c>
      <c r="I12" s="235">
        <v>77</v>
      </c>
      <c r="J12" s="235">
        <v>50</v>
      </c>
      <c r="K12" s="236"/>
      <c r="L12" s="234">
        <v>837</v>
      </c>
      <c r="M12" s="235">
        <v>1005</v>
      </c>
      <c r="N12" s="235">
        <v>480</v>
      </c>
      <c r="O12" s="235">
        <v>895</v>
      </c>
      <c r="P12" s="235">
        <v>633</v>
      </c>
      <c r="Q12" s="235">
        <v>988</v>
      </c>
      <c r="R12" s="235">
        <v>810</v>
      </c>
      <c r="S12" s="235">
        <v>1650</v>
      </c>
      <c r="T12" s="236"/>
      <c r="U12" s="231"/>
      <c r="V12" s="231"/>
      <c r="W12" s="231"/>
      <c r="X12" s="231"/>
      <c r="Y12" s="231"/>
    </row>
    <row r="13" spans="1:25" ht="12.95" customHeight="1" x14ac:dyDescent="0.25">
      <c r="A13" s="359" t="s">
        <v>638</v>
      </c>
      <c r="B13" s="718"/>
      <c r="C13" s="233">
        <v>9</v>
      </c>
      <c r="D13" s="235">
        <v>24</v>
      </c>
      <c r="E13" s="235">
        <v>24</v>
      </c>
      <c r="F13" s="235">
        <v>46</v>
      </c>
      <c r="G13" s="235">
        <v>91</v>
      </c>
      <c r="H13" s="235">
        <v>26</v>
      </c>
      <c r="I13" s="235">
        <v>96</v>
      </c>
      <c r="J13" s="235">
        <v>128</v>
      </c>
      <c r="K13" s="236"/>
      <c r="L13" s="234">
        <v>1059</v>
      </c>
      <c r="M13" s="235">
        <v>1022</v>
      </c>
      <c r="N13" s="235">
        <v>746</v>
      </c>
      <c r="O13" s="235">
        <v>1313</v>
      </c>
      <c r="P13" s="235">
        <v>1056</v>
      </c>
      <c r="Q13" s="235">
        <v>946</v>
      </c>
      <c r="R13" s="235">
        <v>876</v>
      </c>
      <c r="S13" s="235">
        <v>1037</v>
      </c>
      <c r="T13" s="236"/>
      <c r="U13" s="231"/>
      <c r="V13" s="231"/>
      <c r="W13" s="231"/>
      <c r="X13" s="231"/>
      <c r="Y13" s="231"/>
    </row>
    <row r="14" spans="1:25" ht="12.95" customHeight="1" x14ac:dyDescent="0.25">
      <c r="A14" s="359" t="s">
        <v>639</v>
      </c>
      <c r="B14" s="718"/>
      <c r="C14" s="233">
        <v>4</v>
      </c>
      <c r="D14" s="235">
        <v>1</v>
      </c>
      <c r="E14" s="235">
        <v>8</v>
      </c>
      <c r="F14" s="235">
        <v>34</v>
      </c>
      <c r="G14" s="235">
        <v>41</v>
      </c>
      <c r="H14" s="235">
        <v>47</v>
      </c>
      <c r="I14" s="235">
        <v>83</v>
      </c>
      <c r="J14" s="235">
        <v>119</v>
      </c>
      <c r="K14" s="236"/>
      <c r="L14" s="234">
        <v>1421</v>
      </c>
      <c r="M14" s="235">
        <v>1598</v>
      </c>
      <c r="N14" s="235">
        <v>1387</v>
      </c>
      <c r="O14" s="235">
        <v>648</v>
      </c>
      <c r="P14" s="235">
        <v>702</v>
      </c>
      <c r="Q14" s="235">
        <v>2064</v>
      </c>
      <c r="R14" s="235">
        <v>1154</v>
      </c>
      <c r="S14" s="235">
        <v>1888</v>
      </c>
      <c r="T14" s="236"/>
      <c r="U14" s="231"/>
      <c r="V14" s="231"/>
      <c r="W14" s="231"/>
      <c r="X14" s="231"/>
      <c r="Y14" s="231"/>
    </row>
    <row r="15" spans="1:25" ht="12.95" customHeight="1" x14ac:dyDescent="0.25">
      <c r="A15" s="359" t="s">
        <v>640</v>
      </c>
      <c r="B15" s="718"/>
      <c r="C15" s="233"/>
      <c r="D15" s="235">
        <v>6</v>
      </c>
      <c r="E15" s="235">
        <v>3</v>
      </c>
      <c r="F15" s="235">
        <v>54</v>
      </c>
      <c r="G15" s="235">
        <v>55</v>
      </c>
      <c r="H15" s="235">
        <v>15</v>
      </c>
      <c r="I15" s="235">
        <v>55</v>
      </c>
      <c r="J15" s="235">
        <v>74</v>
      </c>
      <c r="K15" s="236"/>
      <c r="L15" s="234">
        <v>343</v>
      </c>
      <c r="M15" s="235">
        <v>372</v>
      </c>
      <c r="N15" s="235">
        <v>233</v>
      </c>
      <c r="O15" s="235">
        <v>288</v>
      </c>
      <c r="P15" s="235">
        <v>354</v>
      </c>
      <c r="Q15" s="235">
        <v>236</v>
      </c>
      <c r="R15" s="235">
        <v>376</v>
      </c>
      <c r="S15" s="235">
        <v>345</v>
      </c>
      <c r="T15" s="236"/>
      <c r="U15" s="231"/>
      <c r="V15" s="231"/>
      <c r="W15" s="231"/>
      <c r="X15" s="231"/>
      <c r="Y15" s="231"/>
    </row>
    <row r="16" spans="1:25" ht="12.95" customHeight="1" x14ac:dyDescent="0.25">
      <c r="A16" s="359" t="s">
        <v>641</v>
      </c>
      <c r="B16" s="718"/>
      <c r="C16" s="233">
        <v>10</v>
      </c>
      <c r="D16" s="235">
        <v>11</v>
      </c>
      <c r="E16" s="235">
        <v>11</v>
      </c>
      <c r="F16" s="235">
        <v>124</v>
      </c>
      <c r="G16" s="235">
        <v>147</v>
      </c>
      <c r="H16" s="235">
        <v>131</v>
      </c>
      <c r="I16" s="235">
        <v>274</v>
      </c>
      <c r="J16" s="235">
        <v>212</v>
      </c>
      <c r="K16" s="236"/>
      <c r="L16" s="234">
        <v>2881</v>
      </c>
      <c r="M16" s="235">
        <v>1951</v>
      </c>
      <c r="N16" s="235">
        <v>862</v>
      </c>
      <c r="O16" s="235">
        <v>894</v>
      </c>
      <c r="P16" s="235">
        <v>764</v>
      </c>
      <c r="Q16" s="235">
        <v>1038</v>
      </c>
      <c r="R16" s="235">
        <v>1136</v>
      </c>
      <c r="S16" s="235">
        <v>1461</v>
      </c>
      <c r="T16" s="236"/>
      <c r="U16" s="231"/>
      <c r="V16" s="231"/>
      <c r="W16" s="231"/>
      <c r="X16" s="231"/>
      <c r="Y16" s="231"/>
    </row>
    <row r="17" spans="1:25" ht="12.95" customHeight="1" x14ac:dyDescent="0.25">
      <c r="A17" s="359" t="s">
        <v>642</v>
      </c>
      <c r="B17" s="718"/>
      <c r="C17" s="233">
        <v>2</v>
      </c>
      <c r="D17" s="235">
        <v>1</v>
      </c>
      <c r="E17" s="235">
        <v>5</v>
      </c>
      <c r="F17" s="235">
        <v>37</v>
      </c>
      <c r="G17" s="235">
        <v>59</v>
      </c>
      <c r="H17" s="235">
        <v>74</v>
      </c>
      <c r="I17" s="235">
        <v>98</v>
      </c>
      <c r="J17" s="235">
        <v>79</v>
      </c>
      <c r="K17" s="236"/>
      <c r="L17" s="234">
        <v>1709</v>
      </c>
      <c r="M17" s="235">
        <v>1121</v>
      </c>
      <c r="N17" s="235">
        <v>869</v>
      </c>
      <c r="O17" s="235">
        <v>4174</v>
      </c>
      <c r="P17" s="235">
        <v>3280</v>
      </c>
      <c r="Q17" s="235">
        <v>5256</v>
      </c>
      <c r="R17" s="235">
        <v>895</v>
      </c>
      <c r="S17" s="235">
        <v>2345</v>
      </c>
      <c r="T17" s="236"/>
      <c r="U17" s="231"/>
      <c r="V17" s="231"/>
      <c r="W17" s="231"/>
      <c r="X17" s="231"/>
      <c r="Y17" s="231"/>
    </row>
    <row r="18" spans="1:25" ht="12.95" customHeight="1" x14ac:dyDescent="0.25">
      <c r="A18" s="359" t="s">
        <v>643</v>
      </c>
      <c r="B18" s="718"/>
      <c r="C18" s="233"/>
      <c r="D18" s="235"/>
      <c r="E18" s="235">
        <v>10</v>
      </c>
      <c r="F18" s="235">
        <v>43</v>
      </c>
      <c r="G18" s="235">
        <v>64</v>
      </c>
      <c r="H18" s="235">
        <v>41</v>
      </c>
      <c r="I18" s="235">
        <v>81</v>
      </c>
      <c r="J18" s="235">
        <v>99</v>
      </c>
      <c r="K18" s="236"/>
      <c r="L18" s="234">
        <v>1278</v>
      </c>
      <c r="M18" s="235">
        <v>864</v>
      </c>
      <c r="N18" s="235">
        <v>597</v>
      </c>
      <c r="O18" s="235">
        <v>511</v>
      </c>
      <c r="P18" s="235">
        <v>509</v>
      </c>
      <c r="Q18" s="235">
        <v>413</v>
      </c>
      <c r="R18" s="235">
        <v>397</v>
      </c>
      <c r="S18" s="235">
        <v>366</v>
      </c>
      <c r="T18" s="236"/>
      <c r="U18" s="231"/>
      <c r="V18" s="231"/>
      <c r="W18" s="231"/>
      <c r="X18" s="231"/>
      <c r="Y18" s="231"/>
    </row>
    <row r="19" spans="1:25" ht="12.95" customHeight="1" x14ac:dyDescent="0.25">
      <c r="A19" s="359" t="s">
        <v>644</v>
      </c>
      <c r="B19" s="718"/>
      <c r="C19" s="233">
        <v>1</v>
      </c>
      <c r="D19" s="235">
        <v>6</v>
      </c>
      <c r="E19" s="235">
        <v>10</v>
      </c>
      <c r="F19" s="235">
        <v>24</v>
      </c>
      <c r="G19" s="235">
        <v>66</v>
      </c>
      <c r="H19" s="235">
        <v>50</v>
      </c>
      <c r="I19" s="235">
        <v>86</v>
      </c>
      <c r="J19" s="235">
        <v>43</v>
      </c>
      <c r="K19" s="236"/>
      <c r="L19" s="234">
        <v>513</v>
      </c>
      <c r="M19" s="235">
        <v>803</v>
      </c>
      <c r="N19" s="235">
        <v>345</v>
      </c>
      <c r="O19" s="235">
        <v>1449</v>
      </c>
      <c r="P19" s="235">
        <v>1852</v>
      </c>
      <c r="Q19" s="235">
        <v>447</v>
      </c>
      <c r="R19" s="235">
        <v>447</v>
      </c>
      <c r="S19" s="235">
        <v>273</v>
      </c>
      <c r="T19" s="236"/>
      <c r="U19" s="231"/>
      <c r="V19" s="231"/>
      <c r="W19" s="231"/>
      <c r="X19" s="231"/>
      <c r="Y19" s="231"/>
    </row>
    <row r="20" spans="1:25" ht="12.95" customHeight="1" x14ac:dyDescent="0.25">
      <c r="A20" s="359" t="s">
        <v>645</v>
      </c>
      <c r="B20" s="718"/>
      <c r="C20" s="233"/>
      <c r="D20" s="235"/>
      <c r="E20" s="235">
        <v>1</v>
      </c>
      <c r="F20" s="235">
        <v>23</v>
      </c>
      <c r="G20" s="235">
        <v>26</v>
      </c>
      <c r="H20" s="235">
        <v>14</v>
      </c>
      <c r="I20" s="235">
        <v>34</v>
      </c>
      <c r="J20" s="235">
        <v>70</v>
      </c>
      <c r="K20" s="236"/>
      <c r="L20" s="234">
        <v>618</v>
      </c>
      <c r="M20" s="235">
        <v>722</v>
      </c>
      <c r="N20" s="235">
        <v>325</v>
      </c>
      <c r="O20" s="235">
        <v>1359</v>
      </c>
      <c r="P20" s="235">
        <v>1484</v>
      </c>
      <c r="Q20" s="235">
        <v>489</v>
      </c>
      <c r="R20" s="235">
        <v>427</v>
      </c>
      <c r="S20" s="235">
        <v>534</v>
      </c>
      <c r="T20" s="236"/>
      <c r="U20" s="231"/>
      <c r="V20" s="231"/>
      <c r="W20" s="231"/>
      <c r="X20" s="231"/>
      <c r="Y20" s="231"/>
    </row>
    <row r="21" spans="1:25" ht="12.95" customHeight="1" x14ac:dyDescent="0.25">
      <c r="A21" s="359" t="s">
        <v>646</v>
      </c>
      <c r="B21" s="718"/>
      <c r="C21" s="233">
        <v>3</v>
      </c>
      <c r="D21" s="235">
        <v>13</v>
      </c>
      <c r="E21" s="235">
        <v>6</v>
      </c>
      <c r="F21" s="235">
        <v>27</v>
      </c>
      <c r="G21" s="235">
        <v>41</v>
      </c>
      <c r="H21" s="235">
        <v>33</v>
      </c>
      <c r="I21" s="235">
        <v>60</v>
      </c>
      <c r="J21" s="235">
        <v>68</v>
      </c>
      <c r="K21" s="236"/>
      <c r="L21" s="234">
        <v>879</v>
      </c>
      <c r="M21" s="235">
        <v>744</v>
      </c>
      <c r="N21" s="235">
        <v>527</v>
      </c>
      <c r="O21" s="235">
        <v>553</v>
      </c>
      <c r="P21" s="235">
        <v>536</v>
      </c>
      <c r="Q21" s="235">
        <v>768</v>
      </c>
      <c r="R21" s="235">
        <v>506</v>
      </c>
      <c r="S21" s="235">
        <v>530</v>
      </c>
      <c r="T21" s="236"/>
      <c r="U21" s="231"/>
      <c r="V21" s="231"/>
      <c r="W21" s="231"/>
      <c r="X21" s="231"/>
      <c r="Y21" s="231"/>
    </row>
    <row r="22" spans="1:25" ht="12.95" customHeight="1" x14ac:dyDescent="0.25">
      <c r="A22" s="359" t="s">
        <v>647</v>
      </c>
      <c r="B22" s="718"/>
      <c r="C22" s="233">
        <v>11</v>
      </c>
      <c r="D22" s="235">
        <v>20</v>
      </c>
      <c r="E22" s="235">
        <v>28</v>
      </c>
      <c r="F22" s="235">
        <v>48</v>
      </c>
      <c r="G22" s="235">
        <v>56</v>
      </c>
      <c r="H22" s="235">
        <v>70</v>
      </c>
      <c r="I22" s="235">
        <v>103</v>
      </c>
      <c r="J22" s="235">
        <v>108</v>
      </c>
      <c r="K22" s="236"/>
      <c r="L22" s="234">
        <v>713</v>
      </c>
      <c r="M22" s="235">
        <v>744</v>
      </c>
      <c r="N22" s="235">
        <v>617</v>
      </c>
      <c r="O22" s="235">
        <v>901</v>
      </c>
      <c r="P22" s="235">
        <v>420</v>
      </c>
      <c r="Q22" s="235">
        <v>626</v>
      </c>
      <c r="R22" s="235">
        <v>521</v>
      </c>
      <c r="S22" s="235">
        <v>553</v>
      </c>
      <c r="T22" s="236"/>
      <c r="U22" s="231"/>
      <c r="V22" s="231"/>
      <c r="W22" s="231"/>
      <c r="X22" s="231"/>
      <c r="Y22" s="231"/>
    </row>
    <row r="23" spans="1:25" ht="12.95" customHeight="1" x14ac:dyDescent="0.25">
      <c r="A23" s="359" t="s">
        <v>648</v>
      </c>
      <c r="B23" s="718"/>
      <c r="C23" s="233"/>
      <c r="D23" s="235">
        <v>1</v>
      </c>
      <c r="E23" s="235">
        <v>6</v>
      </c>
      <c r="F23" s="235">
        <v>34</v>
      </c>
      <c r="G23" s="235">
        <v>65</v>
      </c>
      <c r="H23" s="235">
        <v>51</v>
      </c>
      <c r="I23" s="235">
        <v>106</v>
      </c>
      <c r="J23" s="235">
        <v>109</v>
      </c>
      <c r="K23" s="236"/>
      <c r="L23" s="234">
        <v>1159</v>
      </c>
      <c r="M23" s="235">
        <v>665</v>
      </c>
      <c r="N23" s="235">
        <v>484</v>
      </c>
      <c r="O23" s="235">
        <v>1321</v>
      </c>
      <c r="P23" s="235">
        <v>474</v>
      </c>
      <c r="Q23" s="235">
        <v>663</v>
      </c>
      <c r="R23" s="235">
        <v>722</v>
      </c>
      <c r="S23" s="235">
        <v>664</v>
      </c>
      <c r="T23" s="236"/>
      <c r="U23" s="231"/>
      <c r="V23" s="231"/>
      <c r="W23" s="231"/>
      <c r="X23" s="231"/>
      <c r="Y23" s="231"/>
    </row>
    <row r="24" spans="1:25" ht="12.95" customHeight="1" x14ac:dyDescent="0.25">
      <c r="A24" s="359" t="s">
        <v>649</v>
      </c>
      <c r="B24" s="718"/>
      <c r="C24" s="233">
        <v>11</v>
      </c>
      <c r="D24" s="235">
        <v>1</v>
      </c>
      <c r="E24" s="235">
        <v>8</v>
      </c>
      <c r="F24" s="235">
        <v>43</v>
      </c>
      <c r="G24" s="235">
        <v>50</v>
      </c>
      <c r="H24" s="235">
        <v>48</v>
      </c>
      <c r="I24" s="235">
        <v>69</v>
      </c>
      <c r="J24" s="235">
        <v>74</v>
      </c>
      <c r="K24" s="236"/>
      <c r="L24" s="234">
        <v>996</v>
      </c>
      <c r="M24" s="235">
        <v>926</v>
      </c>
      <c r="N24" s="235">
        <v>527</v>
      </c>
      <c r="O24" s="235">
        <v>993</v>
      </c>
      <c r="P24" s="235">
        <v>1932</v>
      </c>
      <c r="Q24" s="235">
        <v>655</v>
      </c>
      <c r="R24" s="235">
        <v>710</v>
      </c>
      <c r="S24" s="235">
        <v>552</v>
      </c>
      <c r="T24" s="236"/>
      <c r="U24" s="231"/>
      <c r="V24" s="231"/>
      <c r="W24" s="231"/>
      <c r="X24" s="231"/>
      <c r="Y24" s="231"/>
    </row>
    <row r="25" spans="1:25" ht="12.95" customHeight="1" x14ac:dyDescent="0.25">
      <c r="A25" s="359" t="s">
        <v>650</v>
      </c>
      <c r="B25" s="718"/>
      <c r="C25" s="233">
        <v>2</v>
      </c>
      <c r="D25" s="235">
        <v>6</v>
      </c>
      <c r="E25" s="235">
        <v>5</v>
      </c>
      <c r="F25" s="235">
        <v>34</v>
      </c>
      <c r="G25" s="235">
        <v>80</v>
      </c>
      <c r="H25" s="235">
        <v>61</v>
      </c>
      <c r="I25" s="235">
        <v>63</v>
      </c>
      <c r="J25" s="235">
        <v>31</v>
      </c>
      <c r="K25" s="236"/>
      <c r="L25" s="234">
        <v>514</v>
      </c>
      <c r="M25" s="235">
        <v>625</v>
      </c>
      <c r="N25" s="235">
        <v>389</v>
      </c>
      <c r="O25" s="235">
        <v>358</v>
      </c>
      <c r="P25" s="235">
        <v>355</v>
      </c>
      <c r="Q25" s="235">
        <v>554</v>
      </c>
      <c r="R25" s="235">
        <v>505</v>
      </c>
      <c r="S25" s="235">
        <v>265</v>
      </c>
      <c r="T25" s="236"/>
      <c r="U25" s="231"/>
      <c r="V25" s="231"/>
      <c r="W25" s="231"/>
      <c r="X25" s="231"/>
      <c r="Y25" s="231"/>
    </row>
    <row r="26" spans="1:25" ht="12.95" customHeight="1" thickBot="1" x14ac:dyDescent="0.3">
      <c r="A26" s="505" t="s">
        <v>651</v>
      </c>
      <c r="B26" s="722"/>
      <c r="C26" s="723"/>
      <c r="D26" s="238">
        <v>1</v>
      </c>
      <c r="E26" s="238">
        <v>3</v>
      </c>
      <c r="F26" s="238">
        <v>5</v>
      </c>
      <c r="G26" s="238">
        <v>8</v>
      </c>
      <c r="H26" s="238">
        <v>4</v>
      </c>
      <c r="I26" s="238">
        <v>3</v>
      </c>
      <c r="J26" s="238">
        <v>4</v>
      </c>
      <c r="K26" s="239"/>
      <c r="L26" s="237">
        <v>15</v>
      </c>
      <c r="M26" s="238">
        <v>15</v>
      </c>
      <c r="N26" s="238">
        <v>15</v>
      </c>
      <c r="O26" s="238">
        <v>20</v>
      </c>
      <c r="P26" s="238">
        <v>28</v>
      </c>
      <c r="Q26" s="238">
        <v>11</v>
      </c>
      <c r="R26" s="238">
        <v>22</v>
      </c>
      <c r="S26" s="238">
        <v>20</v>
      </c>
      <c r="T26" s="239"/>
      <c r="U26" s="231"/>
      <c r="V26" s="231"/>
      <c r="W26" s="231"/>
      <c r="X26" s="231"/>
      <c r="Y26" s="231"/>
    </row>
    <row r="27" spans="1:25" ht="12.95" customHeight="1" thickBot="1" x14ac:dyDescent="0.3">
      <c r="A27" s="713" t="s">
        <v>786</v>
      </c>
      <c r="B27" s="733"/>
      <c r="C27" s="307">
        <v>222</v>
      </c>
      <c r="D27" s="309">
        <v>190</v>
      </c>
      <c r="E27" s="309">
        <v>233</v>
      </c>
      <c r="F27" s="309">
        <v>1150</v>
      </c>
      <c r="G27" s="309">
        <v>1647</v>
      </c>
      <c r="H27" s="309">
        <v>1382</v>
      </c>
      <c r="I27" s="309">
        <v>2117</v>
      </c>
      <c r="J27" s="309">
        <v>2292</v>
      </c>
      <c r="K27" s="310"/>
      <c r="L27" s="311">
        <v>31528</v>
      </c>
      <c r="M27" s="309">
        <v>25732</v>
      </c>
      <c r="N27" s="309">
        <v>17824</v>
      </c>
      <c r="O27" s="309">
        <v>29013</v>
      </c>
      <c r="P27" s="309">
        <v>29878</v>
      </c>
      <c r="Q27" s="309">
        <v>23584</v>
      </c>
      <c r="R27" s="309">
        <v>19360</v>
      </c>
      <c r="S27" s="309">
        <v>23668</v>
      </c>
      <c r="T27" s="310"/>
      <c r="U27" s="231"/>
      <c r="V27" s="231"/>
      <c r="W27" s="231"/>
      <c r="X27" s="231"/>
      <c r="Y27" s="231"/>
    </row>
    <row r="28" spans="1:25" ht="12.95" customHeight="1" x14ac:dyDescent="0.25">
      <c r="A28" s="714" t="s">
        <v>576</v>
      </c>
      <c r="B28" s="727"/>
      <c r="C28" s="227"/>
      <c r="D28" s="229"/>
      <c r="E28" s="229"/>
      <c r="F28" s="229">
        <v>4</v>
      </c>
      <c r="G28" s="229"/>
      <c r="H28" s="229"/>
      <c r="I28" s="229">
        <v>1</v>
      </c>
      <c r="J28" s="229">
        <v>2</v>
      </c>
      <c r="K28" s="230"/>
      <c r="L28" s="228">
        <v>210</v>
      </c>
      <c r="M28" s="229">
        <v>153</v>
      </c>
      <c r="N28" s="229">
        <v>171</v>
      </c>
      <c r="O28" s="229">
        <v>362</v>
      </c>
      <c r="P28" s="229">
        <v>135</v>
      </c>
      <c r="Q28" s="229">
        <v>155</v>
      </c>
      <c r="R28" s="229">
        <v>318</v>
      </c>
      <c r="S28" s="229">
        <v>79</v>
      </c>
      <c r="T28" s="230"/>
      <c r="U28" s="231"/>
      <c r="V28" s="231"/>
      <c r="W28" s="231"/>
      <c r="X28" s="231"/>
      <c r="Y28" s="231"/>
    </row>
    <row r="29" spans="1:25" ht="12.95" customHeight="1" x14ac:dyDescent="0.25">
      <c r="A29" s="715" t="s">
        <v>652</v>
      </c>
      <c r="B29" s="719" t="s">
        <v>621</v>
      </c>
      <c r="C29" s="233">
        <v>285</v>
      </c>
      <c r="D29" s="235">
        <v>240</v>
      </c>
      <c r="E29" s="235">
        <v>215</v>
      </c>
      <c r="F29" s="235">
        <v>251</v>
      </c>
      <c r="G29" s="235">
        <v>232</v>
      </c>
      <c r="H29" s="235">
        <v>187</v>
      </c>
      <c r="I29" s="235">
        <v>152</v>
      </c>
      <c r="J29" s="235">
        <v>198</v>
      </c>
      <c r="K29" s="236"/>
      <c r="L29" s="234">
        <v>3636</v>
      </c>
      <c r="M29" s="235">
        <v>2704</v>
      </c>
      <c r="N29" s="235">
        <v>2350</v>
      </c>
      <c r="O29" s="235">
        <v>2854</v>
      </c>
      <c r="P29" s="235">
        <v>2327</v>
      </c>
      <c r="Q29" s="235">
        <v>1991</v>
      </c>
      <c r="R29" s="235">
        <v>1743</v>
      </c>
      <c r="S29" s="235">
        <v>1813</v>
      </c>
      <c r="T29" s="236"/>
      <c r="U29" s="231"/>
      <c r="V29" s="231"/>
      <c r="W29" s="231"/>
      <c r="X29" s="231"/>
      <c r="Y29" s="231"/>
    </row>
    <row r="30" spans="1:25" ht="12.95" customHeight="1" x14ac:dyDescent="0.25">
      <c r="A30" s="715" t="s">
        <v>653</v>
      </c>
      <c r="B30" s="719" t="s">
        <v>621</v>
      </c>
      <c r="C30" s="233">
        <v>32</v>
      </c>
      <c r="D30" s="235">
        <v>13</v>
      </c>
      <c r="E30" s="235">
        <v>14</v>
      </c>
      <c r="F30" s="235">
        <v>36</v>
      </c>
      <c r="G30" s="235">
        <v>36</v>
      </c>
      <c r="H30" s="235">
        <v>24</v>
      </c>
      <c r="I30" s="235">
        <v>28</v>
      </c>
      <c r="J30" s="235">
        <v>41</v>
      </c>
      <c r="K30" s="236"/>
      <c r="L30" s="234">
        <v>788</v>
      </c>
      <c r="M30" s="235">
        <v>965</v>
      </c>
      <c r="N30" s="235">
        <v>568</v>
      </c>
      <c r="O30" s="235">
        <v>601</v>
      </c>
      <c r="P30" s="235">
        <v>680</v>
      </c>
      <c r="Q30" s="235">
        <v>510</v>
      </c>
      <c r="R30" s="235">
        <v>462</v>
      </c>
      <c r="S30" s="235">
        <v>357</v>
      </c>
      <c r="T30" s="236"/>
      <c r="U30" s="231"/>
      <c r="V30" s="231"/>
      <c r="W30" s="231"/>
      <c r="X30" s="231"/>
      <c r="Y30" s="231"/>
    </row>
    <row r="31" spans="1:25" ht="12.95" customHeight="1" x14ac:dyDescent="0.25">
      <c r="A31" s="715" t="s">
        <v>654</v>
      </c>
      <c r="B31" s="719" t="s">
        <v>621</v>
      </c>
      <c r="C31" s="233">
        <v>25</v>
      </c>
      <c r="D31" s="235">
        <v>23</v>
      </c>
      <c r="E31" s="235">
        <v>25</v>
      </c>
      <c r="F31" s="235">
        <v>21</v>
      </c>
      <c r="G31" s="235">
        <v>65</v>
      </c>
      <c r="H31" s="235">
        <v>30</v>
      </c>
      <c r="I31" s="235">
        <v>64</v>
      </c>
      <c r="J31" s="235">
        <v>57</v>
      </c>
      <c r="K31" s="236"/>
      <c r="L31" s="234">
        <v>575</v>
      </c>
      <c r="M31" s="235">
        <v>272</v>
      </c>
      <c r="N31" s="235">
        <v>349</v>
      </c>
      <c r="O31" s="235">
        <v>417</v>
      </c>
      <c r="P31" s="235">
        <v>305</v>
      </c>
      <c r="Q31" s="235">
        <v>285</v>
      </c>
      <c r="R31" s="235">
        <v>315</v>
      </c>
      <c r="S31" s="235">
        <v>220</v>
      </c>
      <c r="T31" s="236"/>
      <c r="U31" s="231"/>
      <c r="V31" s="231"/>
      <c r="W31" s="231"/>
      <c r="X31" s="231"/>
      <c r="Y31" s="231"/>
    </row>
    <row r="32" spans="1:25" ht="12.95" customHeight="1" x14ac:dyDescent="0.25">
      <c r="A32" s="715" t="s">
        <v>655</v>
      </c>
      <c r="B32" s="719" t="s">
        <v>621</v>
      </c>
      <c r="C32" s="233">
        <v>33</v>
      </c>
      <c r="D32" s="235">
        <v>41</v>
      </c>
      <c r="E32" s="235">
        <v>33</v>
      </c>
      <c r="F32" s="235">
        <v>33</v>
      </c>
      <c r="G32" s="235">
        <v>37</v>
      </c>
      <c r="H32" s="235">
        <v>73</v>
      </c>
      <c r="I32" s="235">
        <v>85</v>
      </c>
      <c r="J32" s="235">
        <v>90</v>
      </c>
      <c r="K32" s="236"/>
      <c r="L32" s="234">
        <v>721</v>
      </c>
      <c r="M32" s="235">
        <v>789</v>
      </c>
      <c r="N32" s="235">
        <v>1346</v>
      </c>
      <c r="O32" s="235">
        <v>709</v>
      </c>
      <c r="P32" s="235">
        <v>719</v>
      </c>
      <c r="Q32" s="235">
        <v>492</v>
      </c>
      <c r="R32" s="235">
        <v>416</v>
      </c>
      <c r="S32" s="235">
        <v>702</v>
      </c>
      <c r="T32" s="236"/>
      <c r="U32" s="231"/>
      <c r="V32" s="231"/>
      <c r="W32" s="231"/>
      <c r="X32" s="231"/>
      <c r="Y32" s="231"/>
    </row>
    <row r="33" spans="1:25" ht="12.95" customHeight="1" thickBot="1" x14ac:dyDescent="0.3">
      <c r="A33" s="716" t="s">
        <v>656</v>
      </c>
      <c r="B33" s="722"/>
      <c r="C33" s="723">
        <v>17</v>
      </c>
      <c r="D33" s="238">
        <v>16</v>
      </c>
      <c r="E33" s="238">
        <v>15</v>
      </c>
      <c r="F33" s="238">
        <v>29</v>
      </c>
      <c r="G33" s="238">
        <v>31</v>
      </c>
      <c r="H33" s="238">
        <v>26</v>
      </c>
      <c r="I33" s="238">
        <v>20</v>
      </c>
      <c r="J33" s="238">
        <v>40</v>
      </c>
      <c r="K33" s="239"/>
      <c r="L33" s="237">
        <v>485</v>
      </c>
      <c r="M33" s="238">
        <v>379</v>
      </c>
      <c r="N33" s="238">
        <v>298</v>
      </c>
      <c r="O33" s="238">
        <v>354</v>
      </c>
      <c r="P33" s="238">
        <v>464</v>
      </c>
      <c r="Q33" s="238">
        <v>877</v>
      </c>
      <c r="R33" s="238">
        <v>396</v>
      </c>
      <c r="S33" s="238">
        <v>372</v>
      </c>
      <c r="T33" s="239"/>
      <c r="U33" s="231"/>
      <c r="V33" s="231"/>
      <c r="W33" s="231"/>
      <c r="X33" s="231"/>
      <c r="Y33" s="231"/>
    </row>
    <row r="34" spans="1:25" ht="12.95" customHeight="1" thickBot="1" x14ac:dyDescent="0.3">
      <c r="A34" s="713" t="s">
        <v>785</v>
      </c>
      <c r="B34" s="732"/>
      <c r="C34" s="307">
        <v>392</v>
      </c>
      <c r="D34" s="309">
        <v>333</v>
      </c>
      <c r="E34" s="309">
        <v>302</v>
      </c>
      <c r="F34" s="309">
        <v>374</v>
      </c>
      <c r="G34" s="309">
        <v>401</v>
      </c>
      <c r="H34" s="309">
        <v>340</v>
      </c>
      <c r="I34" s="309">
        <v>350</v>
      </c>
      <c r="J34" s="309">
        <v>428</v>
      </c>
      <c r="K34" s="310"/>
      <c r="L34" s="311">
        <v>6415</v>
      </c>
      <c r="M34" s="309">
        <v>5262</v>
      </c>
      <c r="N34" s="309">
        <v>5082</v>
      </c>
      <c r="O34" s="309">
        <v>5297</v>
      </c>
      <c r="P34" s="309">
        <v>4630</v>
      </c>
      <c r="Q34" s="309">
        <v>4310</v>
      </c>
      <c r="R34" s="309">
        <v>3650</v>
      </c>
      <c r="S34" s="309">
        <v>3543</v>
      </c>
      <c r="T34" s="310"/>
      <c r="U34" s="231"/>
      <c r="V34" s="231"/>
      <c r="W34" s="231"/>
      <c r="X34" s="231"/>
      <c r="Y34" s="231"/>
    </row>
    <row r="35" spans="1:25" ht="12.95" customHeight="1" x14ac:dyDescent="0.25">
      <c r="A35" s="714" t="s">
        <v>578</v>
      </c>
      <c r="B35" s="727" t="s">
        <v>621</v>
      </c>
      <c r="C35" s="227">
        <v>31</v>
      </c>
      <c r="D35" s="229">
        <v>55</v>
      </c>
      <c r="E35" s="229">
        <v>45</v>
      </c>
      <c r="F35" s="229">
        <v>25</v>
      </c>
      <c r="G35" s="229">
        <v>12</v>
      </c>
      <c r="H35" s="229">
        <v>31</v>
      </c>
      <c r="I35" s="229">
        <v>11</v>
      </c>
      <c r="J35" s="229">
        <v>3</v>
      </c>
      <c r="K35" s="230"/>
      <c r="L35" s="228">
        <v>378</v>
      </c>
      <c r="M35" s="229">
        <v>539</v>
      </c>
      <c r="N35" s="229">
        <v>582</v>
      </c>
      <c r="O35" s="229">
        <v>226</v>
      </c>
      <c r="P35" s="229">
        <v>170</v>
      </c>
      <c r="Q35" s="229">
        <v>211</v>
      </c>
      <c r="R35" s="229">
        <v>190</v>
      </c>
      <c r="S35" s="229">
        <v>172</v>
      </c>
      <c r="T35" s="230"/>
      <c r="U35" s="231"/>
      <c r="V35" s="231"/>
      <c r="W35" s="231"/>
      <c r="X35" s="231"/>
      <c r="Y35" s="231"/>
    </row>
    <row r="36" spans="1:25" ht="12.95" customHeight="1" x14ac:dyDescent="0.25">
      <c r="A36" s="715" t="s">
        <v>657</v>
      </c>
      <c r="B36" s="719" t="s">
        <v>621</v>
      </c>
      <c r="C36" s="233">
        <v>214</v>
      </c>
      <c r="D36" s="235">
        <v>260</v>
      </c>
      <c r="E36" s="235">
        <v>258</v>
      </c>
      <c r="F36" s="235">
        <v>226</v>
      </c>
      <c r="G36" s="235">
        <v>357</v>
      </c>
      <c r="H36" s="235">
        <v>260</v>
      </c>
      <c r="I36" s="235">
        <v>317</v>
      </c>
      <c r="J36" s="235">
        <v>126</v>
      </c>
      <c r="K36" s="236"/>
      <c r="L36" s="234">
        <v>2751</v>
      </c>
      <c r="M36" s="235">
        <v>1728</v>
      </c>
      <c r="N36" s="235">
        <v>2663</v>
      </c>
      <c r="O36" s="235">
        <v>2104</v>
      </c>
      <c r="P36" s="235">
        <v>1919</v>
      </c>
      <c r="Q36" s="235">
        <v>2401</v>
      </c>
      <c r="R36" s="235">
        <v>2320</v>
      </c>
      <c r="S36" s="235">
        <v>1934</v>
      </c>
      <c r="T36" s="236"/>
      <c r="U36" s="231"/>
      <c r="V36" s="231"/>
      <c r="W36" s="231"/>
      <c r="X36" s="231"/>
      <c r="Y36" s="231"/>
    </row>
    <row r="37" spans="1:25" ht="12.95" customHeight="1" x14ac:dyDescent="0.25">
      <c r="A37" s="715" t="s">
        <v>658</v>
      </c>
      <c r="B37" s="719" t="s">
        <v>621</v>
      </c>
      <c r="C37" s="233">
        <v>61</v>
      </c>
      <c r="D37" s="235">
        <v>54</v>
      </c>
      <c r="E37" s="235">
        <v>59</v>
      </c>
      <c r="F37" s="235">
        <v>113</v>
      </c>
      <c r="G37" s="235">
        <v>132</v>
      </c>
      <c r="H37" s="235">
        <v>75</v>
      </c>
      <c r="I37" s="235">
        <v>139</v>
      </c>
      <c r="J37" s="235">
        <v>18</v>
      </c>
      <c r="K37" s="236"/>
      <c r="L37" s="234">
        <v>713</v>
      </c>
      <c r="M37" s="235">
        <v>811</v>
      </c>
      <c r="N37" s="235">
        <v>927</v>
      </c>
      <c r="O37" s="235">
        <v>903</v>
      </c>
      <c r="P37" s="235">
        <v>968</v>
      </c>
      <c r="Q37" s="235">
        <v>1063</v>
      </c>
      <c r="R37" s="235">
        <v>1138</v>
      </c>
      <c r="S37" s="235">
        <v>773</v>
      </c>
      <c r="T37" s="236"/>
      <c r="U37" s="231"/>
      <c r="V37" s="231"/>
      <c r="W37" s="231"/>
      <c r="X37" s="231"/>
      <c r="Y37" s="231"/>
    </row>
    <row r="38" spans="1:25" ht="12.95" customHeight="1" x14ac:dyDescent="0.25">
      <c r="A38" s="715" t="s">
        <v>659</v>
      </c>
      <c r="B38" s="719" t="s">
        <v>621</v>
      </c>
      <c r="C38" s="233">
        <v>111</v>
      </c>
      <c r="D38" s="235">
        <v>149</v>
      </c>
      <c r="E38" s="235">
        <v>180</v>
      </c>
      <c r="F38" s="235">
        <v>144</v>
      </c>
      <c r="G38" s="235">
        <v>107</v>
      </c>
      <c r="H38" s="235">
        <v>95</v>
      </c>
      <c r="I38" s="235">
        <v>120</v>
      </c>
      <c r="J38" s="235">
        <v>84</v>
      </c>
      <c r="K38" s="236"/>
      <c r="L38" s="234">
        <v>788</v>
      </c>
      <c r="M38" s="235">
        <v>622</v>
      </c>
      <c r="N38" s="235">
        <v>835</v>
      </c>
      <c r="O38" s="235">
        <v>658</v>
      </c>
      <c r="P38" s="235">
        <v>469</v>
      </c>
      <c r="Q38" s="235">
        <v>949</v>
      </c>
      <c r="R38" s="235">
        <v>440</v>
      </c>
      <c r="S38" s="235">
        <v>439</v>
      </c>
      <c r="T38" s="236"/>
      <c r="U38" s="231"/>
      <c r="V38" s="231"/>
      <c r="W38" s="231"/>
      <c r="X38" s="231"/>
      <c r="Y38" s="231"/>
    </row>
    <row r="39" spans="1:25" ht="12.95" customHeight="1" x14ac:dyDescent="0.25">
      <c r="A39" s="715" t="s">
        <v>660</v>
      </c>
      <c r="B39" s="719" t="s">
        <v>621</v>
      </c>
      <c r="C39" s="233">
        <v>253</v>
      </c>
      <c r="D39" s="235">
        <v>303</v>
      </c>
      <c r="E39" s="235">
        <v>288</v>
      </c>
      <c r="F39" s="235">
        <v>239</v>
      </c>
      <c r="G39" s="235">
        <v>183</v>
      </c>
      <c r="H39" s="235">
        <v>222</v>
      </c>
      <c r="I39" s="235">
        <v>191</v>
      </c>
      <c r="J39" s="235">
        <v>127</v>
      </c>
      <c r="K39" s="236"/>
      <c r="L39" s="234">
        <v>1136</v>
      </c>
      <c r="M39" s="235">
        <v>796</v>
      </c>
      <c r="N39" s="235">
        <v>742</v>
      </c>
      <c r="O39" s="235">
        <v>796</v>
      </c>
      <c r="P39" s="235">
        <v>723</v>
      </c>
      <c r="Q39" s="235">
        <v>978</v>
      </c>
      <c r="R39" s="235">
        <v>875</v>
      </c>
      <c r="S39" s="235">
        <v>708</v>
      </c>
      <c r="T39" s="236"/>
      <c r="U39" s="231"/>
      <c r="V39" s="231"/>
      <c r="W39" s="231"/>
      <c r="X39" s="231"/>
      <c r="Y39" s="231"/>
    </row>
    <row r="40" spans="1:25" ht="12.95" customHeight="1" x14ac:dyDescent="0.25">
      <c r="A40" s="715" t="s">
        <v>769</v>
      </c>
      <c r="B40" s="719" t="s">
        <v>621</v>
      </c>
      <c r="C40" s="233">
        <v>37</v>
      </c>
      <c r="D40" s="235">
        <v>53</v>
      </c>
      <c r="E40" s="235">
        <v>70</v>
      </c>
      <c r="F40" s="235">
        <v>51</v>
      </c>
      <c r="G40" s="235">
        <v>93</v>
      </c>
      <c r="H40" s="235">
        <v>41</v>
      </c>
      <c r="I40" s="235">
        <v>45</v>
      </c>
      <c r="J40" s="235">
        <v>80</v>
      </c>
      <c r="K40" s="236"/>
      <c r="L40" s="234">
        <v>558</v>
      </c>
      <c r="M40" s="235">
        <v>303</v>
      </c>
      <c r="N40" s="235">
        <v>447</v>
      </c>
      <c r="O40" s="235">
        <v>342</v>
      </c>
      <c r="P40" s="235">
        <v>410</v>
      </c>
      <c r="Q40" s="235">
        <v>374</v>
      </c>
      <c r="R40" s="235">
        <v>400</v>
      </c>
      <c r="S40" s="235">
        <v>408</v>
      </c>
      <c r="T40" s="236"/>
      <c r="U40" s="231"/>
      <c r="V40" s="231"/>
      <c r="W40" s="231"/>
      <c r="X40" s="231"/>
      <c r="Y40" s="231"/>
    </row>
    <row r="41" spans="1:25" ht="12.95" customHeight="1" x14ac:dyDescent="0.25">
      <c r="A41" s="715" t="s">
        <v>661</v>
      </c>
      <c r="B41" s="718"/>
      <c r="C41" s="233">
        <v>188</v>
      </c>
      <c r="D41" s="235">
        <v>143</v>
      </c>
      <c r="E41" s="235">
        <v>201</v>
      </c>
      <c r="F41" s="235">
        <v>256</v>
      </c>
      <c r="G41" s="235">
        <v>280</v>
      </c>
      <c r="H41" s="235">
        <v>316</v>
      </c>
      <c r="I41" s="235">
        <v>609</v>
      </c>
      <c r="J41" s="235">
        <v>104</v>
      </c>
      <c r="K41" s="236"/>
      <c r="L41" s="234">
        <v>851</v>
      </c>
      <c r="M41" s="235">
        <v>742</v>
      </c>
      <c r="N41" s="235">
        <v>882</v>
      </c>
      <c r="O41" s="235">
        <v>928</v>
      </c>
      <c r="P41" s="235">
        <v>913</v>
      </c>
      <c r="Q41" s="235">
        <v>1136</v>
      </c>
      <c r="R41" s="235">
        <v>1175</v>
      </c>
      <c r="S41" s="235">
        <v>1002</v>
      </c>
      <c r="T41" s="236"/>
      <c r="U41" s="231"/>
      <c r="V41" s="231"/>
      <c r="W41" s="231"/>
      <c r="X41" s="231"/>
      <c r="Y41" s="231"/>
    </row>
    <row r="42" spans="1:25" ht="12.95" customHeight="1" thickBot="1" x14ac:dyDescent="0.3">
      <c r="A42" s="716" t="s">
        <v>662</v>
      </c>
      <c r="B42" s="724"/>
      <c r="C42" s="723">
        <v>22</v>
      </c>
      <c r="D42" s="238">
        <v>45</v>
      </c>
      <c r="E42" s="238">
        <v>93</v>
      </c>
      <c r="F42" s="238">
        <v>86</v>
      </c>
      <c r="G42" s="238">
        <v>83</v>
      </c>
      <c r="H42" s="238">
        <v>84</v>
      </c>
      <c r="I42" s="238">
        <v>63</v>
      </c>
      <c r="J42" s="238">
        <v>58</v>
      </c>
      <c r="K42" s="239"/>
      <c r="L42" s="237">
        <v>284</v>
      </c>
      <c r="M42" s="238">
        <v>328</v>
      </c>
      <c r="N42" s="238">
        <v>650</v>
      </c>
      <c r="O42" s="238">
        <v>307</v>
      </c>
      <c r="P42" s="238">
        <v>909</v>
      </c>
      <c r="Q42" s="238">
        <v>322</v>
      </c>
      <c r="R42" s="238">
        <v>401</v>
      </c>
      <c r="S42" s="238">
        <v>276</v>
      </c>
      <c r="T42" s="239"/>
      <c r="U42" s="231"/>
      <c r="V42" s="231"/>
      <c r="W42" s="231"/>
      <c r="X42" s="231"/>
      <c r="Y42" s="231"/>
    </row>
    <row r="43" spans="1:25" ht="12.95" customHeight="1" thickBot="1" x14ac:dyDescent="0.3">
      <c r="A43" s="713" t="s">
        <v>784</v>
      </c>
      <c r="B43" s="732" t="s">
        <v>621</v>
      </c>
      <c r="C43" s="307">
        <v>917</v>
      </c>
      <c r="D43" s="309">
        <v>1062</v>
      </c>
      <c r="E43" s="309">
        <v>1194</v>
      </c>
      <c r="F43" s="309">
        <v>1140</v>
      </c>
      <c r="G43" s="309">
        <v>1247</v>
      </c>
      <c r="H43" s="309">
        <v>1124</v>
      </c>
      <c r="I43" s="309">
        <v>1495</v>
      </c>
      <c r="J43" s="309">
        <v>600</v>
      </c>
      <c r="K43" s="310"/>
      <c r="L43" s="311">
        <v>7459</v>
      </c>
      <c r="M43" s="309">
        <v>5869</v>
      </c>
      <c r="N43" s="309">
        <v>7728</v>
      </c>
      <c r="O43" s="309">
        <v>6264</v>
      </c>
      <c r="P43" s="309">
        <v>6481</v>
      </c>
      <c r="Q43" s="309">
        <v>7434</v>
      </c>
      <c r="R43" s="309">
        <v>6939</v>
      </c>
      <c r="S43" s="309">
        <v>5712</v>
      </c>
      <c r="T43" s="310"/>
      <c r="U43" s="231"/>
      <c r="V43" s="231"/>
      <c r="W43" s="231"/>
      <c r="X43" s="231"/>
      <c r="Y43" s="231"/>
    </row>
    <row r="44" spans="1:25" ht="12.95" customHeight="1" x14ac:dyDescent="0.25">
      <c r="A44" s="714" t="s">
        <v>580</v>
      </c>
      <c r="B44" s="727" t="s">
        <v>621</v>
      </c>
      <c r="C44" s="227">
        <v>1</v>
      </c>
      <c r="D44" s="229">
        <v>3</v>
      </c>
      <c r="E44" s="229">
        <v>4</v>
      </c>
      <c r="F44" s="229">
        <v>1</v>
      </c>
      <c r="G44" s="229">
        <v>3</v>
      </c>
      <c r="H44" s="229">
        <v>1</v>
      </c>
      <c r="I44" s="229">
        <v>3</v>
      </c>
      <c r="J44" s="229">
        <v>4</v>
      </c>
      <c r="K44" s="230"/>
      <c r="L44" s="228">
        <v>464</v>
      </c>
      <c r="M44" s="229">
        <v>358</v>
      </c>
      <c r="N44" s="229">
        <v>242</v>
      </c>
      <c r="O44" s="229">
        <v>568</v>
      </c>
      <c r="P44" s="229">
        <v>79</v>
      </c>
      <c r="Q44" s="229">
        <v>376</v>
      </c>
      <c r="R44" s="229">
        <v>175</v>
      </c>
      <c r="S44" s="229">
        <v>324</v>
      </c>
      <c r="T44" s="230"/>
      <c r="U44" s="231"/>
      <c r="V44" s="231"/>
      <c r="W44" s="231"/>
      <c r="X44" s="231"/>
      <c r="Y44" s="231"/>
    </row>
    <row r="45" spans="1:25" ht="12.95" customHeight="1" x14ac:dyDescent="0.25">
      <c r="A45" s="715" t="s">
        <v>663</v>
      </c>
      <c r="B45" s="719" t="s">
        <v>621</v>
      </c>
      <c r="C45" s="233">
        <v>55</v>
      </c>
      <c r="D45" s="235">
        <v>60</v>
      </c>
      <c r="E45" s="235">
        <v>69</v>
      </c>
      <c r="F45" s="235">
        <v>87</v>
      </c>
      <c r="G45" s="235">
        <v>139</v>
      </c>
      <c r="H45" s="235">
        <v>24</v>
      </c>
      <c r="I45" s="235">
        <v>10</v>
      </c>
      <c r="J45" s="235">
        <v>32</v>
      </c>
      <c r="K45" s="236"/>
      <c r="L45" s="234">
        <v>1072</v>
      </c>
      <c r="M45" s="235">
        <v>937</v>
      </c>
      <c r="N45" s="235">
        <v>965</v>
      </c>
      <c r="O45" s="235">
        <v>1114</v>
      </c>
      <c r="P45" s="235">
        <v>845</v>
      </c>
      <c r="Q45" s="235">
        <v>765</v>
      </c>
      <c r="R45" s="235">
        <v>702</v>
      </c>
      <c r="S45" s="235">
        <v>733</v>
      </c>
      <c r="T45" s="236"/>
      <c r="U45" s="231"/>
      <c r="V45" s="231"/>
      <c r="W45" s="231"/>
      <c r="X45" s="231"/>
      <c r="Y45" s="231"/>
    </row>
    <row r="46" spans="1:25" ht="12.95" customHeight="1" x14ac:dyDescent="0.25">
      <c r="A46" s="715" t="s">
        <v>664</v>
      </c>
      <c r="B46" s="719" t="s">
        <v>621</v>
      </c>
      <c r="C46" s="233">
        <v>6</v>
      </c>
      <c r="D46" s="235">
        <v>8</v>
      </c>
      <c r="E46" s="235">
        <v>15</v>
      </c>
      <c r="F46" s="235">
        <v>14</v>
      </c>
      <c r="G46" s="235">
        <v>25</v>
      </c>
      <c r="H46" s="235">
        <v>2</v>
      </c>
      <c r="I46" s="235">
        <v>13</v>
      </c>
      <c r="J46" s="235">
        <v>7</v>
      </c>
      <c r="K46" s="236"/>
      <c r="L46" s="234">
        <v>254</v>
      </c>
      <c r="M46" s="235">
        <v>368</v>
      </c>
      <c r="N46" s="235">
        <v>266</v>
      </c>
      <c r="O46" s="235">
        <v>288</v>
      </c>
      <c r="P46" s="235">
        <v>253</v>
      </c>
      <c r="Q46" s="235">
        <v>243</v>
      </c>
      <c r="R46" s="235">
        <v>271</v>
      </c>
      <c r="S46" s="235">
        <v>242</v>
      </c>
      <c r="T46" s="236"/>
      <c r="U46" s="231"/>
      <c r="V46" s="231"/>
      <c r="W46" s="231"/>
      <c r="X46" s="231"/>
      <c r="Y46" s="231"/>
    </row>
    <row r="47" spans="1:25" ht="12.95" customHeight="1" x14ac:dyDescent="0.25">
      <c r="A47" s="715" t="s">
        <v>665</v>
      </c>
      <c r="B47" s="719" t="s">
        <v>621</v>
      </c>
      <c r="C47" s="233">
        <v>18</v>
      </c>
      <c r="D47" s="235">
        <v>22</v>
      </c>
      <c r="E47" s="235">
        <v>26</v>
      </c>
      <c r="F47" s="235">
        <v>31</v>
      </c>
      <c r="G47" s="235">
        <v>24</v>
      </c>
      <c r="H47" s="235">
        <v>1</v>
      </c>
      <c r="I47" s="235">
        <v>6</v>
      </c>
      <c r="J47" s="235">
        <v>14</v>
      </c>
      <c r="K47" s="236"/>
      <c r="L47" s="234">
        <v>452</v>
      </c>
      <c r="M47" s="235">
        <v>430</v>
      </c>
      <c r="N47" s="235">
        <v>517</v>
      </c>
      <c r="O47" s="235">
        <v>468</v>
      </c>
      <c r="P47" s="235">
        <v>434</v>
      </c>
      <c r="Q47" s="235">
        <v>426</v>
      </c>
      <c r="R47" s="235">
        <v>302</v>
      </c>
      <c r="S47" s="235">
        <v>325</v>
      </c>
      <c r="T47" s="236"/>
      <c r="U47" s="231"/>
      <c r="V47" s="231"/>
      <c r="W47" s="231"/>
      <c r="X47" s="231"/>
      <c r="Y47" s="231"/>
    </row>
    <row r="48" spans="1:25" ht="12.95" customHeight="1" x14ac:dyDescent="0.25">
      <c r="A48" s="715" t="s">
        <v>770</v>
      </c>
      <c r="B48" s="719" t="s">
        <v>621</v>
      </c>
      <c r="C48" s="233">
        <v>23</v>
      </c>
      <c r="D48" s="235">
        <v>49</v>
      </c>
      <c r="E48" s="235">
        <v>49</v>
      </c>
      <c r="F48" s="235">
        <v>39</v>
      </c>
      <c r="G48" s="235">
        <v>63</v>
      </c>
      <c r="H48" s="235">
        <v>12</v>
      </c>
      <c r="I48" s="235">
        <v>12</v>
      </c>
      <c r="J48" s="235">
        <v>16</v>
      </c>
      <c r="K48" s="236"/>
      <c r="L48" s="234">
        <v>471</v>
      </c>
      <c r="M48" s="235">
        <v>576</v>
      </c>
      <c r="N48" s="235">
        <v>482</v>
      </c>
      <c r="O48" s="235">
        <v>485</v>
      </c>
      <c r="P48" s="235">
        <v>560</v>
      </c>
      <c r="Q48" s="235">
        <v>422</v>
      </c>
      <c r="R48" s="235">
        <v>364</v>
      </c>
      <c r="S48" s="235">
        <v>380</v>
      </c>
      <c r="T48" s="236"/>
      <c r="U48" s="231"/>
      <c r="V48" s="231"/>
      <c r="W48" s="231"/>
      <c r="X48" s="231"/>
      <c r="Y48" s="231"/>
    </row>
    <row r="49" spans="1:25" ht="12.95" customHeight="1" x14ac:dyDescent="0.25">
      <c r="A49" s="715" t="s">
        <v>771</v>
      </c>
      <c r="B49" s="719" t="s">
        <v>621</v>
      </c>
      <c r="C49" s="233">
        <v>47</v>
      </c>
      <c r="D49" s="235">
        <v>53</v>
      </c>
      <c r="E49" s="235">
        <v>50</v>
      </c>
      <c r="F49" s="235">
        <v>48</v>
      </c>
      <c r="G49" s="235">
        <v>41</v>
      </c>
      <c r="H49" s="235">
        <v>4</v>
      </c>
      <c r="I49" s="235">
        <v>14</v>
      </c>
      <c r="J49" s="235">
        <v>8</v>
      </c>
      <c r="K49" s="236"/>
      <c r="L49" s="234">
        <v>505</v>
      </c>
      <c r="M49" s="235">
        <v>428</v>
      </c>
      <c r="N49" s="235">
        <v>525</v>
      </c>
      <c r="O49" s="235">
        <v>392</v>
      </c>
      <c r="P49" s="235">
        <v>441</v>
      </c>
      <c r="Q49" s="235">
        <v>302</v>
      </c>
      <c r="R49" s="235">
        <v>338</v>
      </c>
      <c r="S49" s="235">
        <v>348</v>
      </c>
      <c r="T49" s="236"/>
      <c r="U49" s="231"/>
      <c r="V49" s="231"/>
      <c r="W49" s="231"/>
      <c r="X49" s="231"/>
      <c r="Y49" s="231"/>
    </row>
    <row r="50" spans="1:25" ht="12.95" customHeight="1" x14ac:dyDescent="0.25">
      <c r="A50" s="715" t="s">
        <v>666</v>
      </c>
      <c r="B50" s="718"/>
      <c r="C50" s="233">
        <v>29</v>
      </c>
      <c r="D50" s="235">
        <v>33</v>
      </c>
      <c r="E50" s="235">
        <v>48</v>
      </c>
      <c r="F50" s="235">
        <v>50</v>
      </c>
      <c r="G50" s="235">
        <v>49</v>
      </c>
      <c r="H50" s="235">
        <v>7</v>
      </c>
      <c r="I50" s="235">
        <v>40</v>
      </c>
      <c r="J50" s="235">
        <v>22</v>
      </c>
      <c r="K50" s="236"/>
      <c r="L50" s="234">
        <v>554</v>
      </c>
      <c r="M50" s="235">
        <v>334</v>
      </c>
      <c r="N50" s="235">
        <v>327</v>
      </c>
      <c r="O50" s="235">
        <v>613</v>
      </c>
      <c r="P50" s="235">
        <v>317</v>
      </c>
      <c r="Q50" s="235">
        <v>273</v>
      </c>
      <c r="R50" s="235">
        <v>305</v>
      </c>
      <c r="S50" s="235">
        <v>292</v>
      </c>
      <c r="T50" s="236"/>
      <c r="U50" s="231"/>
      <c r="V50" s="231"/>
      <c r="W50" s="231"/>
      <c r="X50" s="231"/>
      <c r="Y50" s="231"/>
    </row>
    <row r="51" spans="1:25" ht="12.95" customHeight="1" x14ac:dyDescent="0.25">
      <c r="A51" s="715" t="s">
        <v>772</v>
      </c>
      <c r="B51" s="719"/>
      <c r="C51" s="233">
        <v>7</v>
      </c>
      <c r="D51" s="235">
        <v>19</v>
      </c>
      <c r="E51" s="235">
        <v>18</v>
      </c>
      <c r="F51" s="235">
        <v>29</v>
      </c>
      <c r="G51" s="235">
        <v>33</v>
      </c>
      <c r="H51" s="235">
        <v>2</v>
      </c>
      <c r="I51" s="235">
        <v>27</v>
      </c>
      <c r="J51" s="235">
        <v>26</v>
      </c>
      <c r="K51" s="236"/>
      <c r="L51" s="234">
        <v>420</v>
      </c>
      <c r="M51" s="235">
        <v>283</v>
      </c>
      <c r="N51" s="235">
        <v>254</v>
      </c>
      <c r="O51" s="235">
        <v>256</v>
      </c>
      <c r="P51" s="235">
        <v>203</v>
      </c>
      <c r="Q51" s="235">
        <v>393</v>
      </c>
      <c r="R51" s="235">
        <v>305</v>
      </c>
      <c r="S51" s="235">
        <v>276</v>
      </c>
      <c r="T51" s="236"/>
      <c r="U51" s="231"/>
      <c r="V51" s="231"/>
      <c r="W51" s="231"/>
      <c r="X51" s="231"/>
      <c r="Y51" s="231"/>
    </row>
    <row r="52" spans="1:25" ht="12.95" customHeight="1" thickBot="1" x14ac:dyDescent="0.3">
      <c r="A52" s="716" t="s">
        <v>667</v>
      </c>
      <c r="B52" s="724" t="s">
        <v>621</v>
      </c>
      <c r="C52" s="723">
        <v>6</v>
      </c>
      <c r="D52" s="238">
        <v>16</v>
      </c>
      <c r="E52" s="238">
        <v>13</v>
      </c>
      <c r="F52" s="238">
        <v>19</v>
      </c>
      <c r="G52" s="238">
        <v>24</v>
      </c>
      <c r="H52" s="238">
        <v>3</v>
      </c>
      <c r="I52" s="238">
        <v>8</v>
      </c>
      <c r="J52" s="238">
        <v>7</v>
      </c>
      <c r="K52" s="239"/>
      <c r="L52" s="237">
        <v>318</v>
      </c>
      <c r="M52" s="238">
        <v>307</v>
      </c>
      <c r="N52" s="238">
        <v>235</v>
      </c>
      <c r="O52" s="238">
        <v>220</v>
      </c>
      <c r="P52" s="238">
        <v>266</v>
      </c>
      <c r="Q52" s="238">
        <v>456</v>
      </c>
      <c r="R52" s="238">
        <v>188</v>
      </c>
      <c r="S52" s="238">
        <v>253</v>
      </c>
      <c r="T52" s="239"/>
      <c r="U52" s="231"/>
      <c r="V52" s="231"/>
      <c r="W52" s="231"/>
      <c r="X52" s="231"/>
      <c r="Y52" s="231"/>
    </row>
    <row r="53" spans="1:25" ht="12.95" customHeight="1" thickBot="1" x14ac:dyDescent="0.3">
      <c r="A53" s="713" t="s">
        <v>783</v>
      </c>
      <c r="B53" s="732" t="s">
        <v>621</v>
      </c>
      <c r="C53" s="307">
        <v>192</v>
      </c>
      <c r="D53" s="309">
        <v>263</v>
      </c>
      <c r="E53" s="309">
        <v>292</v>
      </c>
      <c r="F53" s="309">
        <v>318</v>
      </c>
      <c r="G53" s="309">
        <v>401</v>
      </c>
      <c r="H53" s="309">
        <v>56</v>
      </c>
      <c r="I53" s="309">
        <v>133</v>
      </c>
      <c r="J53" s="309">
        <v>136</v>
      </c>
      <c r="K53" s="310"/>
      <c r="L53" s="311">
        <v>4510</v>
      </c>
      <c r="M53" s="309">
        <v>4021</v>
      </c>
      <c r="N53" s="309">
        <v>3813</v>
      </c>
      <c r="O53" s="309">
        <v>4404</v>
      </c>
      <c r="P53" s="309">
        <v>3398</v>
      </c>
      <c r="Q53" s="309">
        <v>3656</v>
      </c>
      <c r="R53" s="309">
        <v>2950</v>
      </c>
      <c r="S53" s="309">
        <v>3173</v>
      </c>
      <c r="T53" s="310"/>
      <c r="U53" s="231"/>
      <c r="V53" s="231"/>
      <c r="W53" s="231"/>
      <c r="X53" s="231"/>
      <c r="Y53" s="231"/>
    </row>
    <row r="54" spans="1:25" ht="12.95" customHeight="1" x14ac:dyDescent="0.25">
      <c r="A54" s="714" t="s">
        <v>582</v>
      </c>
      <c r="B54" s="727" t="s">
        <v>621</v>
      </c>
      <c r="C54" s="227"/>
      <c r="D54" s="229">
        <v>2</v>
      </c>
      <c r="E54" s="229"/>
      <c r="F54" s="229">
        <v>6</v>
      </c>
      <c r="G54" s="229">
        <v>2</v>
      </c>
      <c r="H54" s="229"/>
      <c r="I54" s="229">
        <v>1</v>
      </c>
      <c r="J54" s="229"/>
      <c r="K54" s="230"/>
      <c r="L54" s="228">
        <v>548</v>
      </c>
      <c r="M54" s="229">
        <v>462</v>
      </c>
      <c r="N54" s="229">
        <v>837</v>
      </c>
      <c r="O54" s="229">
        <v>864</v>
      </c>
      <c r="P54" s="229">
        <v>211</v>
      </c>
      <c r="Q54" s="229">
        <v>474</v>
      </c>
      <c r="R54" s="229">
        <v>181</v>
      </c>
      <c r="S54" s="229">
        <v>192</v>
      </c>
      <c r="T54" s="230"/>
      <c r="U54" s="231"/>
      <c r="V54" s="231"/>
      <c r="W54" s="231"/>
      <c r="X54" s="231"/>
      <c r="Y54" s="231"/>
    </row>
    <row r="55" spans="1:25" ht="12.95" customHeight="1" x14ac:dyDescent="0.25">
      <c r="A55" s="715" t="s">
        <v>668</v>
      </c>
      <c r="B55" s="719" t="s">
        <v>621</v>
      </c>
      <c r="C55" s="233">
        <v>239</v>
      </c>
      <c r="D55" s="235">
        <v>307</v>
      </c>
      <c r="E55" s="235">
        <v>349</v>
      </c>
      <c r="F55" s="235">
        <v>273</v>
      </c>
      <c r="G55" s="235">
        <v>377</v>
      </c>
      <c r="H55" s="235">
        <v>271</v>
      </c>
      <c r="I55" s="235">
        <v>301</v>
      </c>
      <c r="J55" s="235">
        <v>735</v>
      </c>
      <c r="K55" s="236"/>
      <c r="L55" s="234">
        <v>4705</v>
      </c>
      <c r="M55" s="235">
        <v>4216</v>
      </c>
      <c r="N55" s="235">
        <v>4658</v>
      </c>
      <c r="O55" s="235">
        <v>5223</v>
      </c>
      <c r="P55" s="235">
        <v>3663</v>
      </c>
      <c r="Q55" s="235">
        <v>3080</v>
      </c>
      <c r="R55" s="235">
        <v>2750</v>
      </c>
      <c r="S55" s="235">
        <v>3042</v>
      </c>
      <c r="T55" s="236"/>
      <c r="U55" s="231"/>
      <c r="V55" s="231"/>
      <c r="W55" s="231"/>
      <c r="X55" s="231"/>
      <c r="Y55" s="231"/>
    </row>
    <row r="56" spans="1:25" ht="12.95" customHeight="1" x14ac:dyDescent="0.25">
      <c r="A56" s="715" t="s">
        <v>669</v>
      </c>
      <c r="B56" s="719" t="s">
        <v>621</v>
      </c>
      <c r="C56" s="233">
        <v>31</v>
      </c>
      <c r="D56" s="235">
        <v>27</v>
      </c>
      <c r="E56" s="235">
        <v>22</v>
      </c>
      <c r="F56" s="235">
        <v>46</v>
      </c>
      <c r="G56" s="235">
        <v>60</v>
      </c>
      <c r="H56" s="235">
        <v>46</v>
      </c>
      <c r="I56" s="235">
        <v>70</v>
      </c>
      <c r="J56" s="235">
        <v>28</v>
      </c>
      <c r="K56" s="236"/>
      <c r="L56" s="234">
        <v>2800</v>
      </c>
      <c r="M56" s="235">
        <v>397</v>
      </c>
      <c r="N56" s="235">
        <v>477</v>
      </c>
      <c r="O56" s="235">
        <v>390</v>
      </c>
      <c r="P56" s="235">
        <v>382</v>
      </c>
      <c r="Q56" s="235">
        <v>334</v>
      </c>
      <c r="R56" s="235">
        <v>334</v>
      </c>
      <c r="S56" s="235">
        <v>226</v>
      </c>
      <c r="T56" s="236"/>
      <c r="U56" s="231"/>
      <c r="V56" s="231"/>
      <c r="W56" s="231"/>
      <c r="X56" s="231"/>
      <c r="Y56" s="231"/>
    </row>
    <row r="57" spans="1:25" ht="12.95" customHeight="1" x14ac:dyDescent="0.25">
      <c r="A57" s="715" t="s">
        <v>670</v>
      </c>
      <c r="B57" s="719" t="s">
        <v>621</v>
      </c>
      <c r="C57" s="233">
        <v>484</v>
      </c>
      <c r="D57" s="235">
        <v>165</v>
      </c>
      <c r="E57" s="235">
        <v>119</v>
      </c>
      <c r="F57" s="235">
        <v>124</v>
      </c>
      <c r="G57" s="235">
        <v>206</v>
      </c>
      <c r="H57" s="235">
        <v>83</v>
      </c>
      <c r="I57" s="235">
        <v>48</v>
      </c>
      <c r="J57" s="235">
        <v>28</v>
      </c>
      <c r="K57" s="236"/>
      <c r="L57" s="234">
        <v>1708</v>
      </c>
      <c r="M57" s="235">
        <v>749</v>
      </c>
      <c r="N57" s="235">
        <v>634</v>
      </c>
      <c r="O57" s="235">
        <v>718</v>
      </c>
      <c r="P57" s="235">
        <v>750</v>
      </c>
      <c r="Q57" s="235">
        <v>730</v>
      </c>
      <c r="R57" s="235">
        <v>641</v>
      </c>
      <c r="S57" s="235">
        <v>597</v>
      </c>
      <c r="T57" s="236"/>
      <c r="U57" s="231"/>
      <c r="V57" s="231"/>
      <c r="W57" s="231"/>
      <c r="X57" s="231"/>
      <c r="Y57" s="231"/>
    </row>
    <row r="58" spans="1:25" ht="12.95" customHeight="1" x14ac:dyDescent="0.25">
      <c r="A58" s="715" t="s">
        <v>671</v>
      </c>
      <c r="B58" s="719" t="s">
        <v>621</v>
      </c>
      <c r="C58" s="233">
        <v>90</v>
      </c>
      <c r="D58" s="235">
        <v>88</v>
      </c>
      <c r="E58" s="235">
        <v>117</v>
      </c>
      <c r="F58" s="235">
        <v>111</v>
      </c>
      <c r="G58" s="235">
        <v>113</v>
      </c>
      <c r="H58" s="235">
        <v>83</v>
      </c>
      <c r="I58" s="235">
        <v>107</v>
      </c>
      <c r="J58" s="235">
        <v>121</v>
      </c>
      <c r="K58" s="236"/>
      <c r="L58" s="234">
        <v>1082</v>
      </c>
      <c r="M58" s="235">
        <v>934</v>
      </c>
      <c r="N58" s="235">
        <v>1027</v>
      </c>
      <c r="O58" s="235">
        <v>1007</v>
      </c>
      <c r="P58" s="235">
        <v>894</v>
      </c>
      <c r="Q58" s="235">
        <v>859</v>
      </c>
      <c r="R58" s="235">
        <v>704</v>
      </c>
      <c r="S58" s="235">
        <v>618</v>
      </c>
      <c r="T58" s="236"/>
      <c r="U58" s="231"/>
      <c r="V58" s="231"/>
      <c r="W58" s="231"/>
      <c r="X58" s="231"/>
      <c r="Y58" s="231"/>
    </row>
    <row r="59" spans="1:25" ht="12.95" customHeight="1" x14ac:dyDescent="0.25">
      <c r="A59" s="715" t="s">
        <v>672</v>
      </c>
      <c r="B59" s="719" t="s">
        <v>621</v>
      </c>
      <c r="C59" s="233">
        <v>55</v>
      </c>
      <c r="D59" s="235">
        <v>52</v>
      </c>
      <c r="E59" s="235">
        <v>36</v>
      </c>
      <c r="F59" s="235">
        <v>62</v>
      </c>
      <c r="G59" s="235">
        <v>78</v>
      </c>
      <c r="H59" s="235">
        <v>27</v>
      </c>
      <c r="I59" s="235">
        <v>47</v>
      </c>
      <c r="J59" s="235">
        <v>26</v>
      </c>
      <c r="K59" s="236"/>
      <c r="L59" s="234">
        <v>680</v>
      </c>
      <c r="M59" s="235">
        <v>458</v>
      </c>
      <c r="N59" s="235">
        <v>560</v>
      </c>
      <c r="O59" s="235">
        <v>596</v>
      </c>
      <c r="P59" s="235">
        <v>529</v>
      </c>
      <c r="Q59" s="235">
        <v>579</v>
      </c>
      <c r="R59" s="235">
        <v>485</v>
      </c>
      <c r="S59" s="235">
        <v>613</v>
      </c>
      <c r="T59" s="236"/>
      <c r="U59" s="231"/>
      <c r="V59" s="231"/>
      <c r="W59" s="231"/>
      <c r="X59" s="231"/>
      <c r="Y59" s="231"/>
    </row>
    <row r="60" spans="1:25" ht="12.95" customHeight="1" x14ac:dyDescent="0.25">
      <c r="A60" s="715" t="s">
        <v>673</v>
      </c>
      <c r="B60" s="719" t="s">
        <v>621</v>
      </c>
      <c r="C60" s="233">
        <v>39</v>
      </c>
      <c r="D60" s="235">
        <v>46</v>
      </c>
      <c r="E60" s="235">
        <v>32</v>
      </c>
      <c r="F60" s="235">
        <v>60</v>
      </c>
      <c r="G60" s="235">
        <v>84</v>
      </c>
      <c r="H60" s="235">
        <v>16</v>
      </c>
      <c r="I60" s="235">
        <v>57</v>
      </c>
      <c r="J60" s="235">
        <v>113</v>
      </c>
      <c r="K60" s="236"/>
      <c r="L60" s="234">
        <v>1086</v>
      </c>
      <c r="M60" s="235">
        <v>623</v>
      </c>
      <c r="N60" s="235">
        <v>2231</v>
      </c>
      <c r="O60" s="235">
        <v>496</v>
      </c>
      <c r="P60" s="235">
        <v>429</v>
      </c>
      <c r="Q60" s="235">
        <v>492</v>
      </c>
      <c r="R60" s="235">
        <v>575</v>
      </c>
      <c r="S60" s="235">
        <v>345</v>
      </c>
      <c r="T60" s="236"/>
      <c r="U60" s="231"/>
      <c r="V60" s="231"/>
      <c r="W60" s="231"/>
      <c r="X60" s="231"/>
      <c r="Y60" s="231"/>
    </row>
    <row r="61" spans="1:25" ht="12.95" customHeight="1" x14ac:dyDescent="0.25">
      <c r="A61" s="715" t="s">
        <v>674</v>
      </c>
      <c r="B61" s="718"/>
      <c r="C61" s="233">
        <v>91</v>
      </c>
      <c r="D61" s="235">
        <v>73</v>
      </c>
      <c r="E61" s="235">
        <v>72</v>
      </c>
      <c r="F61" s="235">
        <v>109</v>
      </c>
      <c r="G61" s="235">
        <v>124</v>
      </c>
      <c r="H61" s="235"/>
      <c r="I61" s="235">
        <v>45</v>
      </c>
      <c r="J61" s="235">
        <v>29</v>
      </c>
      <c r="K61" s="236"/>
      <c r="L61" s="234">
        <v>1246</v>
      </c>
      <c r="M61" s="235">
        <v>1006</v>
      </c>
      <c r="N61" s="235">
        <v>1083</v>
      </c>
      <c r="O61" s="235">
        <v>1563</v>
      </c>
      <c r="P61" s="235">
        <v>1052</v>
      </c>
      <c r="Q61" s="235">
        <v>845</v>
      </c>
      <c r="R61" s="235">
        <v>898</v>
      </c>
      <c r="S61" s="235">
        <v>932</v>
      </c>
      <c r="T61" s="236"/>
      <c r="U61" s="231"/>
      <c r="V61" s="231"/>
      <c r="W61" s="231"/>
      <c r="X61" s="231"/>
      <c r="Y61" s="231"/>
    </row>
    <row r="62" spans="1:25" ht="12.95" customHeight="1" x14ac:dyDescent="0.25">
      <c r="A62" s="715" t="s">
        <v>675</v>
      </c>
      <c r="B62" s="719"/>
      <c r="C62" s="233">
        <v>125</v>
      </c>
      <c r="D62" s="235">
        <v>212</v>
      </c>
      <c r="E62" s="235">
        <v>271</v>
      </c>
      <c r="F62" s="235">
        <v>204</v>
      </c>
      <c r="G62" s="235">
        <v>235</v>
      </c>
      <c r="H62" s="235">
        <v>218</v>
      </c>
      <c r="I62" s="235">
        <v>213</v>
      </c>
      <c r="J62" s="235">
        <v>220</v>
      </c>
      <c r="K62" s="236"/>
      <c r="L62" s="234">
        <v>509</v>
      </c>
      <c r="M62" s="235">
        <v>466</v>
      </c>
      <c r="N62" s="235">
        <v>511</v>
      </c>
      <c r="O62" s="235">
        <v>366</v>
      </c>
      <c r="P62" s="235">
        <v>601</v>
      </c>
      <c r="Q62" s="235">
        <v>378</v>
      </c>
      <c r="R62" s="235">
        <v>552</v>
      </c>
      <c r="S62" s="235">
        <v>447</v>
      </c>
      <c r="T62" s="236"/>
      <c r="U62" s="231"/>
      <c r="V62" s="231"/>
      <c r="W62" s="231"/>
      <c r="X62" s="231"/>
      <c r="Y62" s="231"/>
    </row>
    <row r="63" spans="1:25" ht="12.95" customHeight="1" x14ac:dyDescent="0.25">
      <c r="A63" s="715" t="s">
        <v>676</v>
      </c>
      <c r="B63" s="719" t="s">
        <v>621</v>
      </c>
      <c r="C63" s="233">
        <v>62</v>
      </c>
      <c r="D63" s="235">
        <v>86</v>
      </c>
      <c r="E63" s="235">
        <v>172</v>
      </c>
      <c r="F63" s="235">
        <v>149</v>
      </c>
      <c r="G63" s="235">
        <v>192</v>
      </c>
      <c r="H63" s="235">
        <v>144</v>
      </c>
      <c r="I63" s="235">
        <v>121</v>
      </c>
      <c r="J63" s="235">
        <v>96</v>
      </c>
      <c r="K63" s="236"/>
      <c r="L63" s="234">
        <v>673</v>
      </c>
      <c r="M63" s="235">
        <v>735</v>
      </c>
      <c r="N63" s="235">
        <v>770</v>
      </c>
      <c r="O63" s="235">
        <v>520</v>
      </c>
      <c r="P63" s="235">
        <v>533</v>
      </c>
      <c r="Q63" s="235">
        <v>559</v>
      </c>
      <c r="R63" s="235">
        <v>493</v>
      </c>
      <c r="S63" s="235">
        <v>394</v>
      </c>
      <c r="T63" s="236"/>
      <c r="U63" s="231"/>
      <c r="V63" s="231"/>
      <c r="W63" s="231"/>
      <c r="X63" s="231"/>
      <c r="Y63" s="231"/>
    </row>
    <row r="64" spans="1:25" ht="12.95" customHeight="1" thickBot="1" x14ac:dyDescent="0.3">
      <c r="A64" s="716" t="s">
        <v>677</v>
      </c>
      <c r="B64" s="724"/>
      <c r="C64" s="723">
        <v>98</v>
      </c>
      <c r="D64" s="238">
        <v>141</v>
      </c>
      <c r="E64" s="238">
        <v>147</v>
      </c>
      <c r="F64" s="238">
        <v>126</v>
      </c>
      <c r="G64" s="238">
        <v>114</v>
      </c>
      <c r="H64" s="238">
        <v>87</v>
      </c>
      <c r="I64" s="238">
        <v>130</v>
      </c>
      <c r="J64" s="238">
        <v>107</v>
      </c>
      <c r="K64" s="239"/>
      <c r="L64" s="237">
        <v>343</v>
      </c>
      <c r="M64" s="238">
        <v>321</v>
      </c>
      <c r="N64" s="238">
        <v>303</v>
      </c>
      <c r="O64" s="238">
        <v>223</v>
      </c>
      <c r="P64" s="238">
        <v>255</v>
      </c>
      <c r="Q64" s="238">
        <v>177</v>
      </c>
      <c r="R64" s="238">
        <v>218</v>
      </c>
      <c r="S64" s="238">
        <v>197</v>
      </c>
      <c r="T64" s="239"/>
      <c r="U64" s="231"/>
      <c r="V64" s="231"/>
      <c r="W64" s="231"/>
      <c r="X64" s="231"/>
      <c r="Y64" s="231"/>
    </row>
    <row r="65" spans="1:25" s="308" customFormat="1" ht="12.95" customHeight="1" thickBot="1" x14ac:dyDescent="0.3">
      <c r="A65" s="713" t="s">
        <v>782</v>
      </c>
      <c r="B65" s="732" t="s">
        <v>621</v>
      </c>
      <c r="C65" s="307">
        <v>1314</v>
      </c>
      <c r="D65" s="309">
        <v>1199</v>
      </c>
      <c r="E65" s="309">
        <v>1337</v>
      </c>
      <c r="F65" s="309">
        <v>1270</v>
      </c>
      <c r="G65" s="309">
        <v>1585</v>
      </c>
      <c r="H65" s="309">
        <v>975</v>
      </c>
      <c r="I65" s="309">
        <v>1140</v>
      </c>
      <c r="J65" s="309">
        <v>1503</v>
      </c>
      <c r="K65" s="310"/>
      <c r="L65" s="311">
        <v>15380</v>
      </c>
      <c r="M65" s="309">
        <v>10367</v>
      </c>
      <c r="N65" s="309">
        <v>13091</v>
      </c>
      <c r="O65" s="309">
        <v>11966</v>
      </c>
      <c r="P65" s="309">
        <v>9299</v>
      </c>
      <c r="Q65" s="309">
        <v>8507</v>
      </c>
      <c r="R65" s="309">
        <v>7831</v>
      </c>
      <c r="S65" s="309">
        <v>7603</v>
      </c>
      <c r="T65" s="310"/>
      <c r="U65" s="226"/>
      <c r="V65" s="226"/>
      <c r="W65" s="226"/>
      <c r="X65" s="226"/>
      <c r="Y65" s="226"/>
    </row>
    <row r="66" spans="1:25" ht="12.95" customHeight="1" x14ac:dyDescent="0.25">
      <c r="A66" s="714" t="s">
        <v>584</v>
      </c>
      <c r="B66" s="727" t="s">
        <v>621</v>
      </c>
      <c r="C66" s="227">
        <v>115</v>
      </c>
      <c r="D66" s="229">
        <v>205</v>
      </c>
      <c r="E66" s="229">
        <v>227</v>
      </c>
      <c r="F66" s="229">
        <v>55</v>
      </c>
      <c r="G66" s="229">
        <v>109</v>
      </c>
      <c r="H66" s="229">
        <v>81</v>
      </c>
      <c r="I66" s="229">
        <v>19</v>
      </c>
      <c r="J66" s="229">
        <v>5</v>
      </c>
      <c r="K66" s="230"/>
      <c r="L66" s="228">
        <v>315</v>
      </c>
      <c r="M66" s="229">
        <v>485</v>
      </c>
      <c r="N66" s="229">
        <v>1301</v>
      </c>
      <c r="O66" s="229">
        <v>591</v>
      </c>
      <c r="P66" s="229">
        <v>353</v>
      </c>
      <c r="Q66" s="229">
        <v>537</v>
      </c>
      <c r="R66" s="229">
        <v>817</v>
      </c>
      <c r="S66" s="229">
        <v>249</v>
      </c>
      <c r="T66" s="230"/>
      <c r="U66" s="231"/>
      <c r="V66" s="231"/>
      <c r="W66" s="231"/>
      <c r="X66" s="231"/>
      <c r="Y66" s="231"/>
    </row>
    <row r="67" spans="1:25" ht="12.95" customHeight="1" x14ac:dyDescent="0.25">
      <c r="A67" s="715" t="s">
        <v>678</v>
      </c>
      <c r="B67" s="719" t="s">
        <v>621</v>
      </c>
      <c r="C67" s="233">
        <v>235</v>
      </c>
      <c r="D67" s="235">
        <v>65</v>
      </c>
      <c r="E67" s="235">
        <v>202</v>
      </c>
      <c r="F67" s="235">
        <v>266</v>
      </c>
      <c r="G67" s="235">
        <v>454</v>
      </c>
      <c r="H67" s="235">
        <v>831</v>
      </c>
      <c r="I67" s="235">
        <v>1747</v>
      </c>
      <c r="J67" s="235">
        <v>191</v>
      </c>
      <c r="K67" s="236"/>
      <c r="L67" s="234">
        <v>4669</v>
      </c>
      <c r="M67" s="235">
        <v>5508</v>
      </c>
      <c r="N67" s="235">
        <v>2352</v>
      </c>
      <c r="O67" s="235">
        <v>2726</v>
      </c>
      <c r="P67" s="235">
        <v>2488</v>
      </c>
      <c r="Q67" s="235">
        <v>3350</v>
      </c>
      <c r="R67" s="235">
        <v>4190</v>
      </c>
      <c r="S67" s="235">
        <v>1734</v>
      </c>
      <c r="T67" s="236"/>
      <c r="U67" s="231"/>
      <c r="V67" s="231"/>
      <c r="W67" s="231"/>
      <c r="X67" s="231"/>
      <c r="Y67" s="231"/>
    </row>
    <row r="68" spans="1:25" ht="12.95" customHeight="1" x14ac:dyDescent="0.25">
      <c r="A68" s="715" t="s">
        <v>679</v>
      </c>
      <c r="B68" s="718"/>
      <c r="C68" s="233">
        <v>45</v>
      </c>
      <c r="D68" s="235">
        <v>33</v>
      </c>
      <c r="E68" s="235">
        <v>23</v>
      </c>
      <c r="F68" s="235">
        <v>35</v>
      </c>
      <c r="G68" s="235">
        <v>45</v>
      </c>
      <c r="H68" s="235">
        <v>37</v>
      </c>
      <c r="I68" s="235">
        <v>23</v>
      </c>
      <c r="J68" s="235">
        <v>50</v>
      </c>
      <c r="K68" s="236"/>
      <c r="L68" s="234">
        <v>490</v>
      </c>
      <c r="M68" s="235">
        <v>516</v>
      </c>
      <c r="N68" s="235">
        <v>340</v>
      </c>
      <c r="O68" s="235">
        <v>345</v>
      </c>
      <c r="P68" s="235">
        <v>331</v>
      </c>
      <c r="Q68" s="235">
        <v>253</v>
      </c>
      <c r="R68" s="235">
        <v>208</v>
      </c>
      <c r="S68" s="235">
        <v>196</v>
      </c>
      <c r="T68" s="236"/>
      <c r="U68" s="231"/>
      <c r="V68" s="231"/>
      <c r="W68" s="231"/>
      <c r="X68" s="231"/>
      <c r="Y68" s="231"/>
    </row>
    <row r="69" spans="1:25" ht="12.95" customHeight="1" x14ac:dyDescent="0.25">
      <c r="A69" s="715" t="s">
        <v>680</v>
      </c>
      <c r="B69" s="719"/>
      <c r="C69" s="233">
        <v>70</v>
      </c>
      <c r="D69" s="235">
        <v>119</v>
      </c>
      <c r="E69" s="235">
        <v>19</v>
      </c>
      <c r="F69" s="235">
        <v>78</v>
      </c>
      <c r="G69" s="235">
        <v>79</v>
      </c>
      <c r="H69" s="235">
        <v>39</v>
      </c>
      <c r="I69" s="235">
        <v>42</v>
      </c>
      <c r="J69" s="235">
        <v>71</v>
      </c>
      <c r="K69" s="236"/>
      <c r="L69" s="234">
        <v>1104</v>
      </c>
      <c r="M69" s="235">
        <v>978</v>
      </c>
      <c r="N69" s="235">
        <v>874</v>
      </c>
      <c r="O69" s="235">
        <v>816</v>
      </c>
      <c r="P69" s="235">
        <v>534</v>
      </c>
      <c r="Q69" s="235">
        <v>488</v>
      </c>
      <c r="R69" s="235">
        <v>559</v>
      </c>
      <c r="S69" s="235">
        <v>488</v>
      </c>
      <c r="T69" s="236"/>
      <c r="U69" s="231"/>
      <c r="V69" s="231"/>
      <c r="W69" s="231"/>
      <c r="X69" s="231"/>
      <c r="Y69" s="231"/>
    </row>
    <row r="70" spans="1:25" ht="12.95" customHeight="1" x14ac:dyDescent="0.25">
      <c r="A70" s="715" t="s">
        <v>681</v>
      </c>
      <c r="B70" s="719" t="s">
        <v>621</v>
      </c>
      <c r="C70" s="233">
        <v>48</v>
      </c>
      <c r="D70" s="235">
        <v>64</v>
      </c>
      <c r="E70" s="235">
        <v>29</v>
      </c>
      <c r="F70" s="235">
        <v>66</v>
      </c>
      <c r="G70" s="235">
        <v>81</v>
      </c>
      <c r="H70" s="235">
        <v>36</v>
      </c>
      <c r="I70" s="235">
        <v>36</v>
      </c>
      <c r="J70" s="235">
        <v>30</v>
      </c>
      <c r="K70" s="236"/>
      <c r="L70" s="234">
        <v>1249</v>
      </c>
      <c r="M70" s="235">
        <v>781</v>
      </c>
      <c r="N70" s="235">
        <v>754</v>
      </c>
      <c r="O70" s="235">
        <v>778</v>
      </c>
      <c r="P70" s="235">
        <v>684</v>
      </c>
      <c r="Q70" s="235">
        <v>823</v>
      </c>
      <c r="R70" s="235">
        <v>569</v>
      </c>
      <c r="S70" s="235">
        <v>420</v>
      </c>
      <c r="T70" s="236"/>
      <c r="U70" s="231"/>
      <c r="V70" s="231"/>
      <c r="W70" s="231"/>
      <c r="X70" s="231"/>
      <c r="Y70" s="231"/>
    </row>
    <row r="71" spans="1:25" ht="12.95" customHeight="1" x14ac:dyDescent="0.25">
      <c r="A71" s="715" t="s">
        <v>682</v>
      </c>
      <c r="B71" s="719"/>
      <c r="C71" s="233">
        <v>135</v>
      </c>
      <c r="D71" s="235">
        <v>62</v>
      </c>
      <c r="E71" s="235">
        <v>62</v>
      </c>
      <c r="F71" s="235">
        <v>81</v>
      </c>
      <c r="G71" s="235">
        <v>67</v>
      </c>
      <c r="H71" s="235">
        <v>28</v>
      </c>
      <c r="I71" s="235">
        <v>70</v>
      </c>
      <c r="J71" s="235">
        <v>30</v>
      </c>
      <c r="K71" s="236"/>
      <c r="L71" s="234">
        <v>842</v>
      </c>
      <c r="M71" s="235">
        <v>744</v>
      </c>
      <c r="N71" s="235">
        <v>516</v>
      </c>
      <c r="O71" s="235">
        <v>643</v>
      </c>
      <c r="P71" s="235">
        <v>344</v>
      </c>
      <c r="Q71" s="235">
        <v>505</v>
      </c>
      <c r="R71" s="235">
        <v>619</v>
      </c>
      <c r="S71" s="235">
        <v>244</v>
      </c>
      <c r="T71" s="236"/>
      <c r="U71" s="231"/>
      <c r="V71" s="231"/>
      <c r="W71" s="231"/>
      <c r="X71" s="231"/>
      <c r="Y71" s="231"/>
    </row>
    <row r="72" spans="1:25" ht="12.95" customHeight="1" thickBot="1" x14ac:dyDescent="0.3">
      <c r="A72" s="716" t="s">
        <v>683</v>
      </c>
      <c r="B72" s="724" t="s">
        <v>621</v>
      </c>
      <c r="C72" s="723">
        <v>6</v>
      </c>
      <c r="D72" s="238">
        <v>1</v>
      </c>
      <c r="E72" s="238">
        <v>2</v>
      </c>
      <c r="F72" s="238">
        <v>10</v>
      </c>
      <c r="G72" s="238">
        <v>21</v>
      </c>
      <c r="H72" s="238">
        <v>15</v>
      </c>
      <c r="I72" s="238">
        <v>21</v>
      </c>
      <c r="J72" s="238">
        <v>33</v>
      </c>
      <c r="K72" s="239"/>
      <c r="L72" s="237">
        <v>209</v>
      </c>
      <c r="M72" s="238">
        <v>175</v>
      </c>
      <c r="N72" s="238">
        <v>145</v>
      </c>
      <c r="O72" s="238">
        <v>177</v>
      </c>
      <c r="P72" s="238">
        <v>121</v>
      </c>
      <c r="Q72" s="238">
        <v>159</v>
      </c>
      <c r="R72" s="238">
        <v>172</v>
      </c>
      <c r="S72" s="238">
        <v>164</v>
      </c>
      <c r="T72" s="239"/>
      <c r="U72" s="231"/>
      <c r="V72" s="231"/>
      <c r="W72" s="231"/>
      <c r="X72" s="231"/>
      <c r="Y72" s="231"/>
    </row>
    <row r="73" spans="1:25" s="308" customFormat="1" ht="12.95" customHeight="1" thickBot="1" x14ac:dyDescent="0.3">
      <c r="A73" s="713" t="s">
        <v>781</v>
      </c>
      <c r="B73" s="732" t="s">
        <v>621</v>
      </c>
      <c r="C73" s="307">
        <v>654</v>
      </c>
      <c r="D73" s="309">
        <v>549</v>
      </c>
      <c r="E73" s="309">
        <v>564</v>
      </c>
      <c r="F73" s="309">
        <v>591</v>
      </c>
      <c r="G73" s="309">
        <v>856</v>
      </c>
      <c r="H73" s="309">
        <v>1067</v>
      </c>
      <c r="I73" s="309">
        <v>1958</v>
      </c>
      <c r="J73" s="309">
        <v>410</v>
      </c>
      <c r="K73" s="310"/>
      <c r="L73" s="311">
        <v>8878</v>
      </c>
      <c r="M73" s="309">
        <v>9187</v>
      </c>
      <c r="N73" s="309">
        <v>6282</v>
      </c>
      <c r="O73" s="309">
        <v>6076</v>
      </c>
      <c r="P73" s="309">
        <v>4855</v>
      </c>
      <c r="Q73" s="309">
        <v>6115</v>
      </c>
      <c r="R73" s="309">
        <v>7134</v>
      </c>
      <c r="S73" s="309">
        <v>3495</v>
      </c>
      <c r="T73" s="310"/>
      <c r="U73" s="226"/>
      <c r="V73" s="226"/>
      <c r="W73" s="226"/>
      <c r="X73" s="226"/>
      <c r="Y73" s="226"/>
    </row>
    <row r="74" spans="1:25" ht="12.95" customHeight="1" x14ac:dyDescent="0.25">
      <c r="A74" s="714" t="s">
        <v>586</v>
      </c>
      <c r="B74" s="727" t="s">
        <v>621</v>
      </c>
      <c r="C74" s="227"/>
      <c r="D74" s="229">
        <v>1</v>
      </c>
      <c r="E74" s="229">
        <v>2</v>
      </c>
      <c r="F74" s="229"/>
      <c r="G74" s="229">
        <v>2</v>
      </c>
      <c r="H74" s="229">
        <v>19</v>
      </c>
      <c r="I74" s="229">
        <v>9</v>
      </c>
      <c r="J74" s="229">
        <v>2</v>
      </c>
      <c r="K74" s="230"/>
      <c r="L74" s="228">
        <v>210</v>
      </c>
      <c r="M74" s="229">
        <v>101</v>
      </c>
      <c r="N74" s="229">
        <v>82</v>
      </c>
      <c r="O74" s="229">
        <v>66</v>
      </c>
      <c r="P74" s="229">
        <v>128</v>
      </c>
      <c r="Q74" s="229">
        <v>162</v>
      </c>
      <c r="R74" s="229">
        <v>54</v>
      </c>
      <c r="S74" s="229">
        <v>60</v>
      </c>
      <c r="T74" s="230"/>
      <c r="U74" s="231"/>
      <c r="V74" s="231"/>
      <c r="W74" s="231"/>
      <c r="X74" s="231"/>
      <c r="Y74" s="231"/>
    </row>
    <row r="75" spans="1:25" ht="12.95" customHeight="1" x14ac:dyDescent="0.25">
      <c r="A75" s="715" t="s">
        <v>684</v>
      </c>
      <c r="B75" s="718"/>
      <c r="C75" s="233">
        <v>93</v>
      </c>
      <c r="D75" s="235">
        <v>114</v>
      </c>
      <c r="E75" s="235">
        <v>143</v>
      </c>
      <c r="F75" s="235">
        <v>188</v>
      </c>
      <c r="G75" s="235">
        <v>152</v>
      </c>
      <c r="H75" s="235">
        <v>61</v>
      </c>
      <c r="I75" s="235">
        <v>40</v>
      </c>
      <c r="J75" s="235">
        <v>78</v>
      </c>
      <c r="K75" s="236"/>
      <c r="L75" s="234">
        <v>2916</v>
      </c>
      <c r="M75" s="235">
        <v>4549</v>
      </c>
      <c r="N75" s="235">
        <v>13329</v>
      </c>
      <c r="O75" s="235">
        <v>6494</v>
      </c>
      <c r="P75" s="235">
        <v>3973</v>
      </c>
      <c r="Q75" s="235">
        <v>1844</v>
      </c>
      <c r="R75" s="235">
        <v>1099</v>
      </c>
      <c r="S75" s="235">
        <v>1236</v>
      </c>
      <c r="T75" s="236"/>
      <c r="U75" s="231"/>
      <c r="V75" s="231"/>
      <c r="W75" s="231"/>
      <c r="X75" s="231"/>
      <c r="Y75" s="231"/>
    </row>
    <row r="76" spans="1:25" ht="12.95" customHeight="1" x14ac:dyDescent="0.25">
      <c r="A76" s="715" t="s">
        <v>685</v>
      </c>
      <c r="B76" s="719"/>
      <c r="C76" s="233">
        <v>18</v>
      </c>
      <c r="D76" s="235">
        <v>42</v>
      </c>
      <c r="E76" s="235">
        <v>61</v>
      </c>
      <c r="F76" s="235">
        <v>29</v>
      </c>
      <c r="G76" s="235">
        <v>50</v>
      </c>
      <c r="H76" s="235">
        <v>46</v>
      </c>
      <c r="I76" s="235">
        <v>39</v>
      </c>
      <c r="J76" s="235">
        <v>46</v>
      </c>
      <c r="K76" s="236"/>
      <c r="L76" s="234">
        <v>222</v>
      </c>
      <c r="M76" s="235">
        <v>206</v>
      </c>
      <c r="N76" s="235">
        <v>229</v>
      </c>
      <c r="O76" s="235">
        <v>161</v>
      </c>
      <c r="P76" s="235">
        <v>333</v>
      </c>
      <c r="Q76" s="235">
        <v>363</v>
      </c>
      <c r="R76" s="235">
        <v>462</v>
      </c>
      <c r="S76" s="235">
        <v>302</v>
      </c>
      <c r="T76" s="236"/>
      <c r="U76" s="231"/>
      <c r="V76" s="231"/>
      <c r="W76" s="231"/>
      <c r="X76" s="231"/>
      <c r="Y76" s="231"/>
    </row>
    <row r="77" spans="1:25" ht="12.95" customHeight="1" x14ac:dyDescent="0.25">
      <c r="A77" s="715" t="s">
        <v>0</v>
      </c>
      <c r="B77" s="719" t="s">
        <v>621</v>
      </c>
      <c r="C77" s="233">
        <v>47</v>
      </c>
      <c r="D77" s="235">
        <v>26</v>
      </c>
      <c r="E77" s="235">
        <v>29</v>
      </c>
      <c r="F77" s="235">
        <v>52</v>
      </c>
      <c r="G77" s="235">
        <v>50</v>
      </c>
      <c r="H77" s="235">
        <v>5</v>
      </c>
      <c r="I77" s="235">
        <v>11</v>
      </c>
      <c r="J77" s="235">
        <v>24</v>
      </c>
      <c r="K77" s="236"/>
      <c r="L77" s="234">
        <v>817</v>
      </c>
      <c r="M77" s="235">
        <v>529</v>
      </c>
      <c r="N77" s="235">
        <v>475</v>
      </c>
      <c r="O77" s="235">
        <v>667</v>
      </c>
      <c r="P77" s="235">
        <v>832</v>
      </c>
      <c r="Q77" s="235">
        <v>688</v>
      </c>
      <c r="R77" s="235">
        <v>559</v>
      </c>
      <c r="S77" s="235">
        <v>667</v>
      </c>
      <c r="T77" s="236"/>
      <c r="U77" s="231"/>
      <c r="V77" s="231"/>
      <c r="W77" s="231"/>
      <c r="X77" s="231"/>
      <c r="Y77" s="231"/>
    </row>
    <row r="78" spans="1:25" ht="12.95" customHeight="1" x14ac:dyDescent="0.25">
      <c r="A78" s="715" t="s">
        <v>686</v>
      </c>
      <c r="B78" s="719" t="s">
        <v>621</v>
      </c>
      <c r="C78" s="233">
        <v>23</v>
      </c>
      <c r="D78" s="235">
        <v>20</v>
      </c>
      <c r="E78" s="235">
        <v>19</v>
      </c>
      <c r="F78" s="235">
        <v>29</v>
      </c>
      <c r="G78" s="235">
        <v>44</v>
      </c>
      <c r="H78" s="235">
        <v>9</v>
      </c>
      <c r="I78" s="235">
        <v>31</v>
      </c>
      <c r="J78" s="235">
        <v>6</v>
      </c>
      <c r="K78" s="236"/>
      <c r="L78" s="234">
        <v>278</v>
      </c>
      <c r="M78" s="235">
        <v>194</v>
      </c>
      <c r="N78" s="235">
        <v>211</v>
      </c>
      <c r="O78" s="235">
        <v>193</v>
      </c>
      <c r="P78" s="235">
        <v>130</v>
      </c>
      <c r="Q78" s="235">
        <v>200</v>
      </c>
      <c r="R78" s="235">
        <v>254</v>
      </c>
      <c r="S78" s="235">
        <v>189</v>
      </c>
      <c r="T78" s="236"/>
      <c r="U78" s="231"/>
      <c r="V78" s="231"/>
      <c r="W78" s="231"/>
      <c r="X78" s="231"/>
      <c r="Y78" s="231"/>
    </row>
    <row r="79" spans="1:25" ht="12.95" customHeight="1" x14ac:dyDescent="0.25">
      <c r="A79" s="715" t="s">
        <v>687</v>
      </c>
      <c r="B79" s="719" t="s">
        <v>621</v>
      </c>
      <c r="C79" s="233">
        <v>12</v>
      </c>
      <c r="D79" s="235">
        <v>20</v>
      </c>
      <c r="E79" s="235">
        <v>12</v>
      </c>
      <c r="F79" s="235">
        <v>24</v>
      </c>
      <c r="G79" s="235">
        <v>15</v>
      </c>
      <c r="H79" s="235">
        <v>4</v>
      </c>
      <c r="I79" s="235">
        <v>8</v>
      </c>
      <c r="J79" s="235">
        <v>18</v>
      </c>
      <c r="K79" s="236"/>
      <c r="L79" s="234">
        <v>378</v>
      </c>
      <c r="M79" s="235">
        <v>325</v>
      </c>
      <c r="N79" s="235">
        <v>351</v>
      </c>
      <c r="O79" s="235">
        <v>243</v>
      </c>
      <c r="P79" s="235">
        <v>358</v>
      </c>
      <c r="Q79" s="235">
        <v>177</v>
      </c>
      <c r="R79" s="235">
        <v>178</v>
      </c>
      <c r="S79" s="235">
        <v>184</v>
      </c>
      <c r="T79" s="236"/>
      <c r="U79" s="231"/>
      <c r="V79" s="231"/>
      <c r="W79" s="231"/>
      <c r="X79" s="231"/>
      <c r="Y79" s="231"/>
    </row>
    <row r="80" spans="1:25" ht="12.95" customHeight="1" thickBot="1" x14ac:dyDescent="0.3">
      <c r="A80" s="716" t="s">
        <v>688</v>
      </c>
      <c r="B80" s="724"/>
      <c r="C80" s="723">
        <v>6</v>
      </c>
      <c r="D80" s="238">
        <v>19</v>
      </c>
      <c r="E80" s="238">
        <v>34</v>
      </c>
      <c r="F80" s="238">
        <v>31</v>
      </c>
      <c r="G80" s="238">
        <v>66</v>
      </c>
      <c r="H80" s="238">
        <v>33</v>
      </c>
      <c r="I80" s="238">
        <v>33</v>
      </c>
      <c r="J80" s="238">
        <v>47</v>
      </c>
      <c r="K80" s="239"/>
      <c r="L80" s="237">
        <v>255</v>
      </c>
      <c r="M80" s="238">
        <v>273</v>
      </c>
      <c r="N80" s="238">
        <v>1010</v>
      </c>
      <c r="O80" s="238">
        <v>941</v>
      </c>
      <c r="P80" s="238">
        <v>328</v>
      </c>
      <c r="Q80" s="238">
        <v>350</v>
      </c>
      <c r="R80" s="238">
        <v>253</v>
      </c>
      <c r="S80" s="238">
        <v>506</v>
      </c>
      <c r="T80" s="239"/>
      <c r="U80" s="231"/>
      <c r="V80" s="231"/>
      <c r="W80" s="231"/>
      <c r="X80" s="231"/>
      <c r="Y80" s="231"/>
    </row>
    <row r="81" spans="1:25" s="308" customFormat="1" ht="12.95" customHeight="1" thickBot="1" x14ac:dyDescent="0.3">
      <c r="A81" s="713" t="s">
        <v>780</v>
      </c>
      <c r="B81" s="733"/>
      <c r="C81" s="307">
        <v>199</v>
      </c>
      <c r="D81" s="309">
        <v>242</v>
      </c>
      <c r="E81" s="309">
        <v>300</v>
      </c>
      <c r="F81" s="309">
        <v>353</v>
      </c>
      <c r="G81" s="309">
        <v>379</v>
      </c>
      <c r="H81" s="309">
        <v>177</v>
      </c>
      <c r="I81" s="309">
        <v>171</v>
      </c>
      <c r="J81" s="309">
        <v>221</v>
      </c>
      <c r="K81" s="310"/>
      <c r="L81" s="311">
        <v>5076</v>
      </c>
      <c r="M81" s="309">
        <v>6177</v>
      </c>
      <c r="N81" s="309">
        <v>15687</v>
      </c>
      <c r="O81" s="309">
        <v>8765</v>
      </c>
      <c r="P81" s="309">
        <v>6082</v>
      </c>
      <c r="Q81" s="309">
        <v>3784</v>
      </c>
      <c r="R81" s="309">
        <v>2859</v>
      </c>
      <c r="S81" s="309">
        <v>3144</v>
      </c>
      <c r="T81" s="310"/>
      <c r="U81" s="226"/>
      <c r="V81" s="226"/>
      <c r="W81" s="226"/>
      <c r="X81" s="226"/>
      <c r="Y81" s="226"/>
    </row>
    <row r="82" spans="1:25" ht="12.95" customHeight="1" x14ac:dyDescent="0.25">
      <c r="A82" s="714" t="s">
        <v>588</v>
      </c>
      <c r="B82" s="727"/>
      <c r="C82" s="227">
        <v>5</v>
      </c>
      <c r="D82" s="229">
        <v>6</v>
      </c>
      <c r="E82" s="229">
        <v>9</v>
      </c>
      <c r="F82" s="229">
        <v>4</v>
      </c>
      <c r="G82" s="229">
        <v>4</v>
      </c>
      <c r="H82" s="229">
        <v>4</v>
      </c>
      <c r="I82" s="229">
        <v>18</v>
      </c>
      <c r="J82" s="229">
        <v>7</v>
      </c>
      <c r="K82" s="230"/>
      <c r="L82" s="228">
        <v>408</v>
      </c>
      <c r="M82" s="229">
        <v>424</v>
      </c>
      <c r="N82" s="229">
        <v>369</v>
      </c>
      <c r="O82" s="229">
        <v>283</v>
      </c>
      <c r="P82" s="229">
        <v>168</v>
      </c>
      <c r="Q82" s="229">
        <v>270</v>
      </c>
      <c r="R82" s="229">
        <v>206</v>
      </c>
      <c r="S82" s="229">
        <v>486</v>
      </c>
      <c r="T82" s="230"/>
      <c r="U82" s="231"/>
      <c r="V82" s="231"/>
      <c r="W82" s="231"/>
      <c r="X82" s="231"/>
      <c r="Y82" s="231"/>
    </row>
    <row r="83" spans="1:25" ht="12.95" customHeight="1" x14ac:dyDescent="0.25">
      <c r="A83" s="715" t="s">
        <v>689</v>
      </c>
      <c r="B83" s="719" t="s">
        <v>621</v>
      </c>
      <c r="C83" s="233">
        <v>115</v>
      </c>
      <c r="D83" s="235">
        <v>112</v>
      </c>
      <c r="E83" s="235">
        <v>148</v>
      </c>
      <c r="F83" s="235">
        <v>226</v>
      </c>
      <c r="G83" s="235">
        <v>180</v>
      </c>
      <c r="H83" s="235">
        <v>72</v>
      </c>
      <c r="I83" s="235">
        <v>182</v>
      </c>
      <c r="J83" s="235">
        <v>204</v>
      </c>
      <c r="K83" s="236"/>
      <c r="L83" s="234">
        <v>3848</v>
      </c>
      <c r="M83" s="235">
        <v>2600</v>
      </c>
      <c r="N83" s="235">
        <v>2375</v>
      </c>
      <c r="O83" s="235">
        <v>2206</v>
      </c>
      <c r="P83" s="235">
        <v>2248</v>
      </c>
      <c r="Q83" s="235">
        <v>1978</v>
      </c>
      <c r="R83" s="235">
        <v>2332</v>
      </c>
      <c r="S83" s="235">
        <v>1779</v>
      </c>
      <c r="T83" s="236"/>
      <c r="U83" s="231"/>
      <c r="V83" s="231"/>
      <c r="W83" s="231"/>
      <c r="X83" s="231"/>
      <c r="Y83" s="231"/>
    </row>
    <row r="84" spans="1:25" ht="12.95" customHeight="1" x14ac:dyDescent="0.25">
      <c r="A84" s="715" t="s">
        <v>690</v>
      </c>
      <c r="B84" s="719" t="s">
        <v>621</v>
      </c>
      <c r="C84" s="233">
        <v>40</v>
      </c>
      <c r="D84" s="235">
        <v>37</v>
      </c>
      <c r="E84" s="235">
        <v>38</v>
      </c>
      <c r="F84" s="235">
        <v>35</v>
      </c>
      <c r="G84" s="235">
        <v>18</v>
      </c>
      <c r="H84" s="235">
        <v>12</v>
      </c>
      <c r="I84" s="235">
        <v>28</v>
      </c>
      <c r="J84" s="235">
        <v>36</v>
      </c>
      <c r="K84" s="236"/>
      <c r="L84" s="234">
        <v>382</v>
      </c>
      <c r="M84" s="235">
        <v>302</v>
      </c>
      <c r="N84" s="235">
        <v>310</v>
      </c>
      <c r="O84" s="235">
        <v>223</v>
      </c>
      <c r="P84" s="235">
        <v>276</v>
      </c>
      <c r="Q84" s="235">
        <v>307</v>
      </c>
      <c r="R84" s="235">
        <v>217</v>
      </c>
      <c r="S84" s="235">
        <v>206</v>
      </c>
      <c r="T84" s="236"/>
      <c r="U84" s="231"/>
      <c r="V84" s="231"/>
      <c r="W84" s="231"/>
      <c r="X84" s="231"/>
      <c r="Y84" s="231"/>
    </row>
    <row r="85" spans="1:25" ht="12.95" customHeight="1" x14ac:dyDescent="0.25">
      <c r="A85" s="715" t="s">
        <v>691</v>
      </c>
      <c r="B85" s="719" t="s">
        <v>621</v>
      </c>
      <c r="C85" s="233">
        <v>6</v>
      </c>
      <c r="D85" s="235">
        <v>12</v>
      </c>
      <c r="E85" s="235">
        <v>9</v>
      </c>
      <c r="F85" s="235">
        <v>10</v>
      </c>
      <c r="G85" s="235">
        <v>15</v>
      </c>
      <c r="H85" s="235">
        <v>6</v>
      </c>
      <c r="I85" s="235">
        <v>21</v>
      </c>
      <c r="J85" s="235">
        <v>20</v>
      </c>
      <c r="K85" s="236"/>
      <c r="L85" s="234">
        <v>178</v>
      </c>
      <c r="M85" s="235">
        <v>155</v>
      </c>
      <c r="N85" s="235">
        <v>156</v>
      </c>
      <c r="O85" s="235">
        <v>148</v>
      </c>
      <c r="P85" s="235">
        <v>167</v>
      </c>
      <c r="Q85" s="235">
        <v>118</v>
      </c>
      <c r="R85" s="235">
        <v>150</v>
      </c>
      <c r="S85" s="235">
        <v>100</v>
      </c>
      <c r="T85" s="236"/>
      <c r="U85" s="231"/>
      <c r="V85" s="231"/>
      <c r="W85" s="231"/>
      <c r="X85" s="231"/>
      <c r="Y85" s="231"/>
    </row>
    <row r="86" spans="1:25" ht="12.95" customHeight="1" x14ac:dyDescent="0.25">
      <c r="A86" s="715" t="s">
        <v>692</v>
      </c>
      <c r="B86" s="719" t="s">
        <v>621</v>
      </c>
      <c r="C86" s="233">
        <v>85</v>
      </c>
      <c r="D86" s="235">
        <v>56</v>
      </c>
      <c r="E86" s="235">
        <v>48</v>
      </c>
      <c r="F86" s="235">
        <v>112</v>
      </c>
      <c r="G86" s="235">
        <v>122</v>
      </c>
      <c r="H86" s="235">
        <v>34</v>
      </c>
      <c r="I86" s="235">
        <v>57</v>
      </c>
      <c r="J86" s="235">
        <v>76</v>
      </c>
      <c r="K86" s="236"/>
      <c r="L86" s="234">
        <v>1213</v>
      </c>
      <c r="M86" s="235">
        <v>1096</v>
      </c>
      <c r="N86" s="235">
        <v>851</v>
      </c>
      <c r="O86" s="235">
        <v>820</v>
      </c>
      <c r="P86" s="235">
        <v>736</v>
      </c>
      <c r="Q86" s="235">
        <v>579</v>
      </c>
      <c r="R86" s="235">
        <v>661</v>
      </c>
      <c r="S86" s="235">
        <v>744</v>
      </c>
      <c r="T86" s="236"/>
      <c r="U86" s="231"/>
      <c r="V86" s="231"/>
      <c r="W86" s="231"/>
      <c r="X86" s="231"/>
      <c r="Y86" s="231"/>
    </row>
    <row r="87" spans="1:25" ht="12.95" customHeight="1" thickBot="1" x14ac:dyDescent="0.3">
      <c r="A87" s="716" t="s">
        <v>693</v>
      </c>
      <c r="B87" s="724" t="s">
        <v>621</v>
      </c>
      <c r="C87" s="723">
        <v>72</v>
      </c>
      <c r="D87" s="238">
        <v>71</v>
      </c>
      <c r="E87" s="238">
        <v>51</v>
      </c>
      <c r="F87" s="238">
        <v>102</v>
      </c>
      <c r="G87" s="238">
        <v>85</v>
      </c>
      <c r="H87" s="238">
        <v>32</v>
      </c>
      <c r="I87" s="238">
        <v>56</v>
      </c>
      <c r="J87" s="238">
        <v>63</v>
      </c>
      <c r="K87" s="239"/>
      <c r="L87" s="237">
        <v>1034</v>
      </c>
      <c r="M87" s="238">
        <v>974</v>
      </c>
      <c r="N87" s="238">
        <v>1534</v>
      </c>
      <c r="O87" s="238">
        <v>809</v>
      </c>
      <c r="P87" s="238">
        <v>950</v>
      </c>
      <c r="Q87" s="238">
        <v>760</v>
      </c>
      <c r="R87" s="238">
        <v>702</v>
      </c>
      <c r="S87" s="238">
        <v>683</v>
      </c>
      <c r="T87" s="239"/>
      <c r="U87" s="231"/>
      <c r="V87" s="231"/>
      <c r="W87" s="231"/>
      <c r="X87" s="231"/>
      <c r="Y87" s="231"/>
    </row>
    <row r="88" spans="1:25" s="308" customFormat="1" ht="12.95" customHeight="1" thickBot="1" x14ac:dyDescent="0.3">
      <c r="A88" s="713" t="s">
        <v>779</v>
      </c>
      <c r="B88" s="732" t="s">
        <v>621</v>
      </c>
      <c r="C88" s="307">
        <v>323</v>
      </c>
      <c r="D88" s="309">
        <v>294</v>
      </c>
      <c r="E88" s="309">
        <v>303</v>
      </c>
      <c r="F88" s="309">
        <v>489</v>
      </c>
      <c r="G88" s="309">
        <v>424</v>
      </c>
      <c r="H88" s="309">
        <v>160</v>
      </c>
      <c r="I88" s="309">
        <v>362</v>
      </c>
      <c r="J88" s="309">
        <v>406</v>
      </c>
      <c r="K88" s="310"/>
      <c r="L88" s="311">
        <v>7063</v>
      </c>
      <c r="M88" s="309">
        <v>5551</v>
      </c>
      <c r="N88" s="309">
        <v>5595</v>
      </c>
      <c r="O88" s="309">
        <v>4489</v>
      </c>
      <c r="P88" s="309">
        <v>4545</v>
      </c>
      <c r="Q88" s="309">
        <v>4012</v>
      </c>
      <c r="R88" s="309">
        <v>4268</v>
      </c>
      <c r="S88" s="309">
        <v>3998</v>
      </c>
      <c r="T88" s="310"/>
      <c r="U88" s="226"/>
      <c r="V88" s="226"/>
      <c r="W88" s="226"/>
      <c r="X88" s="226"/>
      <c r="Y88" s="226"/>
    </row>
    <row r="89" spans="1:25" ht="12.95" customHeight="1" x14ac:dyDescent="0.25">
      <c r="A89" s="714" t="s">
        <v>590</v>
      </c>
      <c r="B89" s="727" t="s">
        <v>621</v>
      </c>
      <c r="C89" s="227"/>
      <c r="D89" s="229"/>
      <c r="E89" s="229">
        <v>3</v>
      </c>
      <c r="F89" s="229">
        <v>3</v>
      </c>
      <c r="G89" s="229">
        <v>1</v>
      </c>
      <c r="H89" s="229">
        <v>9</v>
      </c>
      <c r="I89" s="229">
        <v>8</v>
      </c>
      <c r="J89" s="229">
        <v>1</v>
      </c>
      <c r="K89" s="230"/>
      <c r="L89" s="228">
        <v>11049</v>
      </c>
      <c r="M89" s="229">
        <v>1185</v>
      </c>
      <c r="N89" s="229">
        <v>271</v>
      </c>
      <c r="O89" s="229">
        <v>701</v>
      </c>
      <c r="P89" s="229">
        <v>256</v>
      </c>
      <c r="Q89" s="229">
        <v>445</v>
      </c>
      <c r="R89" s="229">
        <v>274</v>
      </c>
      <c r="S89" s="229">
        <v>195</v>
      </c>
      <c r="T89" s="230"/>
      <c r="U89" s="231"/>
      <c r="V89" s="231"/>
      <c r="W89" s="231"/>
      <c r="X89" s="231"/>
      <c r="Y89" s="231"/>
    </row>
    <row r="90" spans="1:25" ht="12.95" customHeight="1" x14ac:dyDescent="0.25">
      <c r="A90" s="715" t="s">
        <v>694</v>
      </c>
      <c r="B90" s="718"/>
      <c r="C90" s="233">
        <v>254</v>
      </c>
      <c r="D90" s="235">
        <v>194</v>
      </c>
      <c r="E90" s="235">
        <v>245</v>
      </c>
      <c r="F90" s="235">
        <v>435</v>
      </c>
      <c r="G90" s="235">
        <v>494</v>
      </c>
      <c r="H90" s="235">
        <v>375</v>
      </c>
      <c r="I90" s="235">
        <v>404</v>
      </c>
      <c r="J90" s="235">
        <v>425</v>
      </c>
      <c r="K90" s="236"/>
      <c r="L90" s="234">
        <v>3481</v>
      </c>
      <c r="M90" s="235">
        <v>12893</v>
      </c>
      <c r="N90" s="235">
        <v>2985</v>
      </c>
      <c r="O90" s="235">
        <v>2821</v>
      </c>
      <c r="P90" s="235">
        <v>3658</v>
      </c>
      <c r="Q90" s="235">
        <v>3325</v>
      </c>
      <c r="R90" s="235">
        <v>4454</v>
      </c>
      <c r="S90" s="235">
        <v>2222</v>
      </c>
      <c r="T90" s="236"/>
      <c r="U90" s="231"/>
      <c r="V90" s="231"/>
      <c r="W90" s="231"/>
      <c r="X90" s="231"/>
      <c r="Y90" s="231"/>
    </row>
    <row r="91" spans="1:25" ht="12.95" customHeight="1" x14ac:dyDescent="0.25">
      <c r="A91" s="715" t="s">
        <v>695</v>
      </c>
      <c r="B91" s="719"/>
      <c r="C91" s="233">
        <v>69</v>
      </c>
      <c r="D91" s="235">
        <v>63</v>
      </c>
      <c r="E91" s="235">
        <v>108</v>
      </c>
      <c r="F91" s="235">
        <v>56</v>
      </c>
      <c r="G91" s="235">
        <v>105</v>
      </c>
      <c r="H91" s="235">
        <v>66</v>
      </c>
      <c r="I91" s="235">
        <v>82</v>
      </c>
      <c r="J91" s="235">
        <v>93</v>
      </c>
      <c r="K91" s="236"/>
      <c r="L91" s="234">
        <v>945</v>
      </c>
      <c r="M91" s="235">
        <v>856</v>
      </c>
      <c r="N91" s="235">
        <v>696</v>
      </c>
      <c r="O91" s="235">
        <v>730</v>
      </c>
      <c r="P91" s="235">
        <v>680</v>
      </c>
      <c r="Q91" s="235">
        <v>610</v>
      </c>
      <c r="R91" s="235">
        <v>650</v>
      </c>
      <c r="S91" s="235">
        <v>600</v>
      </c>
      <c r="T91" s="236"/>
      <c r="U91" s="231"/>
      <c r="V91" s="231"/>
      <c r="W91" s="231"/>
      <c r="X91" s="231"/>
      <c r="Y91" s="231"/>
    </row>
    <row r="92" spans="1:25" ht="12.95" customHeight="1" x14ac:dyDescent="0.25">
      <c r="A92" s="715" t="s">
        <v>773</v>
      </c>
      <c r="B92" s="719" t="s">
        <v>621</v>
      </c>
      <c r="C92" s="233">
        <v>52</v>
      </c>
      <c r="D92" s="235">
        <v>46</v>
      </c>
      <c r="E92" s="235">
        <v>34</v>
      </c>
      <c r="F92" s="235">
        <v>141</v>
      </c>
      <c r="G92" s="235">
        <v>218</v>
      </c>
      <c r="H92" s="235">
        <v>184</v>
      </c>
      <c r="I92" s="235">
        <v>186</v>
      </c>
      <c r="J92" s="235">
        <v>169</v>
      </c>
      <c r="K92" s="236"/>
      <c r="L92" s="234">
        <v>650</v>
      </c>
      <c r="M92" s="235">
        <v>677</v>
      </c>
      <c r="N92" s="235">
        <v>535</v>
      </c>
      <c r="O92" s="235">
        <v>562</v>
      </c>
      <c r="P92" s="235">
        <v>782</v>
      </c>
      <c r="Q92" s="235">
        <v>623</v>
      </c>
      <c r="R92" s="235">
        <v>494</v>
      </c>
      <c r="S92" s="235">
        <v>463</v>
      </c>
      <c r="T92" s="236"/>
      <c r="U92" s="231"/>
      <c r="V92" s="231"/>
      <c r="W92" s="231"/>
      <c r="X92" s="231"/>
      <c r="Y92" s="231"/>
    </row>
    <row r="93" spans="1:25" ht="12.95" customHeight="1" x14ac:dyDescent="0.25">
      <c r="A93" s="715" t="s">
        <v>696</v>
      </c>
      <c r="B93" s="719" t="s">
        <v>621</v>
      </c>
      <c r="C93" s="233">
        <v>24</v>
      </c>
      <c r="D93" s="235">
        <v>18</v>
      </c>
      <c r="E93" s="235">
        <v>66</v>
      </c>
      <c r="F93" s="235">
        <v>73</v>
      </c>
      <c r="G93" s="235">
        <v>67</v>
      </c>
      <c r="H93" s="235">
        <v>31</v>
      </c>
      <c r="I93" s="235">
        <v>42</v>
      </c>
      <c r="J93" s="235">
        <v>48</v>
      </c>
      <c r="K93" s="236"/>
      <c r="L93" s="234">
        <v>373</v>
      </c>
      <c r="M93" s="235">
        <v>285</v>
      </c>
      <c r="N93" s="235">
        <v>293</v>
      </c>
      <c r="O93" s="235">
        <v>338</v>
      </c>
      <c r="P93" s="235">
        <v>315</v>
      </c>
      <c r="Q93" s="235">
        <v>272</v>
      </c>
      <c r="R93" s="235">
        <v>278</v>
      </c>
      <c r="S93" s="235">
        <v>311</v>
      </c>
      <c r="T93" s="236"/>
      <c r="U93" s="231"/>
      <c r="V93" s="231"/>
      <c r="W93" s="231"/>
      <c r="X93" s="231"/>
      <c r="Y93" s="231"/>
    </row>
    <row r="94" spans="1:25" ht="12.95" customHeight="1" x14ac:dyDescent="0.25">
      <c r="A94" s="715" t="s">
        <v>697</v>
      </c>
      <c r="B94" s="719" t="s">
        <v>621</v>
      </c>
      <c r="C94" s="233">
        <v>34</v>
      </c>
      <c r="D94" s="235">
        <v>38</v>
      </c>
      <c r="E94" s="235">
        <v>37</v>
      </c>
      <c r="F94" s="235">
        <v>45</v>
      </c>
      <c r="G94" s="235">
        <v>84</v>
      </c>
      <c r="H94" s="235">
        <v>57</v>
      </c>
      <c r="I94" s="235">
        <v>37</v>
      </c>
      <c r="J94" s="235">
        <v>33</v>
      </c>
      <c r="K94" s="236"/>
      <c r="L94" s="234">
        <v>589</v>
      </c>
      <c r="M94" s="235">
        <v>401</v>
      </c>
      <c r="N94" s="235">
        <v>327</v>
      </c>
      <c r="O94" s="235">
        <v>290</v>
      </c>
      <c r="P94" s="235">
        <v>269</v>
      </c>
      <c r="Q94" s="235">
        <v>407</v>
      </c>
      <c r="R94" s="235">
        <v>400</v>
      </c>
      <c r="S94" s="235">
        <v>741</v>
      </c>
      <c r="T94" s="236"/>
      <c r="U94" s="231"/>
      <c r="V94" s="231"/>
      <c r="W94" s="231"/>
      <c r="X94" s="231"/>
      <c r="Y94" s="231"/>
    </row>
    <row r="95" spans="1:25" ht="12.95" customHeight="1" x14ac:dyDescent="0.25">
      <c r="A95" s="715" t="s">
        <v>698</v>
      </c>
      <c r="B95" s="719" t="s">
        <v>621</v>
      </c>
      <c r="C95" s="233">
        <v>18</v>
      </c>
      <c r="D95" s="235">
        <v>48</v>
      </c>
      <c r="E95" s="235">
        <v>30</v>
      </c>
      <c r="F95" s="235">
        <v>48</v>
      </c>
      <c r="G95" s="235">
        <v>63</v>
      </c>
      <c r="H95" s="235">
        <v>35</v>
      </c>
      <c r="I95" s="235">
        <v>86</v>
      </c>
      <c r="J95" s="235">
        <v>141</v>
      </c>
      <c r="K95" s="236"/>
      <c r="L95" s="234">
        <v>294</v>
      </c>
      <c r="M95" s="235">
        <v>358</v>
      </c>
      <c r="N95" s="235">
        <v>313</v>
      </c>
      <c r="O95" s="235">
        <v>347</v>
      </c>
      <c r="P95" s="235">
        <v>419</v>
      </c>
      <c r="Q95" s="235">
        <v>346</v>
      </c>
      <c r="R95" s="235">
        <v>292</v>
      </c>
      <c r="S95" s="235">
        <v>312</v>
      </c>
      <c r="T95" s="236"/>
      <c r="U95" s="231"/>
      <c r="V95" s="231"/>
      <c r="W95" s="231"/>
      <c r="X95" s="231"/>
      <c r="Y95" s="231"/>
    </row>
    <row r="96" spans="1:25" ht="12.95" customHeight="1" x14ac:dyDescent="0.25">
      <c r="A96" s="715" t="s">
        <v>699</v>
      </c>
      <c r="B96" s="718"/>
      <c r="C96" s="233">
        <v>38</v>
      </c>
      <c r="D96" s="235">
        <v>36</v>
      </c>
      <c r="E96" s="235">
        <v>50</v>
      </c>
      <c r="F96" s="235">
        <v>43</v>
      </c>
      <c r="G96" s="235">
        <v>54</v>
      </c>
      <c r="H96" s="235">
        <v>56</v>
      </c>
      <c r="I96" s="235">
        <v>51</v>
      </c>
      <c r="J96" s="235">
        <v>35</v>
      </c>
      <c r="K96" s="236"/>
      <c r="L96" s="234">
        <v>746</v>
      </c>
      <c r="M96" s="235">
        <v>450</v>
      </c>
      <c r="N96" s="235">
        <v>357</v>
      </c>
      <c r="O96" s="235">
        <v>459</v>
      </c>
      <c r="P96" s="235">
        <v>360</v>
      </c>
      <c r="Q96" s="235">
        <v>321</v>
      </c>
      <c r="R96" s="235">
        <v>257</v>
      </c>
      <c r="S96" s="235">
        <v>229</v>
      </c>
      <c r="T96" s="236"/>
      <c r="U96" s="231"/>
      <c r="V96" s="231"/>
      <c r="W96" s="231"/>
      <c r="X96" s="231"/>
      <c r="Y96" s="231"/>
    </row>
    <row r="97" spans="1:25" ht="12.95" customHeight="1" thickBot="1" x14ac:dyDescent="0.3">
      <c r="A97" s="716" t="s">
        <v>700</v>
      </c>
      <c r="B97" s="724"/>
      <c r="C97" s="723">
        <v>26</v>
      </c>
      <c r="D97" s="238">
        <v>37</v>
      </c>
      <c r="E97" s="238">
        <v>68</v>
      </c>
      <c r="F97" s="238">
        <v>49</v>
      </c>
      <c r="G97" s="238">
        <v>84</v>
      </c>
      <c r="H97" s="238">
        <v>77</v>
      </c>
      <c r="I97" s="238">
        <v>65</v>
      </c>
      <c r="J97" s="238">
        <v>55</v>
      </c>
      <c r="K97" s="239"/>
      <c r="L97" s="237">
        <v>602</v>
      </c>
      <c r="M97" s="238">
        <v>593</v>
      </c>
      <c r="N97" s="238">
        <v>275</v>
      </c>
      <c r="O97" s="238">
        <v>394</v>
      </c>
      <c r="P97" s="238">
        <v>405</v>
      </c>
      <c r="Q97" s="238">
        <v>309</v>
      </c>
      <c r="R97" s="238">
        <v>274</v>
      </c>
      <c r="S97" s="238">
        <v>263</v>
      </c>
      <c r="T97" s="239"/>
      <c r="U97" s="231"/>
      <c r="V97" s="231"/>
      <c r="W97" s="231"/>
      <c r="X97" s="231"/>
      <c r="Y97" s="231"/>
    </row>
    <row r="98" spans="1:25" s="308" customFormat="1" ht="12.95" customHeight="1" thickBot="1" x14ac:dyDescent="0.3">
      <c r="A98" s="713" t="s">
        <v>778</v>
      </c>
      <c r="B98" s="732" t="s">
        <v>621</v>
      </c>
      <c r="C98" s="307">
        <v>515</v>
      </c>
      <c r="D98" s="309">
        <v>480</v>
      </c>
      <c r="E98" s="309">
        <v>641</v>
      </c>
      <c r="F98" s="309">
        <v>893</v>
      </c>
      <c r="G98" s="309">
        <v>1170</v>
      </c>
      <c r="H98" s="309">
        <v>890</v>
      </c>
      <c r="I98" s="309">
        <v>961</v>
      </c>
      <c r="J98" s="309">
        <v>1000</v>
      </c>
      <c r="K98" s="310"/>
      <c r="L98" s="311">
        <v>18729</v>
      </c>
      <c r="M98" s="309">
        <v>17698</v>
      </c>
      <c r="N98" s="309">
        <v>6052</v>
      </c>
      <c r="O98" s="309">
        <v>6642</v>
      </c>
      <c r="P98" s="309">
        <v>7144</v>
      </c>
      <c r="Q98" s="309">
        <v>6658</v>
      </c>
      <c r="R98" s="309">
        <v>7373</v>
      </c>
      <c r="S98" s="309">
        <v>5336</v>
      </c>
      <c r="T98" s="310"/>
      <c r="U98" s="226"/>
      <c r="V98" s="226"/>
      <c r="W98" s="226"/>
      <c r="X98" s="226"/>
      <c r="Y98" s="226"/>
    </row>
    <row r="99" spans="1:25" ht="12.95" customHeight="1" x14ac:dyDescent="0.25">
      <c r="A99" s="714" t="s">
        <v>592</v>
      </c>
      <c r="B99" s="727" t="s">
        <v>621</v>
      </c>
      <c r="C99" s="227">
        <v>1</v>
      </c>
      <c r="D99" s="229">
        <v>1</v>
      </c>
      <c r="E99" s="229"/>
      <c r="F99" s="229">
        <v>1</v>
      </c>
      <c r="G99" s="229"/>
      <c r="H99" s="229"/>
      <c r="I99" s="229">
        <v>1</v>
      </c>
      <c r="J99" s="229">
        <v>2</v>
      </c>
      <c r="K99" s="230"/>
      <c r="L99" s="228">
        <v>168</v>
      </c>
      <c r="M99" s="229">
        <v>145</v>
      </c>
      <c r="N99" s="229">
        <v>446</v>
      </c>
      <c r="O99" s="229">
        <v>124</v>
      </c>
      <c r="P99" s="229">
        <v>200</v>
      </c>
      <c r="Q99" s="229">
        <v>194</v>
      </c>
      <c r="R99" s="229">
        <v>101</v>
      </c>
      <c r="S99" s="229">
        <v>1617</v>
      </c>
      <c r="T99" s="230"/>
      <c r="U99" s="231"/>
      <c r="V99" s="231"/>
      <c r="W99" s="231"/>
      <c r="X99" s="231"/>
      <c r="Y99" s="231"/>
    </row>
    <row r="100" spans="1:25" ht="12.95" customHeight="1" x14ac:dyDescent="0.25">
      <c r="A100" s="715" t="s">
        <v>774</v>
      </c>
      <c r="B100" s="719" t="s">
        <v>621</v>
      </c>
      <c r="C100" s="233">
        <v>83</v>
      </c>
      <c r="D100" s="235">
        <v>102</v>
      </c>
      <c r="E100" s="235">
        <v>138</v>
      </c>
      <c r="F100" s="235">
        <v>155</v>
      </c>
      <c r="G100" s="235">
        <v>137</v>
      </c>
      <c r="H100" s="235">
        <v>112</v>
      </c>
      <c r="I100" s="235">
        <v>101</v>
      </c>
      <c r="J100" s="235">
        <v>111</v>
      </c>
      <c r="K100" s="236"/>
      <c r="L100" s="234">
        <v>1316</v>
      </c>
      <c r="M100" s="235">
        <v>1138</v>
      </c>
      <c r="N100" s="235">
        <v>827</v>
      </c>
      <c r="O100" s="235">
        <v>3262</v>
      </c>
      <c r="P100" s="235">
        <v>1054</v>
      </c>
      <c r="Q100" s="235">
        <v>1086</v>
      </c>
      <c r="R100" s="235">
        <v>1175</v>
      </c>
      <c r="S100" s="235">
        <v>832</v>
      </c>
      <c r="T100" s="236"/>
      <c r="U100" s="231"/>
      <c r="V100" s="231"/>
      <c r="W100" s="231"/>
      <c r="X100" s="231"/>
      <c r="Y100" s="231"/>
    </row>
    <row r="101" spans="1:25" ht="12.95" customHeight="1" x14ac:dyDescent="0.25">
      <c r="A101" s="715" t="s">
        <v>701</v>
      </c>
      <c r="B101" s="719" t="s">
        <v>621</v>
      </c>
      <c r="C101" s="233">
        <v>39</v>
      </c>
      <c r="D101" s="235">
        <v>43</v>
      </c>
      <c r="E101" s="235">
        <v>33</v>
      </c>
      <c r="F101" s="235">
        <v>29</v>
      </c>
      <c r="G101" s="235">
        <v>48</v>
      </c>
      <c r="H101" s="235">
        <v>35</v>
      </c>
      <c r="I101" s="235">
        <v>41</v>
      </c>
      <c r="J101" s="235">
        <v>64</v>
      </c>
      <c r="K101" s="236"/>
      <c r="L101" s="234">
        <v>415</v>
      </c>
      <c r="M101" s="235">
        <v>478</v>
      </c>
      <c r="N101" s="235">
        <v>222</v>
      </c>
      <c r="O101" s="235">
        <v>246</v>
      </c>
      <c r="P101" s="235">
        <v>443</v>
      </c>
      <c r="Q101" s="235">
        <v>382</v>
      </c>
      <c r="R101" s="235">
        <v>341</v>
      </c>
      <c r="S101" s="235">
        <v>395</v>
      </c>
      <c r="T101" s="236"/>
      <c r="U101" s="231"/>
      <c r="V101" s="231"/>
      <c r="W101" s="231"/>
      <c r="X101" s="231"/>
      <c r="Y101" s="231"/>
    </row>
    <row r="102" spans="1:25" ht="12.95" customHeight="1" x14ac:dyDescent="0.25">
      <c r="A102" s="715" t="s">
        <v>702</v>
      </c>
      <c r="B102" s="719" t="s">
        <v>621</v>
      </c>
      <c r="C102" s="233">
        <v>69</v>
      </c>
      <c r="D102" s="235">
        <v>76</v>
      </c>
      <c r="E102" s="235">
        <v>85</v>
      </c>
      <c r="F102" s="235">
        <v>110</v>
      </c>
      <c r="G102" s="235">
        <v>114</v>
      </c>
      <c r="H102" s="235">
        <v>85</v>
      </c>
      <c r="I102" s="235">
        <v>99</v>
      </c>
      <c r="J102" s="235">
        <v>111</v>
      </c>
      <c r="K102" s="236"/>
      <c r="L102" s="234">
        <v>861</v>
      </c>
      <c r="M102" s="235">
        <v>799</v>
      </c>
      <c r="N102" s="235">
        <v>822</v>
      </c>
      <c r="O102" s="235">
        <v>573</v>
      </c>
      <c r="P102" s="235">
        <v>616</v>
      </c>
      <c r="Q102" s="235">
        <v>626</v>
      </c>
      <c r="R102" s="235">
        <v>697</v>
      </c>
      <c r="S102" s="235">
        <v>832</v>
      </c>
      <c r="T102" s="236"/>
      <c r="U102" s="231"/>
      <c r="V102" s="231"/>
      <c r="W102" s="231"/>
      <c r="X102" s="231"/>
      <c r="Y102" s="231"/>
    </row>
    <row r="103" spans="1:25" ht="12.95" customHeight="1" x14ac:dyDescent="0.25">
      <c r="A103" s="715" t="s">
        <v>703</v>
      </c>
      <c r="B103" s="719" t="s">
        <v>621</v>
      </c>
      <c r="C103" s="233">
        <v>49</v>
      </c>
      <c r="D103" s="235">
        <v>61</v>
      </c>
      <c r="E103" s="235">
        <v>93</v>
      </c>
      <c r="F103" s="235">
        <v>118</v>
      </c>
      <c r="G103" s="235">
        <v>121</v>
      </c>
      <c r="H103" s="235">
        <v>74</v>
      </c>
      <c r="I103" s="235">
        <v>82</v>
      </c>
      <c r="J103" s="235">
        <v>101</v>
      </c>
      <c r="K103" s="236"/>
      <c r="L103" s="234">
        <v>465</v>
      </c>
      <c r="M103" s="235">
        <v>514</v>
      </c>
      <c r="N103" s="235">
        <v>327</v>
      </c>
      <c r="O103" s="235">
        <v>340</v>
      </c>
      <c r="P103" s="235">
        <v>350</v>
      </c>
      <c r="Q103" s="235">
        <v>268</v>
      </c>
      <c r="R103" s="235">
        <v>463</v>
      </c>
      <c r="S103" s="235">
        <v>313</v>
      </c>
      <c r="T103" s="236"/>
      <c r="U103" s="231"/>
      <c r="V103" s="231"/>
      <c r="W103" s="231"/>
      <c r="X103" s="231"/>
      <c r="Y103" s="231"/>
    </row>
    <row r="104" spans="1:25" ht="12.95" customHeight="1" thickBot="1" x14ac:dyDescent="0.3">
      <c r="A104" s="716" t="s">
        <v>704</v>
      </c>
      <c r="B104" s="722"/>
      <c r="C104" s="723">
        <v>31</v>
      </c>
      <c r="D104" s="238">
        <v>43</v>
      </c>
      <c r="E104" s="238">
        <v>39</v>
      </c>
      <c r="F104" s="238">
        <v>52</v>
      </c>
      <c r="G104" s="238">
        <v>71</v>
      </c>
      <c r="H104" s="238">
        <v>63</v>
      </c>
      <c r="I104" s="238">
        <v>104</v>
      </c>
      <c r="J104" s="238">
        <v>84</v>
      </c>
      <c r="K104" s="239"/>
      <c r="L104" s="237">
        <v>388</v>
      </c>
      <c r="M104" s="238">
        <v>371</v>
      </c>
      <c r="N104" s="238">
        <v>270</v>
      </c>
      <c r="O104" s="238">
        <v>324</v>
      </c>
      <c r="P104" s="238">
        <v>408</v>
      </c>
      <c r="Q104" s="238">
        <v>600</v>
      </c>
      <c r="R104" s="238">
        <v>433</v>
      </c>
      <c r="S104" s="238">
        <v>412</v>
      </c>
      <c r="T104" s="239"/>
      <c r="U104" s="231"/>
      <c r="V104" s="231"/>
      <c r="W104" s="231"/>
      <c r="X104" s="231"/>
      <c r="Y104" s="231"/>
    </row>
    <row r="105" spans="1:25" s="308" customFormat="1" ht="12.95" customHeight="1" thickBot="1" x14ac:dyDescent="0.3">
      <c r="A105" s="713" t="s">
        <v>777</v>
      </c>
      <c r="B105" s="732"/>
      <c r="C105" s="307">
        <v>272</v>
      </c>
      <c r="D105" s="309">
        <v>326</v>
      </c>
      <c r="E105" s="309">
        <v>388</v>
      </c>
      <c r="F105" s="309">
        <v>465</v>
      </c>
      <c r="G105" s="309">
        <v>491</v>
      </c>
      <c r="H105" s="309">
        <v>369</v>
      </c>
      <c r="I105" s="309">
        <v>428</v>
      </c>
      <c r="J105" s="309">
        <v>473</v>
      </c>
      <c r="K105" s="310"/>
      <c r="L105" s="311">
        <v>3613</v>
      </c>
      <c r="M105" s="309">
        <v>3445</v>
      </c>
      <c r="N105" s="309">
        <v>2914</v>
      </c>
      <c r="O105" s="309">
        <v>4869</v>
      </c>
      <c r="P105" s="309">
        <v>3071</v>
      </c>
      <c r="Q105" s="309">
        <v>3156</v>
      </c>
      <c r="R105" s="309">
        <v>3210</v>
      </c>
      <c r="S105" s="309">
        <v>4401</v>
      </c>
      <c r="T105" s="310"/>
      <c r="U105" s="226"/>
      <c r="V105" s="226"/>
      <c r="W105" s="226"/>
      <c r="X105" s="226"/>
      <c r="Y105" s="226"/>
    </row>
    <row r="106" spans="1:25" ht="12.95" customHeight="1" x14ac:dyDescent="0.25">
      <c r="A106" s="714" t="s">
        <v>594</v>
      </c>
      <c r="B106" s="727" t="s">
        <v>621</v>
      </c>
      <c r="C106" s="227">
        <v>1</v>
      </c>
      <c r="D106" s="229">
        <v>3</v>
      </c>
      <c r="E106" s="229">
        <v>12</v>
      </c>
      <c r="F106" s="229">
        <v>7</v>
      </c>
      <c r="G106" s="229">
        <v>22</v>
      </c>
      <c r="H106" s="229">
        <v>49</v>
      </c>
      <c r="I106" s="229">
        <v>5</v>
      </c>
      <c r="J106" s="229"/>
      <c r="K106" s="230"/>
      <c r="L106" s="228">
        <v>92</v>
      </c>
      <c r="M106" s="229">
        <v>469</v>
      </c>
      <c r="N106" s="229">
        <v>149</v>
      </c>
      <c r="O106" s="229">
        <v>84</v>
      </c>
      <c r="P106" s="229">
        <v>74</v>
      </c>
      <c r="Q106" s="229">
        <v>120</v>
      </c>
      <c r="R106" s="229">
        <v>121</v>
      </c>
      <c r="S106" s="229">
        <v>95</v>
      </c>
      <c r="T106" s="230"/>
      <c r="U106" s="231"/>
      <c r="V106" s="231"/>
      <c r="W106" s="231"/>
      <c r="X106" s="231"/>
      <c r="Y106" s="231"/>
    </row>
    <row r="107" spans="1:25" ht="12.95" customHeight="1" x14ac:dyDescent="0.25">
      <c r="A107" s="715" t="s">
        <v>705</v>
      </c>
      <c r="B107" s="719" t="s">
        <v>621</v>
      </c>
      <c r="C107" s="233">
        <v>47</v>
      </c>
      <c r="D107" s="235">
        <v>57</v>
      </c>
      <c r="E107" s="235">
        <v>94</v>
      </c>
      <c r="F107" s="235">
        <v>171</v>
      </c>
      <c r="G107" s="235">
        <v>297</v>
      </c>
      <c r="H107" s="235">
        <v>163</v>
      </c>
      <c r="I107" s="235">
        <v>180</v>
      </c>
      <c r="J107" s="235">
        <v>221</v>
      </c>
      <c r="K107" s="236"/>
      <c r="L107" s="234">
        <v>1392</v>
      </c>
      <c r="M107" s="235">
        <v>2317</v>
      </c>
      <c r="N107" s="235">
        <v>1029</v>
      </c>
      <c r="O107" s="235">
        <v>896</v>
      </c>
      <c r="P107" s="235">
        <v>1497</v>
      </c>
      <c r="Q107" s="235">
        <v>912</v>
      </c>
      <c r="R107" s="235">
        <v>884</v>
      </c>
      <c r="S107" s="235">
        <v>732</v>
      </c>
      <c r="T107" s="236"/>
      <c r="U107" s="231"/>
      <c r="V107" s="231"/>
      <c r="W107" s="231"/>
      <c r="X107" s="231"/>
      <c r="Y107" s="231"/>
    </row>
    <row r="108" spans="1:25" ht="12.95" customHeight="1" x14ac:dyDescent="0.25">
      <c r="A108" s="715" t="s">
        <v>706</v>
      </c>
      <c r="B108" s="719" t="s">
        <v>621</v>
      </c>
      <c r="C108" s="233">
        <v>30</v>
      </c>
      <c r="D108" s="235">
        <v>44</v>
      </c>
      <c r="E108" s="235">
        <v>34</v>
      </c>
      <c r="F108" s="235">
        <v>64</v>
      </c>
      <c r="G108" s="235">
        <v>66</v>
      </c>
      <c r="H108" s="235">
        <v>78</v>
      </c>
      <c r="I108" s="235">
        <v>67</v>
      </c>
      <c r="J108" s="235">
        <v>98</v>
      </c>
      <c r="K108" s="236"/>
      <c r="L108" s="234">
        <v>589</v>
      </c>
      <c r="M108" s="235">
        <v>538</v>
      </c>
      <c r="N108" s="235">
        <v>464</v>
      </c>
      <c r="O108" s="235">
        <v>343</v>
      </c>
      <c r="P108" s="235">
        <v>374</v>
      </c>
      <c r="Q108" s="235">
        <v>320</v>
      </c>
      <c r="R108" s="235">
        <v>280</v>
      </c>
      <c r="S108" s="235">
        <v>419</v>
      </c>
      <c r="T108" s="236"/>
      <c r="U108" s="231"/>
      <c r="V108" s="231"/>
      <c r="W108" s="231"/>
      <c r="X108" s="231"/>
      <c r="Y108" s="231"/>
    </row>
    <row r="109" spans="1:25" ht="12.95" customHeight="1" x14ac:dyDescent="0.25">
      <c r="A109" s="715" t="s">
        <v>707</v>
      </c>
      <c r="B109" s="719" t="s">
        <v>621</v>
      </c>
      <c r="C109" s="233">
        <v>25</v>
      </c>
      <c r="D109" s="235">
        <v>20</v>
      </c>
      <c r="E109" s="235">
        <v>17</v>
      </c>
      <c r="F109" s="235">
        <v>68</v>
      </c>
      <c r="G109" s="235">
        <v>72</v>
      </c>
      <c r="H109" s="235">
        <v>72</v>
      </c>
      <c r="I109" s="235">
        <v>87</v>
      </c>
      <c r="J109" s="235">
        <v>102</v>
      </c>
      <c r="K109" s="236"/>
      <c r="L109" s="234">
        <v>394</v>
      </c>
      <c r="M109" s="235">
        <v>485</v>
      </c>
      <c r="N109" s="235">
        <v>416</v>
      </c>
      <c r="O109" s="235">
        <v>420</v>
      </c>
      <c r="P109" s="235">
        <v>402</v>
      </c>
      <c r="Q109" s="235">
        <v>454</v>
      </c>
      <c r="R109" s="235">
        <v>370</v>
      </c>
      <c r="S109" s="235">
        <v>370</v>
      </c>
      <c r="T109" s="236"/>
      <c r="U109" s="231"/>
      <c r="V109" s="231"/>
      <c r="W109" s="231"/>
      <c r="X109" s="231"/>
      <c r="Y109" s="231"/>
    </row>
    <row r="110" spans="1:25" ht="12.95" customHeight="1" x14ac:dyDescent="0.25">
      <c r="A110" s="715" t="s">
        <v>708</v>
      </c>
      <c r="B110" s="719" t="s">
        <v>621</v>
      </c>
      <c r="C110" s="233">
        <v>15</v>
      </c>
      <c r="D110" s="235">
        <v>9</v>
      </c>
      <c r="E110" s="235">
        <v>20</v>
      </c>
      <c r="F110" s="235">
        <v>28</v>
      </c>
      <c r="G110" s="235">
        <v>50</v>
      </c>
      <c r="H110" s="235">
        <v>71</v>
      </c>
      <c r="I110" s="235">
        <v>82</v>
      </c>
      <c r="J110" s="235">
        <v>81</v>
      </c>
      <c r="K110" s="236"/>
      <c r="L110" s="234">
        <v>225</v>
      </c>
      <c r="M110" s="235">
        <v>271</v>
      </c>
      <c r="N110" s="235">
        <v>258</v>
      </c>
      <c r="O110" s="235">
        <v>259</v>
      </c>
      <c r="P110" s="235">
        <v>203</v>
      </c>
      <c r="Q110" s="235">
        <v>185</v>
      </c>
      <c r="R110" s="235">
        <v>205</v>
      </c>
      <c r="S110" s="235">
        <v>220</v>
      </c>
      <c r="T110" s="236"/>
      <c r="U110" s="231"/>
      <c r="V110" s="231"/>
      <c r="W110" s="231"/>
      <c r="X110" s="231"/>
      <c r="Y110" s="231"/>
    </row>
    <row r="111" spans="1:25" ht="12.95" customHeight="1" x14ac:dyDescent="0.25">
      <c r="A111" s="715" t="s">
        <v>709</v>
      </c>
      <c r="B111" s="718"/>
      <c r="C111" s="233">
        <v>9</v>
      </c>
      <c r="D111" s="235">
        <v>24</v>
      </c>
      <c r="E111" s="235">
        <v>30</v>
      </c>
      <c r="F111" s="235">
        <v>42</v>
      </c>
      <c r="G111" s="235">
        <v>41</v>
      </c>
      <c r="H111" s="235">
        <v>38</v>
      </c>
      <c r="I111" s="235">
        <v>45</v>
      </c>
      <c r="J111" s="235">
        <v>63</v>
      </c>
      <c r="K111" s="236"/>
      <c r="L111" s="234">
        <v>296</v>
      </c>
      <c r="M111" s="235">
        <v>277</v>
      </c>
      <c r="N111" s="235">
        <v>311</v>
      </c>
      <c r="O111" s="235">
        <v>1732</v>
      </c>
      <c r="P111" s="235">
        <v>384</v>
      </c>
      <c r="Q111" s="235">
        <v>360</v>
      </c>
      <c r="R111" s="235">
        <v>330</v>
      </c>
      <c r="S111" s="235">
        <v>242</v>
      </c>
      <c r="T111" s="236"/>
      <c r="U111" s="231"/>
      <c r="V111" s="231"/>
      <c r="W111" s="231"/>
      <c r="X111" s="231"/>
      <c r="Y111" s="231"/>
    </row>
    <row r="112" spans="1:25" ht="12.95" customHeight="1" x14ac:dyDescent="0.25">
      <c r="A112" s="716" t="s">
        <v>710</v>
      </c>
      <c r="B112" s="719"/>
      <c r="C112" s="233">
        <v>48</v>
      </c>
      <c r="D112" s="235">
        <v>62</v>
      </c>
      <c r="E112" s="235">
        <v>51</v>
      </c>
      <c r="F112" s="235">
        <v>79</v>
      </c>
      <c r="G112" s="235">
        <v>99</v>
      </c>
      <c r="H112" s="235">
        <v>99</v>
      </c>
      <c r="I112" s="235">
        <v>130</v>
      </c>
      <c r="J112" s="235">
        <v>124</v>
      </c>
      <c r="K112" s="236"/>
      <c r="L112" s="234">
        <v>899</v>
      </c>
      <c r="M112" s="235">
        <v>706</v>
      </c>
      <c r="N112" s="235">
        <v>616</v>
      </c>
      <c r="O112" s="235">
        <v>569</v>
      </c>
      <c r="P112" s="235">
        <v>691</v>
      </c>
      <c r="Q112" s="235">
        <v>835</v>
      </c>
      <c r="R112" s="235">
        <v>696</v>
      </c>
      <c r="S112" s="235">
        <v>593</v>
      </c>
      <c r="T112" s="236"/>
      <c r="U112" s="231"/>
      <c r="V112" s="231"/>
      <c r="W112" s="231"/>
      <c r="X112" s="231"/>
      <c r="Y112" s="231"/>
    </row>
    <row r="113" spans="1:25" ht="12.95" customHeight="1" thickBot="1" x14ac:dyDescent="0.3">
      <c r="A113" s="716" t="s">
        <v>711</v>
      </c>
      <c r="B113" s="724"/>
      <c r="C113" s="723">
        <v>8</v>
      </c>
      <c r="D113" s="238">
        <v>8</v>
      </c>
      <c r="E113" s="238">
        <v>4</v>
      </c>
      <c r="F113" s="238">
        <v>23</v>
      </c>
      <c r="G113" s="238">
        <v>11</v>
      </c>
      <c r="H113" s="238">
        <v>16</v>
      </c>
      <c r="I113" s="238">
        <v>34</v>
      </c>
      <c r="J113" s="238">
        <v>38</v>
      </c>
      <c r="K113" s="239"/>
      <c r="L113" s="237">
        <v>154</v>
      </c>
      <c r="M113" s="238">
        <v>129</v>
      </c>
      <c r="N113" s="238">
        <v>116</v>
      </c>
      <c r="O113" s="238">
        <v>197</v>
      </c>
      <c r="P113" s="238">
        <v>161</v>
      </c>
      <c r="Q113" s="238">
        <v>98</v>
      </c>
      <c r="R113" s="238">
        <v>100</v>
      </c>
      <c r="S113" s="238">
        <v>111</v>
      </c>
      <c r="T113" s="239"/>
      <c r="U113" s="231"/>
      <c r="V113" s="231"/>
      <c r="W113" s="231"/>
      <c r="X113" s="231"/>
      <c r="Y113" s="231"/>
    </row>
    <row r="114" spans="1:25" s="308" customFormat="1" ht="12.95" customHeight="1" thickBot="1" x14ac:dyDescent="0.3">
      <c r="A114" s="713" t="s">
        <v>776</v>
      </c>
      <c r="B114" s="732"/>
      <c r="C114" s="307">
        <v>183</v>
      </c>
      <c r="D114" s="309">
        <v>227</v>
      </c>
      <c r="E114" s="309">
        <v>262</v>
      </c>
      <c r="F114" s="309">
        <v>482</v>
      </c>
      <c r="G114" s="309">
        <v>658</v>
      </c>
      <c r="H114" s="309">
        <v>586</v>
      </c>
      <c r="I114" s="309">
        <v>630</v>
      </c>
      <c r="J114" s="309">
        <v>727</v>
      </c>
      <c r="K114" s="310"/>
      <c r="L114" s="311">
        <v>4041</v>
      </c>
      <c r="M114" s="309">
        <v>5192</v>
      </c>
      <c r="N114" s="309">
        <v>3359</v>
      </c>
      <c r="O114" s="309">
        <v>4500</v>
      </c>
      <c r="P114" s="309">
        <v>3786</v>
      </c>
      <c r="Q114" s="309">
        <v>3284</v>
      </c>
      <c r="R114" s="309">
        <v>2986</v>
      </c>
      <c r="S114" s="309">
        <v>2782</v>
      </c>
      <c r="T114" s="310"/>
      <c r="U114" s="226"/>
      <c r="V114" s="226"/>
      <c r="W114" s="226"/>
      <c r="X114" s="226"/>
      <c r="Y114" s="226"/>
    </row>
    <row r="115" spans="1:25" ht="12.95" customHeight="1" x14ac:dyDescent="0.25">
      <c r="A115" s="714" t="s">
        <v>596</v>
      </c>
      <c r="B115" s="727"/>
      <c r="C115" s="227">
        <v>8</v>
      </c>
      <c r="D115" s="229">
        <v>20</v>
      </c>
      <c r="E115" s="229">
        <v>35</v>
      </c>
      <c r="F115" s="229">
        <v>34</v>
      </c>
      <c r="G115" s="229">
        <v>59</v>
      </c>
      <c r="H115" s="229">
        <v>26</v>
      </c>
      <c r="I115" s="229">
        <v>29</v>
      </c>
      <c r="J115" s="229">
        <v>19</v>
      </c>
      <c r="K115" s="230"/>
      <c r="L115" s="228">
        <v>259</v>
      </c>
      <c r="M115" s="229">
        <v>198</v>
      </c>
      <c r="N115" s="229">
        <v>276</v>
      </c>
      <c r="O115" s="229">
        <v>178</v>
      </c>
      <c r="P115" s="229">
        <v>595</v>
      </c>
      <c r="Q115" s="229">
        <v>243</v>
      </c>
      <c r="R115" s="229">
        <v>268</v>
      </c>
      <c r="S115" s="229">
        <v>292</v>
      </c>
      <c r="T115" s="230"/>
      <c r="U115" s="231"/>
      <c r="V115" s="231"/>
      <c r="W115" s="231"/>
      <c r="X115" s="231"/>
      <c r="Y115" s="231"/>
    </row>
    <row r="116" spans="1:25" ht="12.95" customHeight="1" x14ac:dyDescent="0.25">
      <c r="A116" s="715" t="s">
        <v>712</v>
      </c>
      <c r="B116" s="719"/>
      <c r="C116" s="233">
        <v>69</v>
      </c>
      <c r="D116" s="235">
        <v>88</v>
      </c>
      <c r="E116" s="235">
        <v>50</v>
      </c>
      <c r="F116" s="235">
        <v>49</v>
      </c>
      <c r="G116" s="235">
        <v>52</v>
      </c>
      <c r="H116" s="235">
        <v>24</v>
      </c>
      <c r="I116" s="235">
        <v>22</v>
      </c>
      <c r="J116" s="235">
        <v>13</v>
      </c>
      <c r="K116" s="236"/>
      <c r="L116" s="234">
        <v>1485</v>
      </c>
      <c r="M116" s="235">
        <v>1611</v>
      </c>
      <c r="N116" s="235">
        <v>979</v>
      </c>
      <c r="O116" s="235">
        <v>903</v>
      </c>
      <c r="P116" s="235">
        <v>762</v>
      </c>
      <c r="Q116" s="235">
        <v>1055</v>
      </c>
      <c r="R116" s="235">
        <v>589</v>
      </c>
      <c r="S116" s="235">
        <v>586</v>
      </c>
      <c r="T116" s="236"/>
      <c r="U116" s="231"/>
      <c r="V116" s="231"/>
      <c r="W116" s="231"/>
      <c r="X116" s="231"/>
      <c r="Y116" s="231"/>
    </row>
    <row r="117" spans="1:25" ht="12.95" customHeight="1" x14ac:dyDescent="0.25">
      <c r="A117" s="715" t="s">
        <v>713</v>
      </c>
      <c r="B117" s="719"/>
      <c r="C117" s="233">
        <v>12</v>
      </c>
      <c r="D117" s="235">
        <v>15</v>
      </c>
      <c r="E117" s="235">
        <v>20</v>
      </c>
      <c r="F117" s="235">
        <v>14</v>
      </c>
      <c r="G117" s="235">
        <v>15</v>
      </c>
      <c r="H117" s="235">
        <v>17</v>
      </c>
      <c r="I117" s="235">
        <v>13</v>
      </c>
      <c r="J117" s="235">
        <v>7</v>
      </c>
      <c r="K117" s="236"/>
      <c r="L117" s="234">
        <v>378</v>
      </c>
      <c r="M117" s="235">
        <v>562</v>
      </c>
      <c r="N117" s="235">
        <v>381</v>
      </c>
      <c r="O117" s="235">
        <v>273</v>
      </c>
      <c r="P117" s="235">
        <v>277</v>
      </c>
      <c r="Q117" s="235">
        <v>275</v>
      </c>
      <c r="R117" s="235">
        <v>182</v>
      </c>
      <c r="S117" s="235">
        <v>244</v>
      </c>
      <c r="T117" s="236"/>
      <c r="U117" s="231"/>
      <c r="V117" s="231"/>
      <c r="W117" s="231"/>
      <c r="X117" s="231"/>
      <c r="Y117" s="231"/>
    </row>
    <row r="118" spans="1:25" ht="12.95" customHeight="1" x14ac:dyDescent="0.25">
      <c r="A118" s="715" t="s">
        <v>714</v>
      </c>
      <c r="B118" s="719"/>
      <c r="C118" s="233">
        <v>10</v>
      </c>
      <c r="D118" s="235">
        <v>12</v>
      </c>
      <c r="E118" s="235">
        <v>8</v>
      </c>
      <c r="F118" s="235">
        <v>32</v>
      </c>
      <c r="G118" s="235">
        <v>30</v>
      </c>
      <c r="H118" s="235">
        <v>11</v>
      </c>
      <c r="I118" s="235">
        <v>10</v>
      </c>
      <c r="J118" s="235">
        <v>7</v>
      </c>
      <c r="K118" s="236"/>
      <c r="L118" s="234">
        <v>303</v>
      </c>
      <c r="M118" s="235">
        <v>430</v>
      </c>
      <c r="N118" s="235">
        <v>388</v>
      </c>
      <c r="O118" s="235">
        <v>5293</v>
      </c>
      <c r="P118" s="235">
        <v>452</v>
      </c>
      <c r="Q118" s="235">
        <v>295</v>
      </c>
      <c r="R118" s="235">
        <v>351</v>
      </c>
      <c r="S118" s="235">
        <v>264</v>
      </c>
      <c r="T118" s="236"/>
      <c r="U118" s="231"/>
      <c r="V118" s="231"/>
      <c r="W118" s="231"/>
      <c r="X118" s="231"/>
      <c r="Y118" s="231"/>
    </row>
    <row r="119" spans="1:25" ht="12.95" customHeight="1" x14ac:dyDescent="0.25">
      <c r="A119" s="715" t="s">
        <v>715</v>
      </c>
      <c r="B119" s="719"/>
      <c r="C119" s="233">
        <v>6</v>
      </c>
      <c r="D119" s="235">
        <v>7</v>
      </c>
      <c r="E119" s="235">
        <v>29</v>
      </c>
      <c r="F119" s="235">
        <v>20</v>
      </c>
      <c r="G119" s="235">
        <v>27</v>
      </c>
      <c r="H119" s="235">
        <v>11</v>
      </c>
      <c r="I119" s="235">
        <v>10</v>
      </c>
      <c r="J119" s="235">
        <v>3</v>
      </c>
      <c r="K119" s="236"/>
      <c r="L119" s="234">
        <v>339</v>
      </c>
      <c r="M119" s="235">
        <v>314</v>
      </c>
      <c r="N119" s="235">
        <v>403</v>
      </c>
      <c r="O119" s="235">
        <v>213</v>
      </c>
      <c r="P119" s="235">
        <v>326</v>
      </c>
      <c r="Q119" s="235">
        <v>151</v>
      </c>
      <c r="R119" s="235">
        <v>159</v>
      </c>
      <c r="S119" s="235">
        <v>118</v>
      </c>
      <c r="T119" s="236"/>
      <c r="U119" s="231"/>
      <c r="V119" s="231"/>
      <c r="W119" s="231"/>
      <c r="X119" s="231"/>
      <c r="Y119" s="231"/>
    </row>
    <row r="120" spans="1:25" ht="12.95" customHeight="1" x14ac:dyDescent="0.25">
      <c r="A120" s="715" t="s">
        <v>716</v>
      </c>
      <c r="B120" s="719"/>
      <c r="C120" s="233">
        <v>8</v>
      </c>
      <c r="D120" s="235">
        <v>7</v>
      </c>
      <c r="E120" s="235">
        <v>14</v>
      </c>
      <c r="F120" s="235">
        <v>29</v>
      </c>
      <c r="G120" s="235">
        <v>24</v>
      </c>
      <c r="H120" s="235">
        <v>7</v>
      </c>
      <c r="I120" s="235">
        <v>6</v>
      </c>
      <c r="J120" s="235">
        <v>3</v>
      </c>
      <c r="K120" s="236"/>
      <c r="L120" s="234">
        <v>184</v>
      </c>
      <c r="M120" s="235">
        <v>241</v>
      </c>
      <c r="N120" s="235">
        <v>232</v>
      </c>
      <c r="O120" s="235">
        <v>232</v>
      </c>
      <c r="P120" s="235">
        <v>269</v>
      </c>
      <c r="Q120" s="235">
        <v>275</v>
      </c>
      <c r="R120" s="235">
        <v>209</v>
      </c>
      <c r="S120" s="235">
        <v>213</v>
      </c>
      <c r="T120" s="236"/>
      <c r="U120" s="231"/>
      <c r="V120" s="231"/>
      <c r="W120" s="231"/>
      <c r="X120" s="231"/>
      <c r="Y120" s="231"/>
    </row>
    <row r="121" spans="1:25" ht="12.95" customHeight="1" thickBot="1" x14ac:dyDescent="0.3">
      <c r="A121" s="716" t="s">
        <v>717</v>
      </c>
      <c r="B121" s="724"/>
      <c r="C121" s="723">
        <v>15</v>
      </c>
      <c r="D121" s="238">
        <v>21</v>
      </c>
      <c r="E121" s="238">
        <v>31</v>
      </c>
      <c r="F121" s="238">
        <v>24</v>
      </c>
      <c r="G121" s="238">
        <v>39</v>
      </c>
      <c r="H121" s="238">
        <v>21</v>
      </c>
      <c r="I121" s="238">
        <v>21</v>
      </c>
      <c r="J121" s="238">
        <v>13</v>
      </c>
      <c r="K121" s="239"/>
      <c r="L121" s="237">
        <v>244</v>
      </c>
      <c r="M121" s="238">
        <v>240</v>
      </c>
      <c r="N121" s="238">
        <v>279</v>
      </c>
      <c r="O121" s="238">
        <v>193</v>
      </c>
      <c r="P121" s="238">
        <v>236</v>
      </c>
      <c r="Q121" s="238">
        <v>248</v>
      </c>
      <c r="R121" s="238">
        <v>196</v>
      </c>
      <c r="S121" s="238">
        <v>407</v>
      </c>
      <c r="T121" s="239"/>
      <c r="U121" s="231"/>
      <c r="V121" s="231"/>
      <c r="W121" s="231"/>
      <c r="X121" s="231"/>
      <c r="Y121" s="231"/>
    </row>
    <row r="122" spans="1:25" s="308" customFormat="1" ht="12.95" customHeight="1" thickBot="1" x14ac:dyDescent="0.3">
      <c r="A122" s="713" t="s">
        <v>787</v>
      </c>
      <c r="B122" s="732"/>
      <c r="C122" s="307">
        <v>128</v>
      </c>
      <c r="D122" s="309">
        <v>170</v>
      </c>
      <c r="E122" s="309">
        <v>187</v>
      </c>
      <c r="F122" s="309">
        <v>202</v>
      </c>
      <c r="G122" s="309">
        <v>246</v>
      </c>
      <c r="H122" s="309">
        <v>117</v>
      </c>
      <c r="I122" s="309">
        <v>111</v>
      </c>
      <c r="J122" s="309">
        <v>65</v>
      </c>
      <c r="K122" s="310"/>
      <c r="L122" s="311">
        <v>3192</v>
      </c>
      <c r="M122" s="309">
        <v>3596</v>
      </c>
      <c r="N122" s="309">
        <v>2938</v>
      </c>
      <c r="O122" s="309">
        <v>7285</v>
      </c>
      <c r="P122" s="309">
        <v>2917</v>
      </c>
      <c r="Q122" s="309">
        <v>2542</v>
      </c>
      <c r="R122" s="309">
        <v>1954</v>
      </c>
      <c r="S122" s="309">
        <v>2124</v>
      </c>
      <c r="T122" s="310"/>
      <c r="U122" s="226"/>
      <c r="V122" s="226"/>
      <c r="W122" s="226"/>
      <c r="X122" s="226"/>
      <c r="Y122" s="226"/>
    </row>
    <row r="123" spans="1:25" ht="12.95" customHeight="1" x14ac:dyDescent="0.25">
      <c r="A123" s="714" t="s">
        <v>598</v>
      </c>
      <c r="B123" s="727"/>
      <c r="C123" s="227"/>
      <c r="D123" s="229"/>
      <c r="E123" s="229"/>
      <c r="F123" s="229">
        <v>2</v>
      </c>
      <c r="G123" s="229">
        <v>3</v>
      </c>
      <c r="H123" s="229">
        <v>29</v>
      </c>
      <c r="I123" s="229">
        <v>6</v>
      </c>
      <c r="J123" s="229">
        <v>2</v>
      </c>
      <c r="K123" s="230"/>
      <c r="L123" s="228">
        <v>546</v>
      </c>
      <c r="M123" s="229">
        <v>209</v>
      </c>
      <c r="N123" s="229">
        <v>423</v>
      </c>
      <c r="O123" s="229">
        <v>488</v>
      </c>
      <c r="P123" s="229">
        <v>740</v>
      </c>
      <c r="Q123" s="229">
        <v>414</v>
      </c>
      <c r="R123" s="229">
        <v>320</v>
      </c>
      <c r="S123" s="229">
        <v>587</v>
      </c>
      <c r="T123" s="230"/>
      <c r="U123" s="231"/>
      <c r="V123" s="231"/>
      <c r="W123" s="231"/>
      <c r="X123" s="231"/>
      <c r="Y123" s="231"/>
    </row>
    <row r="124" spans="1:25" ht="12.95" customHeight="1" x14ac:dyDescent="0.25">
      <c r="A124" s="715" t="s">
        <v>718</v>
      </c>
      <c r="B124" s="719"/>
      <c r="C124" s="233">
        <v>10</v>
      </c>
      <c r="D124" s="235">
        <v>43</v>
      </c>
      <c r="E124" s="235">
        <v>60</v>
      </c>
      <c r="F124" s="235">
        <v>107</v>
      </c>
      <c r="G124" s="235">
        <v>130</v>
      </c>
      <c r="H124" s="235">
        <v>79</v>
      </c>
      <c r="I124" s="235">
        <v>141</v>
      </c>
      <c r="J124" s="235">
        <v>183</v>
      </c>
      <c r="K124" s="236"/>
      <c r="L124" s="234">
        <v>1313</v>
      </c>
      <c r="M124" s="235">
        <v>862</v>
      </c>
      <c r="N124" s="235">
        <v>688</v>
      </c>
      <c r="O124" s="235">
        <v>1050</v>
      </c>
      <c r="P124" s="235">
        <v>932</v>
      </c>
      <c r="Q124" s="235">
        <v>1596</v>
      </c>
      <c r="R124" s="235">
        <v>587</v>
      </c>
      <c r="S124" s="235">
        <v>534</v>
      </c>
      <c r="T124" s="236"/>
      <c r="U124" s="231"/>
      <c r="V124" s="231"/>
      <c r="W124" s="231"/>
      <c r="X124" s="231"/>
      <c r="Y124" s="231"/>
    </row>
    <row r="125" spans="1:25" ht="12.95" customHeight="1" x14ac:dyDescent="0.25">
      <c r="A125" s="715" t="s">
        <v>719</v>
      </c>
      <c r="B125" s="718"/>
      <c r="C125" s="233">
        <v>17</v>
      </c>
      <c r="D125" s="235">
        <v>34</v>
      </c>
      <c r="E125" s="235">
        <v>74</v>
      </c>
      <c r="F125" s="235">
        <v>110</v>
      </c>
      <c r="G125" s="235">
        <v>137</v>
      </c>
      <c r="H125" s="235">
        <v>167</v>
      </c>
      <c r="I125" s="235">
        <v>132</v>
      </c>
      <c r="J125" s="235">
        <v>110</v>
      </c>
      <c r="K125" s="236"/>
      <c r="L125" s="234">
        <v>796</v>
      </c>
      <c r="M125" s="235">
        <v>709</v>
      </c>
      <c r="N125" s="235">
        <v>645</v>
      </c>
      <c r="O125" s="235">
        <v>977</v>
      </c>
      <c r="P125" s="235">
        <v>1117</v>
      </c>
      <c r="Q125" s="235">
        <v>1044</v>
      </c>
      <c r="R125" s="235">
        <v>851</v>
      </c>
      <c r="S125" s="235">
        <v>832</v>
      </c>
      <c r="T125" s="236"/>
      <c r="U125" s="231"/>
      <c r="V125" s="231"/>
      <c r="W125" s="231"/>
      <c r="X125" s="231"/>
      <c r="Y125" s="231"/>
    </row>
    <row r="126" spans="1:25" ht="12.95" customHeight="1" x14ac:dyDescent="0.25">
      <c r="A126" s="715" t="s">
        <v>720</v>
      </c>
      <c r="B126" s="718"/>
      <c r="C126" s="233">
        <v>83</v>
      </c>
      <c r="D126" s="235">
        <v>100</v>
      </c>
      <c r="E126" s="235">
        <v>234</v>
      </c>
      <c r="F126" s="235">
        <v>302</v>
      </c>
      <c r="G126" s="235">
        <v>296</v>
      </c>
      <c r="H126" s="235">
        <v>227</v>
      </c>
      <c r="I126" s="235">
        <v>214</v>
      </c>
      <c r="J126" s="235">
        <v>134</v>
      </c>
      <c r="K126" s="236"/>
      <c r="L126" s="234">
        <v>1039</v>
      </c>
      <c r="M126" s="235">
        <v>962</v>
      </c>
      <c r="N126" s="235">
        <v>1149</v>
      </c>
      <c r="O126" s="235">
        <v>943</v>
      </c>
      <c r="P126" s="235">
        <v>873</v>
      </c>
      <c r="Q126" s="235">
        <v>1082</v>
      </c>
      <c r="R126" s="235">
        <v>824</v>
      </c>
      <c r="S126" s="235">
        <v>654</v>
      </c>
      <c r="T126" s="236"/>
      <c r="U126" s="231"/>
      <c r="V126" s="231"/>
      <c r="W126" s="231"/>
      <c r="X126" s="231"/>
      <c r="Y126" s="231"/>
    </row>
    <row r="127" spans="1:25" ht="12.95" customHeight="1" x14ac:dyDescent="0.25">
      <c r="A127" s="715" t="s">
        <v>721</v>
      </c>
      <c r="B127" s="718" t="s">
        <v>621</v>
      </c>
      <c r="C127" s="233">
        <v>34</v>
      </c>
      <c r="D127" s="235">
        <v>95</v>
      </c>
      <c r="E127" s="235">
        <v>88</v>
      </c>
      <c r="F127" s="235">
        <v>118</v>
      </c>
      <c r="G127" s="235">
        <v>136</v>
      </c>
      <c r="H127" s="235">
        <v>97</v>
      </c>
      <c r="I127" s="235">
        <v>196</v>
      </c>
      <c r="J127" s="235">
        <v>261</v>
      </c>
      <c r="K127" s="236"/>
      <c r="L127" s="234">
        <v>1557</v>
      </c>
      <c r="M127" s="235">
        <v>1395</v>
      </c>
      <c r="N127" s="235">
        <v>1302</v>
      </c>
      <c r="O127" s="235">
        <v>1634</v>
      </c>
      <c r="P127" s="235">
        <v>997</v>
      </c>
      <c r="Q127" s="235">
        <v>1146</v>
      </c>
      <c r="R127" s="235">
        <v>1965</v>
      </c>
      <c r="S127" s="235">
        <v>1097</v>
      </c>
      <c r="T127" s="236"/>
      <c r="U127" s="231"/>
      <c r="V127" s="231"/>
      <c r="W127" s="231"/>
      <c r="X127" s="231"/>
      <c r="Y127" s="231"/>
    </row>
    <row r="128" spans="1:25" ht="12.95" customHeight="1" x14ac:dyDescent="0.25">
      <c r="A128" s="715" t="s">
        <v>722</v>
      </c>
      <c r="B128" s="718" t="s">
        <v>621</v>
      </c>
      <c r="C128" s="233">
        <v>41</v>
      </c>
      <c r="D128" s="235">
        <v>51</v>
      </c>
      <c r="E128" s="235">
        <v>73</v>
      </c>
      <c r="F128" s="235">
        <v>83</v>
      </c>
      <c r="G128" s="235">
        <v>89</v>
      </c>
      <c r="H128" s="235">
        <v>87</v>
      </c>
      <c r="I128" s="235">
        <v>159</v>
      </c>
      <c r="J128" s="235">
        <v>213</v>
      </c>
      <c r="K128" s="236"/>
      <c r="L128" s="234">
        <v>1669</v>
      </c>
      <c r="M128" s="235">
        <v>940</v>
      </c>
      <c r="N128" s="235">
        <v>966</v>
      </c>
      <c r="O128" s="235">
        <v>921</v>
      </c>
      <c r="P128" s="235">
        <v>777</v>
      </c>
      <c r="Q128" s="235">
        <v>770</v>
      </c>
      <c r="R128" s="235">
        <v>622</v>
      </c>
      <c r="S128" s="235">
        <v>865</v>
      </c>
      <c r="T128" s="236"/>
      <c r="U128" s="231"/>
      <c r="V128" s="231"/>
      <c r="W128" s="231"/>
      <c r="X128" s="231"/>
      <c r="Y128" s="231"/>
    </row>
    <row r="129" spans="1:25" ht="12.95" customHeight="1" x14ac:dyDescent="0.25">
      <c r="A129" s="715" t="s">
        <v>723</v>
      </c>
      <c r="B129" s="718" t="s">
        <v>621</v>
      </c>
      <c r="C129" s="233">
        <v>26</v>
      </c>
      <c r="D129" s="235">
        <v>47</v>
      </c>
      <c r="E129" s="235">
        <v>84</v>
      </c>
      <c r="F129" s="235">
        <v>81</v>
      </c>
      <c r="G129" s="235">
        <v>137</v>
      </c>
      <c r="H129" s="235">
        <v>112</v>
      </c>
      <c r="I129" s="235">
        <v>137</v>
      </c>
      <c r="J129" s="235">
        <v>162</v>
      </c>
      <c r="K129" s="236"/>
      <c r="L129" s="234">
        <v>715</v>
      </c>
      <c r="M129" s="235">
        <v>490</v>
      </c>
      <c r="N129" s="235">
        <v>683</v>
      </c>
      <c r="O129" s="235">
        <v>659</v>
      </c>
      <c r="P129" s="235">
        <v>686</v>
      </c>
      <c r="Q129" s="235">
        <v>651</v>
      </c>
      <c r="R129" s="235">
        <v>622</v>
      </c>
      <c r="S129" s="235">
        <v>629</v>
      </c>
      <c r="T129" s="236"/>
      <c r="U129" s="231"/>
      <c r="V129" s="231"/>
      <c r="W129" s="231"/>
      <c r="X129" s="231"/>
      <c r="Y129" s="231"/>
    </row>
    <row r="130" spans="1:25" ht="12.95" customHeight="1" x14ac:dyDescent="0.25">
      <c r="A130" s="715" t="s">
        <v>724</v>
      </c>
      <c r="B130" s="718" t="s">
        <v>621</v>
      </c>
      <c r="C130" s="233">
        <v>19</v>
      </c>
      <c r="D130" s="235">
        <v>14</v>
      </c>
      <c r="E130" s="235">
        <v>20</v>
      </c>
      <c r="F130" s="235">
        <v>29</v>
      </c>
      <c r="G130" s="235">
        <v>20</v>
      </c>
      <c r="H130" s="235">
        <v>23</v>
      </c>
      <c r="I130" s="235">
        <v>45</v>
      </c>
      <c r="J130" s="235">
        <v>37</v>
      </c>
      <c r="K130" s="236"/>
      <c r="L130" s="234">
        <v>402</v>
      </c>
      <c r="M130" s="235">
        <v>343</v>
      </c>
      <c r="N130" s="235">
        <v>273</v>
      </c>
      <c r="O130" s="235">
        <v>396</v>
      </c>
      <c r="P130" s="235">
        <v>383</v>
      </c>
      <c r="Q130" s="235">
        <v>311</v>
      </c>
      <c r="R130" s="235">
        <v>306</v>
      </c>
      <c r="S130" s="235">
        <v>313</v>
      </c>
      <c r="T130" s="236"/>
      <c r="U130" s="231"/>
      <c r="V130" s="231"/>
      <c r="W130" s="231"/>
      <c r="X130" s="231"/>
      <c r="Y130" s="231"/>
    </row>
    <row r="131" spans="1:25" ht="12.95" customHeight="1" x14ac:dyDescent="0.25">
      <c r="A131" s="715" t="s">
        <v>725</v>
      </c>
      <c r="B131" s="718" t="s">
        <v>621</v>
      </c>
      <c r="C131" s="233">
        <v>6</v>
      </c>
      <c r="D131" s="235">
        <v>17</v>
      </c>
      <c r="E131" s="235">
        <v>17</v>
      </c>
      <c r="F131" s="235">
        <v>55</v>
      </c>
      <c r="G131" s="235">
        <v>62</v>
      </c>
      <c r="H131" s="235">
        <v>55</v>
      </c>
      <c r="I131" s="235">
        <v>100</v>
      </c>
      <c r="J131" s="235">
        <v>58</v>
      </c>
      <c r="K131" s="236"/>
      <c r="L131" s="234">
        <v>618</v>
      </c>
      <c r="M131" s="235">
        <v>354</v>
      </c>
      <c r="N131" s="235">
        <v>321</v>
      </c>
      <c r="O131" s="235">
        <v>498</v>
      </c>
      <c r="P131" s="235">
        <v>399</v>
      </c>
      <c r="Q131" s="235">
        <v>377</v>
      </c>
      <c r="R131" s="235">
        <v>415</v>
      </c>
      <c r="S131" s="235">
        <v>392</v>
      </c>
      <c r="T131" s="236"/>
      <c r="U131" s="231"/>
      <c r="V131" s="231"/>
      <c r="W131" s="231"/>
      <c r="X131" s="231"/>
      <c r="Y131" s="231"/>
    </row>
    <row r="132" spans="1:25" ht="12.95" customHeight="1" x14ac:dyDescent="0.25">
      <c r="A132" s="715" t="s">
        <v>726</v>
      </c>
      <c r="B132" s="718"/>
      <c r="C132" s="233">
        <v>30</v>
      </c>
      <c r="D132" s="235">
        <v>29</v>
      </c>
      <c r="E132" s="235">
        <v>66</v>
      </c>
      <c r="F132" s="235">
        <v>106</v>
      </c>
      <c r="G132" s="235">
        <v>91</v>
      </c>
      <c r="H132" s="235">
        <v>103</v>
      </c>
      <c r="I132" s="235">
        <v>105</v>
      </c>
      <c r="J132" s="235">
        <v>160</v>
      </c>
      <c r="K132" s="236"/>
      <c r="L132" s="234">
        <v>862</v>
      </c>
      <c r="M132" s="235">
        <v>444</v>
      </c>
      <c r="N132" s="235">
        <v>398</v>
      </c>
      <c r="O132" s="235">
        <v>500</v>
      </c>
      <c r="P132" s="235">
        <v>1003</v>
      </c>
      <c r="Q132" s="235">
        <v>1168</v>
      </c>
      <c r="R132" s="235">
        <v>658</v>
      </c>
      <c r="S132" s="235">
        <v>570</v>
      </c>
      <c r="T132" s="236"/>
      <c r="U132" s="231"/>
      <c r="V132" s="231"/>
      <c r="W132" s="231"/>
      <c r="X132" s="231"/>
      <c r="Y132" s="231"/>
    </row>
    <row r="133" spans="1:25" ht="12.95" customHeight="1" x14ac:dyDescent="0.25">
      <c r="A133" s="715" t="s">
        <v>727</v>
      </c>
      <c r="B133" s="718"/>
      <c r="C133" s="233">
        <v>68</v>
      </c>
      <c r="D133" s="235">
        <v>84</v>
      </c>
      <c r="E133" s="235">
        <v>79</v>
      </c>
      <c r="F133" s="235">
        <v>134</v>
      </c>
      <c r="G133" s="235">
        <v>95</v>
      </c>
      <c r="H133" s="235">
        <v>69</v>
      </c>
      <c r="I133" s="235">
        <v>66</v>
      </c>
      <c r="J133" s="235">
        <v>83</v>
      </c>
      <c r="K133" s="236"/>
      <c r="L133" s="234">
        <v>904</v>
      </c>
      <c r="M133" s="235">
        <v>603</v>
      </c>
      <c r="N133" s="235">
        <v>873</v>
      </c>
      <c r="O133" s="235">
        <v>720</v>
      </c>
      <c r="P133" s="235">
        <v>1182</v>
      </c>
      <c r="Q133" s="235">
        <v>741</v>
      </c>
      <c r="R133" s="235">
        <v>735</v>
      </c>
      <c r="S133" s="235">
        <v>579</v>
      </c>
      <c r="T133" s="236"/>
      <c r="U133" s="231"/>
      <c r="V133" s="231"/>
      <c r="W133" s="231"/>
      <c r="X133" s="231"/>
      <c r="Y133" s="231"/>
    </row>
    <row r="134" spans="1:25" ht="12.95" customHeight="1" x14ac:dyDescent="0.25">
      <c r="A134" s="715" t="s">
        <v>728</v>
      </c>
      <c r="B134" s="719"/>
      <c r="C134" s="233">
        <v>11</v>
      </c>
      <c r="D134" s="235">
        <v>28</v>
      </c>
      <c r="E134" s="235">
        <v>40</v>
      </c>
      <c r="F134" s="235">
        <v>60</v>
      </c>
      <c r="G134" s="235">
        <v>147</v>
      </c>
      <c r="H134" s="235">
        <v>140</v>
      </c>
      <c r="I134" s="235">
        <v>246</v>
      </c>
      <c r="J134" s="235">
        <v>208</v>
      </c>
      <c r="K134" s="236"/>
      <c r="L134" s="234">
        <v>1116</v>
      </c>
      <c r="M134" s="235">
        <v>1035</v>
      </c>
      <c r="N134" s="235">
        <v>1076</v>
      </c>
      <c r="O134" s="235">
        <v>852</v>
      </c>
      <c r="P134" s="235">
        <v>663</v>
      </c>
      <c r="Q134" s="235">
        <v>845</v>
      </c>
      <c r="R134" s="235">
        <v>645</v>
      </c>
      <c r="S134" s="235">
        <v>599</v>
      </c>
      <c r="T134" s="236"/>
      <c r="U134" s="231"/>
      <c r="V134" s="231"/>
      <c r="W134" s="231"/>
      <c r="X134" s="231"/>
      <c r="Y134" s="231"/>
    </row>
    <row r="135" spans="1:25" ht="12.95" customHeight="1" x14ac:dyDescent="0.25">
      <c r="A135" s="715" t="s">
        <v>623</v>
      </c>
      <c r="B135" s="719" t="s">
        <v>621</v>
      </c>
      <c r="C135" s="233">
        <v>16</v>
      </c>
      <c r="D135" s="235">
        <v>43</v>
      </c>
      <c r="E135" s="235">
        <v>85</v>
      </c>
      <c r="F135" s="235">
        <v>69</v>
      </c>
      <c r="G135" s="235">
        <v>143</v>
      </c>
      <c r="H135" s="235">
        <v>117</v>
      </c>
      <c r="I135" s="235">
        <v>88</v>
      </c>
      <c r="J135" s="235">
        <v>112</v>
      </c>
      <c r="K135" s="236"/>
      <c r="L135" s="234">
        <v>578</v>
      </c>
      <c r="M135" s="235">
        <v>497</v>
      </c>
      <c r="N135" s="235">
        <v>441</v>
      </c>
      <c r="O135" s="235">
        <v>458</v>
      </c>
      <c r="P135" s="235">
        <v>998</v>
      </c>
      <c r="Q135" s="235">
        <v>489</v>
      </c>
      <c r="R135" s="235">
        <v>623</v>
      </c>
      <c r="S135" s="235">
        <v>761</v>
      </c>
      <c r="T135" s="236"/>
      <c r="U135" s="231"/>
      <c r="V135" s="231"/>
      <c r="W135" s="231"/>
      <c r="X135" s="231"/>
      <c r="Y135" s="231"/>
    </row>
    <row r="136" spans="1:25" ht="12.95" customHeight="1" thickBot="1" x14ac:dyDescent="0.3">
      <c r="A136" s="716" t="s">
        <v>729</v>
      </c>
      <c r="B136" s="724" t="s">
        <v>621</v>
      </c>
      <c r="C136" s="723">
        <v>8</v>
      </c>
      <c r="D136" s="238">
        <v>20</v>
      </c>
      <c r="E136" s="238">
        <v>29</v>
      </c>
      <c r="F136" s="238">
        <v>80</v>
      </c>
      <c r="G136" s="238">
        <v>118</v>
      </c>
      <c r="H136" s="238">
        <v>115</v>
      </c>
      <c r="I136" s="238">
        <v>154</v>
      </c>
      <c r="J136" s="238">
        <v>169</v>
      </c>
      <c r="K136" s="239"/>
      <c r="L136" s="237">
        <v>985</v>
      </c>
      <c r="M136" s="238">
        <v>735</v>
      </c>
      <c r="N136" s="238">
        <v>837</v>
      </c>
      <c r="O136" s="238">
        <v>884</v>
      </c>
      <c r="P136" s="238">
        <v>1553</v>
      </c>
      <c r="Q136" s="238">
        <v>1588</v>
      </c>
      <c r="R136" s="238">
        <v>756</v>
      </c>
      <c r="S136" s="238">
        <v>872</v>
      </c>
      <c r="T136" s="239"/>
      <c r="U136" s="231"/>
      <c r="V136" s="231"/>
      <c r="W136" s="231"/>
      <c r="X136" s="231"/>
      <c r="Y136" s="231"/>
    </row>
    <row r="137" spans="1:25" s="308" customFormat="1" ht="12.95" customHeight="1" thickBot="1" x14ac:dyDescent="0.3">
      <c r="A137" s="713" t="s">
        <v>788</v>
      </c>
      <c r="B137" s="732" t="s">
        <v>621</v>
      </c>
      <c r="C137" s="307">
        <v>369</v>
      </c>
      <c r="D137" s="309">
        <v>605</v>
      </c>
      <c r="E137" s="309">
        <v>949</v>
      </c>
      <c r="F137" s="309">
        <v>1336</v>
      </c>
      <c r="G137" s="309">
        <v>1604</v>
      </c>
      <c r="H137" s="309">
        <v>1420</v>
      </c>
      <c r="I137" s="309">
        <v>1789</v>
      </c>
      <c r="J137" s="309">
        <v>1892</v>
      </c>
      <c r="K137" s="310"/>
      <c r="L137" s="311">
        <v>13100</v>
      </c>
      <c r="M137" s="309">
        <v>9578</v>
      </c>
      <c r="N137" s="309">
        <v>10075</v>
      </c>
      <c r="O137" s="309">
        <v>10980</v>
      </c>
      <c r="P137" s="309">
        <v>12303</v>
      </c>
      <c r="Q137" s="309">
        <v>12222</v>
      </c>
      <c r="R137" s="309">
        <v>9929</v>
      </c>
      <c r="S137" s="309">
        <v>9284</v>
      </c>
      <c r="T137" s="310"/>
      <c r="U137" s="226"/>
      <c r="V137" s="226"/>
      <c r="W137" s="226"/>
      <c r="X137" s="226"/>
      <c r="Y137" s="226"/>
    </row>
    <row r="138" spans="1:25" ht="12.95" customHeight="1" x14ac:dyDescent="0.25">
      <c r="A138" s="717" t="s">
        <v>600</v>
      </c>
      <c r="B138" s="727" t="s">
        <v>621</v>
      </c>
      <c r="C138" s="728"/>
      <c r="D138" s="729">
        <v>9</v>
      </c>
      <c r="E138" s="729">
        <v>7</v>
      </c>
      <c r="F138" s="729">
        <v>6</v>
      </c>
      <c r="G138" s="229">
        <v>7</v>
      </c>
      <c r="H138" s="229">
        <v>6</v>
      </c>
      <c r="I138" s="229">
        <v>3</v>
      </c>
      <c r="J138" s="229">
        <v>2</v>
      </c>
      <c r="K138" s="230"/>
      <c r="L138" s="248">
        <v>96</v>
      </c>
      <c r="M138" s="729">
        <v>243</v>
      </c>
      <c r="N138" s="729">
        <v>133</v>
      </c>
      <c r="O138" s="729">
        <v>106</v>
      </c>
      <c r="P138" s="229">
        <v>880</v>
      </c>
      <c r="Q138" s="229">
        <v>2017</v>
      </c>
      <c r="R138" s="229">
        <v>91</v>
      </c>
      <c r="S138" s="229">
        <v>103</v>
      </c>
      <c r="T138" s="230"/>
      <c r="U138" s="231"/>
      <c r="V138" s="231"/>
      <c r="W138" s="231"/>
      <c r="X138" s="231"/>
      <c r="Y138" s="231"/>
    </row>
    <row r="139" spans="1:25" ht="12.95" customHeight="1" x14ac:dyDescent="0.25">
      <c r="A139" s="490" t="s">
        <v>730</v>
      </c>
      <c r="B139" s="719" t="s">
        <v>621</v>
      </c>
      <c r="C139" s="312">
        <v>269</v>
      </c>
      <c r="D139" s="627">
        <v>284</v>
      </c>
      <c r="E139" s="627">
        <v>266</v>
      </c>
      <c r="F139" s="627">
        <v>259</v>
      </c>
      <c r="G139" s="235">
        <v>263</v>
      </c>
      <c r="H139" s="235">
        <v>157</v>
      </c>
      <c r="I139" s="235">
        <v>238</v>
      </c>
      <c r="J139" s="235">
        <v>168</v>
      </c>
      <c r="K139" s="236"/>
      <c r="L139" s="243">
        <v>1765</v>
      </c>
      <c r="M139" s="627">
        <v>1554</v>
      </c>
      <c r="N139" s="627">
        <v>1536</v>
      </c>
      <c r="O139" s="627">
        <v>1695</v>
      </c>
      <c r="P139" s="235">
        <v>1232</v>
      </c>
      <c r="Q139" s="235">
        <v>865</v>
      </c>
      <c r="R139" s="235">
        <v>1254</v>
      </c>
      <c r="S139" s="235">
        <v>1272</v>
      </c>
      <c r="T139" s="236"/>
      <c r="U139" s="231"/>
      <c r="V139" s="231"/>
      <c r="W139" s="231"/>
      <c r="X139" s="231"/>
      <c r="Y139" s="231"/>
    </row>
    <row r="140" spans="1:25" ht="12.95" customHeight="1" x14ac:dyDescent="0.25">
      <c r="A140" s="490" t="s">
        <v>731</v>
      </c>
      <c r="B140" s="719" t="s">
        <v>621</v>
      </c>
      <c r="C140" s="233">
        <v>45</v>
      </c>
      <c r="D140" s="235">
        <v>56</v>
      </c>
      <c r="E140" s="235">
        <v>54</v>
      </c>
      <c r="F140" s="235">
        <v>21</v>
      </c>
      <c r="G140" s="235">
        <v>43</v>
      </c>
      <c r="H140" s="235">
        <v>29</v>
      </c>
      <c r="I140" s="235">
        <v>44</v>
      </c>
      <c r="J140" s="235">
        <v>54</v>
      </c>
      <c r="K140" s="236"/>
      <c r="L140" s="234">
        <v>323</v>
      </c>
      <c r="M140" s="235">
        <v>365</v>
      </c>
      <c r="N140" s="235">
        <v>253</v>
      </c>
      <c r="O140" s="235">
        <v>192</v>
      </c>
      <c r="P140" s="235">
        <v>239</v>
      </c>
      <c r="Q140" s="235">
        <v>186</v>
      </c>
      <c r="R140" s="235">
        <v>245</v>
      </c>
      <c r="S140" s="235">
        <v>215</v>
      </c>
      <c r="T140" s="236"/>
      <c r="U140" s="231"/>
      <c r="V140" s="231"/>
      <c r="W140" s="231"/>
      <c r="X140" s="231"/>
      <c r="Y140" s="231"/>
    </row>
    <row r="141" spans="1:25" ht="12.95" customHeight="1" x14ac:dyDescent="0.25">
      <c r="A141" s="490" t="s">
        <v>732</v>
      </c>
      <c r="B141" s="719" t="s">
        <v>621</v>
      </c>
      <c r="C141" s="233">
        <v>82</v>
      </c>
      <c r="D141" s="235">
        <v>67</v>
      </c>
      <c r="E141" s="235">
        <v>49</v>
      </c>
      <c r="F141" s="235">
        <v>78</v>
      </c>
      <c r="G141" s="235">
        <v>89</v>
      </c>
      <c r="H141" s="235">
        <v>83</v>
      </c>
      <c r="I141" s="235">
        <v>45</v>
      </c>
      <c r="J141" s="235">
        <v>33</v>
      </c>
      <c r="K141" s="236"/>
      <c r="L141" s="234">
        <v>667</v>
      </c>
      <c r="M141" s="235">
        <v>789</v>
      </c>
      <c r="N141" s="235">
        <v>783</v>
      </c>
      <c r="O141" s="235">
        <v>497</v>
      </c>
      <c r="P141" s="235">
        <v>779</v>
      </c>
      <c r="Q141" s="235">
        <v>486</v>
      </c>
      <c r="R141" s="235">
        <v>603</v>
      </c>
      <c r="S141" s="235">
        <v>370</v>
      </c>
      <c r="T141" s="236"/>
      <c r="U141" s="231"/>
      <c r="V141" s="231"/>
      <c r="W141" s="231"/>
      <c r="X141" s="231"/>
      <c r="Y141" s="231"/>
    </row>
    <row r="142" spans="1:25" ht="12.95" customHeight="1" x14ac:dyDescent="0.25">
      <c r="A142" s="490" t="s">
        <v>624</v>
      </c>
      <c r="B142" s="718"/>
      <c r="C142" s="233">
        <v>102</v>
      </c>
      <c r="D142" s="235">
        <v>86</v>
      </c>
      <c r="E142" s="235">
        <v>67</v>
      </c>
      <c r="F142" s="235">
        <v>88</v>
      </c>
      <c r="G142" s="235">
        <v>105</v>
      </c>
      <c r="H142" s="235">
        <v>43</v>
      </c>
      <c r="I142" s="235">
        <v>51</v>
      </c>
      <c r="J142" s="235">
        <v>49</v>
      </c>
      <c r="K142" s="236"/>
      <c r="L142" s="234">
        <v>1275</v>
      </c>
      <c r="M142" s="235">
        <v>599</v>
      </c>
      <c r="N142" s="235">
        <v>345</v>
      </c>
      <c r="O142" s="235">
        <v>599</v>
      </c>
      <c r="P142" s="235">
        <v>536</v>
      </c>
      <c r="Q142" s="235">
        <v>500</v>
      </c>
      <c r="R142" s="235">
        <v>583</v>
      </c>
      <c r="S142" s="235">
        <v>430</v>
      </c>
      <c r="T142" s="236"/>
      <c r="U142" s="231"/>
      <c r="V142" s="231"/>
      <c r="W142" s="231"/>
      <c r="X142" s="231"/>
      <c r="Y142" s="231"/>
    </row>
    <row r="143" spans="1:25" ht="12.95" customHeight="1" x14ac:dyDescent="0.25">
      <c r="A143" s="490" t="s">
        <v>733</v>
      </c>
      <c r="B143" s="718"/>
      <c r="C143" s="233">
        <v>137</v>
      </c>
      <c r="D143" s="235">
        <v>106</v>
      </c>
      <c r="E143" s="235">
        <v>80</v>
      </c>
      <c r="F143" s="235">
        <v>106</v>
      </c>
      <c r="G143" s="235">
        <v>85</v>
      </c>
      <c r="H143" s="235">
        <v>80</v>
      </c>
      <c r="I143" s="235">
        <v>53</v>
      </c>
      <c r="J143" s="235">
        <v>20</v>
      </c>
      <c r="K143" s="236"/>
      <c r="L143" s="234">
        <v>629</v>
      </c>
      <c r="M143" s="235">
        <v>485</v>
      </c>
      <c r="N143" s="235">
        <v>453</v>
      </c>
      <c r="O143" s="235">
        <v>341</v>
      </c>
      <c r="P143" s="235">
        <v>408</v>
      </c>
      <c r="Q143" s="235">
        <v>400</v>
      </c>
      <c r="R143" s="235">
        <v>363</v>
      </c>
      <c r="S143" s="235">
        <v>322</v>
      </c>
      <c r="T143" s="236"/>
      <c r="U143" s="231"/>
      <c r="V143" s="231"/>
      <c r="W143" s="231"/>
      <c r="X143" s="231"/>
      <c r="Y143" s="231"/>
    </row>
    <row r="144" spans="1:25" ht="12.95" customHeight="1" x14ac:dyDescent="0.25">
      <c r="A144" s="490" t="s">
        <v>734</v>
      </c>
      <c r="B144" s="718" t="s">
        <v>621</v>
      </c>
      <c r="C144" s="233">
        <v>148</v>
      </c>
      <c r="D144" s="235">
        <v>138</v>
      </c>
      <c r="E144" s="235">
        <v>109</v>
      </c>
      <c r="F144" s="235">
        <v>132</v>
      </c>
      <c r="G144" s="235">
        <v>130</v>
      </c>
      <c r="H144" s="235">
        <v>117</v>
      </c>
      <c r="I144" s="235">
        <v>113</v>
      </c>
      <c r="J144" s="235">
        <v>65</v>
      </c>
      <c r="K144" s="236"/>
      <c r="L144" s="234">
        <v>757</v>
      </c>
      <c r="M144" s="235">
        <v>603</v>
      </c>
      <c r="N144" s="235">
        <v>576</v>
      </c>
      <c r="O144" s="235">
        <v>811</v>
      </c>
      <c r="P144" s="235">
        <v>1273</v>
      </c>
      <c r="Q144" s="235">
        <v>829</v>
      </c>
      <c r="R144" s="235">
        <v>1384</v>
      </c>
      <c r="S144" s="235">
        <v>720</v>
      </c>
      <c r="T144" s="236"/>
      <c r="U144" s="231"/>
      <c r="V144" s="231"/>
      <c r="W144" s="231"/>
      <c r="X144" s="231"/>
      <c r="Y144" s="231"/>
    </row>
    <row r="145" spans="1:25" ht="12.95" customHeight="1" thickBot="1" x14ac:dyDescent="0.3">
      <c r="A145" s="494" t="s">
        <v>735</v>
      </c>
      <c r="B145" s="722" t="s">
        <v>621</v>
      </c>
      <c r="C145" s="723">
        <v>8</v>
      </c>
      <c r="D145" s="238">
        <v>5</v>
      </c>
      <c r="E145" s="238">
        <v>2</v>
      </c>
      <c r="F145" s="238">
        <v>7</v>
      </c>
      <c r="G145" s="238">
        <v>8</v>
      </c>
      <c r="H145" s="238">
        <v>8</v>
      </c>
      <c r="I145" s="238">
        <v>1</v>
      </c>
      <c r="J145" s="238"/>
      <c r="K145" s="239"/>
      <c r="L145" s="237">
        <v>22</v>
      </c>
      <c r="M145" s="238">
        <v>11</v>
      </c>
      <c r="N145" s="238">
        <v>12</v>
      </c>
      <c r="O145" s="238">
        <v>11</v>
      </c>
      <c r="P145" s="238">
        <v>27</v>
      </c>
      <c r="Q145" s="238">
        <v>18</v>
      </c>
      <c r="R145" s="238">
        <v>17</v>
      </c>
      <c r="S145" s="238">
        <v>14</v>
      </c>
      <c r="T145" s="239"/>
      <c r="U145" s="231"/>
      <c r="V145" s="231"/>
      <c r="W145" s="231"/>
      <c r="X145" s="231"/>
      <c r="Y145" s="231"/>
    </row>
    <row r="146" spans="1:25" s="308" customFormat="1" ht="12.95" customHeight="1" thickBot="1" x14ac:dyDescent="0.3">
      <c r="A146" s="713" t="s">
        <v>789</v>
      </c>
      <c r="B146" s="733" t="s">
        <v>621</v>
      </c>
      <c r="C146" s="307">
        <v>791</v>
      </c>
      <c r="D146" s="309">
        <v>751</v>
      </c>
      <c r="E146" s="309">
        <v>634</v>
      </c>
      <c r="F146" s="309">
        <v>697</v>
      </c>
      <c r="G146" s="309">
        <v>730</v>
      </c>
      <c r="H146" s="309">
        <v>523</v>
      </c>
      <c r="I146" s="309">
        <v>548</v>
      </c>
      <c r="J146" s="309">
        <v>391</v>
      </c>
      <c r="K146" s="310"/>
      <c r="L146" s="311">
        <v>5534</v>
      </c>
      <c r="M146" s="309">
        <v>4649</v>
      </c>
      <c r="N146" s="309">
        <v>4091</v>
      </c>
      <c r="O146" s="309">
        <v>4252</v>
      </c>
      <c r="P146" s="309">
        <v>5374</v>
      </c>
      <c r="Q146" s="309">
        <v>5301</v>
      </c>
      <c r="R146" s="309">
        <v>4540</v>
      </c>
      <c r="S146" s="309">
        <v>3446</v>
      </c>
      <c r="T146" s="310"/>
      <c r="U146" s="226"/>
      <c r="V146" s="226"/>
      <c r="W146" s="226"/>
      <c r="X146" s="226"/>
      <c r="Y146" s="226"/>
    </row>
    <row r="147" spans="1:25" ht="12.95" customHeight="1" x14ac:dyDescent="0.25">
      <c r="A147" s="714" t="s">
        <v>602</v>
      </c>
      <c r="B147" s="721" t="s">
        <v>621</v>
      </c>
      <c r="C147" s="227">
        <v>1</v>
      </c>
      <c r="D147" s="229">
        <v>3</v>
      </c>
      <c r="E147" s="229">
        <v>1</v>
      </c>
      <c r="F147" s="229">
        <v>3</v>
      </c>
      <c r="G147" s="229">
        <v>7</v>
      </c>
      <c r="H147" s="229">
        <v>15</v>
      </c>
      <c r="I147" s="229">
        <v>1</v>
      </c>
      <c r="J147" s="229">
        <v>5</v>
      </c>
      <c r="K147" s="230"/>
      <c r="L147" s="228">
        <v>546</v>
      </c>
      <c r="M147" s="229">
        <v>348</v>
      </c>
      <c r="N147" s="229">
        <v>1304</v>
      </c>
      <c r="O147" s="229">
        <v>241</v>
      </c>
      <c r="P147" s="229">
        <v>1013</v>
      </c>
      <c r="Q147" s="229">
        <v>3548</v>
      </c>
      <c r="R147" s="229">
        <v>411</v>
      </c>
      <c r="S147" s="229">
        <v>546</v>
      </c>
      <c r="T147" s="230"/>
      <c r="U147" s="231"/>
      <c r="V147" s="231"/>
      <c r="W147" s="231"/>
      <c r="X147" s="231"/>
      <c r="Y147" s="231"/>
    </row>
    <row r="148" spans="1:25" ht="12.95" customHeight="1" x14ac:dyDescent="0.25">
      <c r="A148" s="715" t="s">
        <v>775</v>
      </c>
      <c r="B148" s="718" t="s">
        <v>621</v>
      </c>
      <c r="C148" s="233">
        <v>241</v>
      </c>
      <c r="D148" s="235">
        <v>234</v>
      </c>
      <c r="E148" s="235">
        <v>234</v>
      </c>
      <c r="F148" s="235">
        <v>360</v>
      </c>
      <c r="G148" s="235">
        <v>425</v>
      </c>
      <c r="H148" s="235">
        <v>330</v>
      </c>
      <c r="I148" s="235">
        <v>401</v>
      </c>
      <c r="J148" s="235">
        <v>578</v>
      </c>
      <c r="K148" s="236"/>
      <c r="L148" s="234">
        <v>3765</v>
      </c>
      <c r="M148" s="235">
        <v>2827</v>
      </c>
      <c r="N148" s="235">
        <v>2588</v>
      </c>
      <c r="O148" s="235">
        <v>3883</v>
      </c>
      <c r="P148" s="235">
        <v>2503</v>
      </c>
      <c r="Q148" s="235">
        <v>2600</v>
      </c>
      <c r="R148" s="235">
        <v>2324</v>
      </c>
      <c r="S148" s="235">
        <v>2529</v>
      </c>
      <c r="T148" s="236"/>
      <c r="U148" s="231"/>
      <c r="V148" s="231"/>
      <c r="W148" s="231"/>
      <c r="X148" s="231"/>
      <c r="Y148" s="231"/>
    </row>
    <row r="149" spans="1:25" ht="12.95" customHeight="1" x14ac:dyDescent="0.25">
      <c r="A149" s="715" t="s">
        <v>736</v>
      </c>
      <c r="B149" s="718" t="s">
        <v>621</v>
      </c>
      <c r="C149" s="233">
        <v>24</v>
      </c>
      <c r="D149" s="235">
        <v>24</v>
      </c>
      <c r="E149" s="235">
        <v>26</v>
      </c>
      <c r="F149" s="235">
        <v>49</v>
      </c>
      <c r="G149" s="235">
        <v>33</v>
      </c>
      <c r="H149" s="235">
        <v>31</v>
      </c>
      <c r="I149" s="235">
        <v>33</v>
      </c>
      <c r="J149" s="235">
        <v>25</v>
      </c>
      <c r="K149" s="236"/>
      <c r="L149" s="234">
        <v>607</v>
      </c>
      <c r="M149" s="235">
        <v>516</v>
      </c>
      <c r="N149" s="235">
        <v>426</v>
      </c>
      <c r="O149" s="235">
        <v>608</v>
      </c>
      <c r="P149" s="235">
        <v>400</v>
      </c>
      <c r="Q149" s="235">
        <v>472</v>
      </c>
      <c r="R149" s="235">
        <v>435</v>
      </c>
      <c r="S149" s="235">
        <v>315</v>
      </c>
      <c r="T149" s="236"/>
      <c r="U149" s="231"/>
      <c r="V149" s="231"/>
      <c r="W149" s="231"/>
      <c r="X149" s="231"/>
      <c r="Y149" s="231"/>
    </row>
    <row r="150" spans="1:25" ht="12.95" customHeight="1" x14ac:dyDescent="0.25">
      <c r="A150" s="715" t="s">
        <v>737</v>
      </c>
      <c r="B150" s="718"/>
      <c r="C150" s="233">
        <v>30</v>
      </c>
      <c r="D150" s="235">
        <v>33</v>
      </c>
      <c r="E150" s="235">
        <v>44</v>
      </c>
      <c r="F150" s="235">
        <v>61</v>
      </c>
      <c r="G150" s="235">
        <v>94</v>
      </c>
      <c r="H150" s="235">
        <v>66</v>
      </c>
      <c r="I150" s="235">
        <v>67</v>
      </c>
      <c r="J150" s="235">
        <v>67</v>
      </c>
      <c r="K150" s="236"/>
      <c r="L150" s="234">
        <v>587</v>
      </c>
      <c r="M150" s="235">
        <v>819</v>
      </c>
      <c r="N150" s="235">
        <v>578</v>
      </c>
      <c r="O150" s="235">
        <v>757</v>
      </c>
      <c r="P150" s="235">
        <v>685</v>
      </c>
      <c r="Q150" s="235">
        <v>594</v>
      </c>
      <c r="R150" s="235">
        <v>402</v>
      </c>
      <c r="S150" s="235">
        <v>399</v>
      </c>
      <c r="T150" s="236"/>
      <c r="U150" s="231"/>
      <c r="V150" s="231"/>
      <c r="W150" s="231"/>
      <c r="X150" s="231"/>
      <c r="Y150" s="231"/>
    </row>
    <row r="151" spans="1:25" ht="12.95" customHeight="1" x14ac:dyDescent="0.25">
      <c r="A151" s="715" t="s">
        <v>738</v>
      </c>
      <c r="B151" s="718"/>
      <c r="C151" s="233">
        <v>60</v>
      </c>
      <c r="D151" s="235">
        <v>17</v>
      </c>
      <c r="E151" s="235">
        <v>42</v>
      </c>
      <c r="F151" s="235">
        <v>48</v>
      </c>
      <c r="G151" s="235">
        <v>52</v>
      </c>
      <c r="H151" s="235">
        <v>34</v>
      </c>
      <c r="I151" s="235">
        <v>51</v>
      </c>
      <c r="J151" s="235">
        <v>28</v>
      </c>
      <c r="K151" s="236"/>
      <c r="L151" s="234">
        <v>1329</v>
      </c>
      <c r="M151" s="235">
        <v>1119</v>
      </c>
      <c r="N151" s="235">
        <v>967</v>
      </c>
      <c r="O151" s="235">
        <v>958</v>
      </c>
      <c r="P151" s="235">
        <v>905</v>
      </c>
      <c r="Q151" s="235">
        <v>1170</v>
      </c>
      <c r="R151" s="235">
        <v>885</v>
      </c>
      <c r="S151" s="235">
        <v>607</v>
      </c>
      <c r="T151" s="236"/>
      <c r="U151" s="231"/>
      <c r="V151" s="231"/>
      <c r="W151" s="231"/>
      <c r="X151" s="231"/>
      <c r="Y151" s="231"/>
    </row>
    <row r="152" spans="1:25" ht="12.95" customHeight="1" x14ac:dyDescent="0.25">
      <c r="A152" s="715" t="s">
        <v>625</v>
      </c>
      <c r="B152" s="719"/>
      <c r="C152" s="233">
        <v>45</v>
      </c>
      <c r="D152" s="235">
        <v>15</v>
      </c>
      <c r="E152" s="235">
        <v>86</v>
      </c>
      <c r="F152" s="235">
        <v>104</v>
      </c>
      <c r="G152" s="235">
        <v>79</v>
      </c>
      <c r="H152" s="235">
        <v>64</v>
      </c>
      <c r="I152" s="235">
        <v>94</v>
      </c>
      <c r="J152" s="235">
        <v>57</v>
      </c>
      <c r="K152" s="236"/>
      <c r="L152" s="234">
        <v>434</v>
      </c>
      <c r="M152" s="235">
        <v>522</v>
      </c>
      <c r="N152" s="235">
        <v>444</v>
      </c>
      <c r="O152" s="235">
        <v>421</v>
      </c>
      <c r="P152" s="235">
        <v>655</v>
      </c>
      <c r="Q152" s="235">
        <v>347</v>
      </c>
      <c r="R152" s="235">
        <v>404</v>
      </c>
      <c r="S152" s="235">
        <v>254</v>
      </c>
      <c r="T152" s="236"/>
      <c r="U152" s="231"/>
      <c r="V152" s="231"/>
      <c r="W152" s="231"/>
      <c r="X152" s="231"/>
      <c r="Y152" s="231"/>
    </row>
    <row r="153" spans="1:25" ht="12.95" customHeight="1" x14ac:dyDescent="0.25">
      <c r="A153" s="715" t="s">
        <v>739</v>
      </c>
      <c r="B153" s="719" t="s">
        <v>621</v>
      </c>
      <c r="C153" s="233">
        <v>48</v>
      </c>
      <c r="D153" s="235">
        <v>44</v>
      </c>
      <c r="E153" s="235">
        <v>40</v>
      </c>
      <c r="F153" s="235">
        <v>103</v>
      </c>
      <c r="G153" s="235">
        <v>67</v>
      </c>
      <c r="H153" s="235">
        <v>63</v>
      </c>
      <c r="I153" s="235">
        <v>42</v>
      </c>
      <c r="J153" s="235">
        <v>53</v>
      </c>
      <c r="K153" s="236"/>
      <c r="L153" s="234">
        <v>1158</v>
      </c>
      <c r="M153" s="235">
        <v>813</v>
      </c>
      <c r="N153" s="235">
        <v>3530</v>
      </c>
      <c r="O153" s="235">
        <v>642</v>
      </c>
      <c r="P153" s="235">
        <v>712</v>
      </c>
      <c r="Q153" s="235">
        <v>581</v>
      </c>
      <c r="R153" s="235">
        <v>470</v>
      </c>
      <c r="S153" s="235">
        <v>432</v>
      </c>
      <c r="T153" s="236"/>
      <c r="U153" s="231"/>
      <c r="V153" s="231"/>
      <c r="W153" s="231"/>
      <c r="X153" s="231"/>
      <c r="Y153" s="231"/>
    </row>
    <row r="154" spans="1:25" ht="12.95" customHeight="1" x14ac:dyDescent="0.25">
      <c r="A154" s="715" t="s">
        <v>740</v>
      </c>
      <c r="B154" s="719" t="s">
        <v>621</v>
      </c>
      <c r="C154" s="233">
        <v>16</v>
      </c>
      <c r="D154" s="235">
        <v>24</v>
      </c>
      <c r="E154" s="235">
        <v>23</v>
      </c>
      <c r="F154" s="235">
        <v>46</v>
      </c>
      <c r="G154" s="235">
        <v>53</v>
      </c>
      <c r="H154" s="235">
        <v>48</v>
      </c>
      <c r="I154" s="235">
        <v>55</v>
      </c>
      <c r="J154" s="235">
        <v>39</v>
      </c>
      <c r="K154" s="236"/>
      <c r="L154" s="234">
        <v>623</v>
      </c>
      <c r="M154" s="235">
        <v>520</v>
      </c>
      <c r="N154" s="235">
        <v>376</v>
      </c>
      <c r="O154" s="235">
        <v>737</v>
      </c>
      <c r="P154" s="235">
        <v>354</v>
      </c>
      <c r="Q154" s="235">
        <v>1065</v>
      </c>
      <c r="R154" s="235">
        <v>517</v>
      </c>
      <c r="S154" s="235">
        <v>379</v>
      </c>
      <c r="T154" s="236"/>
      <c r="U154" s="231"/>
      <c r="V154" s="231"/>
      <c r="W154" s="231"/>
      <c r="X154" s="231"/>
      <c r="Y154" s="231"/>
    </row>
    <row r="155" spans="1:25" ht="12.95" customHeight="1" thickBot="1" x14ac:dyDescent="0.3">
      <c r="A155" s="716" t="s">
        <v>741</v>
      </c>
      <c r="B155" s="724" t="s">
        <v>621</v>
      </c>
      <c r="C155" s="723">
        <v>16</v>
      </c>
      <c r="D155" s="238">
        <v>43</v>
      </c>
      <c r="E155" s="238">
        <v>16</v>
      </c>
      <c r="F155" s="238">
        <v>30</v>
      </c>
      <c r="G155" s="238">
        <v>32</v>
      </c>
      <c r="H155" s="238">
        <v>34</v>
      </c>
      <c r="I155" s="238">
        <v>22</v>
      </c>
      <c r="J155" s="238">
        <v>33</v>
      </c>
      <c r="K155" s="239"/>
      <c r="L155" s="237">
        <v>362</v>
      </c>
      <c r="M155" s="238">
        <v>315</v>
      </c>
      <c r="N155" s="238">
        <v>238</v>
      </c>
      <c r="O155" s="238">
        <v>256</v>
      </c>
      <c r="P155" s="238">
        <v>379</v>
      </c>
      <c r="Q155" s="238">
        <v>380</v>
      </c>
      <c r="R155" s="238">
        <v>215</v>
      </c>
      <c r="S155" s="238">
        <v>251</v>
      </c>
      <c r="T155" s="239"/>
      <c r="U155" s="231"/>
      <c r="V155" s="231"/>
      <c r="W155" s="231"/>
      <c r="X155" s="231"/>
      <c r="Y155" s="231"/>
    </row>
    <row r="156" spans="1:25" s="308" customFormat="1" ht="12.95" customHeight="1" thickBot="1" x14ac:dyDescent="0.3">
      <c r="A156" s="713" t="s">
        <v>790</v>
      </c>
      <c r="B156" s="732" t="s">
        <v>621</v>
      </c>
      <c r="C156" s="307">
        <v>481</v>
      </c>
      <c r="D156" s="309">
        <v>437</v>
      </c>
      <c r="E156" s="309">
        <v>512</v>
      </c>
      <c r="F156" s="309">
        <v>804</v>
      </c>
      <c r="G156" s="309">
        <v>842</v>
      </c>
      <c r="H156" s="309">
        <v>685</v>
      </c>
      <c r="I156" s="309">
        <v>766</v>
      </c>
      <c r="J156" s="309">
        <v>885</v>
      </c>
      <c r="K156" s="310"/>
      <c r="L156" s="311">
        <v>9411</v>
      </c>
      <c r="M156" s="309">
        <v>7799</v>
      </c>
      <c r="N156" s="309">
        <v>10451</v>
      </c>
      <c r="O156" s="309">
        <v>8503</v>
      </c>
      <c r="P156" s="309">
        <v>7606</v>
      </c>
      <c r="Q156" s="309">
        <v>10757</v>
      </c>
      <c r="R156" s="309">
        <v>6063</v>
      </c>
      <c r="S156" s="309">
        <v>5712</v>
      </c>
      <c r="T156" s="310"/>
      <c r="U156" s="226"/>
      <c r="V156" s="226"/>
      <c r="W156" s="226"/>
      <c r="X156" s="226"/>
      <c r="Y156" s="226"/>
    </row>
    <row r="157" spans="1:25" ht="12.95" customHeight="1" x14ac:dyDescent="0.25">
      <c r="A157" s="717" t="s">
        <v>604</v>
      </c>
      <c r="B157" s="721"/>
      <c r="C157" s="227">
        <v>3</v>
      </c>
      <c r="D157" s="229">
        <v>3</v>
      </c>
      <c r="E157" s="229">
        <v>4</v>
      </c>
      <c r="F157" s="229">
        <v>2</v>
      </c>
      <c r="G157" s="229">
        <v>1</v>
      </c>
      <c r="H157" s="229"/>
      <c r="I157" s="229"/>
      <c r="J157" s="229">
        <v>2</v>
      </c>
      <c r="K157" s="230"/>
      <c r="L157" s="228">
        <v>180</v>
      </c>
      <c r="M157" s="229">
        <v>402</v>
      </c>
      <c r="N157" s="229">
        <v>187</v>
      </c>
      <c r="O157" s="229">
        <v>494</v>
      </c>
      <c r="P157" s="229">
        <v>1746</v>
      </c>
      <c r="Q157" s="229">
        <v>313</v>
      </c>
      <c r="R157" s="229">
        <v>104</v>
      </c>
      <c r="S157" s="229">
        <v>971</v>
      </c>
      <c r="T157" s="230"/>
      <c r="U157" s="231"/>
      <c r="V157" s="231"/>
      <c r="W157" s="231"/>
      <c r="X157" s="231"/>
      <c r="Y157" s="231"/>
    </row>
    <row r="158" spans="1:25" ht="12.95" customHeight="1" x14ac:dyDescent="0.25">
      <c r="A158" s="490" t="s">
        <v>742</v>
      </c>
      <c r="B158" s="719"/>
      <c r="C158" s="233">
        <v>143</v>
      </c>
      <c r="D158" s="235">
        <v>137</v>
      </c>
      <c r="E158" s="235">
        <v>117</v>
      </c>
      <c r="F158" s="235">
        <v>123</v>
      </c>
      <c r="G158" s="235">
        <v>132</v>
      </c>
      <c r="H158" s="235">
        <v>66</v>
      </c>
      <c r="I158" s="235">
        <v>144</v>
      </c>
      <c r="J158" s="235">
        <v>200</v>
      </c>
      <c r="K158" s="236"/>
      <c r="L158" s="234">
        <v>1984</v>
      </c>
      <c r="M158" s="235">
        <v>2150</v>
      </c>
      <c r="N158" s="235">
        <v>1184</v>
      </c>
      <c r="O158" s="235">
        <v>3216</v>
      </c>
      <c r="P158" s="235">
        <v>2701</v>
      </c>
      <c r="Q158" s="235">
        <v>2462</v>
      </c>
      <c r="R158" s="235">
        <v>977</v>
      </c>
      <c r="S158" s="235">
        <v>2067</v>
      </c>
      <c r="T158" s="236"/>
      <c r="U158" s="231"/>
      <c r="V158" s="231"/>
      <c r="W158" s="231"/>
      <c r="X158" s="231"/>
      <c r="Y158" s="231"/>
    </row>
    <row r="159" spans="1:25" ht="12.95" customHeight="1" x14ac:dyDescent="0.25">
      <c r="A159" s="490" t="s">
        <v>743</v>
      </c>
      <c r="B159" s="719" t="s">
        <v>621</v>
      </c>
      <c r="C159" s="233">
        <v>59</v>
      </c>
      <c r="D159" s="235">
        <v>97</v>
      </c>
      <c r="E159" s="235">
        <v>91</v>
      </c>
      <c r="F159" s="235">
        <v>109</v>
      </c>
      <c r="G159" s="235">
        <v>190</v>
      </c>
      <c r="H159" s="235">
        <v>128</v>
      </c>
      <c r="I159" s="235">
        <v>198</v>
      </c>
      <c r="J159" s="235">
        <v>152</v>
      </c>
      <c r="K159" s="236"/>
      <c r="L159" s="234">
        <v>1204</v>
      </c>
      <c r="M159" s="235">
        <v>859</v>
      </c>
      <c r="N159" s="235">
        <v>942</v>
      </c>
      <c r="O159" s="235">
        <v>921</v>
      </c>
      <c r="P159" s="235">
        <v>1148</v>
      </c>
      <c r="Q159" s="235">
        <v>1504</v>
      </c>
      <c r="R159" s="235">
        <v>1060</v>
      </c>
      <c r="S159" s="235">
        <v>798</v>
      </c>
      <c r="T159" s="236"/>
      <c r="U159" s="231"/>
      <c r="V159" s="231"/>
      <c r="W159" s="231"/>
      <c r="X159" s="231"/>
      <c r="Y159" s="231"/>
    </row>
    <row r="160" spans="1:25" ht="12.95" customHeight="1" x14ac:dyDescent="0.25">
      <c r="A160" s="490" t="s">
        <v>744</v>
      </c>
      <c r="B160" s="719" t="s">
        <v>621</v>
      </c>
      <c r="C160" s="233">
        <v>102</v>
      </c>
      <c r="D160" s="235">
        <v>103</v>
      </c>
      <c r="E160" s="235">
        <v>59</v>
      </c>
      <c r="F160" s="235">
        <v>61</v>
      </c>
      <c r="G160" s="235">
        <v>136</v>
      </c>
      <c r="H160" s="235">
        <v>81</v>
      </c>
      <c r="I160" s="235">
        <v>221</v>
      </c>
      <c r="J160" s="235">
        <v>180</v>
      </c>
      <c r="K160" s="236"/>
      <c r="L160" s="234">
        <v>823</v>
      </c>
      <c r="M160" s="235">
        <v>621</v>
      </c>
      <c r="N160" s="235">
        <v>571</v>
      </c>
      <c r="O160" s="235">
        <v>764</v>
      </c>
      <c r="P160" s="235">
        <v>668</v>
      </c>
      <c r="Q160" s="235">
        <v>728</v>
      </c>
      <c r="R160" s="235">
        <v>1096</v>
      </c>
      <c r="S160" s="235">
        <v>613</v>
      </c>
      <c r="T160" s="236"/>
      <c r="U160" s="231"/>
      <c r="V160" s="231"/>
      <c r="W160" s="231"/>
      <c r="X160" s="231"/>
      <c r="Y160" s="231"/>
    </row>
    <row r="161" spans="1:25" ht="12.95" customHeight="1" x14ac:dyDescent="0.25">
      <c r="A161" s="490" t="s">
        <v>745</v>
      </c>
      <c r="B161" s="719" t="s">
        <v>621</v>
      </c>
      <c r="C161" s="233">
        <v>40</v>
      </c>
      <c r="D161" s="235">
        <v>57</v>
      </c>
      <c r="E161" s="235">
        <v>52</v>
      </c>
      <c r="F161" s="235">
        <v>61</v>
      </c>
      <c r="G161" s="235">
        <v>93</v>
      </c>
      <c r="H161" s="235">
        <v>48</v>
      </c>
      <c r="I161" s="235">
        <v>75</v>
      </c>
      <c r="J161" s="235">
        <v>79</v>
      </c>
      <c r="K161" s="236"/>
      <c r="L161" s="234">
        <v>488</v>
      </c>
      <c r="M161" s="235">
        <v>329</v>
      </c>
      <c r="N161" s="235">
        <v>348</v>
      </c>
      <c r="O161" s="235">
        <v>410</v>
      </c>
      <c r="P161" s="235">
        <v>621</v>
      </c>
      <c r="Q161" s="235">
        <v>578</v>
      </c>
      <c r="R161" s="235">
        <v>763</v>
      </c>
      <c r="S161" s="235">
        <v>319</v>
      </c>
      <c r="T161" s="236"/>
      <c r="U161" s="231"/>
      <c r="V161" s="231"/>
      <c r="W161" s="231"/>
      <c r="X161" s="231"/>
      <c r="Y161" s="231"/>
    </row>
    <row r="162" spans="1:25" ht="12.95" customHeight="1" x14ac:dyDescent="0.25">
      <c r="A162" s="490" t="s">
        <v>746</v>
      </c>
      <c r="B162" s="719" t="s">
        <v>621</v>
      </c>
      <c r="C162" s="233">
        <v>39</v>
      </c>
      <c r="D162" s="235">
        <v>20</v>
      </c>
      <c r="E162" s="235">
        <v>42</v>
      </c>
      <c r="F162" s="235">
        <v>52</v>
      </c>
      <c r="G162" s="235">
        <v>62</v>
      </c>
      <c r="H162" s="235">
        <v>37</v>
      </c>
      <c r="I162" s="235">
        <v>64</v>
      </c>
      <c r="J162" s="235">
        <v>49</v>
      </c>
      <c r="K162" s="236"/>
      <c r="L162" s="234">
        <v>487</v>
      </c>
      <c r="M162" s="235">
        <v>304</v>
      </c>
      <c r="N162" s="235">
        <v>271</v>
      </c>
      <c r="O162" s="235">
        <v>298</v>
      </c>
      <c r="P162" s="235">
        <v>397</v>
      </c>
      <c r="Q162" s="235">
        <v>310</v>
      </c>
      <c r="R162" s="235">
        <v>339</v>
      </c>
      <c r="S162" s="235">
        <v>187</v>
      </c>
      <c r="T162" s="236"/>
      <c r="U162" s="231"/>
      <c r="V162" s="231"/>
      <c r="W162" s="231"/>
      <c r="X162" s="231"/>
      <c r="Y162" s="231"/>
    </row>
    <row r="163" spans="1:25" ht="12.95" customHeight="1" x14ac:dyDescent="0.25">
      <c r="A163" s="490" t="s">
        <v>747</v>
      </c>
      <c r="B163" s="719" t="s">
        <v>621</v>
      </c>
      <c r="C163" s="233">
        <v>105</v>
      </c>
      <c r="D163" s="235">
        <v>147</v>
      </c>
      <c r="E163" s="235">
        <v>115</v>
      </c>
      <c r="F163" s="235">
        <v>97</v>
      </c>
      <c r="G163" s="235">
        <v>111</v>
      </c>
      <c r="H163" s="235">
        <v>72</v>
      </c>
      <c r="I163" s="235">
        <v>52</v>
      </c>
      <c r="J163" s="235">
        <v>45</v>
      </c>
      <c r="K163" s="236"/>
      <c r="L163" s="234">
        <v>401</v>
      </c>
      <c r="M163" s="235">
        <v>418</v>
      </c>
      <c r="N163" s="235">
        <v>427</v>
      </c>
      <c r="O163" s="235">
        <v>313</v>
      </c>
      <c r="P163" s="235">
        <v>386</v>
      </c>
      <c r="Q163" s="235">
        <v>360</v>
      </c>
      <c r="R163" s="235">
        <v>202</v>
      </c>
      <c r="S163" s="235">
        <v>142</v>
      </c>
      <c r="T163" s="236"/>
      <c r="U163" s="231"/>
      <c r="V163" s="231"/>
      <c r="W163" s="231"/>
      <c r="X163" s="231"/>
      <c r="Y163" s="231"/>
    </row>
    <row r="164" spans="1:25" ht="12.95" customHeight="1" x14ac:dyDescent="0.25">
      <c r="A164" s="490" t="s">
        <v>748</v>
      </c>
      <c r="B164" s="718"/>
      <c r="C164" s="233">
        <v>40</v>
      </c>
      <c r="D164" s="235">
        <v>57</v>
      </c>
      <c r="E164" s="235">
        <v>71</v>
      </c>
      <c r="F164" s="235">
        <v>72</v>
      </c>
      <c r="G164" s="235">
        <v>92</v>
      </c>
      <c r="H164" s="235">
        <v>55</v>
      </c>
      <c r="I164" s="235">
        <v>106</v>
      </c>
      <c r="J164" s="235">
        <v>92</v>
      </c>
      <c r="K164" s="236"/>
      <c r="L164" s="234">
        <v>545</v>
      </c>
      <c r="M164" s="235">
        <v>490</v>
      </c>
      <c r="N164" s="235">
        <v>684</v>
      </c>
      <c r="O164" s="235">
        <v>521</v>
      </c>
      <c r="P164" s="235">
        <v>610</v>
      </c>
      <c r="Q164" s="235">
        <v>770</v>
      </c>
      <c r="R164" s="235">
        <v>598</v>
      </c>
      <c r="S164" s="235">
        <v>406</v>
      </c>
      <c r="T164" s="236"/>
      <c r="U164" s="231"/>
      <c r="V164" s="231"/>
      <c r="W164" s="231"/>
      <c r="X164" s="231"/>
      <c r="Y164" s="231"/>
    </row>
    <row r="165" spans="1:25" ht="12.95" customHeight="1" thickBot="1" x14ac:dyDescent="0.3">
      <c r="A165" s="494" t="s">
        <v>749</v>
      </c>
      <c r="B165" s="724"/>
      <c r="C165" s="723">
        <v>17</v>
      </c>
      <c r="D165" s="238">
        <v>15</v>
      </c>
      <c r="E165" s="238">
        <v>16</v>
      </c>
      <c r="F165" s="238">
        <v>28</v>
      </c>
      <c r="G165" s="238">
        <v>30</v>
      </c>
      <c r="H165" s="238">
        <v>20</v>
      </c>
      <c r="I165" s="238">
        <v>34</v>
      </c>
      <c r="J165" s="238">
        <v>23</v>
      </c>
      <c r="K165" s="239"/>
      <c r="L165" s="237">
        <v>71</v>
      </c>
      <c r="M165" s="238">
        <v>84</v>
      </c>
      <c r="N165" s="238">
        <v>65</v>
      </c>
      <c r="O165" s="238">
        <v>67</v>
      </c>
      <c r="P165" s="238">
        <v>104</v>
      </c>
      <c r="Q165" s="238">
        <v>62</v>
      </c>
      <c r="R165" s="238">
        <v>82</v>
      </c>
      <c r="S165" s="238">
        <v>74</v>
      </c>
      <c r="T165" s="239"/>
      <c r="U165" s="231"/>
      <c r="V165" s="231"/>
      <c r="W165" s="231"/>
      <c r="X165" s="231"/>
      <c r="Y165" s="231"/>
    </row>
    <row r="166" spans="1:25" s="308" customFormat="1" ht="12.95" customHeight="1" thickBot="1" x14ac:dyDescent="0.3">
      <c r="A166" s="713" t="s">
        <v>791</v>
      </c>
      <c r="B166" s="732" t="s">
        <v>621</v>
      </c>
      <c r="C166" s="307">
        <v>548</v>
      </c>
      <c r="D166" s="309">
        <v>636</v>
      </c>
      <c r="E166" s="309">
        <v>567</v>
      </c>
      <c r="F166" s="309">
        <v>605</v>
      </c>
      <c r="G166" s="309">
        <v>847</v>
      </c>
      <c r="H166" s="309">
        <v>507</v>
      </c>
      <c r="I166" s="309">
        <v>894</v>
      </c>
      <c r="J166" s="309">
        <v>822</v>
      </c>
      <c r="K166" s="310"/>
      <c r="L166" s="311">
        <v>6183</v>
      </c>
      <c r="M166" s="309">
        <v>5657</v>
      </c>
      <c r="N166" s="309">
        <v>4679</v>
      </c>
      <c r="O166" s="309">
        <v>7004</v>
      </c>
      <c r="P166" s="309">
        <v>8381</v>
      </c>
      <c r="Q166" s="309">
        <v>7087</v>
      </c>
      <c r="R166" s="309">
        <v>5221</v>
      </c>
      <c r="S166" s="309">
        <v>5577</v>
      </c>
      <c r="T166" s="310"/>
      <c r="U166" s="226"/>
      <c r="V166" s="226"/>
      <c r="W166" s="226"/>
      <c r="X166" s="226"/>
      <c r="Y166" s="226"/>
    </row>
    <row r="167" spans="1:25" ht="12.95" customHeight="1" x14ac:dyDescent="0.25">
      <c r="A167" s="714" t="s">
        <v>606</v>
      </c>
      <c r="B167" s="727" t="s">
        <v>621</v>
      </c>
      <c r="C167" s="227">
        <v>1</v>
      </c>
      <c r="D167" s="229">
        <v>4</v>
      </c>
      <c r="E167" s="229">
        <v>4</v>
      </c>
      <c r="F167" s="229">
        <v>4</v>
      </c>
      <c r="G167" s="229">
        <v>2</v>
      </c>
      <c r="H167" s="229"/>
      <c r="I167" s="229">
        <v>1</v>
      </c>
      <c r="J167" s="229">
        <v>1</v>
      </c>
      <c r="K167" s="230"/>
      <c r="L167" s="228">
        <v>362</v>
      </c>
      <c r="M167" s="229">
        <v>73</v>
      </c>
      <c r="N167" s="229">
        <v>103</v>
      </c>
      <c r="O167" s="229">
        <v>58</v>
      </c>
      <c r="P167" s="229">
        <v>241</v>
      </c>
      <c r="Q167" s="229">
        <v>83</v>
      </c>
      <c r="R167" s="229">
        <v>258</v>
      </c>
      <c r="S167" s="229">
        <v>146</v>
      </c>
      <c r="T167" s="230"/>
      <c r="U167" s="231"/>
      <c r="V167" s="231"/>
      <c r="W167" s="231"/>
      <c r="X167" s="231"/>
      <c r="Y167" s="231"/>
    </row>
    <row r="168" spans="1:25" ht="12.95" customHeight="1" x14ac:dyDescent="0.25">
      <c r="A168" s="715" t="s">
        <v>750</v>
      </c>
      <c r="B168" s="719" t="s">
        <v>621</v>
      </c>
      <c r="C168" s="233">
        <v>97</v>
      </c>
      <c r="D168" s="235">
        <v>60</v>
      </c>
      <c r="E168" s="235">
        <v>64</v>
      </c>
      <c r="F168" s="235">
        <v>78</v>
      </c>
      <c r="G168" s="235">
        <v>63</v>
      </c>
      <c r="H168" s="235">
        <v>27</v>
      </c>
      <c r="I168" s="235">
        <v>69</v>
      </c>
      <c r="J168" s="235">
        <v>55</v>
      </c>
      <c r="K168" s="236"/>
      <c r="L168" s="234">
        <v>1752</v>
      </c>
      <c r="M168" s="235">
        <v>1336</v>
      </c>
      <c r="N168" s="235">
        <v>1095</v>
      </c>
      <c r="O168" s="235">
        <v>1085</v>
      </c>
      <c r="P168" s="235">
        <v>1562</v>
      </c>
      <c r="Q168" s="235">
        <v>804</v>
      </c>
      <c r="R168" s="235">
        <v>873</v>
      </c>
      <c r="S168" s="235">
        <v>791</v>
      </c>
      <c r="T168" s="236"/>
      <c r="U168" s="231"/>
      <c r="V168" s="231"/>
      <c r="W168" s="231"/>
      <c r="X168" s="231"/>
      <c r="Y168" s="231"/>
    </row>
    <row r="169" spans="1:25" ht="12.95" customHeight="1" x14ac:dyDescent="0.25">
      <c r="A169" s="715" t="s">
        <v>751</v>
      </c>
      <c r="B169" s="719" t="s">
        <v>621</v>
      </c>
      <c r="C169" s="233">
        <v>23</v>
      </c>
      <c r="D169" s="235">
        <v>24</v>
      </c>
      <c r="E169" s="235">
        <v>15</v>
      </c>
      <c r="F169" s="235">
        <v>22</v>
      </c>
      <c r="G169" s="235">
        <v>20</v>
      </c>
      <c r="H169" s="235">
        <v>12</v>
      </c>
      <c r="I169" s="235">
        <v>41</v>
      </c>
      <c r="J169" s="235">
        <v>30</v>
      </c>
      <c r="K169" s="236"/>
      <c r="L169" s="234">
        <v>592</v>
      </c>
      <c r="M169" s="235">
        <v>300</v>
      </c>
      <c r="N169" s="235">
        <v>424</v>
      </c>
      <c r="O169" s="235">
        <v>420</v>
      </c>
      <c r="P169" s="235">
        <v>327</v>
      </c>
      <c r="Q169" s="235">
        <v>230</v>
      </c>
      <c r="R169" s="235">
        <v>242</v>
      </c>
      <c r="S169" s="235">
        <v>233</v>
      </c>
      <c r="T169" s="236"/>
      <c r="U169" s="231"/>
      <c r="V169" s="231"/>
      <c r="W169" s="231"/>
      <c r="X169" s="231"/>
      <c r="Y169" s="231"/>
    </row>
    <row r="170" spans="1:25" ht="12.95" customHeight="1" x14ac:dyDescent="0.25">
      <c r="A170" s="715" t="s">
        <v>752</v>
      </c>
      <c r="B170" s="719" t="s">
        <v>621</v>
      </c>
      <c r="C170" s="233">
        <v>42</v>
      </c>
      <c r="D170" s="235">
        <v>30</v>
      </c>
      <c r="E170" s="235">
        <v>28</v>
      </c>
      <c r="F170" s="235">
        <v>57</v>
      </c>
      <c r="G170" s="235">
        <v>34</v>
      </c>
      <c r="H170" s="235">
        <v>19</v>
      </c>
      <c r="I170" s="235">
        <v>26</v>
      </c>
      <c r="J170" s="235">
        <v>26</v>
      </c>
      <c r="K170" s="236"/>
      <c r="L170" s="234">
        <v>721</v>
      </c>
      <c r="M170" s="235">
        <v>582</v>
      </c>
      <c r="N170" s="235">
        <v>579</v>
      </c>
      <c r="O170" s="235">
        <v>538</v>
      </c>
      <c r="P170" s="235">
        <v>379</v>
      </c>
      <c r="Q170" s="235">
        <v>352</v>
      </c>
      <c r="R170" s="235">
        <v>465</v>
      </c>
      <c r="S170" s="235">
        <v>363</v>
      </c>
      <c r="T170" s="236"/>
      <c r="U170" s="231"/>
      <c r="V170" s="231"/>
      <c r="W170" s="231"/>
      <c r="X170" s="231"/>
      <c r="Y170" s="231"/>
    </row>
    <row r="171" spans="1:25" ht="12.95" customHeight="1" x14ac:dyDescent="0.25">
      <c r="A171" s="715" t="s">
        <v>753</v>
      </c>
      <c r="B171" s="719" t="s">
        <v>621</v>
      </c>
      <c r="C171" s="233">
        <v>28</v>
      </c>
      <c r="D171" s="235">
        <v>37</v>
      </c>
      <c r="E171" s="235">
        <v>56</v>
      </c>
      <c r="F171" s="235">
        <v>58</v>
      </c>
      <c r="G171" s="235">
        <v>87</v>
      </c>
      <c r="H171" s="235">
        <v>30</v>
      </c>
      <c r="I171" s="235">
        <v>40</v>
      </c>
      <c r="J171" s="235">
        <v>41</v>
      </c>
      <c r="K171" s="236"/>
      <c r="L171" s="234">
        <v>779</v>
      </c>
      <c r="M171" s="235">
        <v>637</v>
      </c>
      <c r="N171" s="235">
        <v>418</v>
      </c>
      <c r="O171" s="235">
        <v>594</v>
      </c>
      <c r="P171" s="235">
        <v>798</v>
      </c>
      <c r="Q171" s="235">
        <v>451</v>
      </c>
      <c r="R171" s="235">
        <v>709</v>
      </c>
      <c r="S171" s="235">
        <v>430</v>
      </c>
      <c r="T171" s="236"/>
      <c r="U171" s="231"/>
      <c r="V171" s="231"/>
      <c r="W171" s="231"/>
      <c r="X171" s="231"/>
      <c r="Y171" s="231"/>
    </row>
    <row r="172" spans="1:25" ht="12.95" customHeight="1" thickBot="1" x14ac:dyDescent="0.3">
      <c r="A172" s="716" t="s">
        <v>626</v>
      </c>
      <c r="B172" s="722"/>
      <c r="C172" s="723">
        <v>28</v>
      </c>
      <c r="D172" s="238">
        <v>30</v>
      </c>
      <c r="E172" s="238">
        <v>46</v>
      </c>
      <c r="F172" s="238">
        <v>39</v>
      </c>
      <c r="G172" s="238">
        <v>44</v>
      </c>
      <c r="H172" s="238">
        <v>15</v>
      </c>
      <c r="I172" s="238">
        <v>51</v>
      </c>
      <c r="J172" s="238">
        <v>44</v>
      </c>
      <c r="K172" s="239"/>
      <c r="L172" s="237">
        <v>731</v>
      </c>
      <c r="M172" s="238">
        <v>765</v>
      </c>
      <c r="N172" s="238">
        <v>475</v>
      </c>
      <c r="O172" s="238">
        <v>390</v>
      </c>
      <c r="P172" s="238">
        <v>379</v>
      </c>
      <c r="Q172" s="238">
        <v>366</v>
      </c>
      <c r="R172" s="238">
        <v>439</v>
      </c>
      <c r="S172" s="238">
        <v>414</v>
      </c>
      <c r="T172" s="239"/>
      <c r="U172" s="231"/>
      <c r="V172" s="231"/>
      <c r="W172" s="231"/>
      <c r="X172" s="231"/>
      <c r="Y172" s="231"/>
    </row>
    <row r="173" spans="1:25" s="308" customFormat="1" ht="12.95" customHeight="1" thickBot="1" x14ac:dyDescent="0.3">
      <c r="A173" s="713" t="s">
        <v>792</v>
      </c>
      <c r="B173" s="732"/>
      <c r="C173" s="307">
        <v>219</v>
      </c>
      <c r="D173" s="309">
        <v>185</v>
      </c>
      <c r="E173" s="309">
        <v>213</v>
      </c>
      <c r="F173" s="309">
        <v>258</v>
      </c>
      <c r="G173" s="309">
        <v>250</v>
      </c>
      <c r="H173" s="309">
        <v>103</v>
      </c>
      <c r="I173" s="309">
        <v>228</v>
      </c>
      <c r="J173" s="309">
        <v>197</v>
      </c>
      <c r="K173" s="310"/>
      <c r="L173" s="311">
        <v>4937</v>
      </c>
      <c r="M173" s="309">
        <v>3693</v>
      </c>
      <c r="N173" s="309">
        <v>3094</v>
      </c>
      <c r="O173" s="309">
        <v>3085</v>
      </c>
      <c r="P173" s="309">
        <v>3686</v>
      </c>
      <c r="Q173" s="309">
        <v>2286</v>
      </c>
      <c r="R173" s="309">
        <v>2986</v>
      </c>
      <c r="S173" s="309">
        <v>2377</v>
      </c>
      <c r="T173" s="310"/>
      <c r="U173" s="226"/>
      <c r="V173" s="226"/>
      <c r="W173" s="226"/>
      <c r="X173" s="226"/>
      <c r="Y173" s="226"/>
    </row>
    <row r="174" spans="1:25" ht="12.95" customHeight="1" x14ac:dyDescent="0.25">
      <c r="A174" s="714" t="s">
        <v>608</v>
      </c>
      <c r="B174" s="727" t="s">
        <v>621</v>
      </c>
      <c r="C174" s="227"/>
      <c r="D174" s="229">
        <v>3</v>
      </c>
      <c r="E174" s="229">
        <v>2</v>
      </c>
      <c r="F174" s="229">
        <v>2</v>
      </c>
      <c r="G174" s="229">
        <v>5</v>
      </c>
      <c r="H174" s="229">
        <v>3</v>
      </c>
      <c r="I174" s="229"/>
      <c r="J174" s="229">
        <v>3</v>
      </c>
      <c r="K174" s="230"/>
      <c r="L174" s="228">
        <v>413</v>
      </c>
      <c r="M174" s="229">
        <v>141</v>
      </c>
      <c r="N174" s="229">
        <v>102</v>
      </c>
      <c r="O174" s="229">
        <v>134</v>
      </c>
      <c r="P174" s="229">
        <v>132</v>
      </c>
      <c r="Q174" s="229">
        <v>58</v>
      </c>
      <c r="R174" s="229">
        <v>54</v>
      </c>
      <c r="S174" s="229">
        <v>261</v>
      </c>
      <c r="T174" s="230"/>
      <c r="U174" s="231"/>
      <c r="V174" s="231"/>
      <c r="W174" s="231"/>
      <c r="X174" s="231"/>
      <c r="Y174" s="231"/>
    </row>
    <row r="175" spans="1:25" ht="12.95" customHeight="1" x14ac:dyDescent="0.25">
      <c r="A175" s="715" t="s">
        <v>754</v>
      </c>
      <c r="B175" s="719"/>
      <c r="C175" s="233">
        <v>125</v>
      </c>
      <c r="D175" s="235">
        <v>114</v>
      </c>
      <c r="E175" s="235">
        <v>143</v>
      </c>
      <c r="F175" s="235">
        <v>173</v>
      </c>
      <c r="G175" s="235">
        <v>184</v>
      </c>
      <c r="H175" s="235">
        <v>127</v>
      </c>
      <c r="I175" s="235">
        <v>107</v>
      </c>
      <c r="J175" s="235">
        <v>117</v>
      </c>
      <c r="K175" s="236"/>
      <c r="L175" s="234">
        <v>1661</v>
      </c>
      <c r="M175" s="235">
        <v>1369</v>
      </c>
      <c r="N175" s="235">
        <v>1262</v>
      </c>
      <c r="O175" s="235">
        <v>1207</v>
      </c>
      <c r="P175" s="235">
        <v>1378</v>
      </c>
      <c r="Q175" s="235">
        <v>1843</v>
      </c>
      <c r="R175" s="235">
        <v>1101</v>
      </c>
      <c r="S175" s="235">
        <v>1234</v>
      </c>
      <c r="T175" s="236"/>
      <c r="U175" s="231"/>
      <c r="V175" s="231"/>
      <c r="W175" s="231"/>
      <c r="X175" s="231"/>
      <c r="Y175" s="231"/>
    </row>
    <row r="176" spans="1:25" ht="12.95" customHeight="1" x14ac:dyDescent="0.25">
      <c r="A176" s="715" t="s">
        <v>755</v>
      </c>
      <c r="B176" s="719" t="s">
        <v>621</v>
      </c>
      <c r="C176" s="233">
        <v>10</v>
      </c>
      <c r="D176" s="235">
        <v>9</v>
      </c>
      <c r="E176" s="235">
        <v>8</v>
      </c>
      <c r="F176" s="235">
        <v>37</v>
      </c>
      <c r="G176" s="235">
        <v>34</v>
      </c>
      <c r="H176" s="235">
        <v>35</v>
      </c>
      <c r="I176" s="235">
        <v>19</v>
      </c>
      <c r="J176" s="235">
        <v>32</v>
      </c>
      <c r="K176" s="236"/>
      <c r="L176" s="234">
        <v>235</v>
      </c>
      <c r="M176" s="235">
        <v>210</v>
      </c>
      <c r="N176" s="235">
        <v>188</v>
      </c>
      <c r="O176" s="235">
        <v>209</v>
      </c>
      <c r="P176" s="235">
        <v>219</v>
      </c>
      <c r="Q176" s="235">
        <v>260</v>
      </c>
      <c r="R176" s="235">
        <v>200</v>
      </c>
      <c r="S176" s="235">
        <v>233</v>
      </c>
      <c r="T176" s="236"/>
      <c r="U176" s="231"/>
      <c r="V176" s="231"/>
      <c r="W176" s="231"/>
      <c r="X176" s="231"/>
      <c r="Y176" s="231"/>
    </row>
    <row r="177" spans="1:25" ht="12.95" customHeight="1" x14ac:dyDescent="0.25">
      <c r="A177" s="715" t="s">
        <v>756</v>
      </c>
      <c r="B177" s="718"/>
      <c r="C177" s="233">
        <v>20</v>
      </c>
      <c r="D177" s="235">
        <v>14</v>
      </c>
      <c r="E177" s="235">
        <v>14</v>
      </c>
      <c r="F177" s="235">
        <v>21</v>
      </c>
      <c r="G177" s="235">
        <v>33</v>
      </c>
      <c r="H177" s="235">
        <v>17</v>
      </c>
      <c r="I177" s="235">
        <v>19</v>
      </c>
      <c r="J177" s="235">
        <v>30</v>
      </c>
      <c r="K177" s="236"/>
      <c r="L177" s="234">
        <v>411</v>
      </c>
      <c r="M177" s="235">
        <v>431</v>
      </c>
      <c r="N177" s="235">
        <v>452</v>
      </c>
      <c r="O177" s="235">
        <v>340</v>
      </c>
      <c r="P177" s="235">
        <v>307</v>
      </c>
      <c r="Q177" s="235">
        <v>302</v>
      </c>
      <c r="R177" s="235">
        <v>286</v>
      </c>
      <c r="S177" s="235">
        <v>455</v>
      </c>
      <c r="T177" s="236"/>
      <c r="U177" s="231"/>
      <c r="V177" s="231"/>
      <c r="W177" s="231"/>
      <c r="X177" s="231"/>
      <c r="Y177" s="231"/>
    </row>
    <row r="178" spans="1:25" ht="12.95" customHeight="1" x14ac:dyDescent="0.25">
      <c r="A178" s="715" t="s">
        <v>757</v>
      </c>
      <c r="B178" s="718"/>
      <c r="C178" s="233">
        <v>25</v>
      </c>
      <c r="D178" s="235">
        <v>40</v>
      </c>
      <c r="E178" s="235">
        <v>24</v>
      </c>
      <c r="F178" s="235">
        <v>33</v>
      </c>
      <c r="G178" s="235">
        <v>56</v>
      </c>
      <c r="H178" s="235">
        <v>26</v>
      </c>
      <c r="I178" s="235">
        <v>27</v>
      </c>
      <c r="J178" s="235">
        <v>37</v>
      </c>
      <c r="K178" s="236"/>
      <c r="L178" s="234">
        <v>359</v>
      </c>
      <c r="M178" s="235">
        <v>380</v>
      </c>
      <c r="N178" s="235">
        <v>234</v>
      </c>
      <c r="O178" s="235">
        <v>391</v>
      </c>
      <c r="P178" s="235">
        <v>322</v>
      </c>
      <c r="Q178" s="235">
        <v>432</v>
      </c>
      <c r="R178" s="235">
        <v>290</v>
      </c>
      <c r="S178" s="235">
        <v>348</v>
      </c>
      <c r="T178" s="236"/>
      <c r="U178" s="231"/>
      <c r="V178" s="231"/>
      <c r="W178" s="231"/>
      <c r="X178" s="231"/>
      <c r="Y178" s="231"/>
    </row>
    <row r="179" spans="1:25" ht="12.95" customHeight="1" x14ac:dyDescent="0.25">
      <c r="A179" s="715" t="s">
        <v>758</v>
      </c>
      <c r="B179" s="718"/>
      <c r="C179" s="233">
        <v>21</v>
      </c>
      <c r="D179" s="235">
        <v>29</v>
      </c>
      <c r="E179" s="235">
        <v>27</v>
      </c>
      <c r="F179" s="235">
        <v>37</v>
      </c>
      <c r="G179" s="235">
        <v>35</v>
      </c>
      <c r="H179" s="235">
        <v>20</v>
      </c>
      <c r="I179" s="235">
        <v>25</v>
      </c>
      <c r="J179" s="235">
        <v>21</v>
      </c>
      <c r="K179" s="236"/>
      <c r="L179" s="234">
        <v>263</v>
      </c>
      <c r="M179" s="235">
        <v>213</v>
      </c>
      <c r="N179" s="235">
        <v>268</v>
      </c>
      <c r="O179" s="235">
        <v>378</v>
      </c>
      <c r="P179" s="235">
        <v>237</v>
      </c>
      <c r="Q179" s="235">
        <v>193</v>
      </c>
      <c r="R179" s="235">
        <v>321</v>
      </c>
      <c r="S179" s="235">
        <v>144</v>
      </c>
      <c r="T179" s="236"/>
      <c r="U179" s="231"/>
      <c r="V179" s="231"/>
      <c r="W179" s="231"/>
      <c r="X179" s="231"/>
      <c r="Y179" s="231"/>
    </row>
    <row r="180" spans="1:25" ht="12.95" customHeight="1" thickBot="1" x14ac:dyDescent="0.3">
      <c r="A180" s="716" t="s">
        <v>759</v>
      </c>
      <c r="B180" s="725"/>
      <c r="C180" s="723">
        <v>12</v>
      </c>
      <c r="D180" s="238">
        <v>22</v>
      </c>
      <c r="E180" s="238">
        <v>18</v>
      </c>
      <c r="F180" s="238">
        <v>16</v>
      </c>
      <c r="G180" s="238">
        <v>31</v>
      </c>
      <c r="H180" s="238">
        <v>15</v>
      </c>
      <c r="I180" s="238">
        <v>11</v>
      </c>
      <c r="J180" s="238">
        <v>7</v>
      </c>
      <c r="K180" s="239"/>
      <c r="L180" s="237">
        <v>199</v>
      </c>
      <c r="M180" s="238">
        <v>455</v>
      </c>
      <c r="N180" s="238">
        <v>132</v>
      </c>
      <c r="O180" s="238">
        <v>152</v>
      </c>
      <c r="P180" s="238">
        <v>117</v>
      </c>
      <c r="Q180" s="238">
        <v>132</v>
      </c>
      <c r="R180" s="238">
        <v>295</v>
      </c>
      <c r="S180" s="238">
        <v>130</v>
      </c>
      <c r="T180" s="239"/>
      <c r="U180" s="231"/>
      <c r="V180" s="231"/>
      <c r="W180" s="231"/>
      <c r="X180" s="231"/>
      <c r="Y180" s="231"/>
    </row>
    <row r="181" spans="1:25" s="308" customFormat="1" ht="12.95" customHeight="1" thickBot="1" x14ac:dyDescent="0.3">
      <c r="A181" s="713" t="s">
        <v>793</v>
      </c>
      <c r="B181" s="734"/>
      <c r="C181" s="307">
        <v>213</v>
      </c>
      <c r="D181" s="309">
        <v>231</v>
      </c>
      <c r="E181" s="309">
        <v>236</v>
      </c>
      <c r="F181" s="309">
        <v>319</v>
      </c>
      <c r="G181" s="309">
        <v>378</v>
      </c>
      <c r="H181" s="309">
        <v>243</v>
      </c>
      <c r="I181" s="309">
        <v>208</v>
      </c>
      <c r="J181" s="309">
        <v>247</v>
      </c>
      <c r="K181" s="310"/>
      <c r="L181" s="311">
        <v>3541</v>
      </c>
      <c r="M181" s="309">
        <v>3199</v>
      </c>
      <c r="N181" s="309">
        <v>2638</v>
      </c>
      <c r="O181" s="309">
        <v>2811</v>
      </c>
      <c r="P181" s="309">
        <v>2712</v>
      </c>
      <c r="Q181" s="309">
        <v>3220</v>
      </c>
      <c r="R181" s="309">
        <v>2547</v>
      </c>
      <c r="S181" s="309">
        <v>2805</v>
      </c>
      <c r="T181" s="310"/>
    </row>
    <row r="182" spans="1:25" ht="12.95" customHeight="1" x14ac:dyDescent="0.25">
      <c r="A182" s="714" t="s">
        <v>610</v>
      </c>
      <c r="B182" s="730"/>
      <c r="C182" s="227">
        <v>1</v>
      </c>
      <c r="D182" s="229">
        <v>2</v>
      </c>
      <c r="E182" s="229"/>
      <c r="F182" s="229">
        <v>2</v>
      </c>
      <c r="G182" s="229">
        <v>2</v>
      </c>
      <c r="H182" s="229"/>
      <c r="I182" s="229"/>
      <c r="J182" s="229"/>
      <c r="K182" s="230"/>
      <c r="L182" s="228">
        <v>53</v>
      </c>
      <c r="M182" s="229">
        <v>64</v>
      </c>
      <c r="N182" s="229">
        <v>124</v>
      </c>
      <c r="O182" s="229">
        <v>160</v>
      </c>
      <c r="P182" s="229">
        <v>102</v>
      </c>
      <c r="Q182" s="229">
        <v>160</v>
      </c>
      <c r="R182" s="229">
        <v>237</v>
      </c>
      <c r="S182" s="229">
        <v>59</v>
      </c>
      <c r="T182" s="230"/>
    </row>
    <row r="183" spans="1:25" ht="12.95" customHeight="1" x14ac:dyDescent="0.25">
      <c r="A183" s="715" t="s">
        <v>760</v>
      </c>
      <c r="B183" s="720"/>
      <c r="C183" s="233">
        <v>73</v>
      </c>
      <c r="D183" s="235">
        <v>114</v>
      </c>
      <c r="E183" s="235">
        <v>84</v>
      </c>
      <c r="F183" s="235">
        <v>107</v>
      </c>
      <c r="G183" s="235">
        <v>84</v>
      </c>
      <c r="H183" s="235">
        <v>85</v>
      </c>
      <c r="I183" s="235">
        <v>88</v>
      </c>
      <c r="J183" s="235">
        <v>78</v>
      </c>
      <c r="K183" s="236"/>
      <c r="L183" s="234">
        <v>1450</v>
      </c>
      <c r="M183" s="235">
        <v>1443</v>
      </c>
      <c r="N183" s="235">
        <v>974</v>
      </c>
      <c r="O183" s="235">
        <v>848</v>
      </c>
      <c r="P183" s="235">
        <v>899</v>
      </c>
      <c r="Q183" s="235">
        <v>850</v>
      </c>
      <c r="R183" s="235">
        <v>923</v>
      </c>
      <c r="S183" s="235">
        <v>981</v>
      </c>
      <c r="T183" s="236"/>
    </row>
    <row r="184" spans="1:25" ht="12.95" customHeight="1" x14ac:dyDescent="0.25">
      <c r="A184" s="715" t="s">
        <v>761</v>
      </c>
      <c r="B184" s="720"/>
      <c r="C184" s="233">
        <v>48</v>
      </c>
      <c r="D184" s="235">
        <v>60</v>
      </c>
      <c r="E184" s="235">
        <v>50</v>
      </c>
      <c r="F184" s="235">
        <v>65</v>
      </c>
      <c r="G184" s="235">
        <v>62</v>
      </c>
      <c r="H184" s="235">
        <v>38</v>
      </c>
      <c r="I184" s="235">
        <v>105</v>
      </c>
      <c r="J184" s="235">
        <v>110</v>
      </c>
      <c r="K184" s="236"/>
      <c r="L184" s="234">
        <v>1435</v>
      </c>
      <c r="M184" s="235">
        <v>1192</v>
      </c>
      <c r="N184" s="235">
        <v>892</v>
      </c>
      <c r="O184" s="235">
        <v>770</v>
      </c>
      <c r="P184" s="235">
        <v>806</v>
      </c>
      <c r="Q184" s="235">
        <v>596</v>
      </c>
      <c r="R184" s="235">
        <v>529</v>
      </c>
      <c r="S184" s="235">
        <v>469</v>
      </c>
      <c r="T184" s="236"/>
    </row>
    <row r="185" spans="1:25" ht="12.95" customHeight="1" x14ac:dyDescent="0.25">
      <c r="A185" s="715" t="s">
        <v>762</v>
      </c>
      <c r="B185" s="720"/>
      <c r="C185" s="233">
        <v>58</v>
      </c>
      <c r="D185" s="235">
        <v>69</v>
      </c>
      <c r="E185" s="235">
        <v>65</v>
      </c>
      <c r="F185" s="235">
        <v>40</v>
      </c>
      <c r="G185" s="235">
        <v>80</v>
      </c>
      <c r="H185" s="235">
        <v>68</v>
      </c>
      <c r="I185" s="235">
        <v>125</v>
      </c>
      <c r="J185" s="235">
        <v>125</v>
      </c>
      <c r="K185" s="236"/>
      <c r="L185" s="234">
        <v>609</v>
      </c>
      <c r="M185" s="235">
        <v>705</v>
      </c>
      <c r="N185" s="235">
        <v>566</v>
      </c>
      <c r="O185" s="235">
        <v>525</v>
      </c>
      <c r="P185" s="235">
        <v>402</v>
      </c>
      <c r="Q185" s="235">
        <v>374</v>
      </c>
      <c r="R185" s="235">
        <v>369</v>
      </c>
      <c r="S185" s="235">
        <v>437</v>
      </c>
      <c r="T185" s="236"/>
    </row>
    <row r="186" spans="1:25" ht="12.95" customHeight="1" x14ac:dyDescent="0.25">
      <c r="A186" s="715" t="s">
        <v>763</v>
      </c>
      <c r="B186" s="720"/>
      <c r="C186" s="233">
        <v>18</v>
      </c>
      <c r="D186" s="235">
        <v>27</v>
      </c>
      <c r="E186" s="235">
        <v>30</v>
      </c>
      <c r="F186" s="235">
        <v>40</v>
      </c>
      <c r="G186" s="235">
        <v>35</v>
      </c>
      <c r="H186" s="235">
        <v>39</v>
      </c>
      <c r="I186" s="235">
        <v>48</v>
      </c>
      <c r="J186" s="235">
        <v>68</v>
      </c>
      <c r="K186" s="236"/>
      <c r="L186" s="234">
        <v>560</v>
      </c>
      <c r="M186" s="235">
        <v>428</v>
      </c>
      <c r="N186" s="235">
        <v>968</v>
      </c>
      <c r="O186" s="235">
        <v>538</v>
      </c>
      <c r="P186" s="235">
        <v>439</v>
      </c>
      <c r="Q186" s="235">
        <v>502</v>
      </c>
      <c r="R186" s="235">
        <v>357</v>
      </c>
      <c r="S186" s="235">
        <v>391</v>
      </c>
      <c r="T186" s="236"/>
    </row>
    <row r="187" spans="1:25" ht="12.95" customHeight="1" x14ac:dyDescent="0.25">
      <c r="A187" s="715" t="s">
        <v>764</v>
      </c>
      <c r="B187" s="720"/>
      <c r="C187" s="233">
        <v>69</v>
      </c>
      <c r="D187" s="235">
        <v>111</v>
      </c>
      <c r="E187" s="235">
        <v>103</v>
      </c>
      <c r="F187" s="235">
        <v>102</v>
      </c>
      <c r="G187" s="235">
        <v>83</v>
      </c>
      <c r="H187" s="235">
        <v>75</v>
      </c>
      <c r="I187" s="235">
        <v>112</v>
      </c>
      <c r="J187" s="235">
        <v>116</v>
      </c>
      <c r="K187" s="236"/>
      <c r="L187" s="234">
        <v>765</v>
      </c>
      <c r="M187" s="235">
        <v>1007</v>
      </c>
      <c r="N187" s="235">
        <v>1100</v>
      </c>
      <c r="O187" s="235">
        <v>2237</v>
      </c>
      <c r="P187" s="235">
        <v>502</v>
      </c>
      <c r="Q187" s="235">
        <v>496</v>
      </c>
      <c r="R187" s="235">
        <v>518</v>
      </c>
      <c r="S187" s="235">
        <v>412</v>
      </c>
      <c r="T187" s="236"/>
    </row>
    <row r="188" spans="1:25" ht="12.95" customHeight="1" x14ac:dyDescent="0.25">
      <c r="A188" s="715" t="s">
        <v>765</v>
      </c>
      <c r="B188" s="720"/>
      <c r="C188" s="233">
        <v>47</v>
      </c>
      <c r="D188" s="235">
        <v>53</v>
      </c>
      <c r="E188" s="235">
        <v>32</v>
      </c>
      <c r="F188" s="235">
        <v>60</v>
      </c>
      <c r="G188" s="235">
        <v>66</v>
      </c>
      <c r="H188" s="235">
        <v>61</v>
      </c>
      <c r="I188" s="235">
        <v>74</v>
      </c>
      <c r="J188" s="235">
        <v>71</v>
      </c>
      <c r="K188" s="236"/>
      <c r="L188" s="234">
        <v>568</v>
      </c>
      <c r="M188" s="235">
        <v>547</v>
      </c>
      <c r="N188" s="235">
        <v>488</v>
      </c>
      <c r="O188" s="235">
        <v>289</v>
      </c>
      <c r="P188" s="235">
        <v>542</v>
      </c>
      <c r="Q188" s="235">
        <v>343</v>
      </c>
      <c r="R188" s="235">
        <v>307</v>
      </c>
      <c r="S188" s="235">
        <v>376</v>
      </c>
      <c r="T188" s="236"/>
    </row>
    <row r="189" spans="1:25" ht="12.95" customHeight="1" thickBot="1" x14ac:dyDescent="0.3">
      <c r="A189" s="716" t="s">
        <v>627</v>
      </c>
      <c r="B189" s="726"/>
      <c r="C189" s="723">
        <v>24</v>
      </c>
      <c r="D189" s="238">
        <v>27</v>
      </c>
      <c r="E189" s="238">
        <v>26</v>
      </c>
      <c r="F189" s="238">
        <v>40</v>
      </c>
      <c r="G189" s="238">
        <v>31</v>
      </c>
      <c r="H189" s="238">
        <v>40</v>
      </c>
      <c r="I189" s="238">
        <v>57</v>
      </c>
      <c r="J189" s="238">
        <v>59</v>
      </c>
      <c r="K189" s="239"/>
      <c r="L189" s="237">
        <v>382</v>
      </c>
      <c r="M189" s="238">
        <v>769</v>
      </c>
      <c r="N189" s="238">
        <v>506</v>
      </c>
      <c r="O189" s="238">
        <v>557</v>
      </c>
      <c r="P189" s="238">
        <v>300</v>
      </c>
      <c r="Q189" s="238">
        <v>234</v>
      </c>
      <c r="R189" s="238">
        <v>330</v>
      </c>
      <c r="S189" s="238">
        <v>396</v>
      </c>
      <c r="T189" s="239"/>
    </row>
    <row r="190" spans="1:25" s="308" customFormat="1" ht="12.95" customHeight="1" thickBot="1" x14ac:dyDescent="0.3">
      <c r="A190" s="713" t="s">
        <v>794</v>
      </c>
      <c r="B190" s="734"/>
      <c r="C190" s="307">
        <v>338</v>
      </c>
      <c r="D190" s="309">
        <v>463</v>
      </c>
      <c r="E190" s="309">
        <v>390</v>
      </c>
      <c r="F190" s="309">
        <v>456</v>
      </c>
      <c r="G190" s="309">
        <v>443</v>
      </c>
      <c r="H190" s="309">
        <v>406</v>
      </c>
      <c r="I190" s="309">
        <v>609</v>
      </c>
      <c r="J190" s="309">
        <v>627</v>
      </c>
      <c r="K190" s="310"/>
      <c r="L190" s="311">
        <v>5822</v>
      </c>
      <c r="M190" s="309">
        <v>6155</v>
      </c>
      <c r="N190" s="309">
        <v>5618</v>
      </c>
      <c r="O190" s="309">
        <v>5924</v>
      </c>
      <c r="P190" s="309">
        <v>3992</v>
      </c>
      <c r="Q190" s="309">
        <v>3555</v>
      </c>
      <c r="R190" s="309">
        <v>3570</v>
      </c>
      <c r="S190" s="309">
        <v>3521</v>
      </c>
      <c r="T190" s="310"/>
    </row>
    <row r="191" spans="1:25" ht="12.95" customHeight="1" x14ac:dyDescent="0.25">
      <c r="A191" s="714" t="s">
        <v>612</v>
      </c>
      <c r="B191" s="731"/>
      <c r="C191" s="227"/>
      <c r="D191" s="229">
        <v>1</v>
      </c>
      <c r="E191" s="229">
        <v>2</v>
      </c>
      <c r="F191" s="229">
        <v>7</v>
      </c>
      <c r="G191" s="229">
        <v>15</v>
      </c>
      <c r="H191" s="229">
        <v>17</v>
      </c>
      <c r="I191" s="229"/>
      <c r="J191" s="229"/>
      <c r="K191" s="230"/>
      <c r="L191" s="228">
        <v>213</v>
      </c>
      <c r="M191" s="229">
        <v>180</v>
      </c>
      <c r="N191" s="229">
        <v>62</v>
      </c>
      <c r="O191" s="229">
        <v>96</v>
      </c>
      <c r="P191" s="229">
        <v>134</v>
      </c>
      <c r="Q191" s="229">
        <v>169</v>
      </c>
      <c r="R191" s="229">
        <v>79</v>
      </c>
      <c r="S191" s="229">
        <v>901</v>
      </c>
      <c r="T191" s="230"/>
    </row>
    <row r="192" spans="1:25" ht="12.95" customHeight="1" x14ac:dyDescent="0.25">
      <c r="A192" s="715" t="s">
        <v>766</v>
      </c>
      <c r="B192" s="720"/>
      <c r="C192" s="233">
        <v>78</v>
      </c>
      <c r="D192" s="235">
        <v>125</v>
      </c>
      <c r="E192" s="235">
        <v>74</v>
      </c>
      <c r="F192" s="235">
        <v>100</v>
      </c>
      <c r="G192" s="235">
        <v>106</v>
      </c>
      <c r="H192" s="235">
        <v>14</v>
      </c>
      <c r="I192" s="235">
        <v>43</v>
      </c>
      <c r="J192" s="235">
        <v>69</v>
      </c>
      <c r="K192" s="236"/>
      <c r="L192" s="234">
        <v>1221</v>
      </c>
      <c r="M192" s="235">
        <v>1205</v>
      </c>
      <c r="N192" s="235">
        <v>1159</v>
      </c>
      <c r="O192" s="235">
        <v>1355</v>
      </c>
      <c r="P192" s="235">
        <v>1019</v>
      </c>
      <c r="Q192" s="235">
        <v>917</v>
      </c>
      <c r="R192" s="235">
        <v>22559</v>
      </c>
      <c r="S192" s="235">
        <v>853</v>
      </c>
      <c r="T192" s="236"/>
    </row>
    <row r="193" spans="1:20" ht="12.95" customHeight="1" x14ac:dyDescent="0.25">
      <c r="A193" s="715" t="s">
        <v>628</v>
      </c>
      <c r="B193" s="720"/>
      <c r="C193" s="233">
        <v>29</v>
      </c>
      <c r="D193" s="235">
        <v>44</v>
      </c>
      <c r="E193" s="235">
        <v>12</v>
      </c>
      <c r="F193" s="235">
        <v>43</v>
      </c>
      <c r="G193" s="235">
        <v>46</v>
      </c>
      <c r="H193" s="235">
        <v>4</v>
      </c>
      <c r="I193" s="235">
        <v>35</v>
      </c>
      <c r="J193" s="235">
        <v>36</v>
      </c>
      <c r="K193" s="236"/>
      <c r="L193" s="234">
        <v>309</v>
      </c>
      <c r="M193" s="235">
        <v>250</v>
      </c>
      <c r="N193" s="235">
        <v>421</v>
      </c>
      <c r="O193" s="235">
        <v>200</v>
      </c>
      <c r="P193" s="235">
        <v>258</v>
      </c>
      <c r="Q193" s="235">
        <v>341</v>
      </c>
      <c r="R193" s="235">
        <v>188</v>
      </c>
      <c r="S193" s="235">
        <v>129</v>
      </c>
      <c r="T193" s="236"/>
    </row>
    <row r="194" spans="1:20" ht="12.95" customHeight="1" x14ac:dyDescent="0.25">
      <c r="A194" s="715" t="s">
        <v>767</v>
      </c>
      <c r="B194" s="720"/>
      <c r="C194" s="233">
        <v>58</v>
      </c>
      <c r="D194" s="235">
        <v>60</v>
      </c>
      <c r="E194" s="235">
        <v>62</v>
      </c>
      <c r="F194" s="235">
        <v>131</v>
      </c>
      <c r="G194" s="235">
        <v>121</v>
      </c>
      <c r="H194" s="235">
        <v>12</v>
      </c>
      <c r="I194" s="235">
        <v>24</v>
      </c>
      <c r="J194" s="235">
        <v>60</v>
      </c>
      <c r="K194" s="236"/>
      <c r="L194" s="234">
        <v>3138</v>
      </c>
      <c r="M194" s="235">
        <v>974</v>
      </c>
      <c r="N194" s="235">
        <v>876</v>
      </c>
      <c r="O194" s="235">
        <v>1062</v>
      </c>
      <c r="P194" s="235">
        <v>1343</v>
      </c>
      <c r="Q194" s="235">
        <v>1185</v>
      </c>
      <c r="R194" s="235">
        <v>821</v>
      </c>
      <c r="S194" s="235">
        <v>802</v>
      </c>
      <c r="T194" s="236"/>
    </row>
    <row r="195" spans="1:20" ht="12.95" customHeight="1" thickBot="1" x14ac:dyDescent="0.3">
      <c r="A195" s="716" t="s">
        <v>768</v>
      </c>
      <c r="B195" s="726"/>
      <c r="C195" s="723">
        <v>50</v>
      </c>
      <c r="D195" s="238">
        <v>59</v>
      </c>
      <c r="E195" s="238">
        <v>55</v>
      </c>
      <c r="F195" s="238">
        <v>83</v>
      </c>
      <c r="G195" s="238">
        <v>100</v>
      </c>
      <c r="H195" s="238">
        <v>25</v>
      </c>
      <c r="I195" s="238">
        <v>60</v>
      </c>
      <c r="J195" s="238">
        <v>48</v>
      </c>
      <c r="K195" s="239"/>
      <c r="L195" s="237">
        <v>618</v>
      </c>
      <c r="M195" s="238">
        <v>3190</v>
      </c>
      <c r="N195" s="238">
        <v>1301</v>
      </c>
      <c r="O195" s="238">
        <v>711</v>
      </c>
      <c r="P195" s="238">
        <v>1033</v>
      </c>
      <c r="Q195" s="238">
        <v>453</v>
      </c>
      <c r="R195" s="238">
        <v>408</v>
      </c>
      <c r="S195" s="238">
        <v>510</v>
      </c>
      <c r="T195" s="239"/>
    </row>
    <row r="196" spans="1:20" s="308" customFormat="1" ht="12.95" customHeight="1" thickBot="1" x14ac:dyDescent="0.3">
      <c r="A196" s="713" t="s">
        <v>795</v>
      </c>
      <c r="B196" s="734"/>
      <c r="C196" s="307">
        <v>215</v>
      </c>
      <c r="D196" s="309">
        <v>289</v>
      </c>
      <c r="E196" s="309">
        <v>205</v>
      </c>
      <c r="F196" s="309">
        <v>364</v>
      </c>
      <c r="G196" s="309">
        <v>388</v>
      </c>
      <c r="H196" s="309">
        <v>72</v>
      </c>
      <c r="I196" s="309">
        <v>162</v>
      </c>
      <c r="J196" s="309">
        <v>213</v>
      </c>
      <c r="K196" s="310"/>
      <c r="L196" s="311">
        <v>5499</v>
      </c>
      <c r="M196" s="309">
        <v>5799</v>
      </c>
      <c r="N196" s="309">
        <v>3819</v>
      </c>
      <c r="O196" s="309">
        <v>3424</v>
      </c>
      <c r="P196" s="309">
        <v>3787</v>
      </c>
      <c r="Q196" s="309">
        <v>3065</v>
      </c>
      <c r="R196" s="309">
        <v>24055</v>
      </c>
      <c r="S196" s="309">
        <v>3195</v>
      </c>
      <c r="T196" s="310"/>
    </row>
    <row r="197" spans="1:20" ht="12.95" customHeight="1" thickBot="1" x14ac:dyDescent="0.3">
      <c r="A197" s="713" t="s">
        <v>614</v>
      </c>
      <c r="B197" s="734"/>
      <c r="C197" s="307"/>
      <c r="D197" s="309">
        <v>1</v>
      </c>
      <c r="E197" s="309"/>
      <c r="F197" s="309"/>
      <c r="G197" s="309">
        <v>2</v>
      </c>
      <c r="H197" s="309">
        <v>1</v>
      </c>
      <c r="I197" s="309"/>
      <c r="J197" s="309">
        <v>1</v>
      </c>
      <c r="K197" s="310"/>
      <c r="L197" s="311">
        <v>688</v>
      </c>
      <c r="M197" s="309">
        <v>555</v>
      </c>
      <c r="N197" s="309">
        <v>387</v>
      </c>
      <c r="O197" s="309">
        <v>3315</v>
      </c>
      <c r="P197" s="309">
        <v>3650</v>
      </c>
      <c r="Q197" s="309">
        <v>1206</v>
      </c>
      <c r="R197" s="309">
        <v>24092</v>
      </c>
      <c r="S197" s="309">
        <v>1535</v>
      </c>
      <c r="T197" s="310"/>
    </row>
    <row r="198" spans="1:20" ht="12.95" customHeight="1" thickBot="1" x14ac:dyDescent="0.3">
      <c r="A198" s="713" t="s">
        <v>615</v>
      </c>
      <c r="B198" s="734"/>
      <c r="C198" s="307"/>
      <c r="D198" s="309"/>
      <c r="E198" s="309"/>
      <c r="F198" s="309"/>
      <c r="G198" s="309"/>
      <c r="H198" s="309"/>
      <c r="I198" s="309"/>
      <c r="J198" s="309"/>
      <c r="K198" s="310"/>
      <c r="L198" s="311"/>
      <c r="M198" s="309"/>
      <c r="N198" s="309"/>
      <c r="O198" s="309">
        <v>45</v>
      </c>
      <c r="P198" s="309"/>
      <c r="Q198" s="309"/>
      <c r="R198" s="309"/>
      <c r="S198" s="309"/>
      <c r="T198" s="310"/>
    </row>
    <row r="199" spans="1:20" ht="12.95" customHeight="1" thickBot="1" x14ac:dyDescent="0.3">
      <c r="A199" s="713" t="s">
        <v>830</v>
      </c>
      <c r="B199" s="734"/>
      <c r="C199" s="307">
        <v>26</v>
      </c>
      <c r="D199" s="309">
        <v>1</v>
      </c>
      <c r="E199" s="309">
        <v>3</v>
      </c>
      <c r="F199" s="309">
        <v>2</v>
      </c>
      <c r="G199" s="309">
        <v>38</v>
      </c>
      <c r="H199" s="309">
        <v>44</v>
      </c>
      <c r="I199" s="309">
        <v>35</v>
      </c>
      <c r="J199" s="309">
        <v>37</v>
      </c>
      <c r="K199" s="310"/>
      <c r="L199" s="311">
        <v>339</v>
      </c>
      <c r="M199" s="309">
        <v>130</v>
      </c>
      <c r="N199" s="309">
        <v>307</v>
      </c>
      <c r="O199" s="309">
        <v>177</v>
      </c>
      <c r="P199" s="309">
        <v>152</v>
      </c>
      <c r="Q199" s="309">
        <v>158</v>
      </c>
      <c r="R199" s="309">
        <v>146</v>
      </c>
      <c r="S199" s="309">
        <v>224</v>
      </c>
      <c r="T199" s="310"/>
    </row>
    <row r="200" spans="1:20" ht="12.95" customHeight="1" thickBot="1" x14ac:dyDescent="0.3">
      <c r="A200" s="735" t="s">
        <v>1072</v>
      </c>
      <c r="B200" s="736" t="s">
        <v>1072</v>
      </c>
      <c r="C200" s="737">
        <v>8511</v>
      </c>
      <c r="D200" s="738">
        <v>8934</v>
      </c>
      <c r="E200" s="738">
        <v>9712</v>
      </c>
      <c r="F200" s="738">
        <v>12568</v>
      </c>
      <c r="G200" s="738">
        <v>15027</v>
      </c>
      <c r="H200" s="738">
        <v>11247</v>
      </c>
      <c r="I200" s="738">
        <v>15095</v>
      </c>
      <c r="J200" s="738">
        <v>13573</v>
      </c>
      <c r="K200" s="739"/>
      <c r="L200" s="740">
        <v>170938</v>
      </c>
      <c r="M200" s="738">
        <v>149311</v>
      </c>
      <c r="N200" s="738">
        <v>135524</v>
      </c>
      <c r="O200" s="738">
        <v>149090</v>
      </c>
      <c r="P200" s="738">
        <v>137729</v>
      </c>
      <c r="Q200" s="738">
        <v>125899</v>
      </c>
      <c r="R200" s="738">
        <v>153663</v>
      </c>
      <c r="S200" s="738">
        <v>106655</v>
      </c>
      <c r="T200" s="739"/>
    </row>
    <row r="201" spans="1:20" ht="12.75" customHeight="1" x14ac:dyDescent="0.25">
      <c r="C201" s="244"/>
      <c r="D201" s="244"/>
      <c r="E201" s="244"/>
      <c r="F201" s="244"/>
      <c r="G201" s="244"/>
      <c r="H201" s="244"/>
      <c r="I201" s="244"/>
      <c r="J201" s="244"/>
      <c r="K201" s="244"/>
      <c r="L201" s="244"/>
      <c r="M201" s="244"/>
      <c r="N201" s="244"/>
      <c r="O201" s="244"/>
      <c r="P201" s="244"/>
      <c r="Q201" s="244"/>
      <c r="R201" s="244"/>
      <c r="S201" s="244"/>
      <c r="T201" s="244"/>
    </row>
    <row r="202" spans="1:20" ht="12.75" customHeight="1" x14ac:dyDescent="0.25">
      <c r="C202" s="244"/>
      <c r="D202" s="244"/>
      <c r="E202" s="244"/>
      <c r="F202" s="244"/>
      <c r="G202" s="244"/>
      <c r="H202" s="244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</row>
  </sheetData>
  <mergeCells count="4">
    <mergeCell ref="C1:K1"/>
    <mergeCell ref="L1:T1"/>
    <mergeCell ref="A1:A2"/>
    <mergeCell ref="B1:B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01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2" sqref="E2"/>
    </sheetView>
  </sheetViews>
  <sheetFormatPr defaultColWidth="9.140625" defaultRowHeight="12.75" x14ac:dyDescent="0.2"/>
  <cols>
    <col min="1" max="1" width="21.7109375" style="357" customWidth="1"/>
    <col min="2" max="2" width="36.7109375" style="245" customWidth="1"/>
    <col min="3" max="34" width="8.140625" style="245" customWidth="1"/>
    <col min="35" max="16384" width="9.140625" style="245"/>
  </cols>
  <sheetData>
    <row r="1" spans="1:38" ht="26.25" customHeight="1" x14ac:dyDescent="0.2">
      <c r="A1" s="1020" t="s">
        <v>1177</v>
      </c>
      <c r="B1" s="1021"/>
      <c r="C1" s="1020" t="s">
        <v>1084</v>
      </c>
      <c r="D1" s="1024"/>
      <c r="E1" s="1024"/>
      <c r="F1" s="1021"/>
      <c r="G1" s="1020" t="s">
        <v>1085</v>
      </c>
      <c r="H1" s="1024"/>
      <c r="I1" s="1024"/>
      <c r="J1" s="1021"/>
      <c r="K1" s="1020" t="s">
        <v>1086</v>
      </c>
      <c r="L1" s="1024"/>
      <c r="M1" s="1024"/>
      <c r="N1" s="1021"/>
      <c r="O1" s="1020" t="s">
        <v>1087</v>
      </c>
      <c r="P1" s="1024"/>
      <c r="Q1" s="1024"/>
      <c r="R1" s="1021"/>
      <c r="S1" s="1020" t="s">
        <v>1088</v>
      </c>
      <c r="T1" s="1024"/>
      <c r="U1" s="1024"/>
      <c r="V1" s="1021"/>
      <c r="W1" s="1020" t="s">
        <v>1089</v>
      </c>
      <c r="X1" s="1024"/>
      <c r="Y1" s="1024"/>
      <c r="Z1" s="1021"/>
      <c r="AA1" s="1020" t="s">
        <v>1090</v>
      </c>
      <c r="AB1" s="1024"/>
      <c r="AC1" s="1024"/>
      <c r="AD1" s="1021"/>
      <c r="AE1" s="1020" t="s">
        <v>1091</v>
      </c>
      <c r="AF1" s="1024"/>
      <c r="AG1" s="1024"/>
      <c r="AH1" s="1021"/>
      <c r="AI1" s="1020" t="s">
        <v>1154</v>
      </c>
      <c r="AJ1" s="1024"/>
      <c r="AK1" s="1024"/>
      <c r="AL1" s="1021"/>
    </row>
    <row r="2" spans="1:38" ht="60.75" customHeight="1" thickBot="1" x14ac:dyDescent="0.25">
      <c r="A2" s="1022"/>
      <c r="B2" s="1023"/>
      <c r="C2" s="569" t="s">
        <v>34</v>
      </c>
      <c r="D2" s="570" t="s">
        <v>35</v>
      </c>
      <c r="E2" s="570" t="s">
        <v>36</v>
      </c>
      <c r="F2" s="571" t="s">
        <v>37</v>
      </c>
      <c r="G2" s="569" t="s">
        <v>34</v>
      </c>
      <c r="H2" s="570" t="s">
        <v>35</v>
      </c>
      <c r="I2" s="570" t="s">
        <v>36</v>
      </c>
      <c r="J2" s="571" t="s">
        <v>37</v>
      </c>
      <c r="K2" s="569" t="s">
        <v>34</v>
      </c>
      <c r="L2" s="570" t="s">
        <v>35</v>
      </c>
      <c r="M2" s="570" t="s">
        <v>36</v>
      </c>
      <c r="N2" s="571" t="s">
        <v>37</v>
      </c>
      <c r="O2" s="569" t="str">
        <f t="shared" ref="O2:Z2" si="0">K2</f>
        <v>Bűnügy</v>
      </c>
      <c r="P2" s="570" t="str">
        <f t="shared" si="0"/>
        <v>Közrend</v>
      </c>
      <c r="Q2" s="570" t="str">
        <f t="shared" si="0"/>
        <v>Közlekedés</v>
      </c>
      <c r="R2" s="571" t="str">
        <f t="shared" si="0"/>
        <v>Összesen</v>
      </c>
      <c r="S2" s="569" t="str">
        <f t="shared" si="0"/>
        <v>Bűnügy</v>
      </c>
      <c r="T2" s="570" t="str">
        <f t="shared" si="0"/>
        <v>Közrend</v>
      </c>
      <c r="U2" s="570" t="str">
        <f t="shared" si="0"/>
        <v>Közlekedés</v>
      </c>
      <c r="V2" s="571" t="str">
        <f t="shared" si="0"/>
        <v>Összesen</v>
      </c>
      <c r="W2" s="569" t="str">
        <f t="shared" si="0"/>
        <v>Bűnügy</v>
      </c>
      <c r="X2" s="570" t="str">
        <f t="shared" si="0"/>
        <v>Közrend</v>
      </c>
      <c r="Y2" s="570" t="str">
        <f t="shared" si="0"/>
        <v>Közlekedés</v>
      </c>
      <c r="Z2" s="572" t="str">
        <f t="shared" si="0"/>
        <v>Összesen</v>
      </c>
      <c r="AA2" s="569" t="str">
        <f t="shared" ref="AA2:AD2" si="1">S2</f>
        <v>Bűnügy</v>
      </c>
      <c r="AB2" s="570" t="str">
        <f t="shared" si="1"/>
        <v>Közrend</v>
      </c>
      <c r="AC2" s="570" t="str">
        <f t="shared" si="1"/>
        <v>Közlekedés</v>
      </c>
      <c r="AD2" s="572" t="str">
        <f t="shared" si="1"/>
        <v>Összesen</v>
      </c>
      <c r="AE2" s="570" t="str">
        <f t="shared" ref="AE2:AL2" si="2">S2</f>
        <v>Bűnügy</v>
      </c>
      <c r="AF2" s="570" t="str">
        <f t="shared" si="2"/>
        <v>Közrend</v>
      </c>
      <c r="AG2" s="570" t="str">
        <f t="shared" si="2"/>
        <v>Közlekedés</v>
      </c>
      <c r="AH2" s="572" t="str">
        <f t="shared" si="2"/>
        <v>Összesen</v>
      </c>
      <c r="AI2" s="570" t="str">
        <f t="shared" si="2"/>
        <v>Bűnügy</v>
      </c>
      <c r="AJ2" s="570" t="str">
        <f t="shared" si="2"/>
        <v>Közrend</v>
      </c>
      <c r="AK2" s="570" t="str">
        <f t="shared" si="2"/>
        <v>Közlekedés</v>
      </c>
      <c r="AL2" s="572" t="str">
        <f t="shared" si="2"/>
        <v>Összesen</v>
      </c>
    </row>
    <row r="3" spans="1:38" x14ac:dyDescent="0.2">
      <c r="A3" s="1017" t="s">
        <v>573</v>
      </c>
      <c r="B3" s="767" t="s">
        <v>574</v>
      </c>
      <c r="C3" s="573">
        <v>93</v>
      </c>
      <c r="D3" s="574">
        <v>0</v>
      </c>
      <c r="E3" s="574">
        <v>0</v>
      </c>
      <c r="F3" s="575">
        <v>93</v>
      </c>
      <c r="G3" s="573">
        <v>27</v>
      </c>
      <c r="H3" s="576">
        <v>0</v>
      </c>
      <c r="I3" s="574">
        <v>0</v>
      </c>
      <c r="J3" s="575">
        <v>27</v>
      </c>
      <c r="K3" s="573">
        <v>28</v>
      </c>
      <c r="L3" s="576">
        <v>0</v>
      </c>
      <c r="M3" s="574">
        <v>0</v>
      </c>
      <c r="N3" s="575">
        <v>28</v>
      </c>
      <c r="O3" s="573">
        <v>21</v>
      </c>
      <c r="P3" s="576">
        <v>0</v>
      </c>
      <c r="Q3" s="576">
        <v>1</v>
      </c>
      <c r="R3" s="575">
        <v>22</v>
      </c>
      <c r="S3" s="573">
        <v>2</v>
      </c>
      <c r="T3" s="576">
        <v>0</v>
      </c>
      <c r="U3" s="574">
        <v>8</v>
      </c>
      <c r="V3" s="575">
        <v>10</v>
      </c>
      <c r="W3" s="573">
        <v>23</v>
      </c>
      <c r="X3" s="576">
        <v>0</v>
      </c>
      <c r="Y3" s="576">
        <v>1</v>
      </c>
      <c r="Z3" s="575">
        <v>24</v>
      </c>
      <c r="AA3" s="573">
        <v>7</v>
      </c>
      <c r="AB3" s="576">
        <v>0</v>
      </c>
      <c r="AC3" s="576">
        <v>0</v>
      </c>
      <c r="AD3" s="575">
        <v>7</v>
      </c>
      <c r="AE3" s="576">
        <v>2</v>
      </c>
      <c r="AF3" s="576">
        <v>0</v>
      </c>
      <c r="AG3" s="576">
        <v>0</v>
      </c>
      <c r="AH3" s="575">
        <v>2</v>
      </c>
      <c r="AI3" s="576"/>
      <c r="AJ3" s="576"/>
      <c r="AK3" s="576"/>
      <c r="AL3" s="575"/>
    </row>
    <row r="4" spans="1:38" x14ac:dyDescent="0.2">
      <c r="A4" s="1018"/>
      <c r="B4" s="768" t="s">
        <v>629</v>
      </c>
      <c r="C4" s="577">
        <v>6</v>
      </c>
      <c r="D4" s="578">
        <v>0</v>
      </c>
      <c r="E4" s="578">
        <v>0</v>
      </c>
      <c r="F4" s="579">
        <v>6</v>
      </c>
      <c r="G4" s="577">
        <v>1</v>
      </c>
      <c r="H4" s="578">
        <v>0</v>
      </c>
      <c r="I4" s="578">
        <v>0</v>
      </c>
      <c r="J4" s="579">
        <v>1</v>
      </c>
      <c r="K4" s="580">
        <v>0</v>
      </c>
      <c r="L4" s="578">
        <v>0</v>
      </c>
      <c r="M4" s="578">
        <v>0</v>
      </c>
      <c r="N4" s="581">
        <v>0</v>
      </c>
      <c r="O4" s="577">
        <v>35</v>
      </c>
      <c r="P4" s="578">
        <v>0</v>
      </c>
      <c r="Q4" s="578">
        <v>0</v>
      </c>
      <c r="R4" s="579">
        <v>35</v>
      </c>
      <c r="S4" s="580">
        <v>35</v>
      </c>
      <c r="T4" s="578">
        <v>0</v>
      </c>
      <c r="U4" s="578">
        <v>0</v>
      </c>
      <c r="V4" s="581">
        <v>35</v>
      </c>
      <c r="W4" s="577">
        <v>39</v>
      </c>
      <c r="X4" s="578">
        <v>0</v>
      </c>
      <c r="Y4" s="578">
        <v>0</v>
      </c>
      <c r="Z4" s="579">
        <v>39</v>
      </c>
      <c r="AA4" s="577">
        <v>39</v>
      </c>
      <c r="AB4" s="578">
        <v>0</v>
      </c>
      <c r="AC4" s="578">
        <v>0</v>
      </c>
      <c r="AD4" s="579">
        <v>39</v>
      </c>
      <c r="AE4" s="582">
        <v>75</v>
      </c>
      <c r="AF4" s="578">
        <v>0</v>
      </c>
      <c r="AG4" s="578">
        <v>0</v>
      </c>
      <c r="AH4" s="579">
        <v>75</v>
      </c>
      <c r="AI4" s="582"/>
      <c r="AJ4" s="578"/>
      <c r="AK4" s="578"/>
      <c r="AL4" s="579"/>
    </row>
    <row r="5" spans="1:38" x14ac:dyDescent="0.2">
      <c r="A5" s="1018"/>
      <c r="B5" s="768" t="s">
        <v>630</v>
      </c>
      <c r="C5" s="577">
        <v>19</v>
      </c>
      <c r="D5" s="582">
        <v>0</v>
      </c>
      <c r="E5" s="578">
        <v>0</v>
      </c>
      <c r="F5" s="579">
        <v>19</v>
      </c>
      <c r="G5" s="577">
        <v>13</v>
      </c>
      <c r="H5" s="578">
        <v>0</v>
      </c>
      <c r="I5" s="578">
        <v>0</v>
      </c>
      <c r="J5" s="579">
        <v>13</v>
      </c>
      <c r="K5" s="577">
        <v>5</v>
      </c>
      <c r="L5" s="578">
        <v>0</v>
      </c>
      <c r="M5" s="578">
        <v>0</v>
      </c>
      <c r="N5" s="579">
        <v>5</v>
      </c>
      <c r="O5" s="577">
        <v>71</v>
      </c>
      <c r="P5" s="578">
        <v>0</v>
      </c>
      <c r="Q5" s="578">
        <v>0</v>
      </c>
      <c r="R5" s="579">
        <v>71</v>
      </c>
      <c r="S5" s="577">
        <v>70</v>
      </c>
      <c r="T5" s="578">
        <v>0</v>
      </c>
      <c r="U5" s="578">
        <v>0</v>
      </c>
      <c r="V5" s="579">
        <v>70</v>
      </c>
      <c r="W5" s="577">
        <v>68</v>
      </c>
      <c r="X5" s="578">
        <v>0</v>
      </c>
      <c r="Y5" s="578">
        <v>0</v>
      </c>
      <c r="Z5" s="579">
        <v>68</v>
      </c>
      <c r="AA5" s="577">
        <v>54</v>
      </c>
      <c r="AB5" s="578">
        <v>0</v>
      </c>
      <c r="AC5" s="578">
        <v>0</v>
      </c>
      <c r="AD5" s="579">
        <v>54</v>
      </c>
      <c r="AE5" s="582">
        <v>101</v>
      </c>
      <c r="AF5" s="578">
        <v>0</v>
      </c>
      <c r="AG5" s="578">
        <v>0</v>
      </c>
      <c r="AH5" s="579">
        <v>101</v>
      </c>
      <c r="AI5" s="582"/>
      <c r="AJ5" s="578"/>
      <c r="AK5" s="578"/>
      <c r="AL5" s="579"/>
    </row>
    <row r="6" spans="1:38" x14ac:dyDescent="0.2">
      <c r="A6" s="1018"/>
      <c r="B6" s="768" t="s">
        <v>631</v>
      </c>
      <c r="C6" s="577">
        <v>8</v>
      </c>
      <c r="D6" s="578">
        <v>0</v>
      </c>
      <c r="E6" s="578">
        <v>0</v>
      </c>
      <c r="F6" s="579">
        <v>8</v>
      </c>
      <c r="G6" s="577">
        <v>20</v>
      </c>
      <c r="H6" s="578">
        <v>0</v>
      </c>
      <c r="I6" s="578">
        <v>0</v>
      </c>
      <c r="J6" s="579">
        <v>20</v>
      </c>
      <c r="K6" s="577">
        <v>5</v>
      </c>
      <c r="L6" s="578">
        <v>0</v>
      </c>
      <c r="M6" s="578">
        <v>0</v>
      </c>
      <c r="N6" s="579">
        <v>5</v>
      </c>
      <c r="O6" s="577">
        <v>62</v>
      </c>
      <c r="P6" s="578">
        <v>0</v>
      </c>
      <c r="Q6" s="578">
        <v>0</v>
      </c>
      <c r="R6" s="579">
        <v>62</v>
      </c>
      <c r="S6" s="577">
        <v>154</v>
      </c>
      <c r="T6" s="578">
        <v>0</v>
      </c>
      <c r="U6" s="578">
        <v>0</v>
      </c>
      <c r="V6" s="579">
        <v>154</v>
      </c>
      <c r="W6" s="577">
        <v>136</v>
      </c>
      <c r="X6" s="578">
        <v>0</v>
      </c>
      <c r="Y6" s="578">
        <v>0</v>
      </c>
      <c r="Z6" s="579">
        <v>136</v>
      </c>
      <c r="AA6" s="577">
        <v>149</v>
      </c>
      <c r="AB6" s="578">
        <v>0</v>
      </c>
      <c r="AC6" s="578">
        <v>0</v>
      </c>
      <c r="AD6" s="579">
        <v>149</v>
      </c>
      <c r="AE6" s="582">
        <v>106</v>
      </c>
      <c r="AF6" s="578">
        <v>0</v>
      </c>
      <c r="AG6" s="578">
        <v>0</v>
      </c>
      <c r="AH6" s="579">
        <v>106</v>
      </c>
      <c r="AI6" s="582"/>
      <c r="AJ6" s="578"/>
      <c r="AK6" s="578"/>
      <c r="AL6" s="579"/>
    </row>
    <row r="7" spans="1:38" x14ac:dyDescent="0.2">
      <c r="A7" s="1018"/>
      <c r="B7" s="768" t="s">
        <v>632</v>
      </c>
      <c r="C7" s="577">
        <v>3</v>
      </c>
      <c r="D7" s="578">
        <v>0</v>
      </c>
      <c r="E7" s="578">
        <v>0</v>
      </c>
      <c r="F7" s="579">
        <v>3</v>
      </c>
      <c r="G7" s="577">
        <v>1</v>
      </c>
      <c r="H7" s="578">
        <v>0</v>
      </c>
      <c r="I7" s="578">
        <v>0</v>
      </c>
      <c r="J7" s="579">
        <v>1</v>
      </c>
      <c r="K7" s="577">
        <v>14</v>
      </c>
      <c r="L7" s="578">
        <v>0</v>
      </c>
      <c r="M7" s="578">
        <v>0</v>
      </c>
      <c r="N7" s="579">
        <v>14</v>
      </c>
      <c r="O7" s="577">
        <v>86</v>
      </c>
      <c r="P7" s="578">
        <v>0</v>
      </c>
      <c r="Q7" s="578">
        <v>0</v>
      </c>
      <c r="R7" s="579">
        <v>86</v>
      </c>
      <c r="S7" s="577">
        <v>91</v>
      </c>
      <c r="T7" s="578">
        <v>0</v>
      </c>
      <c r="U7" s="578">
        <v>0</v>
      </c>
      <c r="V7" s="579">
        <v>91</v>
      </c>
      <c r="W7" s="577">
        <v>84</v>
      </c>
      <c r="X7" s="578">
        <v>0</v>
      </c>
      <c r="Y7" s="578">
        <v>0</v>
      </c>
      <c r="Z7" s="579">
        <v>84</v>
      </c>
      <c r="AA7" s="577">
        <v>92</v>
      </c>
      <c r="AB7" s="578">
        <v>0</v>
      </c>
      <c r="AC7" s="578">
        <v>0</v>
      </c>
      <c r="AD7" s="579">
        <v>92</v>
      </c>
      <c r="AE7" s="582">
        <v>89</v>
      </c>
      <c r="AF7" s="578">
        <v>0</v>
      </c>
      <c r="AG7" s="578">
        <v>0</v>
      </c>
      <c r="AH7" s="579">
        <v>89</v>
      </c>
      <c r="AI7" s="582"/>
      <c r="AJ7" s="578"/>
      <c r="AK7" s="578"/>
      <c r="AL7" s="579"/>
    </row>
    <row r="8" spans="1:38" x14ac:dyDescent="0.2">
      <c r="A8" s="1018"/>
      <c r="B8" s="768" t="s">
        <v>633</v>
      </c>
      <c r="C8" s="577">
        <v>7</v>
      </c>
      <c r="D8" s="578">
        <v>0</v>
      </c>
      <c r="E8" s="578">
        <v>0</v>
      </c>
      <c r="F8" s="579">
        <v>7</v>
      </c>
      <c r="G8" s="577">
        <v>5</v>
      </c>
      <c r="H8" s="578">
        <v>0</v>
      </c>
      <c r="I8" s="578">
        <v>0</v>
      </c>
      <c r="J8" s="579">
        <v>5</v>
      </c>
      <c r="K8" s="577">
        <v>15</v>
      </c>
      <c r="L8" s="578">
        <v>0</v>
      </c>
      <c r="M8" s="578">
        <v>0</v>
      </c>
      <c r="N8" s="579">
        <v>15</v>
      </c>
      <c r="O8" s="577">
        <v>87</v>
      </c>
      <c r="P8" s="582">
        <v>1</v>
      </c>
      <c r="Q8" s="578">
        <v>0</v>
      </c>
      <c r="R8" s="579">
        <v>88</v>
      </c>
      <c r="S8" s="577">
        <v>117</v>
      </c>
      <c r="T8" s="578">
        <v>0</v>
      </c>
      <c r="U8" s="578">
        <v>0</v>
      </c>
      <c r="V8" s="579">
        <v>117</v>
      </c>
      <c r="W8" s="577">
        <v>124</v>
      </c>
      <c r="X8" s="582">
        <v>1</v>
      </c>
      <c r="Y8" s="578">
        <v>0</v>
      </c>
      <c r="Z8" s="579">
        <v>125</v>
      </c>
      <c r="AA8" s="577">
        <v>152</v>
      </c>
      <c r="AB8" s="582">
        <v>0</v>
      </c>
      <c r="AC8" s="578">
        <v>0</v>
      </c>
      <c r="AD8" s="579">
        <v>152</v>
      </c>
      <c r="AE8" s="582">
        <v>211</v>
      </c>
      <c r="AF8" s="582">
        <v>0</v>
      </c>
      <c r="AG8" s="578">
        <v>0</v>
      </c>
      <c r="AH8" s="579">
        <v>211</v>
      </c>
      <c r="AI8" s="582"/>
      <c r="AJ8" s="582"/>
      <c r="AK8" s="578"/>
      <c r="AL8" s="579"/>
    </row>
    <row r="9" spans="1:38" x14ac:dyDescent="0.2">
      <c r="A9" s="1018"/>
      <c r="B9" s="768" t="s">
        <v>634</v>
      </c>
      <c r="C9" s="577">
        <v>1</v>
      </c>
      <c r="D9" s="578">
        <v>0</v>
      </c>
      <c r="E9" s="578">
        <v>0</v>
      </c>
      <c r="F9" s="579">
        <v>1</v>
      </c>
      <c r="G9" s="577">
        <v>5</v>
      </c>
      <c r="H9" s="578">
        <v>0</v>
      </c>
      <c r="I9" s="578">
        <v>0</v>
      </c>
      <c r="J9" s="579">
        <v>5</v>
      </c>
      <c r="K9" s="577">
        <v>3</v>
      </c>
      <c r="L9" s="578">
        <v>0</v>
      </c>
      <c r="M9" s="578">
        <v>0</v>
      </c>
      <c r="N9" s="579">
        <v>3</v>
      </c>
      <c r="O9" s="577">
        <v>45</v>
      </c>
      <c r="P9" s="578">
        <v>0</v>
      </c>
      <c r="Q9" s="578">
        <v>0</v>
      </c>
      <c r="R9" s="579">
        <v>45</v>
      </c>
      <c r="S9" s="577">
        <v>100</v>
      </c>
      <c r="T9" s="578">
        <v>1</v>
      </c>
      <c r="U9" s="578">
        <v>0</v>
      </c>
      <c r="V9" s="579">
        <v>101</v>
      </c>
      <c r="W9" s="577">
        <v>79</v>
      </c>
      <c r="X9" s="578">
        <v>0</v>
      </c>
      <c r="Y9" s="578">
        <v>0</v>
      </c>
      <c r="Z9" s="579">
        <v>79</v>
      </c>
      <c r="AA9" s="577">
        <v>144</v>
      </c>
      <c r="AB9" s="578">
        <v>1</v>
      </c>
      <c r="AC9" s="578">
        <v>0</v>
      </c>
      <c r="AD9" s="579">
        <v>145</v>
      </c>
      <c r="AE9" s="582">
        <v>228</v>
      </c>
      <c r="AF9" s="578">
        <v>0</v>
      </c>
      <c r="AG9" s="578">
        <v>0</v>
      </c>
      <c r="AH9" s="579">
        <v>228</v>
      </c>
      <c r="AI9" s="582"/>
      <c r="AJ9" s="578"/>
      <c r="AK9" s="578"/>
      <c r="AL9" s="579"/>
    </row>
    <row r="10" spans="1:38" x14ac:dyDescent="0.2">
      <c r="A10" s="1018"/>
      <c r="B10" s="768" t="s">
        <v>635</v>
      </c>
      <c r="C10" s="577">
        <v>4</v>
      </c>
      <c r="D10" s="578">
        <v>0</v>
      </c>
      <c r="E10" s="578">
        <v>0</v>
      </c>
      <c r="F10" s="579">
        <v>4</v>
      </c>
      <c r="G10" s="577">
        <v>5</v>
      </c>
      <c r="H10" s="578">
        <v>0</v>
      </c>
      <c r="I10" s="578">
        <v>0</v>
      </c>
      <c r="J10" s="579">
        <v>5</v>
      </c>
      <c r="K10" s="577">
        <v>14</v>
      </c>
      <c r="L10" s="578">
        <v>0</v>
      </c>
      <c r="M10" s="578">
        <v>0</v>
      </c>
      <c r="N10" s="579">
        <v>14</v>
      </c>
      <c r="O10" s="577">
        <v>40</v>
      </c>
      <c r="P10" s="578">
        <v>0</v>
      </c>
      <c r="Q10" s="578">
        <v>0</v>
      </c>
      <c r="R10" s="579">
        <v>40</v>
      </c>
      <c r="S10" s="577">
        <v>33</v>
      </c>
      <c r="T10" s="578">
        <v>0</v>
      </c>
      <c r="U10" s="578">
        <v>0</v>
      </c>
      <c r="V10" s="579">
        <v>33</v>
      </c>
      <c r="W10" s="577">
        <v>42</v>
      </c>
      <c r="X10" s="578">
        <v>0</v>
      </c>
      <c r="Y10" s="578">
        <v>0</v>
      </c>
      <c r="Z10" s="579">
        <v>42</v>
      </c>
      <c r="AA10" s="577">
        <v>52</v>
      </c>
      <c r="AB10" s="578">
        <v>0</v>
      </c>
      <c r="AC10" s="578">
        <v>0</v>
      </c>
      <c r="AD10" s="579">
        <v>52</v>
      </c>
      <c r="AE10" s="582">
        <v>79</v>
      </c>
      <c r="AF10" s="578">
        <v>0</v>
      </c>
      <c r="AG10" s="578">
        <v>0</v>
      </c>
      <c r="AH10" s="579">
        <v>79</v>
      </c>
      <c r="AI10" s="582"/>
      <c r="AJ10" s="578"/>
      <c r="AK10" s="578"/>
      <c r="AL10" s="579"/>
    </row>
    <row r="11" spans="1:38" x14ac:dyDescent="0.2">
      <c r="A11" s="1018"/>
      <c r="B11" s="768" t="s">
        <v>636</v>
      </c>
      <c r="C11" s="577">
        <v>21</v>
      </c>
      <c r="D11" s="578">
        <v>0</v>
      </c>
      <c r="E11" s="578">
        <v>0</v>
      </c>
      <c r="F11" s="579">
        <v>21</v>
      </c>
      <c r="G11" s="577">
        <v>20</v>
      </c>
      <c r="H11" s="578">
        <v>0</v>
      </c>
      <c r="I11" s="578">
        <v>0</v>
      </c>
      <c r="J11" s="579">
        <v>20</v>
      </c>
      <c r="K11" s="577">
        <v>16</v>
      </c>
      <c r="L11" s="582">
        <v>1</v>
      </c>
      <c r="M11" s="578">
        <v>0</v>
      </c>
      <c r="N11" s="579">
        <v>17</v>
      </c>
      <c r="O11" s="577">
        <v>73</v>
      </c>
      <c r="P11" s="578">
        <v>0</v>
      </c>
      <c r="Q11" s="578">
        <v>0</v>
      </c>
      <c r="R11" s="579">
        <v>73</v>
      </c>
      <c r="S11" s="577">
        <v>105</v>
      </c>
      <c r="T11" s="582">
        <v>2</v>
      </c>
      <c r="U11" s="578">
        <v>0</v>
      </c>
      <c r="V11" s="579">
        <v>107</v>
      </c>
      <c r="W11" s="577">
        <v>39</v>
      </c>
      <c r="X11" s="578">
        <v>0</v>
      </c>
      <c r="Y11" s="578">
        <v>0</v>
      </c>
      <c r="Z11" s="579">
        <v>39</v>
      </c>
      <c r="AA11" s="577">
        <v>135</v>
      </c>
      <c r="AB11" s="578">
        <v>4</v>
      </c>
      <c r="AC11" s="578">
        <v>0</v>
      </c>
      <c r="AD11" s="579">
        <v>139</v>
      </c>
      <c r="AE11" s="582">
        <v>133</v>
      </c>
      <c r="AF11" s="578">
        <v>0</v>
      </c>
      <c r="AG11" s="578">
        <v>0</v>
      </c>
      <c r="AH11" s="579">
        <v>133</v>
      </c>
      <c r="AI11" s="582"/>
      <c r="AJ11" s="578"/>
      <c r="AK11" s="578"/>
      <c r="AL11" s="579"/>
    </row>
    <row r="12" spans="1:38" x14ac:dyDescent="0.2">
      <c r="A12" s="1018"/>
      <c r="B12" s="768" t="s">
        <v>637</v>
      </c>
      <c r="C12" s="577">
        <v>7</v>
      </c>
      <c r="D12" s="578">
        <v>0</v>
      </c>
      <c r="E12" s="578">
        <v>0</v>
      </c>
      <c r="F12" s="579">
        <v>7</v>
      </c>
      <c r="G12" s="577">
        <v>2</v>
      </c>
      <c r="H12" s="578">
        <v>0</v>
      </c>
      <c r="I12" s="578">
        <v>0</v>
      </c>
      <c r="J12" s="579">
        <v>2</v>
      </c>
      <c r="K12" s="577">
        <v>4</v>
      </c>
      <c r="L12" s="578">
        <v>0</v>
      </c>
      <c r="M12" s="578">
        <v>0</v>
      </c>
      <c r="N12" s="579">
        <v>4</v>
      </c>
      <c r="O12" s="577">
        <v>52</v>
      </c>
      <c r="P12" s="578">
        <v>0</v>
      </c>
      <c r="Q12" s="578">
        <v>0</v>
      </c>
      <c r="R12" s="579">
        <v>52</v>
      </c>
      <c r="S12" s="577">
        <v>80</v>
      </c>
      <c r="T12" s="578">
        <v>0</v>
      </c>
      <c r="U12" s="578">
        <v>0</v>
      </c>
      <c r="V12" s="579">
        <v>80</v>
      </c>
      <c r="W12" s="577">
        <v>81</v>
      </c>
      <c r="X12" s="578">
        <v>0</v>
      </c>
      <c r="Y12" s="578">
        <v>0</v>
      </c>
      <c r="Z12" s="579">
        <v>81</v>
      </c>
      <c r="AA12" s="577">
        <v>77</v>
      </c>
      <c r="AB12" s="578">
        <v>0</v>
      </c>
      <c r="AC12" s="578">
        <v>0</v>
      </c>
      <c r="AD12" s="579">
        <v>77</v>
      </c>
      <c r="AE12" s="582">
        <v>50</v>
      </c>
      <c r="AF12" s="578">
        <v>0</v>
      </c>
      <c r="AG12" s="578">
        <v>0</v>
      </c>
      <c r="AH12" s="579">
        <v>50</v>
      </c>
      <c r="AI12" s="582"/>
      <c r="AJ12" s="578"/>
      <c r="AK12" s="578"/>
      <c r="AL12" s="579"/>
    </row>
    <row r="13" spans="1:38" x14ac:dyDescent="0.2">
      <c r="A13" s="1018"/>
      <c r="B13" s="768" t="s">
        <v>638</v>
      </c>
      <c r="C13" s="577">
        <v>9</v>
      </c>
      <c r="D13" s="578">
        <v>0</v>
      </c>
      <c r="E13" s="578">
        <v>0</v>
      </c>
      <c r="F13" s="579">
        <v>9</v>
      </c>
      <c r="G13" s="577">
        <v>24</v>
      </c>
      <c r="H13" s="578">
        <v>0</v>
      </c>
      <c r="I13" s="578">
        <v>0</v>
      </c>
      <c r="J13" s="579">
        <v>24</v>
      </c>
      <c r="K13" s="577">
        <v>24</v>
      </c>
      <c r="L13" s="578">
        <v>0</v>
      </c>
      <c r="M13" s="578">
        <v>0</v>
      </c>
      <c r="N13" s="579">
        <v>24</v>
      </c>
      <c r="O13" s="577">
        <v>46</v>
      </c>
      <c r="P13" s="578">
        <v>0</v>
      </c>
      <c r="Q13" s="578">
        <v>0</v>
      </c>
      <c r="R13" s="579">
        <v>46</v>
      </c>
      <c r="S13" s="577">
        <v>91</v>
      </c>
      <c r="T13" s="578">
        <v>0</v>
      </c>
      <c r="U13" s="578">
        <v>0</v>
      </c>
      <c r="V13" s="579">
        <v>91</v>
      </c>
      <c r="W13" s="577">
        <v>26</v>
      </c>
      <c r="X13" s="578">
        <v>0</v>
      </c>
      <c r="Y13" s="578">
        <v>0</v>
      </c>
      <c r="Z13" s="579">
        <v>26</v>
      </c>
      <c r="AA13" s="577">
        <v>95</v>
      </c>
      <c r="AB13" s="578">
        <v>1</v>
      </c>
      <c r="AC13" s="578">
        <v>0</v>
      </c>
      <c r="AD13" s="579">
        <v>96</v>
      </c>
      <c r="AE13" s="582">
        <v>128</v>
      </c>
      <c r="AF13" s="578">
        <v>0</v>
      </c>
      <c r="AG13" s="578">
        <v>0</v>
      </c>
      <c r="AH13" s="579">
        <v>128</v>
      </c>
      <c r="AI13" s="582"/>
      <c r="AJ13" s="578"/>
      <c r="AK13" s="578"/>
      <c r="AL13" s="579"/>
    </row>
    <row r="14" spans="1:38" x14ac:dyDescent="0.2">
      <c r="A14" s="1018"/>
      <c r="B14" s="768" t="s">
        <v>639</v>
      </c>
      <c r="C14" s="577">
        <v>4</v>
      </c>
      <c r="D14" s="578">
        <v>0</v>
      </c>
      <c r="E14" s="578">
        <v>0</v>
      </c>
      <c r="F14" s="579">
        <v>4</v>
      </c>
      <c r="G14" s="577">
        <v>1</v>
      </c>
      <c r="H14" s="578">
        <v>0</v>
      </c>
      <c r="I14" s="578">
        <v>0</v>
      </c>
      <c r="J14" s="579">
        <v>1</v>
      </c>
      <c r="K14" s="577">
        <v>8</v>
      </c>
      <c r="L14" s="578">
        <v>0</v>
      </c>
      <c r="M14" s="578">
        <v>0</v>
      </c>
      <c r="N14" s="579">
        <v>8</v>
      </c>
      <c r="O14" s="577">
        <v>34</v>
      </c>
      <c r="P14" s="578">
        <v>0</v>
      </c>
      <c r="Q14" s="578">
        <v>0</v>
      </c>
      <c r="R14" s="579">
        <v>34</v>
      </c>
      <c r="S14" s="577">
        <v>41</v>
      </c>
      <c r="T14" s="578">
        <v>0</v>
      </c>
      <c r="U14" s="578">
        <v>0</v>
      </c>
      <c r="V14" s="579">
        <v>41</v>
      </c>
      <c r="W14" s="577">
        <v>47</v>
      </c>
      <c r="X14" s="578">
        <v>0</v>
      </c>
      <c r="Y14" s="578">
        <v>0</v>
      </c>
      <c r="Z14" s="579">
        <v>47</v>
      </c>
      <c r="AA14" s="577">
        <v>83</v>
      </c>
      <c r="AB14" s="578">
        <v>0</v>
      </c>
      <c r="AC14" s="578">
        <v>0</v>
      </c>
      <c r="AD14" s="579">
        <v>83</v>
      </c>
      <c r="AE14" s="582">
        <v>119</v>
      </c>
      <c r="AF14" s="578">
        <v>0</v>
      </c>
      <c r="AG14" s="578">
        <v>0</v>
      </c>
      <c r="AH14" s="579">
        <v>119</v>
      </c>
      <c r="AI14" s="582"/>
      <c r="AJ14" s="578"/>
      <c r="AK14" s="578"/>
      <c r="AL14" s="579"/>
    </row>
    <row r="15" spans="1:38" x14ac:dyDescent="0.2">
      <c r="A15" s="1018"/>
      <c r="B15" s="768" t="s">
        <v>640</v>
      </c>
      <c r="C15" s="580">
        <v>0</v>
      </c>
      <c r="D15" s="578">
        <v>0</v>
      </c>
      <c r="E15" s="578">
        <v>0</v>
      </c>
      <c r="F15" s="581">
        <v>0</v>
      </c>
      <c r="G15" s="577">
        <v>6</v>
      </c>
      <c r="H15" s="578">
        <v>0</v>
      </c>
      <c r="I15" s="578">
        <v>0</v>
      </c>
      <c r="J15" s="579">
        <v>6</v>
      </c>
      <c r="K15" s="577">
        <v>3</v>
      </c>
      <c r="L15" s="578">
        <v>0</v>
      </c>
      <c r="M15" s="578">
        <v>0</v>
      </c>
      <c r="N15" s="579">
        <v>3</v>
      </c>
      <c r="O15" s="577">
        <v>54</v>
      </c>
      <c r="P15" s="578">
        <v>0</v>
      </c>
      <c r="Q15" s="578">
        <v>0</v>
      </c>
      <c r="R15" s="579">
        <v>54</v>
      </c>
      <c r="S15" s="577">
        <v>54</v>
      </c>
      <c r="T15" s="578">
        <v>1</v>
      </c>
      <c r="U15" s="578">
        <v>0</v>
      </c>
      <c r="V15" s="579">
        <v>55</v>
      </c>
      <c r="W15" s="577">
        <v>15</v>
      </c>
      <c r="X15" s="578">
        <v>0</v>
      </c>
      <c r="Y15" s="578">
        <v>0</v>
      </c>
      <c r="Z15" s="579">
        <v>15</v>
      </c>
      <c r="AA15" s="577">
        <v>55</v>
      </c>
      <c r="AB15" s="578">
        <v>0</v>
      </c>
      <c r="AC15" s="578">
        <v>0</v>
      </c>
      <c r="AD15" s="579">
        <v>55</v>
      </c>
      <c r="AE15" s="582">
        <v>74</v>
      </c>
      <c r="AF15" s="578">
        <v>0</v>
      </c>
      <c r="AG15" s="578">
        <v>0</v>
      </c>
      <c r="AH15" s="579">
        <v>74</v>
      </c>
      <c r="AI15" s="582"/>
      <c r="AJ15" s="578"/>
      <c r="AK15" s="578"/>
      <c r="AL15" s="579"/>
    </row>
    <row r="16" spans="1:38" x14ac:dyDescent="0.2">
      <c r="A16" s="1018"/>
      <c r="B16" s="768" t="s">
        <v>641</v>
      </c>
      <c r="C16" s="577">
        <v>10</v>
      </c>
      <c r="D16" s="578">
        <v>0</v>
      </c>
      <c r="E16" s="578">
        <v>0</v>
      </c>
      <c r="F16" s="579">
        <v>10</v>
      </c>
      <c r="G16" s="577">
        <v>11</v>
      </c>
      <c r="H16" s="578">
        <v>0</v>
      </c>
      <c r="I16" s="578">
        <v>0</v>
      </c>
      <c r="J16" s="579">
        <v>11</v>
      </c>
      <c r="K16" s="577">
        <v>11</v>
      </c>
      <c r="L16" s="578">
        <v>0</v>
      </c>
      <c r="M16" s="578">
        <v>0</v>
      </c>
      <c r="N16" s="579">
        <v>11</v>
      </c>
      <c r="O16" s="577">
        <v>119</v>
      </c>
      <c r="P16" s="582">
        <v>5</v>
      </c>
      <c r="Q16" s="578">
        <v>0</v>
      </c>
      <c r="R16" s="579">
        <v>124</v>
      </c>
      <c r="S16" s="577">
        <v>146</v>
      </c>
      <c r="T16" s="578">
        <v>0</v>
      </c>
      <c r="U16" s="578">
        <v>1</v>
      </c>
      <c r="V16" s="579">
        <v>147</v>
      </c>
      <c r="W16" s="577">
        <v>130</v>
      </c>
      <c r="X16" s="582">
        <v>1</v>
      </c>
      <c r="Y16" s="578">
        <v>0</v>
      </c>
      <c r="Z16" s="579">
        <v>131</v>
      </c>
      <c r="AA16" s="577">
        <v>274</v>
      </c>
      <c r="AB16" s="582">
        <v>0</v>
      </c>
      <c r="AC16" s="578">
        <v>0</v>
      </c>
      <c r="AD16" s="579">
        <v>274</v>
      </c>
      <c r="AE16" s="582">
        <v>212</v>
      </c>
      <c r="AF16" s="582">
        <v>0</v>
      </c>
      <c r="AG16" s="578">
        <v>0</v>
      </c>
      <c r="AH16" s="579">
        <v>212</v>
      </c>
      <c r="AI16" s="582"/>
      <c r="AJ16" s="582"/>
      <c r="AK16" s="578"/>
      <c r="AL16" s="579"/>
    </row>
    <row r="17" spans="1:38" x14ac:dyDescent="0.2">
      <c r="A17" s="1018"/>
      <c r="B17" s="768" t="s">
        <v>642</v>
      </c>
      <c r="C17" s="577">
        <v>2</v>
      </c>
      <c r="D17" s="578">
        <v>0</v>
      </c>
      <c r="E17" s="578">
        <v>0</v>
      </c>
      <c r="F17" s="579">
        <v>2</v>
      </c>
      <c r="G17" s="577">
        <v>1</v>
      </c>
      <c r="H17" s="578">
        <v>0</v>
      </c>
      <c r="I17" s="578">
        <v>0</v>
      </c>
      <c r="J17" s="579">
        <v>1</v>
      </c>
      <c r="K17" s="577">
        <v>5</v>
      </c>
      <c r="L17" s="578">
        <v>0</v>
      </c>
      <c r="M17" s="578">
        <v>0</v>
      </c>
      <c r="N17" s="579">
        <v>5</v>
      </c>
      <c r="O17" s="577">
        <v>37</v>
      </c>
      <c r="P17" s="578">
        <v>0</v>
      </c>
      <c r="Q17" s="578">
        <v>0</v>
      </c>
      <c r="R17" s="579">
        <v>37</v>
      </c>
      <c r="S17" s="577">
        <v>59</v>
      </c>
      <c r="T17" s="578">
        <v>0</v>
      </c>
      <c r="U17" s="578">
        <v>0</v>
      </c>
      <c r="V17" s="579">
        <v>59</v>
      </c>
      <c r="W17" s="577">
        <v>74</v>
      </c>
      <c r="X17" s="578">
        <v>0</v>
      </c>
      <c r="Y17" s="578">
        <v>0</v>
      </c>
      <c r="Z17" s="579">
        <v>74</v>
      </c>
      <c r="AA17" s="577">
        <v>98</v>
      </c>
      <c r="AB17" s="578">
        <v>0</v>
      </c>
      <c r="AC17" s="578">
        <v>0</v>
      </c>
      <c r="AD17" s="579">
        <v>98</v>
      </c>
      <c r="AE17" s="582">
        <v>79</v>
      </c>
      <c r="AF17" s="578">
        <v>0</v>
      </c>
      <c r="AG17" s="578">
        <v>0</v>
      </c>
      <c r="AH17" s="579">
        <v>79</v>
      </c>
      <c r="AI17" s="582"/>
      <c r="AJ17" s="578"/>
      <c r="AK17" s="578"/>
      <c r="AL17" s="579"/>
    </row>
    <row r="18" spans="1:38" x14ac:dyDescent="0.2">
      <c r="A18" s="1018"/>
      <c r="B18" s="768" t="s">
        <v>643</v>
      </c>
      <c r="C18" s="580">
        <v>0</v>
      </c>
      <c r="D18" s="578">
        <v>0</v>
      </c>
      <c r="E18" s="578">
        <v>0</v>
      </c>
      <c r="F18" s="581">
        <v>0</v>
      </c>
      <c r="G18" s="580">
        <v>0</v>
      </c>
      <c r="H18" s="578">
        <v>0</v>
      </c>
      <c r="I18" s="578">
        <v>0</v>
      </c>
      <c r="J18" s="581">
        <v>0</v>
      </c>
      <c r="K18" s="577">
        <v>10</v>
      </c>
      <c r="L18" s="578">
        <v>0</v>
      </c>
      <c r="M18" s="578">
        <v>0</v>
      </c>
      <c r="N18" s="579">
        <v>10</v>
      </c>
      <c r="O18" s="577">
        <v>43</v>
      </c>
      <c r="P18" s="578">
        <v>0</v>
      </c>
      <c r="Q18" s="578">
        <v>0</v>
      </c>
      <c r="R18" s="579">
        <v>43</v>
      </c>
      <c r="S18" s="577">
        <v>64</v>
      </c>
      <c r="T18" s="578">
        <v>0</v>
      </c>
      <c r="U18" s="578">
        <v>0</v>
      </c>
      <c r="V18" s="579">
        <v>64</v>
      </c>
      <c r="W18" s="577">
        <v>41</v>
      </c>
      <c r="X18" s="578">
        <v>0</v>
      </c>
      <c r="Y18" s="578">
        <v>0</v>
      </c>
      <c r="Z18" s="579">
        <v>41</v>
      </c>
      <c r="AA18" s="577">
        <v>81</v>
      </c>
      <c r="AB18" s="578">
        <v>0</v>
      </c>
      <c r="AC18" s="578">
        <v>0</v>
      </c>
      <c r="AD18" s="579">
        <v>81</v>
      </c>
      <c r="AE18" s="582">
        <v>99</v>
      </c>
      <c r="AF18" s="578">
        <v>0</v>
      </c>
      <c r="AG18" s="578">
        <v>0</v>
      </c>
      <c r="AH18" s="579">
        <v>99</v>
      </c>
      <c r="AI18" s="582"/>
      <c r="AJ18" s="578"/>
      <c r="AK18" s="578"/>
      <c r="AL18" s="579"/>
    </row>
    <row r="19" spans="1:38" x14ac:dyDescent="0.2">
      <c r="A19" s="1018"/>
      <c r="B19" s="768" t="s">
        <v>644</v>
      </c>
      <c r="C19" s="577">
        <v>1</v>
      </c>
      <c r="D19" s="578">
        <v>0</v>
      </c>
      <c r="E19" s="578">
        <v>0</v>
      </c>
      <c r="F19" s="579">
        <v>1</v>
      </c>
      <c r="G19" s="577">
        <v>6</v>
      </c>
      <c r="H19" s="578">
        <v>0</v>
      </c>
      <c r="I19" s="578">
        <v>0</v>
      </c>
      <c r="J19" s="579">
        <v>6</v>
      </c>
      <c r="K19" s="577">
        <v>10</v>
      </c>
      <c r="L19" s="578">
        <v>0</v>
      </c>
      <c r="M19" s="578">
        <v>0</v>
      </c>
      <c r="N19" s="579">
        <v>10</v>
      </c>
      <c r="O19" s="577">
        <v>24</v>
      </c>
      <c r="P19" s="578">
        <v>0</v>
      </c>
      <c r="Q19" s="578">
        <v>0</v>
      </c>
      <c r="R19" s="579">
        <v>24</v>
      </c>
      <c r="S19" s="577">
        <v>66</v>
      </c>
      <c r="T19" s="578">
        <v>0</v>
      </c>
      <c r="U19" s="578">
        <v>0</v>
      </c>
      <c r="V19" s="579">
        <v>66</v>
      </c>
      <c r="W19" s="577">
        <v>50</v>
      </c>
      <c r="X19" s="578">
        <v>0</v>
      </c>
      <c r="Y19" s="578">
        <v>0</v>
      </c>
      <c r="Z19" s="579">
        <v>50</v>
      </c>
      <c r="AA19" s="577">
        <v>86</v>
      </c>
      <c r="AB19" s="578">
        <v>0</v>
      </c>
      <c r="AC19" s="578">
        <v>0</v>
      </c>
      <c r="AD19" s="579">
        <v>86</v>
      </c>
      <c r="AE19" s="582">
        <v>43</v>
      </c>
      <c r="AF19" s="578">
        <v>0</v>
      </c>
      <c r="AG19" s="578">
        <v>0</v>
      </c>
      <c r="AH19" s="579">
        <v>43</v>
      </c>
      <c r="AI19" s="582"/>
      <c r="AJ19" s="578"/>
      <c r="AK19" s="578"/>
      <c r="AL19" s="579"/>
    </row>
    <row r="20" spans="1:38" x14ac:dyDescent="0.2">
      <c r="A20" s="1018"/>
      <c r="B20" s="768" t="s">
        <v>645</v>
      </c>
      <c r="C20" s="580">
        <v>0</v>
      </c>
      <c r="D20" s="578">
        <v>0</v>
      </c>
      <c r="E20" s="578">
        <v>0</v>
      </c>
      <c r="F20" s="581">
        <v>0</v>
      </c>
      <c r="G20" s="580">
        <v>0</v>
      </c>
      <c r="H20" s="578">
        <v>0</v>
      </c>
      <c r="I20" s="578">
        <v>0</v>
      </c>
      <c r="J20" s="581">
        <v>0</v>
      </c>
      <c r="K20" s="577">
        <v>1</v>
      </c>
      <c r="L20" s="578">
        <v>0</v>
      </c>
      <c r="M20" s="578">
        <v>0</v>
      </c>
      <c r="N20" s="579">
        <v>1</v>
      </c>
      <c r="O20" s="577">
        <v>23</v>
      </c>
      <c r="P20" s="578">
        <v>0</v>
      </c>
      <c r="Q20" s="578">
        <v>0</v>
      </c>
      <c r="R20" s="579">
        <v>23</v>
      </c>
      <c r="S20" s="577">
        <v>26</v>
      </c>
      <c r="T20" s="578">
        <v>0</v>
      </c>
      <c r="U20" s="578">
        <v>0</v>
      </c>
      <c r="V20" s="579">
        <v>26</v>
      </c>
      <c r="W20" s="577">
        <v>14</v>
      </c>
      <c r="X20" s="578">
        <v>0</v>
      </c>
      <c r="Y20" s="578">
        <v>0</v>
      </c>
      <c r="Z20" s="579">
        <v>14</v>
      </c>
      <c r="AA20" s="577">
        <v>34</v>
      </c>
      <c r="AB20" s="578">
        <v>0</v>
      </c>
      <c r="AC20" s="578">
        <v>0</v>
      </c>
      <c r="AD20" s="579">
        <v>34</v>
      </c>
      <c r="AE20" s="582">
        <v>70</v>
      </c>
      <c r="AF20" s="578">
        <v>0</v>
      </c>
      <c r="AG20" s="578">
        <v>0</v>
      </c>
      <c r="AH20" s="579">
        <v>70</v>
      </c>
      <c r="AI20" s="582"/>
      <c r="AJ20" s="578"/>
      <c r="AK20" s="578"/>
      <c r="AL20" s="579"/>
    </row>
    <row r="21" spans="1:38" x14ac:dyDescent="0.2">
      <c r="A21" s="1018"/>
      <c r="B21" s="768" t="s">
        <v>646</v>
      </c>
      <c r="C21" s="577">
        <v>3</v>
      </c>
      <c r="D21" s="578">
        <v>0</v>
      </c>
      <c r="E21" s="578">
        <v>0</v>
      </c>
      <c r="F21" s="579">
        <v>3</v>
      </c>
      <c r="G21" s="577">
        <v>13</v>
      </c>
      <c r="H21" s="578">
        <v>0</v>
      </c>
      <c r="I21" s="578">
        <v>0</v>
      </c>
      <c r="J21" s="579">
        <v>13</v>
      </c>
      <c r="K21" s="577">
        <v>6</v>
      </c>
      <c r="L21" s="578">
        <v>0</v>
      </c>
      <c r="M21" s="578">
        <v>0</v>
      </c>
      <c r="N21" s="579">
        <v>6</v>
      </c>
      <c r="O21" s="577">
        <v>27</v>
      </c>
      <c r="P21" s="578">
        <v>0</v>
      </c>
      <c r="Q21" s="578">
        <v>0</v>
      </c>
      <c r="R21" s="579">
        <v>27</v>
      </c>
      <c r="S21" s="577">
        <v>41</v>
      </c>
      <c r="T21" s="578">
        <v>0</v>
      </c>
      <c r="U21" s="578">
        <v>0</v>
      </c>
      <c r="V21" s="579">
        <v>41</v>
      </c>
      <c r="W21" s="577">
        <v>33</v>
      </c>
      <c r="X21" s="578">
        <v>0</v>
      </c>
      <c r="Y21" s="578">
        <v>0</v>
      </c>
      <c r="Z21" s="579">
        <v>33</v>
      </c>
      <c r="AA21" s="577">
        <v>60</v>
      </c>
      <c r="AB21" s="578">
        <v>0</v>
      </c>
      <c r="AC21" s="578">
        <v>0</v>
      </c>
      <c r="AD21" s="579">
        <v>60</v>
      </c>
      <c r="AE21" s="582">
        <v>68</v>
      </c>
      <c r="AF21" s="578">
        <v>0</v>
      </c>
      <c r="AG21" s="578">
        <v>0</v>
      </c>
      <c r="AH21" s="579">
        <v>68</v>
      </c>
      <c r="AI21" s="582"/>
      <c r="AJ21" s="578"/>
      <c r="AK21" s="578"/>
      <c r="AL21" s="579"/>
    </row>
    <row r="22" spans="1:38" x14ac:dyDescent="0.2">
      <c r="A22" s="1018"/>
      <c r="B22" s="768" t="s">
        <v>647</v>
      </c>
      <c r="C22" s="577">
        <v>11</v>
      </c>
      <c r="D22" s="578">
        <v>0</v>
      </c>
      <c r="E22" s="578">
        <v>0</v>
      </c>
      <c r="F22" s="579">
        <v>11</v>
      </c>
      <c r="G22" s="577">
        <v>20</v>
      </c>
      <c r="H22" s="578">
        <v>0</v>
      </c>
      <c r="I22" s="578">
        <v>0</v>
      </c>
      <c r="J22" s="579">
        <v>20</v>
      </c>
      <c r="K22" s="577">
        <v>28</v>
      </c>
      <c r="L22" s="578">
        <v>0</v>
      </c>
      <c r="M22" s="578">
        <v>0</v>
      </c>
      <c r="N22" s="579">
        <v>28</v>
      </c>
      <c r="O22" s="577">
        <v>48</v>
      </c>
      <c r="P22" s="578">
        <v>0</v>
      </c>
      <c r="Q22" s="578">
        <v>0</v>
      </c>
      <c r="R22" s="579">
        <v>48</v>
      </c>
      <c r="S22" s="577">
        <v>55</v>
      </c>
      <c r="T22" s="578">
        <v>1</v>
      </c>
      <c r="U22" s="578">
        <v>0</v>
      </c>
      <c r="V22" s="579">
        <v>56</v>
      </c>
      <c r="W22" s="577">
        <v>70</v>
      </c>
      <c r="X22" s="578">
        <v>0</v>
      </c>
      <c r="Y22" s="578">
        <v>0</v>
      </c>
      <c r="Z22" s="579">
        <v>70</v>
      </c>
      <c r="AA22" s="577">
        <v>103</v>
      </c>
      <c r="AB22" s="578">
        <v>0</v>
      </c>
      <c r="AC22" s="578">
        <v>0</v>
      </c>
      <c r="AD22" s="579">
        <v>103</v>
      </c>
      <c r="AE22" s="582">
        <v>108</v>
      </c>
      <c r="AF22" s="578">
        <v>0</v>
      </c>
      <c r="AG22" s="578">
        <v>0</v>
      </c>
      <c r="AH22" s="579">
        <v>108</v>
      </c>
      <c r="AI22" s="582"/>
      <c r="AJ22" s="578"/>
      <c r="AK22" s="578"/>
      <c r="AL22" s="579"/>
    </row>
    <row r="23" spans="1:38" x14ac:dyDescent="0.2">
      <c r="A23" s="1018"/>
      <c r="B23" s="768" t="s">
        <v>648</v>
      </c>
      <c r="C23" s="580">
        <v>0</v>
      </c>
      <c r="D23" s="578">
        <v>0</v>
      </c>
      <c r="E23" s="578">
        <v>0</v>
      </c>
      <c r="F23" s="581">
        <v>0</v>
      </c>
      <c r="G23" s="577">
        <v>1</v>
      </c>
      <c r="H23" s="578">
        <v>0</v>
      </c>
      <c r="I23" s="578">
        <v>0</v>
      </c>
      <c r="J23" s="579">
        <v>1</v>
      </c>
      <c r="K23" s="577">
        <v>6</v>
      </c>
      <c r="L23" s="578">
        <v>0</v>
      </c>
      <c r="M23" s="578">
        <v>0</v>
      </c>
      <c r="N23" s="579">
        <v>6</v>
      </c>
      <c r="O23" s="577">
        <v>33</v>
      </c>
      <c r="P23" s="582">
        <v>1</v>
      </c>
      <c r="Q23" s="578">
        <v>0</v>
      </c>
      <c r="R23" s="579">
        <v>34</v>
      </c>
      <c r="S23" s="577">
        <v>65</v>
      </c>
      <c r="T23" s="578">
        <v>0</v>
      </c>
      <c r="U23" s="578">
        <v>0</v>
      </c>
      <c r="V23" s="579">
        <v>65</v>
      </c>
      <c r="W23" s="577">
        <v>51</v>
      </c>
      <c r="X23" s="582">
        <v>0</v>
      </c>
      <c r="Y23" s="578">
        <v>0</v>
      </c>
      <c r="Z23" s="579">
        <v>51</v>
      </c>
      <c r="AA23" s="577">
        <v>106</v>
      </c>
      <c r="AB23" s="582">
        <v>0</v>
      </c>
      <c r="AC23" s="578">
        <v>0</v>
      </c>
      <c r="AD23" s="579">
        <v>106</v>
      </c>
      <c r="AE23" s="582">
        <v>109</v>
      </c>
      <c r="AF23" s="582">
        <v>0</v>
      </c>
      <c r="AG23" s="578">
        <v>0</v>
      </c>
      <c r="AH23" s="579">
        <v>109</v>
      </c>
      <c r="AI23" s="582"/>
      <c r="AJ23" s="582"/>
      <c r="AK23" s="578"/>
      <c r="AL23" s="579"/>
    </row>
    <row r="24" spans="1:38" x14ac:dyDescent="0.2">
      <c r="A24" s="1018"/>
      <c r="B24" s="768" t="s">
        <v>649</v>
      </c>
      <c r="C24" s="577">
        <v>11</v>
      </c>
      <c r="D24" s="578">
        <v>0</v>
      </c>
      <c r="E24" s="578">
        <v>0</v>
      </c>
      <c r="F24" s="579">
        <v>11</v>
      </c>
      <c r="G24" s="577">
        <v>1</v>
      </c>
      <c r="H24" s="578">
        <v>0</v>
      </c>
      <c r="I24" s="578">
        <v>0</v>
      </c>
      <c r="J24" s="579">
        <v>1</v>
      </c>
      <c r="K24" s="577">
        <v>8</v>
      </c>
      <c r="L24" s="578">
        <v>0</v>
      </c>
      <c r="M24" s="578">
        <v>0</v>
      </c>
      <c r="N24" s="579">
        <v>8</v>
      </c>
      <c r="O24" s="577">
        <v>43</v>
      </c>
      <c r="P24" s="578">
        <v>0</v>
      </c>
      <c r="Q24" s="578">
        <v>0</v>
      </c>
      <c r="R24" s="579">
        <v>43</v>
      </c>
      <c r="S24" s="577">
        <v>50</v>
      </c>
      <c r="T24" s="578">
        <v>0</v>
      </c>
      <c r="U24" s="578">
        <v>0</v>
      </c>
      <c r="V24" s="579">
        <v>50</v>
      </c>
      <c r="W24" s="577">
        <v>48</v>
      </c>
      <c r="X24" s="578">
        <v>0</v>
      </c>
      <c r="Y24" s="578">
        <v>0</v>
      </c>
      <c r="Z24" s="579">
        <v>48</v>
      </c>
      <c r="AA24" s="577">
        <v>69</v>
      </c>
      <c r="AB24" s="578">
        <v>0</v>
      </c>
      <c r="AC24" s="578">
        <v>0</v>
      </c>
      <c r="AD24" s="579">
        <v>69</v>
      </c>
      <c r="AE24" s="582">
        <v>74</v>
      </c>
      <c r="AF24" s="578">
        <v>0</v>
      </c>
      <c r="AG24" s="578">
        <v>0</v>
      </c>
      <c r="AH24" s="579">
        <v>74</v>
      </c>
      <c r="AI24" s="582"/>
      <c r="AJ24" s="578"/>
      <c r="AK24" s="578"/>
      <c r="AL24" s="579"/>
    </row>
    <row r="25" spans="1:38" x14ac:dyDescent="0.2">
      <c r="A25" s="1018"/>
      <c r="B25" s="768" t="s">
        <v>650</v>
      </c>
      <c r="C25" s="577">
        <v>2</v>
      </c>
      <c r="D25" s="578">
        <v>0</v>
      </c>
      <c r="E25" s="578">
        <v>0</v>
      </c>
      <c r="F25" s="579">
        <v>2</v>
      </c>
      <c r="G25" s="577">
        <v>6</v>
      </c>
      <c r="H25" s="578">
        <v>0</v>
      </c>
      <c r="I25" s="578">
        <v>0</v>
      </c>
      <c r="J25" s="579">
        <v>6</v>
      </c>
      <c r="K25" s="577">
        <v>5</v>
      </c>
      <c r="L25" s="578">
        <v>0</v>
      </c>
      <c r="M25" s="578">
        <v>0</v>
      </c>
      <c r="N25" s="579">
        <v>5</v>
      </c>
      <c r="O25" s="577">
        <v>34</v>
      </c>
      <c r="P25" s="578">
        <v>0</v>
      </c>
      <c r="Q25" s="578">
        <v>0</v>
      </c>
      <c r="R25" s="579">
        <v>34</v>
      </c>
      <c r="S25" s="577">
        <v>80</v>
      </c>
      <c r="T25" s="578">
        <v>0</v>
      </c>
      <c r="U25" s="578">
        <v>0</v>
      </c>
      <c r="V25" s="579">
        <v>80</v>
      </c>
      <c r="W25" s="577">
        <v>61</v>
      </c>
      <c r="X25" s="578">
        <v>0</v>
      </c>
      <c r="Y25" s="578">
        <v>0</v>
      </c>
      <c r="Z25" s="579">
        <v>61</v>
      </c>
      <c r="AA25" s="577">
        <v>62</v>
      </c>
      <c r="AB25" s="578">
        <v>1</v>
      </c>
      <c r="AC25" s="578">
        <v>0</v>
      </c>
      <c r="AD25" s="579">
        <v>63</v>
      </c>
      <c r="AE25" s="582">
        <v>31</v>
      </c>
      <c r="AF25" s="578">
        <v>0</v>
      </c>
      <c r="AG25" s="578">
        <v>0</v>
      </c>
      <c r="AH25" s="579">
        <v>31</v>
      </c>
      <c r="AI25" s="582"/>
      <c r="AJ25" s="578"/>
      <c r="AK25" s="578"/>
      <c r="AL25" s="579"/>
    </row>
    <row r="26" spans="1:38" ht="13.5" thickBot="1" x14ac:dyDescent="0.25">
      <c r="A26" s="1025"/>
      <c r="B26" s="769" t="s">
        <v>651</v>
      </c>
      <c r="C26" s="583">
        <v>0</v>
      </c>
      <c r="D26" s="584">
        <v>0</v>
      </c>
      <c r="E26" s="584">
        <v>0</v>
      </c>
      <c r="F26" s="585">
        <v>0</v>
      </c>
      <c r="G26" s="583">
        <v>0</v>
      </c>
      <c r="H26" s="584">
        <v>1</v>
      </c>
      <c r="I26" s="584">
        <v>0</v>
      </c>
      <c r="J26" s="585">
        <v>1</v>
      </c>
      <c r="K26" s="583">
        <v>0</v>
      </c>
      <c r="L26" s="584">
        <v>3</v>
      </c>
      <c r="M26" s="584">
        <v>0</v>
      </c>
      <c r="N26" s="585">
        <v>3</v>
      </c>
      <c r="O26" s="583">
        <v>0</v>
      </c>
      <c r="P26" s="584">
        <v>5</v>
      </c>
      <c r="Q26" s="584">
        <v>0</v>
      </c>
      <c r="R26" s="585">
        <v>5</v>
      </c>
      <c r="S26" s="583">
        <v>0</v>
      </c>
      <c r="T26" s="584">
        <v>8</v>
      </c>
      <c r="U26" s="584">
        <v>0</v>
      </c>
      <c r="V26" s="585">
        <v>8</v>
      </c>
      <c r="W26" s="583">
        <v>0</v>
      </c>
      <c r="X26" s="584">
        <v>4</v>
      </c>
      <c r="Y26" s="584">
        <v>0</v>
      </c>
      <c r="Z26" s="585">
        <v>4</v>
      </c>
      <c r="AA26" s="583">
        <v>0</v>
      </c>
      <c r="AB26" s="584">
        <v>3</v>
      </c>
      <c r="AC26" s="584">
        <v>0</v>
      </c>
      <c r="AD26" s="585">
        <v>3</v>
      </c>
      <c r="AE26" s="586">
        <v>0</v>
      </c>
      <c r="AF26" s="584">
        <v>4</v>
      </c>
      <c r="AG26" s="584">
        <v>0</v>
      </c>
      <c r="AH26" s="585">
        <v>4</v>
      </c>
      <c r="AI26" s="586"/>
      <c r="AJ26" s="584"/>
      <c r="AK26" s="584"/>
      <c r="AL26" s="585"/>
    </row>
    <row r="27" spans="1:38" s="259" customFormat="1" ht="13.5" thickBot="1" x14ac:dyDescent="0.25">
      <c r="A27" s="1019"/>
      <c r="B27" s="770" t="s">
        <v>786</v>
      </c>
      <c r="C27" s="762">
        <v>222</v>
      </c>
      <c r="D27" s="763">
        <v>0</v>
      </c>
      <c r="E27" s="763">
        <v>0</v>
      </c>
      <c r="F27" s="764">
        <v>222</v>
      </c>
      <c r="G27" s="762">
        <v>189</v>
      </c>
      <c r="H27" s="763">
        <v>1</v>
      </c>
      <c r="I27" s="763">
        <v>0</v>
      </c>
      <c r="J27" s="764">
        <v>190</v>
      </c>
      <c r="K27" s="762">
        <v>229</v>
      </c>
      <c r="L27" s="763">
        <v>4</v>
      </c>
      <c r="M27" s="763">
        <v>0</v>
      </c>
      <c r="N27" s="764">
        <v>233</v>
      </c>
      <c r="O27" s="762">
        <v>1137</v>
      </c>
      <c r="P27" s="763">
        <v>12</v>
      </c>
      <c r="Q27" s="763">
        <v>1</v>
      </c>
      <c r="R27" s="764">
        <v>1150</v>
      </c>
      <c r="S27" s="762">
        <v>1625</v>
      </c>
      <c r="T27" s="763">
        <v>13</v>
      </c>
      <c r="U27" s="763">
        <v>9</v>
      </c>
      <c r="V27" s="764">
        <v>1647</v>
      </c>
      <c r="W27" s="762">
        <v>1375</v>
      </c>
      <c r="X27" s="763">
        <v>6</v>
      </c>
      <c r="Y27" s="763">
        <v>1</v>
      </c>
      <c r="Z27" s="764">
        <v>1382</v>
      </c>
      <c r="AA27" s="762">
        <v>2107</v>
      </c>
      <c r="AB27" s="763">
        <v>10</v>
      </c>
      <c r="AC27" s="763">
        <v>0</v>
      </c>
      <c r="AD27" s="764">
        <v>2117</v>
      </c>
      <c r="AE27" s="763">
        <v>2288</v>
      </c>
      <c r="AF27" s="763">
        <v>4</v>
      </c>
      <c r="AG27" s="763">
        <v>0</v>
      </c>
      <c r="AH27" s="764">
        <v>2292</v>
      </c>
      <c r="AI27" s="763"/>
      <c r="AJ27" s="763"/>
      <c r="AK27" s="763"/>
      <c r="AL27" s="764"/>
    </row>
    <row r="28" spans="1:38" x14ac:dyDescent="0.2">
      <c r="A28" s="1026" t="s">
        <v>575</v>
      </c>
      <c r="B28" s="771" t="s">
        <v>576</v>
      </c>
      <c r="C28" s="587">
        <v>0</v>
      </c>
      <c r="D28" s="588">
        <v>0</v>
      </c>
      <c r="E28" s="588">
        <v>0</v>
      </c>
      <c r="F28" s="589">
        <v>0</v>
      </c>
      <c r="G28" s="587">
        <v>0</v>
      </c>
      <c r="H28" s="588">
        <v>0</v>
      </c>
      <c r="I28" s="588">
        <v>0</v>
      </c>
      <c r="J28" s="589">
        <v>0</v>
      </c>
      <c r="K28" s="587">
        <v>0</v>
      </c>
      <c r="L28" s="588">
        <v>0</v>
      </c>
      <c r="M28" s="588">
        <v>0</v>
      </c>
      <c r="N28" s="589">
        <v>0</v>
      </c>
      <c r="O28" s="590">
        <v>1</v>
      </c>
      <c r="P28" s="588">
        <v>0</v>
      </c>
      <c r="Q28" s="591">
        <v>3</v>
      </c>
      <c r="R28" s="592">
        <v>4</v>
      </c>
      <c r="S28" s="587">
        <v>0</v>
      </c>
      <c r="T28" s="588">
        <v>0</v>
      </c>
      <c r="U28" s="588">
        <v>0</v>
      </c>
      <c r="V28" s="589">
        <v>0</v>
      </c>
      <c r="W28" s="590">
        <v>0</v>
      </c>
      <c r="X28" s="588">
        <v>0</v>
      </c>
      <c r="Y28" s="591">
        <v>0</v>
      </c>
      <c r="Z28" s="592">
        <v>0</v>
      </c>
      <c r="AA28" s="590">
        <v>1</v>
      </c>
      <c r="AB28" s="588">
        <v>0</v>
      </c>
      <c r="AC28" s="591">
        <v>0</v>
      </c>
      <c r="AD28" s="592">
        <v>1</v>
      </c>
      <c r="AE28" s="591">
        <v>2</v>
      </c>
      <c r="AF28" s="588">
        <v>0</v>
      </c>
      <c r="AG28" s="591">
        <v>0</v>
      </c>
      <c r="AH28" s="592">
        <v>2</v>
      </c>
      <c r="AI28" s="591"/>
      <c r="AJ28" s="588"/>
      <c r="AK28" s="591"/>
      <c r="AL28" s="592"/>
    </row>
    <row r="29" spans="1:38" x14ac:dyDescent="0.2">
      <c r="A29" s="1018"/>
      <c r="B29" s="768" t="s">
        <v>652</v>
      </c>
      <c r="C29" s="577">
        <v>188</v>
      </c>
      <c r="D29" s="578">
        <v>0</v>
      </c>
      <c r="E29" s="582">
        <v>97</v>
      </c>
      <c r="F29" s="579">
        <v>285</v>
      </c>
      <c r="G29" s="577">
        <v>171</v>
      </c>
      <c r="H29" s="582">
        <v>14</v>
      </c>
      <c r="I29" s="582">
        <v>55</v>
      </c>
      <c r="J29" s="579">
        <v>240</v>
      </c>
      <c r="K29" s="577">
        <v>127</v>
      </c>
      <c r="L29" s="582">
        <v>3</v>
      </c>
      <c r="M29" s="582">
        <v>85</v>
      </c>
      <c r="N29" s="579">
        <v>215</v>
      </c>
      <c r="O29" s="577">
        <v>166</v>
      </c>
      <c r="P29" s="578">
        <v>0</v>
      </c>
      <c r="Q29" s="582">
        <v>85</v>
      </c>
      <c r="R29" s="579">
        <v>251</v>
      </c>
      <c r="S29" s="577">
        <v>92</v>
      </c>
      <c r="T29" s="582">
        <v>0</v>
      </c>
      <c r="U29" s="582">
        <v>140</v>
      </c>
      <c r="V29" s="579">
        <v>232</v>
      </c>
      <c r="W29" s="577">
        <v>60</v>
      </c>
      <c r="X29" s="578">
        <v>0</v>
      </c>
      <c r="Y29" s="582">
        <v>127</v>
      </c>
      <c r="Z29" s="579">
        <v>187</v>
      </c>
      <c r="AA29" s="577">
        <v>41</v>
      </c>
      <c r="AB29" s="578">
        <v>2</v>
      </c>
      <c r="AC29" s="582">
        <v>109</v>
      </c>
      <c r="AD29" s="579">
        <v>152</v>
      </c>
      <c r="AE29" s="582">
        <v>68</v>
      </c>
      <c r="AF29" s="578">
        <v>0</v>
      </c>
      <c r="AG29" s="582">
        <v>130</v>
      </c>
      <c r="AH29" s="579">
        <v>198</v>
      </c>
      <c r="AI29" s="582"/>
      <c r="AJ29" s="578"/>
      <c r="AK29" s="582"/>
      <c r="AL29" s="579"/>
    </row>
    <row r="30" spans="1:38" x14ac:dyDescent="0.2">
      <c r="A30" s="1018"/>
      <c r="B30" s="768" t="s">
        <v>653</v>
      </c>
      <c r="C30" s="577">
        <v>4</v>
      </c>
      <c r="D30" s="578">
        <v>0</v>
      </c>
      <c r="E30" s="582">
        <v>28</v>
      </c>
      <c r="F30" s="579">
        <v>32</v>
      </c>
      <c r="G30" s="577">
        <v>2</v>
      </c>
      <c r="H30" s="578">
        <v>0</v>
      </c>
      <c r="I30" s="582">
        <v>11</v>
      </c>
      <c r="J30" s="579">
        <v>13</v>
      </c>
      <c r="K30" s="577">
        <v>4</v>
      </c>
      <c r="L30" s="578">
        <v>0</v>
      </c>
      <c r="M30" s="582">
        <v>10</v>
      </c>
      <c r="N30" s="579">
        <v>14</v>
      </c>
      <c r="O30" s="577">
        <v>9</v>
      </c>
      <c r="P30" s="578">
        <v>0</v>
      </c>
      <c r="Q30" s="582">
        <v>27</v>
      </c>
      <c r="R30" s="579">
        <v>36</v>
      </c>
      <c r="S30" s="577">
        <v>17</v>
      </c>
      <c r="T30" s="578">
        <v>0</v>
      </c>
      <c r="U30" s="582">
        <v>19</v>
      </c>
      <c r="V30" s="579">
        <v>36</v>
      </c>
      <c r="W30" s="577">
        <v>5</v>
      </c>
      <c r="X30" s="578">
        <v>0</v>
      </c>
      <c r="Y30" s="582">
        <v>19</v>
      </c>
      <c r="Z30" s="579">
        <v>24</v>
      </c>
      <c r="AA30" s="577">
        <v>3</v>
      </c>
      <c r="AB30" s="578">
        <v>0</v>
      </c>
      <c r="AC30" s="582">
        <v>25</v>
      </c>
      <c r="AD30" s="579">
        <v>28</v>
      </c>
      <c r="AE30" s="582">
        <v>6</v>
      </c>
      <c r="AF30" s="578">
        <v>0</v>
      </c>
      <c r="AG30" s="582">
        <v>35</v>
      </c>
      <c r="AH30" s="579">
        <v>41</v>
      </c>
      <c r="AI30" s="582"/>
      <c r="AJ30" s="578"/>
      <c r="AK30" s="582"/>
      <c r="AL30" s="579"/>
    </row>
    <row r="31" spans="1:38" x14ac:dyDescent="0.2">
      <c r="A31" s="1018"/>
      <c r="B31" s="768" t="s">
        <v>654</v>
      </c>
      <c r="C31" s="577">
        <v>6</v>
      </c>
      <c r="D31" s="578">
        <v>0</v>
      </c>
      <c r="E31" s="582">
        <v>19</v>
      </c>
      <c r="F31" s="579">
        <v>25</v>
      </c>
      <c r="G31" s="577">
        <v>6</v>
      </c>
      <c r="H31" s="578">
        <v>0</v>
      </c>
      <c r="I31" s="582">
        <v>17</v>
      </c>
      <c r="J31" s="579">
        <v>23</v>
      </c>
      <c r="K31" s="577">
        <v>4</v>
      </c>
      <c r="L31" s="578">
        <v>0</v>
      </c>
      <c r="M31" s="582">
        <v>21</v>
      </c>
      <c r="N31" s="579">
        <v>25</v>
      </c>
      <c r="O31" s="577">
        <v>7</v>
      </c>
      <c r="P31" s="578">
        <v>0</v>
      </c>
      <c r="Q31" s="582">
        <v>14</v>
      </c>
      <c r="R31" s="579">
        <v>21</v>
      </c>
      <c r="S31" s="577">
        <v>30</v>
      </c>
      <c r="T31" s="578">
        <v>0</v>
      </c>
      <c r="U31" s="582">
        <v>35</v>
      </c>
      <c r="V31" s="579">
        <v>65</v>
      </c>
      <c r="W31" s="577">
        <v>12</v>
      </c>
      <c r="X31" s="578">
        <v>0</v>
      </c>
      <c r="Y31" s="582">
        <v>18</v>
      </c>
      <c r="Z31" s="579">
        <v>30</v>
      </c>
      <c r="AA31" s="577">
        <v>7</v>
      </c>
      <c r="AB31" s="578">
        <v>0</v>
      </c>
      <c r="AC31" s="582">
        <v>57</v>
      </c>
      <c r="AD31" s="579">
        <v>64</v>
      </c>
      <c r="AE31" s="582">
        <v>6</v>
      </c>
      <c r="AF31" s="578">
        <v>0</v>
      </c>
      <c r="AG31" s="582">
        <v>51</v>
      </c>
      <c r="AH31" s="579">
        <v>57</v>
      </c>
      <c r="AI31" s="582"/>
      <c r="AJ31" s="578"/>
      <c r="AK31" s="582"/>
      <c r="AL31" s="579"/>
    </row>
    <row r="32" spans="1:38" x14ac:dyDescent="0.2">
      <c r="A32" s="1018"/>
      <c r="B32" s="768" t="s">
        <v>655</v>
      </c>
      <c r="C32" s="577">
        <v>8</v>
      </c>
      <c r="D32" s="578">
        <v>0</v>
      </c>
      <c r="E32" s="582">
        <v>25</v>
      </c>
      <c r="F32" s="579">
        <v>33</v>
      </c>
      <c r="G32" s="577">
        <v>15</v>
      </c>
      <c r="H32" s="578">
        <v>0</v>
      </c>
      <c r="I32" s="582">
        <v>26</v>
      </c>
      <c r="J32" s="579">
        <v>41</v>
      </c>
      <c r="K32" s="577">
        <v>23</v>
      </c>
      <c r="L32" s="578">
        <v>0</v>
      </c>
      <c r="M32" s="582">
        <v>10</v>
      </c>
      <c r="N32" s="579">
        <v>33</v>
      </c>
      <c r="O32" s="577">
        <v>16</v>
      </c>
      <c r="P32" s="578">
        <v>0</v>
      </c>
      <c r="Q32" s="582">
        <v>17</v>
      </c>
      <c r="R32" s="579">
        <v>33</v>
      </c>
      <c r="S32" s="577">
        <v>23</v>
      </c>
      <c r="T32" s="578">
        <v>0</v>
      </c>
      <c r="U32" s="582">
        <v>14</v>
      </c>
      <c r="V32" s="579">
        <v>37</v>
      </c>
      <c r="W32" s="577">
        <v>51</v>
      </c>
      <c r="X32" s="578">
        <v>0</v>
      </c>
      <c r="Y32" s="582">
        <v>22</v>
      </c>
      <c r="Z32" s="579">
        <v>73</v>
      </c>
      <c r="AA32" s="577">
        <v>27</v>
      </c>
      <c r="AB32" s="578">
        <v>0</v>
      </c>
      <c r="AC32" s="582">
        <v>58</v>
      </c>
      <c r="AD32" s="579">
        <v>85</v>
      </c>
      <c r="AE32" s="582">
        <v>26</v>
      </c>
      <c r="AF32" s="578">
        <v>0</v>
      </c>
      <c r="AG32" s="582">
        <v>64</v>
      </c>
      <c r="AH32" s="579">
        <v>90</v>
      </c>
      <c r="AI32" s="582"/>
      <c r="AJ32" s="578"/>
      <c r="AK32" s="582"/>
      <c r="AL32" s="579"/>
    </row>
    <row r="33" spans="1:38" ht="13.5" thickBot="1" x14ac:dyDescent="0.25">
      <c r="A33" s="1018"/>
      <c r="B33" s="769" t="s">
        <v>656</v>
      </c>
      <c r="C33" s="583">
        <v>6</v>
      </c>
      <c r="D33" s="584">
        <v>0</v>
      </c>
      <c r="E33" s="586">
        <v>11</v>
      </c>
      <c r="F33" s="585">
        <v>17</v>
      </c>
      <c r="G33" s="583">
        <v>3</v>
      </c>
      <c r="H33" s="584">
        <v>0</v>
      </c>
      <c r="I33" s="586">
        <v>13</v>
      </c>
      <c r="J33" s="585">
        <v>16</v>
      </c>
      <c r="K33" s="583">
        <v>1</v>
      </c>
      <c r="L33" s="584">
        <v>0</v>
      </c>
      <c r="M33" s="586">
        <v>14</v>
      </c>
      <c r="N33" s="585">
        <v>15</v>
      </c>
      <c r="O33" s="583">
        <v>7</v>
      </c>
      <c r="P33" s="584">
        <v>0</v>
      </c>
      <c r="Q33" s="586">
        <v>22</v>
      </c>
      <c r="R33" s="585">
        <v>29</v>
      </c>
      <c r="S33" s="583">
        <v>2</v>
      </c>
      <c r="T33" s="584">
        <v>0</v>
      </c>
      <c r="U33" s="586">
        <v>29</v>
      </c>
      <c r="V33" s="585">
        <v>31</v>
      </c>
      <c r="W33" s="583">
        <v>6</v>
      </c>
      <c r="X33" s="584">
        <v>0</v>
      </c>
      <c r="Y33" s="586">
        <v>20</v>
      </c>
      <c r="Z33" s="585">
        <v>26</v>
      </c>
      <c r="AA33" s="583">
        <v>5</v>
      </c>
      <c r="AB33" s="584">
        <v>0</v>
      </c>
      <c r="AC33" s="586">
        <v>15</v>
      </c>
      <c r="AD33" s="585">
        <v>20</v>
      </c>
      <c r="AE33" s="586">
        <v>2</v>
      </c>
      <c r="AF33" s="584">
        <v>0</v>
      </c>
      <c r="AG33" s="586">
        <v>38</v>
      </c>
      <c r="AH33" s="585">
        <v>40</v>
      </c>
      <c r="AI33" s="586"/>
      <c r="AJ33" s="584"/>
      <c r="AK33" s="586"/>
      <c r="AL33" s="585"/>
    </row>
    <row r="34" spans="1:38" s="259" customFormat="1" ht="13.5" thickBot="1" x14ac:dyDescent="0.25">
      <c r="A34" s="1025"/>
      <c r="B34" s="770" t="s">
        <v>785</v>
      </c>
      <c r="C34" s="762">
        <v>212</v>
      </c>
      <c r="D34" s="763">
        <v>0</v>
      </c>
      <c r="E34" s="763">
        <v>180</v>
      </c>
      <c r="F34" s="764">
        <v>392</v>
      </c>
      <c r="G34" s="762">
        <v>197</v>
      </c>
      <c r="H34" s="763">
        <v>14</v>
      </c>
      <c r="I34" s="763">
        <v>122</v>
      </c>
      <c r="J34" s="764">
        <v>333</v>
      </c>
      <c r="K34" s="762">
        <v>159</v>
      </c>
      <c r="L34" s="763">
        <v>3</v>
      </c>
      <c r="M34" s="763">
        <v>140</v>
      </c>
      <c r="N34" s="764">
        <v>302</v>
      </c>
      <c r="O34" s="762">
        <v>206</v>
      </c>
      <c r="P34" s="763">
        <v>0</v>
      </c>
      <c r="Q34" s="763">
        <v>168</v>
      </c>
      <c r="R34" s="764">
        <v>374</v>
      </c>
      <c r="S34" s="762">
        <v>164</v>
      </c>
      <c r="T34" s="763">
        <v>0</v>
      </c>
      <c r="U34" s="763">
        <v>237</v>
      </c>
      <c r="V34" s="764">
        <v>401</v>
      </c>
      <c r="W34" s="762">
        <v>134</v>
      </c>
      <c r="X34" s="763">
        <v>0</v>
      </c>
      <c r="Y34" s="763">
        <v>206</v>
      </c>
      <c r="Z34" s="764">
        <v>340</v>
      </c>
      <c r="AA34" s="762">
        <v>84</v>
      </c>
      <c r="AB34" s="763">
        <v>2</v>
      </c>
      <c r="AC34" s="763">
        <v>264</v>
      </c>
      <c r="AD34" s="764">
        <v>350</v>
      </c>
      <c r="AE34" s="763">
        <v>110</v>
      </c>
      <c r="AF34" s="763">
        <v>0</v>
      </c>
      <c r="AG34" s="763">
        <v>318</v>
      </c>
      <c r="AH34" s="764">
        <v>428</v>
      </c>
      <c r="AI34" s="763"/>
      <c r="AJ34" s="763"/>
      <c r="AK34" s="763"/>
      <c r="AL34" s="764"/>
    </row>
    <row r="35" spans="1:38" x14ac:dyDescent="0.2">
      <c r="A35" s="1017" t="s">
        <v>577</v>
      </c>
      <c r="B35" s="767" t="s">
        <v>578</v>
      </c>
      <c r="C35" s="573">
        <v>31</v>
      </c>
      <c r="D35" s="574">
        <v>0</v>
      </c>
      <c r="E35" s="574">
        <v>0</v>
      </c>
      <c r="F35" s="575">
        <v>31</v>
      </c>
      <c r="G35" s="573">
        <v>55</v>
      </c>
      <c r="H35" s="574">
        <v>0</v>
      </c>
      <c r="I35" s="574">
        <v>0</v>
      </c>
      <c r="J35" s="575">
        <v>55</v>
      </c>
      <c r="K35" s="573">
        <v>45</v>
      </c>
      <c r="L35" s="574">
        <v>0</v>
      </c>
      <c r="M35" s="574">
        <v>0</v>
      </c>
      <c r="N35" s="575">
        <v>45</v>
      </c>
      <c r="O35" s="573">
        <v>23</v>
      </c>
      <c r="P35" s="574">
        <v>0</v>
      </c>
      <c r="Q35" s="576">
        <v>2</v>
      </c>
      <c r="R35" s="575">
        <v>25</v>
      </c>
      <c r="S35" s="573">
        <v>12</v>
      </c>
      <c r="T35" s="574">
        <v>0</v>
      </c>
      <c r="U35" s="574">
        <v>0</v>
      </c>
      <c r="V35" s="575">
        <v>12</v>
      </c>
      <c r="W35" s="573">
        <v>31</v>
      </c>
      <c r="X35" s="574">
        <v>0</v>
      </c>
      <c r="Y35" s="576">
        <v>0</v>
      </c>
      <c r="Z35" s="575">
        <v>31</v>
      </c>
      <c r="AA35" s="573">
        <v>11</v>
      </c>
      <c r="AB35" s="574">
        <v>0</v>
      </c>
      <c r="AC35" s="576">
        <v>0</v>
      </c>
      <c r="AD35" s="575">
        <v>11</v>
      </c>
      <c r="AE35" s="576">
        <v>2</v>
      </c>
      <c r="AF35" s="574">
        <v>0</v>
      </c>
      <c r="AG35" s="576">
        <v>1</v>
      </c>
      <c r="AH35" s="575">
        <v>3</v>
      </c>
      <c r="AI35" s="576"/>
      <c r="AJ35" s="574"/>
      <c r="AK35" s="576"/>
      <c r="AL35" s="575"/>
    </row>
    <row r="36" spans="1:38" x14ac:dyDescent="0.2">
      <c r="A36" s="1018"/>
      <c r="B36" s="768" t="s">
        <v>657</v>
      </c>
      <c r="C36" s="577">
        <v>90</v>
      </c>
      <c r="D36" s="582">
        <v>13</v>
      </c>
      <c r="E36" s="582">
        <v>111</v>
      </c>
      <c r="F36" s="579">
        <v>214</v>
      </c>
      <c r="G36" s="577">
        <v>115</v>
      </c>
      <c r="H36" s="582">
        <v>10</v>
      </c>
      <c r="I36" s="582">
        <v>135</v>
      </c>
      <c r="J36" s="579">
        <v>260</v>
      </c>
      <c r="K36" s="577">
        <v>88</v>
      </c>
      <c r="L36" s="582">
        <v>8</v>
      </c>
      <c r="M36" s="582">
        <v>162</v>
      </c>
      <c r="N36" s="579">
        <v>258</v>
      </c>
      <c r="O36" s="577">
        <v>39</v>
      </c>
      <c r="P36" s="582">
        <v>9</v>
      </c>
      <c r="Q36" s="582">
        <v>178</v>
      </c>
      <c r="R36" s="579">
        <v>226</v>
      </c>
      <c r="S36" s="577">
        <v>60</v>
      </c>
      <c r="T36" s="582">
        <v>15</v>
      </c>
      <c r="U36" s="582">
        <v>282</v>
      </c>
      <c r="V36" s="579">
        <v>357</v>
      </c>
      <c r="W36" s="577">
        <v>31</v>
      </c>
      <c r="X36" s="582">
        <v>8</v>
      </c>
      <c r="Y36" s="582">
        <v>221</v>
      </c>
      <c r="Z36" s="579">
        <v>260</v>
      </c>
      <c r="AA36" s="577">
        <v>43</v>
      </c>
      <c r="AB36" s="582">
        <v>3</v>
      </c>
      <c r="AC36" s="582">
        <v>271</v>
      </c>
      <c r="AD36" s="579">
        <v>317</v>
      </c>
      <c r="AE36" s="582">
        <v>55</v>
      </c>
      <c r="AF36" s="582">
        <v>5</v>
      </c>
      <c r="AG36" s="582">
        <v>66</v>
      </c>
      <c r="AH36" s="579">
        <v>126</v>
      </c>
      <c r="AI36" s="582"/>
      <c r="AJ36" s="582"/>
      <c r="AK36" s="582"/>
      <c r="AL36" s="579"/>
    </row>
    <row r="37" spans="1:38" x14ac:dyDescent="0.2">
      <c r="A37" s="1018"/>
      <c r="B37" s="768" t="s">
        <v>658</v>
      </c>
      <c r="C37" s="577">
        <v>7</v>
      </c>
      <c r="D37" s="582">
        <v>1</v>
      </c>
      <c r="E37" s="582">
        <v>53</v>
      </c>
      <c r="F37" s="579">
        <v>61</v>
      </c>
      <c r="G37" s="577">
        <v>12</v>
      </c>
      <c r="H37" s="582">
        <v>3</v>
      </c>
      <c r="I37" s="582">
        <v>39</v>
      </c>
      <c r="J37" s="579">
        <v>54</v>
      </c>
      <c r="K37" s="577">
        <v>12</v>
      </c>
      <c r="L37" s="582">
        <v>2</v>
      </c>
      <c r="M37" s="582">
        <v>45</v>
      </c>
      <c r="N37" s="579">
        <v>59</v>
      </c>
      <c r="O37" s="577">
        <v>20</v>
      </c>
      <c r="P37" s="582">
        <v>4</v>
      </c>
      <c r="Q37" s="582">
        <v>89</v>
      </c>
      <c r="R37" s="579">
        <v>113</v>
      </c>
      <c r="S37" s="577">
        <v>9</v>
      </c>
      <c r="T37" s="582">
        <v>0</v>
      </c>
      <c r="U37" s="582">
        <v>123</v>
      </c>
      <c r="V37" s="579">
        <v>132</v>
      </c>
      <c r="W37" s="577">
        <v>52</v>
      </c>
      <c r="X37" s="582">
        <v>2</v>
      </c>
      <c r="Y37" s="582">
        <v>21</v>
      </c>
      <c r="Z37" s="579">
        <v>75</v>
      </c>
      <c r="AA37" s="577">
        <v>128</v>
      </c>
      <c r="AB37" s="582">
        <v>2</v>
      </c>
      <c r="AC37" s="582">
        <v>9</v>
      </c>
      <c r="AD37" s="579">
        <v>139</v>
      </c>
      <c r="AE37" s="582">
        <v>15</v>
      </c>
      <c r="AF37" s="582">
        <v>0</v>
      </c>
      <c r="AG37" s="582">
        <v>3</v>
      </c>
      <c r="AH37" s="579">
        <v>18</v>
      </c>
      <c r="AI37" s="582"/>
      <c r="AJ37" s="582"/>
      <c r="AK37" s="582"/>
      <c r="AL37" s="579"/>
    </row>
    <row r="38" spans="1:38" x14ac:dyDescent="0.2">
      <c r="A38" s="1018"/>
      <c r="B38" s="768" t="s">
        <v>659</v>
      </c>
      <c r="C38" s="577">
        <v>24</v>
      </c>
      <c r="D38" s="582">
        <v>57</v>
      </c>
      <c r="E38" s="582">
        <v>30</v>
      </c>
      <c r="F38" s="579">
        <v>111</v>
      </c>
      <c r="G38" s="577">
        <v>33</v>
      </c>
      <c r="H38" s="582">
        <v>75</v>
      </c>
      <c r="I38" s="582">
        <v>41</v>
      </c>
      <c r="J38" s="579">
        <v>149</v>
      </c>
      <c r="K38" s="577">
        <v>40</v>
      </c>
      <c r="L38" s="582">
        <v>59</v>
      </c>
      <c r="M38" s="582">
        <v>81</v>
      </c>
      <c r="N38" s="579">
        <v>180</v>
      </c>
      <c r="O38" s="577">
        <v>35</v>
      </c>
      <c r="P38" s="582">
        <v>39</v>
      </c>
      <c r="Q38" s="582">
        <v>70</v>
      </c>
      <c r="R38" s="579">
        <v>144</v>
      </c>
      <c r="S38" s="577">
        <v>30</v>
      </c>
      <c r="T38" s="582">
        <v>16</v>
      </c>
      <c r="U38" s="582">
        <v>61</v>
      </c>
      <c r="V38" s="579">
        <v>107</v>
      </c>
      <c r="W38" s="577">
        <v>19</v>
      </c>
      <c r="X38" s="582">
        <v>11</v>
      </c>
      <c r="Y38" s="582">
        <v>65</v>
      </c>
      <c r="Z38" s="579">
        <v>95</v>
      </c>
      <c r="AA38" s="577">
        <v>44</v>
      </c>
      <c r="AB38" s="582">
        <v>9</v>
      </c>
      <c r="AC38" s="582">
        <v>67</v>
      </c>
      <c r="AD38" s="579">
        <v>120</v>
      </c>
      <c r="AE38" s="582">
        <v>37</v>
      </c>
      <c r="AF38" s="582">
        <v>3</v>
      </c>
      <c r="AG38" s="582">
        <v>44</v>
      </c>
      <c r="AH38" s="579">
        <v>84</v>
      </c>
      <c r="AI38" s="582"/>
      <c r="AJ38" s="582"/>
      <c r="AK38" s="582"/>
      <c r="AL38" s="579"/>
    </row>
    <row r="39" spans="1:38" x14ac:dyDescent="0.2">
      <c r="A39" s="1018"/>
      <c r="B39" s="768" t="s">
        <v>660</v>
      </c>
      <c r="C39" s="577">
        <v>44</v>
      </c>
      <c r="D39" s="582">
        <v>111</v>
      </c>
      <c r="E39" s="582">
        <v>98</v>
      </c>
      <c r="F39" s="579">
        <v>253</v>
      </c>
      <c r="G39" s="577">
        <v>71</v>
      </c>
      <c r="H39" s="582">
        <v>99</v>
      </c>
      <c r="I39" s="582">
        <v>133</v>
      </c>
      <c r="J39" s="579">
        <v>303</v>
      </c>
      <c r="K39" s="577">
        <v>63</v>
      </c>
      <c r="L39" s="582">
        <v>89</v>
      </c>
      <c r="M39" s="582">
        <v>136</v>
      </c>
      <c r="N39" s="579">
        <v>288</v>
      </c>
      <c r="O39" s="577">
        <v>67</v>
      </c>
      <c r="P39" s="582">
        <v>34</v>
      </c>
      <c r="Q39" s="582">
        <v>138</v>
      </c>
      <c r="R39" s="579">
        <v>239</v>
      </c>
      <c r="S39" s="577">
        <v>60</v>
      </c>
      <c r="T39" s="582">
        <v>10</v>
      </c>
      <c r="U39" s="582">
        <v>113</v>
      </c>
      <c r="V39" s="579">
        <v>183</v>
      </c>
      <c r="W39" s="577">
        <v>63</v>
      </c>
      <c r="X39" s="582">
        <v>9</v>
      </c>
      <c r="Y39" s="582">
        <v>150</v>
      </c>
      <c r="Z39" s="579">
        <v>222</v>
      </c>
      <c r="AA39" s="577">
        <v>61</v>
      </c>
      <c r="AB39" s="582">
        <v>1</v>
      </c>
      <c r="AC39" s="582">
        <v>129</v>
      </c>
      <c r="AD39" s="579">
        <v>191</v>
      </c>
      <c r="AE39" s="582">
        <v>66</v>
      </c>
      <c r="AF39" s="582">
        <v>7</v>
      </c>
      <c r="AG39" s="582">
        <v>54</v>
      </c>
      <c r="AH39" s="579">
        <v>127</v>
      </c>
      <c r="AI39" s="582"/>
      <c r="AJ39" s="582"/>
      <c r="AK39" s="582"/>
      <c r="AL39" s="579"/>
    </row>
    <row r="40" spans="1:38" x14ac:dyDescent="0.2">
      <c r="A40" s="1018"/>
      <c r="B40" s="768" t="s">
        <v>769</v>
      </c>
      <c r="C40" s="577">
        <v>4</v>
      </c>
      <c r="D40" s="582">
        <v>5</v>
      </c>
      <c r="E40" s="582">
        <v>28</v>
      </c>
      <c r="F40" s="579">
        <v>37</v>
      </c>
      <c r="G40" s="577">
        <v>17</v>
      </c>
      <c r="H40" s="582">
        <v>17</v>
      </c>
      <c r="I40" s="582">
        <v>19</v>
      </c>
      <c r="J40" s="579">
        <v>53</v>
      </c>
      <c r="K40" s="577">
        <v>10</v>
      </c>
      <c r="L40" s="582">
        <v>16</v>
      </c>
      <c r="M40" s="582">
        <v>44</v>
      </c>
      <c r="N40" s="579">
        <v>70</v>
      </c>
      <c r="O40" s="577">
        <v>12</v>
      </c>
      <c r="P40" s="582">
        <v>9</v>
      </c>
      <c r="Q40" s="582">
        <v>30</v>
      </c>
      <c r="R40" s="579">
        <v>51</v>
      </c>
      <c r="S40" s="577">
        <v>11</v>
      </c>
      <c r="T40" s="582">
        <v>8</v>
      </c>
      <c r="U40" s="582">
        <v>74</v>
      </c>
      <c r="V40" s="579">
        <v>93</v>
      </c>
      <c r="W40" s="577">
        <v>13</v>
      </c>
      <c r="X40" s="582">
        <v>0</v>
      </c>
      <c r="Y40" s="582">
        <v>28</v>
      </c>
      <c r="Z40" s="579">
        <v>41</v>
      </c>
      <c r="AA40" s="577">
        <v>26</v>
      </c>
      <c r="AB40" s="582">
        <v>0</v>
      </c>
      <c r="AC40" s="582">
        <v>19</v>
      </c>
      <c r="AD40" s="579">
        <v>45</v>
      </c>
      <c r="AE40" s="582">
        <v>50</v>
      </c>
      <c r="AF40" s="582">
        <v>0</v>
      </c>
      <c r="AG40" s="582">
        <v>30</v>
      </c>
      <c r="AH40" s="579">
        <v>80</v>
      </c>
      <c r="AI40" s="582"/>
      <c r="AJ40" s="582"/>
      <c r="AK40" s="582"/>
      <c r="AL40" s="579"/>
    </row>
    <row r="41" spans="1:38" x14ac:dyDescent="0.2">
      <c r="A41" s="1018"/>
      <c r="B41" s="768" t="s">
        <v>661</v>
      </c>
      <c r="C41" s="577">
        <v>22</v>
      </c>
      <c r="D41" s="582">
        <v>26</v>
      </c>
      <c r="E41" s="582">
        <v>140</v>
      </c>
      <c r="F41" s="579">
        <v>188</v>
      </c>
      <c r="G41" s="577">
        <v>25</v>
      </c>
      <c r="H41" s="582">
        <v>22</v>
      </c>
      <c r="I41" s="582">
        <v>96</v>
      </c>
      <c r="J41" s="579">
        <v>143</v>
      </c>
      <c r="K41" s="577">
        <v>36</v>
      </c>
      <c r="L41" s="582">
        <v>27</v>
      </c>
      <c r="M41" s="582">
        <v>138</v>
      </c>
      <c r="N41" s="579">
        <v>201</v>
      </c>
      <c r="O41" s="577">
        <v>81</v>
      </c>
      <c r="P41" s="582">
        <v>23</v>
      </c>
      <c r="Q41" s="582">
        <v>152</v>
      </c>
      <c r="R41" s="579">
        <v>256</v>
      </c>
      <c r="S41" s="577">
        <v>47</v>
      </c>
      <c r="T41" s="582">
        <v>15</v>
      </c>
      <c r="U41" s="582">
        <v>218</v>
      </c>
      <c r="V41" s="579">
        <v>280</v>
      </c>
      <c r="W41" s="577">
        <v>135</v>
      </c>
      <c r="X41" s="582">
        <v>8</v>
      </c>
      <c r="Y41" s="582">
        <v>173</v>
      </c>
      <c r="Z41" s="579">
        <v>316</v>
      </c>
      <c r="AA41" s="577">
        <v>417</v>
      </c>
      <c r="AB41" s="582">
        <v>10</v>
      </c>
      <c r="AC41" s="582">
        <v>182</v>
      </c>
      <c r="AD41" s="579">
        <v>609</v>
      </c>
      <c r="AE41" s="582">
        <v>13</v>
      </c>
      <c r="AF41" s="582">
        <v>6</v>
      </c>
      <c r="AG41" s="582">
        <v>85</v>
      </c>
      <c r="AH41" s="579">
        <v>104</v>
      </c>
      <c r="AI41" s="582"/>
      <c r="AJ41" s="582"/>
      <c r="AK41" s="582"/>
      <c r="AL41" s="579"/>
    </row>
    <row r="42" spans="1:38" ht="13.5" thickBot="1" x14ac:dyDescent="0.25">
      <c r="A42" s="1018"/>
      <c r="B42" s="769" t="s">
        <v>662</v>
      </c>
      <c r="C42" s="583">
        <v>8</v>
      </c>
      <c r="D42" s="586">
        <v>5</v>
      </c>
      <c r="E42" s="586">
        <v>9</v>
      </c>
      <c r="F42" s="585">
        <v>22</v>
      </c>
      <c r="G42" s="583">
        <v>25</v>
      </c>
      <c r="H42" s="586">
        <v>4</v>
      </c>
      <c r="I42" s="586">
        <v>16</v>
      </c>
      <c r="J42" s="585">
        <v>45</v>
      </c>
      <c r="K42" s="583">
        <v>50</v>
      </c>
      <c r="L42" s="586">
        <v>19</v>
      </c>
      <c r="M42" s="586">
        <v>24</v>
      </c>
      <c r="N42" s="585">
        <v>93</v>
      </c>
      <c r="O42" s="583">
        <v>29</v>
      </c>
      <c r="P42" s="586">
        <v>7</v>
      </c>
      <c r="Q42" s="586">
        <v>50</v>
      </c>
      <c r="R42" s="585">
        <v>86</v>
      </c>
      <c r="S42" s="583">
        <v>29</v>
      </c>
      <c r="T42" s="586">
        <v>13</v>
      </c>
      <c r="U42" s="586">
        <v>41</v>
      </c>
      <c r="V42" s="585">
        <v>83</v>
      </c>
      <c r="W42" s="583">
        <v>64</v>
      </c>
      <c r="X42" s="586">
        <v>7</v>
      </c>
      <c r="Y42" s="586">
        <v>13</v>
      </c>
      <c r="Z42" s="585">
        <v>84</v>
      </c>
      <c r="AA42" s="583">
        <v>46</v>
      </c>
      <c r="AB42" s="586">
        <v>4</v>
      </c>
      <c r="AC42" s="586">
        <v>13</v>
      </c>
      <c r="AD42" s="585">
        <v>63</v>
      </c>
      <c r="AE42" s="586">
        <v>38</v>
      </c>
      <c r="AF42" s="586">
        <v>0</v>
      </c>
      <c r="AG42" s="586">
        <v>20</v>
      </c>
      <c r="AH42" s="585">
        <v>58</v>
      </c>
      <c r="AI42" s="586"/>
      <c r="AJ42" s="586"/>
      <c r="AK42" s="586"/>
      <c r="AL42" s="585"/>
    </row>
    <row r="43" spans="1:38" s="259" customFormat="1" ht="13.5" thickBot="1" x14ac:dyDescent="0.25">
      <c r="A43" s="1019"/>
      <c r="B43" s="770" t="s">
        <v>784</v>
      </c>
      <c r="C43" s="762">
        <v>230</v>
      </c>
      <c r="D43" s="763">
        <v>218</v>
      </c>
      <c r="E43" s="763">
        <v>469</v>
      </c>
      <c r="F43" s="764">
        <v>917</v>
      </c>
      <c r="G43" s="762">
        <v>353</v>
      </c>
      <c r="H43" s="763">
        <v>230</v>
      </c>
      <c r="I43" s="763">
        <v>479</v>
      </c>
      <c r="J43" s="764">
        <v>1062</v>
      </c>
      <c r="K43" s="762">
        <v>344</v>
      </c>
      <c r="L43" s="763">
        <v>220</v>
      </c>
      <c r="M43" s="763">
        <v>630</v>
      </c>
      <c r="N43" s="764">
        <v>1194</v>
      </c>
      <c r="O43" s="762">
        <v>306</v>
      </c>
      <c r="P43" s="763">
        <v>125</v>
      </c>
      <c r="Q43" s="763">
        <v>709</v>
      </c>
      <c r="R43" s="764">
        <v>1140</v>
      </c>
      <c r="S43" s="762">
        <v>258</v>
      </c>
      <c r="T43" s="763">
        <v>77</v>
      </c>
      <c r="U43" s="763">
        <v>912</v>
      </c>
      <c r="V43" s="764">
        <v>1247</v>
      </c>
      <c r="W43" s="762">
        <v>408</v>
      </c>
      <c r="X43" s="763">
        <v>45</v>
      </c>
      <c r="Y43" s="763">
        <v>671</v>
      </c>
      <c r="Z43" s="764">
        <v>1124</v>
      </c>
      <c r="AA43" s="762">
        <v>776</v>
      </c>
      <c r="AB43" s="763">
        <v>29</v>
      </c>
      <c r="AC43" s="763">
        <v>690</v>
      </c>
      <c r="AD43" s="764">
        <v>1495</v>
      </c>
      <c r="AE43" s="763">
        <v>276</v>
      </c>
      <c r="AF43" s="763">
        <v>21</v>
      </c>
      <c r="AG43" s="763">
        <v>303</v>
      </c>
      <c r="AH43" s="764">
        <v>600</v>
      </c>
      <c r="AI43" s="763"/>
      <c r="AJ43" s="763"/>
      <c r="AK43" s="763"/>
      <c r="AL43" s="764"/>
    </row>
    <row r="44" spans="1:38" x14ac:dyDescent="0.2">
      <c r="A44" s="1026" t="s">
        <v>579</v>
      </c>
      <c r="B44" s="771" t="s">
        <v>580</v>
      </c>
      <c r="C44" s="590">
        <v>1</v>
      </c>
      <c r="D44" s="588">
        <v>0</v>
      </c>
      <c r="E44" s="588">
        <v>0</v>
      </c>
      <c r="F44" s="592">
        <v>1</v>
      </c>
      <c r="G44" s="590">
        <v>3</v>
      </c>
      <c r="H44" s="588">
        <v>0</v>
      </c>
      <c r="I44" s="588">
        <v>0</v>
      </c>
      <c r="J44" s="592">
        <v>3</v>
      </c>
      <c r="K44" s="590">
        <v>4</v>
      </c>
      <c r="L44" s="588">
        <v>0</v>
      </c>
      <c r="M44" s="588">
        <v>0</v>
      </c>
      <c r="N44" s="592">
        <v>4</v>
      </c>
      <c r="O44" s="590">
        <v>1</v>
      </c>
      <c r="P44" s="588">
        <v>0</v>
      </c>
      <c r="Q44" s="588">
        <v>0</v>
      </c>
      <c r="R44" s="592">
        <v>1</v>
      </c>
      <c r="S44" s="590">
        <v>3</v>
      </c>
      <c r="T44" s="588">
        <v>0</v>
      </c>
      <c r="U44" s="588">
        <v>0</v>
      </c>
      <c r="V44" s="592">
        <v>3</v>
      </c>
      <c r="W44" s="590">
        <v>1</v>
      </c>
      <c r="X44" s="588">
        <v>0</v>
      </c>
      <c r="Y44" s="588">
        <v>0</v>
      </c>
      <c r="Z44" s="592">
        <v>1</v>
      </c>
      <c r="AA44" s="590">
        <v>3</v>
      </c>
      <c r="AB44" s="588">
        <v>0</v>
      </c>
      <c r="AC44" s="588">
        <v>0</v>
      </c>
      <c r="AD44" s="592">
        <v>3</v>
      </c>
      <c r="AE44" s="591">
        <v>4</v>
      </c>
      <c r="AF44" s="588">
        <v>0</v>
      </c>
      <c r="AG44" s="588">
        <v>0</v>
      </c>
      <c r="AH44" s="592">
        <v>4</v>
      </c>
      <c r="AI44" s="591"/>
      <c r="AJ44" s="588"/>
      <c r="AK44" s="588"/>
      <c r="AL44" s="592"/>
    </row>
    <row r="45" spans="1:38" x14ac:dyDescent="0.2">
      <c r="A45" s="1018"/>
      <c r="B45" s="768" t="s">
        <v>663</v>
      </c>
      <c r="C45" s="577">
        <v>28</v>
      </c>
      <c r="D45" s="582">
        <v>6</v>
      </c>
      <c r="E45" s="582">
        <v>21</v>
      </c>
      <c r="F45" s="579">
        <v>55</v>
      </c>
      <c r="G45" s="577">
        <v>23</v>
      </c>
      <c r="H45" s="582">
        <v>5</v>
      </c>
      <c r="I45" s="582">
        <v>32</v>
      </c>
      <c r="J45" s="579">
        <v>60</v>
      </c>
      <c r="K45" s="577">
        <v>30</v>
      </c>
      <c r="L45" s="578">
        <v>0</v>
      </c>
      <c r="M45" s="582">
        <v>39</v>
      </c>
      <c r="N45" s="579">
        <v>69</v>
      </c>
      <c r="O45" s="577">
        <v>34</v>
      </c>
      <c r="P45" s="582">
        <v>1</v>
      </c>
      <c r="Q45" s="582">
        <v>52</v>
      </c>
      <c r="R45" s="579">
        <v>87</v>
      </c>
      <c r="S45" s="577">
        <v>74</v>
      </c>
      <c r="T45" s="578">
        <v>1</v>
      </c>
      <c r="U45" s="582">
        <v>64</v>
      </c>
      <c r="V45" s="579">
        <v>139</v>
      </c>
      <c r="W45" s="577">
        <v>7</v>
      </c>
      <c r="X45" s="582">
        <v>0</v>
      </c>
      <c r="Y45" s="582">
        <v>17</v>
      </c>
      <c r="Z45" s="579">
        <v>24</v>
      </c>
      <c r="AA45" s="577">
        <v>5</v>
      </c>
      <c r="AB45" s="582">
        <v>0</v>
      </c>
      <c r="AC45" s="582">
        <v>5</v>
      </c>
      <c r="AD45" s="579">
        <v>10</v>
      </c>
      <c r="AE45" s="582">
        <v>4</v>
      </c>
      <c r="AF45" s="582">
        <v>0</v>
      </c>
      <c r="AG45" s="582">
        <v>28</v>
      </c>
      <c r="AH45" s="579">
        <v>32</v>
      </c>
      <c r="AI45" s="582"/>
      <c r="AJ45" s="582"/>
      <c r="AK45" s="582"/>
      <c r="AL45" s="579"/>
    </row>
    <row r="46" spans="1:38" x14ac:dyDescent="0.2">
      <c r="A46" s="1018"/>
      <c r="B46" s="768" t="s">
        <v>664</v>
      </c>
      <c r="C46" s="577">
        <v>6</v>
      </c>
      <c r="D46" s="578">
        <v>0</v>
      </c>
      <c r="E46" s="578">
        <v>0</v>
      </c>
      <c r="F46" s="579">
        <v>6</v>
      </c>
      <c r="G46" s="577">
        <v>8</v>
      </c>
      <c r="H46" s="578">
        <v>0</v>
      </c>
      <c r="I46" s="578">
        <v>0</v>
      </c>
      <c r="J46" s="579">
        <v>8</v>
      </c>
      <c r="K46" s="577">
        <v>14</v>
      </c>
      <c r="L46" s="582">
        <v>1</v>
      </c>
      <c r="M46" s="578">
        <v>0</v>
      </c>
      <c r="N46" s="579">
        <v>15</v>
      </c>
      <c r="O46" s="577">
        <v>13</v>
      </c>
      <c r="P46" s="582">
        <v>1</v>
      </c>
      <c r="Q46" s="578">
        <v>0</v>
      </c>
      <c r="R46" s="579">
        <v>14</v>
      </c>
      <c r="S46" s="577">
        <v>25</v>
      </c>
      <c r="T46" s="582">
        <v>0</v>
      </c>
      <c r="U46" s="578">
        <v>0</v>
      </c>
      <c r="V46" s="579">
        <v>25</v>
      </c>
      <c r="W46" s="577">
        <v>2</v>
      </c>
      <c r="X46" s="582">
        <v>0</v>
      </c>
      <c r="Y46" s="578">
        <v>0</v>
      </c>
      <c r="Z46" s="579">
        <v>2</v>
      </c>
      <c r="AA46" s="577">
        <v>13</v>
      </c>
      <c r="AB46" s="582">
        <v>0</v>
      </c>
      <c r="AC46" s="578">
        <v>0</v>
      </c>
      <c r="AD46" s="579">
        <v>13</v>
      </c>
      <c r="AE46" s="582">
        <v>6</v>
      </c>
      <c r="AF46" s="582">
        <v>1</v>
      </c>
      <c r="AG46" s="578">
        <v>0</v>
      </c>
      <c r="AH46" s="579">
        <v>7</v>
      </c>
      <c r="AI46" s="582"/>
      <c r="AJ46" s="582"/>
      <c r="AK46" s="578"/>
      <c r="AL46" s="579"/>
    </row>
    <row r="47" spans="1:38" x14ac:dyDescent="0.2">
      <c r="A47" s="1018"/>
      <c r="B47" s="768" t="s">
        <v>665</v>
      </c>
      <c r="C47" s="577">
        <v>12</v>
      </c>
      <c r="D47" s="578">
        <v>0</v>
      </c>
      <c r="E47" s="582">
        <v>6</v>
      </c>
      <c r="F47" s="579">
        <v>18</v>
      </c>
      <c r="G47" s="577">
        <v>4</v>
      </c>
      <c r="H47" s="582">
        <v>3</v>
      </c>
      <c r="I47" s="582">
        <v>15</v>
      </c>
      <c r="J47" s="579">
        <v>22</v>
      </c>
      <c r="K47" s="577">
        <v>10</v>
      </c>
      <c r="L47" s="582">
        <v>3</v>
      </c>
      <c r="M47" s="582">
        <v>13</v>
      </c>
      <c r="N47" s="579">
        <v>26</v>
      </c>
      <c r="O47" s="577">
        <v>7</v>
      </c>
      <c r="P47" s="582">
        <v>1</v>
      </c>
      <c r="Q47" s="582">
        <v>23</v>
      </c>
      <c r="R47" s="579">
        <v>31</v>
      </c>
      <c r="S47" s="577">
        <v>3</v>
      </c>
      <c r="T47" s="582">
        <v>1</v>
      </c>
      <c r="U47" s="582">
        <v>20</v>
      </c>
      <c r="V47" s="579">
        <v>24</v>
      </c>
      <c r="W47" s="577">
        <v>1</v>
      </c>
      <c r="X47" s="582">
        <v>0</v>
      </c>
      <c r="Y47" s="582">
        <v>0</v>
      </c>
      <c r="Z47" s="579">
        <v>1</v>
      </c>
      <c r="AA47" s="577">
        <v>6</v>
      </c>
      <c r="AB47" s="582">
        <v>0</v>
      </c>
      <c r="AC47" s="582">
        <v>0</v>
      </c>
      <c r="AD47" s="579">
        <v>6</v>
      </c>
      <c r="AE47" s="582">
        <v>7</v>
      </c>
      <c r="AF47" s="582">
        <v>0</v>
      </c>
      <c r="AG47" s="582">
        <v>7</v>
      </c>
      <c r="AH47" s="579">
        <v>14</v>
      </c>
      <c r="AI47" s="582"/>
      <c r="AJ47" s="582"/>
      <c r="AK47" s="582"/>
      <c r="AL47" s="579"/>
    </row>
    <row r="48" spans="1:38" x14ac:dyDescent="0.2">
      <c r="A48" s="1018"/>
      <c r="B48" s="768" t="s">
        <v>770</v>
      </c>
      <c r="C48" s="577">
        <v>8</v>
      </c>
      <c r="D48" s="582">
        <v>7</v>
      </c>
      <c r="E48" s="582">
        <v>8</v>
      </c>
      <c r="F48" s="579">
        <v>23</v>
      </c>
      <c r="G48" s="577">
        <v>23</v>
      </c>
      <c r="H48" s="582">
        <v>13</v>
      </c>
      <c r="I48" s="582">
        <v>13</v>
      </c>
      <c r="J48" s="579">
        <v>49</v>
      </c>
      <c r="K48" s="577">
        <v>7</v>
      </c>
      <c r="L48" s="582">
        <v>21</v>
      </c>
      <c r="M48" s="582">
        <v>21</v>
      </c>
      <c r="N48" s="579">
        <v>49</v>
      </c>
      <c r="O48" s="577">
        <v>4</v>
      </c>
      <c r="P48" s="582">
        <v>22</v>
      </c>
      <c r="Q48" s="582">
        <v>13</v>
      </c>
      <c r="R48" s="579">
        <v>39</v>
      </c>
      <c r="S48" s="577">
        <v>13</v>
      </c>
      <c r="T48" s="582">
        <v>20</v>
      </c>
      <c r="U48" s="582">
        <v>30</v>
      </c>
      <c r="V48" s="579">
        <v>63</v>
      </c>
      <c r="W48" s="577">
        <v>8</v>
      </c>
      <c r="X48" s="582">
        <v>1</v>
      </c>
      <c r="Y48" s="582">
        <v>3</v>
      </c>
      <c r="Z48" s="579">
        <v>12</v>
      </c>
      <c r="AA48" s="577">
        <v>9</v>
      </c>
      <c r="AB48" s="582">
        <v>2</v>
      </c>
      <c r="AC48" s="582">
        <v>1</v>
      </c>
      <c r="AD48" s="579">
        <v>12</v>
      </c>
      <c r="AE48" s="582">
        <v>10</v>
      </c>
      <c r="AF48" s="582">
        <v>0</v>
      </c>
      <c r="AG48" s="582">
        <v>6</v>
      </c>
      <c r="AH48" s="579">
        <v>16</v>
      </c>
      <c r="AI48" s="582"/>
      <c r="AJ48" s="582"/>
      <c r="AK48" s="582"/>
      <c r="AL48" s="579"/>
    </row>
    <row r="49" spans="1:38" x14ac:dyDescent="0.2">
      <c r="A49" s="1018"/>
      <c r="B49" s="768" t="s">
        <v>771</v>
      </c>
      <c r="C49" s="577">
        <v>11</v>
      </c>
      <c r="D49" s="582">
        <v>22</v>
      </c>
      <c r="E49" s="582">
        <v>14</v>
      </c>
      <c r="F49" s="579">
        <v>47</v>
      </c>
      <c r="G49" s="577">
        <v>17</v>
      </c>
      <c r="H49" s="582">
        <v>5</v>
      </c>
      <c r="I49" s="582">
        <v>31</v>
      </c>
      <c r="J49" s="579">
        <v>53</v>
      </c>
      <c r="K49" s="577">
        <v>20</v>
      </c>
      <c r="L49" s="582">
        <v>2</v>
      </c>
      <c r="M49" s="582">
        <v>28</v>
      </c>
      <c r="N49" s="579">
        <v>50</v>
      </c>
      <c r="O49" s="577">
        <v>20</v>
      </c>
      <c r="P49" s="582">
        <v>6</v>
      </c>
      <c r="Q49" s="582">
        <v>22</v>
      </c>
      <c r="R49" s="579">
        <v>48</v>
      </c>
      <c r="S49" s="577">
        <v>6</v>
      </c>
      <c r="T49" s="582">
        <v>0</v>
      </c>
      <c r="U49" s="582">
        <v>35</v>
      </c>
      <c r="V49" s="579">
        <v>41</v>
      </c>
      <c r="W49" s="577">
        <v>0</v>
      </c>
      <c r="X49" s="582">
        <v>0</v>
      </c>
      <c r="Y49" s="582">
        <v>4</v>
      </c>
      <c r="Z49" s="579">
        <v>4</v>
      </c>
      <c r="AA49" s="577">
        <v>1</v>
      </c>
      <c r="AB49" s="582">
        <v>0</v>
      </c>
      <c r="AC49" s="582">
        <v>13</v>
      </c>
      <c r="AD49" s="579">
        <v>14</v>
      </c>
      <c r="AE49" s="582">
        <v>1</v>
      </c>
      <c r="AF49" s="582">
        <v>0</v>
      </c>
      <c r="AG49" s="582">
        <v>7</v>
      </c>
      <c r="AH49" s="579">
        <v>8</v>
      </c>
      <c r="AI49" s="582"/>
      <c r="AJ49" s="582"/>
      <c r="AK49" s="582"/>
      <c r="AL49" s="579"/>
    </row>
    <row r="50" spans="1:38" x14ac:dyDescent="0.2">
      <c r="A50" s="1018"/>
      <c r="B50" s="768" t="s">
        <v>666</v>
      </c>
      <c r="C50" s="577">
        <v>12</v>
      </c>
      <c r="D50" s="582">
        <v>1</v>
      </c>
      <c r="E50" s="582">
        <v>16</v>
      </c>
      <c r="F50" s="579">
        <v>29</v>
      </c>
      <c r="G50" s="577">
        <v>14</v>
      </c>
      <c r="H50" s="582">
        <v>3</v>
      </c>
      <c r="I50" s="582">
        <v>16</v>
      </c>
      <c r="J50" s="579">
        <v>33</v>
      </c>
      <c r="K50" s="577">
        <v>9</v>
      </c>
      <c r="L50" s="582">
        <v>7</v>
      </c>
      <c r="M50" s="582">
        <v>32</v>
      </c>
      <c r="N50" s="579">
        <v>48</v>
      </c>
      <c r="O50" s="577">
        <v>10</v>
      </c>
      <c r="P50" s="582">
        <v>2</v>
      </c>
      <c r="Q50" s="582">
        <v>38</v>
      </c>
      <c r="R50" s="579">
        <v>50</v>
      </c>
      <c r="S50" s="577">
        <v>6</v>
      </c>
      <c r="T50" s="582">
        <v>0</v>
      </c>
      <c r="U50" s="582">
        <v>43</v>
      </c>
      <c r="V50" s="579">
        <v>49</v>
      </c>
      <c r="W50" s="577">
        <v>0</v>
      </c>
      <c r="X50" s="582">
        <v>0</v>
      </c>
      <c r="Y50" s="582">
        <v>7</v>
      </c>
      <c r="Z50" s="579">
        <v>7</v>
      </c>
      <c r="AA50" s="577">
        <v>24</v>
      </c>
      <c r="AB50" s="582">
        <v>0</v>
      </c>
      <c r="AC50" s="582">
        <v>16</v>
      </c>
      <c r="AD50" s="579">
        <v>40</v>
      </c>
      <c r="AE50" s="582">
        <v>4</v>
      </c>
      <c r="AF50" s="582">
        <v>0</v>
      </c>
      <c r="AG50" s="582">
        <v>18</v>
      </c>
      <c r="AH50" s="579">
        <v>22</v>
      </c>
      <c r="AI50" s="582"/>
      <c r="AJ50" s="582"/>
      <c r="AK50" s="582"/>
      <c r="AL50" s="579"/>
    </row>
    <row r="51" spans="1:38" x14ac:dyDescent="0.2">
      <c r="A51" s="1018"/>
      <c r="B51" s="768" t="s">
        <v>772</v>
      </c>
      <c r="C51" s="577">
        <v>2</v>
      </c>
      <c r="D51" s="578">
        <v>0</v>
      </c>
      <c r="E51" s="582">
        <v>5</v>
      </c>
      <c r="F51" s="579">
        <v>7</v>
      </c>
      <c r="G51" s="577">
        <v>11</v>
      </c>
      <c r="H51" s="582">
        <v>1</v>
      </c>
      <c r="I51" s="582">
        <v>7</v>
      </c>
      <c r="J51" s="579">
        <v>19</v>
      </c>
      <c r="K51" s="580">
        <v>0</v>
      </c>
      <c r="L51" s="582">
        <v>2</v>
      </c>
      <c r="M51" s="582">
        <v>16</v>
      </c>
      <c r="N51" s="579">
        <v>18</v>
      </c>
      <c r="O51" s="577">
        <v>8</v>
      </c>
      <c r="P51" s="578">
        <v>0</v>
      </c>
      <c r="Q51" s="582">
        <v>21</v>
      </c>
      <c r="R51" s="579">
        <v>29</v>
      </c>
      <c r="S51" s="580">
        <v>10</v>
      </c>
      <c r="T51" s="582">
        <v>1</v>
      </c>
      <c r="U51" s="582">
        <v>22</v>
      </c>
      <c r="V51" s="579">
        <v>33</v>
      </c>
      <c r="W51" s="577">
        <v>0</v>
      </c>
      <c r="X51" s="578">
        <v>0</v>
      </c>
      <c r="Y51" s="582">
        <v>2</v>
      </c>
      <c r="Z51" s="579">
        <v>2</v>
      </c>
      <c r="AA51" s="577">
        <v>18</v>
      </c>
      <c r="AB51" s="578">
        <v>2</v>
      </c>
      <c r="AC51" s="582">
        <v>7</v>
      </c>
      <c r="AD51" s="579">
        <v>27</v>
      </c>
      <c r="AE51" s="582">
        <v>18</v>
      </c>
      <c r="AF51" s="578">
        <v>8</v>
      </c>
      <c r="AG51" s="582">
        <v>0</v>
      </c>
      <c r="AH51" s="579">
        <v>26</v>
      </c>
      <c r="AI51" s="582"/>
      <c r="AJ51" s="578"/>
      <c r="AK51" s="582"/>
      <c r="AL51" s="579"/>
    </row>
    <row r="52" spans="1:38" ht="13.5" thickBot="1" x14ac:dyDescent="0.25">
      <c r="A52" s="1018"/>
      <c r="B52" s="769" t="s">
        <v>667</v>
      </c>
      <c r="C52" s="583">
        <v>6</v>
      </c>
      <c r="D52" s="584">
        <v>0</v>
      </c>
      <c r="E52" s="584">
        <v>0</v>
      </c>
      <c r="F52" s="585">
        <v>6</v>
      </c>
      <c r="G52" s="583">
        <v>14</v>
      </c>
      <c r="H52" s="586">
        <v>2</v>
      </c>
      <c r="I52" s="584">
        <v>0</v>
      </c>
      <c r="J52" s="585">
        <v>16</v>
      </c>
      <c r="K52" s="583">
        <v>11</v>
      </c>
      <c r="L52" s="586">
        <v>2</v>
      </c>
      <c r="M52" s="584">
        <v>0</v>
      </c>
      <c r="N52" s="585">
        <v>13</v>
      </c>
      <c r="O52" s="583">
        <v>17</v>
      </c>
      <c r="P52" s="586">
        <v>2</v>
      </c>
      <c r="Q52" s="584">
        <v>0</v>
      </c>
      <c r="R52" s="585">
        <v>19</v>
      </c>
      <c r="S52" s="583">
        <v>23</v>
      </c>
      <c r="T52" s="586">
        <v>1</v>
      </c>
      <c r="U52" s="584">
        <v>0</v>
      </c>
      <c r="V52" s="585">
        <v>24</v>
      </c>
      <c r="W52" s="583">
        <v>1</v>
      </c>
      <c r="X52" s="586">
        <v>2</v>
      </c>
      <c r="Y52" s="584">
        <v>0</v>
      </c>
      <c r="Z52" s="585">
        <v>3</v>
      </c>
      <c r="AA52" s="583">
        <v>7</v>
      </c>
      <c r="AB52" s="586">
        <v>1</v>
      </c>
      <c r="AC52" s="584">
        <v>0</v>
      </c>
      <c r="AD52" s="585">
        <v>8</v>
      </c>
      <c r="AE52" s="586">
        <v>7</v>
      </c>
      <c r="AF52" s="586">
        <v>0</v>
      </c>
      <c r="AG52" s="584">
        <v>0</v>
      </c>
      <c r="AH52" s="585">
        <v>7</v>
      </c>
      <c r="AI52" s="586"/>
      <c r="AJ52" s="586"/>
      <c r="AK52" s="584"/>
      <c r="AL52" s="585"/>
    </row>
    <row r="53" spans="1:38" s="259" customFormat="1" ht="13.5" thickBot="1" x14ac:dyDescent="0.25">
      <c r="A53" s="1025"/>
      <c r="B53" s="770" t="s">
        <v>783</v>
      </c>
      <c r="C53" s="762">
        <v>86</v>
      </c>
      <c r="D53" s="763">
        <v>36</v>
      </c>
      <c r="E53" s="763">
        <v>70</v>
      </c>
      <c r="F53" s="764">
        <v>192</v>
      </c>
      <c r="G53" s="762">
        <v>117</v>
      </c>
      <c r="H53" s="763">
        <v>32</v>
      </c>
      <c r="I53" s="763">
        <v>114</v>
      </c>
      <c r="J53" s="764">
        <v>263</v>
      </c>
      <c r="K53" s="762">
        <v>105</v>
      </c>
      <c r="L53" s="763">
        <v>38</v>
      </c>
      <c r="M53" s="763">
        <v>149</v>
      </c>
      <c r="N53" s="764">
        <v>292</v>
      </c>
      <c r="O53" s="762">
        <v>114</v>
      </c>
      <c r="P53" s="763">
        <v>35</v>
      </c>
      <c r="Q53" s="763">
        <v>169</v>
      </c>
      <c r="R53" s="764">
        <v>318</v>
      </c>
      <c r="S53" s="762">
        <v>163</v>
      </c>
      <c r="T53" s="763">
        <v>24</v>
      </c>
      <c r="U53" s="763">
        <v>214</v>
      </c>
      <c r="V53" s="764">
        <v>401</v>
      </c>
      <c r="W53" s="762">
        <v>20</v>
      </c>
      <c r="X53" s="763">
        <v>3</v>
      </c>
      <c r="Y53" s="763">
        <v>33</v>
      </c>
      <c r="Z53" s="764">
        <v>56</v>
      </c>
      <c r="AA53" s="762">
        <v>86</v>
      </c>
      <c r="AB53" s="763">
        <v>5</v>
      </c>
      <c r="AC53" s="763">
        <v>42</v>
      </c>
      <c r="AD53" s="764">
        <v>133</v>
      </c>
      <c r="AE53" s="763">
        <v>61</v>
      </c>
      <c r="AF53" s="763">
        <v>9</v>
      </c>
      <c r="AG53" s="763">
        <v>66</v>
      </c>
      <c r="AH53" s="764">
        <v>136</v>
      </c>
      <c r="AI53" s="763"/>
      <c r="AJ53" s="763"/>
      <c r="AK53" s="763"/>
      <c r="AL53" s="764"/>
    </row>
    <row r="54" spans="1:38" x14ac:dyDescent="0.2">
      <c r="A54" s="1017" t="s">
        <v>581</v>
      </c>
      <c r="B54" s="767" t="s">
        <v>582</v>
      </c>
      <c r="C54" s="593">
        <v>0</v>
      </c>
      <c r="D54" s="574">
        <v>0</v>
      </c>
      <c r="E54" s="574">
        <v>0</v>
      </c>
      <c r="F54" s="594">
        <v>0</v>
      </c>
      <c r="G54" s="593">
        <v>0</v>
      </c>
      <c r="H54" s="574">
        <v>0</v>
      </c>
      <c r="I54" s="576">
        <v>2</v>
      </c>
      <c r="J54" s="575">
        <v>2</v>
      </c>
      <c r="K54" s="593">
        <v>0</v>
      </c>
      <c r="L54" s="574">
        <v>0</v>
      </c>
      <c r="M54" s="574">
        <v>0</v>
      </c>
      <c r="N54" s="594">
        <v>0</v>
      </c>
      <c r="O54" s="573">
        <v>2</v>
      </c>
      <c r="P54" s="574">
        <v>0</v>
      </c>
      <c r="Q54" s="576">
        <v>4</v>
      </c>
      <c r="R54" s="575">
        <v>6</v>
      </c>
      <c r="S54" s="593">
        <v>0</v>
      </c>
      <c r="T54" s="574">
        <v>0</v>
      </c>
      <c r="U54" s="574">
        <v>2</v>
      </c>
      <c r="V54" s="594">
        <v>2</v>
      </c>
      <c r="W54" s="573">
        <v>0</v>
      </c>
      <c r="X54" s="574">
        <v>0</v>
      </c>
      <c r="Y54" s="576">
        <v>0</v>
      </c>
      <c r="Z54" s="575">
        <v>0</v>
      </c>
      <c r="AA54" s="573">
        <v>1</v>
      </c>
      <c r="AB54" s="574">
        <v>0</v>
      </c>
      <c r="AC54" s="576">
        <v>0</v>
      </c>
      <c r="AD54" s="575">
        <v>1</v>
      </c>
      <c r="AE54" s="576">
        <v>0</v>
      </c>
      <c r="AF54" s="574">
        <v>0</v>
      </c>
      <c r="AG54" s="576">
        <v>0</v>
      </c>
      <c r="AH54" s="575">
        <v>0</v>
      </c>
      <c r="AI54" s="576"/>
      <c r="AJ54" s="574"/>
      <c r="AK54" s="576"/>
      <c r="AL54" s="575"/>
    </row>
    <row r="55" spans="1:38" x14ac:dyDescent="0.2">
      <c r="A55" s="1018"/>
      <c r="B55" s="768" t="s">
        <v>668</v>
      </c>
      <c r="C55" s="577">
        <v>181</v>
      </c>
      <c r="D55" s="582">
        <v>9</v>
      </c>
      <c r="E55" s="582">
        <v>49</v>
      </c>
      <c r="F55" s="579">
        <v>239</v>
      </c>
      <c r="G55" s="577">
        <v>213</v>
      </c>
      <c r="H55" s="582">
        <v>29</v>
      </c>
      <c r="I55" s="582">
        <v>65</v>
      </c>
      <c r="J55" s="579">
        <v>307</v>
      </c>
      <c r="K55" s="577">
        <v>222</v>
      </c>
      <c r="L55" s="582">
        <v>43</v>
      </c>
      <c r="M55" s="582">
        <v>84</v>
      </c>
      <c r="N55" s="579">
        <v>349</v>
      </c>
      <c r="O55" s="577">
        <v>183</v>
      </c>
      <c r="P55" s="582">
        <v>19</v>
      </c>
      <c r="Q55" s="582">
        <v>71</v>
      </c>
      <c r="R55" s="579">
        <v>273</v>
      </c>
      <c r="S55" s="577">
        <v>226</v>
      </c>
      <c r="T55" s="582">
        <v>21</v>
      </c>
      <c r="U55" s="582">
        <v>130</v>
      </c>
      <c r="V55" s="579">
        <v>377</v>
      </c>
      <c r="W55" s="577">
        <v>138</v>
      </c>
      <c r="X55" s="582">
        <v>4</v>
      </c>
      <c r="Y55" s="582">
        <v>129</v>
      </c>
      <c r="Z55" s="579">
        <v>271</v>
      </c>
      <c r="AA55" s="577">
        <v>131</v>
      </c>
      <c r="AB55" s="582">
        <v>26</v>
      </c>
      <c r="AC55" s="582">
        <v>144</v>
      </c>
      <c r="AD55" s="579">
        <v>301</v>
      </c>
      <c r="AE55" s="582">
        <v>509</v>
      </c>
      <c r="AF55" s="582">
        <v>57</v>
      </c>
      <c r="AG55" s="582">
        <v>169</v>
      </c>
      <c r="AH55" s="579">
        <v>735</v>
      </c>
      <c r="AI55" s="582"/>
      <c r="AJ55" s="582"/>
      <c r="AK55" s="582"/>
      <c r="AL55" s="579"/>
    </row>
    <row r="56" spans="1:38" x14ac:dyDescent="0.2">
      <c r="A56" s="1018"/>
      <c r="B56" s="768" t="s">
        <v>669</v>
      </c>
      <c r="C56" s="577">
        <v>7</v>
      </c>
      <c r="D56" s="578">
        <v>0</v>
      </c>
      <c r="E56" s="582">
        <v>24</v>
      </c>
      <c r="F56" s="579">
        <v>31</v>
      </c>
      <c r="G56" s="577">
        <v>16</v>
      </c>
      <c r="H56" s="578">
        <v>0</v>
      </c>
      <c r="I56" s="582">
        <v>11</v>
      </c>
      <c r="J56" s="579">
        <v>27</v>
      </c>
      <c r="K56" s="577">
        <v>15</v>
      </c>
      <c r="L56" s="578">
        <v>0</v>
      </c>
      <c r="M56" s="582">
        <v>7</v>
      </c>
      <c r="N56" s="579">
        <v>22</v>
      </c>
      <c r="O56" s="577">
        <v>21</v>
      </c>
      <c r="P56" s="582">
        <v>23</v>
      </c>
      <c r="Q56" s="582">
        <v>2</v>
      </c>
      <c r="R56" s="579">
        <v>46</v>
      </c>
      <c r="S56" s="577">
        <v>35</v>
      </c>
      <c r="T56" s="578">
        <v>25</v>
      </c>
      <c r="U56" s="582">
        <v>0</v>
      </c>
      <c r="V56" s="579">
        <v>60</v>
      </c>
      <c r="W56" s="577">
        <v>11</v>
      </c>
      <c r="X56" s="582">
        <v>35</v>
      </c>
      <c r="Y56" s="582">
        <v>0</v>
      </c>
      <c r="Z56" s="579">
        <v>46</v>
      </c>
      <c r="AA56" s="577">
        <v>28</v>
      </c>
      <c r="AB56" s="582">
        <v>42</v>
      </c>
      <c r="AC56" s="582">
        <v>0</v>
      </c>
      <c r="AD56" s="579">
        <v>70</v>
      </c>
      <c r="AE56" s="582">
        <v>8</v>
      </c>
      <c r="AF56" s="582">
        <v>20</v>
      </c>
      <c r="AG56" s="582">
        <v>0</v>
      </c>
      <c r="AH56" s="579">
        <v>28</v>
      </c>
      <c r="AI56" s="582"/>
      <c r="AJ56" s="582"/>
      <c r="AK56" s="582"/>
      <c r="AL56" s="579"/>
    </row>
    <row r="57" spans="1:38" x14ac:dyDescent="0.2">
      <c r="A57" s="1018"/>
      <c r="B57" s="768" t="s">
        <v>670</v>
      </c>
      <c r="C57" s="577">
        <v>266</v>
      </c>
      <c r="D57" s="582">
        <v>205</v>
      </c>
      <c r="E57" s="582">
        <v>13</v>
      </c>
      <c r="F57" s="579">
        <v>484</v>
      </c>
      <c r="G57" s="577">
        <v>147</v>
      </c>
      <c r="H57" s="582">
        <v>2</v>
      </c>
      <c r="I57" s="582">
        <v>16</v>
      </c>
      <c r="J57" s="579">
        <v>165</v>
      </c>
      <c r="K57" s="577">
        <v>101</v>
      </c>
      <c r="L57" s="582">
        <v>3</v>
      </c>
      <c r="M57" s="582">
        <v>15</v>
      </c>
      <c r="N57" s="579">
        <v>119</v>
      </c>
      <c r="O57" s="577">
        <v>114</v>
      </c>
      <c r="P57" s="582">
        <v>2</v>
      </c>
      <c r="Q57" s="582">
        <v>8</v>
      </c>
      <c r="R57" s="579">
        <v>124</v>
      </c>
      <c r="S57" s="577">
        <v>132</v>
      </c>
      <c r="T57" s="582">
        <v>23</v>
      </c>
      <c r="U57" s="582">
        <v>51</v>
      </c>
      <c r="V57" s="579">
        <v>206</v>
      </c>
      <c r="W57" s="577">
        <v>52</v>
      </c>
      <c r="X57" s="582">
        <v>7</v>
      </c>
      <c r="Y57" s="582">
        <v>24</v>
      </c>
      <c r="Z57" s="579">
        <v>83</v>
      </c>
      <c r="AA57" s="577">
        <v>26</v>
      </c>
      <c r="AB57" s="582">
        <v>3</v>
      </c>
      <c r="AC57" s="582">
        <v>19</v>
      </c>
      <c r="AD57" s="579">
        <v>48</v>
      </c>
      <c r="AE57" s="582">
        <v>13</v>
      </c>
      <c r="AF57" s="582">
        <v>0</v>
      </c>
      <c r="AG57" s="582">
        <v>15</v>
      </c>
      <c r="AH57" s="579">
        <v>28</v>
      </c>
      <c r="AI57" s="582"/>
      <c r="AJ57" s="582"/>
      <c r="AK57" s="582"/>
      <c r="AL57" s="579"/>
    </row>
    <row r="58" spans="1:38" x14ac:dyDescent="0.2">
      <c r="A58" s="1018"/>
      <c r="B58" s="768" t="s">
        <v>671</v>
      </c>
      <c r="C58" s="577">
        <v>67</v>
      </c>
      <c r="D58" s="582">
        <v>5</v>
      </c>
      <c r="E58" s="582">
        <v>18</v>
      </c>
      <c r="F58" s="579">
        <v>90</v>
      </c>
      <c r="G58" s="577">
        <v>68</v>
      </c>
      <c r="H58" s="582">
        <v>3</v>
      </c>
      <c r="I58" s="582">
        <v>17</v>
      </c>
      <c r="J58" s="579">
        <v>88</v>
      </c>
      <c r="K58" s="577">
        <v>98</v>
      </c>
      <c r="L58" s="582">
        <v>4</v>
      </c>
      <c r="M58" s="582">
        <v>15</v>
      </c>
      <c r="N58" s="579">
        <v>117</v>
      </c>
      <c r="O58" s="577">
        <v>67</v>
      </c>
      <c r="P58" s="582">
        <v>2</v>
      </c>
      <c r="Q58" s="582">
        <v>42</v>
      </c>
      <c r="R58" s="579">
        <v>111</v>
      </c>
      <c r="S58" s="577">
        <v>66</v>
      </c>
      <c r="T58" s="582">
        <v>0</v>
      </c>
      <c r="U58" s="582">
        <v>47</v>
      </c>
      <c r="V58" s="579">
        <v>113</v>
      </c>
      <c r="W58" s="577">
        <v>44</v>
      </c>
      <c r="X58" s="582">
        <v>0</v>
      </c>
      <c r="Y58" s="582">
        <v>39</v>
      </c>
      <c r="Z58" s="579">
        <v>83</v>
      </c>
      <c r="AA58" s="577">
        <v>28</v>
      </c>
      <c r="AB58" s="582">
        <v>0</v>
      </c>
      <c r="AC58" s="582">
        <v>79</v>
      </c>
      <c r="AD58" s="579">
        <v>107</v>
      </c>
      <c r="AE58" s="582">
        <v>56</v>
      </c>
      <c r="AF58" s="582">
        <v>0</v>
      </c>
      <c r="AG58" s="582">
        <v>65</v>
      </c>
      <c r="AH58" s="579">
        <v>121</v>
      </c>
      <c r="AI58" s="582"/>
      <c r="AJ58" s="582"/>
      <c r="AK58" s="582"/>
      <c r="AL58" s="579"/>
    </row>
    <row r="59" spans="1:38" x14ac:dyDescent="0.2">
      <c r="A59" s="1018"/>
      <c r="B59" s="768" t="s">
        <v>672</v>
      </c>
      <c r="C59" s="577">
        <v>26</v>
      </c>
      <c r="D59" s="582">
        <v>7</v>
      </c>
      <c r="E59" s="582">
        <v>22</v>
      </c>
      <c r="F59" s="579">
        <v>55</v>
      </c>
      <c r="G59" s="577">
        <v>26</v>
      </c>
      <c r="H59" s="582">
        <v>7</v>
      </c>
      <c r="I59" s="582">
        <v>19</v>
      </c>
      <c r="J59" s="579">
        <v>52</v>
      </c>
      <c r="K59" s="577">
        <v>30</v>
      </c>
      <c r="L59" s="578">
        <v>0</v>
      </c>
      <c r="M59" s="582">
        <v>6</v>
      </c>
      <c r="N59" s="579">
        <v>36</v>
      </c>
      <c r="O59" s="577">
        <v>47</v>
      </c>
      <c r="P59" s="582">
        <v>1</v>
      </c>
      <c r="Q59" s="582">
        <v>14</v>
      </c>
      <c r="R59" s="579">
        <v>62</v>
      </c>
      <c r="S59" s="577">
        <v>35</v>
      </c>
      <c r="T59" s="578">
        <v>5</v>
      </c>
      <c r="U59" s="582">
        <v>38</v>
      </c>
      <c r="V59" s="579">
        <v>78</v>
      </c>
      <c r="W59" s="577">
        <v>3</v>
      </c>
      <c r="X59" s="582">
        <v>0</v>
      </c>
      <c r="Y59" s="582">
        <v>24</v>
      </c>
      <c r="Z59" s="579">
        <v>27</v>
      </c>
      <c r="AA59" s="577">
        <v>12</v>
      </c>
      <c r="AB59" s="582">
        <v>0</v>
      </c>
      <c r="AC59" s="582">
        <v>35</v>
      </c>
      <c r="AD59" s="579">
        <v>47</v>
      </c>
      <c r="AE59" s="582">
        <v>12</v>
      </c>
      <c r="AF59" s="582">
        <v>0</v>
      </c>
      <c r="AG59" s="582">
        <v>14</v>
      </c>
      <c r="AH59" s="579">
        <v>26</v>
      </c>
      <c r="AI59" s="582"/>
      <c r="AJ59" s="582"/>
      <c r="AK59" s="582"/>
      <c r="AL59" s="579"/>
    </row>
    <row r="60" spans="1:38" x14ac:dyDescent="0.2">
      <c r="A60" s="1018"/>
      <c r="B60" s="768" t="s">
        <v>673</v>
      </c>
      <c r="C60" s="577">
        <v>17</v>
      </c>
      <c r="D60" s="582">
        <v>11</v>
      </c>
      <c r="E60" s="582">
        <v>11</v>
      </c>
      <c r="F60" s="579">
        <v>39</v>
      </c>
      <c r="G60" s="577">
        <v>21</v>
      </c>
      <c r="H60" s="582">
        <v>10</v>
      </c>
      <c r="I60" s="582">
        <v>15</v>
      </c>
      <c r="J60" s="579">
        <v>46</v>
      </c>
      <c r="K60" s="577">
        <v>12</v>
      </c>
      <c r="L60" s="582">
        <v>5</v>
      </c>
      <c r="M60" s="582">
        <v>15</v>
      </c>
      <c r="N60" s="579">
        <v>32</v>
      </c>
      <c r="O60" s="577">
        <v>14</v>
      </c>
      <c r="P60" s="582">
        <v>14</v>
      </c>
      <c r="Q60" s="582">
        <v>32</v>
      </c>
      <c r="R60" s="579">
        <v>60</v>
      </c>
      <c r="S60" s="577">
        <v>5</v>
      </c>
      <c r="T60" s="582">
        <v>13</v>
      </c>
      <c r="U60" s="582">
        <v>66</v>
      </c>
      <c r="V60" s="579">
        <v>84</v>
      </c>
      <c r="W60" s="577">
        <v>9</v>
      </c>
      <c r="X60" s="582">
        <v>5</v>
      </c>
      <c r="Y60" s="582">
        <v>2</v>
      </c>
      <c r="Z60" s="579">
        <v>16</v>
      </c>
      <c r="AA60" s="577">
        <v>18</v>
      </c>
      <c r="AB60" s="582">
        <v>9</v>
      </c>
      <c r="AC60" s="582">
        <v>30</v>
      </c>
      <c r="AD60" s="579">
        <v>57</v>
      </c>
      <c r="AE60" s="582">
        <v>24</v>
      </c>
      <c r="AF60" s="582">
        <v>20</v>
      </c>
      <c r="AG60" s="582">
        <v>69</v>
      </c>
      <c r="AH60" s="579">
        <v>113</v>
      </c>
      <c r="AI60" s="582"/>
      <c r="AJ60" s="582"/>
      <c r="AK60" s="582"/>
      <c r="AL60" s="579"/>
    </row>
    <row r="61" spans="1:38" x14ac:dyDescent="0.2">
      <c r="A61" s="1018"/>
      <c r="B61" s="768" t="s">
        <v>674</v>
      </c>
      <c r="C61" s="577">
        <v>53</v>
      </c>
      <c r="D61" s="578">
        <v>0</v>
      </c>
      <c r="E61" s="582">
        <v>38</v>
      </c>
      <c r="F61" s="579">
        <v>91</v>
      </c>
      <c r="G61" s="577">
        <v>49</v>
      </c>
      <c r="H61" s="578">
        <v>0</v>
      </c>
      <c r="I61" s="582">
        <v>24</v>
      </c>
      <c r="J61" s="579">
        <v>73</v>
      </c>
      <c r="K61" s="577">
        <v>58</v>
      </c>
      <c r="L61" s="578">
        <v>0</v>
      </c>
      <c r="M61" s="582">
        <v>14</v>
      </c>
      <c r="N61" s="579">
        <v>72</v>
      </c>
      <c r="O61" s="577">
        <v>72</v>
      </c>
      <c r="P61" s="578">
        <v>0</v>
      </c>
      <c r="Q61" s="582">
        <v>37</v>
      </c>
      <c r="R61" s="579">
        <v>109</v>
      </c>
      <c r="S61" s="577">
        <v>65</v>
      </c>
      <c r="T61" s="578">
        <v>4</v>
      </c>
      <c r="U61" s="582">
        <v>55</v>
      </c>
      <c r="V61" s="579">
        <v>124</v>
      </c>
      <c r="W61" s="577">
        <v>0</v>
      </c>
      <c r="X61" s="578">
        <v>0</v>
      </c>
      <c r="Y61" s="582">
        <v>0</v>
      </c>
      <c r="Z61" s="579">
        <v>0</v>
      </c>
      <c r="AA61" s="577">
        <v>9</v>
      </c>
      <c r="AB61" s="578">
        <v>0</v>
      </c>
      <c r="AC61" s="582">
        <v>36</v>
      </c>
      <c r="AD61" s="579">
        <v>45</v>
      </c>
      <c r="AE61" s="582">
        <v>3</v>
      </c>
      <c r="AF61" s="578">
        <v>0</v>
      </c>
      <c r="AG61" s="582">
        <v>26</v>
      </c>
      <c r="AH61" s="579">
        <v>29</v>
      </c>
      <c r="AI61" s="582"/>
      <c r="AJ61" s="578"/>
      <c r="AK61" s="582"/>
      <c r="AL61" s="579"/>
    </row>
    <row r="62" spans="1:38" x14ac:dyDescent="0.2">
      <c r="A62" s="1018"/>
      <c r="B62" s="768" t="s">
        <v>675</v>
      </c>
      <c r="C62" s="577">
        <v>99</v>
      </c>
      <c r="D62" s="578">
        <v>0</v>
      </c>
      <c r="E62" s="582">
        <v>26</v>
      </c>
      <c r="F62" s="579">
        <v>125</v>
      </c>
      <c r="G62" s="577">
        <v>195</v>
      </c>
      <c r="H62" s="578">
        <v>0</v>
      </c>
      <c r="I62" s="582">
        <v>17</v>
      </c>
      <c r="J62" s="579">
        <v>212</v>
      </c>
      <c r="K62" s="577">
        <v>251</v>
      </c>
      <c r="L62" s="578">
        <v>0</v>
      </c>
      <c r="M62" s="582">
        <v>20</v>
      </c>
      <c r="N62" s="579">
        <v>271</v>
      </c>
      <c r="O62" s="577">
        <v>165</v>
      </c>
      <c r="P62" s="582">
        <v>1</v>
      </c>
      <c r="Q62" s="582">
        <v>38</v>
      </c>
      <c r="R62" s="579">
        <v>204</v>
      </c>
      <c r="S62" s="577">
        <v>194</v>
      </c>
      <c r="T62" s="578">
        <v>0</v>
      </c>
      <c r="U62" s="582">
        <v>41</v>
      </c>
      <c r="V62" s="579">
        <v>235</v>
      </c>
      <c r="W62" s="577">
        <v>179</v>
      </c>
      <c r="X62" s="582">
        <v>0</v>
      </c>
      <c r="Y62" s="582">
        <v>39</v>
      </c>
      <c r="Z62" s="579">
        <v>218</v>
      </c>
      <c r="AA62" s="577">
        <v>139</v>
      </c>
      <c r="AB62" s="582">
        <v>0</v>
      </c>
      <c r="AC62" s="582">
        <v>74</v>
      </c>
      <c r="AD62" s="579">
        <v>213</v>
      </c>
      <c r="AE62" s="582">
        <v>154</v>
      </c>
      <c r="AF62" s="582">
        <v>0</v>
      </c>
      <c r="AG62" s="582">
        <v>66</v>
      </c>
      <c r="AH62" s="579">
        <v>220</v>
      </c>
      <c r="AI62" s="582"/>
      <c r="AJ62" s="582"/>
      <c r="AK62" s="582"/>
      <c r="AL62" s="579"/>
    </row>
    <row r="63" spans="1:38" x14ac:dyDescent="0.2">
      <c r="A63" s="1018"/>
      <c r="B63" s="768" t="s">
        <v>676</v>
      </c>
      <c r="C63" s="577">
        <v>31</v>
      </c>
      <c r="D63" s="582">
        <v>6</v>
      </c>
      <c r="E63" s="582">
        <v>25</v>
      </c>
      <c r="F63" s="579">
        <v>62</v>
      </c>
      <c r="G63" s="577">
        <v>61</v>
      </c>
      <c r="H63" s="582">
        <v>2</v>
      </c>
      <c r="I63" s="582">
        <v>23</v>
      </c>
      <c r="J63" s="579">
        <v>86</v>
      </c>
      <c r="K63" s="577">
        <v>135</v>
      </c>
      <c r="L63" s="582">
        <v>9</v>
      </c>
      <c r="M63" s="582">
        <v>28</v>
      </c>
      <c r="N63" s="579">
        <v>172</v>
      </c>
      <c r="O63" s="577">
        <v>103</v>
      </c>
      <c r="P63" s="582">
        <v>10</v>
      </c>
      <c r="Q63" s="582">
        <v>36</v>
      </c>
      <c r="R63" s="579">
        <v>149</v>
      </c>
      <c r="S63" s="577">
        <v>133</v>
      </c>
      <c r="T63" s="582">
        <v>4</v>
      </c>
      <c r="U63" s="582">
        <v>55</v>
      </c>
      <c r="V63" s="579">
        <v>192</v>
      </c>
      <c r="W63" s="577">
        <v>87</v>
      </c>
      <c r="X63" s="582">
        <v>3</v>
      </c>
      <c r="Y63" s="582">
        <v>54</v>
      </c>
      <c r="Z63" s="579">
        <v>144</v>
      </c>
      <c r="AA63" s="577">
        <v>64</v>
      </c>
      <c r="AB63" s="582">
        <v>5</v>
      </c>
      <c r="AC63" s="582">
        <v>52</v>
      </c>
      <c r="AD63" s="579">
        <v>121</v>
      </c>
      <c r="AE63" s="582">
        <v>47</v>
      </c>
      <c r="AF63" s="582">
        <v>2</v>
      </c>
      <c r="AG63" s="582">
        <v>47</v>
      </c>
      <c r="AH63" s="579">
        <v>96</v>
      </c>
      <c r="AI63" s="582"/>
      <c r="AJ63" s="582"/>
      <c r="AK63" s="582"/>
      <c r="AL63" s="579"/>
    </row>
    <row r="64" spans="1:38" ht="13.5" thickBot="1" x14ac:dyDescent="0.25">
      <c r="A64" s="1018"/>
      <c r="B64" s="769" t="s">
        <v>677</v>
      </c>
      <c r="C64" s="583">
        <v>72</v>
      </c>
      <c r="D64" s="586">
        <v>1</v>
      </c>
      <c r="E64" s="586">
        <v>25</v>
      </c>
      <c r="F64" s="585">
        <v>98</v>
      </c>
      <c r="G64" s="583">
        <v>119</v>
      </c>
      <c r="H64" s="584">
        <v>0</v>
      </c>
      <c r="I64" s="586">
        <v>22</v>
      </c>
      <c r="J64" s="585">
        <v>141</v>
      </c>
      <c r="K64" s="583">
        <v>131</v>
      </c>
      <c r="L64" s="584">
        <v>0</v>
      </c>
      <c r="M64" s="586">
        <v>16</v>
      </c>
      <c r="N64" s="585">
        <v>147</v>
      </c>
      <c r="O64" s="583">
        <v>100</v>
      </c>
      <c r="P64" s="584">
        <v>0</v>
      </c>
      <c r="Q64" s="586">
        <v>26</v>
      </c>
      <c r="R64" s="585">
        <v>126</v>
      </c>
      <c r="S64" s="583">
        <v>80</v>
      </c>
      <c r="T64" s="584">
        <v>1</v>
      </c>
      <c r="U64" s="586">
        <v>33</v>
      </c>
      <c r="V64" s="585">
        <v>114</v>
      </c>
      <c r="W64" s="583">
        <v>59</v>
      </c>
      <c r="X64" s="584">
        <v>0</v>
      </c>
      <c r="Y64" s="586">
        <v>28</v>
      </c>
      <c r="Z64" s="585">
        <v>87</v>
      </c>
      <c r="AA64" s="583">
        <v>89</v>
      </c>
      <c r="AB64" s="584">
        <v>0</v>
      </c>
      <c r="AC64" s="586">
        <v>41</v>
      </c>
      <c r="AD64" s="585">
        <v>130</v>
      </c>
      <c r="AE64" s="586">
        <v>63</v>
      </c>
      <c r="AF64" s="584">
        <v>0</v>
      </c>
      <c r="AG64" s="586">
        <v>44</v>
      </c>
      <c r="AH64" s="585">
        <v>107</v>
      </c>
      <c r="AI64" s="586"/>
      <c r="AJ64" s="584"/>
      <c r="AK64" s="586"/>
      <c r="AL64" s="585"/>
    </row>
    <row r="65" spans="1:38" s="259" customFormat="1" ht="26.25" thickBot="1" x14ac:dyDescent="0.25">
      <c r="A65" s="1019"/>
      <c r="B65" s="770" t="s">
        <v>782</v>
      </c>
      <c r="C65" s="762">
        <v>819</v>
      </c>
      <c r="D65" s="763">
        <v>244</v>
      </c>
      <c r="E65" s="763">
        <v>251</v>
      </c>
      <c r="F65" s="764">
        <v>1314</v>
      </c>
      <c r="G65" s="762">
        <v>915</v>
      </c>
      <c r="H65" s="763">
        <v>53</v>
      </c>
      <c r="I65" s="763">
        <v>231</v>
      </c>
      <c r="J65" s="764">
        <v>1199</v>
      </c>
      <c r="K65" s="762">
        <v>1053</v>
      </c>
      <c r="L65" s="763">
        <v>64</v>
      </c>
      <c r="M65" s="763">
        <v>220</v>
      </c>
      <c r="N65" s="764">
        <v>1337</v>
      </c>
      <c r="O65" s="762">
        <v>888</v>
      </c>
      <c r="P65" s="763">
        <v>72</v>
      </c>
      <c r="Q65" s="763">
        <v>310</v>
      </c>
      <c r="R65" s="764">
        <v>1270</v>
      </c>
      <c r="S65" s="762">
        <v>971</v>
      </c>
      <c r="T65" s="763">
        <v>96</v>
      </c>
      <c r="U65" s="763">
        <v>518</v>
      </c>
      <c r="V65" s="764">
        <v>1585</v>
      </c>
      <c r="W65" s="762">
        <v>582</v>
      </c>
      <c r="X65" s="763">
        <v>54</v>
      </c>
      <c r="Y65" s="763">
        <v>339</v>
      </c>
      <c r="Z65" s="764">
        <v>975</v>
      </c>
      <c r="AA65" s="762">
        <v>545</v>
      </c>
      <c r="AB65" s="763">
        <v>85</v>
      </c>
      <c r="AC65" s="763">
        <v>510</v>
      </c>
      <c r="AD65" s="764">
        <v>1140</v>
      </c>
      <c r="AE65" s="763">
        <v>889</v>
      </c>
      <c r="AF65" s="763">
        <v>99</v>
      </c>
      <c r="AG65" s="763">
        <v>515</v>
      </c>
      <c r="AH65" s="764">
        <v>1503</v>
      </c>
      <c r="AI65" s="763"/>
      <c r="AJ65" s="763"/>
      <c r="AK65" s="763"/>
      <c r="AL65" s="764"/>
    </row>
    <row r="66" spans="1:38" x14ac:dyDescent="0.2">
      <c r="A66" s="1026" t="s">
        <v>583</v>
      </c>
      <c r="B66" s="771" t="s">
        <v>584</v>
      </c>
      <c r="C66" s="590">
        <v>114</v>
      </c>
      <c r="D66" s="588">
        <v>0</v>
      </c>
      <c r="E66" s="591">
        <v>1</v>
      </c>
      <c r="F66" s="592">
        <v>115</v>
      </c>
      <c r="G66" s="590">
        <v>204</v>
      </c>
      <c r="H66" s="588">
        <v>0</v>
      </c>
      <c r="I66" s="591">
        <v>1</v>
      </c>
      <c r="J66" s="592">
        <v>205</v>
      </c>
      <c r="K66" s="590">
        <v>226</v>
      </c>
      <c r="L66" s="588">
        <v>0</v>
      </c>
      <c r="M66" s="591">
        <v>1</v>
      </c>
      <c r="N66" s="592">
        <v>227</v>
      </c>
      <c r="O66" s="590">
        <v>49</v>
      </c>
      <c r="P66" s="588">
        <v>0</v>
      </c>
      <c r="Q66" s="591">
        <v>6</v>
      </c>
      <c r="R66" s="592">
        <v>55</v>
      </c>
      <c r="S66" s="590">
        <v>102</v>
      </c>
      <c r="T66" s="588">
        <v>0</v>
      </c>
      <c r="U66" s="591">
        <v>7</v>
      </c>
      <c r="V66" s="592">
        <v>109</v>
      </c>
      <c r="W66" s="590">
        <v>81</v>
      </c>
      <c r="X66" s="588">
        <v>0</v>
      </c>
      <c r="Y66" s="591">
        <v>0</v>
      </c>
      <c r="Z66" s="592">
        <v>81</v>
      </c>
      <c r="AA66" s="590">
        <v>15</v>
      </c>
      <c r="AB66" s="588">
        <v>0</v>
      </c>
      <c r="AC66" s="591">
        <v>4</v>
      </c>
      <c r="AD66" s="592">
        <v>19</v>
      </c>
      <c r="AE66" s="591">
        <v>5</v>
      </c>
      <c r="AF66" s="588">
        <v>0</v>
      </c>
      <c r="AG66" s="591">
        <v>0</v>
      </c>
      <c r="AH66" s="592">
        <v>5</v>
      </c>
      <c r="AI66" s="591"/>
      <c r="AJ66" s="588"/>
      <c r="AK66" s="591"/>
      <c r="AL66" s="592"/>
    </row>
    <row r="67" spans="1:38" x14ac:dyDescent="0.2">
      <c r="A67" s="1018"/>
      <c r="B67" s="768" t="s">
        <v>678</v>
      </c>
      <c r="C67" s="577">
        <v>202</v>
      </c>
      <c r="D67" s="578">
        <v>0</v>
      </c>
      <c r="E67" s="582">
        <v>33</v>
      </c>
      <c r="F67" s="579">
        <v>235</v>
      </c>
      <c r="G67" s="577">
        <v>39</v>
      </c>
      <c r="H67" s="578">
        <v>0</v>
      </c>
      <c r="I67" s="582">
        <v>26</v>
      </c>
      <c r="J67" s="579">
        <v>65</v>
      </c>
      <c r="K67" s="577">
        <v>148</v>
      </c>
      <c r="L67" s="582">
        <v>13</v>
      </c>
      <c r="M67" s="582">
        <v>41</v>
      </c>
      <c r="N67" s="579">
        <v>202</v>
      </c>
      <c r="O67" s="577">
        <v>161</v>
      </c>
      <c r="P67" s="582">
        <v>1</v>
      </c>
      <c r="Q67" s="582">
        <v>104</v>
      </c>
      <c r="R67" s="579">
        <v>266</v>
      </c>
      <c r="S67" s="577">
        <v>262</v>
      </c>
      <c r="T67" s="582">
        <v>3</v>
      </c>
      <c r="U67" s="582">
        <v>189</v>
      </c>
      <c r="V67" s="579">
        <v>454</v>
      </c>
      <c r="W67" s="577">
        <v>731</v>
      </c>
      <c r="X67" s="582">
        <v>0</v>
      </c>
      <c r="Y67" s="582">
        <v>100</v>
      </c>
      <c r="Z67" s="579">
        <v>831</v>
      </c>
      <c r="AA67" s="577">
        <v>1654</v>
      </c>
      <c r="AB67" s="582">
        <v>11</v>
      </c>
      <c r="AC67" s="582">
        <v>82</v>
      </c>
      <c r="AD67" s="579">
        <v>1747</v>
      </c>
      <c r="AE67" s="582">
        <v>65</v>
      </c>
      <c r="AF67" s="582">
        <v>0</v>
      </c>
      <c r="AG67" s="582">
        <v>126</v>
      </c>
      <c r="AH67" s="579">
        <v>191</v>
      </c>
      <c r="AI67" s="582"/>
      <c r="AJ67" s="582"/>
      <c r="AK67" s="582"/>
      <c r="AL67" s="579"/>
    </row>
    <row r="68" spans="1:38" x14ac:dyDescent="0.2">
      <c r="A68" s="1018"/>
      <c r="B68" s="768" t="s">
        <v>679</v>
      </c>
      <c r="C68" s="577">
        <v>7</v>
      </c>
      <c r="D68" s="582">
        <v>1</v>
      </c>
      <c r="E68" s="582">
        <v>37</v>
      </c>
      <c r="F68" s="579">
        <v>45</v>
      </c>
      <c r="G68" s="577">
        <v>7</v>
      </c>
      <c r="H68" s="582">
        <v>5</v>
      </c>
      <c r="I68" s="582">
        <v>21</v>
      </c>
      <c r="J68" s="579">
        <v>33</v>
      </c>
      <c r="K68" s="577">
        <v>4</v>
      </c>
      <c r="L68" s="578">
        <v>0</v>
      </c>
      <c r="M68" s="582">
        <v>19</v>
      </c>
      <c r="N68" s="579">
        <v>23</v>
      </c>
      <c r="O68" s="577">
        <v>13</v>
      </c>
      <c r="P68" s="582">
        <v>1</v>
      </c>
      <c r="Q68" s="582">
        <v>21</v>
      </c>
      <c r="R68" s="579">
        <v>35</v>
      </c>
      <c r="S68" s="577">
        <v>11</v>
      </c>
      <c r="T68" s="578">
        <v>0</v>
      </c>
      <c r="U68" s="582">
        <v>34</v>
      </c>
      <c r="V68" s="579">
        <v>45</v>
      </c>
      <c r="W68" s="577">
        <v>8</v>
      </c>
      <c r="X68" s="582">
        <v>0</v>
      </c>
      <c r="Y68" s="582">
        <v>29</v>
      </c>
      <c r="Z68" s="579">
        <v>37</v>
      </c>
      <c r="AA68" s="577">
        <v>1</v>
      </c>
      <c r="AB68" s="582">
        <v>0</v>
      </c>
      <c r="AC68" s="582">
        <v>22</v>
      </c>
      <c r="AD68" s="579">
        <v>23</v>
      </c>
      <c r="AE68" s="582">
        <v>2</v>
      </c>
      <c r="AF68" s="582">
        <v>0</v>
      </c>
      <c r="AG68" s="582">
        <v>48</v>
      </c>
      <c r="AH68" s="579">
        <v>50</v>
      </c>
      <c r="AI68" s="582"/>
      <c r="AJ68" s="582"/>
      <c r="AK68" s="582"/>
      <c r="AL68" s="579"/>
    </row>
    <row r="69" spans="1:38" x14ac:dyDescent="0.2">
      <c r="A69" s="1018"/>
      <c r="B69" s="768" t="s">
        <v>680</v>
      </c>
      <c r="C69" s="577">
        <v>17</v>
      </c>
      <c r="D69" s="582">
        <v>1</v>
      </c>
      <c r="E69" s="582">
        <v>52</v>
      </c>
      <c r="F69" s="579">
        <v>70</v>
      </c>
      <c r="G69" s="577">
        <v>28</v>
      </c>
      <c r="H69" s="582">
        <v>67</v>
      </c>
      <c r="I69" s="582">
        <v>24</v>
      </c>
      <c r="J69" s="579">
        <v>119</v>
      </c>
      <c r="K69" s="577">
        <v>1</v>
      </c>
      <c r="L69" s="578">
        <v>0</v>
      </c>
      <c r="M69" s="582">
        <v>18</v>
      </c>
      <c r="N69" s="579">
        <v>19</v>
      </c>
      <c r="O69" s="577">
        <v>41</v>
      </c>
      <c r="P69" s="582">
        <v>3</v>
      </c>
      <c r="Q69" s="582">
        <v>34</v>
      </c>
      <c r="R69" s="579">
        <v>78</v>
      </c>
      <c r="S69" s="577">
        <v>28</v>
      </c>
      <c r="T69" s="578">
        <v>0</v>
      </c>
      <c r="U69" s="582">
        <v>51</v>
      </c>
      <c r="V69" s="579">
        <v>79</v>
      </c>
      <c r="W69" s="577">
        <v>16</v>
      </c>
      <c r="X69" s="582">
        <v>0</v>
      </c>
      <c r="Y69" s="582">
        <v>23</v>
      </c>
      <c r="Z69" s="579">
        <v>39</v>
      </c>
      <c r="AA69" s="577">
        <v>12</v>
      </c>
      <c r="AB69" s="582">
        <v>0</v>
      </c>
      <c r="AC69" s="582">
        <v>30</v>
      </c>
      <c r="AD69" s="579">
        <v>42</v>
      </c>
      <c r="AE69" s="582">
        <v>41</v>
      </c>
      <c r="AF69" s="582">
        <v>0</v>
      </c>
      <c r="AG69" s="582">
        <v>30</v>
      </c>
      <c r="AH69" s="579">
        <v>71</v>
      </c>
      <c r="AI69" s="582"/>
      <c r="AJ69" s="582"/>
      <c r="AK69" s="582"/>
      <c r="AL69" s="579"/>
    </row>
    <row r="70" spans="1:38" x14ac:dyDescent="0.2">
      <c r="A70" s="1018"/>
      <c r="B70" s="768" t="s">
        <v>681</v>
      </c>
      <c r="C70" s="577">
        <v>20</v>
      </c>
      <c r="D70" s="582">
        <v>1</v>
      </c>
      <c r="E70" s="582">
        <v>27</v>
      </c>
      <c r="F70" s="579">
        <v>48</v>
      </c>
      <c r="G70" s="577">
        <v>56</v>
      </c>
      <c r="H70" s="578">
        <v>0</v>
      </c>
      <c r="I70" s="582">
        <v>8</v>
      </c>
      <c r="J70" s="579">
        <v>64</v>
      </c>
      <c r="K70" s="577">
        <v>26</v>
      </c>
      <c r="L70" s="578">
        <v>0</v>
      </c>
      <c r="M70" s="582">
        <v>3</v>
      </c>
      <c r="N70" s="579">
        <v>29</v>
      </c>
      <c r="O70" s="577">
        <v>46</v>
      </c>
      <c r="P70" s="578">
        <v>0</v>
      </c>
      <c r="Q70" s="582">
        <v>20</v>
      </c>
      <c r="R70" s="579">
        <v>66</v>
      </c>
      <c r="S70" s="577">
        <v>36</v>
      </c>
      <c r="T70" s="578">
        <v>0</v>
      </c>
      <c r="U70" s="582">
        <v>45</v>
      </c>
      <c r="V70" s="579">
        <v>81</v>
      </c>
      <c r="W70" s="577">
        <v>19</v>
      </c>
      <c r="X70" s="578">
        <v>0</v>
      </c>
      <c r="Y70" s="582">
        <v>17</v>
      </c>
      <c r="Z70" s="579">
        <v>36</v>
      </c>
      <c r="AA70" s="577">
        <v>26</v>
      </c>
      <c r="AB70" s="578">
        <v>0</v>
      </c>
      <c r="AC70" s="582">
        <v>10</v>
      </c>
      <c r="AD70" s="579">
        <v>36</v>
      </c>
      <c r="AE70" s="582">
        <v>11</v>
      </c>
      <c r="AF70" s="578">
        <v>0</v>
      </c>
      <c r="AG70" s="582">
        <v>19</v>
      </c>
      <c r="AH70" s="579">
        <v>30</v>
      </c>
      <c r="AI70" s="582"/>
      <c r="AJ70" s="578"/>
      <c r="AK70" s="582"/>
      <c r="AL70" s="579"/>
    </row>
    <row r="71" spans="1:38" x14ac:dyDescent="0.2">
      <c r="A71" s="1018"/>
      <c r="B71" s="768" t="s">
        <v>682</v>
      </c>
      <c r="C71" s="577">
        <v>102</v>
      </c>
      <c r="D71" s="578">
        <v>0</v>
      </c>
      <c r="E71" s="582">
        <v>33</v>
      </c>
      <c r="F71" s="579">
        <v>135</v>
      </c>
      <c r="G71" s="577">
        <v>39</v>
      </c>
      <c r="H71" s="578">
        <v>0</v>
      </c>
      <c r="I71" s="582">
        <v>23</v>
      </c>
      <c r="J71" s="579">
        <v>62</v>
      </c>
      <c r="K71" s="577">
        <v>43</v>
      </c>
      <c r="L71" s="578">
        <v>0</v>
      </c>
      <c r="M71" s="582">
        <v>19</v>
      </c>
      <c r="N71" s="579">
        <v>62</v>
      </c>
      <c r="O71" s="577">
        <v>49</v>
      </c>
      <c r="P71" s="582">
        <v>2</v>
      </c>
      <c r="Q71" s="582">
        <v>30</v>
      </c>
      <c r="R71" s="579">
        <v>81</v>
      </c>
      <c r="S71" s="577">
        <v>22</v>
      </c>
      <c r="T71" s="578">
        <v>1</v>
      </c>
      <c r="U71" s="582">
        <v>44</v>
      </c>
      <c r="V71" s="579">
        <v>67</v>
      </c>
      <c r="W71" s="577">
        <v>10</v>
      </c>
      <c r="X71" s="582">
        <v>0</v>
      </c>
      <c r="Y71" s="582">
        <v>18</v>
      </c>
      <c r="Z71" s="579">
        <v>28</v>
      </c>
      <c r="AA71" s="577">
        <v>50</v>
      </c>
      <c r="AB71" s="582">
        <v>0</v>
      </c>
      <c r="AC71" s="582">
        <v>20</v>
      </c>
      <c r="AD71" s="579">
        <v>70</v>
      </c>
      <c r="AE71" s="582">
        <v>26</v>
      </c>
      <c r="AF71" s="582">
        <v>0</v>
      </c>
      <c r="AG71" s="582">
        <v>4</v>
      </c>
      <c r="AH71" s="579">
        <v>30</v>
      </c>
      <c r="AI71" s="582"/>
      <c r="AJ71" s="582"/>
      <c r="AK71" s="582"/>
      <c r="AL71" s="579"/>
    </row>
    <row r="72" spans="1:38" ht="13.5" thickBot="1" x14ac:dyDescent="0.25">
      <c r="A72" s="1018"/>
      <c r="B72" s="769" t="s">
        <v>683</v>
      </c>
      <c r="C72" s="583">
        <v>5</v>
      </c>
      <c r="D72" s="584">
        <v>0</v>
      </c>
      <c r="E72" s="586">
        <v>1</v>
      </c>
      <c r="F72" s="585">
        <v>6</v>
      </c>
      <c r="G72" s="583">
        <v>1</v>
      </c>
      <c r="H72" s="584">
        <v>0</v>
      </c>
      <c r="I72" s="584">
        <v>0</v>
      </c>
      <c r="J72" s="585">
        <v>1</v>
      </c>
      <c r="K72" s="752">
        <v>0</v>
      </c>
      <c r="L72" s="584">
        <v>0</v>
      </c>
      <c r="M72" s="586">
        <v>2</v>
      </c>
      <c r="N72" s="585">
        <v>2</v>
      </c>
      <c r="O72" s="583">
        <v>4</v>
      </c>
      <c r="P72" s="584">
        <v>0</v>
      </c>
      <c r="Q72" s="586">
        <v>6</v>
      </c>
      <c r="R72" s="585">
        <v>10</v>
      </c>
      <c r="S72" s="752">
        <v>0</v>
      </c>
      <c r="T72" s="584">
        <v>0</v>
      </c>
      <c r="U72" s="586">
        <v>21</v>
      </c>
      <c r="V72" s="585">
        <v>21</v>
      </c>
      <c r="W72" s="583">
        <v>3</v>
      </c>
      <c r="X72" s="584">
        <v>0</v>
      </c>
      <c r="Y72" s="586">
        <v>12</v>
      </c>
      <c r="Z72" s="585">
        <v>15</v>
      </c>
      <c r="AA72" s="583">
        <v>2</v>
      </c>
      <c r="AB72" s="584">
        <v>0</v>
      </c>
      <c r="AC72" s="586">
        <v>19</v>
      </c>
      <c r="AD72" s="585">
        <v>21</v>
      </c>
      <c r="AE72" s="586">
        <v>0</v>
      </c>
      <c r="AF72" s="584">
        <v>0</v>
      </c>
      <c r="AG72" s="586">
        <v>33</v>
      </c>
      <c r="AH72" s="585">
        <v>33</v>
      </c>
      <c r="AI72" s="586"/>
      <c r="AJ72" s="584"/>
      <c r="AK72" s="586"/>
      <c r="AL72" s="585"/>
    </row>
    <row r="73" spans="1:38" s="259" customFormat="1" ht="13.5" thickBot="1" x14ac:dyDescent="0.25">
      <c r="A73" s="1025"/>
      <c r="B73" s="770" t="s">
        <v>781</v>
      </c>
      <c r="C73" s="762">
        <v>467</v>
      </c>
      <c r="D73" s="763">
        <v>3</v>
      </c>
      <c r="E73" s="763">
        <v>184</v>
      </c>
      <c r="F73" s="764">
        <v>654</v>
      </c>
      <c r="G73" s="762">
        <v>374</v>
      </c>
      <c r="H73" s="763">
        <v>72</v>
      </c>
      <c r="I73" s="763">
        <v>103</v>
      </c>
      <c r="J73" s="764">
        <v>549</v>
      </c>
      <c r="K73" s="762">
        <v>448</v>
      </c>
      <c r="L73" s="763">
        <v>13</v>
      </c>
      <c r="M73" s="763">
        <v>103</v>
      </c>
      <c r="N73" s="764">
        <v>564</v>
      </c>
      <c r="O73" s="762">
        <v>363</v>
      </c>
      <c r="P73" s="763">
        <v>7</v>
      </c>
      <c r="Q73" s="763">
        <v>221</v>
      </c>
      <c r="R73" s="764">
        <v>591</v>
      </c>
      <c r="S73" s="762">
        <v>461</v>
      </c>
      <c r="T73" s="763">
        <v>4</v>
      </c>
      <c r="U73" s="763">
        <v>391</v>
      </c>
      <c r="V73" s="764">
        <v>856</v>
      </c>
      <c r="W73" s="762">
        <v>868</v>
      </c>
      <c r="X73" s="763">
        <v>0</v>
      </c>
      <c r="Y73" s="763">
        <v>199</v>
      </c>
      <c r="Z73" s="764">
        <v>1067</v>
      </c>
      <c r="AA73" s="762">
        <v>1760</v>
      </c>
      <c r="AB73" s="763">
        <v>11</v>
      </c>
      <c r="AC73" s="763">
        <v>187</v>
      </c>
      <c r="AD73" s="764">
        <v>1958</v>
      </c>
      <c r="AE73" s="763">
        <v>150</v>
      </c>
      <c r="AF73" s="763">
        <v>0</v>
      </c>
      <c r="AG73" s="763">
        <v>260</v>
      </c>
      <c r="AH73" s="764">
        <v>410</v>
      </c>
      <c r="AI73" s="763"/>
      <c r="AJ73" s="763"/>
      <c r="AK73" s="763"/>
      <c r="AL73" s="764"/>
    </row>
    <row r="74" spans="1:38" x14ac:dyDescent="0.2">
      <c r="A74" s="1017" t="s">
        <v>585</v>
      </c>
      <c r="B74" s="767" t="s">
        <v>586</v>
      </c>
      <c r="C74" s="593">
        <v>0</v>
      </c>
      <c r="D74" s="574">
        <v>0</v>
      </c>
      <c r="E74" s="574">
        <v>0</v>
      </c>
      <c r="F74" s="594">
        <v>0</v>
      </c>
      <c r="G74" s="593">
        <v>0</v>
      </c>
      <c r="H74" s="574">
        <v>0</v>
      </c>
      <c r="I74" s="576">
        <v>1</v>
      </c>
      <c r="J74" s="575">
        <v>1</v>
      </c>
      <c r="K74" s="593">
        <v>0</v>
      </c>
      <c r="L74" s="574">
        <v>0</v>
      </c>
      <c r="M74" s="576">
        <v>2</v>
      </c>
      <c r="N74" s="575">
        <v>2</v>
      </c>
      <c r="O74" s="593">
        <v>0</v>
      </c>
      <c r="P74" s="574">
        <v>0</v>
      </c>
      <c r="Q74" s="574">
        <v>0</v>
      </c>
      <c r="R74" s="594">
        <v>0</v>
      </c>
      <c r="S74" s="593">
        <v>0</v>
      </c>
      <c r="T74" s="574">
        <v>0</v>
      </c>
      <c r="U74" s="576">
        <v>2</v>
      </c>
      <c r="V74" s="575">
        <v>2</v>
      </c>
      <c r="W74" s="593">
        <v>19</v>
      </c>
      <c r="X74" s="574">
        <v>0</v>
      </c>
      <c r="Y74" s="574">
        <v>0</v>
      </c>
      <c r="Z74" s="594">
        <v>19</v>
      </c>
      <c r="AA74" s="593">
        <v>9</v>
      </c>
      <c r="AB74" s="574">
        <v>0</v>
      </c>
      <c r="AC74" s="574">
        <v>0</v>
      </c>
      <c r="AD74" s="594">
        <v>9</v>
      </c>
      <c r="AE74" s="574">
        <v>1</v>
      </c>
      <c r="AF74" s="574">
        <v>0</v>
      </c>
      <c r="AG74" s="574">
        <v>1</v>
      </c>
      <c r="AH74" s="594">
        <v>2</v>
      </c>
      <c r="AI74" s="574"/>
      <c r="AJ74" s="574"/>
      <c r="AK74" s="574"/>
      <c r="AL74" s="594"/>
    </row>
    <row r="75" spans="1:38" x14ac:dyDescent="0.2">
      <c r="A75" s="1018"/>
      <c r="B75" s="768" t="s">
        <v>684</v>
      </c>
      <c r="C75" s="577">
        <v>61</v>
      </c>
      <c r="D75" s="582">
        <v>1</v>
      </c>
      <c r="E75" s="582">
        <v>31</v>
      </c>
      <c r="F75" s="579">
        <v>93</v>
      </c>
      <c r="G75" s="577">
        <v>88</v>
      </c>
      <c r="H75" s="578">
        <v>0</v>
      </c>
      <c r="I75" s="582">
        <v>26</v>
      </c>
      <c r="J75" s="579">
        <v>114</v>
      </c>
      <c r="K75" s="577">
        <v>101</v>
      </c>
      <c r="L75" s="578">
        <v>0</v>
      </c>
      <c r="M75" s="582">
        <v>42</v>
      </c>
      <c r="N75" s="579">
        <v>143</v>
      </c>
      <c r="O75" s="577">
        <v>115</v>
      </c>
      <c r="P75" s="578">
        <v>0</v>
      </c>
      <c r="Q75" s="582">
        <v>73</v>
      </c>
      <c r="R75" s="579">
        <v>188</v>
      </c>
      <c r="S75" s="577">
        <v>84</v>
      </c>
      <c r="T75" s="578">
        <v>0</v>
      </c>
      <c r="U75" s="582">
        <v>68</v>
      </c>
      <c r="V75" s="579">
        <v>152</v>
      </c>
      <c r="W75" s="577">
        <v>33</v>
      </c>
      <c r="X75" s="578">
        <v>0</v>
      </c>
      <c r="Y75" s="582">
        <v>28</v>
      </c>
      <c r="Z75" s="579">
        <v>61</v>
      </c>
      <c r="AA75" s="577">
        <v>7</v>
      </c>
      <c r="AB75" s="578">
        <v>0</v>
      </c>
      <c r="AC75" s="582">
        <v>33</v>
      </c>
      <c r="AD75" s="579">
        <v>40</v>
      </c>
      <c r="AE75" s="582">
        <v>22</v>
      </c>
      <c r="AF75" s="578">
        <v>0</v>
      </c>
      <c r="AG75" s="582">
        <v>56</v>
      </c>
      <c r="AH75" s="579">
        <v>78</v>
      </c>
      <c r="AI75" s="582"/>
      <c r="AJ75" s="578"/>
      <c r="AK75" s="582"/>
      <c r="AL75" s="579"/>
    </row>
    <row r="76" spans="1:38" x14ac:dyDescent="0.2">
      <c r="A76" s="1018"/>
      <c r="B76" s="768" t="s">
        <v>685</v>
      </c>
      <c r="C76" s="577">
        <v>8</v>
      </c>
      <c r="D76" s="578">
        <v>0</v>
      </c>
      <c r="E76" s="582">
        <v>10</v>
      </c>
      <c r="F76" s="579">
        <v>18</v>
      </c>
      <c r="G76" s="577">
        <v>26</v>
      </c>
      <c r="H76" s="578">
        <v>0</v>
      </c>
      <c r="I76" s="582">
        <v>16</v>
      </c>
      <c r="J76" s="579">
        <v>42</v>
      </c>
      <c r="K76" s="577">
        <v>38</v>
      </c>
      <c r="L76" s="578">
        <v>0</v>
      </c>
      <c r="M76" s="582">
        <v>23</v>
      </c>
      <c r="N76" s="579">
        <v>61</v>
      </c>
      <c r="O76" s="577">
        <v>24</v>
      </c>
      <c r="P76" s="578">
        <v>0</v>
      </c>
      <c r="Q76" s="582">
        <v>5</v>
      </c>
      <c r="R76" s="579">
        <v>29</v>
      </c>
      <c r="S76" s="577">
        <v>18</v>
      </c>
      <c r="T76" s="578">
        <v>0</v>
      </c>
      <c r="U76" s="582">
        <v>32</v>
      </c>
      <c r="V76" s="579">
        <v>50</v>
      </c>
      <c r="W76" s="577">
        <v>9</v>
      </c>
      <c r="X76" s="578">
        <v>0</v>
      </c>
      <c r="Y76" s="582">
        <v>37</v>
      </c>
      <c r="Z76" s="579">
        <v>46</v>
      </c>
      <c r="AA76" s="577">
        <v>5</v>
      </c>
      <c r="AB76" s="578">
        <v>0</v>
      </c>
      <c r="AC76" s="582">
        <v>34</v>
      </c>
      <c r="AD76" s="579">
        <v>39</v>
      </c>
      <c r="AE76" s="582">
        <v>6</v>
      </c>
      <c r="AF76" s="578">
        <v>0</v>
      </c>
      <c r="AG76" s="582">
        <v>40</v>
      </c>
      <c r="AH76" s="579">
        <v>46</v>
      </c>
      <c r="AI76" s="582"/>
      <c r="AJ76" s="578"/>
      <c r="AK76" s="582"/>
      <c r="AL76" s="579"/>
    </row>
    <row r="77" spans="1:38" x14ac:dyDescent="0.2">
      <c r="A77" s="1018"/>
      <c r="B77" s="768" t="s">
        <v>0</v>
      </c>
      <c r="C77" s="577">
        <v>21</v>
      </c>
      <c r="D77" s="578">
        <v>0</v>
      </c>
      <c r="E77" s="582">
        <v>26</v>
      </c>
      <c r="F77" s="579">
        <v>47</v>
      </c>
      <c r="G77" s="577">
        <v>10</v>
      </c>
      <c r="H77" s="578">
        <v>0</v>
      </c>
      <c r="I77" s="582">
        <v>16</v>
      </c>
      <c r="J77" s="579">
        <v>26</v>
      </c>
      <c r="K77" s="577">
        <v>14</v>
      </c>
      <c r="L77" s="578">
        <v>0</v>
      </c>
      <c r="M77" s="582">
        <v>15</v>
      </c>
      <c r="N77" s="579">
        <v>29</v>
      </c>
      <c r="O77" s="577">
        <v>35</v>
      </c>
      <c r="P77" s="578">
        <v>0</v>
      </c>
      <c r="Q77" s="582">
        <v>17</v>
      </c>
      <c r="R77" s="579">
        <v>52</v>
      </c>
      <c r="S77" s="577">
        <v>8</v>
      </c>
      <c r="T77" s="578">
        <v>0</v>
      </c>
      <c r="U77" s="582">
        <v>42</v>
      </c>
      <c r="V77" s="579">
        <v>50</v>
      </c>
      <c r="W77" s="577">
        <v>5</v>
      </c>
      <c r="X77" s="578">
        <v>0</v>
      </c>
      <c r="Y77" s="582">
        <v>0</v>
      </c>
      <c r="Z77" s="579">
        <v>5</v>
      </c>
      <c r="AA77" s="577">
        <v>3</v>
      </c>
      <c r="AB77" s="578">
        <v>0</v>
      </c>
      <c r="AC77" s="582">
        <v>8</v>
      </c>
      <c r="AD77" s="579">
        <v>11</v>
      </c>
      <c r="AE77" s="582">
        <v>3</v>
      </c>
      <c r="AF77" s="578">
        <v>0</v>
      </c>
      <c r="AG77" s="582">
        <v>21</v>
      </c>
      <c r="AH77" s="579">
        <v>24</v>
      </c>
      <c r="AI77" s="582"/>
      <c r="AJ77" s="578"/>
      <c r="AK77" s="582"/>
      <c r="AL77" s="579"/>
    </row>
    <row r="78" spans="1:38" x14ac:dyDescent="0.2">
      <c r="A78" s="1018"/>
      <c r="B78" s="768" t="s">
        <v>686</v>
      </c>
      <c r="C78" s="577">
        <v>23</v>
      </c>
      <c r="D78" s="578">
        <v>0</v>
      </c>
      <c r="E78" s="578">
        <v>0</v>
      </c>
      <c r="F78" s="579">
        <v>23</v>
      </c>
      <c r="G78" s="577">
        <v>20</v>
      </c>
      <c r="H78" s="578">
        <v>0</v>
      </c>
      <c r="I78" s="578">
        <v>0</v>
      </c>
      <c r="J78" s="579">
        <v>20</v>
      </c>
      <c r="K78" s="577">
        <v>18</v>
      </c>
      <c r="L78" s="578">
        <v>0</v>
      </c>
      <c r="M78" s="582">
        <v>1</v>
      </c>
      <c r="N78" s="579">
        <v>19</v>
      </c>
      <c r="O78" s="577">
        <v>21</v>
      </c>
      <c r="P78" s="578">
        <v>0</v>
      </c>
      <c r="Q78" s="582">
        <v>8</v>
      </c>
      <c r="R78" s="579">
        <v>29</v>
      </c>
      <c r="S78" s="577">
        <v>13</v>
      </c>
      <c r="T78" s="578">
        <v>0</v>
      </c>
      <c r="U78" s="582">
        <v>31</v>
      </c>
      <c r="V78" s="579">
        <v>44</v>
      </c>
      <c r="W78" s="577">
        <v>3</v>
      </c>
      <c r="X78" s="578">
        <v>0</v>
      </c>
      <c r="Y78" s="582">
        <v>6</v>
      </c>
      <c r="Z78" s="579">
        <v>9</v>
      </c>
      <c r="AA78" s="577">
        <v>3</v>
      </c>
      <c r="AB78" s="578">
        <v>0</v>
      </c>
      <c r="AC78" s="582">
        <v>28</v>
      </c>
      <c r="AD78" s="579">
        <v>31</v>
      </c>
      <c r="AE78" s="582">
        <v>3</v>
      </c>
      <c r="AF78" s="578">
        <v>0</v>
      </c>
      <c r="AG78" s="582">
        <v>3</v>
      </c>
      <c r="AH78" s="579">
        <v>6</v>
      </c>
      <c r="AI78" s="582"/>
      <c r="AJ78" s="578"/>
      <c r="AK78" s="582"/>
      <c r="AL78" s="579"/>
    </row>
    <row r="79" spans="1:38" x14ac:dyDescent="0.2">
      <c r="A79" s="1018"/>
      <c r="B79" s="768" t="s">
        <v>687</v>
      </c>
      <c r="C79" s="577">
        <v>11</v>
      </c>
      <c r="D79" s="578">
        <v>0</v>
      </c>
      <c r="E79" s="582">
        <v>1</v>
      </c>
      <c r="F79" s="579">
        <v>12</v>
      </c>
      <c r="G79" s="577">
        <v>15</v>
      </c>
      <c r="H79" s="578">
        <v>0</v>
      </c>
      <c r="I79" s="582">
        <v>5</v>
      </c>
      <c r="J79" s="579">
        <v>20</v>
      </c>
      <c r="K79" s="577">
        <v>6</v>
      </c>
      <c r="L79" s="578">
        <v>0</v>
      </c>
      <c r="M79" s="582">
        <v>6</v>
      </c>
      <c r="N79" s="579">
        <v>12</v>
      </c>
      <c r="O79" s="577">
        <v>8</v>
      </c>
      <c r="P79" s="578">
        <v>0</v>
      </c>
      <c r="Q79" s="582">
        <v>16</v>
      </c>
      <c r="R79" s="579">
        <v>24</v>
      </c>
      <c r="S79" s="577">
        <v>8</v>
      </c>
      <c r="T79" s="578">
        <v>0</v>
      </c>
      <c r="U79" s="582">
        <v>7</v>
      </c>
      <c r="V79" s="579">
        <v>15</v>
      </c>
      <c r="W79" s="577">
        <v>3</v>
      </c>
      <c r="X79" s="578">
        <v>0</v>
      </c>
      <c r="Y79" s="582">
        <v>1</v>
      </c>
      <c r="Z79" s="579">
        <v>4</v>
      </c>
      <c r="AA79" s="577">
        <v>6</v>
      </c>
      <c r="AB79" s="578">
        <v>0</v>
      </c>
      <c r="AC79" s="582">
        <v>2</v>
      </c>
      <c r="AD79" s="579">
        <v>8</v>
      </c>
      <c r="AE79" s="582">
        <v>17</v>
      </c>
      <c r="AF79" s="578">
        <v>0</v>
      </c>
      <c r="AG79" s="582">
        <v>1</v>
      </c>
      <c r="AH79" s="579">
        <v>18</v>
      </c>
      <c r="AI79" s="582"/>
      <c r="AJ79" s="578"/>
      <c r="AK79" s="582"/>
      <c r="AL79" s="579"/>
    </row>
    <row r="80" spans="1:38" ht="13.5" thickBot="1" x14ac:dyDescent="0.25">
      <c r="A80" s="1018"/>
      <c r="B80" s="769" t="s">
        <v>688</v>
      </c>
      <c r="C80" s="583">
        <v>6</v>
      </c>
      <c r="D80" s="584">
        <v>0</v>
      </c>
      <c r="E80" s="584">
        <v>0</v>
      </c>
      <c r="F80" s="585">
        <v>6</v>
      </c>
      <c r="G80" s="583">
        <v>19</v>
      </c>
      <c r="H80" s="584">
        <v>0</v>
      </c>
      <c r="I80" s="584">
        <v>0</v>
      </c>
      <c r="J80" s="585">
        <v>19</v>
      </c>
      <c r="K80" s="583">
        <v>34</v>
      </c>
      <c r="L80" s="584">
        <v>0</v>
      </c>
      <c r="M80" s="584">
        <v>0</v>
      </c>
      <c r="N80" s="585">
        <v>34</v>
      </c>
      <c r="O80" s="583">
        <v>22</v>
      </c>
      <c r="P80" s="584">
        <v>0</v>
      </c>
      <c r="Q80" s="586">
        <v>9</v>
      </c>
      <c r="R80" s="585">
        <v>31</v>
      </c>
      <c r="S80" s="583">
        <v>27</v>
      </c>
      <c r="T80" s="584">
        <v>0</v>
      </c>
      <c r="U80" s="584">
        <v>39</v>
      </c>
      <c r="V80" s="585">
        <v>66</v>
      </c>
      <c r="W80" s="583">
        <v>14</v>
      </c>
      <c r="X80" s="584">
        <v>0</v>
      </c>
      <c r="Y80" s="586">
        <v>19</v>
      </c>
      <c r="Z80" s="585">
        <v>33</v>
      </c>
      <c r="AA80" s="583">
        <v>11</v>
      </c>
      <c r="AB80" s="584">
        <v>0</v>
      </c>
      <c r="AC80" s="586">
        <v>22</v>
      </c>
      <c r="AD80" s="585">
        <v>33</v>
      </c>
      <c r="AE80" s="586">
        <v>10</v>
      </c>
      <c r="AF80" s="584">
        <v>0</v>
      </c>
      <c r="AG80" s="586">
        <v>37</v>
      </c>
      <c r="AH80" s="585">
        <v>47</v>
      </c>
      <c r="AI80" s="586"/>
      <c r="AJ80" s="584"/>
      <c r="AK80" s="586"/>
      <c r="AL80" s="585"/>
    </row>
    <row r="81" spans="1:38" s="259" customFormat="1" ht="13.5" thickBot="1" x14ac:dyDescent="0.25">
      <c r="A81" s="1019"/>
      <c r="B81" s="770" t="s">
        <v>780</v>
      </c>
      <c r="C81" s="762">
        <v>130</v>
      </c>
      <c r="D81" s="763">
        <v>1</v>
      </c>
      <c r="E81" s="763">
        <v>68</v>
      </c>
      <c r="F81" s="764">
        <v>199</v>
      </c>
      <c r="G81" s="762">
        <v>178</v>
      </c>
      <c r="H81" s="763">
        <v>0</v>
      </c>
      <c r="I81" s="763">
        <v>64</v>
      </c>
      <c r="J81" s="764">
        <v>242</v>
      </c>
      <c r="K81" s="762">
        <v>211</v>
      </c>
      <c r="L81" s="763">
        <v>0</v>
      </c>
      <c r="M81" s="763">
        <v>89</v>
      </c>
      <c r="N81" s="764">
        <v>300</v>
      </c>
      <c r="O81" s="762">
        <v>225</v>
      </c>
      <c r="P81" s="763">
        <v>0</v>
      </c>
      <c r="Q81" s="763">
        <v>128</v>
      </c>
      <c r="R81" s="764">
        <v>353</v>
      </c>
      <c r="S81" s="762">
        <v>158</v>
      </c>
      <c r="T81" s="763">
        <v>0</v>
      </c>
      <c r="U81" s="763">
        <v>221</v>
      </c>
      <c r="V81" s="764">
        <v>379</v>
      </c>
      <c r="W81" s="762">
        <v>86</v>
      </c>
      <c r="X81" s="763">
        <v>0</v>
      </c>
      <c r="Y81" s="763">
        <v>91</v>
      </c>
      <c r="Z81" s="764">
        <v>177</v>
      </c>
      <c r="AA81" s="762">
        <v>44</v>
      </c>
      <c r="AB81" s="763">
        <v>0</v>
      </c>
      <c r="AC81" s="763">
        <v>127</v>
      </c>
      <c r="AD81" s="764">
        <v>171</v>
      </c>
      <c r="AE81" s="763">
        <v>62</v>
      </c>
      <c r="AF81" s="763">
        <v>0</v>
      </c>
      <c r="AG81" s="763">
        <v>159</v>
      </c>
      <c r="AH81" s="764">
        <v>221</v>
      </c>
      <c r="AI81" s="763"/>
      <c r="AJ81" s="763"/>
      <c r="AK81" s="763"/>
      <c r="AL81" s="764"/>
    </row>
    <row r="82" spans="1:38" x14ac:dyDescent="0.2">
      <c r="A82" s="1026" t="s">
        <v>587</v>
      </c>
      <c r="B82" s="771" t="s">
        <v>588</v>
      </c>
      <c r="C82" s="590">
        <v>1</v>
      </c>
      <c r="D82" s="591">
        <v>4</v>
      </c>
      <c r="E82" s="588">
        <v>0</v>
      </c>
      <c r="F82" s="592">
        <v>5</v>
      </c>
      <c r="G82" s="587">
        <v>0</v>
      </c>
      <c r="H82" s="591">
        <v>3</v>
      </c>
      <c r="I82" s="591">
        <v>3</v>
      </c>
      <c r="J82" s="592">
        <v>6</v>
      </c>
      <c r="K82" s="590">
        <v>2</v>
      </c>
      <c r="L82" s="591">
        <v>2</v>
      </c>
      <c r="M82" s="591">
        <v>5</v>
      </c>
      <c r="N82" s="592">
        <v>9</v>
      </c>
      <c r="O82" s="587">
        <v>0</v>
      </c>
      <c r="P82" s="591">
        <v>2</v>
      </c>
      <c r="Q82" s="591">
        <v>2</v>
      </c>
      <c r="R82" s="592">
        <v>4</v>
      </c>
      <c r="S82" s="590">
        <v>2</v>
      </c>
      <c r="T82" s="591">
        <v>2</v>
      </c>
      <c r="U82" s="591">
        <v>0</v>
      </c>
      <c r="V82" s="592">
        <v>4</v>
      </c>
      <c r="W82" s="587">
        <v>2</v>
      </c>
      <c r="X82" s="591">
        <v>2</v>
      </c>
      <c r="Y82" s="591">
        <v>0</v>
      </c>
      <c r="Z82" s="592">
        <v>4</v>
      </c>
      <c r="AA82" s="587">
        <v>8</v>
      </c>
      <c r="AB82" s="591">
        <v>8</v>
      </c>
      <c r="AC82" s="591">
        <v>2</v>
      </c>
      <c r="AD82" s="592">
        <v>18</v>
      </c>
      <c r="AE82" s="588">
        <v>3</v>
      </c>
      <c r="AF82" s="591">
        <v>4</v>
      </c>
      <c r="AG82" s="591">
        <v>0</v>
      </c>
      <c r="AH82" s="592">
        <v>7</v>
      </c>
      <c r="AI82" s="588"/>
      <c r="AJ82" s="591"/>
      <c r="AK82" s="591"/>
      <c r="AL82" s="592"/>
    </row>
    <row r="83" spans="1:38" x14ac:dyDescent="0.2">
      <c r="A83" s="1018"/>
      <c r="B83" s="768" t="s">
        <v>689</v>
      </c>
      <c r="C83" s="577">
        <v>36</v>
      </c>
      <c r="D83" s="578">
        <v>0</v>
      </c>
      <c r="E83" s="582">
        <v>79</v>
      </c>
      <c r="F83" s="579">
        <v>115</v>
      </c>
      <c r="G83" s="577">
        <v>18</v>
      </c>
      <c r="H83" s="578">
        <v>0</v>
      </c>
      <c r="I83" s="582">
        <v>94</v>
      </c>
      <c r="J83" s="579">
        <v>112</v>
      </c>
      <c r="K83" s="577">
        <v>17</v>
      </c>
      <c r="L83" s="578">
        <v>0</v>
      </c>
      <c r="M83" s="582">
        <v>131</v>
      </c>
      <c r="N83" s="579">
        <v>148</v>
      </c>
      <c r="O83" s="577">
        <v>86</v>
      </c>
      <c r="P83" s="578">
        <v>0</v>
      </c>
      <c r="Q83" s="582">
        <v>140</v>
      </c>
      <c r="R83" s="579">
        <v>226</v>
      </c>
      <c r="S83" s="577">
        <v>33</v>
      </c>
      <c r="T83" s="578">
        <v>0</v>
      </c>
      <c r="U83" s="582">
        <v>147</v>
      </c>
      <c r="V83" s="579">
        <v>180</v>
      </c>
      <c r="W83" s="577">
        <v>39</v>
      </c>
      <c r="X83" s="578">
        <v>0</v>
      </c>
      <c r="Y83" s="582">
        <v>33</v>
      </c>
      <c r="Z83" s="579">
        <v>72</v>
      </c>
      <c r="AA83" s="577">
        <v>82</v>
      </c>
      <c r="AB83" s="578">
        <v>0</v>
      </c>
      <c r="AC83" s="582">
        <v>100</v>
      </c>
      <c r="AD83" s="579">
        <v>182</v>
      </c>
      <c r="AE83" s="582">
        <v>80</v>
      </c>
      <c r="AF83" s="578">
        <v>1</v>
      </c>
      <c r="AG83" s="582">
        <v>123</v>
      </c>
      <c r="AH83" s="579">
        <v>204</v>
      </c>
      <c r="AI83" s="582"/>
      <c r="AJ83" s="578"/>
      <c r="AK83" s="582"/>
      <c r="AL83" s="579"/>
    </row>
    <row r="84" spans="1:38" x14ac:dyDescent="0.2">
      <c r="A84" s="1018"/>
      <c r="B84" s="768" t="s">
        <v>690</v>
      </c>
      <c r="C84" s="577">
        <v>20</v>
      </c>
      <c r="D84" s="578">
        <v>0</v>
      </c>
      <c r="E84" s="582">
        <v>20</v>
      </c>
      <c r="F84" s="579">
        <v>40</v>
      </c>
      <c r="G84" s="577">
        <v>12</v>
      </c>
      <c r="H84" s="578">
        <v>0</v>
      </c>
      <c r="I84" s="582">
        <v>25</v>
      </c>
      <c r="J84" s="579">
        <v>37</v>
      </c>
      <c r="K84" s="577">
        <v>9</v>
      </c>
      <c r="L84" s="578">
        <v>0</v>
      </c>
      <c r="M84" s="582">
        <v>29</v>
      </c>
      <c r="N84" s="579">
        <v>38</v>
      </c>
      <c r="O84" s="577">
        <v>12</v>
      </c>
      <c r="P84" s="582">
        <v>20</v>
      </c>
      <c r="Q84" s="582">
        <v>3</v>
      </c>
      <c r="R84" s="579">
        <v>35</v>
      </c>
      <c r="S84" s="577">
        <v>6</v>
      </c>
      <c r="T84" s="578">
        <v>12</v>
      </c>
      <c r="U84" s="582">
        <v>0</v>
      </c>
      <c r="V84" s="579">
        <v>18</v>
      </c>
      <c r="W84" s="577">
        <v>3</v>
      </c>
      <c r="X84" s="582">
        <v>9</v>
      </c>
      <c r="Y84" s="582">
        <v>0</v>
      </c>
      <c r="Z84" s="579">
        <v>12</v>
      </c>
      <c r="AA84" s="577">
        <v>12</v>
      </c>
      <c r="AB84" s="582">
        <v>16</v>
      </c>
      <c r="AC84" s="582">
        <v>0</v>
      </c>
      <c r="AD84" s="579">
        <v>28</v>
      </c>
      <c r="AE84" s="582">
        <v>17</v>
      </c>
      <c r="AF84" s="582">
        <v>19</v>
      </c>
      <c r="AG84" s="582">
        <v>0</v>
      </c>
      <c r="AH84" s="579">
        <v>36</v>
      </c>
      <c r="AI84" s="582"/>
      <c r="AJ84" s="582"/>
      <c r="AK84" s="582"/>
      <c r="AL84" s="579"/>
    </row>
    <row r="85" spans="1:38" x14ac:dyDescent="0.2">
      <c r="A85" s="1018"/>
      <c r="B85" s="768" t="s">
        <v>691</v>
      </c>
      <c r="C85" s="577">
        <v>5</v>
      </c>
      <c r="D85" s="582">
        <v>1</v>
      </c>
      <c r="E85" s="578">
        <v>0</v>
      </c>
      <c r="F85" s="579">
        <v>6</v>
      </c>
      <c r="G85" s="577">
        <v>12</v>
      </c>
      <c r="H85" s="578">
        <v>0</v>
      </c>
      <c r="I85" s="578">
        <v>0</v>
      </c>
      <c r="J85" s="579">
        <v>12</v>
      </c>
      <c r="K85" s="577">
        <v>8</v>
      </c>
      <c r="L85" s="582">
        <v>1</v>
      </c>
      <c r="M85" s="578">
        <v>0</v>
      </c>
      <c r="N85" s="579">
        <v>9</v>
      </c>
      <c r="O85" s="577">
        <v>10</v>
      </c>
      <c r="P85" s="578">
        <v>0</v>
      </c>
      <c r="Q85" s="578">
        <v>0</v>
      </c>
      <c r="R85" s="579">
        <v>10</v>
      </c>
      <c r="S85" s="577">
        <v>15</v>
      </c>
      <c r="T85" s="582">
        <v>0</v>
      </c>
      <c r="U85" s="578">
        <v>0</v>
      </c>
      <c r="V85" s="579">
        <v>15</v>
      </c>
      <c r="W85" s="577">
        <v>6</v>
      </c>
      <c r="X85" s="578">
        <v>0</v>
      </c>
      <c r="Y85" s="578">
        <v>0</v>
      </c>
      <c r="Z85" s="579">
        <v>6</v>
      </c>
      <c r="AA85" s="577">
        <v>21</v>
      </c>
      <c r="AB85" s="578">
        <v>0</v>
      </c>
      <c r="AC85" s="578">
        <v>0</v>
      </c>
      <c r="AD85" s="579">
        <v>21</v>
      </c>
      <c r="AE85" s="582">
        <v>20</v>
      </c>
      <c r="AF85" s="578">
        <v>0</v>
      </c>
      <c r="AG85" s="578">
        <v>0</v>
      </c>
      <c r="AH85" s="579">
        <v>20</v>
      </c>
      <c r="AI85" s="582"/>
      <c r="AJ85" s="578"/>
      <c r="AK85" s="578"/>
      <c r="AL85" s="579"/>
    </row>
    <row r="86" spans="1:38" x14ac:dyDescent="0.2">
      <c r="A86" s="1018"/>
      <c r="B86" s="768" t="s">
        <v>692</v>
      </c>
      <c r="C86" s="577">
        <v>3</v>
      </c>
      <c r="D86" s="578">
        <v>0</v>
      </c>
      <c r="E86" s="582">
        <v>82</v>
      </c>
      <c r="F86" s="579">
        <v>85</v>
      </c>
      <c r="G86" s="577">
        <v>7</v>
      </c>
      <c r="H86" s="578">
        <v>0</v>
      </c>
      <c r="I86" s="582">
        <v>49</v>
      </c>
      <c r="J86" s="579">
        <v>56</v>
      </c>
      <c r="K86" s="577">
        <v>4</v>
      </c>
      <c r="L86" s="578">
        <v>0</v>
      </c>
      <c r="M86" s="582">
        <v>44</v>
      </c>
      <c r="N86" s="579">
        <v>48</v>
      </c>
      <c r="O86" s="577">
        <v>27</v>
      </c>
      <c r="P86" s="578">
        <v>0</v>
      </c>
      <c r="Q86" s="582">
        <v>85</v>
      </c>
      <c r="R86" s="579">
        <v>112</v>
      </c>
      <c r="S86" s="577">
        <v>13</v>
      </c>
      <c r="T86" s="578">
        <v>0</v>
      </c>
      <c r="U86" s="582">
        <v>109</v>
      </c>
      <c r="V86" s="579">
        <v>122</v>
      </c>
      <c r="W86" s="577">
        <v>7</v>
      </c>
      <c r="X86" s="578">
        <v>0</v>
      </c>
      <c r="Y86" s="582">
        <v>27</v>
      </c>
      <c r="Z86" s="579">
        <v>34</v>
      </c>
      <c r="AA86" s="577">
        <v>10</v>
      </c>
      <c r="AB86" s="578">
        <v>0</v>
      </c>
      <c r="AC86" s="582">
        <v>47</v>
      </c>
      <c r="AD86" s="579">
        <v>57</v>
      </c>
      <c r="AE86" s="582">
        <v>5</v>
      </c>
      <c r="AF86" s="578">
        <v>0</v>
      </c>
      <c r="AG86" s="582">
        <v>71</v>
      </c>
      <c r="AH86" s="579">
        <v>76</v>
      </c>
      <c r="AI86" s="582"/>
      <c r="AJ86" s="578"/>
      <c r="AK86" s="582"/>
      <c r="AL86" s="579"/>
    </row>
    <row r="87" spans="1:38" ht="13.5" thickBot="1" x14ac:dyDescent="0.25">
      <c r="A87" s="1018"/>
      <c r="B87" s="769" t="s">
        <v>693</v>
      </c>
      <c r="C87" s="583">
        <v>23</v>
      </c>
      <c r="D87" s="586">
        <v>1</v>
      </c>
      <c r="E87" s="586">
        <v>48</v>
      </c>
      <c r="F87" s="585">
        <v>72</v>
      </c>
      <c r="G87" s="583">
        <v>35</v>
      </c>
      <c r="H87" s="586">
        <v>1</v>
      </c>
      <c r="I87" s="586">
        <v>35</v>
      </c>
      <c r="J87" s="585">
        <v>71</v>
      </c>
      <c r="K87" s="583">
        <v>18</v>
      </c>
      <c r="L87" s="584">
        <v>0</v>
      </c>
      <c r="M87" s="586">
        <v>33</v>
      </c>
      <c r="N87" s="585">
        <v>51</v>
      </c>
      <c r="O87" s="583">
        <v>43</v>
      </c>
      <c r="P87" s="584">
        <v>0</v>
      </c>
      <c r="Q87" s="586">
        <v>59</v>
      </c>
      <c r="R87" s="585">
        <v>102</v>
      </c>
      <c r="S87" s="583">
        <v>14</v>
      </c>
      <c r="T87" s="584">
        <v>0</v>
      </c>
      <c r="U87" s="586">
        <v>71</v>
      </c>
      <c r="V87" s="585">
        <v>85</v>
      </c>
      <c r="W87" s="583">
        <v>8</v>
      </c>
      <c r="X87" s="584">
        <v>0</v>
      </c>
      <c r="Y87" s="586">
        <v>24</v>
      </c>
      <c r="Z87" s="585">
        <v>32</v>
      </c>
      <c r="AA87" s="583">
        <v>11</v>
      </c>
      <c r="AB87" s="584">
        <v>0</v>
      </c>
      <c r="AC87" s="586">
        <v>45</v>
      </c>
      <c r="AD87" s="585">
        <v>56</v>
      </c>
      <c r="AE87" s="586">
        <v>5</v>
      </c>
      <c r="AF87" s="584">
        <v>0</v>
      </c>
      <c r="AG87" s="586">
        <v>58</v>
      </c>
      <c r="AH87" s="585">
        <v>63</v>
      </c>
      <c r="AI87" s="586"/>
      <c r="AJ87" s="584"/>
      <c r="AK87" s="586"/>
      <c r="AL87" s="585"/>
    </row>
    <row r="88" spans="1:38" s="259" customFormat="1" ht="26.25" thickBot="1" x14ac:dyDescent="0.25">
      <c r="A88" s="1025"/>
      <c r="B88" s="770" t="s">
        <v>779</v>
      </c>
      <c r="C88" s="762">
        <v>88</v>
      </c>
      <c r="D88" s="763">
        <v>6</v>
      </c>
      <c r="E88" s="763">
        <v>229</v>
      </c>
      <c r="F88" s="764">
        <v>323</v>
      </c>
      <c r="G88" s="762">
        <v>84</v>
      </c>
      <c r="H88" s="763">
        <v>4</v>
      </c>
      <c r="I88" s="763">
        <v>206</v>
      </c>
      <c r="J88" s="764">
        <v>294</v>
      </c>
      <c r="K88" s="762">
        <v>58</v>
      </c>
      <c r="L88" s="763">
        <v>3</v>
      </c>
      <c r="M88" s="763">
        <v>242</v>
      </c>
      <c r="N88" s="764">
        <v>303</v>
      </c>
      <c r="O88" s="762">
        <v>178</v>
      </c>
      <c r="P88" s="763">
        <v>22</v>
      </c>
      <c r="Q88" s="763">
        <v>289</v>
      </c>
      <c r="R88" s="764">
        <v>489</v>
      </c>
      <c r="S88" s="762">
        <v>83</v>
      </c>
      <c r="T88" s="763">
        <v>14</v>
      </c>
      <c r="U88" s="763">
        <v>327</v>
      </c>
      <c r="V88" s="764">
        <v>424</v>
      </c>
      <c r="W88" s="762">
        <v>65</v>
      </c>
      <c r="X88" s="763">
        <v>11</v>
      </c>
      <c r="Y88" s="763">
        <v>84</v>
      </c>
      <c r="Z88" s="764">
        <v>160</v>
      </c>
      <c r="AA88" s="762">
        <v>144</v>
      </c>
      <c r="AB88" s="763">
        <v>24</v>
      </c>
      <c r="AC88" s="763">
        <v>194</v>
      </c>
      <c r="AD88" s="764">
        <v>362</v>
      </c>
      <c r="AE88" s="763">
        <v>130</v>
      </c>
      <c r="AF88" s="763">
        <v>24</v>
      </c>
      <c r="AG88" s="763">
        <v>252</v>
      </c>
      <c r="AH88" s="764">
        <v>406</v>
      </c>
      <c r="AI88" s="763"/>
      <c r="AJ88" s="763"/>
      <c r="AK88" s="763"/>
      <c r="AL88" s="764"/>
    </row>
    <row r="89" spans="1:38" x14ac:dyDescent="0.2">
      <c r="A89" s="1017" t="s">
        <v>589</v>
      </c>
      <c r="B89" s="767" t="s">
        <v>590</v>
      </c>
      <c r="C89" s="593">
        <v>0</v>
      </c>
      <c r="D89" s="574">
        <v>0</v>
      </c>
      <c r="E89" s="574">
        <v>0</v>
      </c>
      <c r="F89" s="594">
        <v>0</v>
      </c>
      <c r="G89" s="593">
        <v>0</v>
      </c>
      <c r="H89" s="574">
        <v>0</v>
      </c>
      <c r="I89" s="574">
        <v>0</v>
      </c>
      <c r="J89" s="594">
        <v>0</v>
      </c>
      <c r="K89" s="573">
        <v>3</v>
      </c>
      <c r="L89" s="574">
        <v>0</v>
      </c>
      <c r="M89" s="574">
        <v>0</v>
      </c>
      <c r="N89" s="575">
        <v>3</v>
      </c>
      <c r="O89" s="573">
        <v>2</v>
      </c>
      <c r="P89" s="574">
        <v>0</v>
      </c>
      <c r="Q89" s="576">
        <v>1</v>
      </c>
      <c r="R89" s="575">
        <v>3</v>
      </c>
      <c r="S89" s="573">
        <v>1</v>
      </c>
      <c r="T89" s="574">
        <v>0</v>
      </c>
      <c r="U89" s="574">
        <v>0</v>
      </c>
      <c r="V89" s="575">
        <v>1</v>
      </c>
      <c r="W89" s="573">
        <v>6</v>
      </c>
      <c r="X89" s="574">
        <v>0</v>
      </c>
      <c r="Y89" s="576">
        <v>3</v>
      </c>
      <c r="Z89" s="575">
        <v>9</v>
      </c>
      <c r="AA89" s="573">
        <v>8</v>
      </c>
      <c r="AB89" s="574">
        <v>0</v>
      </c>
      <c r="AC89" s="576">
        <v>0</v>
      </c>
      <c r="AD89" s="575">
        <v>8</v>
      </c>
      <c r="AE89" s="576">
        <v>1</v>
      </c>
      <c r="AF89" s="574">
        <v>0</v>
      </c>
      <c r="AG89" s="576">
        <v>0</v>
      </c>
      <c r="AH89" s="575">
        <v>1</v>
      </c>
      <c r="AI89" s="576"/>
      <c r="AJ89" s="574"/>
      <c r="AK89" s="576"/>
      <c r="AL89" s="575"/>
    </row>
    <row r="90" spans="1:38" x14ac:dyDescent="0.2">
      <c r="A90" s="1018"/>
      <c r="B90" s="768" t="s">
        <v>694</v>
      </c>
      <c r="C90" s="577">
        <v>186</v>
      </c>
      <c r="D90" s="582">
        <v>4</v>
      </c>
      <c r="E90" s="582">
        <v>64</v>
      </c>
      <c r="F90" s="579">
        <v>254</v>
      </c>
      <c r="G90" s="577">
        <v>147</v>
      </c>
      <c r="H90" s="578">
        <v>0</v>
      </c>
      <c r="I90" s="582">
        <v>47</v>
      </c>
      <c r="J90" s="579">
        <v>194</v>
      </c>
      <c r="K90" s="577">
        <v>203</v>
      </c>
      <c r="L90" s="582">
        <v>1</v>
      </c>
      <c r="M90" s="582">
        <v>41</v>
      </c>
      <c r="N90" s="579">
        <v>245</v>
      </c>
      <c r="O90" s="577">
        <v>366</v>
      </c>
      <c r="P90" s="578">
        <v>0</v>
      </c>
      <c r="Q90" s="582">
        <v>69</v>
      </c>
      <c r="R90" s="579">
        <v>435</v>
      </c>
      <c r="S90" s="577">
        <v>365</v>
      </c>
      <c r="T90" s="582">
        <v>0</v>
      </c>
      <c r="U90" s="582">
        <v>129</v>
      </c>
      <c r="V90" s="579">
        <v>494</v>
      </c>
      <c r="W90" s="577">
        <v>219</v>
      </c>
      <c r="X90" s="578">
        <v>0</v>
      </c>
      <c r="Y90" s="582">
        <v>156</v>
      </c>
      <c r="Z90" s="579">
        <v>375</v>
      </c>
      <c r="AA90" s="577">
        <v>251</v>
      </c>
      <c r="AB90" s="578">
        <v>0</v>
      </c>
      <c r="AC90" s="582">
        <v>153</v>
      </c>
      <c r="AD90" s="579">
        <v>404</v>
      </c>
      <c r="AE90" s="582">
        <v>309</v>
      </c>
      <c r="AF90" s="578">
        <v>0</v>
      </c>
      <c r="AG90" s="582">
        <v>116</v>
      </c>
      <c r="AH90" s="579">
        <v>425</v>
      </c>
      <c r="AI90" s="582"/>
      <c r="AJ90" s="578"/>
      <c r="AK90" s="582"/>
      <c r="AL90" s="579"/>
    </row>
    <row r="91" spans="1:38" x14ac:dyDescent="0.2">
      <c r="A91" s="1018"/>
      <c r="B91" s="768" t="s">
        <v>695</v>
      </c>
      <c r="C91" s="577">
        <v>50</v>
      </c>
      <c r="D91" s="578">
        <v>0</v>
      </c>
      <c r="E91" s="582">
        <v>19</v>
      </c>
      <c r="F91" s="579">
        <v>69</v>
      </c>
      <c r="G91" s="577">
        <v>36</v>
      </c>
      <c r="H91" s="578">
        <v>0</v>
      </c>
      <c r="I91" s="582">
        <v>27</v>
      </c>
      <c r="J91" s="579">
        <v>63</v>
      </c>
      <c r="K91" s="577">
        <v>87</v>
      </c>
      <c r="L91" s="578">
        <v>0</v>
      </c>
      <c r="M91" s="582">
        <v>21</v>
      </c>
      <c r="N91" s="579">
        <v>108</v>
      </c>
      <c r="O91" s="577">
        <v>33</v>
      </c>
      <c r="P91" s="578">
        <v>0</v>
      </c>
      <c r="Q91" s="582">
        <v>23</v>
      </c>
      <c r="R91" s="579">
        <v>56</v>
      </c>
      <c r="S91" s="577">
        <v>60</v>
      </c>
      <c r="T91" s="578">
        <v>2</v>
      </c>
      <c r="U91" s="582">
        <v>43</v>
      </c>
      <c r="V91" s="579">
        <v>105</v>
      </c>
      <c r="W91" s="577">
        <v>44</v>
      </c>
      <c r="X91" s="578">
        <v>2</v>
      </c>
      <c r="Y91" s="582">
        <v>20</v>
      </c>
      <c r="Z91" s="579">
        <v>66</v>
      </c>
      <c r="AA91" s="577">
        <v>41</v>
      </c>
      <c r="AB91" s="578">
        <v>8</v>
      </c>
      <c r="AC91" s="582">
        <v>33</v>
      </c>
      <c r="AD91" s="579">
        <v>82</v>
      </c>
      <c r="AE91" s="582">
        <v>63</v>
      </c>
      <c r="AF91" s="578">
        <v>5</v>
      </c>
      <c r="AG91" s="582">
        <v>25</v>
      </c>
      <c r="AH91" s="579">
        <v>93</v>
      </c>
      <c r="AI91" s="582"/>
      <c r="AJ91" s="578"/>
      <c r="AK91" s="582"/>
      <c r="AL91" s="579"/>
    </row>
    <row r="92" spans="1:38" x14ac:dyDescent="0.2">
      <c r="A92" s="1018"/>
      <c r="B92" s="768" t="s">
        <v>773</v>
      </c>
      <c r="C92" s="577">
        <v>48</v>
      </c>
      <c r="D92" s="578">
        <v>0</v>
      </c>
      <c r="E92" s="582">
        <v>4</v>
      </c>
      <c r="F92" s="579">
        <v>52</v>
      </c>
      <c r="G92" s="577">
        <v>46</v>
      </c>
      <c r="H92" s="578">
        <v>0</v>
      </c>
      <c r="I92" s="578">
        <v>0</v>
      </c>
      <c r="J92" s="579">
        <v>46</v>
      </c>
      <c r="K92" s="577">
        <v>34</v>
      </c>
      <c r="L92" s="578">
        <v>0</v>
      </c>
      <c r="M92" s="578">
        <v>0</v>
      </c>
      <c r="N92" s="579">
        <v>34</v>
      </c>
      <c r="O92" s="577">
        <v>140</v>
      </c>
      <c r="P92" s="582">
        <v>1</v>
      </c>
      <c r="Q92" s="578">
        <v>0</v>
      </c>
      <c r="R92" s="579">
        <v>141</v>
      </c>
      <c r="S92" s="577">
        <v>218</v>
      </c>
      <c r="T92" s="578">
        <v>0</v>
      </c>
      <c r="U92" s="578">
        <v>0</v>
      </c>
      <c r="V92" s="579">
        <v>218</v>
      </c>
      <c r="W92" s="577">
        <v>184</v>
      </c>
      <c r="X92" s="582">
        <v>0</v>
      </c>
      <c r="Y92" s="578">
        <v>0</v>
      </c>
      <c r="Z92" s="579">
        <v>184</v>
      </c>
      <c r="AA92" s="577">
        <v>186</v>
      </c>
      <c r="AB92" s="582">
        <v>0</v>
      </c>
      <c r="AC92" s="578">
        <v>0</v>
      </c>
      <c r="AD92" s="579">
        <v>186</v>
      </c>
      <c r="AE92" s="582">
        <v>169</v>
      </c>
      <c r="AF92" s="582">
        <v>0</v>
      </c>
      <c r="AG92" s="578">
        <v>0</v>
      </c>
      <c r="AH92" s="579">
        <v>169</v>
      </c>
      <c r="AI92" s="582"/>
      <c r="AJ92" s="582"/>
      <c r="AK92" s="578"/>
      <c r="AL92" s="579"/>
    </row>
    <row r="93" spans="1:38" x14ac:dyDescent="0.2">
      <c r="A93" s="1018"/>
      <c r="B93" s="768" t="s">
        <v>696</v>
      </c>
      <c r="C93" s="577">
        <v>12</v>
      </c>
      <c r="D93" s="578">
        <v>0</v>
      </c>
      <c r="E93" s="582">
        <v>12</v>
      </c>
      <c r="F93" s="579">
        <v>24</v>
      </c>
      <c r="G93" s="577">
        <v>11</v>
      </c>
      <c r="H93" s="578">
        <v>0</v>
      </c>
      <c r="I93" s="582">
        <v>7</v>
      </c>
      <c r="J93" s="579">
        <v>18</v>
      </c>
      <c r="K93" s="577">
        <v>58</v>
      </c>
      <c r="L93" s="578">
        <v>0</v>
      </c>
      <c r="M93" s="582">
        <v>8</v>
      </c>
      <c r="N93" s="579">
        <v>66</v>
      </c>
      <c r="O93" s="577">
        <v>57</v>
      </c>
      <c r="P93" s="578">
        <v>0</v>
      </c>
      <c r="Q93" s="582">
        <v>16</v>
      </c>
      <c r="R93" s="579">
        <v>73</v>
      </c>
      <c r="S93" s="577">
        <v>46</v>
      </c>
      <c r="T93" s="578">
        <v>0</v>
      </c>
      <c r="U93" s="582">
        <v>21</v>
      </c>
      <c r="V93" s="579">
        <v>67</v>
      </c>
      <c r="W93" s="577">
        <v>21</v>
      </c>
      <c r="X93" s="578">
        <v>0</v>
      </c>
      <c r="Y93" s="582">
        <v>10</v>
      </c>
      <c r="Z93" s="579">
        <v>31</v>
      </c>
      <c r="AA93" s="577">
        <v>35</v>
      </c>
      <c r="AB93" s="578">
        <v>0</v>
      </c>
      <c r="AC93" s="582">
        <v>7</v>
      </c>
      <c r="AD93" s="579">
        <v>42</v>
      </c>
      <c r="AE93" s="582">
        <v>36</v>
      </c>
      <c r="AF93" s="578">
        <v>1</v>
      </c>
      <c r="AG93" s="582">
        <v>11</v>
      </c>
      <c r="AH93" s="579">
        <v>48</v>
      </c>
      <c r="AI93" s="582"/>
      <c r="AJ93" s="578"/>
      <c r="AK93" s="582"/>
      <c r="AL93" s="579"/>
    </row>
    <row r="94" spans="1:38" x14ac:dyDescent="0.2">
      <c r="A94" s="1018"/>
      <c r="B94" s="768" t="s">
        <v>697</v>
      </c>
      <c r="C94" s="577">
        <v>14</v>
      </c>
      <c r="D94" s="578">
        <v>0</v>
      </c>
      <c r="E94" s="582">
        <v>20</v>
      </c>
      <c r="F94" s="579">
        <v>34</v>
      </c>
      <c r="G94" s="577">
        <v>25</v>
      </c>
      <c r="H94" s="578">
        <v>0</v>
      </c>
      <c r="I94" s="582">
        <v>13</v>
      </c>
      <c r="J94" s="579">
        <v>38</v>
      </c>
      <c r="K94" s="577">
        <v>21</v>
      </c>
      <c r="L94" s="578">
        <v>0</v>
      </c>
      <c r="M94" s="582">
        <v>16</v>
      </c>
      <c r="N94" s="579">
        <v>37</v>
      </c>
      <c r="O94" s="577">
        <v>17</v>
      </c>
      <c r="P94" s="582">
        <v>22</v>
      </c>
      <c r="Q94" s="582">
        <v>6</v>
      </c>
      <c r="R94" s="579">
        <v>45</v>
      </c>
      <c r="S94" s="577">
        <v>44</v>
      </c>
      <c r="T94" s="578">
        <v>40</v>
      </c>
      <c r="U94" s="582">
        <v>0</v>
      </c>
      <c r="V94" s="579">
        <v>84</v>
      </c>
      <c r="W94" s="577">
        <v>24</v>
      </c>
      <c r="X94" s="582">
        <v>32</v>
      </c>
      <c r="Y94" s="582">
        <v>1</v>
      </c>
      <c r="Z94" s="579">
        <v>57</v>
      </c>
      <c r="AA94" s="577">
        <v>9</v>
      </c>
      <c r="AB94" s="582">
        <v>9</v>
      </c>
      <c r="AC94" s="582">
        <v>19</v>
      </c>
      <c r="AD94" s="579">
        <v>37</v>
      </c>
      <c r="AE94" s="582">
        <v>9</v>
      </c>
      <c r="AF94" s="582">
        <v>4</v>
      </c>
      <c r="AG94" s="582">
        <v>20</v>
      </c>
      <c r="AH94" s="579">
        <v>33</v>
      </c>
      <c r="AI94" s="582"/>
      <c r="AJ94" s="582"/>
      <c r="AK94" s="582"/>
      <c r="AL94" s="579"/>
    </row>
    <row r="95" spans="1:38" x14ac:dyDescent="0.2">
      <c r="A95" s="1018"/>
      <c r="B95" s="768" t="s">
        <v>698</v>
      </c>
      <c r="C95" s="577">
        <v>7</v>
      </c>
      <c r="D95" s="578">
        <v>0</v>
      </c>
      <c r="E95" s="582">
        <v>11</v>
      </c>
      <c r="F95" s="579">
        <v>18</v>
      </c>
      <c r="G95" s="577">
        <v>33</v>
      </c>
      <c r="H95" s="582">
        <v>3</v>
      </c>
      <c r="I95" s="582">
        <v>12</v>
      </c>
      <c r="J95" s="579">
        <v>48</v>
      </c>
      <c r="K95" s="577">
        <v>10</v>
      </c>
      <c r="L95" s="582">
        <v>4</v>
      </c>
      <c r="M95" s="582">
        <v>16</v>
      </c>
      <c r="N95" s="579">
        <v>30</v>
      </c>
      <c r="O95" s="577">
        <v>22</v>
      </c>
      <c r="P95" s="582">
        <v>5</v>
      </c>
      <c r="Q95" s="582">
        <v>21</v>
      </c>
      <c r="R95" s="579">
        <v>48</v>
      </c>
      <c r="S95" s="577">
        <v>34</v>
      </c>
      <c r="T95" s="582">
        <v>0</v>
      </c>
      <c r="U95" s="582">
        <v>29</v>
      </c>
      <c r="V95" s="579">
        <v>63</v>
      </c>
      <c r="W95" s="577">
        <v>23</v>
      </c>
      <c r="X95" s="582">
        <v>0</v>
      </c>
      <c r="Y95" s="582">
        <v>12</v>
      </c>
      <c r="Z95" s="579">
        <v>35</v>
      </c>
      <c r="AA95" s="577">
        <v>70</v>
      </c>
      <c r="AB95" s="582">
        <v>0</v>
      </c>
      <c r="AC95" s="582">
        <v>16</v>
      </c>
      <c r="AD95" s="579">
        <v>86</v>
      </c>
      <c r="AE95" s="582">
        <v>132</v>
      </c>
      <c r="AF95" s="582">
        <v>0</v>
      </c>
      <c r="AG95" s="582">
        <v>9</v>
      </c>
      <c r="AH95" s="579">
        <v>141</v>
      </c>
      <c r="AI95" s="582"/>
      <c r="AJ95" s="582"/>
      <c r="AK95" s="582"/>
      <c r="AL95" s="579"/>
    </row>
    <row r="96" spans="1:38" x14ac:dyDescent="0.2">
      <c r="A96" s="1018"/>
      <c r="B96" s="768" t="s">
        <v>699</v>
      </c>
      <c r="C96" s="577">
        <v>13</v>
      </c>
      <c r="D96" s="578">
        <v>0</v>
      </c>
      <c r="E96" s="582">
        <v>25</v>
      </c>
      <c r="F96" s="579">
        <v>38</v>
      </c>
      <c r="G96" s="577">
        <v>16</v>
      </c>
      <c r="H96" s="578">
        <v>0</v>
      </c>
      <c r="I96" s="582">
        <v>20</v>
      </c>
      <c r="J96" s="579">
        <v>36</v>
      </c>
      <c r="K96" s="577">
        <v>27</v>
      </c>
      <c r="L96" s="578">
        <v>0</v>
      </c>
      <c r="M96" s="582">
        <v>23</v>
      </c>
      <c r="N96" s="579">
        <v>50</v>
      </c>
      <c r="O96" s="577">
        <v>23</v>
      </c>
      <c r="P96" s="582">
        <v>1</v>
      </c>
      <c r="Q96" s="582">
        <v>19</v>
      </c>
      <c r="R96" s="579">
        <v>43</v>
      </c>
      <c r="S96" s="577">
        <v>35</v>
      </c>
      <c r="T96" s="578">
        <v>0</v>
      </c>
      <c r="U96" s="582">
        <v>19</v>
      </c>
      <c r="V96" s="579">
        <v>54</v>
      </c>
      <c r="W96" s="577">
        <v>20</v>
      </c>
      <c r="X96" s="582">
        <v>0</v>
      </c>
      <c r="Y96" s="582">
        <v>36</v>
      </c>
      <c r="Z96" s="579">
        <v>56</v>
      </c>
      <c r="AA96" s="577">
        <v>23</v>
      </c>
      <c r="AB96" s="582">
        <v>0</v>
      </c>
      <c r="AC96" s="582">
        <v>28</v>
      </c>
      <c r="AD96" s="579">
        <v>51</v>
      </c>
      <c r="AE96" s="582">
        <v>15</v>
      </c>
      <c r="AF96" s="582">
        <v>0</v>
      </c>
      <c r="AG96" s="582">
        <v>20</v>
      </c>
      <c r="AH96" s="579">
        <v>35</v>
      </c>
      <c r="AI96" s="582"/>
      <c r="AJ96" s="582"/>
      <c r="AK96" s="582"/>
      <c r="AL96" s="579"/>
    </row>
    <row r="97" spans="1:38" ht="13.5" thickBot="1" x14ac:dyDescent="0.25">
      <c r="A97" s="1018"/>
      <c r="B97" s="769" t="s">
        <v>700</v>
      </c>
      <c r="C97" s="583">
        <v>21</v>
      </c>
      <c r="D97" s="586">
        <v>5</v>
      </c>
      <c r="E97" s="584">
        <v>0</v>
      </c>
      <c r="F97" s="585">
        <v>26</v>
      </c>
      <c r="G97" s="583">
        <v>35</v>
      </c>
      <c r="H97" s="586">
        <v>2</v>
      </c>
      <c r="I97" s="584">
        <v>0</v>
      </c>
      <c r="J97" s="585">
        <v>37</v>
      </c>
      <c r="K97" s="583">
        <v>63</v>
      </c>
      <c r="L97" s="586">
        <v>5</v>
      </c>
      <c r="M97" s="584">
        <v>0</v>
      </c>
      <c r="N97" s="585">
        <v>68</v>
      </c>
      <c r="O97" s="583">
        <v>48</v>
      </c>
      <c r="P97" s="586">
        <v>1</v>
      </c>
      <c r="Q97" s="584">
        <v>0</v>
      </c>
      <c r="R97" s="585">
        <v>49</v>
      </c>
      <c r="S97" s="583">
        <v>83</v>
      </c>
      <c r="T97" s="586">
        <v>1</v>
      </c>
      <c r="U97" s="584">
        <v>0</v>
      </c>
      <c r="V97" s="585">
        <v>84</v>
      </c>
      <c r="W97" s="583">
        <v>77</v>
      </c>
      <c r="X97" s="586">
        <v>0</v>
      </c>
      <c r="Y97" s="584">
        <v>0</v>
      </c>
      <c r="Z97" s="585">
        <v>77</v>
      </c>
      <c r="AA97" s="583">
        <v>65</v>
      </c>
      <c r="AB97" s="586">
        <v>0</v>
      </c>
      <c r="AC97" s="584">
        <v>0</v>
      </c>
      <c r="AD97" s="585">
        <v>65</v>
      </c>
      <c r="AE97" s="586">
        <v>55</v>
      </c>
      <c r="AF97" s="586">
        <v>0</v>
      </c>
      <c r="AG97" s="584">
        <v>0</v>
      </c>
      <c r="AH97" s="585">
        <v>55</v>
      </c>
      <c r="AI97" s="586"/>
      <c r="AJ97" s="586"/>
      <c r="AK97" s="584"/>
      <c r="AL97" s="585"/>
    </row>
    <row r="98" spans="1:38" s="259" customFormat="1" ht="13.5" thickBot="1" x14ac:dyDescent="0.25">
      <c r="A98" s="1019"/>
      <c r="B98" s="770" t="s">
        <v>778</v>
      </c>
      <c r="C98" s="762">
        <v>351</v>
      </c>
      <c r="D98" s="763">
        <v>9</v>
      </c>
      <c r="E98" s="763">
        <v>155</v>
      </c>
      <c r="F98" s="764">
        <v>515</v>
      </c>
      <c r="G98" s="762">
        <v>349</v>
      </c>
      <c r="H98" s="763">
        <v>5</v>
      </c>
      <c r="I98" s="763">
        <v>126</v>
      </c>
      <c r="J98" s="764">
        <v>480</v>
      </c>
      <c r="K98" s="762">
        <v>506</v>
      </c>
      <c r="L98" s="763">
        <v>10</v>
      </c>
      <c r="M98" s="763">
        <v>125</v>
      </c>
      <c r="N98" s="764">
        <v>641</v>
      </c>
      <c r="O98" s="762">
        <v>708</v>
      </c>
      <c r="P98" s="763">
        <v>30</v>
      </c>
      <c r="Q98" s="763">
        <v>155</v>
      </c>
      <c r="R98" s="764">
        <v>893</v>
      </c>
      <c r="S98" s="762">
        <v>886</v>
      </c>
      <c r="T98" s="763">
        <v>43</v>
      </c>
      <c r="U98" s="763">
        <v>241</v>
      </c>
      <c r="V98" s="764">
        <v>1170</v>
      </c>
      <c r="W98" s="762">
        <v>618</v>
      </c>
      <c r="X98" s="763">
        <v>34</v>
      </c>
      <c r="Y98" s="763">
        <v>238</v>
      </c>
      <c r="Z98" s="764">
        <v>890</v>
      </c>
      <c r="AA98" s="762">
        <v>688</v>
      </c>
      <c r="AB98" s="763">
        <v>17</v>
      </c>
      <c r="AC98" s="763">
        <v>256</v>
      </c>
      <c r="AD98" s="764">
        <v>961</v>
      </c>
      <c r="AE98" s="763">
        <v>789</v>
      </c>
      <c r="AF98" s="763">
        <v>10</v>
      </c>
      <c r="AG98" s="763">
        <v>201</v>
      </c>
      <c r="AH98" s="764">
        <v>1000</v>
      </c>
      <c r="AI98" s="763"/>
      <c r="AJ98" s="763"/>
      <c r="AK98" s="763"/>
      <c r="AL98" s="764"/>
    </row>
    <row r="99" spans="1:38" x14ac:dyDescent="0.2">
      <c r="A99" s="1026" t="s">
        <v>591</v>
      </c>
      <c r="B99" s="771" t="s">
        <v>592</v>
      </c>
      <c r="C99" s="590">
        <v>1</v>
      </c>
      <c r="D99" s="588">
        <v>0</v>
      </c>
      <c r="E99" s="588">
        <v>0</v>
      </c>
      <c r="F99" s="592">
        <v>1</v>
      </c>
      <c r="G99" s="590">
        <v>1</v>
      </c>
      <c r="H99" s="588">
        <v>0</v>
      </c>
      <c r="I99" s="588">
        <v>0</v>
      </c>
      <c r="J99" s="592">
        <v>1</v>
      </c>
      <c r="K99" s="587">
        <v>0</v>
      </c>
      <c r="L99" s="588">
        <v>0</v>
      </c>
      <c r="M99" s="588">
        <v>0</v>
      </c>
      <c r="N99" s="589">
        <v>0</v>
      </c>
      <c r="O99" s="590">
        <v>1</v>
      </c>
      <c r="P99" s="588">
        <v>0</v>
      </c>
      <c r="Q99" s="588">
        <v>0</v>
      </c>
      <c r="R99" s="592">
        <v>1</v>
      </c>
      <c r="S99" s="587">
        <v>0</v>
      </c>
      <c r="T99" s="588">
        <v>0</v>
      </c>
      <c r="U99" s="588">
        <v>0</v>
      </c>
      <c r="V99" s="589">
        <v>0</v>
      </c>
      <c r="W99" s="590">
        <v>0</v>
      </c>
      <c r="X99" s="588">
        <v>0</v>
      </c>
      <c r="Y99" s="588">
        <v>0</v>
      </c>
      <c r="Z99" s="592">
        <v>0</v>
      </c>
      <c r="AA99" s="590">
        <v>1</v>
      </c>
      <c r="AB99" s="588">
        <v>0</v>
      </c>
      <c r="AC99" s="588">
        <v>0</v>
      </c>
      <c r="AD99" s="592">
        <v>1</v>
      </c>
      <c r="AE99" s="591">
        <v>2</v>
      </c>
      <c r="AF99" s="588">
        <v>0</v>
      </c>
      <c r="AG99" s="588">
        <v>0</v>
      </c>
      <c r="AH99" s="592">
        <v>2</v>
      </c>
      <c r="AI99" s="591"/>
      <c r="AJ99" s="588"/>
      <c r="AK99" s="588"/>
      <c r="AL99" s="592"/>
    </row>
    <row r="100" spans="1:38" x14ac:dyDescent="0.2">
      <c r="A100" s="1018"/>
      <c r="B100" s="768" t="s">
        <v>774</v>
      </c>
      <c r="C100" s="577">
        <v>57</v>
      </c>
      <c r="D100" s="578">
        <v>0</v>
      </c>
      <c r="E100" s="582">
        <v>26</v>
      </c>
      <c r="F100" s="579">
        <v>83</v>
      </c>
      <c r="G100" s="577">
        <v>76</v>
      </c>
      <c r="H100" s="582">
        <v>3</v>
      </c>
      <c r="I100" s="582">
        <v>23</v>
      </c>
      <c r="J100" s="579">
        <v>102</v>
      </c>
      <c r="K100" s="577">
        <v>92</v>
      </c>
      <c r="L100" s="582">
        <v>1</v>
      </c>
      <c r="M100" s="582">
        <v>45</v>
      </c>
      <c r="N100" s="579">
        <v>138</v>
      </c>
      <c r="O100" s="577">
        <v>101</v>
      </c>
      <c r="P100" s="578">
        <v>0</v>
      </c>
      <c r="Q100" s="582">
        <v>54</v>
      </c>
      <c r="R100" s="579">
        <v>155</v>
      </c>
      <c r="S100" s="577">
        <v>51</v>
      </c>
      <c r="T100" s="582">
        <v>0</v>
      </c>
      <c r="U100" s="582">
        <v>86</v>
      </c>
      <c r="V100" s="579">
        <v>137</v>
      </c>
      <c r="W100" s="577">
        <v>60</v>
      </c>
      <c r="X100" s="578">
        <v>0</v>
      </c>
      <c r="Y100" s="582">
        <v>52</v>
      </c>
      <c r="Z100" s="579">
        <v>112</v>
      </c>
      <c r="AA100" s="577">
        <v>43</v>
      </c>
      <c r="AB100" s="578">
        <v>0</v>
      </c>
      <c r="AC100" s="582">
        <v>58</v>
      </c>
      <c r="AD100" s="579">
        <v>101</v>
      </c>
      <c r="AE100" s="582">
        <v>44</v>
      </c>
      <c r="AF100" s="578">
        <v>0</v>
      </c>
      <c r="AG100" s="582">
        <v>67</v>
      </c>
      <c r="AH100" s="579">
        <v>111</v>
      </c>
      <c r="AI100" s="582"/>
      <c r="AJ100" s="578"/>
      <c r="AK100" s="582"/>
      <c r="AL100" s="579"/>
    </row>
    <row r="101" spans="1:38" x14ac:dyDescent="0.2">
      <c r="A101" s="1018"/>
      <c r="B101" s="768" t="s">
        <v>701</v>
      </c>
      <c r="C101" s="577">
        <v>19</v>
      </c>
      <c r="D101" s="582">
        <v>1</v>
      </c>
      <c r="E101" s="582">
        <v>19</v>
      </c>
      <c r="F101" s="579">
        <v>39</v>
      </c>
      <c r="G101" s="577">
        <v>27</v>
      </c>
      <c r="H101" s="578">
        <v>0</v>
      </c>
      <c r="I101" s="582">
        <v>16</v>
      </c>
      <c r="J101" s="579">
        <v>43</v>
      </c>
      <c r="K101" s="577">
        <v>10</v>
      </c>
      <c r="L101" s="578">
        <v>0</v>
      </c>
      <c r="M101" s="582">
        <v>23</v>
      </c>
      <c r="N101" s="579">
        <v>33</v>
      </c>
      <c r="O101" s="577">
        <v>12</v>
      </c>
      <c r="P101" s="578">
        <v>0</v>
      </c>
      <c r="Q101" s="582">
        <v>17</v>
      </c>
      <c r="R101" s="579">
        <v>29</v>
      </c>
      <c r="S101" s="577">
        <v>22</v>
      </c>
      <c r="T101" s="578">
        <v>2</v>
      </c>
      <c r="U101" s="582">
        <v>24</v>
      </c>
      <c r="V101" s="579">
        <v>48</v>
      </c>
      <c r="W101" s="577">
        <v>16</v>
      </c>
      <c r="X101" s="578">
        <v>0</v>
      </c>
      <c r="Y101" s="582">
        <v>19</v>
      </c>
      <c r="Z101" s="579">
        <v>35</v>
      </c>
      <c r="AA101" s="577">
        <v>13</v>
      </c>
      <c r="AB101" s="578">
        <v>1</v>
      </c>
      <c r="AC101" s="582">
        <v>27</v>
      </c>
      <c r="AD101" s="579">
        <v>41</v>
      </c>
      <c r="AE101" s="582">
        <v>14</v>
      </c>
      <c r="AF101" s="578">
        <v>2</v>
      </c>
      <c r="AG101" s="582">
        <v>48</v>
      </c>
      <c r="AH101" s="579">
        <v>64</v>
      </c>
      <c r="AI101" s="582"/>
      <c r="AJ101" s="578"/>
      <c r="AK101" s="582"/>
      <c r="AL101" s="579"/>
    </row>
    <row r="102" spans="1:38" x14ac:dyDescent="0.2">
      <c r="A102" s="1018"/>
      <c r="B102" s="768" t="s">
        <v>702</v>
      </c>
      <c r="C102" s="577">
        <v>48</v>
      </c>
      <c r="D102" s="582">
        <v>21</v>
      </c>
      <c r="E102" s="578">
        <v>0</v>
      </c>
      <c r="F102" s="579">
        <v>69</v>
      </c>
      <c r="G102" s="577">
        <v>37</v>
      </c>
      <c r="H102" s="582">
        <v>38</v>
      </c>
      <c r="I102" s="582">
        <v>1</v>
      </c>
      <c r="J102" s="579">
        <v>76</v>
      </c>
      <c r="K102" s="577">
        <v>41</v>
      </c>
      <c r="L102" s="582">
        <v>44</v>
      </c>
      <c r="M102" s="578">
        <v>0</v>
      </c>
      <c r="N102" s="579">
        <v>85</v>
      </c>
      <c r="O102" s="577">
        <v>64</v>
      </c>
      <c r="P102" s="582">
        <v>10</v>
      </c>
      <c r="Q102" s="582">
        <v>36</v>
      </c>
      <c r="R102" s="579">
        <v>110</v>
      </c>
      <c r="S102" s="577">
        <v>25</v>
      </c>
      <c r="T102" s="582">
        <v>1</v>
      </c>
      <c r="U102" s="578">
        <v>88</v>
      </c>
      <c r="V102" s="579">
        <v>114</v>
      </c>
      <c r="W102" s="577">
        <v>36</v>
      </c>
      <c r="X102" s="582">
        <v>0</v>
      </c>
      <c r="Y102" s="582">
        <v>49</v>
      </c>
      <c r="Z102" s="579">
        <v>85</v>
      </c>
      <c r="AA102" s="577">
        <v>34</v>
      </c>
      <c r="AB102" s="582">
        <v>1</v>
      </c>
      <c r="AC102" s="582">
        <v>64</v>
      </c>
      <c r="AD102" s="579">
        <v>99</v>
      </c>
      <c r="AE102" s="582">
        <v>40</v>
      </c>
      <c r="AF102" s="582">
        <v>0</v>
      </c>
      <c r="AG102" s="582">
        <v>71</v>
      </c>
      <c r="AH102" s="579">
        <v>111</v>
      </c>
      <c r="AI102" s="582"/>
      <c r="AJ102" s="582"/>
      <c r="AK102" s="582"/>
      <c r="AL102" s="579"/>
    </row>
    <row r="103" spans="1:38" x14ac:dyDescent="0.2">
      <c r="A103" s="1018"/>
      <c r="B103" s="768" t="s">
        <v>703</v>
      </c>
      <c r="C103" s="577">
        <v>29</v>
      </c>
      <c r="D103" s="582">
        <v>4</v>
      </c>
      <c r="E103" s="582">
        <v>16</v>
      </c>
      <c r="F103" s="579">
        <v>49</v>
      </c>
      <c r="G103" s="577">
        <v>38</v>
      </c>
      <c r="H103" s="582">
        <v>9</v>
      </c>
      <c r="I103" s="582">
        <v>14</v>
      </c>
      <c r="J103" s="579">
        <v>61</v>
      </c>
      <c r="K103" s="577">
        <v>64</v>
      </c>
      <c r="L103" s="582">
        <v>9</v>
      </c>
      <c r="M103" s="582">
        <v>20</v>
      </c>
      <c r="N103" s="579">
        <v>93</v>
      </c>
      <c r="O103" s="577">
        <v>64</v>
      </c>
      <c r="P103" s="582">
        <v>30</v>
      </c>
      <c r="Q103" s="582">
        <v>24</v>
      </c>
      <c r="R103" s="579">
        <v>118</v>
      </c>
      <c r="S103" s="577">
        <v>61</v>
      </c>
      <c r="T103" s="582">
        <v>54</v>
      </c>
      <c r="U103" s="582">
        <v>6</v>
      </c>
      <c r="V103" s="579">
        <v>121</v>
      </c>
      <c r="W103" s="577">
        <v>27</v>
      </c>
      <c r="X103" s="582">
        <v>46</v>
      </c>
      <c r="Y103" s="582">
        <v>1</v>
      </c>
      <c r="Z103" s="579">
        <v>74</v>
      </c>
      <c r="AA103" s="577">
        <v>24</v>
      </c>
      <c r="AB103" s="582">
        <v>58</v>
      </c>
      <c r="AC103" s="582">
        <v>0</v>
      </c>
      <c r="AD103" s="579">
        <v>82</v>
      </c>
      <c r="AE103" s="582">
        <v>48</v>
      </c>
      <c r="AF103" s="582">
        <v>52</v>
      </c>
      <c r="AG103" s="582">
        <v>1</v>
      </c>
      <c r="AH103" s="579">
        <v>101</v>
      </c>
      <c r="AI103" s="582"/>
      <c r="AJ103" s="582"/>
      <c r="AK103" s="582"/>
      <c r="AL103" s="579"/>
    </row>
    <row r="104" spans="1:38" ht="13.5" thickBot="1" x14ac:dyDescent="0.25">
      <c r="A104" s="1018"/>
      <c r="B104" s="769" t="s">
        <v>704</v>
      </c>
      <c r="C104" s="583">
        <v>17</v>
      </c>
      <c r="D104" s="586">
        <v>13</v>
      </c>
      <c r="E104" s="586">
        <v>1</v>
      </c>
      <c r="F104" s="585">
        <v>31</v>
      </c>
      <c r="G104" s="583">
        <v>19</v>
      </c>
      <c r="H104" s="586">
        <v>24</v>
      </c>
      <c r="I104" s="584">
        <v>0</v>
      </c>
      <c r="J104" s="585">
        <v>43</v>
      </c>
      <c r="K104" s="583">
        <v>30</v>
      </c>
      <c r="L104" s="586">
        <v>8</v>
      </c>
      <c r="M104" s="586">
        <v>1</v>
      </c>
      <c r="N104" s="585">
        <v>39</v>
      </c>
      <c r="O104" s="583">
        <v>28</v>
      </c>
      <c r="P104" s="586">
        <v>3</v>
      </c>
      <c r="Q104" s="586">
        <v>21</v>
      </c>
      <c r="R104" s="585">
        <v>52</v>
      </c>
      <c r="S104" s="583">
        <v>42</v>
      </c>
      <c r="T104" s="586">
        <v>0</v>
      </c>
      <c r="U104" s="586">
        <v>29</v>
      </c>
      <c r="V104" s="585">
        <v>71</v>
      </c>
      <c r="W104" s="583">
        <v>37</v>
      </c>
      <c r="X104" s="586">
        <v>0</v>
      </c>
      <c r="Y104" s="586">
        <v>26</v>
      </c>
      <c r="Z104" s="585">
        <v>63</v>
      </c>
      <c r="AA104" s="583">
        <v>53</v>
      </c>
      <c r="AB104" s="586">
        <v>0</v>
      </c>
      <c r="AC104" s="586">
        <v>51</v>
      </c>
      <c r="AD104" s="585">
        <v>104</v>
      </c>
      <c r="AE104" s="586">
        <v>43</v>
      </c>
      <c r="AF104" s="586">
        <v>0</v>
      </c>
      <c r="AG104" s="586">
        <v>41</v>
      </c>
      <c r="AH104" s="585">
        <v>84</v>
      </c>
      <c r="AI104" s="586"/>
      <c r="AJ104" s="586"/>
      <c r="AK104" s="586"/>
      <c r="AL104" s="585"/>
    </row>
    <row r="105" spans="1:38" s="259" customFormat="1" ht="13.5" thickBot="1" x14ac:dyDescent="0.25">
      <c r="A105" s="1025"/>
      <c r="B105" s="770" t="s">
        <v>777</v>
      </c>
      <c r="C105" s="762">
        <v>171</v>
      </c>
      <c r="D105" s="763">
        <v>39</v>
      </c>
      <c r="E105" s="763">
        <v>62</v>
      </c>
      <c r="F105" s="764">
        <v>272</v>
      </c>
      <c r="G105" s="762">
        <v>198</v>
      </c>
      <c r="H105" s="763">
        <v>74</v>
      </c>
      <c r="I105" s="763">
        <v>54</v>
      </c>
      <c r="J105" s="764">
        <v>326</v>
      </c>
      <c r="K105" s="762">
        <v>237</v>
      </c>
      <c r="L105" s="763">
        <v>62</v>
      </c>
      <c r="M105" s="763">
        <v>89</v>
      </c>
      <c r="N105" s="764">
        <v>388</v>
      </c>
      <c r="O105" s="762">
        <v>270</v>
      </c>
      <c r="P105" s="763">
        <v>43</v>
      </c>
      <c r="Q105" s="763">
        <v>152</v>
      </c>
      <c r="R105" s="764">
        <v>465</v>
      </c>
      <c r="S105" s="762">
        <v>201</v>
      </c>
      <c r="T105" s="763">
        <v>57</v>
      </c>
      <c r="U105" s="763">
        <v>233</v>
      </c>
      <c r="V105" s="764">
        <v>491</v>
      </c>
      <c r="W105" s="762">
        <v>176</v>
      </c>
      <c r="X105" s="763">
        <v>46</v>
      </c>
      <c r="Y105" s="763">
        <v>147</v>
      </c>
      <c r="Z105" s="764">
        <v>369</v>
      </c>
      <c r="AA105" s="762">
        <v>168</v>
      </c>
      <c r="AB105" s="763">
        <v>60</v>
      </c>
      <c r="AC105" s="763">
        <v>200</v>
      </c>
      <c r="AD105" s="764">
        <v>428</v>
      </c>
      <c r="AE105" s="763">
        <v>191</v>
      </c>
      <c r="AF105" s="763">
        <v>54</v>
      </c>
      <c r="AG105" s="763">
        <v>228</v>
      </c>
      <c r="AH105" s="764">
        <v>473</v>
      </c>
      <c r="AI105" s="763"/>
      <c r="AJ105" s="763"/>
      <c r="AK105" s="763"/>
      <c r="AL105" s="764"/>
    </row>
    <row r="106" spans="1:38" x14ac:dyDescent="0.2">
      <c r="A106" s="1017" t="s">
        <v>593</v>
      </c>
      <c r="B106" s="767" t="s">
        <v>594</v>
      </c>
      <c r="C106" s="593">
        <v>0</v>
      </c>
      <c r="D106" s="574">
        <v>0</v>
      </c>
      <c r="E106" s="576">
        <v>1</v>
      </c>
      <c r="F106" s="575">
        <v>1</v>
      </c>
      <c r="G106" s="573">
        <v>3</v>
      </c>
      <c r="H106" s="574">
        <v>0</v>
      </c>
      <c r="I106" s="574">
        <v>0</v>
      </c>
      <c r="J106" s="575">
        <v>3</v>
      </c>
      <c r="K106" s="573">
        <v>12</v>
      </c>
      <c r="L106" s="574">
        <v>0</v>
      </c>
      <c r="M106" s="574">
        <v>0</v>
      </c>
      <c r="N106" s="575">
        <v>12</v>
      </c>
      <c r="O106" s="573">
        <v>4</v>
      </c>
      <c r="P106" s="576">
        <v>1</v>
      </c>
      <c r="Q106" s="576">
        <v>2</v>
      </c>
      <c r="R106" s="575">
        <v>7</v>
      </c>
      <c r="S106" s="573">
        <v>21</v>
      </c>
      <c r="T106" s="574">
        <v>1</v>
      </c>
      <c r="U106" s="574">
        <v>0</v>
      </c>
      <c r="V106" s="575">
        <v>22</v>
      </c>
      <c r="W106" s="573">
        <v>47</v>
      </c>
      <c r="X106" s="576">
        <v>0</v>
      </c>
      <c r="Y106" s="576">
        <v>2</v>
      </c>
      <c r="Z106" s="575">
        <v>49</v>
      </c>
      <c r="AA106" s="573">
        <v>3</v>
      </c>
      <c r="AB106" s="576">
        <v>0</v>
      </c>
      <c r="AC106" s="576">
        <v>2</v>
      </c>
      <c r="AD106" s="575">
        <v>5</v>
      </c>
      <c r="AE106" s="576">
        <v>0</v>
      </c>
      <c r="AF106" s="576">
        <v>0</v>
      </c>
      <c r="AG106" s="576">
        <v>0</v>
      </c>
      <c r="AH106" s="575">
        <v>0</v>
      </c>
      <c r="AI106" s="576"/>
      <c r="AJ106" s="576"/>
      <c r="AK106" s="576"/>
      <c r="AL106" s="575"/>
    </row>
    <row r="107" spans="1:38" x14ac:dyDescent="0.2">
      <c r="A107" s="1018"/>
      <c r="B107" s="768" t="s">
        <v>705</v>
      </c>
      <c r="C107" s="577">
        <v>33</v>
      </c>
      <c r="D107" s="578">
        <v>0</v>
      </c>
      <c r="E107" s="582">
        <v>14</v>
      </c>
      <c r="F107" s="579">
        <v>47</v>
      </c>
      <c r="G107" s="577">
        <v>36</v>
      </c>
      <c r="H107" s="578">
        <v>0</v>
      </c>
      <c r="I107" s="582">
        <v>21</v>
      </c>
      <c r="J107" s="579">
        <v>57</v>
      </c>
      <c r="K107" s="577">
        <v>61</v>
      </c>
      <c r="L107" s="578">
        <v>0</v>
      </c>
      <c r="M107" s="582">
        <v>33</v>
      </c>
      <c r="N107" s="579">
        <v>94</v>
      </c>
      <c r="O107" s="577">
        <v>123</v>
      </c>
      <c r="P107" s="578">
        <v>0</v>
      </c>
      <c r="Q107" s="582">
        <v>48</v>
      </c>
      <c r="R107" s="579">
        <v>171</v>
      </c>
      <c r="S107" s="577">
        <v>235</v>
      </c>
      <c r="T107" s="578">
        <v>0</v>
      </c>
      <c r="U107" s="582">
        <v>62</v>
      </c>
      <c r="V107" s="579">
        <v>297</v>
      </c>
      <c r="W107" s="577">
        <v>90</v>
      </c>
      <c r="X107" s="578">
        <v>0</v>
      </c>
      <c r="Y107" s="582">
        <v>73</v>
      </c>
      <c r="Z107" s="579">
        <v>163</v>
      </c>
      <c r="AA107" s="577">
        <v>83</v>
      </c>
      <c r="AB107" s="578">
        <v>0</v>
      </c>
      <c r="AC107" s="582">
        <v>97</v>
      </c>
      <c r="AD107" s="579">
        <v>180</v>
      </c>
      <c r="AE107" s="582">
        <v>61</v>
      </c>
      <c r="AF107" s="578">
        <v>0</v>
      </c>
      <c r="AG107" s="582">
        <v>160</v>
      </c>
      <c r="AH107" s="579">
        <v>221</v>
      </c>
      <c r="AI107" s="582"/>
      <c r="AJ107" s="578"/>
      <c r="AK107" s="582"/>
      <c r="AL107" s="579"/>
    </row>
    <row r="108" spans="1:38" x14ac:dyDescent="0.2">
      <c r="A108" s="1018"/>
      <c r="B108" s="768" t="s">
        <v>706</v>
      </c>
      <c r="C108" s="577">
        <v>30</v>
      </c>
      <c r="D108" s="578">
        <v>0</v>
      </c>
      <c r="E108" s="578">
        <v>0</v>
      </c>
      <c r="F108" s="579">
        <v>30</v>
      </c>
      <c r="G108" s="577">
        <v>44</v>
      </c>
      <c r="H108" s="578">
        <v>0</v>
      </c>
      <c r="I108" s="578">
        <v>0</v>
      </c>
      <c r="J108" s="579">
        <v>44</v>
      </c>
      <c r="K108" s="577">
        <v>34</v>
      </c>
      <c r="L108" s="578">
        <v>0</v>
      </c>
      <c r="M108" s="578">
        <v>0</v>
      </c>
      <c r="N108" s="579">
        <v>34</v>
      </c>
      <c r="O108" s="577">
        <v>63</v>
      </c>
      <c r="P108" s="578">
        <v>0</v>
      </c>
      <c r="Q108" s="582">
        <v>1</v>
      </c>
      <c r="R108" s="579">
        <v>64</v>
      </c>
      <c r="S108" s="577">
        <v>66</v>
      </c>
      <c r="T108" s="578">
        <v>0</v>
      </c>
      <c r="U108" s="578">
        <v>0</v>
      </c>
      <c r="V108" s="579">
        <v>66</v>
      </c>
      <c r="W108" s="577">
        <v>78</v>
      </c>
      <c r="X108" s="578">
        <v>0</v>
      </c>
      <c r="Y108" s="582">
        <v>0</v>
      </c>
      <c r="Z108" s="579">
        <v>78</v>
      </c>
      <c r="AA108" s="577">
        <v>67</v>
      </c>
      <c r="AB108" s="578">
        <v>0</v>
      </c>
      <c r="AC108" s="582">
        <v>0</v>
      </c>
      <c r="AD108" s="579">
        <v>67</v>
      </c>
      <c r="AE108" s="582">
        <v>98</v>
      </c>
      <c r="AF108" s="578">
        <v>0</v>
      </c>
      <c r="AG108" s="582">
        <v>0</v>
      </c>
      <c r="AH108" s="579">
        <v>98</v>
      </c>
      <c r="AI108" s="582"/>
      <c r="AJ108" s="578"/>
      <c r="AK108" s="582"/>
      <c r="AL108" s="579"/>
    </row>
    <row r="109" spans="1:38" x14ac:dyDescent="0.2">
      <c r="A109" s="1018"/>
      <c r="B109" s="768" t="s">
        <v>707</v>
      </c>
      <c r="C109" s="577">
        <v>19</v>
      </c>
      <c r="D109" s="578">
        <v>0</v>
      </c>
      <c r="E109" s="582">
        <v>6</v>
      </c>
      <c r="F109" s="579">
        <v>25</v>
      </c>
      <c r="G109" s="577">
        <v>15</v>
      </c>
      <c r="H109" s="578">
        <v>0</v>
      </c>
      <c r="I109" s="582">
        <v>5</v>
      </c>
      <c r="J109" s="579">
        <v>20</v>
      </c>
      <c r="K109" s="577">
        <v>15</v>
      </c>
      <c r="L109" s="578">
        <v>0</v>
      </c>
      <c r="M109" s="582">
        <v>2</v>
      </c>
      <c r="N109" s="579">
        <v>17</v>
      </c>
      <c r="O109" s="577">
        <v>25</v>
      </c>
      <c r="P109" s="582">
        <v>2</v>
      </c>
      <c r="Q109" s="582">
        <v>41</v>
      </c>
      <c r="R109" s="579">
        <v>68</v>
      </c>
      <c r="S109" s="577">
        <v>19</v>
      </c>
      <c r="T109" s="578">
        <v>3</v>
      </c>
      <c r="U109" s="582">
        <v>50</v>
      </c>
      <c r="V109" s="579">
        <v>72</v>
      </c>
      <c r="W109" s="577">
        <v>33</v>
      </c>
      <c r="X109" s="582">
        <v>5</v>
      </c>
      <c r="Y109" s="582">
        <v>34</v>
      </c>
      <c r="Z109" s="579">
        <v>72</v>
      </c>
      <c r="AA109" s="577">
        <v>24</v>
      </c>
      <c r="AB109" s="582">
        <v>48</v>
      </c>
      <c r="AC109" s="582">
        <v>15</v>
      </c>
      <c r="AD109" s="579">
        <v>87</v>
      </c>
      <c r="AE109" s="582">
        <v>21</v>
      </c>
      <c r="AF109" s="582">
        <v>35</v>
      </c>
      <c r="AG109" s="582">
        <v>46</v>
      </c>
      <c r="AH109" s="579">
        <v>102</v>
      </c>
      <c r="AI109" s="582"/>
      <c r="AJ109" s="582"/>
      <c r="AK109" s="582"/>
      <c r="AL109" s="579"/>
    </row>
    <row r="110" spans="1:38" x14ac:dyDescent="0.2">
      <c r="A110" s="1018"/>
      <c r="B110" s="768" t="s">
        <v>708</v>
      </c>
      <c r="C110" s="577">
        <v>15</v>
      </c>
      <c r="D110" s="578">
        <v>0</v>
      </c>
      <c r="E110" s="578">
        <v>0</v>
      </c>
      <c r="F110" s="579">
        <v>15</v>
      </c>
      <c r="G110" s="577">
        <v>9</v>
      </c>
      <c r="H110" s="578">
        <v>0</v>
      </c>
      <c r="I110" s="578">
        <v>0</v>
      </c>
      <c r="J110" s="579">
        <v>9</v>
      </c>
      <c r="K110" s="577">
        <v>20</v>
      </c>
      <c r="L110" s="578">
        <v>0</v>
      </c>
      <c r="M110" s="578">
        <v>0</v>
      </c>
      <c r="N110" s="579">
        <v>20</v>
      </c>
      <c r="O110" s="577">
        <v>27</v>
      </c>
      <c r="P110" s="578">
        <v>0</v>
      </c>
      <c r="Q110" s="582">
        <v>1</v>
      </c>
      <c r="R110" s="579">
        <v>28</v>
      </c>
      <c r="S110" s="577">
        <v>50</v>
      </c>
      <c r="T110" s="578">
        <v>0</v>
      </c>
      <c r="U110" s="578">
        <v>0</v>
      </c>
      <c r="V110" s="579">
        <v>50</v>
      </c>
      <c r="W110" s="577">
        <v>71</v>
      </c>
      <c r="X110" s="578">
        <v>0</v>
      </c>
      <c r="Y110" s="582">
        <v>0</v>
      </c>
      <c r="Z110" s="579">
        <v>71</v>
      </c>
      <c r="AA110" s="577">
        <v>82</v>
      </c>
      <c r="AB110" s="578">
        <v>0</v>
      </c>
      <c r="AC110" s="582">
        <v>0</v>
      </c>
      <c r="AD110" s="579">
        <v>82</v>
      </c>
      <c r="AE110" s="582">
        <v>81</v>
      </c>
      <c r="AF110" s="578">
        <v>0</v>
      </c>
      <c r="AG110" s="582">
        <v>0</v>
      </c>
      <c r="AH110" s="579">
        <v>81</v>
      </c>
      <c r="AI110" s="582"/>
      <c r="AJ110" s="578"/>
      <c r="AK110" s="582"/>
      <c r="AL110" s="579"/>
    </row>
    <row r="111" spans="1:38" x14ac:dyDescent="0.2">
      <c r="A111" s="1018"/>
      <c r="B111" s="768" t="s">
        <v>709</v>
      </c>
      <c r="C111" s="577">
        <v>9</v>
      </c>
      <c r="D111" s="578">
        <v>0</v>
      </c>
      <c r="E111" s="578">
        <v>0</v>
      </c>
      <c r="F111" s="579">
        <v>9</v>
      </c>
      <c r="G111" s="577">
        <v>24</v>
      </c>
      <c r="H111" s="578">
        <v>0</v>
      </c>
      <c r="I111" s="578">
        <v>0</v>
      </c>
      <c r="J111" s="579">
        <v>24</v>
      </c>
      <c r="K111" s="577">
        <v>30</v>
      </c>
      <c r="L111" s="578">
        <v>0</v>
      </c>
      <c r="M111" s="578">
        <v>0</v>
      </c>
      <c r="N111" s="579">
        <v>30</v>
      </c>
      <c r="O111" s="577">
        <v>42</v>
      </c>
      <c r="P111" s="578">
        <v>0</v>
      </c>
      <c r="Q111" s="578">
        <v>0</v>
      </c>
      <c r="R111" s="579">
        <v>42</v>
      </c>
      <c r="S111" s="577">
        <v>41</v>
      </c>
      <c r="T111" s="578">
        <v>0</v>
      </c>
      <c r="U111" s="578">
        <v>0</v>
      </c>
      <c r="V111" s="579">
        <v>41</v>
      </c>
      <c r="W111" s="577">
        <v>38</v>
      </c>
      <c r="X111" s="578">
        <v>0</v>
      </c>
      <c r="Y111" s="578">
        <v>0</v>
      </c>
      <c r="Z111" s="579">
        <v>38</v>
      </c>
      <c r="AA111" s="577">
        <v>45</v>
      </c>
      <c r="AB111" s="578">
        <v>0</v>
      </c>
      <c r="AC111" s="578">
        <v>0</v>
      </c>
      <c r="AD111" s="579">
        <v>45</v>
      </c>
      <c r="AE111" s="582">
        <v>63</v>
      </c>
      <c r="AF111" s="578">
        <v>0</v>
      </c>
      <c r="AG111" s="578">
        <v>0</v>
      </c>
      <c r="AH111" s="579">
        <v>63</v>
      </c>
      <c r="AI111" s="582"/>
      <c r="AJ111" s="578"/>
      <c r="AK111" s="578"/>
      <c r="AL111" s="579"/>
    </row>
    <row r="112" spans="1:38" x14ac:dyDescent="0.2">
      <c r="A112" s="1018"/>
      <c r="B112" s="768" t="s">
        <v>710</v>
      </c>
      <c r="C112" s="577">
        <v>13</v>
      </c>
      <c r="D112" s="578">
        <v>0</v>
      </c>
      <c r="E112" s="582">
        <v>35</v>
      </c>
      <c r="F112" s="579">
        <v>48</v>
      </c>
      <c r="G112" s="577">
        <v>17</v>
      </c>
      <c r="H112" s="578">
        <v>0</v>
      </c>
      <c r="I112" s="582">
        <v>45</v>
      </c>
      <c r="J112" s="579">
        <v>62</v>
      </c>
      <c r="K112" s="577">
        <v>20</v>
      </c>
      <c r="L112" s="578">
        <v>0</v>
      </c>
      <c r="M112" s="582">
        <v>31</v>
      </c>
      <c r="N112" s="579">
        <v>51</v>
      </c>
      <c r="O112" s="577">
        <v>32</v>
      </c>
      <c r="P112" s="578">
        <v>0</v>
      </c>
      <c r="Q112" s="582">
        <v>47</v>
      </c>
      <c r="R112" s="579">
        <v>79</v>
      </c>
      <c r="S112" s="577">
        <v>27</v>
      </c>
      <c r="T112" s="578">
        <v>1</v>
      </c>
      <c r="U112" s="582">
        <v>71</v>
      </c>
      <c r="V112" s="579">
        <v>99</v>
      </c>
      <c r="W112" s="577">
        <v>20</v>
      </c>
      <c r="X112" s="578">
        <v>0</v>
      </c>
      <c r="Y112" s="582">
        <v>79</v>
      </c>
      <c r="Z112" s="579">
        <v>99</v>
      </c>
      <c r="AA112" s="577">
        <v>42</v>
      </c>
      <c r="AB112" s="578">
        <v>2</v>
      </c>
      <c r="AC112" s="582">
        <v>86</v>
      </c>
      <c r="AD112" s="579">
        <v>130</v>
      </c>
      <c r="AE112" s="582">
        <v>21</v>
      </c>
      <c r="AF112" s="578">
        <v>1</v>
      </c>
      <c r="AG112" s="582">
        <v>102</v>
      </c>
      <c r="AH112" s="579">
        <v>124</v>
      </c>
      <c r="AI112" s="582"/>
      <c r="AJ112" s="578"/>
      <c r="AK112" s="582"/>
      <c r="AL112" s="579"/>
    </row>
    <row r="113" spans="1:38" ht="13.5" thickBot="1" x14ac:dyDescent="0.25">
      <c r="A113" s="1018"/>
      <c r="B113" s="769" t="s">
        <v>711</v>
      </c>
      <c r="C113" s="583">
        <v>8</v>
      </c>
      <c r="D113" s="584">
        <v>0</v>
      </c>
      <c r="E113" s="584">
        <v>0</v>
      </c>
      <c r="F113" s="585">
        <v>8</v>
      </c>
      <c r="G113" s="583">
        <v>8</v>
      </c>
      <c r="H113" s="584">
        <v>0</v>
      </c>
      <c r="I113" s="584">
        <v>0</v>
      </c>
      <c r="J113" s="585">
        <v>8</v>
      </c>
      <c r="K113" s="583">
        <v>4</v>
      </c>
      <c r="L113" s="584">
        <v>0</v>
      </c>
      <c r="M113" s="584">
        <v>0</v>
      </c>
      <c r="N113" s="585">
        <v>4</v>
      </c>
      <c r="O113" s="583">
        <v>23</v>
      </c>
      <c r="P113" s="584">
        <v>0</v>
      </c>
      <c r="Q113" s="584">
        <v>0</v>
      </c>
      <c r="R113" s="585">
        <v>23</v>
      </c>
      <c r="S113" s="583">
        <v>11</v>
      </c>
      <c r="T113" s="584">
        <v>0</v>
      </c>
      <c r="U113" s="584">
        <v>0</v>
      </c>
      <c r="V113" s="585">
        <v>11</v>
      </c>
      <c r="W113" s="583">
        <v>16</v>
      </c>
      <c r="X113" s="584">
        <v>0</v>
      </c>
      <c r="Y113" s="584">
        <v>0</v>
      </c>
      <c r="Z113" s="585">
        <v>16</v>
      </c>
      <c r="AA113" s="583">
        <v>34</v>
      </c>
      <c r="AB113" s="584">
        <v>0</v>
      </c>
      <c r="AC113" s="584">
        <v>0</v>
      </c>
      <c r="AD113" s="585">
        <v>34</v>
      </c>
      <c r="AE113" s="586">
        <v>38</v>
      </c>
      <c r="AF113" s="584">
        <v>0</v>
      </c>
      <c r="AG113" s="584">
        <v>0</v>
      </c>
      <c r="AH113" s="585">
        <v>38</v>
      </c>
      <c r="AI113" s="586"/>
      <c r="AJ113" s="584"/>
      <c r="AK113" s="584"/>
      <c r="AL113" s="585"/>
    </row>
    <row r="114" spans="1:38" s="259" customFormat="1" ht="26.25" thickBot="1" x14ac:dyDescent="0.25">
      <c r="A114" s="1019"/>
      <c r="B114" s="770" t="s">
        <v>776</v>
      </c>
      <c r="C114" s="762">
        <v>127</v>
      </c>
      <c r="D114" s="763">
        <v>0</v>
      </c>
      <c r="E114" s="763">
        <v>56</v>
      </c>
      <c r="F114" s="764">
        <v>183</v>
      </c>
      <c r="G114" s="762">
        <v>156</v>
      </c>
      <c r="H114" s="763">
        <v>0</v>
      </c>
      <c r="I114" s="763">
        <v>71</v>
      </c>
      <c r="J114" s="764">
        <v>227</v>
      </c>
      <c r="K114" s="762">
        <v>196</v>
      </c>
      <c r="L114" s="763">
        <v>0</v>
      </c>
      <c r="M114" s="763">
        <v>66</v>
      </c>
      <c r="N114" s="764">
        <v>262</v>
      </c>
      <c r="O114" s="762">
        <v>339</v>
      </c>
      <c r="P114" s="763">
        <v>3</v>
      </c>
      <c r="Q114" s="763">
        <v>140</v>
      </c>
      <c r="R114" s="764">
        <v>482</v>
      </c>
      <c r="S114" s="762">
        <v>470</v>
      </c>
      <c r="T114" s="763">
        <v>5</v>
      </c>
      <c r="U114" s="763">
        <v>183</v>
      </c>
      <c r="V114" s="764">
        <v>658</v>
      </c>
      <c r="W114" s="762">
        <v>393</v>
      </c>
      <c r="X114" s="763">
        <v>5</v>
      </c>
      <c r="Y114" s="763">
        <v>188</v>
      </c>
      <c r="Z114" s="764">
        <v>586</v>
      </c>
      <c r="AA114" s="762">
        <v>380</v>
      </c>
      <c r="AB114" s="763">
        <v>50</v>
      </c>
      <c r="AC114" s="763">
        <v>200</v>
      </c>
      <c r="AD114" s="764">
        <v>630</v>
      </c>
      <c r="AE114" s="763">
        <v>383</v>
      </c>
      <c r="AF114" s="763">
        <v>36</v>
      </c>
      <c r="AG114" s="763">
        <v>308</v>
      </c>
      <c r="AH114" s="764">
        <v>727</v>
      </c>
      <c r="AI114" s="763"/>
      <c r="AJ114" s="763"/>
      <c r="AK114" s="763"/>
      <c r="AL114" s="764"/>
    </row>
    <row r="115" spans="1:38" x14ac:dyDescent="0.2">
      <c r="A115" s="1026" t="s">
        <v>595</v>
      </c>
      <c r="B115" s="771" t="s">
        <v>596</v>
      </c>
      <c r="C115" s="587">
        <v>0</v>
      </c>
      <c r="D115" s="588">
        <v>0</v>
      </c>
      <c r="E115" s="591">
        <v>8</v>
      </c>
      <c r="F115" s="592">
        <v>8</v>
      </c>
      <c r="G115" s="587">
        <v>0</v>
      </c>
      <c r="H115" s="588">
        <v>0</v>
      </c>
      <c r="I115" s="591">
        <v>20</v>
      </c>
      <c r="J115" s="592">
        <v>20</v>
      </c>
      <c r="K115" s="587">
        <v>0</v>
      </c>
      <c r="L115" s="588">
        <v>0</v>
      </c>
      <c r="M115" s="591">
        <v>35</v>
      </c>
      <c r="N115" s="592">
        <v>35</v>
      </c>
      <c r="O115" s="587">
        <v>0</v>
      </c>
      <c r="P115" s="588">
        <v>0</v>
      </c>
      <c r="Q115" s="591">
        <v>34</v>
      </c>
      <c r="R115" s="592">
        <v>34</v>
      </c>
      <c r="S115" s="587">
        <v>0</v>
      </c>
      <c r="T115" s="588">
        <v>0</v>
      </c>
      <c r="U115" s="591">
        <v>59</v>
      </c>
      <c r="V115" s="592">
        <v>59</v>
      </c>
      <c r="W115" s="587">
        <v>0</v>
      </c>
      <c r="X115" s="588">
        <v>0</v>
      </c>
      <c r="Y115" s="591">
        <v>26</v>
      </c>
      <c r="Z115" s="592">
        <v>26</v>
      </c>
      <c r="AA115" s="587">
        <v>0</v>
      </c>
      <c r="AB115" s="588">
        <v>0</v>
      </c>
      <c r="AC115" s="591">
        <v>29</v>
      </c>
      <c r="AD115" s="592">
        <v>29</v>
      </c>
      <c r="AE115" s="588">
        <v>0</v>
      </c>
      <c r="AF115" s="588">
        <v>0</v>
      </c>
      <c r="AG115" s="591">
        <v>19</v>
      </c>
      <c r="AH115" s="592">
        <v>19</v>
      </c>
      <c r="AI115" s="588"/>
      <c r="AJ115" s="588"/>
      <c r="AK115" s="591"/>
      <c r="AL115" s="592"/>
    </row>
    <row r="116" spans="1:38" x14ac:dyDescent="0.2">
      <c r="A116" s="1018"/>
      <c r="B116" s="768" t="s">
        <v>712</v>
      </c>
      <c r="C116" s="577">
        <v>69</v>
      </c>
      <c r="D116" s="578">
        <v>0</v>
      </c>
      <c r="E116" s="578">
        <v>0</v>
      </c>
      <c r="F116" s="579">
        <v>69</v>
      </c>
      <c r="G116" s="577">
        <v>88</v>
      </c>
      <c r="H116" s="578">
        <v>0</v>
      </c>
      <c r="I116" s="578">
        <v>0</v>
      </c>
      <c r="J116" s="579">
        <v>88</v>
      </c>
      <c r="K116" s="577">
        <v>50</v>
      </c>
      <c r="L116" s="578">
        <v>0</v>
      </c>
      <c r="M116" s="578">
        <v>0</v>
      </c>
      <c r="N116" s="579">
        <v>50</v>
      </c>
      <c r="O116" s="577">
        <v>48</v>
      </c>
      <c r="P116" s="582">
        <v>1</v>
      </c>
      <c r="Q116" s="578">
        <v>0</v>
      </c>
      <c r="R116" s="579">
        <v>49</v>
      </c>
      <c r="S116" s="577">
        <v>51</v>
      </c>
      <c r="T116" s="578">
        <v>1</v>
      </c>
      <c r="U116" s="578">
        <v>0</v>
      </c>
      <c r="V116" s="579">
        <v>52</v>
      </c>
      <c r="W116" s="577">
        <v>24</v>
      </c>
      <c r="X116" s="582">
        <v>0</v>
      </c>
      <c r="Y116" s="578">
        <v>0</v>
      </c>
      <c r="Z116" s="579">
        <v>24</v>
      </c>
      <c r="AA116" s="577">
        <v>22</v>
      </c>
      <c r="AB116" s="582">
        <v>0</v>
      </c>
      <c r="AC116" s="578">
        <v>0</v>
      </c>
      <c r="AD116" s="579">
        <v>22</v>
      </c>
      <c r="AE116" s="582">
        <v>13</v>
      </c>
      <c r="AF116" s="582">
        <v>0</v>
      </c>
      <c r="AG116" s="578">
        <v>0</v>
      </c>
      <c r="AH116" s="579">
        <v>13</v>
      </c>
      <c r="AI116" s="582"/>
      <c r="AJ116" s="582"/>
      <c r="AK116" s="578"/>
      <c r="AL116" s="579"/>
    </row>
    <row r="117" spans="1:38" x14ac:dyDescent="0.2">
      <c r="A117" s="1018"/>
      <c r="B117" s="768" t="s">
        <v>713</v>
      </c>
      <c r="C117" s="577">
        <v>12</v>
      </c>
      <c r="D117" s="578">
        <v>0</v>
      </c>
      <c r="E117" s="578">
        <v>0</v>
      </c>
      <c r="F117" s="579">
        <v>12</v>
      </c>
      <c r="G117" s="577">
        <v>15</v>
      </c>
      <c r="H117" s="578">
        <v>0</v>
      </c>
      <c r="I117" s="578">
        <v>0</v>
      </c>
      <c r="J117" s="579">
        <v>15</v>
      </c>
      <c r="K117" s="577">
        <v>20</v>
      </c>
      <c r="L117" s="578">
        <v>0</v>
      </c>
      <c r="M117" s="578">
        <v>0</v>
      </c>
      <c r="N117" s="579">
        <v>20</v>
      </c>
      <c r="O117" s="577">
        <v>13</v>
      </c>
      <c r="P117" s="582">
        <v>1</v>
      </c>
      <c r="Q117" s="578">
        <v>0</v>
      </c>
      <c r="R117" s="579">
        <v>14</v>
      </c>
      <c r="S117" s="577">
        <v>15</v>
      </c>
      <c r="T117" s="578">
        <v>0</v>
      </c>
      <c r="U117" s="578">
        <v>0</v>
      </c>
      <c r="V117" s="579">
        <v>15</v>
      </c>
      <c r="W117" s="577">
        <v>17</v>
      </c>
      <c r="X117" s="582">
        <v>0</v>
      </c>
      <c r="Y117" s="578">
        <v>0</v>
      </c>
      <c r="Z117" s="579">
        <v>17</v>
      </c>
      <c r="AA117" s="577">
        <v>13</v>
      </c>
      <c r="AB117" s="582">
        <v>0</v>
      </c>
      <c r="AC117" s="578">
        <v>0</v>
      </c>
      <c r="AD117" s="579">
        <v>13</v>
      </c>
      <c r="AE117" s="582">
        <v>7</v>
      </c>
      <c r="AF117" s="582">
        <v>0</v>
      </c>
      <c r="AG117" s="578">
        <v>0</v>
      </c>
      <c r="AH117" s="579">
        <v>7</v>
      </c>
      <c r="AI117" s="582"/>
      <c r="AJ117" s="582"/>
      <c r="AK117" s="578"/>
      <c r="AL117" s="579"/>
    </row>
    <row r="118" spans="1:38" x14ac:dyDescent="0.2">
      <c r="A118" s="1018"/>
      <c r="B118" s="768" t="s">
        <v>714</v>
      </c>
      <c r="C118" s="577">
        <v>7</v>
      </c>
      <c r="D118" s="582">
        <v>3</v>
      </c>
      <c r="E118" s="578">
        <v>0</v>
      </c>
      <c r="F118" s="579">
        <v>10</v>
      </c>
      <c r="G118" s="577">
        <v>5</v>
      </c>
      <c r="H118" s="582">
        <v>7</v>
      </c>
      <c r="I118" s="578">
        <v>0</v>
      </c>
      <c r="J118" s="579">
        <v>12</v>
      </c>
      <c r="K118" s="577">
        <v>4</v>
      </c>
      <c r="L118" s="582">
        <v>4</v>
      </c>
      <c r="M118" s="578">
        <v>0</v>
      </c>
      <c r="N118" s="579">
        <v>8</v>
      </c>
      <c r="O118" s="577">
        <v>29</v>
      </c>
      <c r="P118" s="582">
        <v>3</v>
      </c>
      <c r="Q118" s="578">
        <v>0</v>
      </c>
      <c r="R118" s="579">
        <v>32</v>
      </c>
      <c r="S118" s="577">
        <v>29</v>
      </c>
      <c r="T118" s="582">
        <v>1</v>
      </c>
      <c r="U118" s="578">
        <v>0</v>
      </c>
      <c r="V118" s="579">
        <v>30</v>
      </c>
      <c r="W118" s="577">
        <v>11</v>
      </c>
      <c r="X118" s="582">
        <v>0</v>
      </c>
      <c r="Y118" s="578">
        <v>0</v>
      </c>
      <c r="Z118" s="579">
        <v>11</v>
      </c>
      <c r="AA118" s="577">
        <v>9</v>
      </c>
      <c r="AB118" s="582">
        <v>1</v>
      </c>
      <c r="AC118" s="578">
        <v>0</v>
      </c>
      <c r="AD118" s="579">
        <v>10</v>
      </c>
      <c r="AE118" s="582">
        <v>7</v>
      </c>
      <c r="AF118" s="582">
        <v>0</v>
      </c>
      <c r="AG118" s="578">
        <v>0</v>
      </c>
      <c r="AH118" s="579">
        <v>7</v>
      </c>
      <c r="AI118" s="582"/>
      <c r="AJ118" s="582"/>
      <c r="AK118" s="578"/>
      <c r="AL118" s="579"/>
    </row>
    <row r="119" spans="1:38" x14ac:dyDescent="0.2">
      <c r="A119" s="1018"/>
      <c r="B119" s="768" t="s">
        <v>715</v>
      </c>
      <c r="C119" s="577">
        <v>3</v>
      </c>
      <c r="D119" s="582">
        <v>3</v>
      </c>
      <c r="E119" s="578">
        <v>0</v>
      </c>
      <c r="F119" s="579">
        <v>6</v>
      </c>
      <c r="G119" s="577">
        <v>4</v>
      </c>
      <c r="H119" s="582">
        <v>3</v>
      </c>
      <c r="I119" s="578">
        <v>0</v>
      </c>
      <c r="J119" s="579">
        <v>7</v>
      </c>
      <c r="K119" s="577">
        <v>21</v>
      </c>
      <c r="L119" s="582">
        <v>8</v>
      </c>
      <c r="M119" s="578">
        <v>0</v>
      </c>
      <c r="N119" s="579">
        <v>29</v>
      </c>
      <c r="O119" s="577">
        <v>14</v>
      </c>
      <c r="P119" s="582">
        <v>6</v>
      </c>
      <c r="Q119" s="578">
        <v>0</v>
      </c>
      <c r="R119" s="579">
        <v>20</v>
      </c>
      <c r="S119" s="577">
        <v>14</v>
      </c>
      <c r="T119" s="582">
        <v>13</v>
      </c>
      <c r="U119" s="578">
        <v>0</v>
      </c>
      <c r="V119" s="579">
        <v>27</v>
      </c>
      <c r="W119" s="577">
        <v>8</v>
      </c>
      <c r="X119" s="582">
        <v>3</v>
      </c>
      <c r="Y119" s="578">
        <v>0</v>
      </c>
      <c r="Z119" s="579">
        <v>11</v>
      </c>
      <c r="AA119" s="577">
        <v>6</v>
      </c>
      <c r="AB119" s="582">
        <v>4</v>
      </c>
      <c r="AC119" s="578">
        <v>0</v>
      </c>
      <c r="AD119" s="579">
        <v>10</v>
      </c>
      <c r="AE119" s="582">
        <v>1</v>
      </c>
      <c r="AF119" s="582">
        <v>2</v>
      </c>
      <c r="AG119" s="578">
        <v>0</v>
      </c>
      <c r="AH119" s="579">
        <v>3</v>
      </c>
      <c r="AI119" s="582"/>
      <c r="AJ119" s="582"/>
      <c r="AK119" s="578"/>
      <c r="AL119" s="579"/>
    </row>
    <row r="120" spans="1:38" x14ac:dyDescent="0.2">
      <c r="A120" s="1018"/>
      <c r="B120" s="768" t="s">
        <v>716</v>
      </c>
      <c r="C120" s="577">
        <v>6</v>
      </c>
      <c r="D120" s="582">
        <v>2</v>
      </c>
      <c r="E120" s="578">
        <v>0</v>
      </c>
      <c r="F120" s="579">
        <v>8</v>
      </c>
      <c r="G120" s="577">
        <v>5</v>
      </c>
      <c r="H120" s="582">
        <v>2</v>
      </c>
      <c r="I120" s="578">
        <v>0</v>
      </c>
      <c r="J120" s="579">
        <v>7</v>
      </c>
      <c r="K120" s="577">
        <v>9</v>
      </c>
      <c r="L120" s="582">
        <v>5</v>
      </c>
      <c r="M120" s="578">
        <v>0</v>
      </c>
      <c r="N120" s="579">
        <v>14</v>
      </c>
      <c r="O120" s="577">
        <v>22</v>
      </c>
      <c r="P120" s="582">
        <v>6</v>
      </c>
      <c r="Q120" s="582">
        <v>1</v>
      </c>
      <c r="R120" s="579">
        <v>29</v>
      </c>
      <c r="S120" s="577">
        <v>14</v>
      </c>
      <c r="T120" s="582">
        <v>10</v>
      </c>
      <c r="U120" s="578">
        <v>0</v>
      </c>
      <c r="V120" s="579">
        <v>24</v>
      </c>
      <c r="W120" s="577">
        <v>5</v>
      </c>
      <c r="X120" s="582">
        <v>2</v>
      </c>
      <c r="Y120" s="582">
        <v>0</v>
      </c>
      <c r="Z120" s="579">
        <v>7</v>
      </c>
      <c r="AA120" s="577">
        <v>2</v>
      </c>
      <c r="AB120" s="582">
        <v>4</v>
      </c>
      <c r="AC120" s="582">
        <v>0</v>
      </c>
      <c r="AD120" s="579">
        <v>6</v>
      </c>
      <c r="AE120" s="582">
        <v>0</v>
      </c>
      <c r="AF120" s="582">
        <v>3</v>
      </c>
      <c r="AG120" s="582">
        <v>0</v>
      </c>
      <c r="AH120" s="579">
        <v>3</v>
      </c>
      <c r="AI120" s="582"/>
      <c r="AJ120" s="582"/>
      <c r="AK120" s="582"/>
      <c r="AL120" s="579"/>
    </row>
    <row r="121" spans="1:38" ht="13.5" thickBot="1" x14ac:dyDescent="0.25">
      <c r="A121" s="1018"/>
      <c r="B121" s="769" t="s">
        <v>717</v>
      </c>
      <c r="C121" s="583">
        <v>15</v>
      </c>
      <c r="D121" s="584">
        <v>0</v>
      </c>
      <c r="E121" s="584">
        <v>0</v>
      </c>
      <c r="F121" s="585">
        <v>15</v>
      </c>
      <c r="G121" s="583">
        <v>21</v>
      </c>
      <c r="H121" s="584">
        <v>0</v>
      </c>
      <c r="I121" s="584">
        <v>0</v>
      </c>
      <c r="J121" s="585">
        <v>21</v>
      </c>
      <c r="K121" s="583">
        <v>23</v>
      </c>
      <c r="L121" s="586">
        <v>3</v>
      </c>
      <c r="M121" s="586">
        <v>5</v>
      </c>
      <c r="N121" s="585">
        <v>31</v>
      </c>
      <c r="O121" s="583">
        <v>15</v>
      </c>
      <c r="P121" s="586">
        <v>7</v>
      </c>
      <c r="Q121" s="586">
        <v>2</v>
      </c>
      <c r="R121" s="585">
        <v>24</v>
      </c>
      <c r="S121" s="583">
        <v>10</v>
      </c>
      <c r="T121" s="586">
        <v>29</v>
      </c>
      <c r="U121" s="586">
        <v>0</v>
      </c>
      <c r="V121" s="585">
        <v>39</v>
      </c>
      <c r="W121" s="583">
        <v>7</v>
      </c>
      <c r="X121" s="586">
        <v>14</v>
      </c>
      <c r="Y121" s="586">
        <v>0</v>
      </c>
      <c r="Z121" s="585">
        <v>21</v>
      </c>
      <c r="AA121" s="583">
        <v>14</v>
      </c>
      <c r="AB121" s="586">
        <v>7</v>
      </c>
      <c r="AC121" s="586">
        <v>0</v>
      </c>
      <c r="AD121" s="585">
        <v>21</v>
      </c>
      <c r="AE121" s="586">
        <v>0</v>
      </c>
      <c r="AF121" s="586">
        <v>13</v>
      </c>
      <c r="AG121" s="586">
        <v>0</v>
      </c>
      <c r="AH121" s="585">
        <v>13</v>
      </c>
      <c r="AI121" s="586"/>
      <c r="AJ121" s="586"/>
      <c r="AK121" s="586"/>
      <c r="AL121" s="585"/>
    </row>
    <row r="122" spans="1:38" s="259" customFormat="1" ht="13.5" thickBot="1" x14ac:dyDescent="0.25">
      <c r="A122" s="1025"/>
      <c r="B122" s="770" t="s">
        <v>787</v>
      </c>
      <c r="C122" s="762">
        <v>112</v>
      </c>
      <c r="D122" s="763">
        <v>8</v>
      </c>
      <c r="E122" s="763">
        <v>8</v>
      </c>
      <c r="F122" s="764">
        <v>128</v>
      </c>
      <c r="G122" s="762">
        <v>138</v>
      </c>
      <c r="H122" s="763">
        <v>12</v>
      </c>
      <c r="I122" s="763">
        <v>20</v>
      </c>
      <c r="J122" s="764">
        <v>170</v>
      </c>
      <c r="K122" s="762">
        <v>127</v>
      </c>
      <c r="L122" s="763">
        <v>20</v>
      </c>
      <c r="M122" s="763">
        <v>40</v>
      </c>
      <c r="N122" s="764">
        <v>187</v>
      </c>
      <c r="O122" s="762">
        <v>141</v>
      </c>
      <c r="P122" s="763">
        <v>24</v>
      </c>
      <c r="Q122" s="763">
        <v>37</v>
      </c>
      <c r="R122" s="764">
        <v>202</v>
      </c>
      <c r="S122" s="762">
        <v>133</v>
      </c>
      <c r="T122" s="763">
        <v>54</v>
      </c>
      <c r="U122" s="763">
        <v>59</v>
      </c>
      <c r="V122" s="764">
        <v>246</v>
      </c>
      <c r="W122" s="762">
        <v>72</v>
      </c>
      <c r="X122" s="763">
        <v>19</v>
      </c>
      <c r="Y122" s="763">
        <v>26</v>
      </c>
      <c r="Z122" s="764">
        <v>117</v>
      </c>
      <c r="AA122" s="762">
        <v>66</v>
      </c>
      <c r="AB122" s="763">
        <v>16</v>
      </c>
      <c r="AC122" s="763">
        <v>29</v>
      </c>
      <c r="AD122" s="764">
        <v>111</v>
      </c>
      <c r="AE122" s="763">
        <v>28</v>
      </c>
      <c r="AF122" s="763">
        <v>18</v>
      </c>
      <c r="AG122" s="763">
        <v>19</v>
      </c>
      <c r="AH122" s="764">
        <v>65</v>
      </c>
      <c r="AI122" s="763"/>
      <c r="AJ122" s="763"/>
      <c r="AK122" s="763"/>
      <c r="AL122" s="764"/>
    </row>
    <row r="123" spans="1:38" x14ac:dyDescent="0.2">
      <c r="A123" s="1017" t="s">
        <v>597</v>
      </c>
      <c r="B123" s="767" t="s">
        <v>598</v>
      </c>
      <c r="C123" s="593">
        <v>0</v>
      </c>
      <c r="D123" s="574">
        <v>0</v>
      </c>
      <c r="E123" s="574">
        <v>0</v>
      </c>
      <c r="F123" s="594">
        <v>0</v>
      </c>
      <c r="G123" s="593">
        <v>0</v>
      </c>
      <c r="H123" s="574">
        <v>0</v>
      </c>
      <c r="I123" s="574">
        <v>0</v>
      </c>
      <c r="J123" s="594">
        <v>0</v>
      </c>
      <c r="K123" s="593">
        <v>0</v>
      </c>
      <c r="L123" s="574">
        <v>0</v>
      </c>
      <c r="M123" s="574">
        <v>0</v>
      </c>
      <c r="N123" s="594">
        <v>0</v>
      </c>
      <c r="O123" s="573">
        <v>2</v>
      </c>
      <c r="P123" s="574">
        <v>0</v>
      </c>
      <c r="Q123" s="574">
        <v>0</v>
      </c>
      <c r="R123" s="575">
        <v>2</v>
      </c>
      <c r="S123" s="593">
        <v>2</v>
      </c>
      <c r="T123" s="574">
        <v>0</v>
      </c>
      <c r="U123" s="574">
        <v>1</v>
      </c>
      <c r="V123" s="594">
        <v>3</v>
      </c>
      <c r="W123" s="573">
        <v>29</v>
      </c>
      <c r="X123" s="574">
        <v>0</v>
      </c>
      <c r="Y123" s="574">
        <v>0</v>
      </c>
      <c r="Z123" s="575">
        <v>29</v>
      </c>
      <c r="AA123" s="573">
        <v>6</v>
      </c>
      <c r="AB123" s="574">
        <v>0</v>
      </c>
      <c r="AC123" s="574">
        <v>0</v>
      </c>
      <c r="AD123" s="575">
        <v>6</v>
      </c>
      <c r="AE123" s="576">
        <v>2</v>
      </c>
      <c r="AF123" s="574">
        <v>0</v>
      </c>
      <c r="AG123" s="574">
        <v>0</v>
      </c>
      <c r="AH123" s="575">
        <v>2</v>
      </c>
      <c r="AI123" s="576"/>
      <c r="AJ123" s="574"/>
      <c r="AK123" s="574"/>
      <c r="AL123" s="575"/>
    </row>
    <row r="124" spans="1:38" x14ac:dyDescent="0.2">
      <c r="A124" s="1018"/>
      <c r="B124" s="768" t="s">
        <v>718</v>
      </c>
      <c r="C124" s="577">
        <v>1</v>
      </c>
      <c r="D124" s="578">
        <v>0</v>
      </c>
      <c r="E124" s="582">
        <v>9</v>
      </c>
      <c r="F124" s="579">
        <v>10</v>
      </c>
      <c r="G124" s="577">
        <v>18</v>
      </c>
      <c r="H124" s="578">
        <v>0</v>
      </c>
      <c r="I124" s="582">
        <v>25</v>
      </c>
      <c r="J124" s="579">
        <v>43</v>
      </c>
      <c r="K124" s="577">
        <v>24</v>
      </c>
      <c r="L124" s="578">
        <v>0</v>
      </c>
      <c r="M124" s="582">
        <v>36</v>
      </c>
      <c r="N124" s="579">
        <v>60</v>
      </c>
      <c r="O124" s="577">
        <v>57</v>
      </c>
      <c r="P124" s="582">
        <v>1</v>
      </c>
      <c r="Q124" s="582">
        <v>49</v>
      </c>
      <c r="R124" s="579">
        <v>107</v>
      </c>
      <c r="S124" s="577">
        <v>42</v>
      </c>
      <c r="T124" s="578">
        <v>5</v>
      </c>
      <c r="U124" s="582">
        <v>83</v>
      </c>
      <c r="V124" s="579">
        <v>130</v>
      </c>
      <c r="W124" s="577">
        <v>27</v>
      </c>
      <c r="X124" s="582">
        <v>0</v>
      </c>
      <c r="Y124" s="582">
        <v>52</v>
      </c>
      <c r="Z124" s="579">
        <v>79</v>
      </c>
      <c r="AA124" s="577">
        <v>31</v>
      </c>
      <c r="AB124" s="582">
        <v>0</v>
      </c>
      <c r="AC124" s="582">
        <v>110</v>
      </c>
      <c r="AD124" s="579">
        <v>141</v>
      </c>
      <c r="AE124" s="582">
        <v>20</v>
      </c>
      <c r="AF124" s="582">
        <v>1</v>
      </c>
      <c r="AG124" s="582">
        <v>162</v>
      </c>
      <c r="AH124" s="579">
        <v>183</v>
      </c>
      <c r="AI124" s="582"/>
      <c r="AJ124" s="582"/>
      <c r="AK124" s="582"/>
      <c r="AL124" s="579"/>
    </row>
    <row r="125" spans="1:38" x14ac:dyDescent="0.2">
      <c r="A125" s="1018"/>
      <c r="B125" s="768" t="s">
        <v>719</v>
      </c>
      <c r="C125" s="577">
        <v>9</v>
      </c>
      <c r="D125" s="578">
        <v>0</v>
      </c>
      <c r="E125" s="582">
        <v>8</v>
      </c>
      <c r="F125" s="579">
        <v>17</v>
      </c>
      <c r="G125" s="577">
        <v>14</v>
      </c>
      <c r="H125" s="578">
        <v>0</v>
      </c>
      <c r="I125" s="582">
        <v>20</v>
      </c>
      <c r="J125" s="579">
        <v>34</v>
      </c>
      <c r="K125" s="577">
        <v>30</v>
      </c>
      <c r="L125" s="578">
        <v>0</v>
      </c>
      <c r="M125" s="582">
        <v>44</v>
      </c>
      <c r="N125" s="579">
        <v>74</v>
      </c>
      <c r="O125" s="577">
        <v>45</v>
      </c>
      <c r="P125" s="578">
        <v>0</v>
      </c>
      <c r="Q125" s="582">
        <v>65</v>
      </c>
      <c r="R125" s="579">
        <v>110</v>
      </c>
      <c r="S125" s="577">
        <v>46</v>
      </c>
      <c r="T125" s="578">
        <v>3</v>
      </c>
      <c r="U125" s="582">
        <v>88</v>
      </c>
      <c r="V125" s="579">
        <v>137</v>
      </c>
      <c r="W125" s="577">
        <v>64</v>
      </c>
      <c r="X125" s="578">
        <v>4</v>
      </c>
      <c r="Y125" s="582">
        <v>99</v>
      </c>
      <c r="Z125" s="579">
        <v>167</v>
      </c>
      <c r="AA125" s="577">
        <v>52</v>
      </c>
      <c r="AB125" s="578">
        <v>3</v>
      </c>
      <c r="AC125" s="582">
        <v>77</v>
      </c>
      <c r="AD125" s="579">
        <v>132</v>
      </c>
      <c r="AE125" s="582">
        <v>17</v>
      </c>
      <c r="AF125" s="578">
        <v>2</v>
      </c>
      <c r="AG125" s="582">
        <v>91</v>
      </c>
      <c r="AH125" s="579">
        <v>110</v>
      </c>
      <c r="AI125" s="582"/>
      <c r="AJ125" s="578"/>
      <c r="AK125" s="582"/>
      <c r="AL125" s="579"/>
    </row>
    <row r="126" spans="1:38" x14ac:dyDescent="0.2">
      <c r="A126" s="1018"/>
      <c r="B126" s="768" t="s">
        <v>720</v>
      </c>
      <c r="C126" s="577">
        <v>76</v>
      </c>
      <c r="D126" s="578">
        <v>0</v>
      </c>
      <c r="E126" s="582">
        <v>7</v>
      </c>
      <c r="F126" s="579">
        <v>83</v>
      </c>
      <c r="G126" s="577">
        <v>31</v>
      </c>
      <c r="H126" s="578">
        <v>0</v>
      </c>
      <c r="I126" s="582">
        <v>69</v>
      </c>
      <c r="J126" s="579">
        <v>100</v>
      </c>
      <c r="K126" s="577">
        <v>78</v>
      </c>
      <c r="L126" s="578">
        <v>0</v>
      </c>
      <c r="M126" s="582">
        <v>156</v>
      </c>
      <c r="N126" s="579">
        <v>234</v>
      </c>
      <c r="O126" s="577">
        <v>156</v>
      </c>
      <c r="P126" s="582">
        <v>10</v>
      </c>
      <c r="Q126" s="582">
        <v>136</v>
      </c>
      <c r="R126" s="579">
        <v>302</v>
      </c>
      <c r="S126" s="577">
        <v>86</v>
      </c>
      <c r="T126" s="578">
        <v>23</v>
      </c>
      <c r="U126" s="582">
        <v>187</v>
      </c>
      <c r="V126" s="579">
        <v>296</v>
      </c>
      <c r="W126" s="577">
        <v>72</v>
      </c>
      <c r="X126" s="582">
        <v>1</v>
      </c>
      <c r="Y126" s="582">
        <v>154</v>
      </c>
      <c r="Z126" s="579">
        <v>227</v>
      </c>
      <c r="AA126" s="577">
        <v>89</v>
      </c>
      <c r="AB126" s="582">
        <v>1</v>
      </c>
      <c r="AC126" s="582">
        <v>124</v>
      </c>
      <c r="AD126" s="579">
        <v>214</v>
      </c>
      <c r="AE126" s="582">
        <v>27</v>
      </c>
      <c r="AF126" s="582">
        <v>0</v>
      </c>
      <c r="AG126" s="582">
        <v>107</v>
      </c>
      <c r="AH126" s="579">
        <v>134</v>
      </c>
      <c r="AI126" s="582"/>
      <c r="AJ126" s="582"/>
      <c r="AK126" s="582"/>
      <c r="AL126" s="579"/>
    </row>
    <row r="127" spans="1:38" x14ac:dyDescent="0.2">
      <c r="A127" s="1018"/>
      <c r="B127" s="768" t="s">
        <v>721</v>
      </c>
      <c r="C127" s="577">
        <v>28</v>
      </c>
      <c r="D127" s="578">
        <v>0</v>
      </c>
      <c r="E127" s="582">
        <v>6</v>
      </c>
      <c r="F127" s="579">
        <v>34</v>
      </c>
      <c r="G127" s="577">
        <v>37</v>
      </c>
      <c r="H127" s="578">
        <v>0</v>
      </c>
      <c r="I127" s="582">
        <v>58</v>
      </c>
      <c r="J127" s="579">
        <v>95</v>
      </c>
      <c r="K127" s="577">
        <v>23</v>
      </c>
      <c r="L127" s="578">
        <v>0</v>
      </c>
      <c r="M127" s="582">
        <v>65</v>
      </c>
      <c r="N127" s="579">
        <v>88</v>
      </c>
      <c r="O127" s="577">
        <v>36</v>
      </c>
      <c r="P127" s="578">
        <v>0</v>
      </c>
      <c r="Q127" s="582">
        <v>82</v>
      </c>
      <c r="R127" s="579">
        <v>118</v>
      </c>
      <c r="S127" s="577">
        <v>19</v>
      </c>
      <c r="T127" s="578">
        <v>0</v>
      </c>
      <c r="U127" s="582">
        <v>117</v>
      </c>
      <c r="V127" s="579">
        <v>136</v>
      </c>
      <c r="W127" s="577">
        <v>4</v>
      </c>
      <c r="X127" s="578">
        <v>10</v>
      </c>
      <c r="Y127" s="582">
        <v>83</v>
      </c>
      <c r="Z127" s="579">
        <v>97</v>
      </c>
      <c r="AA127" s="577">
        <v>37</v>
      </c>
      <c r="AB127" s="578">
        <v>0</v>
      </c>
      <c r="AC127" s="582">
        <v>159</v>
      </c>
      <c r="AD127" s="579">
        <v>196</v>
      </c>
      <c r="AE127" s="582">
        <v>64</v>
      </c>
      <c r="AF127" s="578">
        <v>0</v>
      </c>
      <c r="AG127" s="582">
        <v>197</v>
      </c>
      <c r="AH127" s="579">
        <v>261</v>
      </c>
      <c r="AI127" s="582"/>
      <c r="AJ127" s="578"/>
      <c r="AK127" s="582"/>
      <c r="AL127" s="579"/>
    </row>
    <row r="128" spans="1:38" x14ac:dyDescent="0.2">
      <c r="A128" s="1018"/>
      <c r="B128" s="768" t="s">
        <v>722</v>
      </c>
      <c r="C128" s="577">
        <v>26</v>
      </c>
      <c r="D128" s="578">
        <v>0</v>
      </c>
      <c r="E128" s="582">
        <v>15</v>
      </c>
      <c r="F128" s="579">
        <v>41</v>
      </c>
      <c r="G128" s="577">
        <v>25</v>
      </c>
      <c r="H128" s="578">
        <v>0</v>
      </c>
      <c r="I128" s="582">
        <v>26</v>
      </c>
      <c r="J128" s="579">
        <v>51</v>
      </c>
      <c r="K128" s="577">
        <v>35</v>
      </c>
      <c r="L128" s="578">
        <v>0</v>
      </c>
      <c r="M128" s="582">
        <v>38</v>
      </c>
      <c r="N128" s="579">
        <v>73</v>
      </c>
      <c r="O128" s="577">
        <v>33</v>
      </c>
      <c r="P128" s="578">
        <v>0</v>
      </c>
      <c r="Q128" s="582">
        <v>50</v>
      </c>
      <c r="R128" s="579">
        <v>83</v>
      </c>
      <c r="S128" s="577">
        <v>29</v>
      </c>
      <c r="T128" s="578">
        <v>0</v>
      </c>
      <c r="U128" s="582">
        <v>60</v>
      </c>
      <c r="V128" s="579">
        <v>89</v>
      </c>
      <c r="W128" s="577">
        <v>24</v>
      </c>
      <c r="X128" s="578">
        <v>0</v>
      </c>
      <c r="Y128" s="582">
        <v>63</v>
      </c>
      <c r="Z128" s="579">
        <v>87</v>
      </c>
      <c r="AA128" s="577">
        <v>29</v>
      </c>
      <c r="AB128" s="578">
        <v>0</v>
      </c>
      <c r="AC128" s="582">
        <v>130</v>
      </c>
      <c r="AD128" s="579">
        <v>159</v>
      </c>
      <c r="AE128" s="582">
        <v>25</v>
      </c>
      <c r="AF128" s="578">
        <v>0</v>
      </c>
      <c r="AG128" s="582">
        <v>188</v>
      </c>
      <c r="AH128" s="579">
        <v>213</v>
      </c>
      <c r="AI128" s="582"/>
      <c r="AJ128" s="578"/>
      <c r="AK128" s="582"/>
      <c r="AL128" s="579"/>
    </row>
    <row r="129" spans="1:38" x14ac:dyDescent="0.2">
      <c r="A129" s="1018"/>
      <c r="B129" s="768" t="s">
        <v>723</v>
      </c>
      <c r="C129" s="577">
        <v>12</v>
      </c>
      <c r="D129" s="578">
        <v>0</v>
      </c>
      <c r="E129" s="582">
        <v>14</v>
      </c>
      <c r="F129" s="579">
        <v>26</v>
      </c>
      <c r="G129" s="577">
        <v>28</v>
      </c>
      <c r="H129" s="582">
        <v>5</v>
      </c>
      <c r="I129" s="582">
        <v>14</v>
      </c>
      <c r="J129" s="579">
        <v>47</v>
      </c>
      <c r="K129" s="577">
        <v>43</v>
      </c>
      <c r="L129" s="578">
        <v>0</v>
      </c>
      <c r="M129" s="582">
        <v>41</v>
      </c>
      <c r="N129" s="579">
        <v>84</v>
      </c>
      <c r="O129" s="577">
        <v>26</v>
      </c>
      <c r="P129" s="582">
        <v>1</v>
      </c>
      <c r="Q129" s="582">
        <v>54</v>
      </c>
      <c r="R129" s="579">
        <v>81</v>
      </c>
      <c r="S129" s="577">
        <v>30</v>
      </c>
      <c r="T129" s="578">
        <v>4</v>
      </c>
      <c r="U129" s="582">
        <v>103</v>
      </c>
      <c r="V129" s="579">
        <v>137</v>
      </c>
      <c r="W129" s="577">
        <v>30</v>
      </c>
      <c r="X129" s="582">
        <v>10</v>
      </c>
      <c r="Y129" s="582">
        <v>72</v>
      </c>
      <c r="Z129" s="579">
        <v>112</v>
      </c>
      <c r="AA129" s="577">
        <v>36</v>
      </c>
      <c r="AB129" s="582">
        <v>8</v>
      </c>
      <c r="AC129" s="582">
        <v>93</v>
      </c>
      <c r="AD129" s="579">
        <v>137</v>
      </c>
      <c r="AE129" s="582">
        <v>37</v>
      </c>
      <c r="AF129" s="582">
        <v>16</v>
      </c>
      <c r="AG129" s="582">
        <v>109</v>
      </c>
      <c r="AH129" s="579">
        <v>162</v>
      </c>
      <c r="AI129" s="582"/>
      <c r="AJ129" s="582"/>
      <c r="AK129" s="582"/>
      <c r="AL129" s="579"/>
    </row>
    <row r="130" spans="1:38" x14ac:dyDescent="0.2">
      <c r="A130" s="1018"/>
      <c r="B130" s="768" t="s">
        <v>724</v>
      </c>
      <c r="C130" s="577">
        <v>4</v>
      </c>
      <c r="D130" s="578">
        <v>0</v>
      </c>
      <c r="E130" s="582">
        <v>15</v>
      </c>
      <c r="F130" s="579">
        <v>19</v>
      </c>
      <c r="G130" s="577">
        <v>1</v>
      </c>
      <c r="H130" s="578">
        <v>0</v>
      </c>
      <c r="I130" s="582">
        <v>13</v>
      </c>
      <c r="J130" s="579">
        <v>14</v>
      </c>
      <c r="K130" s="577">
        <v>6</v>
      </c>
      <c r="L130" s="578">
        <v>0</v>
      </c>
      <c r="M130" s="582">
        <v>14</v>
      </c>
      <c r="N130" s="579">
        <v>20</v>
      </c>
      <c r="O130" s="577">
        <v>17</v>
      </c>
      <c r="P130" s="578">
        <v>0</v>
      </c>
      <c r="Q130" s="582">
        <v>12</v>
      </c>
      <c r="R130" s="579">
        <v>29</v>
      </c>
      <c r="S130" s="577">
        <v>13</v>
      </c>
      <c r="T130" s="578">
        <v>0</v>
      </c>
      <c r="U130" s="582">
        <v>7</v>
      </c>
      <c r="V130" s="579">
        <v>20</v>
      </c>
      <c r="W130" s="577">
        <v>8</v>
      </c>
      <c r="X130" s="578">
        <v>0</v>
      </c>
      <c r="Y130" s="582">
        <v>15</v>
      </c>
      <c r="Z130" s="579">
        <v>23</v>
      </c>
      <c r="AA130" s="577">
        <v>13</v>
      </c>
      <c r="AB130" s="578">
        <v>0</v>
      </c>
      <c r="AC130" s="582">
        <v>32</v>
      </c>
      <c r="AD130" s="579">
        <v>45</v>
      </c>
      <c r="AE130" s="582">
        <v>6</v>
      </c>
      <c r="AF130" s="578">
        <v>0</v>
      </c>
      <c r="AG130" s="582">
        <v>31</v>
      </c>
      <c r="AH130" s="579">
        <v>37</v>
      </c>
      <c r="AI130" s="582"/>
      <c r="AJ130" s="578"/>
      <c r="AK130" s="582"/>
      <c r="AL130" s="579"/>
    </row>
    <row r="131" spans="1:38" x14ac:dyDescent="0.2">
      <c r="A131" s="1018"/>
      <c r="B131" s="768" t="s">
        <v>725</v>
      </c>
      <c r="C131" s="577">
        <v>6</v>
      </c>
      <c r="D131" s="578">
        <v>0</v>
      </c>
      <c r="E131" s="578">
        <v>0</v>
      </c>
      <c r="F131" s="579">
        <v>6</v>
      </c>
      <c r="G131" s="577">
        <v>7</v>
      </c>
      <c r="H131" s="578">
        <v>0</v>
      </c>
      <c r="I131" s="582">
        <v>10</v>
      </c>
      <c r="J131" s="579">
        <v>17</v>
      </c>
      <c r="K131" s="577">
        <v>7</v>
      </c>
      <c r="L131" s="578">
        <v>0</v>
      </c>
      <c r="M131" s="582">
        <v>10</v>
      </c>
      <c r="N131" s="579">
        <v>17</v>
      </c>
      <c r="O131" s="577">
        <v>15</v>
      </c>
      <c r="P131" s="578">
        <v>0</v>
      </c>
      <c r="Q131" s="582">
        <v>40</v>
      </c>
      <c r="R131" s="579">
        <v>55</v>
      </c>
      <c r="S131" s="577">
        <v>9</v>
      </c>
      <c r="T131" s="578">
        <v>0</v>
      </c>
      <c r="U131" s="582">
        <v>53</v>
      </c>
      <c r="V131" s="579">
        <v>62</v>
      </c>
      <c r="W131" s="577">
        <v>5</v>
      </c>
      <c r="X131" s="578">
        <v>0</v>
      </c>
      <c r="Y131" s="582">
        <v>50</v>
      </c>
      <c r="Z131" s="579">
        <v>55</v>
      </c>
      <c r="AA131" s="577">
        <v>1</v>
      </c>
      <c r="AB131" s="578">
        <v>0</v>
      </c>
      <c r="AC131" s="582">
        <v>99</v>
      </c>
      <c r="AD131" s="579">
        <v>100</v>
      </c>
      <c r="AE131" s="582">
        <v>4</v>
      </c>
      <c r="AF131" s="578">
        <v>0</v>
      </c>
      <c r="AG131" s="582">
        <v>54</v>
      </c>
      <c r="AH131" s="579">
        <v>58</v>
      </c>
      <c r="AI131" s="582"/>
      <c r="AJ131" s="578"/>
      <c r="AK131" s="582"/>
      <c r="AL131" s="579"/>
    </row>
    <row r="132" spans="1:38" x14ac:dyDescent="0.2">
      <c r="A132" s="1018"/>
      <c r="B132" s="768" t="s">
        <v>726</v>
      </c>
      <c r="C132" s="577">
        <v>6</v>
      </c>
      <c r="D132" s="578">
        <v>0</v>
      </c>
      <c r="E132" s="582">
        <v>24</v>
      </c>
      <c r="F132" s="579">
        <v>30</v>
      </c>
      <c r="G132" s="577">
        <v>3</v>
      </c>
      <c r="H132" s="578">
        <v>0</v>
      </c>
      <c r="I132" s="582">
        <v>26</v>
      </c>
      <c r="J132" s="579">
        <v>29</v>
      </c>
      <c r="K132" s="577">
        <v>8</v>
      </c>
      <c r="L132" s="578">
        <v>0</v>
      </c>
      <c r="M132" s="582">
        <v>58</v>
      </c>
      <c r="N132" s="579">
        <v>66</v>
      </c>
      <c r="O132" s="577">
        <v>15</v>
      </c>
      <c r="P132" s="578">
        <v>0</v>
      </c>
      <c r="Q132" s="582">
        <v>91</v>
      </c>
      <c r="R132" s="579">
        <v>106</v>
      </c>
      <c r="S132" s="577">
        <v>14</v>
      </c>
      <c r="T132" s="578">
        <v>1</v>
      </c>
      <c r="U132" s="582">
        <v>76</v>
      </c>
      <c r="V132" s="579">
        <v>91</v>
      </c>
      <c r="W132" s="577">
        <v>35</v>
      </c>
      <c r="X132" s="578">
        <v>0</v>
      </c>
      <c r="Y132" s="582">
        <v>68</v>
      </c>
      <c r="Z132" s="579">
        <v>103</v>
      </c>
      <c r="AA132" s="577">
        <v>37</v>
      </c>
      <c r="AB132" s="578">
        <v>1</v>
      </c>
      <c r="AC132" s="582">
        <v>67</v>
      </c>
      <c r="AD132" s="579">
        <v>105</v>
      </c>
      <c r="AE132" s="582">
        <v>48</v>
      </c>
      <c r="AF132" s="578">
        <v>0</v>
      </c>
      <c r="AG132" s="582">
        <v>112</v>
      </c>
      <c r="AH132" s="579">
        <v>160</v>
      </c>
      <c r="AI132" s="582"/>
      <c r="AJ132" s="578"/>
      <c r="AK132" s="582"/>
      <c r="AL132" s="579"/>
    </row>
    <row r="133" spans="1:38" x14ac:dyDescent="0.2">
      <c r="A133" s="1018"/>
      <c r="B133" s="768" t="s">
        <v>727</v>
      </c>
      <c r="C133" s="577">
        <v>15</v>
      </c>
      <c r="D133" s="582">
        <v>5</v>
      </c>
      <c r="E133" s="582">
        <v>48</v>
      </c>
      <c r="F133" s="579">
        <v>68</v>
      </c>
      <c r="G133" s="577">
        <v>18</v>
      </c>
      <c r="H133" s="582">
        <v>1</v>
      </c>
      <c r="I133" s="582">
        <v>65</v>
      </c>
      <c r="J133" s="579">
        <v>84</v>
      </c>
      <c r="K133" s="577">
        <v>35</v>
      </c>
      <c r="L133" s="582">
        <v>1</v>
      </c>
      <c r="M133" s="582">
        <v>43</v>
      </c>
      <c r="N133" s="579">
        <v>79</v>
      </c>
      <c r="O133" s="577">
        <v>55</v>
      </c>
      <c r="P133" s="582">
        <v>13</v>
      </c>
      <c r="Q133" s="582">
        <v>66</v>
      </c>
      <c r="R133" s="579">
        <v>134</v>
      </c>
      <c r="S133" s="577">
        <v>28</v>
      </c>
      <c r="T133" s="582">
        <v>17</v>
      </c>
      <c r="U133" s="582">
        <v>50</v>
      </c>
      <c r="V133" s="579">
        <v>95</v>
      </c>
      <c r="W133" s="577">
        <v>24</v>
      </c>
      <c r="X133" s="582">
        <v>2</v>
      </c>
      <c r="Y133" s="582">
        <v>43</v>
      </c>
      <c r="Z133" s="579">
        <v>69</v>
      </c>
      <c r="AA133" s="577">
        <v>13</v>
      </c>
      <c r="AB133" s="582">
        <v>0</v>
      </c>
      <c r="AC133" s="582">
        <v>53</v>
      </c>
      <c r="AD133" s="579">
        <v>66</v>
      </c>
      <c r="AE133" s="582">
        <v>5</v>
      </c>
      <c r="AF133" s="582">
        <v>0</v>
      </c>
      <c r="AG133" s="582">
        <v>78</v>
      </c>
      <c r="AH133" s="579">
        <v>83</v>
      </c>
      <c r="AI133" s="582"/>
      <c r="AJ133" s="582"/>
      <c r="AK133" s="582"/>
      <c r="AL133" s="579"/>
    </row>
    <row r="134" spans="1:38" x14ac:dyDescent="0.2">
      <c r="A134" s="1018"/>
      <c r="B134" s="768" t="s">
        <v>728</v>
      </c>
      <c r="C134" s="577">
        <v>4</v>
      </c>
      <c r="D134" s="578">
        <v>0</v>
      </c>
      <c r="E134" s="582">
        <v>7</v>
      </c>
      <c r="F134" s="579">
        <v>11</v>
      </c>
      <c r="G134" s="577">
        <v>5</v>
      </c>
      <c r="H134" s="578">
        <v>0</v>
      </c>
      <c r="I134" s="582">
        <v>23</v>
      </c>
      <c r="J134" s="579">
        <v>28</v>
      </c>
      <c r="K134" s="577">
        <v>20</v>
      </c>
      <c r="L134" s="578">
        <v>0</v>
      </c>
      <c r="M134" s="582">
        <v>20</v>
      </c>
      <c r="N134" s="579">
        <v>40</v>
      </c>
      <c r="O134" s="577">
        <v>26</v>
      </c>
      <c r="P134" s="578">
        <v>0</v>
      </c>
      <c r="Q134" s="582">
        <v>34</v>
      </c>
      <c r="R134" s="579">
        <v>60</v>
      </c>
      <c r="S134" s="577">
        <v>32</v>
      </c>
      <c r="T134" s="578">
        <v>0</v>
      </c>
      <c r="U134" s="582">
        <v>115</v>
      </c>
      <c r="V134" s="579">
        <v>147</v>
      </c>
      <c r="W134" s="577">
        <v>24</v>
      </c>
      <c r="X134" s="578">
        <v>0</v>
      </c>
      <c r="Y134" s="582">
        <v>116</v>
      </c>
      <c r="Z134" s="579">
        <v>140</v>
      </c>
      <c r="AA134" s="577">
        <v>85</v>
      </c>
      <c r="AB134" s="578">
        <v>0</v>
      </c>
      <c r="AC134" s="582">
        <v>161</v>
      </c>
      <c r="AD134" s="579">
        <v>246</v>
      </c>
      <c r="AE134" s="582">
        <v>37</v>
      </c>
      <c r="AF134" s="578">
        <v>0</v>
      </c>
      <c r="AG134" s="582">
        <v>171</v>
      </c>
      <c r="AH134" s="579">
        <v>208</v>
      </c>
      <c r="AI134" s="582"/>
      <c r="AJ134" s="578"/>
      <c r="AK134" s="582"/>
      <c r="AL134" s="579"/>
    </row>
    <row r="135" spans="1:38" x14ac:dyDescent="0.2">
      <c r="A135" s="1018"/>
      <c r="B135" s="768" t="s">
        <v>623</v>
      </c>
      <c r="C135" s="577">
        <v>9</v>
      </c>
      <c r="D135" s="578">
        <v>0</v>
      </c>
      <c r="E135" s="582">
        <v>7</v>
      </c>
      <c r="F135" s="579">
        <v>16</v>
      </c>
      <c r="G135" s="577">
        <v>12</v>
      </c>
      <c r="H135" s="578">
        <v>0</v>
      </c>
      <c r="I135" s="582">
        <v>31</v>
      </c>
      <c r="J135" s="579">
        <v>43</v>
      </c>
      <c r="K135" s="577">
        <v>32</v>
      </c>
      <c r="L135" s="578">
        <v>0</v>
      </c>
      <c r="M135" s="582">
        <v>53</v>
      </c>
      <c r="N135" s="579">
        <v>85</v>
      </c>
      <c r="O135" s="577">
        <v>34</v>
      </c>
      <c r="P135" s="578">
        <v>0</v>
      </c>
      <c r="Q135" s="582">
        <v>35</v>
      </c>
      <c r="R135" s="579">
        <v>69</v>
      </c>
      <c r="S135" s="577">
        <v>78</v>
      </c>
      <c r="T135" s="578">
        <v>0</v>
      </c>
      <c r="U135" s="582">
        <v>65</v>
      </c>
      <c r="V135" s="579">
        <v>143</v>
      </c>
      <c r="W135" s="577">
        <v>55</v>
      </c>
      <c r="X135" s="578">
        <v>0</v>
      </c>
      <c r="Y135" s="582">
        <v>62</v>
      </c>
      <c r="Z135" s="579">
        <v>117</v>
      </c>
      <c r="AA135" s="577">
        <v>35</v>
      </c>
      <c r="AB135" s="578">
        <v>0</v>
      </c>
      <c r="AC135" s="582">
        <v>53</v>
      </c>
      <c r="AD135" s="579">
        <v>88</v>
      </c>
      <c r="AE135" s="582">
        <v>46</v>
      </c>
      <c r="AF135" s="578">
        <v>0</v>
      </c>
      <c r="AG135" s="582">
        <v>66</v>
      </c>
      <c r="AH135" s="579">
        <v>112</v>
      </c>
      <c r="AI135" s="582"/>
      <c r="AJ135" s="578"/>
      <c r="AK135" s="582"/>
      <c r="AL135" s="579"/>
    </row>
    <row r="136" spans="1:38" ht="13.5" thickBot="1" x14ac:dyDescent="0.25">
      <c r="A136" s="1018"/>
      <c r="B136" s="769" t="s">
        <v>729</v>
      </c>
      <c r="C136" s="583">
        <v>1</v>
      </c>
      <c r="D136" s="584">
        <v>0</v>
      </c>
      <c r="E136" s="586">
        <v>7</v>
      </c>
      <c r="F136" s="585">
        <v>8</v>
      </c>
      <c r="G136" s="583">
        <v>8</v>
      </c>
      <c r="H136" s="584">
        <v>0</v>
      </c>
      <c r="I136" s="586">
        <v>12</v>
      </c>
      <c r="J136" s="585">
        <v>20</v>
      </c>
      <c r="K136" s="583">
        <v>6</v>
      </c>
      <c r="L136" s="584">
        <v>0</v>
      </c>
      <c r="M136" s="586">
        <v>23</v>
      </c>
      <c r="N136" s="585">
        <v>29</v>
      </c>
      <c r="O136" s="583">
        <v>17</v>
      </c>
      <c r="P136" s="584">
        <v>0</v>
      </c>
      <c r="Q136" s="586">
        <v>63</v>
      </c>
      <c r="R136" s="585">
        <v>80</v>
      </c>
      <c r="S136" s="583">
        <v>22</v>
      </c>
      <c r="T136" s="584">
        <v>0</v>
      </c>
      <c r="U136" s="586">
        <v>96</v>
      </c>
      <c r="V136" s="585">
        <v>118</v>
      </c>
      <c r="W136" s="583">
        <v>20</v>
      </c>
      <c r="X136" s="584">
        <v>0</v>
      </c>
      <c r="Y136" s="586">
        <v>95</v>
      </c>
      <c r="Z136" s="585">
        <v>115</v>
      </c>
      <c r="AA136" s="583">
        <v>17</v>
      </c>
      <c r="AB136" s="584">
        <v>0</v>
      </c>
      <c r="AC136" s="586">
        <v>137</v>
      </c>
      <c r="AD136" s="585">
        <v>154</v>
      </c>
      <c r="AE136" s="586">
        <v>11</v>
      </c>
      <c r="AF136" s="584">
        <v>0</v>
      </c>
      <c r="AG136" s="586">
        <v>158</v>
      </c>
      <c r="AH136" s="585">
        <v>169</v>
      </c>
      <c r="AI136" s="586"/>
      <c r="AJ136" s="584"/>
      <c r="AK136" s="586"/>
      <c r="AL136" s="585"/>
    </row>
    <row r="137" spans="1:38" s="259" customFormat="1" ht="13.5" thickBot="1" x14ac:dyDescent="0.25">
      <c r="A137" s="1019"/>
      <c r="B137" s="770" t="s">
        <v>788</v>
      </c>
      <c r="C137" s="762">
        <v>197</v>
      </c>
      <c r="D137" s="763">
        <v>5</v>
      </c>
      <c r="E137" s="763">
        <v>167</v>
      </c>
      <c r="F137" s="764">
        <v>369</v>
      </c>
      <c r="G137" s="762">
        <v>207</v>
      </c>
      <c r="H137" s="763">
        <v>6</v>
      </c>
      <c r="I137" s="763">
        <v>392</v>
      </c>
      <c r="J137" s="764">
        <v>605</v>
      </c>
      <c r="K137" s="762">
        <v>347</v>
      </c>
      <c r="L137" s="763">
        <v>1</v>
      </c>
      <c r="M137" s="763">
        <v>601</v>
      </c>
      <c r="N137" s="764">
        <v>949</v>
      </c>
      <c r="O137" s="762">
        <v>534</v>
      </c>
      <c r="P137" s="763">
        <v>25</v>
      </c>
      <c r="Q137" s="763">
        <v>777</v>
      </c>
      <c r="R137" s="764">
        <v>1336</v>
      </c>
      <c r="S137" s="762">
        <v>450</v>
      </c>
      <c r="T137" s="763">
        <v>53</v>
      </c>
      <c r="U137" s="763">
        <v>1101</v>
      </c>
      <c r="V137" s="764">
        <v>1604</v>
      </c>
      <c r="W137" s="762">
        <v>421</v>
      </c>
      <c r="X137" s="763">
        <v>27</v>
      </c>
      <c r="Y137" s="763">
        <v>972</v>
      </c>
      <c r="Z137" s="764">
        <v>1420</v>
      </c>
      <c r="AA137" s="762">
        <v>481</v>
      </c>
      <c r="AB137" s="763">
        <v>13</v>
      </c>
      <c r="AC137" s="763">
        <v>1295</v>
      </c>
      <c r="AD137" s="764">
        <v>1789</v>
      </c>
      <c r="AE137" s="763">
        <v>349</v>
      </c>
      <c r="AF137" s="763">
        <v>19</v>
      </c>
      <c r="AG137" s="763">
        <v>1524</v>
      </c>
      <c r="AH137" s="764">
        <v>1892</v>
      </c>
      <c r="AI137" s="763"/>
      <c r="AJ137" s="763"/>
      <c r="AK137" s="763"/>
      <c r="AL137" s="764"/>
    </row>
    <row r="138" spans="1:38" x14ac:dyDescent="0.2">
      <c r="A138" s="1026" t="s">
        <v>599</v>
      </c>
      <c r="B138" s="771" t="s">
        <v>600</v>
      </c>
      <c r="C138" s="590">
        <v>0</v>
      </c>
      <c r="D138" s="591">
        <v>0</v>
      </c>
      <c r="E138" s="588">
        <v>0</v>
      </c>
      <c r="F138" s="592">
        <v>0</v>
      </c>
      <c r="G138" s="590">
        <v>0</v>
      </c>
      <c r="H138" s="591">
        <v>0</v>
      </c>
      <c r="I138" s="591">
        <v>9</v>
      </c>
      <c r="J138" s="592">
        <v>9</v>
      </c>
      <c r="K138" s="590">
        <v>0</v>
      </c>
      <c r="L138" s="591">
        <v>0</v>
      </c>
      <c r="M138" s="591">
        <v>7</v>
      </c>
      <c r="N138" s="592">
        <v>7</v>
      </c>
      <c r="O138" s="590">
        <v>0</v>
      </c>
      <c r="P138" s="591">
        <v>0</v>
      </c>
      <c r="Q138" s="591">
        <v>6</v>
      </c>
      <c r="R138" s="592">
        <v>6</v>
      </c>
      <c r="S138" s="590">
        <v>4</v>
      </c>
      <c r="T138" s="591">
        <v>0</v>
      </c>
      <c r="U138" s="591">
        <v>3</v>
      </c>
      <c r="V138" s="592">
        <v>7</v>
      </c>
      <c r="W138" s="590">
        <v>2</v>
      </c>
      <c r="X138" s="591">
        <v>0</v>
      </c>
      <c r="Y138" s="591">
        <v>4</v>
      </c>
      <c r="Z138" s="592">
        <v>6</v>
      </c>
      <c r="AA138" s="590">
        <v>0</v>
      </c>
      <c r="AB138" s="591">
        <v>0</v>
      </c>
      <c r="AC138" s="591">
        <v>3</v>
      </c>
      <c r="AD138" s="592">
        <v>3</v>
      </c>
      <c r="AE138" s="591">
        <v>2</v>
      </c>
      <c r="AF138" s="591">
        <v>0</v>
      </c>
      <c r="AG138" s="591">
        <v>0</v>
      </c>
      <c r="AH138" s="592">
        <v>2</v>
      </c>
      <c r="AI138" s="591"/>
      <c r="AJ138" s="591"/>
      <c r="AK138" s="591"/>
      <c r="AL138" s="592"/>
    </row>
    <row r="139" spans="1:38" x14ac:dyDescent="0.2">
      <c r="A139" s="1018"/>
      <c r="B139" s="768" t="s">
        <v>730</v>
      </c>
      <c r="C139" s="577">
        <v>120</v>
      </c>
      <c r="D139" s="582">
        <v>83</v>
      </c>
      <c r="E139" s="582">
        <v>66</v>
      </c>
      <c r="F139" s="579">
        <v>269</v>
      </c>
      <c r="G139" s="577">
        <v>110</v>
      </c>
      <c r="H139" s="582">
        <v>116</v>
      </c>
      <c r="I139" s="582">
        <v>58</v>
      </c>
      <c r="J139" s="579">
        <v>284</v>
      </c>
      <c r="K139" s="577">
        <v>88</v>
      </c>
      <c r="L139" s="582">
        <v>129</v>
      </c>
      <c r="M139" s="582">
        <v>49</v>
      </c>
      <c r="N139" s="579">
        <v>266</v>
      </c>
      <c r="O139" s="577">
        <v>94</v>
      </c>
      <c r="P139" s="582">
        <v>109</v>
      </c>
      <c r="Q139" s="582">
        <v>56</v>
      </c>
      <c r="R139" s="579">
        <v>259</v>
      </c>
      <c r="S139" s="577">
        <v>120</v>
      </c>
      <c r="T139" s="582">
        <v>76</v>
      </c>
      <c r="U139" s="582">
        <v>67</v>
      </c>
      <c r="V139" s="579">
        <v>263</v>
      </c>
      <c r="W139" s="577">
        <v>90</v>
      </c>
      <c r="X139" s="582">
        <v>19</v>
      </c>
      <c r="Y139" s="582">
        <v>48</v>
      </c>
      <c r="Z139" s="579">
        <v>157</v>
      </c>
      <c r="AA139" s="577">
        <v>107</v>
      </c>
      <c r="AB139" s="582">
        <v>69</v>
      </c>
      <c r="AC139" s="582">
        <v>62</v>
      </c>
      <c r="AD139" s="579">
        <v>238</v>
      </c>
      <c r="AE139" s="582">
        <v>78</v>
      </c>
      <c r="AF139" s="582">
        <v>28</v>
      </c>
      <c r="AG139" s="582">
        <v>62</v>
      </c>
      <c r="AH139" s="579">
        <v>168</v>
      </c>
      <c r="AI139" s="582"/>
      <c r="AJ139" s="582"/>
      <c r="AK139" s="582"/>
      <c r="AL139" s="579"/>
    </row>
    <row r="140" spans="1:38" x14ac:dyDescent="0.2">
      <c r="A140" s="1018"/>
      <c r="B140" s="768" t="s">
        <v>731</v>
      </c>
      <c r="C140" s="577">
        <v>29</v>
      </c>
      <c r="D140" s="582">
        <v>2</v>
      </c>
      <c r="E140" s="582">
        <v>14</v>
      </c>
      <c r="F140" s="579">
        <v>45</v>
      </c>
      <c r="G140" s="577">
        <v>40</v>
      </c>
      <c r="H140" s="582">
        <v>7</v>
      </c>
      <c r="I140" s="582">
        <v>9</v>
      </c>
      <c r="J140" s="579">
        <v>56</v>
      </c>
      <c r="K140" s="577">
        <v>42</v>
      </c>
      <c r="L140" s="582">
        <v>2</v>
      </c>
      <c r="M140" s="582">
        <v>10</v>
      </c>
      <c r="N140" s="579">
        <v>54</v>
      </c>
      <c r="O140" s="577">
        <v>16</v>
      </c>
      <c r="P140" s="578">
        <v>0</v>
      </c>
      <c r="Q140" s="582">
        <v>5</v>
      </c>
      <c r="R140" s="579">
        <v>21</v>
      </c>
      <c r="S140" s="577">
        <v>36</v>
      </c>
      <c r="T140" s="582">
        <v>0</v>
      </c>
      <c r="U140" s="582">
        <v>7</v>
      </c>
      <c r="V140" s="579">
        <v>43</v>
      </c>
      <c r="W140" s="577">
        <v>21</v>
      </c>
      <c r="X140" s="578">
        <v>0</v>
      </c>
      <c r="Y140" s="582">
        <v>8</v>
      </c>
      <c r="Z140" s="579">
        <v>29</v>
      </c>
      <c r="AA140" s="577">
        <v>21</v>
      </c>
      <c r="AB140" s="578">
        <v>0</v>
      </c>
      <c r="AC140" s="582">
        <v>23</v>
      </c>
      <c r="AD140" s="579">
        <v>44</v>
      </c>
      <c r="AE140" s="582">
        <v>23</v>
      </c>
      <c r="AF140" s="578">
        <v>0</v>
      </c>
      <c r="AG140" s="582">
        <v>31</v>
      </c>
      <c r="AH140" s="579">
        <v>54</v>
      </c>
      <c r="AI140" s="582"/>
      <c r="AJ140" s="578"/>
      <c r="AK140" s="582"/>
      <c r="AL140" s="579"/>
    </row>
    <row r="141" spans="1:38" x14ac:dyDescent="0.2">
      <c r="A141" s="1018"/>
      <c r="B141" s="768" t="s">
        <v>732</v>
      </c>
      <c r="C141" s="577">
        <v>46</v>
      </c>
      <c r="D141" s="582">
        <v>3</v>
      </c>
      <c r="E141" s="582">
        <v>33</v>
      </c>
      <c r="F141" s="579">
        <v>82</v>
      </c>
      <c r="G141" s="577">
        <v>29</v>
      </c>
      <c r="H141" s="582">
        <v>16</v>
      </c>
      <c r="I141" s="582">
        <v>22</v>
      </c>
      <c r="J141" s="579">
        <v>67</v>
      </c>
      <c r="K141" s="577">
        <v>29</v>
      </c>
      <c r="L141" s="582">
        <v>3</v>
      </c>
      <c r="M141" s="582">
        <v>17</v>
      </c>
      <c r="N141" s="579">
        <v>49</v>
      </c>
      <c r="O141" s="577">
        <v>43</v>
      </c>
      <c r="P141" s="582">
        <v>6</v>
      </c>
      <c r="Q141" s="582">
        <v>29</v>
      </c>
      <c r="R141" s="579">
        <v>78</v>
      </c>
      <c r="S141" s="577">
        <v>51</v>
      </c>
      <c r="T141" s="582">
        <v>0</v>
      </c>
      <c r="U141" s="582">
        <v>38</v>
      </c>
      <c r="V141" s="579">
        <v>89</v>
      </c>
      <c r="W141" s="577">
        <v>22</v>
      </c>
      <c r="X141" s="582">
        <v>51</v>
      </c>
      <c r="Y141" s="582">
        <v>10</v>
      </c>
      <c r="Z141" s="579">
        <v>83</v>
      </c>
      <c r="AA141" s="577">
        <v>18</v>
      </c>
      <c r="AB141" s="582">
        <v>1</v>
      </c>
      <c r="AC141" s="582">
        <v>26</v>
      </c>
      <c r="AD141" s="579">
        <v>45</v>
      </c>
      <c r="AE141" s="582">
        <v>10</v>
      </c>
      <c r="AF141" s="582">
        <v>1</v>
      </c>
      <c r="AG141" s="582">
        <v>22</v>
      </c>
      <c r="AH141" s="579">
        <v>33</v>
      </c>
      <c r="AI141" s="582"/>
      <c r="AJ141" s="582"/>
      <c r="AK141" s="582"/>
      <c r="AL141" s="579"/>
    </row>
    <row r="142" spans="1:38" x14ac:dyDescent="0.2">
      <c r="A142" s="1018"/>
      <c r="B142" s="768" t="s">
        <v>624</v>
      </c>
      <c r="C142" s="577">
        <v>34</v>
      </c>
      <c r="D142" s="582">
        <v>29</v>
      </c>
      <c r="E142" s="582">
        <v>39</v>
      </c>
      <c r="F142" s="579">
        <v>102</v>
      </c>
      <c r="G142" s="577">
        <v>25</v>
      </c>
      <c r="H142" s="582">
        <v>28</v>
      </c>
      <c r="I142" s="582">
        <v>33</v>
      </c>
      <c r="J142" s="579">
        <v>86</v>
      </c>
      <c r="K142" s="577">
        <v>35</v>
      </c>
      <c r="L142" s="582">
        <v>17</v>
      </c>
      <c r="M142" s="582">
        <v>15</v>
      </c>
      <c r="N142" s="579">
        <v>67</v>
      </c>
      <c r="O142" s="577">
        <v>32</v>
      </c>
      <c r="P142" s="582">
        <v>17</v>
      </c>
      <c r="Q142" s="582">
        <v>39</v>
      </c>
      <c r="R142" s="579">
        <v>88</v>
      </c>
      <c r="S142" s="577">
        <v>43</v>
      </c>
      <c r="T142" s="582">
        <v>11</v>
      </c>
      <c r="U142" s="582">
        <v>51</v>
      </c>
      <c r="V142" s="579">
        <v>105</v>
      </c>
      <c r="W142" s="577">
        <v>16</v>
      </c>
      <c r="X142" s="582">
        <v>14</v>
      </c>
      <c r="Y142" s="582">
        <v>13</v>
      </c>
      <c r="Z142" s="579">
        <v>43</v>
      </c>
      <c r="AA142" s="577">
        <v>17</v>
      </c>
      <c r="AB142" s="582">
        <v>14</v>
      </c>
      <c r="AC142" s="582">
        <v>20</v>
      </c>
      <c r="AD142" s="579">
        <v>51</v>
      </c>
      <c r="AE142" s="582">
        <v>9</v>
      </c>
      <c r="AF142" s="582">
        <v>18</v>
      </c>
      <c r="AG142" s="582">
        <v>22</v>
      </c>
      <c r="AH142" s="579">
        <v>49</v>
      </c>
      <c r="AI142" s="582"/>
      <c r="AJ142" s="582"/>
      <c r="AK142" s="582"/>
      <c r="AL142" s="579"/>
    </row>
    <row r="143" spans="1:38" x14ac:dyDescent="0.2">
      <c r="A143" s="1018"/>
      <c r="B143" s="768" t="s">
        <v>733</v>
      </c>
      <c r="C143" s="577">
        <v>48</v>
      </c>
      <c r="D143" s="582">
        <v>32</v>
      </c>
      <c r="E143" s="582">
        <v>57</v>
      </c>
      <c r="F143" s="579">
        <v>137</v>
      </c>
      <c r="G143" s="577">
        <v>38</v>
      </c>
      <c r="H143" s="582">
        <v>24</v>
      </c>
      <c r="I143" s="582">
        <v>44</v>
      </c>
      <c r="J143" s="579">
        <v>106</v>
      </c>
      <c r="K143" s="577">
        <v>27</v>
      </c>
      <c r="L143" s="582">
        <v>7</v>
      </c>
      <c r="M143" s="582">
        <v>46</v>
      </c>
      <c r="N143" s="579">
        <v>80</v>
      </c>
      <c r="O143" s="577">
        <v>55</v>
      </c>
      <c r="P143" s="582">
        <v>10</v>
      </c>
      <c r="Q143" s="582">
        <v>41</v>
      </c>
      <c r="R143" s="579">
        <v>106</v>
      </c>
      <c r="S143" s="577">
        <v>30</v>
      </c>
      <c r="T143" s="582">
        <v>6</v>
      </c>
      <c r="U143" s="582">
        <v>49</v>
      </c>
      <c r="V143" s="579">
        <v>85</v>
      </c>
      <c r="W143" s="577">
        <v>70</v>
      </c>
      <c r="X143" s="582">
        <v>3</v>
      </c>
      <c r="Y143" s="582">
        <v>7</v>
      </c>
      <c r="Z143" s="579">
        <v>80</v>
      </c>
      <c r="AA143" s="577">
        <v>42</v>
      </c>
      <c r="AB143" s="582">
        <v>4</v>
      </c>
      <c r="AC143" s="582">
        <v>7</v>
      </c>
      <c r="AD143" s="579">
        <v>53</v>
      </c>
      <c r="AE143" s="582">
        <v>14</v>
      </c>
      <c r="AF143" s="582">
        <v>3</v>
      </c>
      <c r="AG143" s="582">
        <v>3</v>
      </c>
      <c r="AH143" s="579">
        <v>20</v>
      </c>
      <c r="AI143" s="582"/>
      <c r="AJ143" s="582"/>
      <c r="AK143" s="582"/>
      <c r="AL143" s="579"/>
    </row>
    <row r="144" spans="1:38" x14ac:dyDescent="0.2">
      <c r="A144" s="1018"/>
      <c r="B144" s="768" t="s">
        <v>734</v>
      </c>
      <c r="C144" s="577">
        <v>82</v>
      </c>
      <c r="D144" s="582">
        <v>13</v>
      </c>
      <c r="E144" s="582">
        <v>53</v>
      </c>
      <c r="F144" s="579">
        <v>148</v>
      </c>
      <c r="G144" s="577">
        <v>66</v>
      </c>
      <c r="H144" s="582">
        <v>17</v>
      </c>
      <c r="I144" s="582">
        <v>55</v>
      </c>
      <c r="J144" s="579">
        <v>138</v>
      </c>
      <c r="K144" s="577">
        <v>58</v>
      </c>
      <c r="L144" s="582">
        <v>9</v>
      </c>
      <c r="M144" s="582">
        <v>42</v>
      </c>
      <c r="N144" s="579">
        <v>109</v>
      </c>
      <c r="O144" s="577">
        <v>52</v>
      </c>
      <c r="P144" s="582">
        <v>11</v>
      </c>
      <c r="Q144" s="582">
        <v>69</v>
      </c>
      <c r="R144" s="579">
        <v>132</v>
      </c>
      <c r="S144" s="577">
        <v>49</v>
      </c>
      <c r="T144" s="582">
        <v>12</v>
      </c>
      <c r="U144" s="582">
        <v>69</v>
      </c>
      <c r="V144" s="579">
        <v>130</v>
      </c>
      <c r="W144" s="577">
        <v>64</v>
      </c>
      <c r="X144" s="582">
        <v>13</v>
      </c>
      <c r="Y144" s="582">
        <v>40</v>
      </c>
      <c r="Z144" s="579">
        <v>117</v>
      </c>
      <c r="AA144" s="577">
        <v>78</v>
      </c>
      <c r="AB144" s="582">
        <v>0</v>
      </c>
      <c r="AC144" s="582">
        <v>35</v>
      </c>
      <c r="AD144" s="579">
        <v>113</v>
      </c>
      <c r="AE144" s="582">
        <v>31</v>
      </c>
      <c r="AF144" s="582">
        <v>2</v>
      </c>
      <c r="AG144" s="582">
        <v>32</v>
      </c>
      <c r="AH144" s="579">
        <v>65</v>
      </c>
      <c r="AI144" s="582"/>
      <c r="AJ144" s="582"/>
      <c r="AK144" s="582"/>
      <c r="AL144" s="579"/>
    </row>
    <row r="145" spans="1:38" ht="13.5" thickBot="1" x14ac:dyDescent="0.25">
      <c r="A145" s="1025"/>
      <c r="B145" s="769" t="s">
        <v>735</v>
      </c>
      <c r="C145" s="583">
        <v>0</v>
      </c>
      <c r="D145" s="586">
        <v>8</v>
      </c>
      <c r="E145" s="586">
        <v>0</v>
      </c>
      <c r="F145" s="585">
        <v>8</v>
      </c>
      <c r="G145" s="583">
        <v>0</v>
      </c>
      <c r="H145" s="586">
        <v>5</v>
      </c>
      <c r="I145" s="586">
        <v>0</v>
      </c>
      <c r="J145" s="585">
        <v>5</v>
      </c>
      <c r="K145" s="583">
        <v>0</v>
      </c>
      <c r="L145" s="586">
        <v>2</v>
      </c>
      <c r="M145" s="586">
        <v>0</v>
      </c>
      <c r="N145" s="585">
        <v>2</v>
      </c>
      <c r="O145" s="583">
        <v>0</v>
      </c>
      <c r="P145" s="586">
        <v>7</v>
      </c>
      <c r="Q145" s="586">
        <v>0</v>
      </c>
      <c r="R145" s="585">
        <v>7</v>
      </c>
      <c r="S145" s="583">
        <v>0</v>
      </c>
      <c r="T145" s="586">
        <v>8</v>
      </c>
      <c r="U145" s="586">
        <v>0</v>
      </c>
      <c r="V145" s="585">
        <v>8</v>
      </c>
      <c r="W145" s="583">
        <v>0</v>
      </c>
      <c r="X145" s="586">
        <v>8</v>
      </c>
      <c r="Y145" s="586">
        <v>0</v>
      </c>
      <c r="Z145" s="585">
        <v>8</v>
      </c>
      <c r="AA145" s="583">
        <v>0</v>
      </c>
      <c r="AB145" s="586">
        <v>1</v>
      </c>
      <c r="AC145" s="586">
        <v>0</v>
      </c>
      <c r="AD145" s="585">
        <v>1</v>
      </c>
      <c r="AE145" s="586">
        <v>0</v>
      </c>
      <c r="AF145" s="586">
        <v>0</v>
      </c>
      <c r="AG145" s="586">
        <v>0</v>
      </c>
      <c r="AH145" s="585">
        <v>0</v>
      </c>
      <c r="AI145" s="586"/>
      <c r="AJ145" s="586"/>
      <c r="AK145" s="586"/>
      <c r="AL145" s="585"/>
    </row>
    <row r="146" spans="1:38" s="259" customFormat="1" ht="13.5" thickBot="1" x14ac:dyDescent="0.25">
      <c r="A146" s="1025"/>
      <c r="B146" s="770" t="s">
        <v>789</v>
      </c>
      <c r="C146" s="762">
        <v>359</v>
      </c>
      <c r="D146" s="763">
        <v>170</v>
      </c>
      <c r="E146" s="763">
        <v>262</v>
      </c>
      <c r="F146" s="764">
        <v>791</v>
      </c>
      <c r="G146" s="762">
        <v>308</v>
      </c>
      <c r="H146" s="763">
        <v>213</v>
      </c>
      <c r="I146" s="763">
        <v>230</v>
      </c>
      <c r="J146" s="764">
        <v>751</v>
      </c>
      <c r="K146" s="762">
        <v>279</v>
      </c>
      <c r="L146" s="763">
        <v>169</v>
      </c>
      <c r="M146" s="763">
        <v>186</v>
      </c>
      <c r="N146" s="764">
        <v>634</v>
      </c>
      <c r="O146" s="762">
        <v>292</v>
      </c>
      <c r="P146" s="763">
        <v>160</v>
      </c>
      <c r="Q146" s="763">
        <v>245</v>
      </c>
      <c r="R146" s="764">
        <v>697</v>
      </c>
      <c r="S146" s="762">
        <v>333</v>
      </c>
      <c r="T146" s="763">
        <v>113</v>
      </c>
      <c r="U146" s="763">
        <v>284</v>
      </c>
      <c r="V146" s="764">
        <v>730</v>
      </c>
      <c r="W146" s="762">
        <v>285</v>
      </c>
      <c r="X146" s="763">
        <v>108</v>
      </c>
      <c r="Y146" s="763">
        <v>130</v>
      </c>
      <c r="Z146" s="764">
        <v>523</v>
      </c>
      <c r="AA146" s="762">
        <v>283</v>
      </c>
      <c r="AB146" s="763">
        <v>89</v>
      </c>
      <c r="AC146" s="763">
        <v>176</v>
      </c>
      <c r="AD146" s="764">
        <v>548</v>
      </c>
      <c r="AE146" s="763">
        <v>167</v>
      </c>
      <c r="AF146" s="763">
        <v>52</v>
      </c>
      <c r="AG146" s="763">
        <v>172</v>
      </c>
      <c r="AH146" s="764">
        <v>391</v>
      </c>
      <c r="AI146" s="763"/>
      <c r="AJ146" s="763"/>
      <c r="AK146" s="763"/>
      <c r="AL146" s="764"/>
    </row>
    <row r="147" spans="1:38" x14ac:dyDescent="0.2">
      <c r="A147" s="1017" t="s">
        <v>601</v>
      </c>
      <c r="B147" s="767" t="s">
        <v>602</v>
      </c>
      <c r="C147" s="593">
        <v>0</v>
      </c>
      <c r="D147" s="574">
        <v>0</v>
      </c>
      <c r="E147" s="576">
        <v>1</v>
      </c>
      <c r="F147" s="575">
        <v>1</v>
      </c>
      <c r="G147" s="573">
        <v>1</v>
      </c>
      <c r="H147" s="576">
        <v>1</v>
      </c>
      <c r="I147" s="576">
        <v>1</v>
      </c>
      <c r="J147" s="575">
        <v>3</v>
      </c>
      <c r="K147" s="593">
        <v>0</v>
      </c>
      <c r="L147" s="574">
        <v>0</v>
      </c>
      <c r="M147" s="576">
        <v>1</v>
      </c>
      <c r="N147" s="575">
        <v>1</v>
      </c>
      <c r="O147" s="573">
        <v>3</v>
      </c>
      <c r="P147" s="574">
        <v>0</v>
      </c>
      <c r="Q147" s="574">
        <v>0</v>
      </c>
      <c r="R147" s="575">
        <v>3</v>
      </c>
      <c r="S147" s="593">
        <v>4</v>
      </c>
      <c r="T147" s="574">
        <v>0</v>
      </c>
      <c r="U147" s="576">
        <v>3</v>
      </c>
      <c r="V147" s="575">
        <v>7</v>
      </c>
      <c r="W147" s="573">
        <v>12</v>
      </c>
      <c r="X147" s="574">
        <v>0</v>
      </c>
      <c r="Y147" s="574">
        <v>3</v>
      </c>
      <c r="Z147" s="575">
        <v>15</v>
      </c>
      <c r="AA147" s="573">
        <v>0</v>
      </c>
      <c r="AB147" s="574">
        <v>0</v>
      </c>
      <c r="AC147" s="574">
        <v>1</v>
      </c>
      <c r="AD147" s="575">
        <v>1</v>
      </c>
      <c r="AE147" s="576">
        <v>3</v>
      </c>
      <c r="AF147" s="574">
        <v>0</v>
      </c>
      <c r="AG147" s="574">
        <v>2</v>
      </c>
      <c r="AH147" s="575">
        <v>5</v>
      </c>
      <c r="AI147" s="576"/>
      <c r="AJ147" s="574"/>
      <c r="AK147" s="574"/>
      <c r="AL147" s="575"/>
    </row>
    <row r="148" spans="1:38" x14ac:dyDescent="0.2">
      <c r="A148" s="1018"/>
      <c r="B148" s="768" t="s">
        <v>775</v>
      </c>
      <c r="C148" s="577">
        <v>157</v>
      </c>
      <c r="D148" s="582">
        <v>3</v>
      </c>
      <c r="E148" s="582">
        <v>81</v>
      </c>
      <c r="F148" s="579">
        <v>241</v>
      </c>
      <c r="G148" s="577">
        <v>163</v>
      </c>
      <c r="H148" s="582">
        <v>6</v>
      </c>
      <c r="I148" s="582">
        <v>65</v>
      </c>
      <c r="J148" s="579">
        <v>234</v>
      </c>
      <c r="K148" s="577">
        <v>153</v>
      </c>
      <c r="L148" s="582">
        <v>11</v>
      </c>
      <c r="M148" s="582">
        <v>70</v>
      </c>
      <c r="N148" s="579">
        <v>234</v>
      </c>
      <c r="O148" s="577">
        <v>223</v>
      </c>
      <c r="P148" s="582">
        <v>47</v>
      </c>
      <c r="Q148" s="582">
        <v>90</v>
      </c>
      <c r="R148" s="579">
        <v>360</v>
      </c>
      <c r="S148" s="577">
        <v>274</v>
      </c>
      <c r="T148" s="582">
        <v>28</v>
      </c>
      <c r="U148" s="582">
        <v>123</v>
      </c>
      <c r="V148" s="579">
        <v>425</v>
      </c>
      <c r="W148" s="577">
        <v>209</v>
      </c>
      <c r="X148" s="582">
        <v>23</v>
      </c>
      <c r="Y148" s="582">
        <v>98</v>
      </c>
      <c r="Z148" s="579">
        <v>330</v>
      </c>
      <c r="AA148" s="577">
        <v>275</v>
      </c>
      <c r="AB148" s="582">
        <v>18</v>
      </c>
      <c r="AC148" s="582">
        <v>108</v>
      </c>
      <c r="AD148" s="579">
        <v>401</v>
      </c>
      <c r="AE148" s="582">
        <v>375</v>
      </c>
      <c r="AF148" s="582">
        <v>57</v>
      </c>
      <c r="AG148" s="582">
        <v>146</v>
      </c>
      <c r="AH148" s="579">
        <v>578</v>
      </c>
      <c r="AI148" s="582"/>
      <c r="AJ148" s="582"/>
      <c r="AK148" s="582"/>
      <c r="AL148" s="579"/>
    </row>
    <row r="149" spans="1:38" x14ac:dyDescent="0.2">
      <c r="A149" s="1018"/>
      <c r="B149" s="768" t="s">
        <v>736</v>
      </c>
      <c r="C149" s="577">
        <v>8</v>
      </c>
      <c r="D149" s="582">
        <v>12</v>
      </c>
      <c r="E149" s="582">
        <v>4</v>
      </c>
      <c r="F149" s="579">
        <v>24</v>
      </c>
      <c r="G149" s="577">
        <v>5</v>
      </c>
      <c r="H149" s="582">
        <v>13</v>
      </c>
      <c r="I149" s="582">
        <v>6</v>
      </c>
      <c r="J149" s="579">
        <v>24</v>
      </c>
      <c r="K149" s="577">
        <v>6</v>
      </c>
      <c r="L149" s="582">
        <v>13</v>
      </c>
      <c r="M149" s="582">
        <v>7</v>
      </c>
      <c r="N149" s="579">
        <v>26</v>
      </c>
      <c r="O149" s="577">
        <v>25</v>
      </c>
      <c r="P149" s="582">
        <v>13</v>
      </c>
      <c r="Q149" s="582">
        <v>11</v>
      </c>
      <c r="R149" s="579">
        <v>49</v>
      </c>
      <c r="S149" s="577">
        <v>8</v>
      </c>
      <c r="T149" s="582">
        <v>7</v>
      </c>
      <c r="U149" s="582">
        <v>18</v>
      </c>
      <c r="V149" s="579">
        <v>33</v>
      </c>
      <c r="W149" s="577">
        <v>14</v>
      </c>
      <c r="X149" s="582">
        <v>4</v>
      </c>
      <c r="Y149" s="582">
        <v>13</v>
      </c>
      <c r="Z149" s="579">
        <v>31</v>
      </c>
      <c r="AA149" s="577">
        <v>23</v>
      </c>
      <c r="AB149" s="582">
        <v>0</v>
      </c>
      <c r="AC149" s="582">
        <v>10</v>
      </c>
      <c r="AD149" s="579">
        <v>33</v>
      </c>
      <c r="AE149" s="582">
        <v>15</v>
      </c>
      <c r="AF149" s="582">
        <v>0</v>
      </c>
      <c r="AG149" s="582">
        <v>10</v>
      </c>
      <c r="AH149" s="579">
        <v>25</v>
      </c>
      <c r="AI149" s="582"/>
      <c r="AJ149" s="582"/>
      <c r="AK149" s="582"/>
      <c r="AL149" s="579"/>
    </row>
    <row r="150" spans="1:38" x14ac:dyDescent="0.2">
      <c r="A150" s="1018"/>
      <c r="B150" s="768" t="s">
        <v>737</v>
      </c>
      <c r="C150" s="577">
        <v>2</v>
      </c>
      <c r="D150" s="578">
        <v>0</v>
      </c>
      <c r="E150" s="582">
        <v>28</v>
      </c>
      <c r="F150" s="579">
        <v>30</v>
      </c>
      <c r="G150" s="577">
        <v>7</v>
      </c>
      <c r="H150" s="578">
        <v>0</v>
      </c>
      <c r="I150" s="582">
        <v>26</v>
      </c>
      <c r="J150" s="579">
        <v>33</v>
      </c>
      <c r="K150" s="577">
        <v>6</v>
      </c>
      <c r="L150" s="582">
        <v>11</v>
      </c>
      <c r="M150" s="582">
        <v>27</v>
      </c>
      <c r="N150" s="579">
        <v>44</v>
      </c>
      <c r="O150" s="577">
        <v>16</v>
      </c>
      <c r="P150" s="582">
        <v>6</v>
      </c>
      <c r="Q150" s="582">
        <v>39</v>
      </c>
      <c r="R150" s="579">
        <v>61</v>
      </c>
      <c r="S150" s="577">
        <v>30</v>
      </c>
      <c r="T150" s="582">
        <v>13</v>
      </c>
      <c r="U150" s="582">
        <v>51</v>
      </c>
      <c r="V150" s="579">
        <v>94</v>
      </c>
      <c r="W150" s="577">
        <v>14</v>
      </c>
      <c r="X150" s="582">
        <v>0</v>
      </c>
      <c r="Y150" s="582">
        <v>52</v>
      </c>
      <c r="Z150" s="579">
        <v>66</v>
      </c>
      <c r="AA150" s="577">
        <v>18</v>
      </c>
      <c r="AB150" s="582">
        <v>1</v>
      </c>
      <c r="AC150" s="582">
        <v>48</v>
      </c>
      <c r="AD150" s="579">
        <v>67</v>
      </c>
      <c r="AE150" s="582">
        <v>19</v>
      </c>
      <c r="AF150" s="582">
        <v>1</v>
      </c>
      <c r="AG150" s="582">
        <v>47</v>
      </c>
      <c r="AH150" s="579">
        <v>67</v>
      </c>
      <c r="AI150" s="582"/>
      <c r="AJ150" s="582"/>
      <c r="AK150" s="582"/>
      <c r="AL150" s="579"/>
    </row>
    <row r="151" spans="1:38" x14ac:dyDescent="0.2">
      <c r="A151" s="1018"/>
      <c r="B151" s="768" t="s">
        <v>738</v>
      </c>
      <c r="C151" s="577">
        <v>26</v>
      </c>
      <c r="D151" s="582">
        <v>26</v>
      </c>
      <c r="E151" s="582">
        <v>8</v>
      </c>
      <c r="F151" s="579">
        <v>60</v>
      </c>
      <c r="G151" s="577">
        <v>5</v>
      </c>
      <c r="H151" s="582">
        <v>3</v>
      </c>
      <c r="I151" s="582">
        <v>9</v>
      </c>
      <c r="J151" s="579">
        <v>17</v>
      </c>
      <c r="K151" s="577">
        <v>23</v>
      </c>
      <c r="L151" s="582">
        <v>8</v>
      </c>
      <c r="M151" s="582">
        <v>11</v>
      </c>
      <c r="N151" s="579">
        <v>42</v>
      </c>
      <c r="O151" s="577">
        <v>17</v>
      </c>
      <c r="P151" s="582">
        <v>11</v>
      </c>
      <c r="Q151" s="582">
        <v>20</v>
      </c>
      <c r="R151" s="579">
        <v>48</v>
      </c>
      <c r="S151" s="577">
        <v>12</v>
      </c>
      <c r="T151" s="582">
        <v>13</v>
      </c>
      <c r="U151" s="582">
        <v>27</v>
      </c>
      <c r="V151" s="579">
        <v>52</v>
      </c>
      <c r="W151" s="577">
        <v>9</v>
      </c>
      <c r="X151" s="582">
        <v>3</v>
      </c>
      <c r="Y151" s="582">
        <v>22</v>
      </c>
      <c r="Z151" s="579">
        <v>34</v>
      </c>
      <c r="AA151" s="577">
        <v>7</v>
      </c>
      <c r="AB151" s="582">
        <v>18</v>
      </c>
      <c r="AC151" s="582">
        <v>26</v>
      </c>
      <c r="AD151" s="579">
        <v>51</v>
      </c>
      <c r="AE151" s="582">
        <v>5</v>
      </c>
      <c r="AF151" s="582">
        <v>12</v>
      </c>
      <c r="AG151" s="582">
        <v>11</v>
      </c>
      <c r="AH151" s="579">
        <v>28</v>
      </c>
      <c r="AI151" s="582"/>
      <c r="AJ151" s="582"/>
      <c r="AK151" s="582"/>
      <c r="AL151" s="579"/>
    </row>
    <row r="152" spans="1:38" x14ac:dyDescent="0.2">
      <c r="A152" s="1018"/>
      <c r="B152" s="768" t="s">
        <v>625</v>
      </c>
      <c r="C152" s="577">
        <v>11</v>
      </c>
      <c r="D152" s="582">
        <v>10</v>
      </c>
      <c r="E152" s="582">
        <v>24</v>
      </c>
      <c r="F152" s="579">
        <v>45</v>
      </c>
      <c r="G152" s="577">
        <v>6</v>
      </c>
      <c r="H152" s="582">
        <v>5</v>
      </c>
      <c r="I152" s="582">
        <v>4</v>
      </c>
      <c r="J152" s="579">
        <v>15</v>
      </c>
      <c r="K152" s="577">
        <v>50</v>
      </c>
      <c r="L152" s="582">
        <v>26</v>
      </c>
      <c r="M152" s="582">
        <v>10</v>
      </c>
      <c r="N152" s="579">
        <v>86</v>
      </c>
      <c r="O152" s="577">
        <v>57</v>
      </c>
      <c r="P152" s="582">
        <v>39</v>
      </c>
      <c r="Q152" s="582">
        <v>8</v>
      </c>
      <c r="R152" s="579">
        <v>104</v>
      </c>
      <c r="S152" s="577">
        <v>48</v>
      </c>
      <c r="T152" s="582">
        <v>16</v>
      </c>
      <c r="U152" s="582">
        <v>15</v>
      </c>
      <c r="V152" s="579">
        <v>79</v>
      </c>
      <c r="W152" s="577">
        <v>46</v>
      </c>
      <c r="X152" s="582">
        <v>0</v>
      </c>
      <c r="Y152" s="582">
        <v>18</v>
      </c>
      <c r="Z152" s="579">
        <v>64</v>
      </c>
      <c r="AA152" s="577">
        <v>61</v>
      </c>
      <c r="AB152" s="582">
        <v>3</v>
      </c>
      <c r="AC152" s="582">
        <v>30</v>
      </c>
      <c r="AD152" s="579">
        <v>94</v>
      </c>
      <c r="AE152" s="582">
        <v>36</v>
      </c>
      <c r="AF152" s="582">
        <v>9</v>
      </c>
      <c r="AG152" s="582">
        <v>12</v>
      </c>
      <c r="AH152" s="579">
        <v>57</v>
      </c>
      <c r="AI152" s="582"/>
      <c r="AJ152" s="582"/>
      <c r="AK152" s="582"/>
      <c r="AL152" s="579"/>
    </row>
    <row r="153" spans="1:38" x14ac:dyDescent="0.2">
      <c r="A153" s="1018"/>
      <c r="B153" s="768" t="s">
        <v>739</v>
      </c>
      <c r="C153" s="577">
        <v>16</v>
      </c>
      <c r="D153" s="582">
        <v>13</v>
      </c>
      <c r="E153" s="582">
        <v>19</v>
      </c>
      <c r="F153" s="579">
        <v>48</v>
      </c>
      <c r="G153" s="577">
        <v>24</v>
      </c>
      <c r="H153" s="582">
        <v>6</v>
      </c>
      <c r="I153" s="582">
        <v>14</v>
      </c>
      <c r="J153" s="579">
        <v>44</v>
      </c>
      <c r="K153" s="577">
        <v>14</v>
      </c>
      <c r="L153" s="582">
        <v>9</v>
      </c>
      <c r="M153" s="582">
        <v>17</v>
      </c>
      <c r="N153" s="579">
        <v>40</v>
      </c>
      <c r="O153" s="577">
        <v>49</v>
      </c>
      <c r="P153" s="582">
        <v>28</v>
      </c>
      <c r="Q153" s="582">
        <v>26</v>
      </c>
      <c r="R153" s="579">
        <v>103</v>
      </c>
      <c r="S153" s="577">
        <v>35</v>
      </c>
      <c r="T153" s="582">
        <v>10</v>
      </c>
      <c r="U153" s="582">
        <v>22</v>
      </c>
      <c r="V153" s="579">
        <v>67</v>
      </c>
      <c r="W153" s="577">
        <v>42</v>
      </c>
      <c r="X153" s="582">
        <v>3</v>
      </c>
      <c r="Y153" s="582">
        <v>18</v>
      </c>
      <c r="Z153" s="579">
        <v>63</v>
      </c>
      <c r="AA153" s="577">
        <v>32</v>
      </c>
      <c r="AB153" s="582">
        <v>0</v>
      </c>
      <c r="AC153" s="582">
        <v>10</v>
      </c>
      <c r="AD153" s="579">
        <v>42</v>
      </c>
      <c r="AE153" s="582">
        <v>36</v>
      </c>
      <c r="AF153" s="582">
        <v>1</v>
      </c>
      <c r="AG153" s="582">
        <v>16</v>
      </c>
      <c r="AH153" s="579">
        <v>53</v>
      </c>
      <c r="AI153" s="582"/>
      <c r="AJ153" s="582"/>
      <c r="AK153" s="582"/>
      <c r="AL153" s="579"/>
    </row>
    <row r="154" spans="1:38" x14ac:dyDescent="0.2">
      <c r="A154" s="1018"/>
      <c r="B154" s="768" t="s">
        <v>740</v>
      </c>
      <c r="C154" s="577">
        <v>3</v>
      </c>
      <c r="D154" s="582">
        <v>3</v>
      </c>
      <c r="E154" s="582">
        <v>10</v>
      </c>
      <c r="F154" s="579">
        <v>16</v>
      </c>
      <c r="G154" s="577">
        <v>13</v>
      </c>
      <c r="H154" s="582">
        <v>3</v>
      </c>
      <c r="I154" s="582">
        <v>8</v>
      </c>
      <c r="J154" s="579">
        <v>24</v>
      </c>
      <c r="K154" s="577">
        <v>17</v>
      </c>
      <c r="L154" s="582">
        <v>2</v>
      </c>
      <c r="M154" s="582">
        <v>4</v>
      </c>
      <c r="N154" s="579">
        <v>23</v>
      </c>
      <c r="O154" s="577">
        <v>29</v>
      </c>
      <c r="P154" s="582">
        <v>17</v>
      </c>
      <c r="Q154" s="578">
        <v>0</v>
      </c>
      <c r="R154" s="579">
        <v>46</v>
      </c>
      <c r="S154" s="577">
        <v>22</v>
      </c>
      <c r="T154" s="582">
        <v>18</v>
      </c>
      <c r="U154" s="582">
        <v>13</v>
      </c>
      <c r="V154" s="579">
        <v>53</v>
      </c>
      <c r="W154" s="577">
        <v>35</v>
      </c>
      <c r="X154" s="582">
        <v>0</v>
      </c>
      <c r="Y154" s="578">
        <v>13</v>
      </c>
      <c r="Z154" s="579">
        <v>48</v>
      </c>
      <c r="AA154" s="577">
        <v>27</v>
      </c>
      <c r="AB154" s="582">
        <v>2</v>
      </c>
      <c r="AC154" s="578">
        <v>26</v>
      </c>
      <c r="AD154" s="579">
        <v>55</v>
      </c>
      <c r="AE154" s="582">
        <v>25</v>
      </c>
      <c r="AF154" s="582">
        <v>0</v>
      </c>
      <c r="AG154" s="578">
        <v>14</v>
      </c>
      <c r="AH154" s="579">
        <v>39</v>
      </c>
      <c r="AI154" s="582"/>
      <c r="AJ154" s="582"/>
      <c r="AK154" s="578"/>
      <c r="AL154" s="579"/>
    </row>
    <row r="155" spans="1:38" ht="13.5" thickBot="1" x14ac:dyDescent="0.25">
      <c r="A155" s="1018"/>
      <c r="B155" s="769" t="s">
        <v>741</v>
      </c>
      <c r="C155" s="583">
        <v>3</v>
      </c>
      <c r="D155" s="584">
        <v>0</v>
      </c>
      <c r="E155" s="586">
        <v>13</v>
      </c>
      <c r="F155" s="585">
        <v>16</v>
      </c>
      <c r="G155" s="583">
        <v>26</v>
      </c>
      <c r="H155" s="586">
        <v>2</v>
      </c>
      <c r="I155" s="586">
        <v>15</v>
      </c>
      <c r="J155" s="585">
        <v>43</v>
      </c>
      <c r="K155" s="583">
        <v>2</v>
      </c>
      <c r="L155" s="586">
        <v>1</v>
      </c>
      <c r="M155" s="586">
        <v>13</v>
      </c>
      <c r="N155" s="585">
        <v>16</v>
      </c>
      <c r="O155" s="583">
        <v>15</v>
      </c>
      <c r="P155" s="586">
        <v>3</v>
      </c>
      <c r="Q155" s="586">
        <v>12</v>
      </c>
      <c r="R155" s="585">
        <v>30</v>
      </c>
      <c r="S155" s="583">
        <v>21</v>
      </c>
      <c r="T155" s="586">
        <v>3</v>
      </c>
      <c r="U155" s="586">
        <v>8</v>
      </c>
      <c r="V155" s="585">
        <v>32</v>
      </c>
      <c r="W155" s="583">
        <v>14</v>
      </c>
      <c r="X155" s="586">
        <v>4</v>
      </c>
      <c r="Y155" s="586">
        <v>16</v>
      </c>
      <c r="Z155" s="585">
        <v>34</v>
      </c>
      <c r="AA155" s="583">
        <v>9</v>
      </c>
      <c r="AB155" s="586">
        <v>1</v>
      </c>
      <c r="AC155" s="586">
        <v>12</v>
      </c>
      <c r="AD155" s="585">
        <v>22</v>
      </c>
      <c r="AE155" s="586">
        <v>5</v>
      </c>
      <c r="AF155" s="586">
        <v>8</v>
      </c>
      <c r="AG155" s="586">
        <v>20</v>
      </c>
      <c r="AH155" s="585">
        <v>33</v>
      </c>
      <c r="AI155" s="586"/>
      <c r="AJ155" s="586"/>
      <c r="AK155" s="586"/>
      <c r="AL155" s="585"/>
    </row>
    <row r="156" spans="1:38" s="259" customFormat="1" ht="26.25" thickBot="1" x14ac:dyDescent="0.25">
      <c r="A156" s="1019"/>
      <c r="B156" s="770" t="s">
        <v>790</v>
      </c>
      <c r="C156" s="762">
        <v>226</v>
      </c>
      <c r="D156" s="763">
        <v>67</v>
      </c>
      <c r="E156" s="763">
        <v>188</v>
      </c>
      <c r="F156" s="764">
        <v>481</v>
      </c>
      <c r="G156" s="762">
        <v>250</v>
      </c>
      <c r="H156" s="763">
        <v>39</v>
      </c>
      <c r="I156" s="763">
        <v>148</v>
      </c>
      <c r="J156" s="764">
        <v>437</v>
      </c>
      <c r="K156" s="762">
        <v>271</v>
      </c>
      <c r="L156" s="763">
        <v>81</v>
      </c>
      <c r="M156" s="763">
        <v>160</v>
      </c>
      <c r="N156" s="764">
        <v>512</v>
      </c>
      <c r="O156" s="762">
        <v>434</v>
      </c>
      <c r="P156" s="763">
        <v>164</v>
      </c>
      <c r="Q156" s="763">
        <v>206</v>
      </c>
      <c r="R156" s="764">
        <v>804</v>
      </c>
      <c r="S156" s="762">
        <v>454</v>
      </c>
      <c r="T156" s="763">
        <v>108</v>
      </c>
      <c r="U156" s="763">
        <v>280</v>
      </c>
      <c r="V156" s="764">
        <v>842</v>
      </c>
      <c r="W156" s="762">
        <v>395</v>
      </c>
      <c r="X156" s="763">
        <v>37</v>
      </c>
      <c r="Y156" s="763">
        <v>253</v>
      </c>
      <c r="Z156" s="764">
        <v>685</v>
      </c>
      <c r="AA156" s="762">
        <v>452</v>
      </c>
      <c r="AB156" s="763">
        <v>43</v>
      </c>
      <c r="AC156" s="763">
        <v>271</v>
      </c>
      <c r="AD156" s="764">
        <v>766</v>
      </c>
      <c r="AE156" s="763">
        <v>519</v>
      </c>
      <c r="AF156" s="763">
        <v>88</v>
      </c>
      <c r="AG156" s="763">
        <v>278</v>
      </c>
      <c r="AH156" s="764">
        <v>885</v>
      </c>
      <c r="AI156" s="763"/>
      <c r="AJ156" s="763"/>
      <c r="AK156" s="763"/>
      <c r="AL156" s="764"/>
    </row>
    <row r="157" spans="1:38" x14ac:dyDescent="0.2">
      <c r="A157" s="1026" t="s">
        <v>603</v>
      </c>
      <c r="B157" s="771" t="s">
        <v>604</v>
      </c>
      <c r="C157" s="590">
        <v>3</v>
      </c>
      <c r="D157" s="591">
        <v>0</v>
      </c>
      <c r="E157" s="588">
        <v>0</v>
      </c>
      <c r="F157" s="592">
        <v>3</v>
      </c>
      <c r="G157" s="590">
        <v>3</v>
      </c>
      <c r="H157" s="591">
        <v>0</v>
      </c>
      <c r="I157" s="588">
        <v>0</v>
      </c>
      <c r="J157" s="592">
        <v>3</v>
      </c>
      <c r="K157" s="590">
        <v>3</v>
      </c>
      <c r="L157" s="591">
        <v>0</v>
      </c>
      <c r="M157" s="591">
        <v>1</v>
      </c>
      <c r="N157" s="592">
        <v>4</v>
      </c>
      <c r="O157" s="590">
        <v>2</v>
      </c>
      <c r="P157" s="591">
        <v>0</v>
      </c>
      <c r="Q157" s="588">
        <v>0</v>
      </c>
      <c r="R157" s="592">
        <v>2</v>
      </c>
      <c r="S157" s="590">
        <v>1</v>
      </c>
      <c r="T157" s="591">
        <v>0</v>
      </c>
      <c r="U157" s="591">
        <v>0</v>
      </c>
      <c r="V157" s="592">
        <v>1</v>
      </c>
      <c r="W157" s="590">
        <v>0</v>
      </c>
      <c r="X157" s="591">
        <v>0</v>
      </c>
      <c r="Y157" s="588">
        <v>0</v>
      </c>
      <c r="Z157" s="592">
        <v>0</v>
      </c>
      <c r="AA157" s="590">
        <v>0</v>
      </c>
      <c r="AB157" s="591">
        <v>0</v>
      </c>
      <c r="AC157" s="588">
        <v>0</v>
      </c>
      <c r="AD157" s="592">
        <v>0</v>
      </c>
      <c r="AE157" s="591">
        <v>2</v>
      </c>
      <c r="AF157" s="591">
        <v>0</v>
      </c>
      <c r="AG157" s="588">
        <v>0</v>
      </c>
      <c r="AH157" s="592">
        <v>2</v>
      </c>
      <c r="AI157" s="591"/>
      <c r="AJ157" s="591"/>
      <c r="AK157" s="588"/>
      <c r="AL157" s="592"/>
    </row>
    <row r="158" spans="1:38" x14ac:dyDescent="0.2">
      <c r="A158" s="1018"/>
      <c r="B158" s="768" t="s">
        <v>742</v>
      </c>
      <c r="C158" s="577">
        <v>118</v>
      </c>
      <c r="D158" s="582">
        <v>6</v>
      </c>
      <c r="E158" s="582">
        <v>19</v>
      </c>
      <c r="F158" s="579">
        <v>143</v>
      </c>
      <c r="G158" s="577">
        <v>107</v>
      </c>
      <c r="H158" s="582">
        <v>1</v>
      </c>
      <c r="I158" s="582">
        <v>29</v>
      </c>
      <c r="J158" s="579">
        <v>137</v>
      </c>
      <c r="K158" s="577">
        <v>70</v>
      </c>
      <c r="L158" s="582">
        <v>1</v>
      </c>
      <c r="M158" s="582">
        <v>46</v>
      </c>
      <c r="N158" s="579">
        <v>117</v>
      </c>
      <c r="O158" s="577">
        <v>73</v>
      </c>
      <c r="P158" s="582">
        <v>2</v>
      </c>
      <c r="Q158" s="582">
        <v>48</v>
      </c>
      <c r="R158" s="579">
        <v>123</v>
      </c>
      <c r="S158" s="577">
        <v>57</v>
      </c>
      <c r="T158" s="582">
        <v>11</v>
      </c>
      <c r="U158" s="582">
        <v>64</v>
      </c>
      <c r="V158" s="579">
        <v>132</v>
      </c>
      <c r="W158" s="577">
        <v>24</v>
      </c>
      <c r="X158" s="582">
        <v>2</v>
      </c>
      <c r="Y158" s="582">
        <v>40</v>
      </c>
      <c r="Z158" s="579">
        <v>66</v>
      </c>
      <c r="AA158" s="577">
        <v>68</v>
      </c>
      <c r="AB158" s="582">
        <v>4</v>
      </c>
      <c r="AC158" s="582">
        <v>72</v>
      </c>
      <c r="AD158" s="579">
        <v>144</v>
      </c>
      <c r="AE158" s="582">
        <v>58</v>
      </c>
      <c r="AF158" s="582">
        <v>1</v>
      </c>
      <c r="AG158" s="582">
        <v>141</v>
      </c>
      <c r="AH158" s="579">
        <v>200</v>
      </c>
      <c r="AI158" s="582"/>
      <c r="AJ158" s="582"/>
      <c r="AK158" s="582"/>
      <c r="AL158" s="579"/>
    </row>
    <row r="159" spans="1:38" x14ac:dyDescent="0.2">
      <c r="A159" s="1018"/>
      <c r="B159" s="768" t="s">
        <v>743</v>
      </c>
      <c r="C159" s="577">
        <v>35</v>
      </c>
      <c r="D159" s="582">
        <v>1</v>
      </c>
      <c r="E159" s="582">
        <v>23</v>
      </c>
      <c r="F159" s="579">
        <v>59</v>
      </c>
      <c r="G159" s="577">
        <v>66</v>
      </c>
      <c r="H159" s="578">
        <v>0</v>
      </c>
      <c r="I159" s="582">
        <v>31</v>
      </c>
      <c r="J159" s="579">
        <v>97</v>
      </c>
      <c r="K159" s="577">
        <v>43</v>
      </c>
      <c r="L159" s="578">
        <v>0</v>
      </c>
      <c r="M159" s="582">
        <v>48</v>
      </c>
      <c r="N159" s="579">
        <v>91</v>
      </c>
      <c r="O159" s="577">
        <v>34</v>
      </c>
      <c r="P159" s="582">
        <v>9</v>
      </c>
      <c r="Q159" s="582">
        <v>66</v>
      </c>
      <c r="R159" s="579">
        <v>109</v>
      </c>
      <c r="S159" s="577">
        <v>53</v>
      </c>
      <c r="T159" s="578">
        <v>15</v>
      </c>
      <c r="U159" s="582">
        <v>122</v>
      </c>
      <c r="V159" s="579">
        <v>190</v>
      </c>
      <c r="W159" s="577">
        <v>41</v>
      </c>
      <c r="X159" s="582">
        <v>15</v>
      </c>
      <c r="Y159" s="582">
        <v>72</v>
      </c>
      <c r="Z159" s="579">
        <v>128</v>
      </c>
      <c r="AA159" s="577">
        <v>93</v>
      </c>
      <c r="AB159" s="582">
        <v>9</v>
      </c>
      <c r="AC159" s="582">
        <v>96</v>
      </c>
      <c r="AD159" s="579">
        <v>198</v>
      </c>
      <c r="AE159" s="582">
        <v>81</v>
      </c>
      <c r="AF159" s="582">
        <v>0</v>
      </c>
      <c r="AG159" s="582">
        <v>71</v>
      </c>
      <c r="AH159" s="579">
        <v>152</v>
      </c>
      <c r="AI159" s="582"/>
      <c r="AJ159" s="582"/>
      <c r="AK159" s="582"/>
      <c r="AL159" s="579"/>
    </row>
    <row r="160" spans="1:38" x14ac:dyDescent="0.2">
      <c r="A160" s="1018"/>
      <c r="B160" s="768" t="s">
        <v>744</v>
      </c>
      <c r="C160" s="577">
        <v>61</v>
      </c>
      <c r="D160" s="582">
        <v>17</v>
      </c>
      <c r="E160" s="582">
        <v>24</v>
      </c>
      <c r="F160" s="579">
        <v>102</v>
      </c>
      <c r="G160" s="577">
        <v>62</v>
      </c>
      <c r="H160" s="582">
        <v>14</v>
      </c>
      <c r="I160" s="582">
        <v>27</v>
      </c>
      <c r="J160" s="579">
        <v>103</v>
      </c>
      <c r="K160" s="577">
        <v>26</v>
      </c>
      <c r="L160" s="582">
        <v>13</v>
      </c>
      <c r="M160" s="582">
        <v>20</v>
      </c>
      <c r="N160" s="579">
        <v>59</v>
      </c>
      <c r="O160" s="577">
        <v>43</v>
      </c>
      <c r="P160" s="582">
        <v>2</v>
      </c>
      <c r="Q160" s="582">
        <v>16</v>
      </c>
      <c r="R160" s="579">
        <v>61</v>
      </c>
      <c r="S160" s="577">
        <v>89</v>
      </c>
      <c r="T160" s="582">
        <v>8</v>
      </c>
      <c r="U160" s="582">
        <v>39</v>
      </c>
      <c r="V160" s="579">
        <v>136</v>
      </c>
      <c r="W160" s="577">
        <v>62</v>
      </c>
      <c r="X160" s="582">
        <v>6</v>
      </c>
      <c r="Y160" s="582">
        <v>13</v>
      </c>
      <c r="Z160" s="579">
        <v>81</v>
      </c>
      <c r="AA160" s="577">
        <v>143</v>
      </c>
      <c r="AB160" s="582">
        <v>9</v>
      </c>
      <c r="AC160" s="582">
        <v>69</v>
      </c>
      <c r="AD160" s="579">
        <v>221</v>
      </c>
      <c r="AE160" s="582">
        <v>106</v>
      </c>
      <c r="AF160" s="582">
        <v>13</v>
      </c>
      <c r="AG160" s="582">
        <v>61</v>
      </c>
      <c r="AH160" s="579">
        <v>180</v>
      </c>
      <c r="AI160" s="582"/>
      <c r="AJ160" s="582"/>
      <c r="AK160" s="582"/>
      <c r="AL160" s="579"/>
    </row>
    <row r="161" spans="1:38" x14ac:dyDescent="0.2">
      <c r="A161" s="1018"/>
      <c r="B161" s="768" t="s">
        <v>745</v>
      </c>
      <c r="C161" s="577">
        <v>32</v>
      </c>
      <c r="D161" s="582">
        <v>6</v>
      </c>
      <c r="E161" s="582">
        <v>2</v>
      </c>
      <c r="F161" s="579">
        <v>40</v>
      </c>
      <c r="G161" s="577">
        <v>43</v>
      </c>
      <c r="H161" s="582">
        <v>2</v>
      </c>
      <c r="I161" s="582">
        <v>12</v>
      </c>
      <c r="J161" s="579">
        <v>57</v>
      </c>
      <c r="K161" s="577">
        <v>35</v>
      </c>
      <c r="L161" s="582">
        <v>2</v>
      </c>
      <c r="M161" s="582">
        <v>15</v>
      </c>
      <c r="N161" s="579">
        <v>52</v>
      </c>
      <c r="O161" s="577">
        <v>41</v>
      </c>
      <c r="P161" s="582">
        <v>4</v>
      </c>
      <c r="Q161" s="582">
        <v>16</v>
      </c>
      <c r="R161" s="579">
        <v>61</v>
      </c>
      <c r="S161" s="577">
        <v>65</v>
      </c>
      <c r="T161" s="582">
        <v>2</v>
      </c>
      <c r="U161" s="582">
        <v>26</v>
      </c>
      <c r="V161" s="579">
        <v>93</v>
      </c>
      <c r="W161" s="577">
        <v>25</v>
      </c>
      <c r="X161" s="582">
        <v>8</v>
      </c>
      <c r="Y161" s="582">
        <v>15</v>
      </c>
      <c r="Z161" s="579">
        <v>48</v>
      </c>
      <c r="AA161" s="577">
        <v>32</v>
      </c>
      <c r="AB161" s="582">
        <v>12</v>
      </c>
      <c r="AC161" s="582">
        <v>31</v>
      </c>
      <c r="AD161" s="579">
        <v>75</v>
      </c>
      <c r="AE161" s="582">
        <v>28</v>
      </c>
      <c r="AF161" s="582">
        <v>17</v>
      </c>
      <c r="AG161" s="582">
        <v>34</v>
      </c>
      <c r="AH161" s="579">
        <v>79</v>
      </c>
      <c r="AI161" s="582"/>
      <c r="AJ161" s="582"/>
      <c r="AK161" s="582"/>
      <c r="AL161" s="579"/>
    </row>
    <row r="162" spans="1:38" x14ac:dyDescent="0.2">
      <c r="A162" s="1018"/>
      <c r="B162" s="768" t="s">
        <v>746</v>
      </c>
      <c r="C162" s="577">
        <v>18</v>
      </c>
      <c r="D162" s="578">
        <v>0</v>
      </c>
      <c r="E162" s="582">
        <v>21</v>
      </c>
      <c r="F162" s="579">
        <v>39</v>
      </c>
      <c r="G162" s="577">
        <v>14</v>
      </c>
      <c r="H162" s="578">
        <v>0</v>
      </c>
      <c r="I162" s="582">
        <v>6</v>
      </c>
      <c r="J162" s="579">
        <v>20</v>
      </c>
      <c r="K162" s="577">
        <v>33</v>
      </c>
      <c r="L162" s="582">
        <v>1</v>
      </c>
      <c r="M162" s="582">
        <v>8</v>
      </c>
      <c r="N162" s="579">
        <v>42</v>
      </c>
      <c r="O162" s="577">
        <v>34</v>
      </c>
      <c r="P162" s="582">
        <v>1</v>
      </c>
      <c r="Q162" s="582">
        <v>17</v>
      </c>
      <c r="R162" s="579">
        <v>52</v>
      </c>
      <c r="S162" s="577">
        <v>37</v>
      </c>
      <c r="T162" s="582">
        <v>1</v>
      </c>
      <c r="U162" s="582">
        <v>24</v>
      </c>
      <c r="V162" s="579">
        <v>62</v>
      </c>
      <c r="W162" s="577">
        <v>22</v>
      </c>
      <c r="X162" s="582">
        <v>1</v>
      </c>
      <c r="Y162" s="582">
        <v>14</v>
      </c>
      <c r="Z162" s="579">
        <v>37</v>
      </c>
      <c r="AA162" s="577">
        <v>34</v>
      </c>
      <c r="AB162" s="582">
        <v>0</v>
      </c>
      <c r="AC162" s="582">
        <v>30</v>
      </c>
      <c r="AD162" s="579">
        <v>64</v>
      </c>
      <c r="AE162" s="582">
        <v>16</v>
      </c>
      <c r="AF162" s="582">
        <v>0</v>
      </c>
      <c r="AG162" s="582">
        <v>33</v>
      </c>
      <c r="AH162" s="579">
        <v>49</v>
      </c>
      <c r="AI162" s="582"/>
      <c r="AJ162" s="582"/>
      <c r="AK162" s="582"/>
      <c r="AL162" s="579"/>
    </row>
    <row r="163" spans="1:38" x14ac:dyDescent="0.2">
      <c r="A163" s="1018"/>
      <c r="B163" s="768" t="s">
        <v>747</v>
      </c>
      <c r="C163" s="577">
        <v>75</v>
      </c>
      <c r="D163" s="582">
        <v>7</v>
      </c>
      <c r="E163" s="582">
        <v>23</v>
      </c>
      <c r="F163" s="579">
        <v>105</v>
      </c>
      <c r="G163" s="577">
        <v>120</v>
      </c>
      <c r="H163" s="582">
        <v>3</v>
      </c>
      <c r="I163" s="582">
        <v>24</v>
      </c>
      <c r="J163" s="579">
        <v>147</v>
      </c>
      <c r="K163" s="577">
        <v>105</v>
      </c>
      <c r="L163" s="578">
        <v>0</v>
      </c>
      <c r="M163" s="582">
        <v>10</v>
      </c>
      <c r="N163" s="579">
        <v>115</v>
      </c>
      <c r="O163" s="577">
        <v>85</v>
      </c>
      <c r="P163" s="582">
        <v>3</v>
      </c>
      <c r="Q163" s="582">
        <v>9</v>
      </c>
      <c r="R163" s="579">
        <v>97</v>
      </c>
      <c r="S163" s="577">
        <v>84</v>
      </c>
      <c r="T163" s="578">
        <v>0</v>
      </c>
      <c r="U163" s="582">
        <v>27</v>
      </c>
      <c r="V163" s="579">
        <v>111</v>
      </c>
      <c r="W163" s="577">
        <v>50</v>
      </c>
      <c r="X163" s="582">
        <v>0</v>
      </c>
      <c r="Y163" s="582">
        <v>22</v>
      </c>
      <c r="Z163" s="579">
        <v>72</v>
      </c>
      <c r="AA163" s="577">
        <v>36</v>
      </c>
      <c r="AB163" s="582">
        <v>0</v>
      </c>
      <c r="AC163" s="582">
        <v>16</v>
      </c>
      <c r="AD163" s="579">
        <v>52</v>
      </c>
      <c r="AE163" s="582">
        <v>32</v>
      </c>
      <c r="AF163" s="582">
        <v>0</v>
      </c>
      <c r="AG163" s="582">
        <v>13</v>
      </c>
      <c r="AH163" s="579">
        <v>45</v>
      </c>
      <c r="AI163" s="582"/>
      <c r="AJ163" s="582"/>
      <c r="AK163" s="582"/>
      <c r="AL163" s="579"/>
    </row>
    <row r="164" spans="1:38" x14ac:dyDescent="0.2">
      <c r="A164" s="1018"/>
      <c r="B164" s="768" t="s">
        <v>748</v>
      </c>
      <c r="C164" s="577">
        <v>8</v>
      </c>
      <c r="D164" s="582">
        <v>1</v>
      </c>
      <c r="E164" s="582">
        <v>31</v>
      </c>
      <c r="F164" s="579">
        <v>40</v>
      </c>
      <c r="G164" s="577">
        <v>21</v>
      </c>
      <c r="H164" s="582">
        <v>2</v>
      </c>
      <c r="I164" s="582">
        <v>34</v>
      </c>
      <c r="J164" s="579">
        <v>57</v>
      </c>
      <c r="K164" s="577">
        <v>41</v>
      </c>
      <c r="L164" s="582">
        <v>4</v>
      </c>
      <c r="M164" s="582">
        <v>26</v>
      </c>
      <c r="N164" s="579">
        <v>71</v>
      </c>
      <c r="O164" s="577">
        <v>34</v>
      </c>
      <c r="P164" s="582">
        <v>12</v>
      </c>
      <c r="Q164" s="582">
        <v>26</v>
      </c>
      <c r="R164" s="579">
        <v>72</v>
      </c>
      <c r="S164" s="577">
        <v>24</v>
      </c>
      <c r="T164" s="582">
        <v>12</v>
      </c>
      <c r="U164" s="582">
        <v>56</v>
      </c>
      <c r="V164" s="579">
        <v>92</v>
      </c>
      <c r="W164" s="577">
        <v>31</v>
      </c>
      <c r="X164" s="582">
        <v>0</v>
      </c>
      <c r="Y164" s="582">
        <v>24</v>
      </c>
      <c r="Z164" s="579">
        <v>55</v>
      </c>
      <c r="AA164" s="577">
        <v>57</v>
      </c>
      <c r="AB164" s="582">
        <v>0</v>
      </c>
      <c r="AC164" s="582">
        <v>49</v>
      </c>
      <c r="AD164" s="579">
        <v>106</v>
      </c>
      <c r="AE164" s="582">
        <v>36</v>
      </c>
      <c r="AF164" s="582">
        <v>1</v>
      </c>
      <c r="AG164" s="582">
        <v>55</v>
      </c>
      <c r="AH164" s="579">
        <v>92</v>
      </c>
      <c r="AI164" s="582"/>
      <c r="AJ164" s="582"/>
      <c r="AK164" s="582"/>
      <c r="AL164" s="579"/>
    </row>
    <row r="165" spans="1:38" ht="13.5" thickBot="1" x14ac:dyDescent="0.25">
      <c r="A165" s="1025"/>
      <c r="B165" s="769" t="s">
        <v>749</v>
      </c>
      <c r="C165" s="583">
        <v>0</v>
      </c>
      <c r="D165" s="586">
        <v>17</v>
      </c>
      <c r="E165" s="586">
        <v>0</v>
      </c>
      <c r="F165" s="585">
        <v>17</v>
      </c>
      <c r="G165" s="583">
        <v>0</v>
      </c>
      <c r="H165" s="586">
        <v>15</v>
      </c>
      <c r="I165" s="586">
        <v>0</v>
      </c>
      <c r="J165" s="585">
        <v>15</v>
      </c>
      <c r="K165" s="583">
        <v>0</v>
      </c>
      <c r="L165" s="586">
        <v>16</v>
      </c>
      <c r="M165" s="586">
        <v>0</v>
      </c>
      <c r="N165" s="585">
        <v>16</v>
      </c>
      <c r="O165" s="583">
        <v>0</v>
      </c>
      <c r="P165" s="586">
        <v>28</v>
      </c>
      <c r="Q165" s="586">
        <v>0</v>
      </c>
      <c r="R165" s="585">
        <v>28</v>
      </c>
      <c r="S165" s="583">
        <v>0</v>
      </c>
      <c r="T165" s="586">
        <v>30</v>
      </c>
      <c r="U165" s="586">
        <v>0</v>
      </c>
      <c r="V165" s="585">
        <v>30</v>
      </c>
      <c r="W165" s="583">
        <v>0</v>
      </c>
      <c r="X165" s="586">
        <v>20</v>
      </c>
      <c r="Y165" s="586">
        <v>0</v>
      </c>
      <c r="Z165" s="585">
        <v>20</v>
      </c>
      <c r="AA165" s="583">
        <v>0</v>
      </c>
      <c r="AB165" s="586">
        <v>34</v>
      </c>
      <c r="AC165" s="586">
        <v>0</v>
      </c>
      <c r="AD165" s="585">
        <v>34</v>
      </c>
      <c r="AE165" s="586">
        <v>0</v>
      </c>
      <c r="AF165" s="586">
        <v>23</v>
      </c>
      <c r="AG165" s="586">
        <v>0</v>
      </c>
      <c r="AH165" s="585">
        <v>23</v>
      </c>
      <c r="AI165" s="586"/>
      <c r="AJ165" s="586"/>
      <c r="AK165" s="586"/>
      <c r="AL165" s="585"/>
    </row>
    <row r="166" spans="1:38" s="259" customFormat="1" ht="26.25" thickBot="1" x14ac:dyDescent="0.25">
      <c r="A166" s="1025"/>
      <c r="B166" s="770" t="s">
        <v>791</v>
      </c>
      <c r="C166" s="762">
        <v>350</v>
      </c>
      <c r="D166" s="763">
        <v>55</v>
      </c>
      <c r="E166" s="763">
        <v>143</v>
      </c>
      <c r="F166" s="764">
        <v>548</v>
      </c>
      <c r="G166" s="762">
        <v>436</v>
      </c>
      <c r="H166" s="763">
        <v>37</v>
      </c>
      <c r="I166" s="763">
        <v>163</v>
      </c>
      <c r="J166" s="764">
        <v>636</v>
      </c>
      <c r="K166" s="762">
        <v>356</v>
      </c>
      <c r="L166" s="763">
        <v>37</v>
      </c>
      <c r="M166" s="763">
        <v>174</v>
      </c>
      <c r="N166" s="764">
        <v>567</v>
      </c>
      <c r="O166" s="762">
        <v>346</v>
      </c>
      <c r="P166" s="763">
        <v>61</v>
      </c>
      <c r="Q166" s="763">
        <v>198</v>
      </c>
      <c r="R166" s="764">
        <v>605</v>
      </c>
      <c r="S166" s="762">
        <v>410</v>
      </c>
      <c r="T166" s="763">
        <v>79</v>
      </c>
      <c r="U166" s="763">
        <v>358</v>
      </c>
      <c r="V166" s="764">
        <v>847</v>
      </c>
      <c r="W166" s="762">
        <v>255</v>
      </c>
      <c r="X166" s="763">
        <v>52</v>
      </c>
      <c r="Y166" s="763">
        <v>200</v>
      </c>
      <c r="Z166" s="764">
        <v>507</v>
      </c>
      <c r="AA166" s="762">
        <v>463</v>
      </c>
      <c r="AB166" s="763">
        <v>68</v>
      </c>
      <c r="AC166" s="763">
        <v>363</v>
      </c>
      <c r="AD166" s="764">
        <v>894</v>
      </c>
      <c r="AE166" s="763">
        <v>359</v>
      </c>
      <c r="AF166" s="763">
        <v>55</v>
      </c>
      <c r="AG166" s="763">
        <v>408</v>
      </c>
      <c r="AH166" s="764">
        <v>822</v>
      </c>
      <c r="AI166" s="763"/>
      <c r="AJ166" s="763"/>
      <c r="AK166" s="763"/>
      <c r="AL166" s="764"/>
    </row>
    <row r="167" spans="1:38" x14ac:dyDescent="0.2">
      <c r="A167" s="1017" t="s">
        <v>605</v>
      </c>
      <c r="B167" s="767" t="s">
        <v>606</v>
      </c>
      <c r="C167" s="573">
        <v>1</v>
      </c>
      <c r="D167" s="574">
        <v>0</v>
      </c>
      <c r="E167" s="574">
        <v>0</v>
      </c>
      <c r="F167" s="575">
        <v>1</v>
      </c>
      <c r="G167" s="593">
        <v>0</v>
      </c>
      <c r="H167" s="574">
        <v>0</v>
      </c>
      <c r="I167" s="576">
        <v>4</v>
      </c>
      <c r="J167" s="575">
        <v>4</v>
      </c>
      <c r="K167" s="593">
        <v>0</v>
      </c>
      <c r="L167" s="574">
        <v>0</v>
      </c>
      <c r="M167" s="576">
        <v>4</v>
      </c>
      <c r="N167" s="575">
        <v>4</v>
      </c>
      <c r="O167" s="593">
        <v>0</v>
      </c>
      <c r="P167" s="574">
        <v>0</v>
      </c>
      <c r="Q167" s="576">
        <v>4</v>
      </c>
      <c r="R167" s="575">
        <v>4</v>
      </c>
      <c r="S167" s="593">
        <v>0</v>
      </c>
      <c r="T167" s="574">
        <v>0</v>
      </c>
      <c r="U167" s="576">
        <v>2</v>
      </c>
      <c r="V167" s="575">
        <v>2</v>
      </c>
      <c r="W167" s="593">
        <v>0</v>
      </c>
      <c r="X167" s="574">
        <v>0</v>
      </c>
      <c r="Y167" s="576">
        <v>0</v>
      </c>
      <c r="Z167" s="575">
        <v>0</v>
      </c>
      <c r="AA167" s="593">
        <v>1</v>
      </c>
      <c r="AB167" s="574">
        <v>0</v>
      </c>
      <c r="AC167" s="576">
        <v>0</v>
      </c>
      <c r="AD167" s="575">
        <v>1</v>
      </c>
      <c r="AE167" s="574">
        <v>1</v>
      </c>
      <c r="AF167" s="574">
        <v>0</v>
      </c>
      <c r="AG167" s="576">
        <v>0</v>
      </c>
      <c r="AH167" s="575">
        <v>1</v>
      </c>
      <c r="AI167" s="574"/>
      <c r="AJ167" s="574"/>
      <c r="AK167" s="576"/>
      <c r="AL167" s="575"/>
    </row>
    <row r="168" spans="1:38" x14ac:dyDescent="0.2">
      <c r="A168" s="1018"/>
      <c r="B168" s="768" t="s">
        <v>750</v>
      </c>
      <c r="C168" s="577">
        <v>26</v>
      </c>
      <c r="D168" s="578">
        <v>0</v>
      </c>
      <c r="E168" s="582">
        <v>71</v>
      </c>
      <c r="F168" s="579">
        <v>97</v>
      </c>
      <c r="G168" s="577">
        <v>21</v>
      </c>
      <c r="H168" s="578">
        <v>0</v>
      </c>
      <c r="I168" s="582">
        <v>39</v>
      </c>
      <c r="J168" s="579">
        <v>60</v>
      </c>
      <c r="K168" s="577">
        <v>19</v>
      </c>
      <c r="L168" s="582">
        <v>1</v>
      </c>
      <c r="M168" s="582">
        <v>44</v>
      </c>
      <c r="N168" s="579">
        <v>64</v>
      </c>
      <c r="O168" s="577">
        <v>35</v>
      </c>
      <c r="P168" s="578">
        <v>0</v>
      </c>
      <c r="Q168" s="582">
        <v>43</v>
      </c>
      <c r="R168" s="579">
        <v>78</v>
      </c>
      <c r="S168" s="577">
        <v>7</v>
      </c>
      <c r="T168" s="582">
        <v>0</v>
      </c>
      <c r="U168" s="582">
        <v>56</v>
      </c>
      <c r="V168" s="579">
        <v>63</v>
      </c>
      <c r="W168" s="577">
        <v>2</v>
      </c>
      <c r="X168" s="578">
        <v>0</v>
      </c>
      <c r="Y168" s="582">
        <v>25</v>
      </c>
      <c r="Z168" s="579">
        <v>27</v>
      </c>
      <c r="AA168" s="577">
        <v>7</v>
      </c>
      <c r="AB168" s="578">
        <v>0</v>
      </c>
      <c r="AC168" s="582">
        <v>62</v>
      </c>
      <c r="AD168" s="579">
        <v>69</v>
      </c>
      <c r="AE168" s="582">
        <v>1</v>
      </c>
      <c r="AF168" s="578">
        <v>0</v>
      </c>
      <c r="AG168" s="582">
        <v>54</v>
      </c>
      <c r="AH168" s="579">
        <v>55</v>
      </c>
      <c r="AI168" s="582"/>
      <c r="AJ168" s="578"/>
      <c r="AK168" s="582"/>
      <c r="AL168" s="579"/>
    </row>
    <row r="169" spans="1:38" x14ac:dyDescent="0.2">
      <c r="A169" s="1018"/>
      <c r="B169" s="768" t="s">
        <v>751</v>
      </c>
      <c r="C169" s="577">
        <v>11</v>
      </c>
      <c r="D169" s="578">
        <v>0</v>
      </c>
      <c r="E169" s="582">
        <v>12</v>
      </c>
      <c r="F169" s="579">
        <v>23</v>
      </c>
      <c r="G169" s="577">
        <v>11</v>
      </c>
      <c r="H169" s="578">
        <v>0</v>
      </c>
      <c r="I169" s="582">
        <v>13</v>
      </c>
      <c r="J169" s="579">
        <v>24</v>
      </c>
      <c r="K169" s="577">
        <v>4</v>
      </c>
      <c r="L169" s="578">
        <v>0</v>
      </c>
      <c r="M169" s="582">
        <v>11</v>
      </c>
      <c r="N169" s="579">
        <v>15</v>
      </c>
      <c r="O169" s="577">
        <v>8</v>
      </c>
      <c r="P169" s="578">
        <v>0</v>
      </c>
      <c r="Q169" s="582">
        <v>14</v>
      </c>
      <c r="R169" s="579">
        <v>22</v>
      </c>
      <c r="S169" s="577">
        <v>0</v>
      </c>
      <c r="T169" s="578">
        <v>0</v>
      </c>
      <c r="U169" s="582">
        <v>20</v>
      </c>
      <c r="V169" s="579">
        <v>20</v>
      </c>
      <c r="W169" s="577">
        <v>2</v>
      </c>
      <c r="X169" s="578">
        <v>0</v>
      </c>
      <c r="Y169" s="582">
        <v>10</v>
      </c>
      <c r="Z169" s="579">
        <v>12</v>
      </c>
      <c r="AA169" s="577">
        <v>1</v>
      </c>
      <c r="AB169" s="578">
        <v>0</v>
      </c>
      <c r="AC169" s="582">
        <v>40</v>
      </c>
      <c r="AD169" s="579">
        <v>41</v>
      </c>
      <c r="AE169" s="582">
        <v>1</v>
      </c>
      <c r="AF169" s="578">
        <v>0</v>
      </c>
      <c r="AG169" s="582">
        <v>29</v>
      </c>
      <c r="AH169" s="579">
        <v>30</v>
      </c>
      <c r="AI169" s="582"/>
      <c r="AJ169" s="578"/>
      <c r="AK169" s="582"/>
      <c r="AL169" s="579"/>
    </row>
    <row r="170" spans="1:38" x14ac:dyDescent="0.2">
      <c r="A170" s="1018"/>
      <c r="B170" s="768" t="s">
        <v>752</v>
      </c>
      <c r="C170" s="577">
        <v>22</v>
      </c>
      <c r="D170" s="578">
        <v>0</v>
      </c>
      <c r="E170" s="582">
        <v>20</v>
      </c>
      <c r="F170" s="579">
        <v>42</v>
      </c>
      <c r="G170" s="577">
        <v>5</v>
      </c>
      <c r="H170" s="578">
        <v>0</v>
      </c>
      <c r="I170" s="582">
        <v>25</v>
      </c>
      <c r="J170" s="579">
        <v>30</v>
      </c>
      <c r="K170" s="577">
        <v>10</v>
      </c>
      <c r="L170" s="578">
        <v>0</v>
      </c>
      <c r="M170" s="582">
        <v>18</v>
      </c>
      <c r="N170" s="579">
        <v>28</v>
      </c>
      <c r="O170" s="577">
        <v>26</v>
      </c>
      <c r="P170" s="578">
        <v>0</v>
      </c>
      <c r="Q170" s="582">
        <v>31</v>
      </c>
      <c r="R170" s="579">
        <v>57</v>
      </c>
      <c r="S170" s="577">
        <v>15</v>
      </c>
      <c r="T170" s="578">
        <v>0</v>
      </c>
      <c r="U170" s="582">
        <v>19</v>
      </c>
      <c r="V170" s="579">
        <v>34</v>
      </c>
      <c r="W170" s="577">
        <v>2</v>
      </c>
      <c r="X170" s="578">
        <v>0</v>
      </c>
      <c r="Y170" s="582">
        <v>17</v>
      </c>
      <c r="Z170" s="579">
        <v>19</v>
      </c>
      <c r="AA170" s="577">
        <v>3</v>
      </c>
      <c r="AB170" s="578">
        <v>0</v>
      </c>
      <c r="AC170" s="582">
        <v>23</v>
      </c>
      <c r="AD170" s="579">
        <v>26</v>
      </c>
      <c r="AE170" s="582">
        <v>2</v>
      </c>
      <c r="AF170" s="578">
        <v>0</v>
      </c>
      <c r="AG170" s="582">
        <v>24</v>
      </c>
      <c r="AH170" s="579">
        <v>26</v>
      </c>
      <c r="AI170" s="582"/>
      <c r="AJ170" s="578"/>
      <c r="AK170" s="582"/>
      <c r="AL170" s="579"/>
    </row>
    <row r="171" spans="1:38" x14ac:dyDescent="0.2">
      <c r="A171" s="1018"/>
      <c r="B171" s="768" t="s">
        <v>753</v>
      </c>
      <c r="C171" s="577">
        <v>16</v>
      </c>
      <c r="D171" s="582">
        <v>10</v>
      </c>
      <c r="E171" s="582">
        <v>2</v>
      </c>
      <c r="F171" s="579">
        <v>28</v>
      </c>
      <c r="G171" s="577">
        <v>10</v>
      </c>
      <c r="H171" s="582">
        <v>15</v>
      </c>
      <c r="I171" s="582">
        <v>12</v>
      </c>
      <c r="J171" s="579">
        <v>37</v>
      </c>
      <c r="K171" s="577">
        <v>25</v>
      </c>
      <c r="L171" s="582">
        <v>12</v>
      </c>
      <c r="M171" s="582">
        <v>19</v>
      </c>
      <c r="N171" s="579">
        <v>56</v>
      </c>
      <c r="O171" s="577">
        <v>18</v>
      </c>
      <c r="P171" s="582">
        <v>9</v>
      </c>
      <c r="Q171" s="582">
        <v>31</v>
      </c>
      <c r="R171" s="579">
        <v>58</v>
      </c>
      <c r="S171" s="577">
        <v>48</v>
      </c>
      <c r="T171" s="582">
        <v>2</v>
      </c>
      <c r="U171" s="582">
        <v>37</v>
      </c>
      <c r="V171" s="579">
        <v>87</v>
      </c>
      <c r="W171" s="577">
        <v>20</v>
      </c>
      <c r="X171" s="582">
        <v>0</v>
      </c>
      <c r="Y171" s="582">
        <v>10</v>
      </c>
      <c r="Z171" s="579">
        <v>30</v>
      </c>
      <c r="AA171" s="577">
        <v>7</v>
      </c>
      <c r="AB171" s="582">
        <v>0</v>
      </c>
      <c r="AC171" s="582">
        <v>33</v>
      </c>
      <c r="AD171" s="579">
        <v>40</v>
      </c>
      <c r="AE171" s="582">
        <v>2</v>
      </c>
      <c r="AF171" s="582">
        <v>0</v>
      </c>
      <c r="AG171" s="582">
        <v>39</v>
      </c>
      <c r="AH171" s="579">
        <v>41</v>
      </c>
      <c r="AI171" s="582"/>
      <c r="AJ171" s="582"/>
      <c r="AK171" s="582"/>
      <c r="AL171" s="579"/>
    </row>
    <row r="172" spans="1:38" ht="13.5" thickBot="1" x14ac:dyDescent="0.25">
      <c r="A172" s="1018"/>
      <c r="B172" s="769" t="s">
        <v>626</v>
      </c>
      <c r="C172" s="583">
        <v>19</v>
      </c>
      <c r="D172" s="586">
        <v>1</v>
      </c>
      <c r="E172" s="586">
        <v>8</v>
      </c>
      <c r="F172" s="585">
        <v>28</v>
      </c>
      <c r="G172" s="583">
        <v>11</v>
      </c>
      <c r="H172" s="586">
        <v>1</v>
      </c>
      <c r="I172" s="586">
        <v>18</v>
      </c>
      <c r="J172" s="585">
        <v>30</v>
      </c>
      <c r="K172" s="583">
        <v>15</v>
      </c>
      <c r="L172" s="586">
        <v>2</v>
      </c>
      <c r="M172" s="586">
        <v>29</v>
      </c>
      <c r="N172" s="585">
        <v>46</v>
      </c>
      <c r="O172" s="583">
        <v>18</v>
      </c>
      <c r="P172" s="584">
        <v>0</v>
      </c>
      <c r="Q172" s="586">
        <v>21</v>
      </c>
      <c r="R172" s="585">
        <v>39</v>
      </c>
      <c r="S172" s="583">
        <v>29</v>
      </c>
      <c r="T172" s="586">
        <v>0</v>
      </c>
      <c r="U172" s="586">
        <v>15</v>
      </c>
      <c r="V172" s="585">
        <v>44</v>
      </c>
      <c r="W172" s="583">
        <v>9</v>
      </c>
      <c r="X172" s="584">
        <v>0</v>
      </c>
      <c r="Y172" s="586">
        <v>6</v>
      </c>
      <c r="Z172" s="585">
        <v>15</v>
      </c>
      <c r="AA172" s="583">
        <v>21</v>
      </c>
      <c r="AB172" s="584">
        <v>0</v>
      </c>
      <c r="AC172" s="586">
        <v>30</v>
      </c>
      <c r="AD172" s="585">
        <v>51</v>
      </c>
      <c r="AE172" s="586">
        <v>7</v>
      </c>
      <c r="AF172" s="584">
        <v>0</v>
      </c>
      <c r="AG172" s="586">
        <v>37</v>
      </c>
      <c r="AH172" s="585">
        <v>44</v>
      </c>
      <c r="AI172" s="586"/>
      <c r="AJ172" s="584"/>
      <c r="AK172" s="586"/>
      <c r="AL172" s="585"/>
    </row>
    <row r="173" spans="1:38" s="259" customFormat="1" ht="13.5" thickBot="1" x14ac:dyDescent="0.25">
      <c r="A173" s="1019"/>
      <c r="B173" s="770" t="s">
        <v>792</v>
      </c>
      <c r="C173" s="762">
        <v>95</v>
      </c>
      <c r="D173" s="763">
        <v>11</v>
      </c>
      <c r="E173" s="763">
        <v>113</v>
      </c>
      <c r="F173" s="764">
        <v>219</v>
      </c>
      <c r="G173" s="762">
        <v>58</v>
      </c>
      <c r="H173" s="763">
        <v>16</v>
      </c>
      <c r="I173" s="763">
        <v>111</v>
      </c>
      <c r="J173" s="764">
        <v>185</v>
      </c>
      <c r="K173" s="762">
        <v>73</v>
      </c>
      <c r="L173" s="763">
        <v>15</v>
      </c>
      <c r="M173" s="763">
        <v>125</v>
      </c>
      <c r="N173" s="764">
        <v>213</v>
      </c>
      <c r="O173" s="762">
        <v>105</v>
      </c>
      <c r="P173" s="763">
        <v>9</v>
      </c>
      <c r="Q173" s="763">
        <v>144</v>
      </c>
      <c r="R173" s="764">
        <v>258</v>
      </c>
      <c r="S173" s="762">
        <v>99</v>
      </c>
      <c r="T173" s="763">
        <v>2</v>
      </c>
      <c r="U173" s="763">
        <v>149</v>
      </c>
      <c r="V173" s="764">
        <v>250</v>
      </c>
      <c r="W173" s="762">
        <v>35</v>
      </c>
      <c r="X173" s="763">
        <v>0</v>
      </c>
      <c r="Y173" s="763">
        <v>68</v>
      </c>
      <c r="Z173" s="764">
        <v>103</v>
      </c>
      <c r="AA173" s="762">
        <v>40</v>
      </c>
      <c r="AB173" s="763">
        <v>0</v>
      </c>
      <c r="AC173" s="763">
        <v>188</v>
      </c>
      <c r="AD173" s="764">
        <v>228</v>
      </c>
      <c r="AE173" s="763">
        <v>14</v>
      </c>
      <c r="AF173" s="763">
        <v>0</v>
      </c>
      <c r="AG173" s="763">
        <v>183</v>
      </c>
      <c r="AH173" s="764">
        <v>197</v>
      </c>
      <c r="AI173" s="763"/>
      <c r="AJ173" s="763"/>
      <c r="AK173" s="763"/>
      <c r="AL173" s="764"/>
    </row>
    <row r="174" spans="1:38" x14ac:dyDescent="0.2">
      <c r="A174" s="1026" t="s">
        <v>607</v>
      </c>
      <c r="B174" s="771" t="s">
        <v>608</v>
      </c>
      <c r="C174" s="587">
        <v>0</v>
      </c>
      <c r="D174" s="588">
        <v>0</v>
      </c>
      <c r="E174" s="588">
        <v>0</v>
      </c>
      <c r="F174" s="589">
        <v>0</v>
      </c>
      <c r="G174" s="587">
        <v>0</v>
      </c>
      <c r="H174" s="591">
        <v>2</v>
      </c>
      <c r="I174" s="591">
        <v>1</v>
      </c>
      <c r="J174" s="592">
        <v>3</v>
      </c>
      <c r="K174" s="587">
        <v>0</v>
      </c>
      <c r="L174" s="591">
        <v>1</v>
      </c>
      <c r="M174" s="591">
        <v>1</v>
      </c>
      <c r="N174" s="592">
        <v>2</v>
      </c>
      <c r="O174" s="590">
        <v>1</v>
      </c>
      <c r="P174" s="588">
        <v>0</v>
      </c>
      <c r="Q174" s="591">
        <v>1</v>
      </c>
      <c r="R174" s="592">
        <v>2</v>
      </c>
      <c r="S174" s="587">
        <v>1</v>
      </c>
      <c r="T174" s="591">
        <v>4</v>
      </c>
      <c r="U174" s="591">
        <v>0</v>
      </c>
      <c r="V174" s="592">
        <v>5</v>
      </c>
      <c r="W174" s="590">
        <v>3</v>
      </c>
      <c r="X174" s="588">
        <v>0</v>
      </c>
      <c r="Y174" s="591">
        <v>0</v>
      </c>
      <c r="Z174" s="592">
        <v>3</v>
      </c>
      <c r="AA174" s="590">
        <v>0</v>
      </c>
      <c r="AB174" s="588">
        <v>0</v>
      </c>
      <c r="AC174" s="591">
        <v>0</v>
      </c>
      <c r="AD174" s="592">
        <v>0</v>
      </c>
      <c r="AE174" s="591">
        <v>3</v>
      </c>
      <c r="AF174" s="588">
        <v>0</v>
      </c>
      <c r="AG174" s="591">
        <v>0</v>
      </c>
      <c r="AH174" s="592">
        <v>3</v>
      </c>
      <c r="AI174" s="591"/>
      <c r="AJ174" s="588"/>
      <c r="AK174" s="591"/>
      <c r="AL174" s="592"/>
    </row>
    <row r="175" spans="1:38" x14ac:dyDescent="0.2">
      <c r="A175" s="1018"/>
      <c r="B175" s="768" t="s">
        <v>754</v>
      </c>
      <c r="C175" s="577">
        <v>92</v>
      </c>
      <c r="D175" s="578">
        <v>0</v>
      </c>
      <c r="E175" s="582">
        <v>33</v>
      </c>
      <c r="F175" s="579">
        <v>125</v>
      </c>
      <c r="G175" s="577">
        <v>76</v>
      </c>
      <c r="H175" s="582">
        <v>1</v>
      </c>
      <c r="I175" s="582">
        <v>37</v>
      </c>
      <c r="J175" s="579">
        <v>114</v>
      </c>
      <c r="K175" s="577">
        <v>91</v>
      </c>
      <c r="L175" s="582">
        <v>6</v>
      </c>
      <c r="M175" s="582">
        <v>46</v>
      </c>
      <c r="N175" s="579">
        <v>143</v>
      </c>
      <c r="O175" s="577">
        <v>95</v>
      </c>
      <c r="P175" s="582">
        <v>2</v>
      </c>
      <c r="Q175" s="582">
        <v>76</v>
      </c>
      <c r="R175" s="579">
        <v>173</v>
      </c>
      <c r="S175" s="577">
        <v>81</v>
      </c>
      <c r="T175" s="582">
        <v>0</v>
      </c>
      <c r="U175" s="582">
        <v>103</v>
      </c>
      <c r="V175" s="579">
        <v>184</v>
      </c>
      <c r="W175" s="577">
        <v>42</v>
      </c>
      <c r="X175" s="582">
        <v>0</v>
      </c>
      <c r="Y175" s="582">
        <v>85</v>
      </c>
      <c r="Z175" s="579">
        <v>127</v>
      </c>
      <c r="AA175" s="577">
        <v>28</v>
      </c>
      <c r="AB175" s="582">
        <v>0</v>
      </c>
      <c r="AC175" s="582">
        <v>79</v>
      </c>
      <c r="AD175" s="579">
        <v>107</v>
      </c>
      <c r="AE175" s="582">
        <v>13</v>
      </c>
      <c r="AF175" s="582">
        <v>0</v>
      </c>
      <c r="AG175" s="582">
        <v>104</v>
      </c>
      <c r="AH175" s="579">
        <v>117</v>
      </c>
      <c r="AI175" s="582"/>
      <c r="AJ175" s="582"/>
      <c r="AK175" s="582"/>
      <c r="AL175" s="579"/>
    </row>
    <row r="176" spans="1:38" x14ac:dyDescent="0.2">
      <c r="A176" s="1018"/>
      <c r="B176" s="768" t="s">
        <v>755</v>
      </c>
      <c r="C176" s="580">
        <v>0</v>
      </c>
      <c r="D176" s="582">
        <v>10</v>
      </c>
      <c r="E176" s="578">
        <v>0</v>
      </c>
      <c r="F176" s="579">
        <v>10</v>
      </c>
      <c r="G176" s="577">
        <v>1</v>
      </c>
      <c r="H176" s="582">
        <v>8</v>
      </c>
      <c r="I176" s="578">
        <v>0</v>
      </c>
      <c r="J176" s="579">
        <v>9</v>
      </c>
      <c r="K176" s="577">
        <v>3</v>
      </c>
      <c r="L176" s="582">
        <v>5</v>
      </c>
      <c r="M176" s="578">
        <v>0</v>
      </c>
      <c r="N176" s="579">
        <v>8</v>
      </c>
      <c r="O176" s="577">
        <v>21</v>
      </c>
      <c r="P176" s="582">
        <v>16</v>
      </c>
      <c r="Q176" s="578">
        <v>0</v>
      </c>
      <c r="R176" s="579">
        <v>37</v>
      </c>
      <c r="S176" s="577">
        <v>24</v>
      </c>
      <c r="T176" s="582">
        <v>10</v>
      </c>
      <c r="U176" s="578">
        <v>0</v>
      </c>
      <c r="V176" s="579">
        <v>34</v>
      </c>
      <c r="W176" s="577">
        <v>32</v>
      </c>
      <c r="X176" s="582">
        <v>3</v>
      </c>
      <c r="Y176" s="578">
        <v>0</v>
      </c>
      <c r="Z176" s="579">
        <v>35</v>
      </c>
      <c r="AA176" s="577">
        <v>13</v>
      </c>
      <c r="AB176" s="582">
        <v>6</v>
      </c>
      <c r="AC176" s="578">
        <v>0</v>
      </c>
      <c r="AD176" s="579">
        <v>19</v>
      </c>
      <c r="AE176" s="582">
        <v>10</v>
      </c>
      <c r="AF176" s="582">
        <v>21</v>
      </c>
      <c r="AG176" s="578">
        <v>1</v>
      </c>
      <c r="AH176" s="579">
        <v>32</v>
      </c>
      <c r="AI176" s="582"/>
      <c r="AJ176" s="582"/>
      <c r="AK176" s="578"/>
      <c r="AL176" s="579"/>
    </row>
    <row r="177" spans="1:38" x14ac:dyDescent="0.2">
      <c r="A177" s="1018"/>
      <c r="B177" s="768" t="s">
        <v>756</v>
      </c>
      <c r="C177" s="577">
        <v>3</v>
      </c>
      <c r="D177" s="582">
        <v>7</v>
      </c>
      <c r="E177" s="582">
        <v>10</v>
      </c>
      <c r="F177" s="579">
        <v>20</v>
      </c>
      <c r="G177" s="577">
        <v>1</v>
      </c>
      <c r="H177" s="578">
        <v>0</v>
      </c>
      <c r="I177" s="582">
        <v>13</v>
      </c>
      <c r="J177" s="579">
        <v>14</v>
      </c>
      <c r="K177" s="580">
        <v>0</v>
      </c>
      <c r="L177" s="578">
        <v>0</v>
      </c>
      <c r="M177" s="582">
        <v>14</v>
      </c>
      <c r="N177" s="579">
        <v>14</v>
      </c>
      <c r="O177" s="577">
        <v>2</v>
      </c>
      <c r="P177" s="578">
        <v>0</v>
      </c>
      <c r="Q177" s="582">
        <v>19</v>
      </c>
      <c r="R177" s="579">
        <v>21</v>
      </c>
      <c r="S177" s="580">
        <v>10</v>
      </c>
      <c r="T177" s="578">
        <v>0</v>
      </c>
      <c r="U177" s="582">
        <v>23</v>
      </c>
      <c r="V177" s="579">
        <v>33</v>
      </c>
      <c r="W177" s="577">
        <v>9</v>
      </c>
      <c r="X177" s="578">
        <v>0</v>
      </c>
      <c r="Y177" s="582">
        <v>8</v>
      </c>
      <c r="Z177" s="579">
        <v>17</v>
      </c>
      <c r="AA177" s="577">
        <v>5</v>
      </c>
      <c r="AB177" s="578">
        <v>0</v>
      </c>
      <c r="AC177" s="582">
        <v>14</v>
      </c>
      <c r="AD177" s="579">
        <v>19</v>
      </c>
      <c r="AE177" s="582">
        <v>6</v>
      </c>
      <c r="AF177" s="578">
        <v>0</v>
      </c>
      <c r="AG177" s="582">
        <v>24</v>
      </c>
      <c r="AH177" s="579">
        <v>30</v>
      </c>
      <c r="AI177" s="582"/>
      <c r="AJ177" s="578"/>
      <c r="AK177" s="582"/>
      <c r="AL177" s="579"/>
    </row>
    <row r="178" spans="1:38" x14ac:dyDescent="0.2">
      <c r="A178" s="1018"/>
      <c r="B178" s="768" t="s">
        <v>757</v>
      </c>
      <c r="C178" s="577">
        <v>2</v>
      </c>
      <c r="D178" s="582">
        <v>7</v>
      </c>
      <c r="E178" s="582">
        <v>16</v>
      </c>
      <c r="F178" s="579">
        <v>25</v>
      </c>
      <c r="G178" s="577">
        <v>2</v>
      </c>
      <c r="H178" s="582">
        <v>12</v>
      </c>
      <c r="I178" s="582">
        <v>26</v>
      </c>
      <c r="J178" s="579">
        <v>40</v>
      </c>
      <c r="K178" s="577">
        <v>7</v>
      </c>
      <c r="L178" s="582">
        <v>5</v>
      </c>
      <c r="M178" s="582">
        <v>12</v>
      </c>
      <c r="N178" s="579">
        <v>24</v>
      </c>
      <c r="O178" s="577">
        <v>8</v>
      </c>
      <c r="P178" s="582">
        <v>20</v>
      </c>
      <c r="Q178" s="582">
        <v>5</v>
      </c>
      <c r="R178" s="579">
        <v>33</v>
      </c>
      <c r="S178" s="577">
        <v>6</v>
      </c>
      <c r="T178" s="582">
        <v>33</v>
      </c>
      <c r="U178" s="582">
        <v>17</v>
      </c>
      <c r="V178" s="579">
        <v>56</v>
      </c>
      <c r="W178" s="577">
        <v>4</v>
      </c>
      <c r="X178" s="582">
        <v>3</v>
      </c>
      <c r="Y178" s="582">
        <v>19</v>
      </c>
      <c r="Z178" s="579">
        <v>26</v>
      </c>
      <c r="AA178" s="577">
        <v>0</v>
      </c>
      <c r="AB178" s="582">
        <v>2</v>
      </c>
      <c r="AC178" s="582">
        <v>25</v>
      </c>
      <c r="AD178" s="579">
        <v>27</v>
      </c>
      <c r="AE178" s="582">
        <v>10</v>
      </c>
      <c r="AF178" s="582">
        <v>1</v>
      </c>
      <c r="AG178" s="582">
        <v>26</v>
      </c>
      <c r="AH178" s="579">
        <v>37</v>
      </c>
      <c r="AI178" s="582"/>
      <c r="AJ178" s="582"/>
      <c r="AK178" s="582"/>
      <c r="AL178" s="579"/>
    </row>
    <row r="179" spans="1:38" x14ac:dyDescent="0.2">
      <c r="A179" s="1018"/>
      <c r="B179" s="768" t="s">
        <v>758</v>
      </c>
      <c r="C179" s="577">
        <v>8</v>
      </c>
      <c r="D179" s="582">
        <v>13</v>
      </c>
      <c r="E179" s="578">
        <v>0</v>
      </c>
      <c r="F179" s="579">
        <v>21</v>
      </c>
      <c r="G179" s="577">
        <v>13</v>
      </c>
      <c r="H179" s="582">
        <v>16</v>
      </c>
      <c r="I179" s="578">
        <v>0</v>
      </c>
      <c r="J179" s="579">
        <v>29</v>
      </c>
      <c r="K179" s="577">
        <v>12</v>
      </c>
      <c r="L179" s="582">
        <v>15</v>
      </c>
      <c r="M179" s="578">
        <v>0</v>
      </c>
      <c r="N179" s="579">
        <v>27</v>
      </c>
      <c r="O179" s="577">
        <v>16</v>
      </c>
      <c r="P179" s="582">
        <v>21</v>
      </c>
      <c r="Q179" s="578">
        <v>0</v>
      </c>
      <c r="R179" s="579">
        <v>37</v>
      </c>
      <c r="S179" s="577">
        <v>15</v>
      </c>
      <c r="T179" s="582">
        <v>20</v>
      </c>
      <c r="U179" s="578">
        <v>0</v>
      </c>
      <c r="V179" s="579">
        <v>35</v>
      </c>
      <c r="W179" s="577">
        <v>10</v>
      </c>
      <c r="X179" s="582">
        <v>10</v>
      </c>
      <c r="Y179" s="578">
        <v>0</v>
      </c>
      <c r="Z179" s="579">
        <v>20</v>
      </c>
      <c r="AA179" s="577">
        <v>12</v>
      </c>
      <c r="AB179" s="582">
        <v>13</v>
      </c>
      <c r="AC179" s="578">
        <v>0</v>
      </c>
      <c r="AD179" s="579">
        <v>25</v>
      </c>
      <c r="AE179" s="582">
        <v>7</v>
      </c>
      <c r="AF179" s="582">
        <v>14</v>
      </c>
      <c r="AG179" s="578">
        <v>0</v>
      </c>
      <c r="AH179" s="579">
        <v>21</v>
      </c>
      <c r="AI179" s="582"/>
      <c r="AJ179" s="582"/>
      <c r="AK179" s="578"/>
      <c r="AL179" s="579"/>
    </row>
    <row r="180" spans="1:38" ht="13.5" thickBot="1" x14ac:dyDescent="0.25">
      <c r="A180" s="1018"/>
      <c r="B180" s="769" t="s">
        <v>759</v>
      </c>
      <c r="C180" s="583">
        <v>7</v>
      </c>
      <c r="D180" s="586">
        <v>5</v>
      </c>
      <c r="E180" s="584">
        <v>0</v>
      </c>
      <c r="F180" s="585">
        <v>12</v>
      </c>
      <c r="G180" s="583">
        <v>10</v>
      </c>
      <c r="H180" s="586">
        <v>12</v>
      </c>
      <c r="I180" s="584">
        <v>0</v>
      </c>
      <c r="J180" s="585">
        <v>22</v>
      </c>
      <c r="K180" s="583">
        <v>7</v>
      </c>
      <c r="L180" s="586">
        <v>11</v>
      </c>
      <c r="M180" s="584">
        <v>0</v>
      </c>
      <c r="N180" s="585">
        <v>18</v>
      </c>
      <c r="O180" s="583">
        <v>11</v>
      </c>
      <c r="P180" s="586">
        <v>5</v>
      </c>
      <c r="Q180" s="584">
        <v>0</v>
      </c>
      <c r="R180" s="585">
        <v>16</v>
      </c>
      <c r="S180" s="583">
        <v>13</v>
      </c>
      <c r="T180" s="586">
        <v>18</v>
      </c>
      <c r="U180" s="584">
        <v>0</v>
      </c>
      <c r="V180" s="585">
        <v>31</v>
      </c>
      <c r="W180" s="583">
        <v>7</v>
      </c>
      <c r="X180" s="586">
        <v>8</v>
      </c>
      <c r="Y180" s="584">
        <v>0</v>
      </c>
      <c r="Z180" s="585">
        <v>15</v>
      </c>
      <c r="AA180" s="583">
        <v>10</v>
      </c>
      <c r="AB180" s="586">
        <v>1</v>
      </c>
      <c r="AC180" s="584">
        <v>0</v>
      </c>
      <c r="AD180" s="585">
        <v>11</v>
      </c>
      <c r="AE180" s="586">
        <v>7</v>
      </c>
      <c r="AF180" s="586">
        <v>0</v>
      </c>
      <c r="AG180" s="584">
        <v>0</v>
      </c>
      <c r="AH180" s="585">
        <v>7</v>
      </c>
      <c r="AI180" s="586"/>
      <c r="AJ180" s="586"/>
      <c r="AK180" s="584"/>
      <c r="AL180" s="585"/>
    </row>
    <row r="181" spans="1:38" s="259" customFormat="1" ht="13.5" thickBot="1" x14ac:dyDescent="0.25">
      <c r="A181" s="1025"/>
      <c r="B181" s="770" t="s">
        <v>793</v>
      </c>
      <c r="C181" s="762">
        <v>112</v>
      </c>
      <c r="D181" s="763">
        <v>42</v>
      </c>
      <c r="E181" s="763">
        <v>59</v>
      </c>
      <c r="F181" s="764">
        <v>213</v>
      </c>
      <c r="G181" s="762">
        <v>103</v>
      </c>
      <c r="H181" s="763">
        <v>51</v>
      </c>
      <c r="I181" s="763">
        <v>77</v>
      </c>
      <c r="J181" s="764">
        <v>231</v>
      </c>
      <c r="K181" s="762">
        <v>120</v>
      </c>
      <c r="L181" s="763">
        <v>43</v>
      </c>
      <c r="M181" s="763">
        <v>73</v>
      </c>
      <c r="N181" s="764">
        <v>236</v>
      </c>
      <c r="O181" s="762">
        <v>154</v>
      </c>
      <c r="P181" s="763">
        <v>64</v>
      </c>
      <c r="Q181" s="763">
        <v>101</v>
      </c>
      <c r="R181" s="764">
        <v>319</v>
      </c>
      <c r="S181" s="762">
        <v>150</v>
      </c>
      <c r="T181" s="763">
        <v>85</v>
      </c>
      <c r="U181" s="763">
        <v>143</v>
      </c>
      <c r="V181" s="764">
        <v>378</v>
      </c>
      <c r="W181" s="762">
        <v>107</v>
      </c>
      <c r="X181" s="763">
        <v>24</v>
      </c>
      <c r="Y181" s="763">
        <v>112</v>
      </c>
      <c r="Z181" s="764">
        <v>243</v>
      </c>
      <c r="AA181" s="762">
        <v>68</v>
      </c>
      <c r="AB181" s="763">
        <v>22</v>
      </c>
      <c r="AC181" s="763">
        <v>118</v>
      </c>
      <c r="AD181" s="764">
        <v>208</v>
      </c>
      <c r="AE181" s="763">
        <v>56</v>
      </c>
      <c r="AF181" s="763">
        <v>36</v>
      </c>
      <c r="AG181" s="763">
        <v>155</v>
      </c>
      <c r="AH181" s="764">
        <v>247</v>
      </c>
      <c r="AI181" s="763"/>
      <c r="AJ181" s="763"/>
      <c r="AK181" s="763"/>
      <c r="AL181" s="764"/>
    </row>
    <row r="182" spans="1:38" x14ac:dyDescent="0.2">
      <c r="A182" s="1017" t="s">
        <v>609</v>
      </c>
      <c r="B182" s="767" t="s">
        <v>610</v>
      </c>
      <c r="C182" s="573">
        <v>1</v>
      </c>
      <c r="D182" s="574">
        <v>0</v>
      </c>
      <c r="E182" s="574">
        <v>0</v>
      </c>
      <c r="F182" s="575">
        <v>1</v>
      </c>
      <c r="G182" s="593">
        <v>0</v>
      </c>
      <c r="H182" s="574">
        <v>0</v>
      </c>
      <c r="I182" s="576">
        <v>2</v>
      </c>
      <c r="J182" s="575">
        <v>2</v>
      </c>
      <c r="K182" s="593">
        <v>0</v>
      </c>
      <c r="L182" s="574">
        <v>0</v>
      </c>
      <c r="M182" s="574">
        <v>0</v>
      </c>
      <c r="N182" s="594">
        <v>0</v>
      </c>
      <c r="O182" s="593">
        <v>0</v>
      </c>
      <c r="P182" s="574">
        <v>0</v>
      </c>
      <c r="Q182" s="576">
        <v>2</v>
      </c>
      <c r="R182" s="575">
        <v>2</v>
      </c>
      <c r="S182" s="593">
        <v>2</v>
      </c>
      <c r="T182" s="574">
        <v>0</v>
      </c>
      <c r="U182" s="574">
        <v>0</v>
      </c>
      <c r="V182" s="594">
        <v>2</v>
      </c>
      <c r="W182" s="593">
        <v>0</v>
      </c>
      <c r="X182" s="574">
        <v>0</v>
      </c>
      <c r="Y182" s="576">
        <v>0</v>
      </c>
      <c r="Z182" s="575">
        <v>0</v>
      </c>
      <c r="AA182" s="593">
        <v>0</v>
      </c>
      <c r="AB182" s="574">
        <v>0</v>
      </c>
      <c r="AC182" s="576">
        <v>0</v>
      </c>
      <c r="AD182" s="575">
        <v>0</v>
      </c>
      <c r="AE182" s="574">
        <v>0</v>
      </c>
      <c r="AF182" s="574">
        <v>0</v>
      </c>
      <c r="AG182" s="576">
        <v>0</v>
      </c>
      <c r="AH182" s="575">
        <v>0</v>
      </c>
      <c r="AI182" s="574"/>
      <c r="AJ182" s="574"/>
      <c r="AK182" s="576"/>
      <c r="AL182" s="575"/>
    </row>
    <row r="183" spans="1:38" x14ac:dyDescent="0.2">
      <c r="A183" s="1018"/>
      <c r="B183" s="768" t="s">
        <v>760</v>
      </c>
      <c r="C183" s="577">
        <v>20</v>
      </c>
      <c r="D183" s="578">
        <v>0</v>
      </c>
      <c r="E183" s="582">
        <v>53</v>
      </c>
      <c r="F183" s="579">
        <v>73</v>
      </c>
      <c r="G183" s="577">
        <v>49</v>
      </c>
      <c r="H183" s="578">
        <v>0</v>
      </c>
      <c r="I183" s="582">
        <v>65</v>
      </c>
      <c r="J183" s="579">
        <v>114</v>
      </c>
      <c r="K183" s="577">
        <v>34</v>
      </c>
      <c r="L183" s="582">
        <v>2</v>
      </c>
      <c r="M183" s="582">
        <v>48</v>
      </c>
      <c r="N183" s="579">
        <v>84</v>
      </c>
      <c r="O183" s="577">
        <v>46</v>
      </c>
      <c r="P183" s="578">
        <v>0</v>
      </c>
      <c r="Q183" s="582">
        <v>61</v>
      </c>
      <c r="R183" s="579">
        <v>107</v>
      </c>
      <c r="S183" s="577">
        <v>30</v>
      </c>
      <c r="T183" s="582">
        <v>0</v>
      </c>
      <c r="U183" s="582">
        <v>54</v>
      </c>
      <c r="V183" s="579">
        <v>84</v>
      </c>
      <c r="W183" s="577">
        <v>32</v>
      </c>
      <c r="X183" s="578">
        <v>0</v>
      </c>
      <c r="Y183" s="582">
        <v>53</v>
      </c>
      <c r="Z183" s="579">
        <v>85</v>
      </c>
      <c r="AA183" s="577">
        <v>9</v>
      </c>
      <c r="AB183" s="578">
        <v>0</v>
      </c>
      <c r="AC183" s="582">
        <v>79</v>
      </c>
      <c r="AD183" s="579">
        <v>88</v>
      </c>
      <c r="AE183" s="582">
        <v>18</v>
      </c>
      <c r="AF183" s="578">
        <v>0</v>
      </c>
      <c r="AG183" s="582">
        <v>60</v>
      </c>
      <c r="AH183" s="579">
        <v>78</v>
      </c>
      <c r="AI183" s="582"/>
      <c r="AJ183" s="578"/>
      <c r="AK183" s="582"/>
      <c r="AL183" s="579"/>
    </row>
    <row r="184" spans="1:38" x14ac:dyDescent="0.2">
      <c r="A184" s="1018"/>
      <c r="B184" s="768" t="s">
        <v>761</v>
      </c>
      <c r="C184" s="577">
        <v>20</v>
      </c>
      <c r="D184" s="578">
        <v>0</v>
      </c>
      <c r="E184" s="582">
        <v>28</v>
      </c>
      <c r="F184" s="579">
        <v>48</v>
      </c>
      <c r="G184" s="577">
        <v>34</v>
      </c>
      <c r="H184" s="578">
        <v>0</v>
      </c>
      <c r="I184" s="582">
        <v>26</v>
      </c>
      <c r="J184" s="579">
        <v>60</v>
      </c>
      <c r="K184" s="577">
        <v>15</v>
      </c>
      <c r="L184" s="578">
        <v>0</v>
      </c>
      <c r="M184" s="582">
        <v>35</v>
      </c>
      <c r="N184" s="579">
        <v>50</v>
      </c>
      <c r="O184" s="577">
        <v>36</v>
      </c>
      <c r="P184" s="578">
        <v>0</v>
      </c>
      <c r="Q184" s="582">
        <v>29</v>
      </c>
      <c r="R184" s="579">
        <v>65</v>
      </c>
      <c r="S184" s="577">
        <v>31</v>
      </c>
      <c r="T184" s="578">
        <v>0</v>
      </c>
      <c r="U184" s="582">
        <v>31</v>
      </c>
      <c r="V184" s="579">
        <v>62</v>
      </c>
      <c r="W184" s="577">
        <v>15</v>
      </c>
      <c r="X184" s="578">
        <v>0</v>
      </c>
      <c r="Y184" s="582">
        <v>23</v>
      </c>
      <c r="Z184" s="579">
        <v>38</v>
      </c>
      <c r="AA184" s="577">
        <v>43</v>
      </c>
      <c r="AB184" s="578">
        <v>0</v>
      </c>
      <c r="AC184" s="582">
        <v>62</v>
      </c>
      <c r="AD184" s="579">
        <v>105</v>
      </c>
      <c r="AE184" s="582">
        <v>62</v>
      </c>
      <c r="AF184" s="578">
        <v>0</v>
      </c>
      <c r="AG184" s="582">
        <v>48</v>
      </c>
      <c r="AH184" s="579">
        <v>110</v>
      </c>
      <c r="AI184" s="582"/>
      <c r="AJ184" s="578"/>
      <c r="AK184" s="582"/>
      <c r="AL184" s="579"/>
    </row>
    <row r="185" spans="1:38" x14ac:dyDescent="0.2">
      <c r="A185" s="1018"/>
      <c r="B185" s="768" t="s">
        <v>762</v>
      </c>
      <c r="C185" s="577">
        <v>20</v>
      </c>
      <c r="D185" s="582">
        <v>30</v>
      </c>
      <c r="E185" s="582">
        <v>8</v>
      </c>
      <c r="F185" s="579">
        <v>58</v>
      </c>
      <c r="G185" s="577">
        <v>33</v>
      </c>
      <c r="H185" s="582">
        <v>4</v>
      </c>
      <c r="I185" s="582">
        <v>32</v>
      </c>
      <c r="J185" s="579">
        <v>69</v>
      </c>
      <c r="K185" s="577">
        <v>30</v>
      </c>
      <c r="L185" s="582">
        <v>13</v>
      </c>
      <c r="M185" s="582">
        <v>22</v>
      </c>
      <c r="N185" s="579">
        <v>65</v>
      </c>
      <c r="O185" s="577">
        <v>16</v>
      </c>
      <c r="P185" s="582">
        <v>2</v>
      </c>
      <c r="Q185" s="582">
        <v>22</v>
      </c>
      <c r="R185" s="579">
        <v>40</v>
      </c>
      <c r="S185" s="577">
        <v>35</v>
      </c>
      <c r="T185" s="582">
        <v>0</v>
      </c>
      <c r="U185" s="582">
        <v>45</v>
      </c>
      <c r="V185" s="579">
        <v>80</v>
      </c>
      <c r="W185" s="577">
        <v>6</v>
      </c>
      <c r="X185" s="582">
        <v>0</v>
      </c>
      <c r="Y185" s="582">
        <v>62</v>
      </c>
      <c r="Z185" s="579">
        <v>68</v>
      </c>
      <c r="AA185" s="577">
        <v>20</v>
      </c>
      <c r="AB185" s="582">
        <v>0</v>
      </c>
      <c r="AC185" s="582">
        <v>105</v>
      </c>
      <c r="AD185" s="579">
        <v>125</v>
      </c>
      <c r="AE185" s="582">
        <v>20</v>
      </c>
      <c r="AF185" s="582">
        <v>0</v>
      </c>
      <c r="AG185" s="582">
        <v>105</v>
      </c>
      <c r="AH185" s="579">
        <v>125</v>
      </c>
      <c r="AI185" s="582"/>
      <c r="AJ185" s="582"/>
      <c r="AK185" s="582"/>
      <c r="AL185" s="579"/>
    </row>
    <row r="186" spans="1:38" x14ac:dyDescent="0.2">
      <c r="A186" s="1018"/>
      <c r="B186" s="768" t="s">
        <v>763</v>
      </c>
      <c r="C186" s="577">
        <v>18</v>
      </c>
      <c r="D186" s="578">
        <v>0</v>
      </c>
      <c r="E186" s="578">
        <v>0</v>
      </c>
      <c r="F186" s="579">
        <v>18</v>
      </c>
      <c r="G186" s="577">
        <v>27</v>
      </c>
      <c r="H186" s="578">
        <v>0</v>
      </c>
      <c r="I186" s="578">
        <v>0</v>
      </c>
      <c r="J186" s="579">
        <v>27</v>
      </c>
      <c r="K186" s="577">
        <v>29</v>
      </c>
      <c r="L186" s="582">
        <v>1</v>
      </c>
      <c r="M186" s="578">
        <v>0</v>
      </c>
      <c r="N186" s="579">
        <v>30</v>
      </c>
      <c r="O186" s="577">
        <v>40</v>
      </c>
      <c r="P186" s="578">
        <v>0</v>
      </c>
      <c r="Q186" s="578">
        <v>0</v>
      </c>
      <c r="R186" s="579">
        <v>40</v>
      </c>
      <c r="S186" s="577">
        <v>35</v>
      </c>
      <c r="T186" s="582">
        <v>0</v>
      </c>
      <c r="U186" s="578">
        <v>0</v>
      </c>
      <c r="V186" s="579">
        <v>35</v>
      </c>
      <c r="W186" s="577">
        <v>39</v>
      </c>
      <c r="X186" s="578">
        <v>0</v>
      </c>
      <c r="Y186" s="578">
        <v>0</v>
      </c>
      <c r="Z186" s="579">
        <v>39</v>
      </c>
      <c r="AA186" s="577">
        <v>48</v>
      </c>
      <c r="AB186" s="578">
        <v>0</v>
      </c>
      <c r="AC186" s="578">
        <v>0</v>
      </c>
      <c r="AD186" s="579">
        <v>48</v>
      </c>
      <c r="AE186" s="582">
        <v>68</v>
      </c>
      <c r="AF186" s="578">
        <v>0</v>
      </c>
      <c r="AG186" s="578">
        <v>0</v>
      </c>
      <c r="AH186" s="579">
        <v>68</v>
      </c>
      <c r="AI186" s="582"/>
      <c r="AJ186" s="578"/>
      <c r="AK186" s="578"/>
      <c r="AL186" s="579"/>
    </row>
    <row r="187" spans="1:38" x14ac:dyDescent="0.2">
      <c r="A187" s="1018"/>
      <c r="B187" s="768" t="s">
        <v>764</v>
      </c>
      <c r="C187" s="577">
        <v>34</v>
      </c>
      <c r="D187" s="578">
        <v>0</v>
      </c>
      <c r="E187" s="582">
        <v>35</v>
      </c>
      <c r="F187" s="579">
        <v>69</v>
      </c>
      <c r="G187" s="577">
        <v>80</v>
      </c>
      <c r="H187" s="578">
        <v>0</v>
      </c>
      <c r="I187" s="582">
        <v>31</v>
      </c>
      <c r="J187" s="579">
        <v>111</v>
      </c>
      <c r="K187" s="577">
        <v>71</v>
      </c>
      <c r="L187" s="582">
        <v>2</v>
      </c>
      <c r="M187" s="582">
        <v>30</v>
      </c>
      <c r="N187" s="579">
        <v>103</v>
      </c>
      <c r="O187" s="577">
        <v>71</v>
      </c>
      <c r="P187" s="582">
        <v>5</v>
      </c>
      <c r="Q187" s="582">
        <v>26</v>
      </c>
      <c r="R187" s="579">
        <v>102</v>
      </c>
      <c r="S187" s="577">
        <v>38</v>
      </c>
      <c r="T187" s="582">
        <v>8</v>
      </c>
      <c r="U187" s="582">
        <v>37</v>
      </c>
      <c r="V187" s="579">
        <v>83</v>
      </c>
      <c r="W187" s="577">
        <v>31</v>
      </c>
      <c r="X187" s="582">
        <v>7</v>
      </c>
      <c r="Y187" s="582">
        <v>37</v>
      </c>
      <c r="Z187" s="579">
        <v>75</v>
      </c>
      <c r="AA187" s="577">
        <v>61</v>
      </c>
      <c r="AB187" s="582">
        <v>21</v>
      </c>
      <c r="AC187" s="582">
        <v>30</v>
      </c>
      <c r="AD187" s="579">
        <v>112</v>
      </c>
      <c r="AE187" s="582">
        <v>53</v>
      </c>
      <c r="AF187" s="582">
        <v>14</v>
      </c>
      <c r="AG187" s="582">
        <v>49</v>
      </c>
      <c r="AH187" s="579">
        <v>116</v>
      </c>
      <c r="AI187" s="582"/>
      <c r="AJ187" s="582"/>
      <c r="AK187" s="582"/>
      <c r="AL187" s="579"/>
    </row>
    <row r="188" spans="1:38" x14ac:dyDescent="0.2">
      <c r="A188" s="1018"/>
      <c r="B188" s="768" t="s">
        <v>765</v>
      </c>
      <c r="C188" s="577">
        <v>32</v>
      </c>
      <c r="D188" s="582">
        <v>1</v>
      </c>
      <c r="E188" s="582">
        <v>14</v>
      </c>
      <c r="F188" s="579">
        <v>47</v>
      </c>
      <c r="G188" s="577">
        <v>37</v>
      </c>
      <c r="H188" s="578">
        <v>0</v>
      </c>
      <c r="I188" s="582">
        <v>16</v>
      </c>
      <c r="J188" s="579">
        <v>53</v>
      </c>
      <c r="K188" s="577">
        <v>21</v>
      </c>
      <c r="L188" s="578">
        <v>0</v>
      </c>
      <c r="M188" s="582">
        <v>11</v>
      </c>
      <c r="N188" s="579">
        <v>32</v>
      </c>
      <c r="O188" s="577">
        <v>48</v>
      </c>
      <c r="P188" s="578">
        <v>0</v>
      </c>
      <c r="Q188" s="582">
        <v>12</v>
      </c>
      <c r="R188" s="579">
        <v>60</v>
      </c>
      <c r="S188" s="577">
        <v>31</v>
      </c>
      <c r="T188" s="578">
        <v>9</v>
      </c>
      <c r="U188" s="582">
        <v>26</v>
      </c>
      <c r="V188" s="579">
        <v>66</v>
      </c>
      <c r="W188" s="577">
        <v>37</v>
      </c>
      <c r="X188" s="578">
        <v>0</v>
      </c>
      <c r="Y188" s="582">
        <v>24</v>
      </c>
      <c r="Z188" s="579">
        <v>61</v>
      </c>
      <c r="AA188" s="577">
        <v>45</v>
      </c>
      <c r="AB188" s="578">
        <v>2</v>
      </c>
      <c r="AC188" s="582">
        <v>27</v>
      </c>
      <c r="AD188" s="579">
        <v>74</v>
      </c>
      <c r="AE188" s="582">
        <v>22</v>
      </c>
      <c r="AF188" s="578">
        <v>0</v>
      </c>
      <c r="AG188" s="582">
        <v>49</v>
      </c>
      <c r="AH188" s="579">
        <v>71</v>
      </c>
      <c r="AI188" s="582"/>
      <c r="AJ188" s="578"/>
      <c r="AK188" s="582"/>
      <c r="AL188" s="579"/>
    </row>
    <row r="189" spans="1:38" ht="13.5" thickBot="1" x14ac:dyDescent="0.25">
      <c r="A189" s="1018"/>
      <c r="B189" s="769" t="s">
        <v>627</v>
      </c>
      <c r="C189" s="583">
        <v>12</v>
      </c>
      <c r="D189" s="584">
        <v>0</v>
      </c>
      <c r="E189" s="586">
        <v>12</v>
      </c>
      <c r="F189" s="585">
        <v>24</v>
      </c>
      <c r="G189" s="583">
        <v>11</v>
      </c>
      <c r="H189" s="586">
        <v>1</v>
      </c>
      <c r="I189" s="586">
        <v>15</v>
      </c>
      <c r="J189" s="585">
        <v>27</v>
      </c>
      <c r="K189" s="583">
        <v>9</v>
      </c>
      <c r="L189" s="586">
        <v>4</v>
      </c>
      <c r="M189" s="586">
        <v>13</v>
      </c>
      <c r="N189" s="585">
        <v>26</v>
      </c>
      <c r="O189" s="583">
        <v>30</v>
      </c>
      <c r="P189" s="584">
        <v>0</v>
      </c>
      <c r="Q189" s="586">
        <v>10</v>
      </c>
      <c r="R189" s="585">
        <v>40</v>
      </c>
      <c r="S189" s="583">
        <v>7</v>
      </c>
      <c r="T189" s="586">
        <v>0</v>
      </c>
      <c r="U189" s="586">
        <v>24</v>
      </c>
      <c r="V189" s="585">
        <v>31</v>
      </c>
      <c r="W189" s="583">
        <v>8</v>
      </c>
      <c r="X189" s="584">
        <v>0</v>
      </c>
      <c r="Y189" s="586">
        <v>32</v>
      </c>
      <c r="Z189" s="585">
        <v>40</v>
      </c>
      <c r="AA189" s="583">
        <v>17</v>
      </c>
      <c r="AB189" s="584">
        <v>0</v>
      </c>
      <c r="AC189" s="586">
        <v>40</v>
      </c>
      <c r="AD189" s="585">
        <v>57</v>
      </c>
      <c r="AE189" s="586">
        <v>12</v>
      </c>
      <c r="AF189" s="584">
        <v>0</v>
      </c>
      <c r="AG189" s="586">
        <v>47</v>
      </c>
      <c r="AH189" s="585">
        <v>59</v>
      </c>
      <c r="AI189" s="586"/>
      <c r="AJ189" s="584"/>
      <c r="AK189" s="586"/>
      <c r="AL189" s="585"/>
    </row>
    <row r="190" spans="1:38" s="259" customFormat="1" ht="13.5" thickBot="1" x14ac:dyDescent="0.25">
      <c r="A190" s="1019"/>
      <c r="B190" s="770" t="s">
        <v>794</v>
      </c>
      <c r="C190" s="762">
        <v>157</v>
      </c>
      <c r="D190" s="763">
        <v>31</v>
      </c>
      <c r="E190" s="763">
        <v>150</v>
      </c>
      <c r="F190" s="764">
        <v>338</v>
      </c>
      <c r="G190" s="762">
        <v>271</v>
      </c>
      <c r="H190" s="763">
        <v>5</v>
      </c>
      <c r="I190" s="763">
        <v>187</v>
      </c>
      <c r="J190" s="764">
        <v>463</v>
      </c>
      <c r="K190" s="762">
        <v>209</v>
      </c>
      <c r="L190" s="763">
        <v>22</v>
      </c>
      <c r="M190" s="763">
        <v>159</v>
      </c>
      <c r="N190" s="764">
        <v>390</v>
      </c>
      <c r="O190" s="762">
        <v>287</v>
      </c>
      <c r="P190" s="763">
        <v>7</v>
      </c>
      <c r="Q190" s="763">
        <v>162</v>
      </c>
      <c r="R190" s="764">
        <v>456</v>
      </c>
      <c r="S190" s="762">
        <v>209</v>
      </c>
      <c r="T190" s="763">
        <v>17</v>
      </c>
      <c r="U190" s="763">
        <v>217</v>
      </c>
      <c r="V190" s="764">
        <v>443</v>
      </c>
      <c r="W190" s="762">
        <v>168</v>
      </c>
      <c r="X190" s="763">
        <v>7</v>
      </c>
      <c r="Y190" s="763">
        <v>231</v>
      </c>
      <c r="Z190" s="764">
        <v>406</v>
      </c>
      <c r="AA190" s="762">
        <v>243</v>
      </c>
      <c r="AB190" s="763">
        <v>23</v>
      </c>
      <c r="AC190" s="763">
        <v>343</v>
      </c>
      <c r="AD190" s="764">
        <v>609</v>
      </c>
      <c r="AE190" s="763">
        <v>255</v>
      </c>
      <c r="AF190" s="763">
        <v>14</v>
      </c>
      <c r="AG190" s="763">
        <v>358</v>
      </c>
      <c r="AH190" s="764">
        <v>627</v>
      </c>
      <c r="AI190" s="763"/>
      <c r="AJ190" s="763"/>
      <c r="AK190" s="763"/>
      <c r="AL190" s="764"/>
    </row>
    <row r="191" spans="1:38" x14ac:dyDescent="0.2">
      <c r="A191" s="1026" t="s">
        <v>611</v>
      </c>
      <c r="B191" s="771" t="s">
        <v>612</v>
      </c>
      <c r="C191" s="587">
        <v>0</v>
      </c>
      <c r="D191" s="588">
        <v>0</v>
      </c>
      <c r="E191" s="588">
        <v>0</v>
      </c>
      <c r="F191" s="589">
        <v>0</v>
      </c>
      <c r="G191" s="590">
        <v>1</v>
      </c>
      <c r="H191" s="588">
        <v>0</v>
      </c>
      <c r="I191" s="588">
        <v>0</v>
      </c>
      <c r="J191" s="592">
        <v>1</v>
      </c>
      <c r="K191" s="590">
        <v>1</v>
      </c>
      <c r="L191" s="588">
        <v>0</v>
      </c>
      <c r="M191" s="591">
        <v>1</v>
      </c>
      <c r="N191" s="592">
        <v>2</v>
      </c>
      <c r="O191" s="590">
        <v>7</v>
      </c>
      <c r="P191" s="588">
        <v>0</v>
      </c>
      <c r="Q191" s="588">
        <v>0</v>
      </c>
      <c r="R191" s="592">
        <v>7</v>
      </c>
      <c r="S191" s="590">
        <v>15</v>
      </c>
      <c r="T191" s="588">
        <v>0</v>
      </c>
      <c r="U191" s="591">
        <v>0</v>
      </c>
      <c r="V191" s="592">
        <v>15</v>
      </c>
      <c r="W191" s="590">
        <v>17</v>
      </c>
      <c r="X191" s="588">
        <v>0</v>
      </c>
      <c r="Y191" s="588">
        <v>0</v>
      </c>
      <c r="Z191" s="592">
        <v>17</v>
      </c>
      <c r="AA191" s="590">
        <v>0</v>
      </c>
      <c r="AB191" s="588">
        <v>0</v>
      </c>
      <c r="AC191" s="588">
        <v>0</v>
      </c>
      <c r="AD191" s="592">
        <v>0</v>
      </c>
      <c r="AE191" s="591">
        <v>0</v>
      </c>
      <c r="AF191" s="588">
        <v>0</v>
      </c>
      <c r="AG191" s="588">
        <v>0</v>
      </c>
      <c r="AH191" s="592">
        <v>0</v>
      </c>
      <c r="AI191" s="591"/>
      <c r="AJ191" s="588"/>
      <c r="AK191" s="588"/>
      <c r="AL191" s="592"/>
    </row>
    <row r="192" spans="1:38" x14ac:dyDescent="0.2">
      <c r="A192" s="1018"/>
      <c r="B192" s="768" t="s">
        <v>766</v>
      </c>
      <c r="C192" s="577">
        <v>62</v>
      </c>
      <c r="D192" s="582">
        <v>2</v>
      </c>
      <c r="E192" s="582">
        <v>14</v>
      </c>
      <c r="F192" s="579">
        <v>78</v>
      </c>
      <c r="G192" s="577">
        <v>67</v>
      </c>
      <c r="H192" s="578">
        <v>0</v>
      </c>
      <c r="I192" s="582">
        <v>58</v>
      </c>
      <c r="J192" s="579">
        <v>125</v>
      </c>
      <c r="K192" s="577">
        <v>42</v>
      </c>
      <c r="L192" s="578">
        <v>0</v>
      </c>
      <c r="M192" s="582">
        <v>32</v>
      </c>
      <c r="N192" s="579">
        <v>74</v>
      </c>
      <c r="O192" s="577">
        <v>44</v>
      </c>
      <c r="P192" s="582">
        <v>1</v>
      </c>
      <c r="Q192" s="582">
        <v>55</v>
      </c>
      <c r="R192" s="579">
        <v>100</v>
      </c>
      <c r="S192" s="577">
        <v>40</v>
      </c>
      <c r="T192" s="578">
        <v>0</v>
      </c>
      <c r="U192" s="582">
        <v>66</v>
      </c>
      <c r="V192" s="579">
        <v>106</v>
      </c>
      <c r="W192" s="577">
        <v>7</v>
      </c>
      <c r="X192" s="582">
        <v>0</v>
      </c>
      <c r="Y192" s="582">
        <v>7</v>
      </c>
      <c r="Z192" s="579">
        <v>14</v>
      </c>
      <c r="AA192" s="577">
        <v>18</v>
      </c>
      <c r="AB192" s="582">
        <v>0</v>
      </c>
      <c r="AC192" s="582">
        <v>25</v>
      </c>
      <c r="AD192" s="579">
        <v>43</v>
      </c>
      <c r="AE192" s="582">
        <v>13</v>
      </c>
      <c r="AF192" s="582">
        <v>0</v>
      </c>
      <c r="AG192" s="582">
        <v>56</v>
      </c>
      <c r="AH192" s="579">
        <v>69</v>
      </c>
      <c r="AI192" s="582"/>
      <c r="AJ192" s="582"/>
      <c r="AK192" s="582"/>
      <c r="AL192" s="579"/>
    </row>
    <row r="193" spans="1:38" x14ac:dyDescent="0.2">
      <c r="A193" s="1018"/>
      <c r="B193" s="768" t="s">
        <v>628</v>
      </c>
      <c r="C193" s="577">
        <v>12</v>
      </c>
      <c r="D193" s="582">
        <v>1</v>
      </c>
      <c r="E193" s="582">
        <v>16</v>
      </c>
      <c r="F193" s="579">
        <v>29</v>
      </c>
      <c r="G193" s="577">
        <v>28</v>
      </c>
      <c r="H193" s="578">
        <v>0</v>
      </c>
      <c r="I193" s="582">
        <v>16</v>
      </c>
      <c r="J193" s="579">
        <v>44</v>
      </c>
      <c r="K193" s="577">
        <v>1</v>
      </c>
      <c r="L193" s="582">
        <v>1</v>
      </c>
      <c r="M193" s="582">
        <v>10</v>
      </c>
      <c r="N193" s="579">
        <v>12</v>
      </c>
      <c r="O193" s="577">
        <v>20</v>
      </c>
      <c r="P193" s="582">
        <v>1</v>
      </c>
      <c r="Q193" s="582">
        <v>22</v>
      </c>
      <c r="R193" s="579">
        <v>43</v>
      </c>
      <c r="S193" s="577">
        <v>23</v>
      </c>
      <c r="T193" s="582">
        <v>0</v>
      </c>
      <c r="U193" s="582">
        <v>23</v>
      </c>
      <c r="V193" s="579">
        <v>46</v>
      </c>
      <c r="W193" s="577">
        <v>0</v>
      </c>
      <c r="X193" s="582">
        <v>0</v>
      </c>
      <c r="Y193" s="582">
        <v>4</v>
      </c>
      <c r="Z193" s="579">
        <v>4</v>
      </c>
      <c r="AA193" s="577">
        <v>5</v>
      </c>
      <c r="AB193" s="582">
        <v>0</v>
      </c>
      <c r="AC193" s="582">
        <v>30</v>
      </c>
      <c r="AD193" s="579">
        <v>35</v>
      </c>
      <c r="AE193" s="582">
        <v>3</v>
      </c>
      <c r="AF193" s="582">
        <v>0</v>
      </c>
      <c r="AG193" s="582">
        <v>33</v>
      </c>
      <c r="AH193" s="579">
        <v>36</v>
      </c>
      <c r="AI193" s="582"/>
      <c r="AJ193" s="582"/>
      <c r="AK193" s="582"/>
      <c r="AL193" s="579"/>
    </row>
    <row r="194" spans="1:38" x14ac:dyDescent="0.2">
      <c r="A194" s="1018"/>
      <c r="B194" s="768" t="s">
        <v>767</v>
      </c>
      <c r="C194" s="577">
        <v>17</v>
      </c>
      <c r="D194" s="582">
        <v>2</v>
      </c>
      <c r="E194" s="582">
        <v>39</v>
      </c>
      <c r="F194" s="579">
        <v>58</v>
      </c>
      <c r="G194" s="577">
        <v>12</v>
      </c>
      <c r="H194" s="582">
        <v>5</v>
      </c>
      <c r="I194" s="582">
        <v>43</v>
      </c>
      <c r="J194" s="579">
        <v>60</v>
      </c>
      <c r="K194" s="577">
        <v>13</v>
      </c>
      <c r="L194" s="582">
        <v>1</v>
      </c>
      <c r="M194" s="582">
        <v>48</v>
      </c>
      <c r="N194" s="579">
        <v>62</v>
      </c>
      <c r="O194" s="577">
        <v>44</v>
      </c>
      <c r="P194" s="582">
        <v>7</v>
      </c>
      <c r="Q194" s="582">
        <v>80</v>
      </c>
      <c r="R194" s="579">
        <v>131</v>
      </c>
      <c r="S194" s="577">
        <v>41</v>
      </c>
      <c r="T194" s="582">
        <v>7</v>
      </c>
      <c r="U194" s="582">
        <v>73</v>
      </c>
      <c r="V194" s="579">
        <v>121</v>
      </c>
      <c r="W194" s="577">
        <v>3</v>
      </c>
      <c r="X194" s="582">
        <v>0</v>
      </c>
      <c r="Y194" s="582">
        <v>9</v>
      </c>
      <c r="Z194" s="579">
        <v>12</v>
      </c>
      <c r="AA194" s="577">
        <v>7</v>
      </c>
      <c r="AB194" s="582">
        <v>0</v>
      </c>
      <c r="AC194" s="582">
        <v>17</v>
      </c>
      <c r="AD194" s="579">
        <v>24</v>
      </c>
      <c r="AE194" s="582">
        <v>13</v>
      </c>
      <c r="AF194" s="582">
        <v>1</v>
      </c>
      <c r="AG194" s="582">
        <v>46</v>
      </c>
      <c r="AH194" s="579">
        <v>60</v>
      </c>
      <c r="AI194" s="582"/>
      <c r="AJ194" s="582"/>
      <c r="AK194" s="582"/>
      <c r="AL194" s="579"/>
    </row>
    <row r="195" spans="1:38" ht="13.5" thickBot="1" x14ac:dyDescent="0.25">
      <c r="A195" s="1018"/>
      <c r="B195" s="769" t="s">
        <v>768</v>
      </c>
      <c r="C195" s="583">
        <v>21</v>
      </c>
      <c r="D195" s="586">
        <v>9</v>
      </c>
      <c r="E195" s="586">
        <v>20</v>
      </c>
      <c r="F195" s="585">
        <v>50</v>
      </c>
      <c r="G195" s="583">
        <v>11</v>
      </c>
      <c r="H195" s="586">
        <v>11</v>
      </c>
      <c r="I195" s="586">
        <v>37</v>
      </c>
      <c r="J195" s="585">
        <v>59</v>
      </c>
      <c r="K195" s="583">
        <v>22</v>
      </c>
      <c r="L195" s="584">
        <v>0</v>
      </c>
      <c r="M195" s="586">
        <v>33</v>
      </c>
      <c r="N195" s="585">
        <v>55</v>
      </c>
      <c r="O195" s="583">
        <v>24</v>
      </c>
      <c r="P195" s="586">
        <v>1</v>
      </c>
      <c r="Q195" s="586">
        <v>58</v>
      </c>
      <c r="R195" s="585">
        <v>83</v>
      </c>
      <c r="S195" s="583">
        <v>30</v>
      </c>
      <c r="T195" s="584">
        <v>0</v>
      </c>
      <c r="U195" s="586">
        <v>70</v>
      </c>
      <c r="V195" s="585">
        <v>100</v>
      </c>
      <c r="W195" s="583">
        <v>14</v>
      </c>
      <c r="X195" s="586">
        <v>0</v>
      </c>
      <c r="Y195" s="586">
        <v>11</v>
      </c>
      <c r="Z195" s="585">
        <v>25</v>
      </c>
      <c r="AA195" s="583">
        <v>13</v>
      </c>
      <c r="AB195" s="586">
        <v>0</v>
      </c>
      <c r="AC195" s="586">
        <v>47</v>
      </c>
      <c r="AD195" s="585">
        <v>60</v>
      </c>
      <c r="AE195" s="586">
        <v>20</v>
      </c>
      <c r="AF195" s="586">
        <v>0</v>
      </c>
      <c r="AG195" s="586">
        <v>28</v>
      </c>
      <c r="AH195" s="585">
        <v>48</v>
      </c>
      <c r="AI195" s="586"/>
      <c r="AJ195" s="586"/>
      <c r="AK195" s="586"/>
      <c r="AL195" s="585"/>
    </row>
    <row r="196" spans="1:38" s="259" customFormat="1" ht="13.5" thickBot="1" x14ac:dyDescent="0.25">
      <c r="A196" s="1025"/>
      <c r="B196" s="770" t="s">
        <v>795</v>
      </c>
      <c r="C196" s="762">
        <v>112</v>
      </c>
      <c r="D196" s="763">
        <v>14</v>
      </c>
      <c r="E196" s="763">
        <v>89</v>
      </c>
      <c r="F196" s="764">
        <v>215</v>
      </c>
      <c r="G196" s="762">
        <v>119</v>
      </c>
      <c r="H196" s="763">
        <v>16</v>
      </c>
      <c r="I196" s="763">
        <v>154</v>
      </c>
      <c r="J196" s="764">
        <v>289</v>
      </c>
      <c r="K196" s="762">
        <v>79</v>
      </c>
      <c r="L196" s="763">
        <v>2</v>
      </c>
      <c r="M196" s="763">
        <v>124</v>
      </c>
      <c r="N196" s="764">
        <v>205</v>
      </c>
      <c r="O196" s="762">
        <v>139</v>
      </c>
      <c r="P196" s="763">
        <v>10</v>
      </c>
      <c r="Q196" s="763">
        <v>215</v>
      </c>
      <c r="R196" s="764">
        <v>364</v>
      </c>
      <c r="S196" s="762">
        <v>149</v>
      </c>
      <c r="T196" s="763">
        <v>7</v>
      </c>
      <c r="U196" s="763">
        <v>232</v>
      </c>
      <c r="V196" s="764">
        <v>388</v>
      </c>
      <c r="W196" s="762">
        <v>41</v>
      </c>
      <c r="X196" s="763">
        <v>0</v>
      </c>
      <c r="Y196" s="763">
        <v>31</v>
      </c>
      <c r="Z196" s="764">
        <v>72</v>
      </c>
      <c r="AA196" s="762">
        <v>43</v>
      </c>
      <c r="AB196" s="763">
        <v>0</v>
      </c>
      <c r="AC196" s="763">
        <v>119</v>
      </c>
      <c r="AD196" s="764">
        <v>162</v>
      </c>
      <c r="AE196" s="763">
        <v>49</v>
      </c>
      <c r="AF196" s="763">
        <v>1</v>
      </c>
      <c r="AG196" s="763">
        <v>163</v>
      </c>
      <c r="AH196" s="764">
        <v>213</v>
      </c>
      <c r="AI196" s="763"/>
      <c r="AJ196" s="763"/>
      <c r="AK196" s="763"/>
      <c r="AL196" s="764"/>
    </row>
    <row r="197" spans="1:38" ht="13.5" thickBot="1" x14ac:dyDescent="0.25">
      <c r="A197" s="1017" t="s">
        <v>614</v>
      </c>
      <c r="B197" s="772" t="s">
        <v>614</v>
      </c>
      <c r="C197" s="753">
        <v>0</v>
      </c>
      <c r="D197" s="754">
        <v>0</v>
      </c>
      <c r="E197" s="754">
        <v>0</v>
      </c>
      <c r="F197" s="755">
        <v>0</v>
      </c>
      <c r="G197" s="756">
        <v>1</v>
      </c>
      <c r="H197" s="754">
        <v>0</v>
      </c>
      <c r="I197" s="754">
        <v>0</v>
      </c>
      <c r="J197" s="757">
        <v>1</v>
      </c>
      <c r="K197" s="753">
        <v>0</v>
      </c>
      <c r="L197" s="754">
        <v>0</v>
      </c>
      <c r="M197" s="754">
        <v>0</v>
      </c>
      <c r="N197" s="755">
        <v>0</v>
      </c>
      <c r="O197" s="753">
        <v>0</v>
      </c>
      <c r="P197" s="754">
        <v>0</v>
      </c>
      <c r="Q197" s="754">
        <v>0</v>
      </c>
      <c r="R197" s="755">
        <v>0</v>
      </c>
      <c r="S197" s="753">
        <v>2</v>
      </c>
      <c r="T197" s="754">
        <v>0</v>
      </c>
      <c r="U197" s="754">
        <v>0</v>
      </c>
      <c r="V197" s="755">
        <v>2</v>
      </c>
      <c r="W197" s="753">
        <v>1</v>
      </c>
      <c r="X197" s="754">
        <v>0</v>
      </c>
      <c r="Y197" s="754">
        <v>0</v>
      </c>
      <c r="Z197" s="755">
        <v>1</v>
      </c>
      <c r="AA197" s="753">
        <v>0</v>
      </c>
      <c r="AB197" s="754">
        <v>0</v>
      </c>
      <c r="AC197" s="754">
        <v>0</v>
      </c>
      <c r="AD197" s="755">
        <v>0</v>
      </c>
      <c r="AE197" s="754">
        <v>1</v>
      </c>
      <c r="AF197" s="754">
        <v>0</v>
      </c>
      <c r="AG197" s="754">
        <v>0</v>
      </c>
      <c r="AH197" s="755">
        <v>1</v>
      </c>
      <c r="AI197" s="754"/>
      <c r="AJ197" s="754"/>
      <c r="AK197" s="754"/>
      <c r="AL197" s="755"/>
    </row>
    <row r="198" spans="1:38" s="259" customFormat="1" ht="13.5" thickBot="1" x14ac:dyDescent="0.25">
      <c r="A198" s="1019"/>
      <c r="B198" s="770" t="s">
        <v>1150</v>
      </c>
      <c r="C198" s="762">
        <v>0</v>
      </c>
      <c r="D198" s="765">
        <v>0</v>
      </c>
      <c r="E198" s="765">
        <v>0</v>
      </c>
      <c r="F198" s="764">
        <v>0</v>
      </c>
      <c r="G198" s="762">
        <v>1</v>
      </c>
      <c r="H198" s="765">
        <v>0</v>
      </c>
      <c r="I198" s="765">
        <v>0</v>
      </c>
      <c r="J198" s="764">
        <v>1</v>
      </c>
      <c r="K198" s="762">
        <v>0</v>
      </c>
      <c r="L198" s="765">
        <v>0</v>
      </c>
      <c r="M198" s="765">
        <v>0</v>
      </c>
      <c r="N198" s="764">
        <v>0</v>
      </c>
      <c r="O198" s="762">
        <v>0</v>
      </c>
      <c r="P198" s="765">
        <v>0</v>
      </c>
      <c r="Q198" s="765">
        <v>0</v>
      </c>
      <c r="R198" s="764">
        <v>0</v>
      </c>
      <c r="S198" s="762">
        <v>2</v>
      </c>
      <c r="T198" s="765">
        <v>0</v>
      </c>
      <c r="U198" s="765">
        <v>0</v>
      </c>
      <c r="V198" s="764">
        <v>2</v>
      </c>
      <c r="W198" s="762">
        <v>1</v>
      </c>
      <c r="X198" s="765">
        <v>0</v>
      </c>
      <c r="Y198" s="765">
        <v>0</v>
      </c>
      <c r="Z198" s="764">
        <v>1</v>
      </c>
      <c r="AA198" s="762">
        <v>0</v>
      </c>
      <c r="AB198" s="765">
        <v>0</v>
      </c>
      <c r="AC198" s="765">
        <v>0</v>
      </c>
      <c r="AD198" s="764">
        <v>0</v>
      </c>
      <c r="AE198" s="763">
        <v>1</v>
      </c>
      <c r="AF198" s="765">
        <v>0</v>
      </c>
      <c r="AG198" s="765">
        <v>0</v>
      </c>
      <c r="AH198" s="764">
        <v>1</v>
      </c>
      <c r="AI198" s="763"/>
      <c r="AJ198" s="765"/>
      <c r="AK198" s="765"/>
      <c r="AL198" s="764"/>
    </row>
    <row r="199" spans="1:38" ht="13.5" thickBot="1" x14ac:dyDescent="0.25">
      <c r="A199" s="1027" t="s">
        <v>616</v>
      </c>
      <c r="B199" s="773" t="s">
        <v>830</v>
      </c>
      <c r="C199" s="758">
        <v>26</v>
      </c>
      <c r="D199" s="759">
        <v>0</v>
      </c>
      <c r="E199" s="759">
        <v>0</v>
      </c>
      <c r="F199" s="760">
        <v>26</v>
      </c>
      <c r="G199" s="758">
        <v>1</v>
      </c>
      <c r="H199" s="759">
        <v>0</v>
      </c>
      <c r="I199" s="759">
        <v>0</v>
      </c>
      <c r="J199" s="760">
        <v>1</v>
      </c>
      <c r="K199" s="758">
        <v>3</v>
      </c>
      <c r="L199" s="759">
        <v>0</v>
      </c>
      <c r="M199" s="759">
        <v>0</v>
      </c>
      <c r="N199" s="760">
        <v>3</v>
      </c>
      <c r="O199" s="758">
        <v>2</v>
      </c>
      <c r="P199" s="759">
        <v>0</v>
      </c>
      <c r="Q199" s="759">
        <v>0</v>
      </c>
      <c r="R199" s="760">
        <v>2</v>
      </c>
      <c r="S199" s="758">
        <v>38</v>
      </c>
      <c r="T199" s="759">
        <v>0</v>
      </c>
      <c r="U199" s="759">
        <v>0</v>
      </c>
      <c r="V199" s="760">
        <v>38</v>
      </c>
      <c r="W199" s="758">
        <v>44</v>
      </c>
      <c r="X199" s="759">
        <v>0</v>
      </c>
      <c r="Y199" s="759">
        <v>0</v>
      </c>
      <c r="Z199" s="760">
        <v>44</v>
      </c>
      <c r="AA199" s="758">
        <v>35</v>
      </c>
      <c r="AB199" s="759">
        <v>0</v>
      </c>
      <c r="AC199" s="759">
        <v>0</v>
      </c>
      <c r="AD199" s="760">
        <v>35</v>
      </c>
      <c r="AE199" s="761">
        <v>37</v>
      </c>
      <c r="AF199" s="759">
        <v>0</v>
      </c>
      <c r="AG199" s="759">
        <v>0</v>
      </c>
      <c r="AH199" s="760">
        <v>37</v>
      </c>
      <c r="AI199" s="761"/>
      <c r="AJ199" s="759"/>
      <c r="AK199" s="759"/>
      <c r="AL199" s="760"/>
    </row>
    <row r="200" spans="1:38" s="259" customFormat="1" ht="13.5" thickBot="1" x14ac:dyDescent="0.25">
      <c r="A200" s="1028"/>
      <c r="B200" s="770" t="s">
        <v>1168</v>
      </c>
      <c r="C200" s="762">
        <v>26</v>
      </c>
      <c r="D200" s="765">
        <v>0</v>
      </c>
      <c r="E200" s="765">
        <v>0</v>
      </c>
      <c r="F200" s="764">
        <v>26</v>
      </c>
      <c r="G200" s="762">
        <v>1</v>
      </c>
      <c r="H200" s="765">
        <v>0</v>
      </c>
      <c r="I200" s="765">
        <v>0</v>
      </c>
      <c r="J200" s="764">
        <v>1</v>
      </c>
      <c r="K200" s="762">
        <v>3</v>
      </c>
      <c r="L200" s="765">
        <v>0</v>
      </c>
      <c r="M200" s="765">
        <v>0</v>
      </c>
      <c r="N200" s="764">
        <v>3</v>
      </c>
      <c r="O200" s="762">
        <v>2</v>
      </c>
      <c r="P200" s="765">
        <v>0</v>
      </c>
      <c r="Q200" s="765">
        <v>0</v>
      </c>
      <c r="R200" s="764">
        <v>2</v>
      </c>
      <c r="S200" s="762">
        <v>38</v>
      </c>
      <c r="T200" s="765">
        <v>0</v>
      </c>
      <c r="U200" s="765">
        <v>0</v>
      </c>
      <c r="V200" s="764">
        <v>38</v>
      </c>
      <c r="W200" s="762">
        <v>44</v>
      </c>
      <c r="X200" s="765">
        <v>0</v>
      </c>
      <c r="Y200" s="765">
        <v>0</v>
      </c>
      <c r="Z200" s="764">
        <v>44</v>
      </c>
      <c r="AA200" s="762">
        <v>35</v>
      </c>
      <c r="AB200" s="765">
        <v>0</v>
      </c>
      <c r="AC200" s="765">
        <v>0</v>
      </c>
      <c r="AD200" s="764">
        <v>35</v>
      </c>
      <c r="AE200" s="763">
        <v>37</v>
      </c>
      <c r="AF200" s="765">
        <v>0</v>
      </c>
      <c r="AG200" s="765">
        <v>0</v>
      </c>
      <c r="AH200" s="764">
        <v>37</v>
      </c>
      <c r="AI200" s="763"/>
      <c r="AJ200" s="765"/>
      <c r="AK200" s="765"/>
      <c r="AL200" s="764"/>
    </row>
    <row r="201" spans="1:38" s="259" customFormat="1" ht="13.5" thickBot="1" x14ac:dyDescent="0.25">
      <c r="A201" s="766" t="s">
        <v>1072</v>
      </c>
      <c r="B201" s="774" t="s">
        <v>1072</v>
      </c>
      <c r="C201" s="595">
        <v>4649</v>
      </c>
      <c r="D201" s="596">
        <v>959</v>
      </c>
      <c r="E201" s="596">
        <v>2903</v>
      </c>
      <c r="F201" s="597">
        <v>8511</v>
      </c>
      <c r="G201" s="595">
        <v>5002</v>
      </c>
      <c r="H201" s="596">
        <v>880</v>
      </c>
      <c r="I201" s="596">
        <v>3052</v>
      </c>
      <c r="J201" s="597">
        <v>8934</v>
      </c>
      <c r="K201" s="595">
        <v>5410</v>
      </c>
      <c r="L201" s="596">
        <v>807</v>
      </c>
      <c r="M201" s="596">
        <v>3495</v>
      </c>
      <c r="N201" s="597">
        <v>9712</v>
      </c>
      <c r="O201" s="595">
        <v>7168</v>
      </c>
      <c r="P201" s="596">
        <v>873</v>
      </c>
      <c r="Q201" s="596">
        <v>4527</v>
      </c>
      <c r="R201" s="597">
        <v>12568</v>
      </c>
      <c r="S201" s="595">
        <v>7867</v>
      </c>
      <c r="T201" s="596">
        <v>851</v>
      </c>
      <c r="U201" s="596">
        <v>6309</v>
      </c>
      <c r="V201" s="597">
        <v>15027</v>
      </c>
      <c r="W201" s="595">
        <v>6549</v>
      </c>
      <c r="X201" s="596">
        <v>478</v>
      </c>
      <c r="Y201" s="596">
        <v>4220</v>
      </c>
      <c r="Z201" s="597">
        <v>11247</v>
      </c>
      <c r="AA201" s="595">
        <v>8956</v>
      </c>
      <c r="AB201" s="596">
        <v>567</v>
      </c>
      <c r="AC201" s="596">
        <v>5572</v>
      </c>
      <c r="AD201" s="597">
        <v>15095</v>
      </c>
      <c r="AE201" s="596">
        <v>7163</v>
      </c>
      <c r="AF201" s="596">
        <v>540</v>
      </c>
      <c r="AG201" s="596">
        <v>5870</v>
      </c>
      <c r="AH201" s="597">
        <v>13573</v>
      </c>
      <c r="AI201" s="596"/>
      <c r="AJ201" s="596"/>
      <c r="AK201" s="596"/>
      <c r="AL201" s="597"/>
    </row>
  </sheetData>
  <mergeCells count="32">
    <mergeCell ref="A197:A198"/>
    <mergeCell ref="A199:A200"/>
    <mergeCell ref="A157:A166"/>
    <mergeCell ref="A167:A173"/>
    <mergeCell ref="A174:A181"/>
    <mergeCell ref="A182:A190"/>
    <mergeCell ref="A191:A196"/>
    <mergeCell ref="A147:A156"/>
    <mergeCell ref="A44:A53"/>
    <mergeCell ref="A54:A65"/>
    <mergeCell ref="A66:A73"/>
    <mergeCell ref="A74:A81"/>
    <mergeCell ref="A82:A88"/>
    <mergeCell ref="A89:A98"/>
    <mergeCell ref="A99:A105"/>
    <mergeCell ref="A106:A114"/>
    <mergeCell ref="A115:A122"/>
    <mergeCell ref="A123:A137"/>
    <mergeCell ref="A138:A146"/>
    <mergeCell ref="W1:Z1"/>
    <mergeCell ref="AA1:AD1"/>
    <mergeCell ref="AI1:AL1"/>
    <mergeCell ref="A3:A27"/>
    <mergeCell ref="A28:A34"/>
    <mergeCell ref="O1:R1"/>
    <mergeCell ref="S1:V1"/>
    <mergeCell ref="AE1:AH1"/>
    <mergeCell ref="A35:A43"/>
    <mergeCell ref="A1:B2"/>
    <mergeCell ref="C1:F1"/>
    <mergeCell ref="G1:J1"/>
    <mergeCell ref="K1:N1"/>
  </mergeCells>
  <pageMargins left="0.7" right="0.7" top="0.75" bottom="0.75" header="0.3" footer="0.3"/>
  <pageSetup paperSize="9" scale="69" orientation="portrait" horizontalDpi="4294967294" verticalDpi="0" r:id="rId1"/>
  <rowBreaks count="2" manualBreakCount="2">
    <brk id="81" max="16383" man="1"/>
    <brk id="166" max="16383" man="1"/>
  </rowBreaks>
  <colBreaks count="2" manualBreakCount="2">
    <brk id="10" max="1048575" man="1"/>
    <brk id="22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6">
    <tabColor rgb="FFC00000"/>
  </sheetPr>
  <dimension ref="A1:BL198"/>
  <sheetViews>
    <sheetView workbookViewId="0">
      <selection activeCell="AU3" sqref="AU3:BB198"/>
    </sheetView>
  </sheetViews>
  <sheetFormatPr defaultColWidth="9.140625" defaultRowHeight="12.75" x14ac:dyDescent="0.2"/>
  <cols>
    <col min="1" max="1" width="50.140625" style="245" bestFit="1" customWidth="1"/>
    <col min="2" max="16384" width="9.140625" style="245"/>
  </cols>
  <sheetData>
    <row r="1" spans="1:64" s="357" customFormat="1" ht="20.25" customHeight="1" thickBot="1" x14ac:dyDescent="0.3">
      <c r="A1" s="1029"/>
      <c r="B1" s="1031" t="s">
        <v>803</v>
      </c>
      <c r="C1" s="1032"/>
      <c r="D1" s="1032"/>
      <c r="E1" s="1032"/>
      <c r="F1" s="1032"/>
      <c r="G1" s="1032"/>
      <c r="H1" s="1032"/>
      <c r="I1" s="1033"/>
      <c r="J1" s="1034"/>
      <c r="K1" s="1031" t="s">
        <v>804</v>
      </c>
      <c r="L1" s="1032"/>
      <c r="M1" s="1032"/>
      <c r="N1" s="1032"/>
      <c r="O1" s="1032"/>
      <c r="P1" s="1032"/>
      <c r="Q1" s="1032"/>
      <c r="R1" s="1033"/>
      <c r="S1" s="1034"/>
      <c r="T1" s="1031" t="s">
        <v>805</v>
      </c>
      <c r="U1" s="1032"/>
      <c r="V1" s="1032"/>
      <c r="W1" s="1032"/>
      <c r="X1" s="1032"/>
      <c r="Y1" s="1032"/>
      <c r="Z1" s="1032"/>
      <c r="AA1" s="1033"/>
      <c r="AB1" s="1034"/>
      <c r="AC1" s="1031" t="s">
        <v>806</v>
      </c>
      <c r="AD1" s="1032"/>
      <c r="AE1" s="1032"/>
      <c r="AF1" s="1032"/>
      <c r="AG1" s="1032"/>
      <c r="AH1" s="1032"/>
      <c r="AI1" s="1032"/>
      <c r="AJ1" s="1033"/>
      <c r="AK1" s="1034"/>
      <c r="AL1" s="1031" t="s">
        <v>807</v>
      </c>
      <c r="AM1" s="1032"/>
      <c r="AN1" s="1032"/>
      <c r="AO1" s="1032"/>
      <c r="AP1" s="1032"/>
      <c r="AQ1" s="1032"/>
      <c r="AR1" s="1032"/>
      <c r="AS1" s="1033"/>
      <c r="AT1" s="1034"/>
      <c r="AU1" s="1031" t="s">
        <v>32</v>
      </c>
      <c r="AV1" s="1032"/>
      <c r="AW1" s="1032"/>
      <c r="AX1" s="1032"/>
      <c r="AY1" s="1032"/>
      <c r="AZ1" s="1032"/>
      <c r="BA1" s="1032"/>
      <c r="BB1" s="1033"/>
      <c r="BC1" s="1034"/>
      <c r="BD1" s="1031" t="s">
        <v>33</v>
      </c>
      <c r="BE1" s="1032"/>
      <c r="BF1" s="1032"/>
      <c r="BG1" s="1032"/>
      <c r="BH1" s="1032"/>
      <c r="BI1" s="1032"/>
      <c r="BJ1" s="1032"/>
      <c r="BK1" s="1033"/>
      <c r="BL1" s="1034"/>
    </row>
    <row r="2" spans="1:64" s="259" customFormat="1" ht="29.25" customHeight="1" thickBot="1" x14ac:dyDescent="0.25">
      <c r="A2" s="1030"/>
      <c r="B2" s="142" t="s">
        <v>1084</v>
      </c>
      <c r="C2" s="143" t="s">
        <v>1085</v>
      </c>
      <c r="D2" s="143" t="s">
        <v>1086</v>
      </c>
      <c r="E2" s="143" t="s">
        <v>1087</v>
      </c>
      <c r="F2" s="143" t="s">
        <v>1088</v>
      </c>
      <c r="G2" s="143" t="s">
        <v>1089</v>
      </c>
      <c r="H2" s="143" t="s">
        <v>1090</v>
      </c>
      <c r="I2" s="143" t="s">
        <v>1091</v>
      </c>
      <c r="J2" s="144" t="s">
        <v>1154</v>
      </c>
      <c r="K2" s="712" t="s">
        <v>1084</v>
      </c>
      <c r="L2" s="143" t="s">
        <v>1085</v>
      </c>
      <c r="M2" s="143" t="s">
        <v>1086</v>
      </c>
      <c r="N2" s="143" t="s">
        <v>1087</v>
      </c>
      <c r="O2" s="143" t="s">
        <v>1088</v>
      </c>
      <c r="P2" s="143" t="s">
        <v>1089</v>
      </c>
      <c r="Q2" s="143" t="s">
        <v>1090</v>
      </c>
      <c r="R2" s="143" t="s">
        <v>1091</v>
      </c>
      <c r="S2" s="144" t="s">
        <v>1154</v>
      </c>
      <c r="T2" s="142" t="s">
        <v>1084</v>
      </c>
      <c r="U2" s="143" t="s">
        <v>1085</v>
      </c>
      <c r="V2" s="143" t="s">
        <v>1086</v>
      </c>
      <c r="W2" s="143" t="s">
        <v>1087</v>
      </c>
      <c r="X2" s="143" t="s">
        <v>1088</v>
      </c>
      <c r="Y2" s="143" t="s">
        <v>1089</v>
      </c>
      <c r="Z2" s="143" t="s">
        <v>1090</v>
      </c>
      <c r="AA2" s="143" t="s">
        <v>1091</v>
      </c>
      <c r="AB2" s="144" t="s">
        <v>1154</v>
      </c>
      <c r="AC2" s="142" t="s">
        <v>1084</v>
      </c>
      <c r="AD2" s="143" t="s">
        <v>1085</v>
      </c>
      <c r="AE2" s="143" t="s">
        <v>1086</v>
      </c>
      <c r="AF2" s="143" t="s">
        <v>1087</v>
      </c>
      <c r="AG2" s="143" t="s">
        <v>1088</v>
      </c>
      <c r="AH2" s="143" t="s">
        <v>1089</v>
      </c>
      <c r="AI2" s="143" t="s">
        <v>1090</v>
      </c>
      <c r="AJ2" s="143" t="s">
        <v>1091</v>
      </c>
      <c r="AK2" s="144" t="s">
        <v>1154</v>
      </c>
      <c r="AL2" s="142" t="s">
        <v>1084</v>
      </c>
      <c r="AM2" s="143" t="s">
        <v>1085</v>
      </c>
      <c r="AN2" s="143" t="s">
        <v>1086</v>
      </c>
      <c r="AO2" s="143" t="s">
        <v>1087</v>
      </c>
      <c r="AP2" s="143" t="s">
        <v>1088</v>
      </c>
      <c r="AQ2" s="143" t="s">
        <v>1089</v>
      </c>
      <c r="AR2" s="143" t="s">
        <v>1090</v>
      </c>
      <c r="AS2" s="143" t="s">
        <v>1091</v>
      </c>
      <c r="AT2" s="144" t="s">
        <v>1154</v>
      </c>
      <c r="AU2" s="142" t="s">
        <v>1084</v>
      </c>
      <c r="AV2" s="143" t="s">
        <v>1085</v>
      </c>
      <c r="AW2" s="143" t="s">
        <v>1086</v>
      </c>
      <c r="AX2" s="143" t="s">
        <v>1087</v>
      </c>
      <c r="AY2" s="143" t="s">
        <v>1088</v>
      </c>
      <c r="AZ2" s="143" t="s">
        <v>1089</v>
      </c>
      <c r="BA2" s="143" t="s">
        <v>1090</v>
      </c>
      <c r="BB2" s="143" t="s">
        <v>1091</v>
      </c>
      <c r="BC2" s="144" t="s">
        <v>1154</v>
      </c>
      <c r="BD2" s="142" t="s">
        <v>1084</v>
      </c>
      <c r="BE2" s="143" t="s">
        <v>1085</v>
      </c>
      <c r="BF2" s="143" t="s">
        <v>1086</v>
      </c>
      <c r="BG2" s="143" t="s">
        <v>1087</v>
      </c>
      <c r="BH2" s="143" t="s">
        <v>1088</v>
      </c>
      <c r="BI2" s="143" t="s">
        <v>1089</v>
      </c>
      <c r="BJ2" s="143" t="s">
        <v>1090</v>
      </c>
      <c r="BK2" s="143" t="s">
        <v>1091</v>
      </c>
      <c r="BL2" s="144" t="s">
        <v>1154</v>
      </c>
    </row>
    <row r="3" spans="1:64" s="259" customFormat="1" x14ac:dyDescent="0.2">
      <c r="A3" s="358" t="s">
        <v>786</v>
      </c>
      <c r="B3" s="839">
        <v>563</v>
      </c>
      <c r="C3" s="840">
        <v>703</v>
      </c>
      <c r="D3" s="840">
        <v>689</v>
      </c>
      <c r="E3" s="840">
        <v>684</v>
      </c>
      <c r="F3" s="840">
        <v>608</v>
      </c>
      <c r="G3" s="840">
        <v>457</v>
      </c>
      <c r="H3" s="840">
        <v>438</v>
      </c>
      <c r="I3" s="841">
        <v>779</v>
      </c>
      <c r="J3" s="842"/>
      <c r="K3" s="781">
        <v>1450</v>
      </c>
      <c r="L3" s="782">
        <v>1647</v>
      </c>
      <c r="M3" s="782">
        <v>1533</v>
      </c>
      <c r="N3" s="782">
        <v>1380</v>
      </c>
      <c r="O3" s="782">
        <v>1278</v>
      </c>
      <c r="P3" s="782">
        <v>1185</v>
      </c>
      <c r="Q3" s="782">
        <v>1054</v>
      </c>
      <c r="R3" s="783">
        <v>1234</v>
      </c>
      <c r="S3" s="784"/>
      <c r="T3" s="781">
        <v>6506</v>
      </c>
      <c r="U3" s="782">
        <v>6862</v>
      </c>
      <c r="V3" s="782">
        <v>7225</v>
      </c>
      <c r="W3" s="782">
        <v>7599</v>
      </c>
      <c r="X3" s="782">
        <v>7027</v>
      </c>
      <c r="Y3" s="782">
        <v>6439</v>
      </c>
      <c r="Z3" s="782">
        <v>6033</v>
      </c>
      <c r="AA3" s="783">
        <v>5729</v>
      </c>
      <c r="AB3" s="784"/>
      <c r="AC3" s="781">
        <v>41860</v>
      </c>
      <c r="AD3" s="782">
        <v>44072</v>
      </c>
      <c r="AE3" s="782">
        <v>45834</v>
      </c>
      <c r="AF3" s="782">
        <v>46357</v>
      </c>
      <c r="AG3" s="782">
        <v>39432</v>
      </c>
      <c r="AH3" s="782">
        <v>32584</v>
      </c>
      <c r="AI3" s="782">
        <v>27001</v>
      </c>
      <c r="AJ3" s="783">
        <v>30623</v>
      </c>
      <c r="AK3" s="784"/>
      <c r="AL3" s="781">
        <v>11156</v>
      </c>
      <c r="AM3" s="782">
        <v>13036</v>
      </c>
      <c r="AN3" s="782">
        <v>13631</v>
      </c>
      <c r="AO3" s="782">
        <v>16156</v>
      </c>
      <c r="AP3" s="782">
        <v>12362</v>
      </c>
      <c r="AQ3" s="782">
        <v>10492</v>
      </c>
      <c r="AR3" s="782">
        <v>8112</v>
      </c>
      <c r="AS3" s="783">
        <v>7255</v>
      </c>
      <c r="AT3" s="784"/>
      <c r="AU3" s="781"/>
      <c r="AV3" s="782"/>
      <c r="AW3" s="782"/>
      <c r="AX3" s="782"/>
      <c r="AY3" s="782">
        <v>1</v>
      </c>
      <c r="AZ3" s="782"/>
      <c r="BA3" s="782"/>
      <c r="BB3" s="783"/>
      <c r="BC3" s="784"/>
      <c r="BD3" s="781">
        <f>SUM(B3,K3,T3,AC3,AL3,AU3)</f>
        <v>61535</v>
      </c>
      <c r="BE3" s="782">
        <f t="shared" ref="BE3:BJ3" si="0">SUM(C3,L3,U3,AD3,AM3,AV3)</f>
        <v>66320</v>
      </c>
      <c r="BF3" s="782">
        <f t="shared" si="0"/>
        <v>68912</v>
      </c>
      <c r="BG3" s="782">
        <f t="shared" si="0"/>
        <v>72176</v>
      </c>
      <c r="BH3" s="782">
        <f t="shared" si="0"/>
        <v>60708</v>
      </c>
      <c r="BI3" s="782">
        <f t="shared" si="0"/>
        <v>51157</v>
      </c>
      <c r="BJ3" s="782">
        <f t="shared" si="0"/>
        <v>42638</v>
      </c>
      <c r="BK3" s="783">
        <f>SUM(I3,R3,AA3,AJ3,AS3,BB3)</f>
        <v>45620</v>
      </c>
      <c r="BL3" s="784">
        <f>SUM(J3,S3,AB3,AK3,AT3,BC3)</f>
        <v>0</v>
      </c>
    </row>
    <row r="4" spans="1:64" x14ac:dyDescent="0.2">
      <c r="A4" s="359" t="s">
        <v>574</v>
      </c>
      <c r="B4" s="257">
        <v>111</v>
      </c>
      <c r="C4" s="258">
        <v>67</v>
      </c>
      <c r="D4" s="258">
        <v>83</v>
      </c>
      <c r="E4" s="258">
        <v>76</v>
      </c>
      <c r="F4" s="258">
        <v>61</v>
      </c>
      <c r="G4" s="258">
        <v>52</v>
      </c>
      <c r="H4" s="258">
        <v>65</v>
      </c>
      <c r="I4" s="614">
        <v>57</v>
      </c>
      <c r="J4" s="354"/>
      <c r="K4" s="257">
        <v>492</v>
      </c>
      <c r="L4" s="258">
        <v>292</v>
      </c>
      <c r="M4" s="258">
        <v>232</v>
      </c>
      <c r="N4" s="258">
        <v>115</v>
      </c>
      <c r="O4" s="258">
        <v>77</v>
      </c>
      <c r="P4" s="258">
        <v>50</v>
      </c>
      <c r="Q4" s="258">
        <v>55</v>
      </c>
      <c r="R4" s="614">
        <v>57</v>
      </c>
      <c r="S4" s="354"/>
      <c r="T4" s="257">
        <v>2693</v>
      </c>
      <c r="U4" s="258">
        <v>1786</v>
      </c>
      <c r="V4" s="258">
        <v>1941</v>
      </c>
      <c r="W4" s="258">
        <v>416</v>
      </c>
      <c r="X4" s="258">
        <v>65</v>
      </c>
      <c r="Y4" s="258">
        <v>57</v>
      </c>
      <c r="Z4" s="258">
        <v>93</v>
      </c>
      <c r="AA4" s="614">
        <v>141</v>
      </c>
      <c r="AB4" s="354"/>
      <c r="AC4" s="257">
        <v>17861</v>
      </c>
      <c r="AD4" s="258">
        <v>6520</v>
      </c>
      <c r="AE4" s="258">
        <v>7277</v>
      </c>
      <c r="AF4" s="258">
        <v>1465</v>
      </c>
      <c r="AG4" s="258">
        <v>618</v>
      </c>
      <c r="AH4" s="258">
        <v>549</v>
      </c>
      <c r="AI4" s="258">
        <v>713</v>
      </c>
      <c r="AJ4" s="614">
        <v>4565</v>
      </c>
      <c r="AK4" s="354"/>
      <c r="AL4" s="257">
        <v>4287</v>
      </c>
      <c r="AM4" s="258">
        <v>2256</v>
      </c>
      <c r="AN4" s="258">
        <v>2510</v>
      </c>
      <c r="AO4" s="258">
        <v>543</v>
      </c>
      <c r="AP4" s="258">
        <v>253</v>
      </c>
      <c r="AQ4" s="258">
        <v>231</v>
      </c>
      <c r="AR4" s="258">
        <v>323</v>
      </c>
      <c r="AS4" s="614">
        <v>588</v>
      </c>
      <c r="AT4" s="354"/>
      <c r="AU4" s="257"/>
      <c r="AV4" s="258"/>
      <c r="AW4" s="258"/>
      <c r="AX4" s="258"/>
      <c r="AY4" s="258"/>
      <c r="AZ4" s="258"/>
      <c r="BA4" s="258"/>
      <c r="BB4" s="614"/>
      <c r="BC4" s="354"/>
      <c r="BD4" s="257">
        <f t="shared" ref="BD4:BD35" si="1">SUM(B4,K4,T4,AC4,AL4,AU4)</f>
        <v>25444</v>
      </c>
      <c r="BE4" s="258">
        <f t="shared" ref="BE4:BE35" si="2">SUM(C4,L4,U4,AD4,AM4,AV4)</f>
        <v>10921</v>
      </c>
      <c r="BF4" s="258">
        <f t="shared" ref="BF4:BF35" si="3">SUM(D4,M4,V4,AE4,AN4,AW4)</f>
        <v>12043</v>
      </c>
      <c r="BG4" s="258">
        <f t="shared" ref="BG4:BG35" si="4">SUM(E4,N4,W4,AF4,AO4,AX4)</f>
        <v>2615</v>
      </c>
      <c r="BH4" s="258">
        <f t="shared" ref="BH4:BH35" si="5">SUM(F4,O4,X4,AG4,AP4,AY4)</f>
        <v>1074</v>
      </c>
      <c r="BI4" s="258">
        <f t="shared" ref="BI4:BI35" si="6">SUM(G4,P4,Y4,AH4,AQ4,AZ4)</f>
        <v>939</v>
      </c>
      <c r="BJ4" s="258">
        <f t="shared" ref="BJ4:BJ35" si="7">SUM(H4,Q4,Z4,AI4,AR4,BA4)</f>
        <v>1249</v>
      </c>
      <c r="BK4" s="614">
        <f t="shared" ref="BK4:BL34" si="8">SUM(I4,R4,AA4,AJ4,AS4,BB4)</f>
        <v>5408</v>
      </c>
      <c r="BL4" s="354">
        <f t="shared" si="8"/>
        <v>0</v>
      </c>
    </row>
    <row r="5" spans="1:64" x14ac:dyDescent="0.2">
      <c r="A5" s="359" t="s">
        <v>629</v>
      </c>
      <c r="B5" s="257">
        <v>1</v>
      </c>
      <c r="C5" s="258">
        <v>5</v>
      </c>
      <c r="D5" s="258">
        <v>6</v>
      </c>
      <c r="E5" s="258">
        <v>4</v>
      </c>
      <c r="F5" s="258">
        <v>2</v>
      </c>
      <c r="G5" s="258">
        <v>3</v>
      </c>
      <c r="H5" s="258"/>
      <c r="I5" s="614">
        <v>9</v>
      </c>
      <c r="J5" s="354"/>
      <c r="K5" s="257">
        <v>7</v>
      </c>
      <c r="L5" s="258">
        <v>9</v>
      </c>
      <c r="M5" s="258">
        <v>13</v>
      </c>
      <c r="N5" s="258">
        <v>14</v>
      </c>
      <c r="O5" s="258">
        <v>8</v>
      </c>
      <c r="P5" s="258">
        <v>13</v>
      </c>
      <c r="Q5" s="258">
        <v>11</v>
      </c>
      <c r="R5" s="614">
        <v>6</v>
      </c>
      <c r="S5" s="354"/>
      <c r="T5" s="257">
        <v>46</v>
      </c>
      <c r="U5" s="258">
        <v>80</v>
      </c>
      <c r="V5" s="258">
        <v>82</v>
      </c>
      <c r="W5" s="258">
        <v>93</v>
      </c>
      <c r="X5" s="258">
        <v>67</v>
      </c>
      <c r="Y5" s="258">
        <v>35</v>
      </c>
      <c r="Z5" s="258">
        <v>56</v>
      </c>
      <c r="AA5" s="614">
        <v>50</v>
      </c>
      <c r="AB5" s="354"/>
      <c r="AC5" s="257">
        <v>288</v>
      </c>
      <c r="AD5" s="258">
        <v>592</v>
      </c>
      <c r="AE5" s="258">
        <v>595</v>
      </c>
      <c r="AF5" s="258">
        <v>675</v>
      </c>
      <c r="AG5" s="258">
        <v>479</v>
      </c>
      <c r="AH5" s="258">
        <v>404</v>
      </c>
      <c r="AI5" s="258">
        <v>339</v>
      </c>
      <c r="AJ5" s="614">
        <v>400</v>
      </c>
      <c r="AK5" s="354"/>
      <c r="AL5" s="257">
        <v>94</v>
      </c>
      <c r="AM5" s="258">
        <v>200</v>
      </c>
      <c r="AN5" s="258">
        <v>188</v>
      </c>
      <c r="AO5" s="258">
        <v>212</v>
      </c>
      <c r="AP5" s="258">
        <v>137</v>
      </c>
      <c r="AQ5" s="258">
        <v>121</v>
      </c>
      <c r="AR5" s="258">
        <v>118</v>
      </c>
      <c r="AS5" s="614">
        <v>140</v>
      </c>
      <c r="AT5" s="354"/>
      <c r="AU5" s="257"/>
      <c r="AV5" s="258"/>
      <c r="AW5" s="258"/>
      <c r="AX5" s="258"/>
      <c r="AY5" s="258"/>
      <c r="AZ5" s="258"/>
      <c r="BA5" s="258"/>
      <c r="BB5" s="614"/>
      <c r="BC5" s="354"/>
      <c r="BD5" s="257">
        <f t="shared" si="1"/>
        <v>436</v>
      </c>
      <c r="BE5" s="258">
        <f t="shared" si="2"/>
        <v>886</v>
      </c>
      <c r="BF5" s="258">
        <f t="shared" si="3"/>
        <v>884</v>
      </c>
      <c r="BG5" s="258">
        <f t="shared" si="4"/>
        <v>998</v>
      </c>
      <c r="BH5" s="258">
        <f t="shared" si="5"/>
        <v>693</v>
      </c>
      <c r="BI5" s="258">
        <f t="shared" si="6"/>
        <v>576</v>
      </c>
      <c r="BJ5" s="258">
        <f t="shared" si="7"/>
        <v>524</v>
      </c>
      <c r="BK5" s="614">
        <f t="shared" si="8"/>
        <v>605</v>
      </c>
      <c r="BL5" s="354">
        <f t="shared" si="8"/>
        <v>0</v>
      </c>
    </row>
    <row r="6" spans="1:64" x14ac:dyDescent="0.2">
      <c r="A6" s="359" t="s">
        <v>630</v>
      </c>
      <c r="B6" s="257">
        <v>23</v>
      </c>
      <c r="C6" s="258">
        <v>27</v>
      </c>
      <c r="D6" s="258">
        <v>45</v>
      </c>
      <c r="E6" s="258">
        <v>35</v>
      </c>
      <c r="F6" s="258">
        <v>28</v>
      </c>
      <c r="G6" s="258">
        <v>24</v>
      </c>
      <c r="H6" s="258">
        <v>21</v>
      </c>
      <c r="I6" s="614">
        <v>20</v>
      </c>
      <c r="J6" s="354"/>
      <c r="K6" s="257">
        <v>34</v>
      </c>
      <c r="L6" s="258">
        <v>97</v>
      </c>
      <c r="M6" s="258">
        <v>130</v>
      </c>
      <c r="N6" s="258">
        <v>238</v>
      </c>
      <c r="O6" s="258">
        <v>218</v>
      </c>
      <c r="P6" s="258">
        <v>220</v>
      </c>
      <c r="Q6" s="258">
        <v>220</v>
      </c>
      <c r="R6" s="614">
        <v>209</v>
      </c>
      <c r="S6" s="354"/>
      <c r="T6" s="257">
        <v>162</v>
      </c>
      <c r="U6" s="258">
        <v>246</v>
      </c>
      <c r="V6" s="258">
        <v>215</v>
      </c>
      <c r="W6" s="258">
        <v>2020</v>
      </c>
      <c r="X6" s="258">
        <v>1697</v>
      </c>
      <c r="Y6" s="258">
        <v>1885</v>
      </c>
      <c r="Z6" s="258">
        <v>1759</v>
      </c>
      <c r="AA6" s="614">
        <v>1445</v>
      </c>
      <c r="AB6" s="354"/>
      <c r="AC6" s="257">
        <v>758</v>
      </c>
      <c r="AD6" s="258">
        <v>2258</v>
      </c>
      <c r="AE6" s="258">
        <v>2156</v>
      </c>
      <c r="AF6" s="258">
        <v>5626</v>
      </c>
      <c r="AG6" s="258">
        <v>4983</v>
      </c>
      <c r="AH6" s="258">
        <v>4975</v>
      </c>
      <c r="AI6" s="258">
        <v>4482</v>
      </c>
      <c r="AJ6" s="614">
        <v>4210</v>
      </c>
      <c r="AK6" s="354"/>
      <c r="AL6" s="257">
        <v>194</v>
      </c>
      <c r="AM6" s="258">
        <v>734</v>
      </c>
      <c r="AN6" s="258">
        <v>691</v>
      </c>
      <c r="AO6" s="258">
        <v>2090</v>
      </c>
      <c r="AP6" s="258">
        <v>1789</v>
      </c>
      <c r="AQ6" s="258">
        <v>1621</v>
      </c>
      <c r="AR6" s="258">
        <v>1356</v>
      </c>
      <c r="AS6" s="614">
        <v>1208</v>
      </c>
      <c r="AT6" s="354"/>
      <c r="AU6" s="257"/>
      <c r="AV6" s="258"/>
      <c r="AW6" s="258"/>
      <c r="AX6" s="258"/>
      <c r="AY6" s="258"/>
      <c r="AZ6" s="258"/>
      <c r="BA6" s="258"/>
      <c r="BB6" s="614"/>
      <c r="BC6" s="354"/>
      <c r="BD6" s="257">
        <f t="shared" si="1"/>
        <v>1171</v>
      </c>
      <c r="BE6" s="258">
        <f t="shared" si="2"/>
        <v>3362</v>
      </c>
      <c r="BF6" s="258">
        <f t="shared" si="3"/>
        <v>3237</v>
      </c>
      <c r="BG6" s="258">
        <f t="shared" si="4"/>
        <v>10009</v>
      </c>
      <c r="BH6" s="258">
        <f t="shared" si="5"/>
        <v>8715</v>
      </c>
      <c r="BI6" s="258">
        <f t="shared" si="6"/>
        <v>8725</v>
      </c>
      <c r="BJ6" s="258">
        <f t="shared" si="7"/>
        <v>7838</v>
      </c>
      <c r="BK6" s="614">
        <f t="shared" si="8"/>
        <v>7092</v>
      </c>
      <c r="BL6" s="354">
        <f t="shared" si="8"/>
        <v>0</v>
      </c>
    </row>
    <row r="7" spans="1:64" x14ac:dyDescent="0.2">
      <c r="A7" s="359" t="s">
        <v>631</v>
      </c>
      <c r="B7" s="257">
        <v>30</v>
      </c>
      <c r="C7" s="258">
        <v>37</v>
      </c>
      <c r="D7" s="258">
        <v>34</v>
      </c>
      <c r="E7" s="258">
        <v>24</v>
      </c>
      <c r="F7" s="258">
        <v>45</v>
      </c>
      <c r="G7" s="258">
        <v>40</v>
      </c>
      <c r="H7" s="258">
        <v>29</v>
      </c>
      <c r="I7" s="614">
        <v>28</v>
      </c>
      <c r="J7" s="354"/>
      <c r="K7" s="257">
        <v>61</v>
      </c>
      <c r="L7" s="258">
        <v>100</v>
      </c>
      <c r="M7" s="258">
        <v>96</v>
      </c>
      <c r="N7" s="258">
        <v>81</v>
      </c>
      <c r="O7" s="258">
        <v>92</v>
      </c>
      <c r="P7" s="258">
        <v>58</v>
      </c>
      <c r="Q7" s="258">
        <v>60</v>
      </c>
      <c r="R7" s="614">
        <v>45</v>
      </c>
      <c r="S7" s="354"/>
      <c r="T7" s="257">
        <v>173</v>
      </c>
      <c r="U7" s="258">
        <v>445</v>
      </c>
      <c r="V7" s="258">
        <v>490</v>
      </c>
      <c r="W7" s="258">
        <v>340</v>
      </c>
      <c r="X7" s="258">
        <v>357</v>
      </c>
      <c r="Y7" s="258">
        <v>245</v>
      </c>
      <c r="Z7" s="258">
        <v>253</v>
      </c>
      <c r="AA7" s="614">
        <v>209</v>
      </c>
      <c r="AB7" s="354"/>
      <c r="AC7" s="257">
        <v>1272</v>
      </c>
      <c r="AD7" s="258">
        <v>2289</v>
      </c>
      <c r="AE7" s="258">
        <v>2326</v>
      </c>
      <c r="AF7" s="258">
        <v>2065</v>
      </c>
      <c r="AG7" s="258">
        <v>2499</v>
      </c>
      <c r="AH7" s="258">
        <v>1665</v>
      </c>
      <c r="AI7" s="258">
        <v>1226</v>
      </c>
      <c r="AJ7" s="614">
        <v>1067</v>
      </c>
      <c r="AK7" s="354"/>
      <c r="AL7" s="257">
        <v>267</v>
      </c>
      <c r="AM7" s="258">
        <v>691</v>
      </c>
      <c r="AN7" s="258">
        <v>629</v>
      </c>
      <c r="AO7" s="258">
        <v>660</v>
      </c>
      <c r="AP7" s="258">
        <v>712</v>
      </c>
      <c r="AQ7" s="258">
        <v>654</v>
      </c>
      <c r="AR7" s="258">
        <v>410</v>
      </c>
      <c r="AS7" s="614">
        <v>299</v>
      </c>
      <c r="AT7" s="354"/>
      <c r="AU7" s="257"/>
      <c r="AV7" s="258"/>
      <c r="AW7" s="258"/>
      <c r="AX7" s="258"/>
      <c r="AY7" s="258"/>
      <c r="AZ7" s="258"/>
      <c r="BA7" s="258"/>
      <c r="BB7" s="614"/>
      <c r="BC7" s="354"/>
      <c r="BD7" s="257">
        <f t="shared" si="1"/>
        <v>1803</v>
      </c>
      <c r="BE7" s="258">
        <f t="shared" si="2"/>
        <v>3562</v>
      </c>
      <c r="BF7" s="258">
        <f t="shared" si="3"/>
        <v>3575</v>
      </c>
      <c r="BG7" s="258">
        <f t="shared" si="4"/>
        <v>3170</v>
      </c>
      <c r="BH7" s="258">
        <f t="shared" si="5"/>
        <v>3705</v>
      </c>
      <c r="BI7" s="258">
        <f t="shared" si="6"/>
        <v>2662</v>
      </c>
      <c r="BJ7" s="258">
        <f t="shared" si="7"/>
        <v>1978</v>
      </c>
      <c r="BK7" s="614">
        <f t="shared" si="8"/>
        <v>1648</v>
      </c>
      <c r="BL7" s="354">
        <f t="shared" si="8"/>
        <v>0</v>
      </c>
    </row>
    <row r="8" spans="1:64" x14ac:dyDescent="0.2">
      <c r="A8" s="359" t="s">
        <v>632</v>
      </c>
      <c r="B8" s="257">
        <v>42</v>
      </c>
      <c r="C8" s="258">
        <v>42</v>
      </c>
      <c r="D8" s="258">
        <v>56</v>
      </c>
      <c r="E8" s="258">
        <v>53</v>
      </c>
      <c r="F8" s="258">
        <v>41</v>
      </c>
      <c r="G8" s="258">
        <v>18</v>
      </c>
      <c r="H8" s="258">
        <v>22</v>
      </c>
      <c r="I8" s="614">
        <v>347</v>
      </c>
      <c r="J8" s="354"/>
      <c r="K8" s="257">
        <v>59</v>
      </c>
      <c r="L8" s="258">
        <v>83</v>
      </c>
      <c r="M8" s="258">
        <v>101</v>
      </c>
      <c r="N8" s="258">
        <v>63</v>
      </c>
      <c r="O8" s="258">
        <v>53</v>
      </c>
      <c r="P8" s="258">
        <v>37</v>
      </c>
      <c r="Q8" s="258">
        <v>41</v>
      </c>
      <c r="R8" s="614">
        <v>134</v>
      </c>
      <c r="S8" s="354"/>
      <c r="T8" s="257">
        <v>91</v>
      </c>
      <c r="U8" s="258">
        <v>127</v>
      </c>
      <c r="V8" s="258">
        <v>155</v>
      </c>
      <c r="W8" s="258">
        <v>148</v>
      </c>
      <c r="X8" s="258">
        <v>113</v>
      </c>
      <c r="Y8" s="258">
        <v>115</v>
      </c>
      <c r="Z8" s="258">
        <v>93</v>
      </c>
      <c r="AA8" s="614">
        <v>124</v>
      </c>
      <c r="AB8" s="354"/>
      <c r="AC8" s="257">
        <v>1005</v>
      </c>
      <c r="AD8" s="258">
        <v>1590</v>
      </c>
      <c r="AE8" s="258">
        <v>3402</v>
      </c>
      <c r="AF8" s="258">
        <v>1448</v>
      </c>
      <c r="AG8" s="258">
        <v>1139</v>
      </c>
      <c r="AH8" s="258">
        <v>808</v>
      </c>
      <c r="AI8" s="258">
        <v>788</v>
      </c>
      <c r="AJ8" s="614">
        <v>670</v>
      </c>
      <c r="AK8" s="354"/>
      <c r="AL8" s="257">
        <v>391</v>
      </c>
      <c r="AM8" s="258">
        <v>758</v>
      </c>
      <c r="AN8" s="258">
        <v>1321</v>
      </c>
      <c r="AO8" s="258">
        <v>424</v>
      </c>
      <c r="AP8" s="258">
        <v>376</v>
      </c>
      <c r="AQ8" s="258">
        <v>244</v>
      </c>
      <c r="AR8" s="258">
        <v>272</v>
      </c>
      <c r="AS8" s="614">
        <v>172</v>
      </c>
      <c r="AT8" s="354"/>
      <c r="AU8" s="257"/>
      <c r="AV8" s="258"/>
      <c r="AW8" s="258"/>
      <c r="AX8" s="258"/>
      <c r="AY8" s="258"/>
      <c r="AZ8" s="258"/>
      <c r="BA8" s="258"/>
      <c r="BB8" s="614"/>
      <c r="BC8" s="354"/>
      <c r="BD8" s="257">
        <f t="shared" si="1"/>
        <v>1588</v>
      </c>
      <c r="BE8" s="258">
        <f t="shared" si="2"/>
        <v>2600</v>
      </c>
      <c r="BF8" s="258">
        <f t="shared" si="3"/>
        <v>5035</v>
      </c>
      <c r="BG8" s="258">
        <f t="shared" si="4"/>
        <v>2136</v>
      </c>
      <c r="BH8" s="258">
        <f t="shared" si="5"/>
        <v>1722</v>
      </c>
      <c r="BI8" s="258">
        <f t="shared" si="6"/>
        <v>1222</v>
      </c>
      <c r="BJ8" s="258">
        <f t="shared" si="7"/>
        <v>1216</v>
      </c>
      <c r="BK8" s="614">
        <f t="shared" si="8"/>
        <v>1447</v>
      </c>
      <c r="BL8" s="354">
        <f t="shared" si="8"/>
        <v>0</v>
      </c>
    </row>
    <row r="9" spans="1:64" x14ac:dyDescent="0.2">
      <c r="A9" s="359" t="s">
        <v>633</v>
      </c>
      <c r="B9" s="257">
        <v>23</v>
      </c>
      <c r="C9" s="258">
        <v>21</v>
      </c>
      <c r="D9" s="258">
        <v>14</v>
      </c>
      <c r="E9" s="258">
        <v>9</v>
      </c>
      <c r="F9" s="258">
        <v>20</v>
      </c>
      <c r="G9" s="258">
        <v>11</v>
      </c>
      <c r="H9" s="258">
        <v>18</v>
      </c>
      <c r="I9" s="614">
        <v>4</v>
      </c>
      <c r="J9" s="354"/>
      <c r="K9" s="257">
        <v>24</v>
      </c>
      <c r="L9" s="258">
        <v>76</v>
      </c>
      <c r="M9" s="258">
        <v>45</v>
      </c>
      <c r="N9" s="258">
        <v>18</v>
      </c>
      <c r="O9" s="258">
        <v>52</v>
      </c>
      <c r="P9" s="258">
        <v>28</v>
      </c>
      <c r="Q9" s="258">
        <v>61</v>
      </c>
      <c r="R9" s="614">
        <v>35</v>
      </c>
      <c r="S9" s="354"/>
      <c r="T9" s="257">
        <v>151</v>
      </c>
      <c r="U9" s="258">
        <v>374</v>
      </c>
      <c r="V9" s="258">
        <v>398</v>
      </c>
      <c r="W9" s="258">
        <v>404</v>
      </c>
      <c r="X9" s="258">
        <v>278</v>
      </c>
      <c r="Y9" s="258">
        <v>245</v>
      </c>
      <c r="Z9" s="258">
        <v>272</v>
      </c>
      <c r="AA9" s="614">
        <v>263</v>
      </c>
      <c r="AB9" s="354"/>
      <c r="AC9" s="257">
        <v>838</v>
      </c>
      <c r="AD9" s="258">
        <v>2660</v>
      </c>
      <c r="AE9" s="258">
        <v>2582</v>
      </c>
      <c r="AF9" s="258">
        <v>2440</v>
      </c>
      <c r="AG9" s="258">
        <v>1688</v>
      </c>
      <c r="AH9" s="258">
        <v>1195</v>
      </c>
      <c r="AI9" s="258">
        <v>1335</v>
      </c>
      <c r="AJ9" s="614">
        <v>1384</v>
      </c>
      <c r="AK9" s="354"/>
      <c r="AL9" s="257">
        <v>124</v>
      </c>
      <c r="AM9" s="258">
        <v>515</v>
      </c>
      <c r="AN9" s="258">
        <v>540</v>
      </c>
      <c r="AO9" s="258">
        <v>544</v>
      </c>
      <c r="AP9" s="258">
        <v>385</v>
      </c>
      <c r="AQ9" s="258">
        <v>287</v>
      </c>
      <c r="AR9" s="258">
        <v>281</v>
      </c>
      <c r="AS9" s="614">
        <v>344</v>
      </c>
      <c r="AT9" s="354"/>
      <c r="AU9" s="257"/>
      <c r="AV9" s="258"/>
      <c r="AW9" s="258"/>
      <c r="AX9" s="258"/>
      <c r="AY9" s="258"/>
      <c r="AZ9" s="258"/>
      <c r="BA9" s="258"/>
      <c r="BB9" s="614"/>
      <c r="BC9" s="354"/>
      <c r="BD9" s="257">
        <f t="shared" si="1"/>
        <v>1160</v>
      </c>
      <c r="BE9" s="258">
        <f t="shared" si="2"/>
        <v>3646</v>
      </c>
      <c r="BF9" s="258">
        <f t="shared" si="3"/>
        <v>3579</v>
      </c>
      <c r="BG9" s="258">
        <f t="shared" si="4"/>
        <v>3415</v>
      </c>
      <c r="BH9" s="258">
        <f t="shared" si="5"/>
        <v>2423</v>
      </c>
      <c r="BI9" s="258">
        <f t="shared" si="6"/>
        <v>1766</v>
      </c>
      <c r="BJ9" s="258">
        <f t="shared" si="7"/>
        <v>1967</v>
      </c>
      <c r="BK9" s="614">
        <f t="shared" si="8"/>
        <v>2030</v>
      </c>
      <c r="BL9" s="354">
        <f t="shared" si="8"/>
        <v>0</v>
      </c>
    </row>
    <row r="10" spans="1:64" x14ac:dyDescent="0.2">
      <c r="A10" s="359" t="s">
        <v>634</v>
      </c>
      <c r="B10" s="257">
        <v>7</v>
      </c>
      <c r="C10" s="258">
        <v>3</v>
      </c>
      <c r="D10" s="258">
        <v>15</v>
      </c>
      <c r="E10" s="258">
        <v>9</v>
      </c>
      <c r="F10" s="258">
        <v>10</v>
      </c>
      <c r="G10" s="258">
        <v>3</v>
      </c>
      <c r="H10" s="258">
        <v>12</v>
      </c>
      <c r="I10" s="614">
        <v>9</v>
      </c>
      <c r="J10" s="354"/>
      <c r="K10" s="257">
        <v>39</v>
      </c>
      <c r="L10" s="258">
        <v>39</v>
      </c>
      <c r="M10" s="258">
        <v>30</v>
      </c>
      <c r="N10" s="258">
        <v>26</v>
      </c>
      <c r="O10" s="258">
        <v>41</v>
      </c>
      <c r="P10" s="258">
        <v>57</v>
      </c>
      <c r="Q10" s="258">
        <v>48</v>
      </c>
      <c r="R10" s="614">
        <v>65</v>
      </c>
      <c r="S10" s="354"/>
      <c r="T10" s="257">
        <v>374</v>
      </c>
      <c r="U10" s="258">
        <v>327</v>
      </c>
      <c r="V10" s="258">
        <v>396</v>
      </c>
      <c r="W10" s="258">
        <v>406</v>
      </c>
      <c r="X10" s="258">
        <v>429</v>
      </c>
      <c r="Y10" s="258">
        <v>482</v>
      </c>
      <c r="Z10" s="258">
        <v>471</v>
      </c>
      <c r="AA10" s="614">
        <v>418</v>
      </c>
      <c r="AB10" s="354"/>
      <c r="AC10" s="257">
        <v>1078</v>
      </c>
      <c r="AD10" s="258">
        <v>1722</v>
      </c>
      <c r="AE10" s="258">
        <v>1398</v>
      </c>
      <c r="AF10" s="258">
        <v>3093</v>
      </c>
      <c r="AG10" s="258">
        <v>2157</v>
      </c>
      <c r="AH10" s="258">
        <v>1312</v>
      </c>
      <c r="AI10" s="258">
        <v>1268</v>
      </c>
      <c r="AJ10" s="614">
        <v>1709</v>
      </c>
      <c r="AK10" s="354"/>
      <c r="AL10" s="257">
        <v>237</v>
      </c>
      <c r="AM10" s="258">
        <v>324</v>
      </c>
      <c r="AN10" s="258">
        <v>278</v>
      </c>
      <c r="AO10" s="258">
        <v>1279</v>
      </c>
      <c r="AP10" s="258">
        <v>498</v>
      </c>
      <c r="AQ10" s="258">
        <v>249</v>
      </c>
      <c r="AR10" s="258">
        <v>266</v>
      </c>
      <c r="AS10" s="614">
        <v>312</v>
      </c>
      <c r="AT10" s="354"/>
      <c r="AU10" s="257"/>
      <c r="AV10" s="258"/>
      <c r="AW10" s="258"/>
      <c r="AX10" s="258"/>
      <c r="AY10" s="258"/>
      <c r="AZ10" s="258"/>
      <c r="BA10" s="258"/>
      <c r="BB10" s="614"/>
      <c r="BC10" s="354"/>
      <c r="BD10" s="257">
        <f t="shared" si="1"/>
        <v>1735</v>
      </c>
      <c r="BE10" s="258">
        <f t="shared" si="2"/>
        <v>2415</v>
      </c>
      <c r="BF10" s="258">
        <f t="shared" si="3"/>
        <v>2117</v>
      </c>
      <c r="BG10" s="258">
        <f t="shared" si="4"/>
        <v>4813</v>
      </c>
      <c r="BH10" s="258">
        <f t="shared" si="5"/>
        <v>3135</v>
      </c>
      <c r="BI10" s="258">
        <f t="shared" si="6"/>
        <v>2103</v>
      </c>
      <c r="BJ10" s="258">
        <f t="shared" si="7"/>
        <v>2065</v>
      </c>
      <c r="BK10" s="614">
        <f t="shared" si="8"/>
        <v>2513</v>
      </c>
      <c r="BL10" s="354">
        <f t="shared" si="8"/>
        <v>0</v>
      </c>
    </row>
    <row r="11" spans="1:64" x14ac:dyDescent="0.2">
      <c r="A11" s="359" t="s">
        <v>635</v>
      </c>
      <c r="B11" s="257">
        <v>7</v>
      </c>
      <c r="C11" s="258">
        <v>16</v>
      </c>
      <c r="D11" s="258">
        <v>10</v>
      </c>
      <c r="E11" s="258">
        <v>13</v>
      </c>
      <c r="F11" s="258">
        <v>8</v>
      </c>
      <c r="G11" s="258">
        <v>12</v>
      </c>
      <c r="H11" s="258">
        <v>7</v>
      </c>
      <c r="I11" s="614">
        <v>13</v>
      </c>
      <c r="J11" s="354"/>
      <c r="K11" s="257">
        <v>56</v>
      </c>
      <c r="L11" s="258">
        <v>67</v>
      </c>
      <c r="M11" s="258">
        <v>75</v>
      </c>
      <c r="N11" s="258">
        <v>53</v>
      </c>
      <c r="O11" s="258">
        <v>31</v>
      </c>
      <c r="P11" s="258">
        <v>36</v>
      </c>
      <c r="Q11" s="258">
        <v>41</v>
      </c>
      <c r="R11" s="614">
        <v>45</v>
      </c>
      <c r="S11" s="354"/>
      <c r="T11" s="257">
        <v>323</v>
      </c>
      <c r="U11" s="258">
        <v>375</v>
      </c>
      <c r="V11" s="258">
        <v>500</v>
      </c>
      <c r="W11" s="258">
        <v>394</v>
      </c>
      <c r="X11" s="258">
        <v>427</v>
      </c>
      <c r="Y11" s="258">
        <v>400</v>
      </c>
      <c r="Z11" s="258">
        <v>371</v>
      </c>
      <c r="AA11" s="614">
        <v>305</v>
      </c>
      <c r="AB11" s="354"/>
      <c r="AC11" s="257">
        <v>1201</v>
      </c>
      <c r="AD11" s="258">
        <v>1420</v>
      </c>
      <c r="AE11" s="258">
        <v>1791</v>
      </c>
      <c r="AF11" s="258">
        <v>1348</v>
      </c>
      <c r="AG11" s="258">
        <v>1128</v>
      </c>
      <c r="AH11" s="258">
        <v>1104</v>
      </c>
      <c r="AI11" s="258">
        <v>1902</v>
      </c>
      <c r="AJ11" s="614">
        <v>1198</v>
      </c>
      <c r="AK11" s="354"/>
      <c r="AL11" s="257">
        <v>231</v>
      </c>
      <c r="AM11" s="258">
        <v>300</v>
      </c>
      <c r="AN11" s="258">
        <v>330</v>
      </c>
      <c r="AO11" s="258">
        <v>219</v>
      </c>
      <c r="AP11" s="258">
        <v>201</v>
      </c>
      <c r="AQ11" s="258">
        <v>214</v>
      </c>
      <c r="AR11" s="258">
        <v>486</v>
      </c>
      <c r="AS11" s="614">
        <v>204</v>
      </c>
      <c r="AT11" s="354"/>
      <c r="AU11" s="257"/>
      <c r="AV11" s="258"/>
      <c r="AW11" s="258"/>
      <c r="AX11" s="258"/>
      <c r="AY11" s="258"/>
      <c r="AZ11" s="258"/>
      <c r="BA11" s="258"/>
      <c r="BB11" s="614"/>
      <c r="BC11" s="354"/>
      <c r="BD11" s="257">
        <f t="shared" si="1"/>
        <v>1818</v>
      </c>
      <c r="BE11" s="258">
        <f t="shared" si="2"/>
        <v>2178</v>
      </c>
      <c r="BF11" s="258">
        <f t="shared" si="3"/>
        <v>2706</v>
      </c>
      <c r="BG11" s="258">
        <f t="shared" si="4"/>
        <v>2027</v>
      </c>
      <c r="BH11" s="258">
        <f t="shared" si="5"/>
        <v>1795</v>
      </c>
      <c r="BI11" s="258">
        <f t="shared" si="6"/>
        <v>1766</v>
      </c>
      <c r="BJ11" s="258">
        <f t="shared" si="7"/>
        <v>2807</v>
      </c>
      <c r="BK11" s="614">
        <f t="shared" si="8"/>
        <v>1765</v>
      </c>
      <c r="BL11" s="354">
        <f t="shared" si="8"/>
        <v>0</v>
      </c>
    </row>
    <row r="12" spans="1:64" x14ac:dyDescent="0.2">
      <c r="A12" s="359" t="s">
        <v>636</v>
      </c>
      <c r="B12" s="257">
        <v>17</v>
      </c>
      <c r="C12" s="258">
        <v>19</v>
      </c>
      <c r="D12" s="258">
        <v>17</v>
      </c>
      <c r="E12" s="258">
        <v>23</v>
      </c>
      <c r="F12" s="258">
        <v>10</v>
      </c>
      <c r="G12" s="258">
        <v>14</v>
      </c>
      <c r="H12" s="258">
        <v>6</v>
      </c>
      <c r="I12" s="614">
        <v>14</v>
      </c>
      <c r="J12" s="354"/>
      <c r="K12" s="257">
        <v>26</v>
      </c>
      <c r="L12" s="258">
        <v>30</v>
      </c>
      <c r="M12" s="258">
        <v>31</v>
      </c>
      <c r="N12" s="258">
        <v>41</v>
      </c>
      <c r="O12" s="258">
        <v>35</v>
      </c>
      <c r="P12" s="258">
        <v>35</v>
      </c>
      <c r="Q12" s="258">
        <v>34</v>
      </c>
      <c r="R12" s="614">
        <v>45</v>
      </c>
      <c r="S12" s="354"/>
      <c r="T12" s="257">
        <v>227</v>
      </c>
      <c r="U12" s="258">
        <v>307</v>
      </c>
      <c r="V12" s="258">
        <v>305</v>
      </c>
      <c r="W12" s="258">
        <v>388</v>
      </c>
      <c r="X12" s="258">
        <v>436</v>
      </c>
      <c r="Y12" s="258">
        <v>396</v>
      </c>
      <c r="Z12" s="258">
        <v>458</v>
      </c>
      <c r="AA12" s="614">
        <v>485</v>
      </c>
      <c r="AB12" s="354"/>
      <c r="AC12" s="257">
        <v>1199</v>
      </c>
      <c r="AD12" s="258">
        <v>1599</v>
      </c>
      <c r="AE12" s="258">
        <v>1771</v>
      </c>
      <c r="AF12" s="258">
        <v>2666</v>
      </c>
      <c r="AG12" s="258">
        <v>1294</v>
      </c>
      <c r="AH12" s="258">
        <v>1230</v>
      </c>
      <c r="AI12" s="258">
        <v>1179</v>
      </c>
      <c r="AJ12" s="614">
        <v>1317</v>
      </c>
      <c r="AK12" s="354"/>
      <c r="AL12" s="257">
        <v>255</v>
      </c>
      <c r="AM12" s="258">
        <v>335</v>
      </c>
      <c r="AN12" s="258">
        <v>323</v>
      </c>
      <c r="AO12" s="258">
        <v>318</v>
      </c>
      <c r="AP12" s="258">
        <v>239</v>
      </c>
      <c r="AQ12" s="258">
        <v>229</v>
      </c>
      <c r="AR12" s="258">
        <v>192</v>
      </c>
      <c r="AS12" s="614">
        <v>192</v>
      </c>
      <c r="AT12" s="354"/>
      <c r="AU12" s="257"/>
      <c r="AV12" s="258"/>
      <c r="AW12" s="258"/>
      <c r="AX12" s="258"/>
      <c r="AY12" s="258"/>
      <c r="AZ12" s="258"/>
      <c r="BA12" s="258"/>
      <c r="BB12" s="614"/>
      <c r="BC12" s="354"/>
      <c r="BD12" s="257">
        <f t="shared" si="1"/>
        <v>1724</v>
      </c>
      <c r="BE12" s="258">
        <f t="shared" si="2"/>
        <v>2290</v>
      </c>
      <c r="BF12" s="258">
        <f t="shared" si="3"/>
        <v>2447</v>
      </c>
      <c r="BG12" s="258">
        <f t="shared" si="4"/>
        <v>3436</v>
      </c>
      <c r="BH12" s="258">
        <f t="shared" si="5"/>
        <v>2014</v>
      </c>
      <c r="BI12" s="258">
        <f t="shared" si="6"/>
        <v>1904</v>
      </c>
      <c r="BJ12" s="258">
        <f t="shared" si="7"/>
        <v>1869</v>
      </c>
      <c r="BK12" s="614">
        <f t="shared" si="8"/>
        <v>2053</v>
      </c>
      <c r="BL12" s="354">
        <f t="shared" si="8"/>
        <v>0</v>
      </c>
    </row>
    <row r="13" spans="1:64" x14ac:dyDescent="0.2">
      <c r="A13" s="359" t="s">
        <v>637</v>
      </c>
      <c r="B13" s="257">
        <v>27</v>
      </c>
      <c r="C13" s="258">
        <v>46</v>
      </c>
      <c r="D13" s="258">
        <v>30</v>
      </c>
      <c r="E13" s="258">
        <v>41</v>
      </c>
      <c r="F13" s="258">
        <v>44</v>
      </c>
      <c r="G13" s="258">
        <v>21</v>
      </c>
      <c r="H13" s="258">
        <v>35</v>
      </c>
      <c r="I13" s="614">
        <v>49</v>
      </c>
      <c r="J13" s="354"/>
      <c r="K13" s="257">
        <v>85</v>
      </c>
      <c r="L13" s="258">
        <v>97</v>
      </c>
      <c r="M13" s="258">
        <v>89</v>
      </c>
      <c r="N13" s="258">
        <v>94</v>
      </c>
      <c r="O13" s="258">
        <v>72</v>
      </c>
      <c r="P13" s="258">
        <v>81</v>
      </c>
      <c r="Q13" s="258">
        <v>52</v>
      </c>
      <c r="R13" s="614">
        <v>78</v>
      </c>
      <c r="S13" s="354"/>
      <c r="T13" s="257">
        <v>548</v>
      </c>
      <c r="U13" s="258">
        <v>606</v>
      </c>
      <c r="V13" s="258">
        <v>595</v>
      </c>
      <c r="W13" s="258">
        <v>611</v>
      </c>
      <c r="X13" s="258">
        <v>620</v>
      </c>
      <c r="Y13" s="258">
        <v>439</v>
      </c>
      <c r="Z13" s="258">
        <v>401</v>
      </c>
      <c r="AA13" s="614">
        <v>377</v>
      </c>
      <c r="AB13" s="354"/>
      <c r="AC13" s="257">
        <v>2142</v>
      </c>
      <c r="AD13" s="258">
        <v>2974</v>
      </c>
      <c r="AE13" s="258">
        <v>2743</v>
      </c>
      <c r="AF13" s="258">
        <v>2780</v>
      </c>
      <c r="AG13" s="258">
        <v>2394</v>
      </c>
      <c r="AH13" s="258">
        <v>1773</v>
      </c>
      <c r="AI13" s="258">
        <v>1570</v>
      </c>
      <c r="AJ13" s="614">
        <v>1563</v>
      </c>
      <c r="AK13" s="354"/>
      <c r="AL13" s="257">
        <v>510</v>
      </c>
      <c r="AM13" s="258">
        <v>588</v>
      </c>
      <c r="AN13" s="258">
        <v>611</v>
      </c>
      <c r="AO13" s="258">
        <v>573</v>
      </c>
      <c r="AP13" s="258">
        <v>484</v>
      </c>
      <c r="AQ13" s="258">
        <v>381</v>
      </c>
      <c r="AR13" s="258">
        <v>268</v>
      </c>
      <c r="AS13" s="614">
        <v>325</v>
      </c>
      <c r="AT13" s="354"/>
      <c r="AU13" s="257"/>
      <c r="AV13" s="258"/>
      <c r="AW13" s="258"/>
      <c r="AX13" s="258"/>
      <c r="AY13" s="258"/>
      <c r="AZ13" s="258"/>
      <c r="BA13" s="258"/>
      <c r="BB13" s="614"/>
      <c r="BC13" s="354"/>
      <c r="BD13" s="257">
        <f t="shared" si="1"/>
        <v>3312</v>
      </c>
      <c r="BE13" s="258">
        <f t="shared" si="2"/>
        <v>4311</v>
      </c>
      <c r="BF13" s="258">
        <f t="shared" si="3"/>
        <v>4068</v>
      </c>
      <c r="BG13" s="258">
        <f t="shared" si="4"/>
        <v>4099</v>
      </c>
      <c r="BH13" s="258">
        <f t="shared" si="5"/>
        <v>3614</v>
      </c>
      <c r="BI13" s="258">
        <f t="shared" si="6"/>
        <v>2695</v>
      </c>
      <c r="BJ13" s="258">
        <f t="shared" si="7"/>
        <v>2326</v>
      </c>
      <c r="BK13" s="614">
        <f t="shared" si="8"/>
        <v>2392</v>
      </c>
      <c r="BL13" s="354">
        <f t="shared" si="8"/>
        <v>0</v>
      </c>
    </row>
    <row r="14" spans="1:64" x14ac:dyDescent="0.2">
      <c r="A14" s="359" t="s">
        <v>638</v>
      </c>
      <c r="B14" s="257">
        <v>23</v>
      </c>
      <c r="C14" s="258">
        <v>53</v>
      </c>
      <c r="D14" s="258">
        <v>43</v>
      </c>
      <c r="E14" s="258">
        <v>47</v>
      </c>
      <c r="F14" s="258">
        <v>37</v>
      </c>
      <c r="G14" s="258">
        <v>33</v>
      </c>
      <c r="H14" s="258">
        <v>20</v>
      </c>
      <c r="I14" s="614">
        <v>16</v>
      </c>
      <c r="J14" s="354"/>
      <c r="K14" s="257">
        <v>58</v>
      </c>
      <c r="L14" s="258">
        <v>98</v>
      </c>
      <c r="M14" s="258">
        <v>110</v>
      </c>
      <c r="N14" s="258">
        <v>75</v>
      </c>
      <c r="O14" s="258">
        <v>64</v>
      </c>
      <c r="P14" s="258">
        <v>77</v>
      </c>
      <c r="Q14" s="258">
        <v>51</v>
      </c>
      <c r="R14" s="614">
        <v>53</v>
      </c>
      <c r="S14" s="354"/>
      <c r="T14" s="257">
        <v>168</v>
      </c>
      <c r="U14" s="258">
        <v>255</v>
      </c>
      <c r="V14" s="258">
        <v>291</v>
      </c>
      <c r="W14" s="258">
        <v>256</v>
      </c>
      <c r="X14" s="258">
        <v>237</v>
      </c>
      <c r="Y14" s="258">
        <v>229</v>
      </c>
      <c r="Z14" s="258">
        <v>162</v>
      </c>
      <c r="AA14" s="614">
        <v>215</v>
      </c>
      <c r="AB14" s="354"/>
      <c r="AC14" s="257">
        <v>1377</v>
      </c>
      <c r="AD14" s="258">
        <v>2182</v>
      </c>
      <c r="AE14" s="258">
        <v>1914</v>
      </c>
      <c r="AF14" s="258">
        <v>1925</v>
      </c>
      <c r="AG14" s="258">
        <v>1216</v>
      </c>
      <c r="AH14" s="258">
        <v>1103</v>
      </c>
      <c r="AI14" s="258">
        <v>1032</v>
      </c>
      <c r="AJ14" s="614">
        <v>1141</v>
      </c>
      <c r="AK14" s="354"/>
      <c r="AL14" s="257">
        <v>411</v>
      </c>
      <c r="AM14" s="258">
        <v>613</v>
      </c>
      <c r="AN14" s="258">
        <v>525</v>
      </c>
      <c r="AO14" s="258">
        <v>565</v>
      </c>
      <c r="AP14" s="258">
        <v>306</v>
      </c>
      <c r="AQ14" s="258">
        <v>316</v>
      </c>
      <c r="AR14" s="258">
        <v>314</v>
      </c>
      <c r="AS14" s="614">
        <v>308</v>
      </c>
      <c r="AT14" s="354"/>
      <c r="AU14" s="257"/>
      <c r="AV14" s="258"/>
      <c r="AW14" s="258"/>
      <c r="AX14" s="258"/>
      <c r="AY14" s="258"/>
      <c r="AZ14" s="258"/>
      <c r="BA14" s="258"/>
      <c r="BB14" s="614"/>
      <c r="BC14" s="354"/>
      <c r="BD14" s="257">
        <f t="shared" si="1"/>
        <v>2037</v>
      </c>
      <c r="BE14" s="258">
        <f t="shared" si="2"/>
        <v>3201</v>
      </c>
      <c r="BF14" s="258">
        <f t="shared" si="3"/>
        <v>2883</v>
      </c>
      <c r="BG14" s="258">
        <f t="shared" si="4"/>
        <v>2868</v>
      </c>
      <c r="BH14" s="258">
        <f t="shared" si="5"/>
        <v>1860</v>
      </c>
      <c r="BI14" s="258">
        <f t="shared" si="6"/>
        <v>1758</v>
      </c>
      <c r="BJ14" s="258">
        <f t="shared" si="7"/>
        <v>1579</v>
      </c>
      <c r="BK14" s="614">
        <f t="shared" si="8"/>
        <v>1733</v>
      </c>
      <c r="BL14" s="354">
        <f t="shared" si="8"/>
        <v>0</v>
      </c>
    </row>
    <row r="15" spans="1:64" x14ac:dyDescent="0.2">
      <c r="A15" s="359" t="s">
        <v>639</v>
      </c>
      <c r="B15" s="257">
        <v>20</v>
      </c>
      <c r="C15" s="258">
        <v>25</v>
      </c>
      <c r="D15" s="258">
        <v>38</v>
      </c>
      <c r="E15" s="258">
        <v>24</v>
      </c>
      <c r="F15" s="258">
        <v>28</v>
      </c>
      <c r="G15" s="258">
        <v>20</v>
      </c>
      <c r="H15" s="258">
        <v>28</v>
      </c>
      <c r="I15" s="614">
        <v>18</v>
      </c>
      <c r="J15" s="354"/>
      <c r="K15" s="257">
        <v>41</v>
      </c>
      <c r="L15" s="258">
        <v>81</v>
      </c>
      <c r="M15" s="258">
        <v>69</v>
      </c>
      <c r="N15" s="258">
        <v>39</v>
      </c>
      <c r="O15" s="258">
        <v>52</v>
      </c>
      <c r="P15" s="258">
        <v>86</v>
      </c>
      <c r="Q15" s="258">
        <v>61</v>
      </c>
      <c r="R15" s="614">
        <v>55</v>
      </c>
      <c r="S15" s="354"/>
      <c r="T15" s="257">
        <v>375</v>
      </c>
      <c r="U15" s="258">
        <v>527</v>
      </c>
      <c r="V15" s="258">
        <v>404</v>
      </c>
      <c r="W15" s="258">
        <v>410</v>
      </c>
      <c r="X15" s="258">
        <v>395</v>
      </c>
      <c r="Y15" s="258">
        <v>507</v>
      </c>
      <c r="Z15" s="258">
        <v>374</v>
      </c>
      <c r="AA15" s="614">
        <v>529</v>
      </c>
      <c r="AB15" s="354"/>
      <c r="AC15" s="257">
        <v>1462</v>
      </c>
      <c r="AD15" s="258">
        <v>2814</v>
      </c>
      <c r="AE15" s="258">
        <v>2786</v>
      </c>
      <c r="AF15" s="258">
        <v>3020</v>
      </c>
      <c r="AG15" s="258">
        <v>2607</v>
      </c>
      <c r="AH15" s="258">
        <v>3043</v>
      </c>
      <c r="AI15" s="258">
        <v>1878</v>
      </c>
      <c r="AJ15" s="614">
        <v>2510</v>
      </c>
      <c r="AK15" s="354"/>
      <c r="AL15" s="257">
        <v>596</v>
      </c>
      <c r="AM15" s="258">
        <v>945</v>
      </c>
      <c r="AN15" s="258">
        <v>914</v>
      </c>
      <c r="AO15" s="258">
        <v>1014</v>
      </c>
      <c r="AP15" s="258">
        <v>890</v>
      </c>
      <c r="AQ15" s="258">
        <v>799</v>
      </c>
      <c r="AR15" s="258">
        <v>645</v>
      </c>
      <c r="AS15" s="614">
        <v>528</v>
      </c>
      <c r="AT15" s="354"/>
      <c r="AU15" s="257"/>
      <c r="AV15" s="258"/>
      <c r="AW15" s="258"/>
      <c r="AX15" s="258"/>
      <c r="AY15" s="258"/>
      <c r="AZ15" s="258"/>
      <c r="BA15" s="258"/>
      <c r="BB15" s="614"/>
      <c r="BC15" s="354"/>
      <c r="BD15" s="257">
        <f t="shared" si="1"/>
        <v>2494</v>
      </c>
      <c r="BE15" s="258">
        <f t="shared" si="2"/>
        <v>4392</v>
      </c>
      <c r="BF15" s="258">
        <f t="shared" si="3"/>
        <v>4211</v>
      </c>
      <c r="BG15" s="258">
        <f t="shared" si="4"/>
        <v>4507</v>
      </c>
      <c r="BH15" s="258">
        <f t="shared" si="5"/>
        <v>3972</v>
      </c>
      <c r="BI15" s="258">
        <f t="shared" si="6"/>
        <v>4455</v>
      </c>
      <c r="BJ15" s="258">
        <f t="shared" si="7"/>
        <v>2986</v>
      </c>
      <c r="BK15" s="614">
        <f t="shared" si="8"/>
        <v>3640</v>
      </c>
      <c r="BL15" s="354">
        <f t="shared" si="8"/>
        <v>0</v>
      </c>
    </row>
    <row r="16" spans="1:64" x14ac:dyDescent="0.2">
      <c r="A16" s="359" t="s">
        <v>640</v>
      </c>
      <c r="B16" s="257">
        <v>13</v>
      </c>
      <c r="C16" s="258">
        <v>6</v>
      </c>
      <c r="D16" s="258">
        <v>11</v>
      </c>
      <c r="E16" s="258">
        <v>10</v>
      </c>
      <c r="F16" s="258">
        <v>3</v>
      </c>
      <c r="G16" s="258">
        <v>4</v>
      </c>
      <c r="H16" s="258">
        <v>3</v>
      </c>
      <c r="I16" s="614">
        <v>8</v>
      </c>
      <c r="J16" s="354"/>
      <c r="K16" s="257">
        <v>37</v>
      </c>
      <c r="L16" s="258">
        <v>22</v>
      </c>
      <c r="M16" s="258">
        <v>26</v>
      </c>
      <c r="N16" s="258">
        <v>21</v>
      </c>
      <c r="O16" s="258">
        <v>13</v>
      </c>
      <c r="P16" s="258">
        <v>11</v>
      </c>
      <c r="Q16" s="258">
        <v>20</v>
      </c>
      <c r="R16" s="614">
        <v>17</v>
      </c>
      <c r="S16" s="354"/>
      <c r="T16" s="257">
        <v>72</v>
      </c>
      <c r="U16" s="258">
        <v>85</v>
      </c>
      <c r="V16" s="258">
        <v>111</v>
      </c>
      <c r="W16" s="258">
        <v>83</v>
      </c>
      <c r="X16" s="258">
        <v>93</v>
      </c>
      <c r="Y16" s="258">
        <v>52</v>
      </c>
      <c r="Z16" s="258">
        <v>62</v>
      </c>
      <c r="AA16" s="614">
        <v>50</v>
      </c>
      <c r="AB16" s="354"/>
      <c r="AC16" s="257">
        <v>449</v>
      </c>
      <c r="AD16" s="258">
        <v>1027</v>
      </c>
      <c r="AE16" s="258">
        <v>1194</v>
      </c>
      <c r="AF16" s="258">
        <v>1286</v>
      </c>
      <c r="AG16" s="258">
        <v>1036</v>
      </c>
      <c r="AH16" s="258">
        <v>639</v>
      </c>
      <c r="AI16" s="258">
        <v>755</v>
      </c>
      <c r="AJ16" s="614">
        <v>606</v>
      </c>
      <c r="AK16" s="354"/>
      <c r="AL16" s="257">
        <v>207</v>
      </c>
      <c r="AM16" s="258">
        <v>406</v>
      </c>
      <c r="AN16" s="258">
        <v>471</v>
      </c>
      <c r="AO16" s="258">
        <v>427</v>
      </c>
      <c r="AP16" s="258">
        <v>328</v>
      </c>
      <c r="AQ16" s="258">
        <v>349</v>
      </c>
      <c r="AR16" s="258">
        <v>345</v>
      </c>
      <c r="AS16" s="614">
        <v>233</v>
      </c>
      <c r="AT16" s="354"/>
      <c r="AU16" s="257"/>
      <c r="AV16" s="258"/>
      <c r="AW16" s="258"/>
      <c r="AX16" s="258"/>
      <c r="AY16" s="258"/>
      <c r="AZ16" s="258"/>
      <c r="BA16" s="258"/>
      <c r="BB16" s="614"/>
      <c r="BC16" s="354"/>
      <c r="BD16" s="257">
        <f t="shared" si="1"/>
        <v>778</v>
      </c>
      <c r="BE16" s="258">
        <f t="shared" si="2"/>
        <v>1546</v>
      </c>
      <c r="BF16" s="258">
        <f t="shared" si="3"/>
        <v>1813</v>
      </c>
      <c r="BG16" s="258">
        <f t="shared" si="4"/>
        <v>1827</v>
      </c>
      <c r="BH16" s="258">
        <f t="shared" si="5"/>
        <v>1473</v>
      </c>
      <c r="BI16" s="258">
        <f t="shared" si="6"/>
        <v>1055</v>
      </c>
      <c r="BJ16" s="258">
        <f t="shared" si="7"/>
        <v>1185</v>
      </c>
      <c r="BK16" s="614">
        <f t="shared" si="8"/>
        <v>914</v>
      </c>
      <c r="BL16" s="354">
        <f t="shared" si="8"/>
        <v>0</v>
      </c>
    </row>
    <row r="17" spans="1:64" x14ac:dyDescent="0.2">
      <c r="A17" s="359" t="s">
        <v>641</v>
      </c>
      <c r="B17" s="257">
        <v>42</v>
      </c>
      <c r="C17" s="258">
        <v>34</v>
      </c>
      <c r="D17" s="258">
        <v>33</v>
      </c>
      <c r="E17" s="258">
        <v>33</v>
      </c>
      <c r="F17" s="258">
        <v>30</v>
      </c>
      <c r="G17" s="258">
        <v>33</v>
      </c>
      <c r="H17" s="258">
        <v>26</v>
      </c>
      <c r="I17" s="614">
        <v>32</v>
      </c>
      <c r="J17" s="354"/>
      <c r="K17" s="257">
        <v>81</v>
      </c>
      <c r="L17" s="258">
        <v>68</v>
      </c>
      <c r="M17" s="258">
        <v>65</v>
      </c>
      <c r="N17" s="258">
        <v>67</v>
      </c>
      <c r="O17" s="258">
        <v>101</v>
      </c>
      <c r="P17" s="258">
        <v>78</v>
      </c>
      <c r="Q17" s="258">
        <v>50</v>
      </c>
      <c r="R17" s="614">
        <v>58</v>
      </c>
      <c r="S17" s="354"/>
      <c r="T17" s="257">
        <v>252</v>
      </c>
      <c r="U17" s="258">
        <v>299</v>
      </c>
      <c r="V17" s="258">
        <v>359</v>
      </c>
      <c r="W17" s="258">
        <v>314</v>
      </c>
      <c r="X17" s="258">
        <v>323</v>
      </c>
      <c r="Y17" s="258">
        <v>301</v>
      </c>
      <c r="Z17" s="258">
        <v>275</v>
      </c>
      <c r="AA17" s="614">
        <v>258</v>
      </c>
      <c r="AB17" s="354"/>
      <c r="AC17" s="257">
        <v>2192</v>
      </c>
      <c r="AD17" s="258">
        <v>2802</v>
      </c>
      <c r="AE17" s="258">
        <v>3056</v>
      </c>
      <c r="AF17" s="258">
        <v>2763</v>
      </c>
      <c r="AG17" s="258">
        <v>2553</v>
      </c>
      <c r="AH17" s="258">
        <v>2142</v>
      </c>
      <c r="AI17" s="258">
        <v>1610</v>
      </c>
      <c r="AJ17" s="614">
        <v>1997</v>
      </c>
      <c r="AK17" s="354"/>
      <c r="AL17" s="257">
        <v>550</v>
      </c>
      <c r="AM17" s="258">
        <v>671</v>
      </c>
      <c r="AN17" s="258">
        <v>669</v>
      </c>
      <c r="AO17" s="258">
        <v>661</v>
      </c>
      <c r="AP17" s="258">
        <v>657</v>
      </c>
      <c r="AQ17" s="258">
        <v>559</v>
      </c>
      <c r="AR17" s="258">
        <v>372</v>
      </c>
      <c r="AS17" s="614">
        <v>405</v>
      </c>
      <c r="AT17" s="354"/>
      <c r="AU17" s="257"/>
      <c r="AV17" s="258"/>
      <c r="AW17" s="258"/>
      <c r="AX17" s="258"/>
      <c r="AY17" s="258"/>
      <c r="AZ17" s="258"/>
      <c r="BA17" s="258"/>
      <c r="BB17" s="614"/>
      <c r="BC17" s="354"/>
      <c r="BD17" s="257">
        <f t="shared" si="1"/>
        <v>3117</v>
      </c>
      <c r="BE17" s="258">
        <f t="shared" si="2"/>
        <v>3874</v>
      </c>
      <c r="BF17" s="258">
        <f t="shared" si="3"/>
        <v>4182</v>
      </c>
      <c r="BG17" s="258">
        <f t="shared" si="4"/>
        <v>3838</v>
      </c>
      <c r="BH17" s="258">
        <f t="shared" si="5"/>
        <v>3664</v>
      </c>
      <c r="BI17" s="258">
        <f t="shared" si="6"/>
        <v>3113</v>
      </c>
      <c r="BJ17" s="258">
        <f t="shared" si="7"/>
        <v>2333</v>
      </c>
      <c r="BK17" s="614">
        <f t="shared" si="8"/>
        <v>2750</v>
      </c>
      <c r="BL17" s="354">
        <f t="shared" si="8"/>
        <v>0</v>
      </c>
    </row>
    <row r="18" spans="1:64" x14ac:dyDescent="0.2">
      <c r="A18" s="359" t="s">
        <v>642</v>
      </c>
      <c r="B18" s="257">
        <v>39</v>
      </c>
      <c r="C18" s="258">
        <v>31</v>
      </c>
      <c r="D18" s="258">
        <v>27</v>
      </c>
      <c r="E18" s="258">
        <v>36</v>
      </c>
      <c r="F18" s="258">
        <v>31</v>
      </c>
      <c r="G18" s="258">
        <v>23</v>
      </c>
      <c r="H18" s="258">
        <v>19</v>
      </c>
      <c r="I18" s="614">
        <v>21</v>
      </c>
      <c r="J18" s="354"/>
      <c r="K18" s="257">
        <v>97</v>
      </c>
      <c r="L18" s="258">
        <v>84</v>
      </c>
      <c r="M18" s="258">
        <v>70</v>
      </c>
      <c r="N18" s="258">
        <v>55</v>
      </c>
      <c r="O18" s="258">
        <v>68</v>
      </c>
      <c r="P18" s="258">
        <v>67</v>
      </c>
      <c r="Q18" s="258">
        <v>58</v>
      </c>
      <c r="R18" s="614">
        <v>47</v>
      </c>
      <c r="S18" s="354"/>
      <c r="T18" s="257">
        <v>253</v>
      </c>
      <c r="U18" s="258">
        <v>274</v>
      </c>
      <c r="V18" s="258">
        <v>241</v>
      </c>
      <c r="W18" s="258">
        <v>249</v>
      </c>
      <c r="X18" s="258">
        <v>378</v>
      </c>
      <c r="Y18" s="258">
        <v>404</v>
      </c>
      <c r="Z18" s="258">
        <v>215</v>
      </c>
      <c r="AA18" s="614">
        <v>235</v>
      </c>
      <c r="AB18" s="354"/>
      <c r="AC18" s="257">
        <v>2213</v>
      </c>
      <c r="AD18" s="258">
        <v>2270</v>
      </c>
      <c r="AE18" s="258">
        <v>1911</v>
      </c>
      <c r="AF18" s="258">
        <v>2781</v>
      </c>
      <c r="AG18" s="258">
        <v>3856</v>
      </c>
      <c r="AH18" s="258">
        <v>4547</v>
      </c>
      <c r="AI18" s="258">
        <v>1643</v>
      </c>
      <c r="AJ18" s="614">
        <v>1390</v>
      </c>
      <c r="AK18" s="354"/>
      <c r="AL18" s="257">
        <v>710</v>
      </c>
      <c r="AM18" s="258">
        <v>714</v>
      </c>
      <c r="AN18" s="258">
        <v>567</v>
      </c>
      <c r="AO18" s="258">
        <v>3470</v>
      </c>
      <c r="AP18" s="258">
        <v>1265</v>
      </c>
      <c r="AQ18" s="258">
        <v>1989</v>
      </c>
      <c r="AR18" s="258">
        <v>515</v>
      </c>
      <c r="AS18" s="614">
        <v>314</v>
      </c>
      <c r="AT18" s="354"/>
      <c r="AU18" s="257"/>
      <c r="AV18" s="258"/>
      <c r="AW18" s="258"/>
      <c r="AX18" s="258"/>
      <c r="AY18" s="258"/>
      <c r="AZ18" s="258"/>
      <c r="BA18" s="258"/>
      <c r="BB18" s="614"/>
      <c r="BC18" s="354"/>
      <c r="BD18" s="257">
        <f t="shared" si="1"/>
        <v>3312</v>
      </c>
      <c r="BE18" s="258">
        <f t="shared" si="2"/>
        <v>3373</v>
      </c>
      <c r="BF18" s="258">
        <f t="shared" si="3"/>
        <v>2816</v>
      </c>
      <c r="BG18" s="258">
        <f t="shared" si="4"/>
        <v>6591</v>
      </c>
      <c r="BH18" s="258">
        <f t="shared" si="5"/>
        <v>5598</v>
      </c>
      <c r="BI18" s="258">
        <f t="shared" si="6"/>
        <v>7030</v>
      </c>
      <c r="BJ18" s="258">
        <f t="shared" si="7"/>
        <v>2450</v>
      </c>
      <c r="BK18" s="614">
        <f t="shared" si="8"/>
        <v>2007</v>
      </c>
      <c r="BL18" s="354">
        <f t="shared" si="8"/>
        <v>0</v>
      </c>
    </row>
    <row r="19" spans="1:64" x14ac:dyDescent="0.2">
      <c r="A19" s="359" t="s">
        <v>643</v>
      </c>
      <c r="B19" s="257">
        <v>10</v>
      </c>
      <c r="C19" s="258">
        <v>35</v>
      </c>
      <c r="D19" s="258">
        <v>38</v>
      </c>
      <c r="E19" s="258">
        <v>35</v>
      </c>
      <c r="F19" s="258">
        <v>19</v>
      </c>
      <c r="G19" s="258">
        <v>14</v>
      </c>
      <c r="H19" s="258">
        <v>18</v>
      </c>
      <c r="I19" s="614">
        <v>15</v>
      </c>
      <c r="J19" s="354"/>
      <c r="K19" s="257">
        <v>24</v>
      </c>
      <c r="L19" s="258">
        <v>45</v>
      </c>
      <c r="M19" s="258">
        <v>70</v>
      </c>
      <c r="N19" s="258">
        <v>70</v>
      </c>
      <c r="O19" s="258">
        <v>43</v>
      </c>
      <c r="P19" s="258">
        <v>49</v>
      </c>
      <c r="Q19" s="258">
        <v>26</v>
      </c>
      <c r="R19" s="614">
        <v>44</v>
      </c>
      <c r="S19" s="354"/>
      <c r="T19" s="257">
        <v>73</v>
      </c>
      <c r="U19" s="258">
        <v>93</v>
      </c>
      <c r="V19" s="258">
        <v>85</v>
      </c>
      <c r="W19" s="258">
        <v>105</v>
      </c>
      <c r="X19" s="258">
        <v>77</v>
      </c>
      <c r="Y19" s="258">
        <v>92</v>
      </c>
      <c r="Z19" s="258">
        <v>78</v>
      </c>
      <c r="AA19" s="614">
        <v>82</v>
      </c>
      <c r="AB19" s="354"/>
      <c r="AC19" s="257">
        <v>895</v>
      </c>
      <c r="AD19" s="258">
        <v>1116</v>
      </c>
      <c r="AE19" s="258">
        <v>925</v>
      </c>
      <c r="AF19" s="258">
        <v>1160</v>
      </c>
      <c r="AG19" s="258">
        <v>746</v>
      </c>
      <c r="AH19" s="258">
        <v>643</v>
      </c>
      <c r="AI19" s="258">
        <v>534</v>
      </c>
      <c r="AJ19" s="614">
        <v>512</v>
      </c>
      <c r="AK19" s="354"/>
      <c r="AL19" s="257">
        <v>290</v>
      </c>
      <c r="AM19" s="258">
        <v>333</v>
      </c>
      <c r="AN19" s="258">
        <v>298</v>
      </c>
      <c r="AO19" s="258">
        <v>376</v>
      </c>
      <c r="AP19" s="258">
        <v>263</v>
      </c>
      <c r="AQ19" s="258">
        <v>233</v>
      </c>
      <c r="AR19" s="258">
        <v>182</v>
      </c>
      <c r="AS19" s="614">
        <v>185</v>
      </c>
      <c r="AT19" s="354"/>
      <c r="AU19" s="257"/>
      <c r="AV19" s="258"/>
      <c r="AW19" s="258"/>
      <c r="AX19" s="258"/>
      <c r="AY19" s="258"/>
      <c r="AZ19" s="258"/>
      <c r="BA19" s="258"/>
      <c r="BB19" s="614"/>
      <c r="BC19" s="354"/>
      <c r="BD19" s="257">
        <f t="shared" si="1"/>
        <v>1292</v>
      </c>
      <c r="BE19" s="258">
        <f t="shared" si="2"/>
        <v>1622</v>
      </c>
      <c r="BF19" s="258">
        <f t="shared" si="3"/>
        <v>1416</v>
      </c>
      <c r="BG19" s="258">
        <f t="shared" si="4"/>
        <v>1746</v>
      </c>
      <c r="BH19" s="258">
        <f t="shared" si="5"/>
        <v>1148</v>
      </c>
      <c r="BI19" s="258">
        <f t="shared" si="6"/>
        <v>1031</v>
      </c>
      <c r="BJ19" s="258">
        <f t="shared" si="7"/>
        <v>838</v>
      </c>
      <c r="BK19" s="614">
        <f t="shared" si="8"/>
        <v>838</v>
      </c>
      <c r="BL19" s="354">
        <f t="shared" si="8"/>
        <v>0</v>
      </c>
    </row>
    <row r="20" spans="1:64" x14ac:dyDescent="0.2">
      <c r="A20" s="359" t="s">
        <v>644</v>
      </c>
      <c r="B20" s="257">
        <v>18</v>
      </c>
      <c r="C20" s="258">
        <v>27</v>
      </c>
      <c r="D20" s="258">
        <v>23</v>
      </c>
      <c r="E20" s="258">
        <v>34</v>
      </c>
      <c r="F20" s="258">
        <v>13</v>
      </c>
      <c r="G20" s="258">
        <v>9</v>
      </c>
      <c r="H20" s="258">
        <v>11</v>
      </c>
      <c r="I20" s="614">
        <v>7</v>
      </c>
      <c r="J20" s="354"/>
      <c r="K20" s="257">
        <v>31</v>
      </c>
      <c r="L20" s="258">
        <v>48</v>
      </c>
      <c r="M20" s="258">
        <v>41</v>
      </c>
      <c r="N20" s="258">
        <v>37</v>
      </c>
      <c r="O20" s="258">
        <v>26</v>
      </c>
      <c r="P20" s="258">
        <v>24</v>
      </c>
      <c r="Q20" s="258">
        <v>16</v>
      </c>
      <c r="R20" s="614">
        <v>28</v>
      </c>
      <c r="S20" s="354"/>
      <c r="T20" s="257">
        <v>60</v>
      </c>
      <c r="U20" s="258">
        <v>87</v>
      </c>
      <c r="V20" s="258">
        <v>101</v>
      </c>
      <c r="W20" s="258">
        <v>94</v>
      </c>
      <c r="X20" s="258">
        <v>103</v>
      </c>
      <c r="Y20" s="258">
        <v>64</v>
      </c>
      <c r="Z20" s="258">
        <v>83</v>
      </c>
      <c r="AA20" s="614">
        <v>88</v>
      </c>
      <c r="AB20" s="354"/>
      <c r="AC20" s="257">
        <v>826</v>
      </c>
      <c r="AD20" s="258">
        <v>1208</v>
      </c>
      <c r="AE20" s="258">
        <v>1258</v>
      </c>
      <c r="AF20" s="258">
        <v>1190</v>
      </c>
      <c r="AG20" s="258">
        <v>1026</v>
      </c>
      <c r="AH20" s="258">
        <v>769</v>
      </c>
      <c r="AI20" s="258">
        <v>624</v>
      </c>
      <c r="AJ20" s="614">
        <v>600</v>
      </c>
      <c r="AK20" s="354"/>
      <c r="AL20" s="257">
        <v>293</v>
      </c>
      <c r="AM20" s="258">
        <v>443</v>
      </c>
      <c r="AN20" s="258">
        <v>430</v>
      </c>
      <c r="AO20" s="258">
        <v>378</v>
      </c>
      <c r="AP20" s="258">
        <v>354</v>
      </c>
      <c r="AQ20" s="258">
        <v>267</v>
      </c>
      <c r="AR20" s="258">
        <v>227</v>
      </c>
      <c r="AS20" s="614">
        <v>205</v>
      </c>
      <c r="AT20" s="354"/>
      <c r="AU20" s="257"/>
      <c r="AV20" s="258"/>
      <c r="AW20" s="258"/>
      <c r="AX20" s="258"/>
      <c r="AY20" s="258"/>
      <c r="AZ20" s="258"/>
      <c r="BA20" s="258"/>
      <c r="BB20" s="614"/>
      <c r="BC20" s="354"/>
      <c r="BD20" s="257">
        <f t="shared" si="1"/>
        <v>1228</v>
      </c>
      <c r="BE20" s="258">
        <f t="shared" si="2"/>
        <v>1813</v>
      </c>
      <c r="BF20" s="258">
        <f t="shared" si="3"/>
        <v>1853</v>
      </c>
      <c r="BG20" s="258">
        <f t="shared" si="4"/>
        <v>1733</v>
      </c>
      <c r="BH20" s="258">
        <f t="shared" si="5"/>
        <v>1522</v>
      </c>
      <c r="BI20" s="258">
        <f t="shared" si="6"/>
        <v>1133</v>
      </c>
      <c r="BJ20" s="258">
        <f t="shared" si="7"/>
        <v>961</v>
      </c>
      <c r="BK20" s="614">
        <f t="shared" si="8"/>
        <v>928</v>
      </c>
      <c r="BL20" s="354">
        <f t="shared" si="8"/>
        <v>0</v>
      </c>
    </row>
    <row r="21" spans="1:64" x14ac:dyDescent="0.2">
      <c r="A21" s="359" t="s">
        <v>645</v>
      </c>
      <c r="B21" s="257">
        <v>10</v>
      </c>
      <c r="C21" s="258">
        <v>29</v>
      </c>
      <c r="D21" s="258">
        <v>19</v>
      </c>
      <c r="E21" s="258">
        <v>22</v>
      </c>
      <c r="F21" s="258">
        <v>22</v>
      </c>
      <c r="G21" s="258">
        <v>20</v>
      </c>
      <c r="H21" s="258">
        <v>9</v>
      </c>
      <c r="I21" s="614">
        <v>4</v>
      </c>
      <c r="J21" s="354"/>
      <c r="K21" s="257">
        <v>16</v>
      </c>
      <c r="L21" s="258">
        <v>48</v>
      </c>
      <c r="M21" s="258">
        <v>22</v>
      </c>
      <c r="N21" s="258">
        <v>16</v>
      </c>
      <c r="O21" s="258">
        <v>21</v>
      </c>
      <c r="P21" s="258">
        <v>23</v>
      </c>
      <c r="Q21" s="258">
        <v>16</v>
      </c>
      <c r="R21" s="614">
        <v>25</v>
      </c>
      <c r="S21" s="354"/>
      <c r="T21" s="257">
        <v>51</v>
      </c>
      <c r="U21" s="258">
        <v>108</v>
      </c>
      <c r="V21" s="258">
        <v>70</v>
      </c>
      <c r="W21" s="258">
        <v>218</v>
      </c>
      <c r="X21" s="258">
        <v>259</v>
      </c>
      <c r="Y21" s="258">
        <v>42</v>
      </c>
      <c r="Z21" s="258">
        <v>79</v>
      </c>
      <c r="AA21" s="614">
        <v>51</v>
      </c>
      <c r="AB21" s="354"/>
      <c r="AC21" s="257">
        <v>603</v>
      </c>
      <c r="AD21" s="258">
        <v>1104</v>
      </c>
      <c r="AE21" s="258">
        <v>830</v>
      </c>
      <c r="AF21" s="258">
        <v>1606</v>
      </c>
      <c r="AG21" s="258">
        <v>1949</v>
      </c>
      <c r="AH21" s="258">
        <v>550</v>
      </c>
      <c r="AI21" s="258">
        <v>469</v>
      </c>
      <c r="AJ21" s="614">
        <v>456</v>
      </c>
      <c r="AK21" s="354"/>
      <c r="AL21" s="257">
        <v>208</v>
      </c>
      <c r="AM21" s="258">
        <v>271</v>
      </c>
      <c r="AN21" s="258">
        <v>294</v>
      </c>
      <c r="AO21" s="258">
        <v>299</v>
      </c>
      <c r="AP21" s="258">
        <v>388</v>
      </c>
      <c r="AQ21" s="258">
        <v>206</v>
      </c>
      <c r="AR21" s="258">
        <v>174</v>
      </c>
      <c r="AS21" s="614">
        <v>131</v>
      </c>
      <c r="AT21" s="354"/>
      <c r="AU21" s="257"/>
      <c r="AV21" s="258"/>
      <c r="AW21" s="258"/>
      <c r="AX21" s="258"/>
      <c r="AY21" s="258"/>
      <c r="AZ21" s="258"/>
      <c r="BA21" s="258"/>
      <c r="BB21" s="614"/>
      <c r="BC21" s="354"/>
      <c r="BD21" s="257">
        <f t="shared" si="1"/>
        <v>888</v>
      </c>
      <c r="BE21" s="258">
        <f t="shared" si="2"/>
        <v>1560</v>
      </c>
      <c r="BF21" s="258">
        <f t="shared" si="3"/>
        <v>1235</v>
      </c>
      <c r="BG21" s="258">
        <f t="shared" si="4"/>
        <v>2161</v>
      </c>
      <c r="BH21" s="258">
        <f t="shared" si="5"/>
        <v>2639</v>
      </c>
      <c r="BI21" s="258">
        <f t="shared" si="6"/>
        <v>841</v>
      </c>
      <c r="BJ21" s="258">
        <f t="shared" si="7"/>
        <v>747</v>
      </c>
      <c r="BK21" s="614">
        <f t="shared" si="8"/>
        <v>667</v>
      </c>
      <c r="BL21" s="354">
        <f t="shared" si="8"/>
        <v>0</v>
      </c>
    </row>
    <row r="22" spans="1:64" x14ac:dyDescent="0.2">
      <c r="A22" s="359" t="s">
        <v>646</v>
      </c>
      <c r="B22" s="257">
        <v>12</v>
      </c>
      <c r="C22" s="258">
        <v>40</v>
      </c>
      <c r="D22" s="258">
        <v>28</v>
      </c>
      <c r="E22" s="258">
        <v>17</v>
      </c>
      <c r="F22" s="258">
        <v>40</v>
      </c>
      <c r="G22" s="258">
        <v>29</v>
      </c>
      <c r="H22" s="258">
        <v>13</v>
      </c>
      <c r="I22" s="614">
        <v>22</v>
      </c>
      <c r="J22" s="354"/>
      <c r="K22" s="257">
        <v>22</v>
      </c>
      <c r="L22" s="258">
        <v>37</v>
      </c>
      <c r="M22" s="258">
        <v>41</v>
      </c>
      <c r="N22" s="258">
        <v>52</v>
      </c>
      <c r="O22" s="258">
        <v>45</v>
      </c>
      <c r="P22" s="258">
        <v>33</v>
      </c>
      <c r="Q22" s="258">
        <v>14</v>
      </c>
      <c r="R22" s="614">
        <v>26</v>
      </c>
      <c r="S22" s="354"/>
      <c r="T22" s="257">
        <v>90</v>
      </c>
      <c r="U22" s="258">
        <v>99</v>
      </c>
      <c r="V22" s="258">
        <v>88</v>
      </c>
      <c r="W22" s="258">
        <v>265</v>
      </c>
      <c r="X22" s="258">
        <v>275</v>
      </c>
      <c r="Y22" s="258">
        <v>76</v>
      </c>
      <c r="Z22" s="258">
        <v>61</v>
      </c>
      <c r="AA22" s="614">
        <v>79</v>
      </c>
      <c r="AB22" s="354"/>
      <c r="AC22" s="257">
        <v>788</v>
      </c>
      <c r="AD22" s="258">
        <v>940</v>
      </c>
      <c r="AE22" s="258">
        <v>878</v>
      </c>
      <c r="AF22" s="258">
        <v>1733</v>
      </c>
      <c r="AG22" s="258">
        <v>1629</v>
      </c>
      <c r="AH22" s="258">
        <v>588</v>
      </c>
      <c r="AI22" s="258">
        <v>498</v>
      </c>
      <c r="AJ22" s="614">
        <v>579</v>
      </c>
      <c r="AK22" s="354"/>
      <c r="AL22" s="257">
        <v>226</v>
      </c>
      <c r="AM22" s="258">
        <v>332</v>
      </c>
      <c r="AN22" s="258">
        <v>294</v>
      </c>
      <c r="AO22" s="258">
        <v>330</v>
      </c>
      <c r="AP22" s="258">
        <v>297</v>
      </c>
      <c r="AQ22" s="258">
        <v>219</v>
      </c>
      <c r="AR22" s="258">
        <v>192</v>
      </c>
      <c r="AS22" s="614">
        <v>188</v>
      </c>
      <c r="AT22" s="354"/>
      <c r="AU22" s="257"/>
      <c r="AV22" s="258"/>
      <c r="AW22" s="258"/>
      <c r="AX22" s="258"/>
      <c r="AY22" s="258"/>
      <c r="AZ22" s="258"/>
      <c r="BA22" s="258"/>
      <c r="BB22" s="614"/>
      <c r="BC22" s="354"/>
      <c r="BD22" s="257">
        <f t="shared" si="1"/>
        <v>1138</v>
      </c>
      <c r="BE22" s="258">
        <f t="shared" si="2"/>
        <v>1448</v>
      </c>
      <c r="BF22" s="258">
        <f t="shared" si="3"/>
        <v>1329</v>
      </c>
      <c r="BG22" s="258">
        <f t="shared" si="4"/>
        <v>2397</v>
      </c>
      <c r="BH22" s="258">
        <f t="shared" si="5"/>
        <v>2286</v>
      </c>
      <c r="BI22" s="258">
        <f t="shared" si="6"/>
        <v>945</v>
      </c>
      <c r="BJ22" s="258">
        <f t="shared" si="7"/>
        <v>778</v>
      </c>
      <c r="BK22" s="614">
        <f t="shared" si="8"/>
        <v>894</v>
      </c>
      <c r="BL22" s="354">
        <f t="shared" si="8"/>
        <v>0</v>
      </c>
    </row>
    <row r="23" spans="1:64" x14ac:dyDescent="0.2">
      <c r="A23" s="359" t="s">
        <v>647</v>
      </c>
      <c r="B23" s="257">
        <v>27</v>
      </c>
      <c r="C23" s="258">
        <v>43</v>
      </c>
      <c r="D23" s="258">
        <v>33</v>
      </c>
      <c r="E23" s="258">
        <v>39</v>
      </c>
      <c r="F23" s="258">
        <v>30</v>
      </c>
      <c r="G23" s="258">
        <v>21</v>
      </c>
      <c r="H23" s="258">
        <v>13</v>
      </c>
      <c r="I23" s="614">
        <v>14</v>
      </c>
      <c r="J23" s="354"/>
      <c r="K23" s="257">
        <v>32</v>
      </c>
      <c r="L23" s="258">
        <v>46</v>
      </c>
      <c r="M23" s="258">
        <v>47</v>
      </c>
      <c r="N23" s="258">
        <v>71</v>
      </c>
      <c r="O23" s="258">
        <v>51</v>
      </c>
      <c r="P23" s="258">
        <v>39</v>
      </c>
      <c r="Q23" s="258">
        <v>33</v>
      </c>
      <c r="R23" s="614">
        <v>44</v>
      </c>
      <c r="S23" s="354"/>
      <c r="T23" s="257">
        <v>81</v>
      </c>
      <c r="U23" s="258">
        <v>101</v>
      </c>
      <c r="V23" s="258">
        <v>163</v>
      </c>
      <c r="W23" s="258">
        <v>114</v>
      </c>
      <c r="X23" s="258">
        <v>101</v>
      </c>
      <c r="Y23" s="258">
        <v>91</v>
      </c>
      <c r="Z23" s="258">
        <v>87</v>
      </c>
      <c r="AA23" s="614">
        <v>102</v>
      </c>
      <c r="AB23" s="354"/>
      <c r="AC23" s="257">
        <v>855</v>
      </c>
      <c r="AD23" s="258">
        <v>1304</v>
      </c>
      <c r="AE23" s="258">
        <v>1644</v>
      </c>
      <c r="AF23" s="258">
        <v>1698</v>
      </c>
      <c r="AG23" s="258">
        <v>1334</v>
      </c>
      <c r="AH23" s="258">
        <v>1101</v>
      </c>
      <c r="AI23" s="258">
        <v>893</v>
      </c>
      <c r="AJ23" s="614">
        <v>876</v>
      </c>
      <c r="AK23" s="354"/>
      <c r="AL23" s="257">
        <v>233</v>
      </c>
      <c r="AM23" s="258">
        <v>452</v>
      </c>
      <c r="AN23" s="258">
        <v>532</v>
      </c>
      <c r="AO23" s="258">
        <v>548</v>
      </c>
      <c r="AP23" s="258">
        <v>473</v>
      </c>
      <c r="AQ23" s="258">
        <v>396</v>
      </c>
      <c r="AR23" s="258">
        <v>295</v>
      </c>
      <c r="AS23" s="614">
        <v>304</v>
      </c>
      <c r="AT23" s="354"/>
      <c r="AU23" s="257"/>
      <c r="AV23" s="258"/>
      <c r="AW23" s="258"/>
      <c r="AX23" s="258"/>
      <c r="AY23" s="258"/>
      <c r="AZ23" s="258"/>
      <c r="BA23" s="258"/>
      <c r="BB23" s="614"/>
      <c r="BC23" s="354"/>
      <c r="BD23" s="257">
        <f t="shared" si="1"/>
        <v>1228</v>
      </c>
      <c r="BE23" s="258">
        <f t="shared" si="2"/>
        <v>1946</v>
      </c>
      <c r="BF23" s="258">
        <f t="shared" si="3"/>
        <v>2419</v>
      </c>
      <c r="BG23" s="258">
        <f t="shared" si="4"/>
        <v>2470</v>
      </c>
      <c r="BH23" s="258">
        <f t="shared" si="5"/>
        <v>1989</v>
      </c>
      <c r="BI23" s="258">
        <f t="shared" si="6"/>
        <v>1648</v>
      </c>
      <c r="BJ23" s="258">
        <f t="shared" si="7"/>
        <v>1321</v>
      </c>
      <c r="BK23" s="614">
        <f t="shared" si="8"/>
        <v>1340</v>
      </c>
      <c r="BL23" s="354">
        <f t="shared" si="8"/>
        <v>0</v>
      </c>
    </row>
    <row r="24" spans="1:64" x14ac:dyDescent="0.2">
      <c r="A24" s="359" t="s">
        <v>648</v>
      </c>
      <c r="B24" s="257">
        <v>29</v>
      </c>
      <c r="C24" s="258">
        <v>41</v>
      </c>
      <c r="D24" s="258">
        <v>36</v>
      </c>
      <c r="E24" s="258">
        <v>49</v>
      </c>
      <c r="F24" s="258">
        <v>32</v>
      </c>
      <c r="G24" s="258">
        <v>19</v>
      </c>
      <c r="H24" s="258">
        <v>14</v>
      </c>
      <c r="I24" s="614">
        <v>39</v>
      </c>
      <c r="J24" s="354"/>
      <c r="K24" s="257">
        <v>49</v>
      </c>
      <c r="L24" s="258">
        <v>103</v>
      </c>
      <c r="M24" s="258">
        <v>55</v>
      </c>
      <c r="N24" s="258">
        <v>52</v>
      </c>
      <c r="O24" s="258">
        <v>48</v>
      </c>
      <c r="P24" s="258">
        <v>37</v>
      </c>
      <c r="Q24" s="258">
        <v>32</v>
      </c>
      <c r="R24" s="614">
        <v>56</v>
      </c>
      <c r="S24" s="354"/>
      <c r="T24" s="257">
        <v>68</v>
      </c>
      <c r="U24" s="258">
        <v>82</v>
      </c>
      <c r="V24" s="258">
        <v>80</v>
      </c>
      <c r="W24" s="258">
        <v>85</v>
      </c>
      <c r="X24" s="258">
        <v>124</v>
      </c>
      <c r="Y24" s="258">
        <v>86</v>
      </c>
      <c r="Z24" s="258">
        <v>110</v>
      </c>
      <c r="AA24" s="614">
        <v>74</v>
      </c>
      <c r="AB24" s="354"/>
      <c r="AC24" s="257">
        <v>877</v>
      </c>
      <c r="AD24" s="258">
        <v>1083</v>
      </c>
      <c r="AE24" s="258">
        <v>976</v>
      </c>
      <c r="AF24" s="258">
        <v>1240</v>
      </c>
      <c r="AG24" s="258">
        <v>1194</v>
      </c>
      <c r="AH24" s="258">
        <v>759</v>
      </c>
      <c r="AI24" s="258">
        <v>833</v>
      </c>
      <c r="AJ24" s="614">
        <v>603</v>
      </c>
      <c r="AK24" s="354"/>
      <c r="AL24" s="257">
        <v>318</v>
      </c>
      <c r="AM24" s="258">
        <v>375</v>
      </c>
      <c r="AN24" s="258">
        <v>348</v>
      </c>
      <c r="AO24" s="258">
        <v>407</v>
      </c>
      <c r="AP24" s="258">
        <v>1199</v>
      </c>
      <c r="AQ24" s="258">
        <v>259</v>
      </c>
      <c r="AR24" s="258">
        <v>286</v>
      </c>
      <c r="AS24" s="614">
        <v>191</v>
      </c>
      <c r="AT24" s="354"/>
      <c r="AU24" s="257"/>
      <c r="AV24" s="258"/>
      <c r="AW24" s="258"/>
      <c r="AX24" s="258"/>
      <c r="AY24" s="258"/>
      <c r="AZ24" s="258"/>
      <c r="BA24" s="258"/>
      <c r="BB24" s="614"/>
      <c r="BC24" s="354"/>
      <c r="BD24" s="257">
        <f t="shared" si="1"/>
        <v>1341</v>
      </c>
      <c r="BE24" s="258">
        <f t="shared" si="2"/>
        <v>1684</v>
      </c>
      <c r="BF24" s="258">
        <f t="shared" si="3"/>
        <v>1495</v>
      </c>
      <c r="BG24" s="258">
        <f t="shared" si="4"/>
        <v>1833</v>
      </c>
      <c r="BH24" s="258">
        <f t="shared" si="5"/>
        <v>2597</v>
      </c>
      <c r="BI24" s="258">
        <f t="shared" si="6"/>
        <v>1160</v>
      </c>
      <c r="BJ24" s="258">
        <f t="shared" si="7"/>
        <v>1275</v>
      </c>
      <c r="BK24" s="614">
        <f t="shared" si="8"/>
        <v>963</v>
      </c>
      <c r="BL24" s="354">
        <f t="shared" si="8"/>
        <v>0</v>
      </c>
    </row>
    <row r="25" spans="1:64" x14ac:dyDescent="0.2">
      <c r="A25" s="359" t="s">
        <v>649</v>
      </c>
      <c r="B25" s="257">
        <v>13</v>
      </c>
      <c r="C25" s="258">
        <v>24</v>
      </c>
      <c r="D25" s="258">
        <v>12</v>
      </c>
      <c r="E25" s="258">
        <v>12</v>
      </c>
      <c r="F25" s="258">
        <v>28</v>
      </c>
      <c r="G25" s="258">
        <v>13</v>
      </c>
      <c r="H25" s="258">
        <v>24</v>
      </c>
      <c r="I25" s="614">
        <v>13</v>
      </c>
      <c r="J25" s="354"/>
      <c r="K25" s="257">
        <v>40</v>
      </c>
      <c r="L25" s="258">
        <v>21</v>
      </c>
      <c r="M25" s="258">
        <v>24</v>
      </c>
      <c r="N25" s="258">
        <v>27</v>
      </c>
      <c r="O25" s="258">
        <v>16</v>
      </c>
      <c r="P25" s="258">
        <v>21</v>
      </c>
      <c r="Q25" s="258">
        <v>17</v>
      </c>
      <c r="R25" s="614">
        <v>23</v>
      </c>
      <c r="S25" s="354"/>
      <c r="T25" s="257">
        <v>72</v>
      </c>
      <c r="U25" s="258">
        <v>66</v>
      </c>
      <c r="V25" s="258">
        <v>59</v>
      </c>
      <c r="W25" s="258">
        <v>68</v>
      </c>
      <c r="X25" s="258">
        <v>69</v>
      </c>
      <c r="Y25" s="258">
        <v>77</v>
      </c>
      <c r="Z25" s="258">
        <v>76</v>
      </c>
      <c r="AA25" s="614">
        <v>59</v>
      </c>
      <c r="AB25" s="354"/>
      <c r="AC25" s="257">
        <v>429</v>
      </c>
      <c r="AD25" s="258">
        <v>767</v>
      </c>
      <c r="AE25" s="258">
        <v>664</v>
      </c>
      <c r="AF25" s="258">
        <v>705</v>
      </c>
      <c r="AG25" s="258">
        <v>726</v>
      </c>
      <c r="AH25" s="258">
        <v>708</v>
      </c>
      <c r="AI25" s="258">
        <v>548</v>
      </c>
      <c r="AJ25" s="614">
        <v>456</v>
      </c>
      <c r="AK25" s="354"/>
      <c r="AL25" s="257">
        <v>168</v>
      </c>
      <c r="AM25" s="258">
        <v>257</v>
      </c>
      <c r="AN25" s="258">
        <v>234</v>
      </c>
      <c r="AO25" s="258">
        <v>274</v>
      </c>
      <c r="AP25" s="258">
        <v>335</v>
      </c>
      <c r="AQ25" s="258">
        <v>246</v>
      </c>
      <c r="AR25" s="258">
        <v>221</v>
      </c>
      <c r="AS25" s="614">
        <v>165</v>
      </c>
      <c r="AT25" s="354"/>
      <c r="AU25" s="257"/>
      <c r="AV25" s="258"/>
      <c r="AW25" s="258"/>
      <c r="AX25" s="258"/>
      <c r="AY25" s="258">
        <v>1</v>
      </c>
      <c r="AZ25" s="258"/>
      <c r="BA25" s="258"/>
      <c r="BB25" s="614"/>
      <c r="BC25" s="354"/>
      <c r="BD25" s="257">
        <f t="shared" si="1"/>
        <v>722</v>
      </c>
      <c r="BE25" s="258">
        <f t="shared" si="2"/>
        <v>1135</v>
      </c>
      <c r="BF25" s="258">
        <f t="shared" si="3"/>
        <v>993</v>
      </c>
      <c r="BG25" s="258">
        <f t="shared" si="4"/>
        <v>1086</v>
      </c>
      <c r="BH25" s="258">
        <f t="shared" si="5"/>
        <v>1175</v>
      </c>
      <c r="BI25" s="258">
        <f t="shared" si="6"/>
        <v>1065</v>
      </c>
      <c r="BJ25" s="258">
        <f t="shared" si="7"/>
        <v>886</v>
      </c>
      <c r="BK25" s="614">
        <f t="shared" si="8"/>
        <v>716</v>
      </c>
      <c r="BL25" s="354">
        <f t="shared" si="8"/>
        <v>0</v>
      </c>
    </row>
    <row r="26" spans="1:64" ht="13.5" thickBot="1" x14ac:dyDescent="0.25">
      <c r="A26" s="360" t="s">
        <v>650</v>
      </c>
      <c r="B26" s="361">
        <v>19</v>
      </c>
      <c r="C26" s="362">
        <v>32</v>
      </c>
      <c r="D26" s="362">
        <v>38</v>
      </c>
      <c r="E26" s="362">
        <v>39</v>
      </c>
      <c r="F26" s="362">
        <v>26</v>
      </c>
      <c r="G26" s="362">
        <v>21</v>
      </c>
      <c r="H26" s="362">
        <v>25</v>
      </c>
      <c r="I26" s="615">
        <v>20</v>
      </c>
      <c r="J26" s="363"/>
      <c r="K26" s="361">
        <v>39</v>
      </c>
      <c r="L26" s="362">
        <v>56</v>
      </c>
      <c r="M26" s="362">
        <v>51</v>
      </c>
      <c r="N26" s="362">
        <v>55</v>
      </c>
      <c r="O26" s="362">
        <v>51</v>
      </c>
      <c r="P26" s="362">
        <v>25</v>
      </c>
      <c r="Q26" s="362">
        <v>37</v>
      </c>
      <c r="R26" s="615">
        <v>39</v>
      </c>
      <c r="S26" s="363"/>
      <c r="T26" s="361">
        <v>103</v>
      </c>
      <c r="U26" s="362">
        <v>113</v>
      </c>
      <c r="V26" s="362">
        <v>96</v>
      </c>
      <c r="W26" s="362">
        <v>118</v>
      </c>
      <c r="X26" s="362">
        <v>104</v>
      </c>
      <c r="Y26" s="362">
        <v>119</v>
      </c>
      <c r="Z26" s="362">
        <v>144</v>
      </c>
      <c r="AA26" s="615">
        <v>90</v>
      </c>
      <c r="AB26" s="363"/>
      <c r="AC26" s="361">
        <v>1252</v>
      </c>
      <c r="AD26" s="362">
        <v>1831</v>
      </c>
      <c r="AE26" s="362">
        <v>1757</v>
      </c>
      <c r="AF26" s="362">
        <v>1644</v>
      </c>
      <c r="AG26" s="362">
        <v>1181</v>
      </c>
      <c r="AH26" s="362">
        <v>977</v>
      </c>
      <c r="AI26" s="362">
        <v>882</v>
      </c>
      <c r="AJ26" s="615">
        <v>814</v>
      </c>
      <c r="AK26" s="363"/>
      <c r="AL26" s="361">
        <v>356</v>
      </c>
      <c r="AM26" s="362">
        <v>523</v>
      </c>
      <c r="AN26" s="362">
        <v>634</v>
      </c>
      <c r="AO26" s="362">
        <v>545</v>
      </c>
      <c r="AP26" s="362">
        <v>533</v>
      </c>
      <c r="AQ26" s="362">
        <v>423</v>
      </c>
      <c r="AR26" s="362">
        <v>372</v>
      </c>
      <c r="AS26" s="615">
        <v>314</v>
      </c>
      <c r="AT26" s="363"/>
      <c r="AU26" s="361"/>
      <c r="AV26" s="362"/>
      <c r="AW26" s="362"/>
      <c r="AX26" s="362"/>
      <c r="AY26" s="362"/>
      <c r="AZ26" s="362"/>
      <c r="BA26" s="362"/>
      <c r="BB26" s="615"/>
      <c r="BC26" s="363"/>
      <c r="BD26" s="361">
        <f t="shared" si="1"/>
        <v>1769</v>
      </c>
      <c r="BE26" s="362">
        <f t="shared" si="2"/>
        <v>2555</v>
      </c>
      <c r="BF26" s="362">
        <f t="shared" si="3"/>
        <v>2576</v>
      </c>
      <c r="BG26" s="362">
        <f t="shared" si="4"/>
        <v>2401</v>
      </c>
      <c r="BH26" s="362">
        <f t="shared" si="5"/>
        <v>1895</v>
      </c>
      <c r="BI26" s="362">
        <f t="shared" si="6"/>
        <v>1565</v>
      </c>
      <c r="BJ26" s="362">
        <f t="shared" si="7"/>
        <v>1460</v>
      </c>
      <c r="BK26" s="615">
        <f t="shared" si="8"/>
        <v>1277</v>
      </c>
      <c r="BL26" s="363">
        <f t="shared" si="8"/>
        <v>0</v>
      </c>
    </row>
    <row r="27" spans="1:64" s="259" customFormat="1" x14ac:dyDescent="0.2">
      <c r="A27" s="364" t="s">
        <v>785</v>
      </c>
      <c r="B27" s="781">
        <v>170</v>
      </c>
      <c r="C27" s="782">
        <v>269</v>
      </c>
      <c r="D27" s="782">
        <v>183</v>
      </c>
      <c r="E27" s="782">
        <v>185</v>
      </c>
      <c r="F27" s="782">
        <v>164</v>
      </c>
      <c r="G27" s="782">
        <v>113</v>
      </c>
      <c r="H27" s="782">
        <v>120</v>
      </c>
      <c r="I27" s="783">
        <v>113</v>
      </c>
      <c r="J27" s="784"/>
      <c r="K27" s="781">
        <v>353</v>
      </c>
      <c r="L27" s="782">
        <v>346</v>
      </c>
      <c r="M27" s="782">
        <v>277</v>
      </c>
      <c r="N27" s="782">
        <v>297</v>
      </c>
      <c r="O27" s="782">
        <v>252</v>
      </c>
      <c r="P27" s="782">
        <v>237</v>
      </c>
      <c r="Q27" s="782">
        <v>237</v>
      </c>
      <c r="R27" s="783">
        <v>188</v>
      </c>
      <c r="S27" s="784"/>
      <c r="T27" s="781">
        <v>841</v>
      </c>
      <c r="U27" s="782">
        <v>805</v>
      </c>
      <c r="V27" s="782">
        <v>811</v>
      </c>
      <c r="W27" s="782">
        <v>701</v>
      </c>
      <c r="X27" s="782">
        <v>674</v>
      </c>
      <c r="Y27" s="782">
        <v>643</v>
      </c>
      <c r="Z27" s="782">
        <v>512</v>
      </c>
      <c r="AA27" s="783">
        <v>513</v>
      </c>
      <c r="AB27" s="784"/>
      <c r="AC27" s="781">
        <v>5758</v>
      </c>
      <c r="AD27" s="782">
        <v>5208</v>
      </c>
      <c r="AE27" s="782">
        <v>5691</v>
      </c>
      <c r="AF27" s="782">
        <v>5013</v>
      </c>
      <c r="AG27" s="782">
        <v>4291</v>
      </c>
      <c r="AH27" s="782">
        <v>3136</v>
      </c>
      <c r="AI27" s="782">
        <v>2592</v>
      </c>
      <c r="AJ27" s="783">
        <v>2633</v>
      </c>
      <c r="AK27" s="784"/>
      <c r="AL27" s="781">
        <v>1591</v>
      </c>
      <c r="AM27" s="782">
        <v>1789</v>
      </c>
      <c r="AN27" s="782">
        <v>2157</v>
      </c>
      <c r="AO27" s="782">
        <v>1946</v>
      </c>
      <c r="AP27" s="782">
        <v>1765</v>
      </c>
      <c r="AQ27" s="782">
        <v>1174</v>
      </c>
      <c r="AR27" s="782">
        <v>1033</v>
      </c>
      <c r="AS27" s="783">
        <v>980</v>
      </c>
      <c r="AT27" s="784"/>
      <c r="AU27" s="781"/>
      <c r="AV27" s="782"/>
      <c r="AW27" s="782"/>
      <c r="AX27" s="782"/>
      <c r="AY27" s="782"/>
      <c r="AZ27" s="782"/>
      <c r="BA27" s="782"/>
      <c r="BB27" s="783"/>
      <c r="BC27" s="784"/>
      <c r="BD27" s="781">
        <f t="shared" si="1"/>
        <v>8713</v>
      </c>
      <c r="BE27" s="782">
        <f t="shared" si="2"/>
        <v>8417</v>
      </c>
      <c r="BF27" s="782">
        <f t="shared" si="3"/>
        <v>9119</v>
      </c>
      <c r="BG27" s="782">
        <f t="shared" si="4"/>
        <v>8142</v>
      </c>
      <c r="BH27" s="782">
        <f t="shared" si="5"/>
        <v>7146</v>
      </c>
      <c r="BI27" s="782">
        <f t="shared" si="6"/>
        <v>5303</v>
      </c>
      <c r="BJ27" s="782">
        <f t="shared" si="7"/>
        <v>4494</v>
      </c>
      <c r="BK27" s="783">
        <f t="shared" si="8"/>
        <v>4427</v>
      </c>
      <c r="BL27" s="784">
        <f t="shared" si="8"/>
        <v>0</v>
      </c>
    </row>
    <row r="28" spans="1:64" x14ac:dyDescent="0.2">
      <c r="A28" s="365" t="s">
        <v>809</v>
      </c>
      <c r="B28" s="257">
        <v>2</v>
      </c>
      <c r="C28" s="258">
        <v>10</v>
      </c>
      <c r="D28" s="258">
        <v>12</v>
      </c>
      <c r="E28" s="258">
        <v>3</v>
      </c>
      <c r="F28" s="258">
        <v>5</v>
      </c>
      <c r="G28" s="258">
        <v>10</v>
      </c>
      <c r="H28" s="258">
        <v>4</v>
      </c>
      <c r="I28" s="614">
        <v>7</v>
      </c>
      <c r="J28" s="354"/>
      <c r="K28" s="257">
        <v>2</v>
      </c>
      <c r="L28" s="258">
        <v>10</v>
      </c>
      <c r="M28" s="258">
        <v>12</v>
      </c>
      <c r="N28" s="258">
        <v>7</v>
      </c>
      <c r="O28" s="258">
        <v>11</v>
      </c>
      <c r="P28" s="258">
        <v>11</v>
      </c>
      <c r="Q28" s="258">
        <v>3</v>
      </c>
      <c r="R28" s="614">
        <v>4</v>
      </c>
      <c r="S28" s="354"/>
      <c r="T28" s="257">
        <v>17</v>
      </c>
      <c r="U28" s="258">
        <v>13</v>
      </c>
      <c r="V28" s="258">
        <v>30</v>
      </c>
      <c r="W28" s="258">
        <v>26</v>
      </c>
      <c r="X28" s="258">
        <v>11</v>
      </c>
      <c r="Y28" s="258">
        <v>9</v>
      </c>
      <c r="Z28" s="258">
        <v>4</v>
      </c>
      <c r="AA28" s="614">
        <v>7</v>
      </c>
      <c r="AB28" s="354"/>
      <c r="AC28" s="257">
        <v>62</v>
      </c>
      <c r="AD28" s="258">
        <v>66</v>
      </c>
      <c r="AE28" s="258">
        <v>65</v>
      </c>
      <c r="AF28" s="258">
        <v>264</v>
      </c>
      <c r="AG28" s="258">
        <v>49</v>
      </c>
      <c r="AH28" s="258">
        <v>43</v>
      </c>
      <c r="AI28" s="258">
        <v>23</v>
      </c>
      <c r="AJ28" s="614">
        <v>17</v>
      </c>
      <c r="AK28" s="354"/>
      <c r="AL28" s="257">
        <v>19</v>
      </c>
      <c r="AM28" s="258">
        <v>16</v>
      </c>
      <c r="AN28" s="258">
        <v>8</v>
      </c>
      <c r="AO28" s="258">
        <v>53</v>
      </c>
      <c r="AP28" s="258">
        <v>14</v>
      </c>
      <c r="AQ28" s="258">
        <v>13</v>
      </c>
      <c r="AR28" s="258">
        <v>5</v>
      </c>
      <c r="AS28" s="614">
        <v>8</v>
      </c>
      <c r="AT28" s="354"/>
      <c r="AU28" s="257"/>
      <c r="AV28" s="258"/>
      <c r="AW28" s="258"/>
      <c r="AX28" s="258"/>
      <c r="AY28" s="258"/>
      <c r="AZ28" s="258"/>
      <c r="BA28" s="258"/>
      <c r="BB28" s="614"/>
      <c r="BC28" s="354"/>
      <c r="BD28" s="257">
        <f t="shared" si="1"/>
        <v>102</v>
      </c>
      <c r="BE28" s="258">
        <f t="shared" si="2"/>
        <v>115</v>
      </c>
      <c r="BF28" s="258">
        <f t="shared" si="3"/>
        <v>127</v>
      </c>
      <c r="BG28" s="258">
        <f t="shared" si="4"/>
        <v>353</v>
      </c>
      <c r="BH28" s="258">
        <f t="shared" si="5"/>
        <v>90</v>
      </c>
      <c r="BI28" s="258">
        <f t="shared" si="6"/>
        <v>86</v>
      </c>
      <c r="BJ28" s="258">
        <f t="shared" si="7"/>
        <v>39</v>
      </c>
      <c r="BK28" s="614">
        <f t="shared" si="8"/>
        <v>43</v>
      </c>
      <c r="BL28" s="354">
        <f t="shared" si="8"/>
        <v>0</v>
      </c>
    </row>
    <row r="29" spans="1:64" x14ac:dyDescent="0.2">
      <c r="A29" s="365" t="s">
        <v>653</v>
      </c>
      <c r="B29" s="257">
        <v>22</v>
      </c>
      <c r="C29" s="258">
        <v>39</v>
      </c>
      <c r="D29" s="258">
        <v>37</v>
      </c>
      <c r="E29" s="258">
        <v>40</v>
      </c>
      <c r="F29" s="258">
        <v>38</v>
      </c>
      <c r="G29" s="258">
        <v>15</v>
      </c>
      <c r="H29" s="258">
        <v>14</v>
      </c>
      <c r="I29" s="614">
        <v>33</v>
      </c>
      <c r="J29" s="354"/>
      <c r="K29" s="257">
        <v>57</v>
      </c>
      <c r="L29" s="258">
        <v>52</v>
      </c>
      <c r="M29" s="258">
        <v>27</v>
      </c>
      <c r="N29" s="258">
        <v>31</v>
      </c>
      <c r="O29" s="258">
        <v>40</v>
      </c>
      <c r="P29" s="258">
        <v>18</v>
      </c>
      <c r="Q29" s="258">
        <v>24</v>
      </c>
      <c r="R29" s="614">
        <v>29</v>
      </c>
      <c r="S29" s="354"/>
      <c r="T29" s="257">
        <v>110</v>
      </c>
      <c r="U29" s="258">
        <v>96</v>
      </c>
      <c r="V29" s="258">
        <v>68</v>
      </c>
      <c r="W29" s="258">
        <v>81</v>
      </c>
      <c r="X29" s="258">
        <v>79</v>
      </c>
      <c r="Y29" s="258">
        <v>60</v>
      </c>
      <c r="Z29" s="258">
        <v>66</v>
      </c>
      <c r="AA29" s="614">
        <v>49</v>
      </c>
      <c r="AB29" s="354"/>
      <c r="AC29" s="257">
        <v>762</v>
      </c>
      <c r="AD29" s="258">
        <v>764</v>
      </c>
      <c r="AE29" s="258">
        <v>727</v>
      </c>
      <c r="AF29" s="258">
        <v>621</v>
      </c>
      <c r="AG29" s="258">
        <v>538</v>
      </c>
      <c r="AH29" s="258">
        <v>453</v>
      </c>
      <c r="AI29" s="258">
        <v>426</v>
      </c>
      <c r="AJ29" s="614">
        <v>326</v>
      </c>
      <c r="AK29" s="354"/>
      <c r="AL29" s="257">
        <v>214</v>
      </c>
      <c r="AM29" s="258">
        <v>280</v>
      </c>
      <c r="AN29" s="258">
        <v>310</v>
      </c>
      <c r="AO29" s="258">
        <v>234</v>
      </c>
      <c r="AP29" s="258">
        <v>240</v>
      </c>
      <c r="AQ29" s="258">
        <v>143</v>
      </c>
      <c r="AR29" s="258">
        <v>152</v>
      </c>
      <c r="AS29" s="614">
        <v>117</v>
      </c>
      <c r="AT29" s="354"/>
      <c r="AU29" s="257"/>
      <c r="AV29" s="258"/>
      <c r="AW29" s="258"/>
      <c r="AX29" s="258"/>
      <c r="AY29" s="258"/>
      <c r="AZ29" s="258"/>
      <c r="BA29" s="258"/>
      <c r="BB29" s="614"/>
      <c r="BC29" s="354"/>
      <c r="BD29" s="257">
        <f t="shared" si="1"/>
        <v>1165</v>
      </c>
      <c r="BE29" s="258">
        <f t="shared" si="2"/>
        <v>1231</v>
      </c>
      <c r="BF29" s="258">
        <f t="shared" si="3"/>
        <v>1169</v>
      </c>
      <c r="BG29" s="258">
        <f t="shared" si="4"/>
        <v>1007</v>
      </c>
      <c r="BH29" s="258">
        <f t="shared" si="5"/>
        <v>935</v>
      </c>
      <c r="BI29" s="258">
        <f t="shared" si="6"/>
        <v>689</v>
      </c>
      <c r="BJ29" s="258">
        <f t="shared" si="7"/>
        <v>682</v>
      </c>
      <c r="BK29" s="614">
        <f t="shared" si="8"/>
        <v>554</v>
      </c>
      <c r="BL29" s="354">
        <f t="shared" si="8"/>
        <v>0</v>
      </c>
    </row>
    <row r="30" spans="1:64" x14ac:dyDescent="0.2">
      <c r="A30" s="365" t="s">
        <v>654</v>
      </c>
      <c r="B30" s="257">
        <v>27</v>
      </c>
      <c r="C30" s="258">
        <v>21</v>
      </c>
      <c r="D30" s="258">
        <v>12</v>
      </c>
      <c r="E30" s="258">
        <v>18</v>
      </c>
      <c r="F30" s="258">
        <v>14</v>
      </c>
      <c r="G30" s="258">
        <v>6</v>
      </c>
      <c r="H30" s="258">
        <v>6</v>
      </c>
      <c r="I30" s="614">
        <v>5</v>
      </c>
      <c r="J30" s="354"/>
      <c r="K30" s="257">
        <v>40</v>
      </c>
      <c r="L30" s="258">
        <v>24</v>
      </c>
      <c r="M30" s="258">
        <v>25</v>
      </c>
      <c r="N30" s="258">
        <v>26</v>
      </c>
      <c r="O30" s="258">
        <v>22</v>
      </c>
      <c r="P30" s="258">
        <v>20</v>
      </c>
      <c r="Q30" s="258">
        <v>14</v>
      </c>
      <c r="R30" s="614">
        <v>6</v>
      </c>
      <c r="S30" s="354"/>
      <c r="T30" s="257">
        <v>59</v>
      </c>
      <c r="U30" s="258">
        <v>52</v>
      </c>
      <c r="V30" s="258">
        <v>39</v>
      </c>
      <c r="W30" s="258">
        <v>80</v>
      </c>
      <c r="X30" s="258">
        <v>34</v>
      </c>
      <c r="Y30" s="258">
        <v>48</v>
      </c>
      <c r="Z30" s="258">
        <v>17</v>
      </c>
      <c r="AA30" s="614">
        <v>45</v>
      </c>
      <c r="AB30" s="354"/>
      <c r="AC30" s="257">
        <v>586</v>
      </c>
      <c r="AD30" s="258">
        <v>431</v>
      </c>
      <c r="AE30" s="258">
        <v>387</v>
      </c>
      <c r="AF30" s="258">
        <v>470</v>
      </c>
      <c r="AG30" s="258">
        <v>353</v>
      </c>
      <c r="AH30" s="258">
        <v>232</v>
      </c>
      <c r="AI30" s="258">
        <v>202</v>
      </c>
      <c r="AJ30" s="614">
        <v>195</v>
      </c>
      <c r="AK30" s="354"/>
      <c r="AL30" s="257">
        <v>179</v>
      </c>
      <c r="AM30" s="258">
        <v>169</v>
      </c>
      <c r="AN30" s="258">
        <v>204</v>
      </c>
      <c r="AO30" s="258">
        <v>177</v>
      </c>
      <c r="AP30" s="258">
        <v>167</v>
      </c>
      <c r="AQ30" s="258">
        <v>91</v>
      </c>
      <c r="AR30" s="258">
        <v>72</v>
      </c>
      <c r="AS30" s="614">
        <v>60</v>
      </c>
      <c r="AT30" s="354"/>
      <c r="AU30" s="257"/>
      <c r="AV30" s="258"/>
      <c r="AW30" s="258"/>
      <c r="AX30" s="258"/>
      <c r="AY30" s="258"/>
      <c r="AZ30" s="258"/>
      <c r="BA30" s="258"/>
      <c r="BB30" s="614"/>
      <c r="BC30" s="354"/>
      <c r="BD30" s="257">
        <f t="shared" si="1"/>
        <v>891</v>
      </c>
      <c r="BE30" s="258">
        <f t="shared" si="2"/>
        <v>697</v>
      </c>
      <c r="BF30" s="258">
        <f t="shared" si="3"/>
        <v>667</v>
      </c>
      <c r="BG30" s="258">
        <f t="shared" si="4"/>
        <v>771</v>
      </c>
      <c r="BH30" s="258">
        <f t="shared" si="5"/>
        <v>590</v>
      </c>
      <c r="BI30" s="258">
        <f t="shared" si="6"/>
        <v>397</v>
      </c>
      <c r="BJ30" s="258">
        <f t="shared" si="7"/>
        <v>311</v>
      </c>
      <c r="BK30" s="614">
        <f t="shared" si="8"/>
        <v>311</v>
      </c>
      <c r="BL30" s="354">
        <f t="shared" si="8"/>
        <v>0</v>
      </c>
    </row>
    <row r="31" spans="1:64" x14ac:dyDescent="0.2">
      <c r="A31" s="365" t="s">
        <v>652</v>
      </c>
      <c r="B31" s="257">
        <v>53</v>
      </c>
      <c r="C31" s="258">
        <v>104</v>
      </c>
      <c r="D31" s="258">
        <v>74</v>
      </c>
      <c r="E31" s="258">
        <v>94</v>
      </c>
      <c r="F31" s="258">
        <v>70</v>
      </c>
      <c r="G31" s="258">
        <v>44</v>
      </c>
      <c r="H31" s="258">
        <v>53</v>
      </c>
      <c r="I31" s="614">
        <v>50</v>
      </c>
      <c r="J31" s="354"/>
      <c r="K31" s="257">
        <v>179</v>
      </c>
      <c r="L31" s="258">
        <v>172</v>
      </c>
      <c r="M31" s="258">
        <v>136</v>
      </c>
      <c r="N31" s="258">
        <v>157</v>
      </c>
      <c r="O31" s="258">
        <v>103</v>
      </c>
      <c r="P31" s="258">
        <v>130</v>
      </c>
      <c r="Q31" s="258">
        <v>134</v>
      </c>
      <c r="R31" s="614">
        <v>98</v>
      </c>
      <c r="S31" s="354"/>
      <c r="T31" s="257">
        <v>490</v>
      </c>
      <c r="U31" s="258">
        <v>464</v>
      </c>
      <c r="V31" s="258">
        <v>499</v>
      </c>
      <c r="W31" s="258">
        <v>394</v>
      </c>
      <c r="X31" s="258">
        <v>392</v>
      </c>
      <c r="Y31" s="258">
        <v>395</v>
      </c>
      <c r="Z31" s="258">
        <v>331</v>
      </c>
      <c r="AA31" s="614">
        <v>312</v>
      </c>
      <c r="AB31" s="354"/>
      <c r="AC31" s="257">
        <v>2999</v>
      </c>
      <c r="AD31" s="258">
        <v>2633</v>
      </c>
      <c r="AE31" s="258">
        <v>2826</v>
      </c>
      <c r="AF31" s="258">
        <v>2591</v>
      </c>
      <c r="AG31" s="258">
        <v>2216</v>
      </c>
      <c r="AH31" s="258">
        <v>1640</v>
      </c>
      <c r="AI31" s="258">
        <v>1386</v>
      </c>
      <c r="AJ31" s="614">
        <v>1489</v>
      </c>
      <c r="AK31" s="354"/>
      <c r="AL31" s="257">
        <v>786</v>
      </c>
      <c r="AM31" s="258">
        <v>898</v>
      </c>
      <c r="AN31" s="258">
        <v>1048</v>
      </c>
      <c r="AO31" s="258">
        <v>1098</v>
      </c>
      <c r="AP31" s="258">
        <v>916</v>
      </c>
      <c r="AQ31" s="258">
        <v>637</v>
      </c>
      <c r="AR31" s="258">
        <v>589</v>
      </c>
      <c r="AS31" s="614">
        <v>534</v>
      </c>
      <c r="AT31" s="354"/>
      <c r="AU31" s="257"/>
      <c r="AV31" s="258"/>
      <c r="AW31" s="258"/>
      <c r="AX31" s="258"/>
      <c r="AY31" s="258"/>
      <c r="AZ31" s="258"/>
      <c r="BA31" s="258"/>
      <c r="BB31" s="614"/>
      <c r="BC31" s="354"/>
      <c r="BD31" s="257">
        <f t="shared" si="1"/>
        <v>4507</v>
      </c>
      <c r="BE31" s="258">
        <f t="shared" si="2"/>
        <v>4271</v>
      </c>
      <c r="BF31" s="258">
        <f t="shared" si="3"/>
        <v>4583</v>
      </c>
      <c r="BG31" s="258">
        <f t="shared" si="4"/>
        <v>4334</v>
      </c>
      <c r="BH31" s="258">
        <f t="shared" si="5"/>
        <v>3697</v>
      </c>
      <c r="BI31" s="258">
        <f t="shared" si="6"/>
        <v>2846</v>
      </c>
      <c r="BJ31" s="258">
        <f t="shared" si="7"/>
        <v>2493</v>
      </c>
      <c r="BK31" s="614">
        <f t="shared" si="8"/>
        <v>2483</v>
      </c>
      <c r="BL31" s="354">
        <f t="shared" si="8"/>
        <v>0</v>
      </c>
    </row>
    <row r="32" spans="1:64" x14ac:dyDescent="0.2">
      <c r="A32" s="365" t="s">
        <v>655</v>
      </c>
      <c r="B32" s="257">
        <v>43</v>
      </c>
      <c r="C32" s="258">
        <v>52</v>
      </c>
      <c r="D32" s="258">
        <v>29</v>
      </c>
      <c r="E32" s="258">
        <v>18</v>
      </c>
      <c r="F32" s="258">
        <v>20</v>
      </c>
      <c r="G32" s="258">
        <v>18</v>
      </c>
      <c r="H32" s="258">
        <v>25</v>
      </c>
      <c r="I32" s="614">
        <v>10</v>
      </c>
      <c r="J32" s="354"/>
      <c r="K32" s="257">
        <v>44</v>
      </c>
      <c r="L32" s="258">
        <v>49</v>
      </c>
      <c r="M32" s="258">
        <v>40</v>
      </c>
      <c r="N32" s="258">
        <v>39</v>
      </c>
      <c r="O32" s="258">
        <v>35</v>
      </c>
      <c r="P32" s="258">
        <v>27</v>
      </c>
      <c r="Q32" s="258">
        <v>19</v>
      </c>
      <c r="R32" s="614">
        <v>27</v>
      </c>
      <c r="S32" s="354"/>
      <c r="T32" s="257">
        <v>97</v>
      </c>
      <c r="U32" s="258">
        <v>93</v>
      </c>
      <c r="V32" s="258">
        <v>128</v>
      </c>
      <c r="W32" s="258">
        <v>65</v>
      </c>
      <c r="X32" s="258">
        <v>80</v>
      </c>
      <c r="Y32" s="258">
        <v>63</v>
      </c>
      <c r="Z32" s="258">
        <v>36</v>
      </c>
      <c r="AA32" s="614">
        <v>57</v>
      </c>
      <c r="AB32" s="354"/>
      <c r="AC32" s="257">
        <v>859</v>
      </c>
      <c r="AD32" s="258">
        <v>841</v>
      </c>
      <c r="AE32" s="258">
        <v>1216</v>
      </c>
      <c r="AF32" s="258">
        <v>647</v>
      </c>
      <c r="AG32" s="258">
        <v>651</v>
      </c>
      <c r="AH32" s="258">
        <v>407</v>
      </c>
      <c r="AI32" s="258">
        <v>276</v>
      </c>
      <c r="AJ32" s="614">
        <v>356</v>
      </c>
      <c r="AK32" s="354"/>
      <c r="AL32" s="257">
        <v>258</v>
      </c>
      <c r="AM32" s="258">
        <v>275</v>
      </c>
      <c r="AN32" s="258">
        <v>372</v>
      </c>
      <c r="AO32" s="258">
        <v>256</v>
      </c>
      <c r="AP32" s="258">
        <v>271</v>
      </c>
      <c r="AQ32" s="258">
        <v>153</v>
      </c>
      <c r="AR32" s="258">
        <v>114</v>
      </c>
      <c r="AS32" s="614">
        <v>158</v>
      </c>
      <c r="AT32" s="354"/>
      <c r="AU32" s="257"/>
      <c r="AV32" s="258"/>
      <c r="AW32" s="258"/>
      <c r="AX32" s="258"/>
      <c r="AY32" s="258"/>
      <c r="AZ32" s="258"/>
      <c r="BA32" s="258"/>
      <c r="BB32" s="614"/>
      <c r="BC32" s="354"/>
      <c r="BD32" s="257">
        <f t="shared" si="1"/>
        <v>1301</v>
      </c>
      <c r="BE32" s="258">
        <f t="shared" si="2"/>
        <v>1310</v>
      </c>
      <c r="BF32" s="258">
        <f t="shared" si="3"/>
        <v>1785</v>
      </c>
      <c r="BG32" s="258">
        <f t="shared" si="4"/>
        <v>1025</v>
      </c>
      <c r="BH32" s="258">
        <f t="shared" si="5"/>
        <v>1057</v>
      </c>
      <c r="BI32" s="258">
        <f t="shared" si="6"/>
        <v>668</v>
      </c>
      <c r="BJ32" s="258">
        <f t="shared" si="7"/>
        <v>470</v>
      </c>
      <c r="BK32" s="614">
        <f t="shared" si="8"/>
        <v>608</v>
      </c>
      <c r="BL32" s="354">
        <f t="shared" si="8"/>
        <v>0</v>
      </c>
    </row>
    <row r="33" spans="1:64" ht="13.5" thickBot="1" x14ac:dyDescent="0.25">
      <c r="A33" s="366" t="s">
        <v>656</v>
      </c>
      <c r="B33" s="361">
        <v>23</v>
      </c>
      <c r="C33" s="362">
        <v>43</v>
      </c>
      <c r="D33" s="362">
        <v>19</v>
      </c>
      <c r="E33" s="362">
        <v>12</v>
      </c>
      <c r="F33" s="362">
        <v>17</v>
      </c>
      <c r="G33" s="362">
        <v>20</v>
      </c>
      <c r="H33" s="362">
        <v>18</v>
      </c>
      <c r="I33" s="615">
        <v>8</v>
      </c>
      <c r="J33" s="363"/>
      <c r="K33" s="361">
        <v>31</v>
      </c>
      <c r="L33" s="362">
        <v>39</v>
      </c>
      <c r="M33" s="362">
        <v>37</v>
      </c>
      <c r="N33" s="362">
        <v>37</v>
      </c>
      <c r="O33" s="362">
        <v>41</v>
      </c>
      <c r="P33" s="362">
        <v>31</v>
      </c>
      <c r="Q33" s="362">
        <v>43</v>
      </c>
      <c r="R33" s="615">
        <v>24</v>
      </c>
      <c r="S33" s="363"/>
      <c r="T33" s="361">
        <v>68</v>
      </c>
      <c r="U33" s="362">
        <v>87</v>
      </c>
      <c r="V33" s="362">
        <v>47</v>
      </c>
      <c r="W33" s="362">
        <v>55</v>
      </c>
      <c r="X33" s="362">
        <v>78</v>
      </c>
      <c r="Y33" s="362">
        <v>68</v>
      </c>
      <c r="Z33" s="362">
        <v>58</v>
      </c>
      <c r="AA33" s="615">
        <v>43</v>
      </c>
      <c r="AB33" s="363"/>
      <c r="AC33" s="361">
        <v>490</v>
      </c>
      <c r="AD33" s="362">
        <v>473</v>
      </c>
      <c r="AE33" s="362">
        <v>470</v>
      </c>
      <c r="AF33" s="362">
        <v>420</v>
      </c>
      <c r="AG33" s="362">
        <v>484</v>
      </c>
      <c r="AH33" s="362">
        <v>361</v>
      </c>
      <c r="AI33" s="362">
        <v>279</v>
      </c>
      <c r="AJ33" s="615">
        <v>250</v>
      </c>
      <c r="AK33" s="363"/>
      <c r="AL33" s="361">
        <v>135</v>
      </c>
      <c r="AM33" s="362">
        <v>151</v>
      </c>
      <c r="AN33" s="362">
        <v>215</v>
      </c>
      <c r="AO33" s="362">
        <v>128</v>
      </c>
      <c r="AP33" s="362">
        <v>157</v>
      </c>
      <c r="AQ33" s="362">
        <v>137</v>
      </c>
      <c r="AR33" s="362">
        <v>101</v>
      </c>
      <c r="AS33" s="615">
        <v>103</v>
      </c>
      <c r="AT33" s="363"/>
      <c r="AU33" s="361"/>
      <c r="AV33" s="362"/>
      <c r="AW33" s="362"/>
      <c r="AX33" s="362"/>
      <c r="AY33" s="362"/>
      <c r="AZ33" s="362"/>
      <c r="BA33" s="362"/>
      <c r="BB33" s="615"/>
      <c r="BC33" s="363"/>
      <c r="BD33" s="361">
        <f t="shared" si="1"/>
        <v>747</v>
      </c>
      <c r="BE33" s="362">
        <f t="shared" si="2"/>
        <v>793</v>
      </c>
      <c r="BF33" s="362">
        <f t="shared" si="3"/>
        <v>788</v>
      </c>
      <c r="BG33" s="362">
        <f t="shared" si="4"/>
        <v>652</v>
      </c>
      <c r="BH33" s="362">
        <f t="shared" si="5"/>
        <v>777</v>
      </c>
      <c r="BI33" s="362">
        <f t="shared" si="6"/>
        <v>617</v>
      </c>
      <c r="BJ33" s="362">
        <f t="shared" si="7"/>
        <v>499</v>
      </c>
      <c r="BK33" s="615">
        <f t="shared" si="8"/>
        <v>428</v>
      </c>
      <c r="BL33" s="363">
        <f t="shared" si="8"/>
        <v>0</v>
      </c>
    </row>
    <row r="34" spans="1:64" s="259" customFormat="1" x14ac:dyDescent="0.2">
      <c r="A34" s="364" t="s">
        <v>784</v>
      </c>
      <c r="B34" s="781">
        <v>250</v>
      </c>
      <c r="C34" s="782">
        <v>325</v>
      </c>
      <c r="D34" s="782">
        <v>305</v>
      </c>
      <c r="E34" s="782">
        <v>366</v>
      </c>
      <c r="F34" s="782">
        <v>289</v>
      </c>
      <c r="G34" s="782">
        <v>171</v>
      </c>
      <c r="H34" s="782">
        <v>185</v>
      </c>
      <c r="I34" s="783">
        <v>167</v>
      </c>
      <c r="J34" s="784"/>
      <c r="K34" s="781">
        <v>365</v>
      </c>
      <c r="L34" s="782">
        <v>437</v>
      </c>
      <c r="M34" s="782">
        <v>512</v>
      </c>
      <c r="N34" s="782">
        <v>499</v>
      </c>
      <c r="O34" s="782">
        <v>391</v>
      </c>
      <c r="P34" s="782">
        <v>318</v>
      </c>
      <c r="Q34" s="782">
        <v>291</v>
      </c>
      <c r="R34" s="783">
        <v>297</v>
      </c>
      <c r="S34" s="784"/>
      <c r="T34" s="781">
        <v>797</v>
      </c>
      <c r="U34" s="782">
        <v>931</v>
      </c>
      <c r="V34" s="782">
        <v>1345</v>
      </c>
      <c r="W34" s="782">
        <v>1308</v>
      </c>
      <c r="X34" s="782">
        <v>863</v>
      </c>
      <c r="Y34" s="782">
        <v>925</v>
      </c>
      <c r="Z34" s="782">
        <v>797</v>
      </c>
      <c r="AA34" s="783">
        <v>797</v>
      </c>
      <c r="AB34" s="784"/>
      <c r="AC34" s="781">
        <v>6884</v>
      </c>
      <c r="AD34" s="782">
        <v>6032</v>
      </c>
      <c r="AE34" s="782">
        <v>7642</v>
      </c>
      <c r="AF34" s="782">
        <v>6283</v>
      </c>
      <c r="AG34" s="782">
        <v>5820</v>
      </c>
      <c r="AH34" s="782">
        <v>5652</v>
      </c>
      <c r="AI34" s="782">
        <v>4728</v>
      </c>
      <c r="AJ34" s="783">
        <v>4548</v>
      </c>
      <c r="AK34" s="784"/>
      <c r="AL34" s="781">
        <v>1896</v>
      </c>
      <c r="AM34" s="782">
        <v>1773</v>
      </c>
      <c r="AN34" s="782">
        <v>2250</v>
      </c>
      <c r="AO34" s="782">
        <v>1953</v>
      </c>
      <c r="AP34" s="782">
        <v>1818</v>
      </c>
      <c r="AQ34" s="782">
        <v>1716</v>
      </c>
      <c r="AR34" s="782">
        <v>1614</v>
      </c>
      <c r="AS34" s="783">
        <v>1515</v>
      </c>
      <c r="AT34" s="784"/>
      <c r="AU34" s="781"/>
      <c r="AV34" s="782"/>
      <c r="AW34" s="782"/>
      <c r="AX34" s="782"/>
      <c r="AY34" s="782"/>
      <c r="AZ34" s="782"/>
      <c r="BA34" s="782">
        <v>1</v>
      </c>
      <c r="BB34" s="783"/>
      <c r="BC34" s="784"/>
      <c r="BD34" s="781">
        <f t="shared" si="1"/>
        <v>10192</v>
      </c>
      <c r="BE34" s="782">
        <f t="shared" si="2"/>
        <v>9498</v>
      </c>
      <c r="BF34" s="782">
        <f t="shared" si="3"/>
        <v>12054</v>
      </c>
      <c r="BG34" s="782">
        <f t="shared" si="4"/>
        <v>10409</v>
      </c>
      <c r="BH34" s="782">
        <f t="shared" si="5"/>
        <v>9181</v>
      </c>
      <c r="BI34" s="782">
        <f t="shared" si="6"/>
        <v>8782</v>
      </c>
      <c r="BJ34" s="782">
        <f t="shared" si="7"/>
        <v>7616</v>
      </c>
      <c r="BK34" s="783">
        <f t="shared" si="8"/>
        <v>7324</v>
      </c>
      <c r="BL34" s="784">
        <f t="shared" si="8"/>
        <v>0</v>
      </c>
    </row>
    <row r="35" spans="1:64" x14ac:dyDescent="0.2">
      <c r="A35" s="365" t="s">
        <v>810</v>
      </c>
      <c r="B35" s="257">
        <v>21</v>
      </c>
      <c r="C35" s="258">
        <v>31</v>
      </c>
      <c r="D35" s="258">
        <v>18</v>
      </c>
      <c r="E35" s="258">
        <v>26</v>
      </c>
      <c r="F35" s="258">
        <v>9</v>
      </c>
      <c r="G35" s="258">
        <v>15</v>
      </c>
      <c r="H35" s="258">
        <v>16</v>
      </c>
      <c r="I35" s="614">
        <v>23</v>
      </c>
      <c r="J35" s="354"/>
      <c r="K35" s="257">
        <v>2</v>
      </c>
      <c r="L35" s="258">
        <v>16</v>
      </c>
      <c r="M35" s="258">
        <v>52</v>
      </c>
      <c r="N35" s="258">
        <v>20</v>
      </c>
      <c r="O35" s="258">
        <v>9</v>
      </c>
      <c r="P35" s="258"/>
      <c r="Q35" s="258">
        <v>6</v>
      </c>
      <c r="R35" s="614">
        <v>4</v>
      </c>
      <c r="S35" s="354"/>
      <c r="T35" s="257">
        <v>24</v>
      </c>
      <c r="U35" s="258">
        <v>104</v>
      </c>
      <c r="V35" s="258">
        <v>63</v>
      </c>
      <c r="W35" s="258">
        <v>91</v>
      </c>
      <c r="X35" s="258">
        <v>11</v>
      </c>
      <c r="Y35" s="258">
        <v>7</v>
      </c>
      <c r="Z35" s="258">
        <v>13</v>
      </c>
      <c r="AA35" s="614">
        <v>13</v>
      </c>
      <c r="AB35" s="354"/>
      <c r="AC35" s="257">
        <v>234</v>
      </c>
      <c r="AD35" s="258">
        <v>212</v>
      </c>
      <c r="AE35" s="258">
        <v>105</v>
      </c>
      <c r="AF35" s="258">
        <v>189</v>
      </c>
      <c r="AG35" s="258">
        <v>66</v>
      </c>
      <c r="AH35" s="258">
        <v>52</v>
      </c>
      <c r="AI35" s="258">
        <v>65</v>
      </c>
      <c r="AJ35" s="614">
        <v>61</v>
      </c>
      <c r="AK35" s="354"/>
      <c r="AL35" s="257">
        <v>17</v>
      </c>
      <c r="AM35" s="258">
        <v>23</v>
      </c>
      <c r="AN35" s="258">
        <v>16</v>
      </c>
      <c r="AO35" s="258">
        <v>14</v>
      </c>
      <c r="AP35" s="258">
        <v>10</v>
      </c>
      <c r="AQ35" s="258">
        <v>10</v>
      </c>
      <c r="AR35" s="258">
        <v>15</v>
      </c>
      <c r="AS35" s="614">
        <v>10</v>
      </c>
      <c r="AT35" s="354"/>
      <c r="AU35" s="257"/>
      <c r="AV35" s="258"/>
      <c r="AW35" s="258"/>
      <c r="AX35" s="258"/>
      <c r="AY35" s="258"/>
      <c r="AZ35" s="258"/>
      <c r="BA35" s="258">
        <v>1</v>
      </c>
      <c r="BB35" s="614"/>
      <c r="BC35" s="354"/>
      <c r="BD35" s="257">
        <f t="shared" si="1"/>
        <v>298</v>
      </c>
      <c r="BE35" s="258">
        <f t="shared" si="2"/>
        <v>386</v>
      </c>
      <c r="BF35" s="258">
        <f t="shared" si="3"/>
        <v>254</v>
      </c>
      <c r="BG35" s="258">
        <f t="shared" si="4"/>
        <v>340</v>
      </c>
      <c r="BH35" s="258">
        <f t="shared" si="5"/>
        <v>105</v>
      </c>
      <c r="BI35" s="258">
        <f t="shared" si="6"/>
        <v>84</v>
      </c>
      <c r="BJ35" s="258">
        <f t="shared" si="7"/>
        <v>116</v>
      </c>
      <c r="BK35" s="614">
        <f t="shared" ref="BK35:BL98" si="9">SUM(I35,R35,AA35,AJ35,AS35,BB35)</f>
        <v>111</v>
      </c>
      <c r="BL35" s="354">
        <f t="shared" si="9"/>
        <v>0</v>
      </c>
    </row>
    <row r="36" spans="1:64" x14ac:dyDescent="0.2">
      <c r="A36" s="365" t="s">
        <v>658</v>
      </c>
      <c r="B36" s="257">
        <v>28</v>
      </c>
      <c r="C36" s="258">
        <v>38</v>
      </c>
      <c r="D36" s="258">
        <v>34</v>
      </c>
      <c r="E36" s="258">
        <v>42</v>
      </c>
      <c r="F36" s="258">
        <v>29</v>
      </c>
      <c r="G36" s="258">
        <v>27</v>
      </c>
      <c r="H36" s="258">
        <v>19</v>
      </c>
      <c r="I36" s="614">
        <v>31</v>
      </c>
      <c r="J36" s="354"/>
      <c r="K36" s="257">
        <v>39</v>
      </c>
      <c r="L36" s="258">
        <v>61</v>
      </c>
      <c r="M36" s="258">
        <v>80</v>
      </c>
      <c r="N36" s="258">
        <v>64</v>
      </c>
      <c r="O36" s="258">
        <v>61</v>
      </c>
      <c r="P36" s="258">
        <v>70</v>
      </c>
      <c r="Q36" s="258">
        <v>29</v>
      </c>
      <c r="R36" s="614">
        <v>32</v>
      </c>
      <c r="S36" s="354"/>
      <c r="T36" s="257">
        <v>94</v>
      </c>
      <c r="U36" s="258">
        <v>143</v>
      </c>
      <c r="V36" s="258">
        <v>111</v>
      </c>
      <c r="W36" s="258">
        <v>147</v>
      </c>
      <c r="X36" s="258">
        <v>129</v>
      </c>
      <c r="Y36" s="258">
        <v>106</v>
      </c>
      <c r="Z36" s="258">
        <v>88</v>
      </c>
      <c r="AA36" s="614">
        <v>74</v>
      </c>
      <c r="AB36" s="354"/>
      <c r="AC36" s="257">
        <v>767</v>
      </c>
      <c r="AD36" s="258">
        <v>730</v>
      </c>
      <c r="AE36" s="258">
        <v>797</v>
      </c>
      <c r="AF36" s="258">
        <v>687</v>
      </c>
      <c r="AG36" s="258">
        <v>739</v>
      </c>
      <c r="AH36" s="258">
        <v>598</v>
      </c>
      <c r="AI36" s="258">
        <v>551</v>
      </c>
      <c r="AJ36" s="614">
        <v>458</v>
      </c>
      <c r="AK36" s="354"/>
      <c r="AL36" s="257">
        <v>258</v>
      </c>
      <c r="AM36" s="258">
        <v>281</v>
      </c>
      <c r="AN36" s="258">
        <v>392</v>
      </c>
      <c r="AO36" s="258">
        <v>244</v>
      </c>
      <c r="AP36" s="258">
        <v>255</v>
      </c>
      <c r="AQ36" s="258">
        <v>191</v>
      </c>
      <c r="AR36" s="258">
        <v>166</v>
      </c>
      <c r="AS36" s="614">
        <v>195</v>
      </c>
      <c r="AT36" s="354"/>
      <c r="AU36" s="257"/>
      <c r="AV36" s="258"/>
      <c r="AW36" s="258"/>
      <c r="AX36" s="258"/>
      <c r="AY36" s="258"/>
      <c r="AZ36" s="258"/>
      <c r="BA36" s="258"/>
      <c r="BB36" s="614"/>
      <c r="BC36" s="354"/>
      <c r="BD36" s="257">
        <f t="shared" ref="BD36:BD67" si="10">SUM(B36,K36,T36,AC36,AL36,AU36)</f>
        <v>1186</v>
      </c>
      <c r="BE36" s="258">
        <f t="shared" ref="BE36:BE67" si="11">SUM(C36,L36,U36,AD36,AM36,AV36)</f>
        <v>1253</v>
      </c>
      <c r="BF36" s="258">
        <f t="shared" ref="BF36:BF67" si="12">SUM(D36,M36,V36,AE36,AN36,AW36)</f>
        <v>1414</v>
      </c>
      <c r="BG36" s="258">
        <f t="shared" ref="BG36:BG67" si="13">SUM(E36,N36,W36,AF36,AO36,AX36)</f>
        <v>1184</v>
      </c>
      <c r="BH36" s="258">
        <f t="shared" ref="BH36:BH67" si="14">SUM(F36,O36,X36,AG36,AP36,AY36)</f>
        <v>1213</v>
      </c>
      <c r="BI36" s="258">
        <f t="shared" ref="BI36:BI67" si="15">SUM(G36,P36,Y36,AH36,AQ36,AZ36)</f>
        <v>992</v>
      </c>
      <c r="BJ36" s="258">
        <f t="shared" ref="BJ36:BJ67" si="16">SUM(H36,Q36,Z36,AI36,AR36,BA36)</f>
        <v>853</v>
      </c>
      <c r="BK36" s="614">
        <f t="shared" si="9"/>
        <v>790</v>
      </c>
      <c r="BL36" s="354">
        <f t="shared" si="9"/>
        <v>0</v>
      </c>
    </row>
    <row r="37" spans="1:64" x14ac:dyDescent="0.2">
      <c r="A37" s="365" t="s">
        <v>659</v>
      </c>
      <c r="B37" s="257">
        <v>38</v>
      </c>
      <c r="C37" s="258">
        <v>33</v>
      </c>
      <c r="D37" s="258">
        <v>36</v>
      </c>
      <c r="E37" s="258">
        <v>28</v>
      </c>
      <c r="F37" s="258">
        <v>26</v>
      </c>
      <c r="G37" s="258">
        <v>17</v>
      </c>
      <c r="H37" s="258">
        <v>16</v>
      </c>
      <c r="I37" s="614">
        <v>4</v>
      </c>
      <c r="J37" s="354"/>
      <c r="K37" s="257">
        <v>58</v>
      </c>
      <c r="L37" s="258">
        <v>50</v>
      </c>
      <c r="M37" s="258">
        <v>42</v>
      </c>
      <c r="N37" s="258">
        <v>42</v>
      </c>
      <c r="O37" s="258">
        <v>27</v>
      </c>
      <c r="P37" s="258">
        <v>17</v>
      </c>
      <c r="Q37" s="258">
        <v>31</v>
      </c>
      <c r="R37" s="614">
        <v>25</v>
      </c>
      <c r="S37" s="354"/>
      <c r="T37" s="257">
        <v>161</v>
      </c>
      <c r="U37" s="258">
        <v>85</v>
      </c>
      <c r="V37" s="258">
        <v>79</v>
      </c>
      <c r="W37" s="258">
        <v>95</v>
      </c>
      <c r="X37" s="258">
        <v>70</v>
      </c>
      <c r="Y37" s="258">
        <v>78</v>
      </c>
      <c r="Z37" s="258">
        <v>73</v>
      </c>
      <c r="AA37" s="614">
        <v>31</v>
      </c>
      <c r="AB37" s="354"/>
      <c r="AC37" s="257">
        <v>597</v>
      </c>
      <c r="AD37" s="258">
        <v>486</v>
      </c>
      <c r="AE37" s="258">
        <v>513</v>
      </c>
      <c r="AF37" s="258">
        <v>560</v>
      </c>
      <c r="AG37" s="258">
        <v>502</v>
      </c>
      <c r="AH37" s="258">
        <v>363</v>
      </c>
      <c r="AI37" s="258">
        <v>338</v>
      </c>
      <c r="AJ37" s="614">
        <v>343</v>
      </c>
      <c r="AK37" s="354"/>
      <c r="AL37" s="257">
        <v>213</v>
      </c>
      <c r="AM37" s="258">
        <v>162</v>
      </c>
      <c r="AN37" s="258">
        <v>175</v>
      </c>
      <c r="AO37" s="258">
        <v>204</v>
      </c>
      <c r="AP37" s="258">
        <v>178</v>
      </c>
      <c r="AQ37" s="258">
        <v>139</v>
      </c>
      <c r="AR37" s="258">
        <v>91</v>
      </c>
      <c r="AS37" s="614">
        <v>105</v>
      </c>
      <c r="AT37" s="354"/>
      <c r="AU37" s="257"/>
      <c r="AV37" s="258"/>
      <c r="AW37" s="258"/>
      <c r="AX37" s="258"/>
      <c r="AY37" s="258"/>
      <c r="AZ37" s="258"/>
      <c r="BA37" s="258"/>
      <c r="BB37" s="614"/>
      <c r="BC37" s="354"/>
      <c r="BD37" s="257">
        <f t="shared" si="10"/>
        <v>1067</v>
      </c>
      <c r="BE37" s="258">
        <f t="shared" si="11"/>
        <v>816</v>
      </c>
      <c r="BF37" s="258">
        <f t="shared" si="12"/>
        <v>845</v>
      </c>
      <c r="BG37" s="258">
        <f t="shared" si="13"/>
        <v>929</v>
      </c>
      <c r="BH37" s="258">
        <f t="shared" si="14"/>
        <v>803</v>
      </c>
      <c r="BI37" s="258">
        <f t="shared" si="15"/>
        <v>614</v>
      </c>
      <c r="BJ37" s="258">
        <f t="shared" si="16"/>
        <v>549</v>
      </c>
      <c r="BK37" s="614">
        <f t="shared" si="9"/>
        <v>508</v>
      </c>
      <c r="BL37" s="354">
        <f t="shared" si="9"/>
        <v>0</v>
      </c>
    </row>
    <row r="38" spans="1:64" x14ac:dyDescent="0.2">
      <c r="A38" s="365" t="s">
        <v>657</v>
      </c>
      <c r="B38" s="257">
        <v>60</v>
      </c>
      <c r="C38" s="258">
        <v>96</v>
      </c>
      <c r="D38" s="258">
        <v>76</v>
      </c>
      <c r="E38" s="258">
        <v>121</v>
      </c>
      <c r="F38" s="258">
        <v>86</v>
      </c>
      <c r="G38" s="258">
        <v>33</v>
      </c>
      <c r="H38" s="258">
        <v>47</v>
      </c>
      <c r="I38" s="614">
        <v>47</v>
      </c>
      <c r="J38" s="354"/>
      <c r="K38" s="257">
        <v>155</v>
      </c>
      <c r="L38" s="258">
        <v>166</v>
      </c>
      <c r="M38" s="258">
        <v>172</v>
      </c>
      <c r="N38" s="258">
        <v>178</v>
      </c>
      <c r="O38" s="258">
        <v>166</v>
      </c>
      <c r="P38" s="258">
        <v>125</v>
      </c>
      <c r="Q38" s="258">
        <v>117</v>
      </c>
      <c r="R38" s="614">
        <v>119</v>
      </c>
      <c r="S38" s="354"/>
      <c r="T38" s="257">
        <v>292</v>
      </c>
      <c r="U38" s="258">
        <v>363</v>
      </c>
      <c r="V38" s="258">
        <v>830</v>
      </c>
      <c r="W38" s="258">
        <v>704</v>
      </c>
      <c r="X38" s="258">
        <v>346</v>
      </c>
      <c r="Y38" s="258">
        <v>441</v>
      </c>
      <c r="Z38" s="258">
        <v>389</v>
      </c>
      <c r="AA38" s="614">
        <v>422</v>
      </c>
      <c r="AB38" s="354"/>
      <c r="AC38" s="257">
        <v>3055</v>
      </c>
      <c r="AD38" s="258">
        <v>2663</v>
      </c>
      <c r="AE38" s="258">
        <v>3942</v>
      </c>
      <c r="AF38" s="258">
        <v>2942</v>
      </c>
      <c r="AG38" s="258">
        <v>2496</v>
      </c>
      <c r="AH38" s="258">
        <v>2824</v>
      </c>
      <c r="AI38" s="258">
        <v>2194</v>
      </c>
      <c r="AJ38" s="614">
        <v>1950</v>
      </c>
      <c r="AK38" s="354"/>
      <c r="AL38" s="257">
        <v>815</v>
      </c>
      <c r="AM38" s="258">
        <v>705</v>
      </c>
      <c r="AN38" s="258">
        <v>993</v>
      </c>
      <c r="AO38" s="258">
        <v>810</v>
      </c>
      <c r="AP38" s="258">
        <v>717</v>
      </c>
      <c r="AQ38" s="258">
        <v>768</v>
      </c>
      <c r="AR38" s="258">
        <v>745</v>
      </c>
      <c r="AS38" s="614">
        <v>642</v>
      </c>
      <c r="AT38" s="354"/>
      <c r="AU38" s="257"/>
      <c r="AV38" s="258"/>
      <c r="AW38" s="258"/>
      <c r="AX38" s="258"/>
      <c r="AY38" s="258"/>
      <c r="AZ38" s="258"/>
      <c r="BA38" s="258"/>
      <c r="BB38" s="614"/>
      <c r="BC38" s="354"/>
      <c r="BD38" s="257">
        <f t="shared" si="10"/>
        <v>4377</v>
      </c>
      <c r="BE38" s="258">
        <f t="shared" si="11"/>
        <v>3993</v>
      </c>
      <c r="BF38" s="258">
        <f t="shared" si="12"/>
        <v>6013</v>
      </c>
      <c r="BG38" s="258">
        <f t="shared" si="13"/>
        <v>4755</v>
      </c>
      <c r="BH38" s="258">
        <f t="shared" si="14"/>
        <v>3811</v>
      </c>
      <c r="BI38" s="258">
        <f t="shared" si="15"/>
        <v>4191</v>
      </c>
      <c r="BJ38" s="258">
        <f t="shared" si="16"/>
        <v>3492</v>
      </c>
      <c r="BK38" s="614">
        <f t="shared" si="9"/>
        <v>3180</v>
      </c>
      <c r="BL38" s="354">
        <f t="shared" si="9"/>
        <v>0</v>
      </c>
    </row>
    <row r="39" spans="1:64" x14ac:dyDescent="0.2">
      <c r="A39" s="365" t="s">
        <v>660</v>
      </c>
      <c r="B39" s="257">
        <v>39</v>
      </c>
      <c r="C39" s="258">
        <v>54</v>
      </c>
      <c r="D39" s="258">
        <v>36</v>
      </c>
      <c r="E39" s="258">
        <v>56</v>
      </c>
      <c r="F39" s="258">
        <v>43</v>
      </c>
      <c r="G39" s="258">
        <v>39</v>
      </c>
      <c r="H39" s="258">
        <v>15</v>
      </c>
      <c r="I39" s="614">
        <v>9</v>
      </c>
      <c r="J39" s="354"/>
      <c r="K39" s="257">
        <v>32</v>
      </c>
      <c r="L39" s="258">
        <v>29</v>
      </c>
      <c r="M39" s="258">
        <v>39</v>
      </c>
      <c r="N39" s="258">
        <v>40</v>
      </c>
      <c r="O39" s="258">
        <v>21</v>
      </c>
      <c r="P39" s="258">
        <v>23</v>
      </c>
      <c r="Q39" s="258">
        <v>18</v>
      </c>
      <c r="R39" s="614">
        <v>36</v>
      </c>
      <c r="S39" s="354"/>
      <c r="T39" s="257">
        <v>71</v>
      </c>
      <c r="U39" s="258">
        <v>72</v>
      </c>
      <c r="V39" s="258">
        <v>90</v>
      </c>
      <c r="W39" s="258">
        <v>84</v>
      </c>
      <c r="X39" s="258">
        <v>73</v>
      </c>
      <c r="Y39" s="258">
        <v>99</v>
      </c>
      <c r="Z39" s="258">
        <v>60</v>
      </c>
      <c r="AA39" s="614">
        <v>79</v>
      </c>
      <c r="AB39" s="354"/>
      <c r="AC39" s="257">
        <v>698</v>
      </c>
      <c r="AD39" s="258">
        <v>518</v>
      </c>
      <c r="AE39" s="258">
        <v>543</v>
      </c>
      <c r="AF39" s="258">
        <v>584</v>
      </c>
      <c r="AG39" s="258">
        <v>568</v>
      </c>
      <c r="AH39" s="258">
        <v>662</v>
      </c>
      <c r="AI39" s="258">
        <v>497</v>
      </c>
      <c r="AJ39" s="614">
        <v>483</v>
      </c>
      <c r="AK39" s="354"/>
      <c r="AL39" s="257">
        <v>134</v>
      </c>
      <c r="AM39" s="258">
        <v>109</v>
      </c>
      <c r="AN39" s="258">
        <v>138</v>
      </c>
      <c r="AO39" s="258">
        <v>175</v>
      </c>
      <c r="AP39" s="258">
        <v>192</v>
      </c>
      <c r="AQ39" s="258">
        <v>183</v>
      </c>
      <c r="AR39" s="258">
        <v>156</v>
      </c>
      <c r="AS39" s="614">
        <v>130</v>
      </c>
      <c r="AT39" s="354"/>
      <c r="AU39" s="257"/>
      <c r="AV39" s="258"/>
      <c r="AW39" s="258"/>
      <c r="AX39" s="258"/>
      <c r="AY39" s="258"/>
      <c r="AZ39" s="258"/>
      <c r="BA39" s="258"/>
      <c r="BB39" s="614"/>
      <c r="BC39" s="354"/>
      <c r="BD39" s="257">
        <f t="shared" si="10"/>
        <v>974</v>
      </c>
      <c r="BE39" s="258">
        <f t="shared" si="11"/>
        <v>782</v>
      </c>
      <c r="BF39" s="258">
        <f t="shared" si="12"/>
        <v>846</v>
      </c>
      <c r="BG39" s="258">
        <f t="shared" si="13"/>
        <v>939</v>
      </c>
      <c r="BH39" s="258">
        <f t="shared" si="14"/>
        <v>897</v>
      </c>
      <c r="BI39" s="258">
        <f t="shared" si="15"/>
        <v>1006</v>
      </c>
      <c r="BJ39" s="258">
        <f t="shared" si="16"/>
        <v>746</v>
      </c>
      <c r="BK39" s="614">
        <f t="shared" si="9"/>
        <v>737</v>
      </c>
      <c r="BL39" s="354">
        <f t="shared" si="9"/>
        <v>0</v>
      </c>
    </row>
    <row r="40" spans="1:64" x14ac:dyDescent="0.2">
      <c r="A40" s="365" t="s">
        <v>769</v>
      </c>
      <c r="B40" s="257">
        <v>19</v>
      </c>
      <c r="C40" s="258">
        <v>21</v>
      </c>
      <c r="D40" s="258">
        <v>34</v>
      </c>
      <c r="E40" s="258">
        <v>37</v>
      </c>
      <c r="F40" s="258">
        <v>34</v>
      </c>
      <c r="G40" s="258">
        <v>11</v>
      </c>
      <c r="H40" s="258">
        <v>9</v>
      </c>
      <c r="I40" s="614">
        <v>17</v>
      </c>
      <c r="J40" s="354"/>
      <c r="K40" s="257">
        <v>23</v>
      </c>
      <c r="L40" s="258">
        <v>32</v>
      </c>
      <c r="M40" s="258">
        <v>32</v>
      </c>
      <c r="N40" s="258">
        <v>40</v>
      </c>
      <c r="O40" s="258">
        <v>21</v>
      </c>
      <c r="P40" s="258">
        <v>20</v>
      </c>
      <c r="Q40" s="258">
        <v>13</v>
      </c>
      <c r="R40" s="614">
        <v>18</v>
      </c>
      <c r="S40" s="354"/>
      <c r="T40" s="257">
        <v>61</v>
      </c>
      <c r="U40" s="258">
        <v>46</v>
      </c>
      <c r="V40" s="258">
        <v>44</v>
      </c>
      <c r="W40" s="258">
        <v>55</v>
      </c>
      <c r="X40" s="258">
        <v>46</v>
      </c>
      <c r="Y40" s="258">
        <v>60</v>
      </c>
      <c r="Z40" s="258">
        <v>37</v>
      </c>
      <c r="AA40" s="614">
        <v>39</v>
      </c>
      <c r="AB40" s="354"/>
      <c r="AC40" s="257">
        <v>546</v>
      </c>
      <c r="AD40" s="258">
        <v>335</v>
      </c>
      <c r="AE40" s="258">
        <v>408</v>
      </c>
      <c r="AF40" s="258">
        <v>338</v>
      </c>
      <c r="AG40" s="258">
        <v>296</v>
      </c>
      <c r="AH40" s="258">
        <v>298</v>
      </c>
      <c r="AI40" s="258">
        <v>238</v>
      </c>
      <c r="AJ40" s="614">
        <v>250</v>
      </c>
      <c r="AK40" s="354"/>
      <c r="AL40" s="257">
        <v>131</v>
      </c>
      <c r="AM40" s="258">
        <v>127</v>
      </c>
      <c r="AN40" s="258">
        <v>143</v>
      </c>
      <c r="AO40" s="258">
        <v>118</v>
      </c>
      <c r="AP40" s="258">
        <v>98</v>
      </c>
      <c r="AQ40" s="258">
        <v>91</v>
      </c>
      <c r="AR40" s="258">
        <v>99</v>
      </c>
      <c r="AS40" s="614">
        <v>66</v>
      </c>
      <c r="AT40" s="354"/>
      <c r="AU40" s="257"/>
      <c r="AV40" s="258"/>
      <c r="AW40" s="258"/>
      <c r="AX40" s="258"/>
      <c r="AY40" s="258"/>
      <c r="AZ40" s="258"/>
      <c r="BA40" s="258"/>
      <c r="BB40" s="614"/>
      <c r="BC40" s="354"/>
      <c r="BD40" s="257">
        <f t="shared" si="10"/>
        <v>780</v>
      </c>
      <c r="BE40" s="258">
        <f t="shared" si="11"/>
        <v>561</v>
      </c>
      <c r="BF40" s="258">
        <f t="shared" si="12"/>
        <v>661</v>
      </c>
      <c r="BG40" s="258">
        <f t="shared" si="13"/>
        <v>588</v>
      </c>
      <c r="BH40" s="258">
        <f t="shared" si="14"/>
        <v>495</v>
      </c>
      <c r="BI40" s="258">
        <f t="shared" si="15"/>
        <v>480</v>
      </c>
      <c r="BJ40" s="258">
        <f t="shared" si="16"/>
        <v>396</v>
      </c>
      <c r="BK40" s="614">
        <f t="shared" si="9"/>
        <v>390</v>
      </c>
      <c r="BL40" s="354">
        <f t="shared" si="9"/>
        <v>0</v>
      </c>
    </row>
    <row r="41" spans="1:64" x14ac:dyDescent="0.2">
      <c r="A41" s="365" t="s">
        <v>661</v>
      </c>
      <c r="B41" s="257">
        <v>21</v>
      </c>
      <c r="C41" s="258">
        <v>35</v>
      </c>
      <c r="D41" s="258">
        <v>52</v>
      </c>
      <c r="E41" s="258">
        <v>42</v>
      </c>
      <c r="F41" s="258">
        <v>44</v>
      </c>
      <c r="G41" s="258">
        <v>18</v>
      </c>
      <c r="H41" s="258">
        <v>24</v>
      </c>
      <c r="I41" s="614">
        <v>21</v>
      </c>
      <c r="J41" s="354"/>
      <c r="K41" s="257">
        <v>39</v>
      </c>
      <c r="L41" s="258">
        <v>60</v>
      </c>
      <c r="M41" s="258">
        <v>73</v>
      </c>
      <c r="N41" s="258">
        <v>85</v>
      </c>
      <c r="O41" s="258">
        <v>59</v>
      </c>
      <c r="P41" s="258">
        <v>38</v>
      </c>
      <c r="Q41" s="258">
        <v>49</v>
      </c>
      <c r="R41" s="614">
        <v>45</v>
      </c>
      <c r="S41" s="354"/>
      <c r="T41" s="257">
        <v>68</v>
      </c>
      <c r="U41" s="258">
        <v>74</v>
      </c>
      <c r="V41" s="258">
        <v>97</v>
      </c>
      <c r="W41" s="258">
        <v>101</v>
      </c>
      <c r="X41" s="258">
        <v>99</v>
      </c>
      <c r="Y41" s="258">
        <v>97</v>
      </c>
      <c r="Z41" s="258">
        <v>86</v>
      </c>
      <c r="AA41" s="614">
        <v>104</v>
      </c>
      <c r="AB41" s="354"/>
      <c r="AC41" s="257">
        <v>703</v>
      </c>
      <c r="AD41" s="258">
        <v>731</v>
      </c>
      <c r="AE41" s="258">
        <v>733</v>
      </c>
      <c r="AF41" s="258">
        <v>725</v>
      </c>
      <c r="AG41" s="258">
        <v>703</v>
      </c>
      <c r="AH41" s="258">
        <v>585</v>
      </c>
      <c r="AI41" s="258">
        <v>568</v>
      </c>
      <c r="AJ41" s="614">
        <v>801</v>
      </c>
      <c r="AK41" s="354"/>
      <c r="AL41" s="257">
        <v>229</v>
      </c>
      <c r="AM41" s="258">
        <v>261</v>
      </c>
      <c r="AN41" s="258">
        <v>280</v>
      </c>
      <c r="AO41" s="258">
        <v>281</v>
      </c>
      <c r="AP41" s="258">
        <v>243</v>
      </c>
      <c r="AQ41" s="258">
        <v>224</v>
      </c>
      <c r="AR41" s="258">
        <v>235</v>
      </c>
      <c r="AS41" s="614">
        <v>282</v>
      </c>
      <c r="AT41" s="354"/>
      <c r="AU41" s="257"/>
      <c r="AV41" s="258"/>
      <c r="AW41" s="258"/>
      <c r="AX41" s="258"/>
      <c r="AY41" s="258"/>
      <c r="AZ41" s="258"/>
      <c r="BA41" s="258"/>
      <c r="BB41" s="614"/>
      <c r="BC41" s="354"/>
      <c r="BD41" s="257">
        <f t="shared" si="10"/>
        <v>1060</v>
      </c>
      <c r="BE41" s="258">
        <f t="shared" si="11"/>
        <v>1161</v>
      </c>
      <c r="BF41" s="258">
        <f t="shared" si="12"/>
        <v>1235</v>
      </c>
      <c r="BG41" s="258">
        <f t="shared" si="13"/>
        <v>1234</v>
      </c>
      <c r="BH41" s="258">
        <f t="shared" si="14"/>
        <v>1148</v>
      </c>
      <c r="BI41" s="258">
        <f t="shared" si="15"/>
        <v>962</v>
      </c>
      <c r="BJ41" s="258">
        <f t="shared" si="16"/>
        <v>962</v>
      </c>
      <c r="BK41" s="614">
        <f t="shared" si="9"/>
        <v>1253</v>
      </c>
      <c r="BL41" s="354">
        <f t="shared" si="9"/>
        <v>0</v>
      </c>
    </row>
    <row r="42" spans="1:64" ht="13.5" thickBot="1" x14ac:dyDescent="0.25">
      <c r="A42" s="366" t="s">
        <v>662</v>
      </c>
      <c r="B42" s="361">
        <v>24</v>
      </c>
      <c r="C42" s="362">
        <v>17</v>
      </c>
      <c r="D42" s="362">
        <v>19</v>
      </c>
      <c r="E42" s="362">
        <v>14</v>
      </c>
      <c r="F42" s="362">
        <v>18</v>
      </c>
      <c r="G42" s="362">
        <v>11</v>
      </c>
      <c r="H42" s="362">
        <v>39</v>
      </c>
      <c r="I42" s="615">
        <v>15</v>
      </c>
      <c r="J42" s="363"/>
      <c r="K42" s="361">
        <v>17</v>
      </c>
      <c r="L42" s="362">
        <v>23</v>
      </c>
      <c r="M42" s="362">
        <v>22</v>
      </c>
      <c r="N42" s="362">
        <v>30</v>
      </c>
      <c r="O42" s="362">
        <v>27</v>
      </c>
      <c r="P42" s="362">
        <v>25</v>
      </c>
      <c r="Q42" s="362">
        <v>28</v>
      </c>
      <c r="R42" s="615">
        <v>18</v>
      </c>
      <c r="S42" s="363"/>
      <c r="T42" s="361">
        <v>26</v>
      </c>
      <c r="U42" s="362">
        <v>44</v>
      </c>
      <c r="V42" s="362">
        <v>31</v>
      </c>
      <c r="W42" s="362">
        <v>31</v>
      </c>
      <c r="X42" s="362">
        <v>89</v>
      </c>
      <c r="Y42" s="362">
        <v>37</v>
      </c>
      <c r="Z42" s="362">
        <v>51</v>
      </c>
      <c r="AA42" s="615">
        <v>35</v>
      </c>
      <c r="AB42" s="363"/>
      <c r="AC42" s="361">
        <v>284</v>
      </c>
      <c r="AD42" s="362">
        <v>357</v>
      </c>
      <c r="AE42" s="362">
        <v>601</v>
      </c>
      <c r="AF42" s="362">
        <v>258</v>
      </c>
      <c r="AG42" s="362">
        <v>450</v>
      </c>
      <c r="AH42" s="362">
        <v>270</v>
      </c>
      <c r="AI42" s="362">
        <v>277</v>
      </c>
      <c r="AJ42" s="615">
        <v>202</v>
      </c>
      <c r="AK42" s="363"/>
      <c r="AL42" s="361">
        <v>99</v>
      </c>
      <c r="AM42" s="362">
        <v>105</v>
      </c>
      <c r="AN42" s="362">
        <v>113</v>
      </c>
      <c r="AO42" s="362">
        <v>107</v>
      </c>
      <c r="AP42" s="362">
        <v>125</v>
      </c>
      <c r="AQ42" s="362">
        <v>110</v>
      </c>
      <c r="AR42" s="362">
        <v>107</v>
      </c>
      <c r="AS42" s="615">
        <v>85</v>
      </c>
      <c r="AT42" s="363"/>
      <c r="AU42" s="361"/>
      <c r="AV42" s="362"/>
      <c r="AW42" s="362"/>
      <c r="AX42" s="362"/>
      <c r="AY42" s="362"/>
      <c r="AZ42" s="362"/>
      <c r="BA42" s="362"/>
      <c r="BB42" s="615"/>
      <c r="BC42" s="363"/>
      <c r="BD42" s="361">
        <f t="shared" si="10"/>
        <v>450</v>
      </c>
      <c r="BE42" s="362">
        <f t="shared" si="11"/>
        <v>546</v>
      </c>
      <c r="BF42" s="362">
        <f t="shared" si="12"/>
        <v>786</v>
      </c>
      <c r="BG42" s="362">
        <f t="shared" si="13"/>
        <v>440</v>
      </c>
      <c r="BH42" s="362">
        <f t="shared" si="14"/>
        <v>709</v>
      </c>
      <c r="BI42" s="362">
        <f t="shared" si="15"/>
        <v>453</v>
      </c>
      <c r="BJ42" s="362">
        <f t="shared" si="16"/>
        <v>502</v>
      </c>
      <c r="BK42" s="615">
        <f t="shared" si="9"/>
        <v>355</v>
      </c>
      <c r="BL42" s="363">
        <f t="shared" si="9"/>
        <v>0</v>
      </c>
    </row>
    <row r="43" spans="1:64" s="259" customFormat="1" x14ac:dyDescent="0.2">
      <c r="A43" s="364" t="s">
        <v>783</v>
      </c>
      <c r="B43" s="781">
        <v>63</v>
      </c>
      <c r="C43" s="782">
        <v>166</v>
      </c>
      <c r="D43" s="782">
        <v>177</v>
      </c>
      <c r="E43" s="782">
        <v>152</v>
      </c>
      <c r="F43" s="782">
        <v>123</v>
      </c>
      <c r="G43" s="782">
        <v>116</v>
      </c>
      <c r="H43" s="782">
        <v>101</v>
      </c>
      <c r="I43" s="783">
        <v>109</v>
      </c>
      <c r="J43" s="784"/>
      <c r="K43" s="781">
        <v>252</v>
      </c>
      <c r="L43" s="782">
        <v>315</v>
      </c>
      <c r="M43" s="782">
        <v>358</v>
      </c>
      <c r="N43" s="782">
        <v>248</v>
      </c>
      <c r="O43" s="782">
        <v>239</v>
      </c>
      <c r="P43" s="782">
        <v>226</v>
      </c>
      <c r="Q43" s="782">
        <v>189</v>
      </c>
      <c r="R43" s="783">
        <v>224</v>
      </c>
      <c r="S43" s="784"/>
      <c r="T43" s="781">
        <v>483</v>
      </c>
      <c r="U43" s="782">
        <v>544</v>
      </c>
      <c r="V43" s="782">
        <v>599</v>
      </c>
      <c r="W43" s="782">
        <v>500</v>
      </c>
      <c r="X43" s="782">
        <v>519</v>
      </c>
      <c r="Y43" s="782">
        <v>692</v>
      </c>
      <c r="Z43" s="782">
        <v>433</v>
      </c>
      <c r="AA43" s="783">
        <v>486</v>
      </c>
      <c r="AB43" s="784"/>
      <c r="AC43" s="781">
        <v>3591</v>
      </c>
      <c r="AD43" s="782">
        <v>3467</v>
      </c>
      <c r="AE43" s="782">
        <v>3754</v>
      </c>
      <c r="AF43" s="782">
        <v>3235</v>
      </c>
      <c r="AG43" s="782">
        <v>2886</v>
      </c>
      <c r="AH43" s="782">
        <v>3031</v>
      </c>
      <c r="AI43" s="782">
        <v>2431</v>
      </c>
      <c r="AJ43" s="783">
        <v>2527</v>
      </c>
      <c r="AK43" s="784"/>
      <c r="AL43" s="781">
        <v>1081</v>
      </c>
      <c r="AM43" s="782">
        <v>1144</v>
      </c>
      <c r="AN43" s="782">
        <v>1184</v>
      </c>
      <c r="AO43" s="782">
        <v>1181</v>
      </c>
      <c r="AP43" s="782">
        <v>1079</v>
      </c>
      <c r="AQ43" s="782">
        <v>904</v>
      </c>
      <c r="AR43" s="782">
        <v>842</v>
      </c>
      <c r="AS43" s="783">
        <v>814</v>
      </c>
      <c r="AT43" s="784"/>
      <c r="AU43" s="781"/>
      <c r="AV43" s="782"/>
      <c r="AW43" s="782"/>
      <c r="AX43" s="782"/>
      <c r="AY43" s="782"/>
      <c r="AZ43" s="782"/>
      <c r="BA43" s="782"/>
      <c r="BB43" s="783"/>
      <c r="BC43" s="784"/>
      <c r="BD43" s="781">
        <f t="shared" si="10"/>
        <v>5470</v>
      </c>
      <c r="BE43" s="782">
        <f t="shared" si="11"/>
        <v>5636</v>
      </c>
      <c r="BF43" s="782">
        <f t="shared" si="12"/>
        <v>6072</v>
      </c>
      <c r="BG43" s="782">
        <f t="shared" si="13"/>
        <v>5316</v>
      </c>
      <c r="BH43" s="782">
        <f t="shared" si="14"/>
        <v>4846</v>
      </c>
      <c r="BI43" s="782">
        <f t="shared" si="15"/>
        <v>4969</v>
      </c>
      <c r="BJ43" s="782">
        <f t="shared" si="16"/>
        <v>3996</v>
      </c>
      <c r="BK43" s="783">
        <f t="shared" si="9"/>
        <v>4160</v>
      </c>
      <c r="BL43" s="784">
        <f t="shared" si="9"/>
        <v>0</v>
      </c>
    </row>
    <row r="44" spans="1:64" x14ac:dyDescent="0.2">
      <c r="A44" s="365" t="s">
        <v>811</v>
      </c>
      <c r="B44" s="257">
        <v>3</v>
      </c>
      <c r="C44" s="258">
        <v>1</v>
      </c>
      <c r="D44" s="258">
        <v>4</v>
      </c>
      <c r="E44" s="258">
        <v>7</v>
      </c>
      <c r="F44" s="258"/>
      <c r="G44" s="258">
        <v>13</v>
      </c>
      <c r="H44" s="258">
        <v>4</v>
      </c>
      <c r="I44" s="614">
        <v>21</v>
      </c>
      <c r="J44" s="354"/>
      <c r="K44" s="257"/>
      <c r="L44" s="258">
        <v>3</v>
      </c>
      <c r="M44" s="258">
        <v>2</v>
      </c>
      <c r="N44" s="258">
        <v>4</v>
      </c>
      <c r="O44" s="258">
        <v>1</v>
      </c>
      <c r="P44" s="258">
        <v>9</v>
      </c>
      <c r="Q44" s="258">
        <v>3</v>
      </c>
      <c r="R44" s="614">
        <v>4</v>
      </c>
      <c r="S44" s="354"/>
      <c r="T44" s="257">
        <v>10</v>
      </c>
      <c r="U44" s="258">
        <v>15</v>
      </c>
      <c r="V44" s="258">
        <v>11</v>
      </c>
      <c r="W44" s="258">
        <v>12</v>
      </c>
      <c r="X44" s="258">
        <v>9</v>
      </c>
      <c r="Y44" s="258">
        <v>44</v>
      </c>
      <c r="Z44" s="258"/>
      <c r="AA44" s="614">
        <v>9</v>
      </c>
      <c r="AB44" s="354"/>
      <c r="AC44" s="257">
        <v>47</v>
      </c>
      <c r="AD44" s="258">
        <v>100</v>
      </c>
      <c r="AE44" s="258">
        <v>51</v>
      </c>
      <c r="AF44" s="258">
        <v>43</v>
      </c>
      <c r="AG44" s="258">
        <v>27</v>
      </c>
      <c r="AH44" s="258">
        <v>142</v>
      </c>
      <c r="AI44" s="258">
        <v>30</v>
      </c>
      <c r="AJ44" s="614">
        <v>57</v>
      </c>
      <c r="AK44" s="354"/>
      <c r="AL44" s="257">
        <v>6</v>
      </c>
      <c r="AM44" s="258">
        <v>36</v>
      </c>
      <c r="AN44" s="258">
        <v>7</v>
      </c>
      <c r="AO44" s="258">
        <v>10</v>
      </c>
      <c r="AP44" s="258">
        <v>15</v>
      </c>
      <c r="AQ44" s="258">
        <v>24</v>
      </c>
      <c r="AR44" s="258">
        <v>34</v>
      </c>
      <c r="AS44" s="614">
        <v>19</v>
      </c>
      <c r="AT44" s="354"/>
      <c r="AU44" s="257"/>
      <c r="AV44" s="258"/>
      <c r="AW44" s="258"/>
      <c r="AX44" s="258"/>
      <c r="AY44" s="258"/>
      <c r="AZ44" s="258"/>
      <c r="BA44" s="258"/>
      <c r="BB44" s="614"/>
      <c r="BC44" s="354"/>
      <c r="BD44" s="257">
        <f t="shared" si="10"/>
        <v>66</v>
      </c>
      <c r="BE44" s="258">
        <f t="shared" si="11"/>
        <v>155</v>
      </c>
      <c r="BF44" s="258">
        <f t="shared" si="12"/>
        <v>75</v>
      </c>
      <c r="BG44" s="258">
        <f t="shared" si="13"/>
        <v>76</v>
      </c>
      <c r="BH44" s="258">
        <f t="shared" si="14"/>
        <v>52</v>
      </c>
      <c r="BI44" s="258">
        <f t="shared" si="15"/>
        <v>232</v>
      </c>
      <c r="BJ44" s="258">
        <f t="shared" si="16"/>
        <v>71</v>
      </c>
      <c r="BK44" s="614">
        <f t="shared" si="9"/>
        <v>110</v>
      </c>
      <c r="BL44" s="354">
        <f t="shared" si="9"/>
        <v>0</v>
      </c>
    </row>
    <row r="45" spans="1:64" x14ac:dyDescent="0.2">
      <c r="A45" s="365" t="s">
        <v>663</v>
      </c>
      <c r="B45" s="257">
        <v>14</v>
      </c>
      <c r="C45" s="258">
        <v>34</v>
      </c>
      <c r="D45" s="258">
        <v>37</v>
      </c>
      <c r="E45" s="258">
        <v>28</v>
      </c>
      <c r="F45" s="258">
        <v>26</v>
      </c>
      <c r="G45" s="258">
        <v>14</v>
      </c>
      <c r="H45" s="258">
        <v>15</v>
      </c>
      <c r="I45" s="614">
        <v>11</v>
      </c>
      <c r="J45" s="354"/>
      <c r="K45" s="257">
        <v>66</v>
      </c>
      <c r="L45" s="258">
        <v>66</v>
      </c>
      <c r="M45" s="258">
        <v>110</v>
      </c>
      <c r="N45" s="258">
        <v>68</v>
      </c>
      <c r="O45" s="258">
        <v>58</v>
      </c>
      <c r="P45" s="258">
        <v>43</v>
      </c>
      <c r="Q45" s="258">
        <v>55</v>
      </c>
      <c r="R45" s="614">
        <v>61</v>
      </c>
      <c r="S45" s="354"/>
      <c r="T45" s="257">
        <v>125</v>
      </c>
      <c r="U45" s="258">
        <v>155</v>
      </c>
      <c r="V45" s="258">
        <v>223</v>
      </c>
      <c r="W45" s="258">
        <v>154</v>
      </c>
      <c r="X45" s="258">
        <v>150</v>
      </c>
      <c r="Y45" s="258">
        <v>146</v>
      </c>
      <c r="Z45" s="258">
        <v>143</v>
      </c>
      <c r="AA45" s="614">
        <v>100</v>
      </c>
      <c r="AB45" s="354"/>
      <c r="AC45" s="257">
        <v>1020</v>
      </c>
      <c r="AD45" s="258">
        <v>912</v>
      </c>
      <c r="AE45" s="258">
        <v>1175</v>
      </c>
      <c r="AF45" s="258">
        <v>856</v>
      </c>
      <c r="AG45" s="258">
        <v>730</v>
      </c>
      <c r="AH45" s="258">
        <v>717</v>
      </c>
      <c r="AI45" s="258">
        <v>614</v>
      </c>
      <c r="AJ45" s="614">
        <v>594</v>
      </c>
      <c r="AK45" s="354"/>
      <c r="AL45" s="257">
        <v>242</v>
      </c>
      <c r="AM45" s="258">
        <v>288</v>
      </c>
      <c r="AN45" s="258">
        <v>302</v>
      </c>
      <c r="AO45" s="258">
        <v>304</v>
      </c>
      <c r="AP45" s="258">
        <v>266</v>
      </c>
      <c r="AQ45" s="258">
        <v>245</v>
      </c>
      <c r="AR45" s="258">
        <v>186</v>
      </c>
      <c r="AS45" s="614">
        <v>230</v>
      </c>
      <c r="AT45" s="354"/>
      <c r="AU45" s="257"/>
      <c r="AV45" s="258"/>
      <c r="AW45" s="258"/>
      <c r="AX45" s="258"/>
      <c r="AY45" s="258"/>
      <c r="AZ45" s="258"/>
      <c r="BA45" s="258"/>
      <c r="BB45" s="614"/>
      <c r="BC45" s="354"/>
      <c r="BD45" s="257">
        <f t="shared" si="10"/>
        <v>1467</v>
      </c>
      <c r="BE45" s="258">
        <f t="shared" si="11"/>
        <v>1455</v>
      </c>
      <c r="BF45" s="258">
        <f t="shared" si="12"/>
        <v>1847</v>
      </c>
      <c r="BG45" s="258">
        <f t="shared" si="13"/>
        <v>1410</v>
      </c>
      <c r="BH45" s="258">
        <f t="shared" si="14"/>
        <v>1230</v>
      </c>
      <c r="BI45" s="258">
        <f t="shared" si="15"/>
        <v>1165</v>
      </c>
      <c r="BJ45" s="258">
        <f t="shared" si="16"/>
        <v>1013</v>
      </c>
      <c r="BK45" s="614">
        <f t="shared" si="9"/>
        <v>996</v>
      </c>
      <c r="BL45" s="354">
        <f t="shared" si="9"/>
        <v>0</v>
      </c>
    </row>
    <row r="46" spans="1:64" x14ac:dyDescent="0.2">
      <c r="A46" s="365" t="s">
        <v>664</v>
      </c>
      <c r="B46" s="257">
        <v>5</v>
      </c>
      <c r="C46" s="258">
        <v>16</v>
      </c>
      <c r="D46" s="258">
        <v>14</v>
      </c>
      <c r="E46" s="258">
        <v>22</v>
      </c>
      <c r="F46" s="258">
        <v>6</v>
      </c>
      <c r="G46" s="258">
        <v>11</v>
      </c>
      <c r="H46" s="258">
        <v>3</v>
      </c>
      <c r="I46" s="614">
        <v>6</v>
      </c>
      <c r="J46" s="354"/>
      <c r="K46" s="257">
        <v>11</v>
      </c>
      <c r="L46" s="258">
        <v>37</v>
      </c>
      <c r="M46" s="258">
        <v>35</v>
      </c>
      <c r="N46" s="258">
        <v>20</v>
      </c>
      <c r="O46" s="258">
        <v>31</v>
      </c>
      <c r="P46" s="258">
        <v>14</v>
      </c>
      <c r="Q46" s="258">
        <v>22</v>
      </c>
      <c r="R46" s="614">
        <v>18</v>
      </c>
      <c r="S46" s="354"/>
      <c r="T46" s="257">
        <v>28</v>
      </c>
      <c r="U46" s="258">
        <v>66</v>
      </c>
      <c r="V46" s="258">
        <v>52</v>
      </c>
      <c r="W46" s="258">
        <v>29</v>
      </c>
      <c r="X46" s="258">
        <v>31</v>
      </c>
      <c r="Y46" s="258">
        <v>40</v>
      </c>
      <c r="Z46" s="258">
        <v>31</v>
      </c>
      <c r="AA46" s="614">
        <v>37</v>
      </c>
      <c r="AB46" s="354"/>
      <c r="AC46" s="257">
        <v>181</v>
      </c>
      <c r="AD46" s="258">
        <v>348</v>
      </c>
      <c r="AE46" s="258">
        <v>265</v>
      </c>
      <c r="AF46" s="258">
        <v>228</v>
      </c>
      <c r="AG46" s="258">
        <v>246</v>
      </c>
      <c r="AH46" s="258">
        <v>198</v>
      </c>
      <c r="AI46" s="258">
        <v>204</v>
      </c>
      <c r="AJ46" s="614">
        <v>187</v>
      </c>
      <c r="AK46" s="354"/>
      <c r="AL46" s="257">
        <v>62</v>
      </c>
      <c r="AM46" s="258">
        <v>56</v>
      </c>
      <c r="AN46" s="258">
        <v>82</v>
      </c>
      <c r="AO46" s="258">
        <v>91</v>
      </c>
      <c r="AP46" s="258">
        <v>72</v>
      </c>
      <c r="AQ46" s="258">
        <v>53</v>
      </c>
      <c r="AR46" s="258">
        <v>90</v>
      </c>
      <c r="AS46" s="614">
        <v>57</v>
      </c>
      <c r="AT46" s="354"/>
      <c r="AU46" s="257"/>
      <c r="AV46" s="258"/>
      <c r="AW46" s="258"/>
      <c r="AX46" s="258"/>
      <c r="AY46" s="258"/>
      <c r="AZ46" s="258"/>
      <c r="BA46" s="258"/>
      <c r="BB46" s="614"/>
      <c r="BC46" s="354"/>
      <c r="BD46" s="257">
        <f t="shared" si="10"/>
        <v>287</v>
      </c>
      <c r="BE46" s="258">
        <f t="shared" si="11"/>
        <v>523</v>
      </c>
      <c r="BF46" s="258">
        <f t="shared" si="12"/>
        <v>448</v>
      </c>
      <c r="BG46" s="258">
        <f t="shared" si="13"/>
        <v>390</v>
      </c>
      <c r="BH46" s="258">
        <f t="shared" si="14"/>
        <v>386</v>
      </c>
      <c r="BI46" s="258">
        <f t="shared" si="15"/>
        <v>316</v>
      </c>
      <c r="BJ46" s="258">
        <f t="shared" si="16"/>
        <v>350</v>
      </c>
      <c r="BK46" s="614">
        <f t="shared" si="9"/>
        <v>305</v>
      </c>
      <c r="BL46" s="354">
        <f t="shared" si="9"/>
        <v>0</v>
      </c>
    </row>
    <row r="47" spans="1:64" x14ac:dyDescent="0.2">
      <c r="A47" s="365" t="s">
        <v>665</v>
      </c>
      <c r="B47" s="257">
        <v>10</v>
      </c>
      <c r="C47" s="258">
        <v>16</v>
      </c>
      <c r="D47" s="258">
        <v>9</v>
      </c>
      <c r="E47" s="258">
        <v>9</v>
      </c>
      <c r="F47" s="258">
        <v>10</v>
      </c>
      <c r="G47" s="258">
        <v>8</v>
      </c>
      <c r="H47" s="258">
        <v>4</v>
      </c>
      <c r="I47" s="614">
        <v>5</v>
      </c>
      <c r="J47" s="354"/>
      <c r="K47" s="257">
        <v>83</v>
      </c>
      <c r="L47" s="258">
        <v>59</v>
      </c>
      <c r="M47" s="258">
        <v>68</v>
      </c>
      <c r="N47" s="258">
        <v>49</v>
      </c>
      <c r="O47" s="258">
        <v>44</v>
      </c>
      <c r="P47" s="258">
        <v>42</v>
      </c>
      <c r="Q47" s="258">
        <v>22</v>
      </c>
      <c r="R47" s="614">
        <v>39</v>
      </c>
      <c r="S47" s="354"/>
      <c r="T47" s="257">
        <v>106</v>
      </c>
      <c r="U47" s="258">
        <v>86</v>
      </c>
      <c r="V47" s="258">
        <v>77</v>
      </c>
      <c r="W47" s="258">
        <v>65</v>
      </c>
      <c r="X47" s="258">
        <v>92</v>
      </c>
      <c r="Y47" s="258">
        <v>72</v>
      </c>
      <c r="Z47" s="258">
        <v>48</v>
      </c>
      <c r="AA47" s="614">
        <v>51</v>
      </c>
      <c r="AB47" s="354"/>
      <c r="AC47" s="257">
        <v>425</v>
      </c>
      <c r="AD47" s="258">
        <v>405</v>
      </c>
      <c r="AE47" s="258">
        <v>479</v>
      </c>
      <c r="AF47" s="258">
        <v>458</v>
      </c>
      <c r="AG47" s="258">
        <v>396</v>
      </c>
      <c r="AH47" s="258">
        <v>427</v>
      </c>
      <c r="AI47" s="258">
        <v>322</v>
      </c>
      <c r="AJ47" s="614">
        <v>358</v>
      </c>
      <c r="AK47" s="354"/>
      <c r="AL47" s="257">
        <v>91</v>
      </c>
      <c r="AM47" s="258">
        <v>117</v>
      </c>
      <c r="AN47" s="258">
        <v>145</v>
      </c>
      <c r="AO47" s="258">
        <v>132</v>
      </c>
      <c r="AP47" s="258">
        <v>130</v>
      </c>
      <c r="AQ47" s="258">
        <v>121</v>
      </c>
      <c r="AR47" s="258">
        <v>104</v>
      </c>
      <c r="AS47" s="614">
        <v>87</v>
      </c>
      <c r="AT47" s="354"/>
      <c r="AU47" s="257"/>
      <c r="AV47" s="258"/>
      <c r="AW47" s="258"/>
      <c r="AX47" s="258"/>
      <c r="AY47" s="258"/>
      <c r="AZ47" s="258"/>
      <c r="BA47" s="258"/>
      <c r="BB47" s="614"/>
      <c r="BC47" s="354"/>
      <c r="BD47" s="257">
        <f t="shared" si="10"/>
        <v>715</v>
      </c>
      <c r="BE47" s="258">
        <f t="shared" si="11"/>
        <v>683</v>
      </c>
      <c r="BF47" s="258">
        <f t="shared" si="12"/>
        <v>778</v>
      </c>
      <c r="BG47" s="258">
        <f t="shared" si="13"/>
        <v>713</v>
      </c>
      <c r="BH47" s="258">
        <f t="shared" si="14"/>
        <v>672</v>
      </c>
      <c r="BI47" s="258">
        <f t="shared" si="15"/>
        <v>670</v>
      </c>
      <c r="BJ47" s="258">
        <f t="shared" si="16"/>
        <v>500</v>
      </c>
      <c r="BK47" s="614">
        <f t="shared" si="9"/>
        <v>540</v>
      </c>
      <c r="BL47" s="354">
        <f t="shared" si="9"/>
        <v>0</v>
      </c>
    </row>
    <row r="48" spans="1:64" x14ac:dyDescent="0.2">
      <c r="A48" s="365" t="s">
        <v>770</v>
      </c>
      <c r="B48" s="257">
        <v>10</v>
      </c>
      <c r="C48" s="258">
        <v>31</v>
      </c>
      <c r="D48" s="258">
        <v>38</v>
      </c>
      <c r="E48" s="258">
        <v>20</v>
      </c>
      <c r="F48" s="258">
        <v>30</v>
      </c>
      <c r="G48" s="258">
        <v>23</v>
      </c>
      <c r="H48" s="258">
        <v>18</v>
      </c>
      <c r="I48" s="614">
        <v>9</v>
      </c>
      <c r="J48" s="354"/>
      <c r="K48" s="257">
        <v>25</v>
      </c>
      <c r="L48" s="258">
        <v>56</v>
      </c>
      <c r="M48" s="258">
        <v>53</v>
      </c>
      <c r="N48" s="258">
        <v>38</v>
      </c>
      <c r="O48" s="258">
        <v>37</v>
      </c>
      <c r="P48" s="258">
        <v>36</v>
      </c>
      <c r="Q48" s="258">
        <v>26</v>
      </c>
      <c r="R48" s="614">
        <v>16</v>
      </c>
      <c r="S48" s="354"/>
      <c r="T48" s="257">
        <v>38</v>
      </c>
      <c r="U48" s="258">
        <v>64</v>
      </c>
      <c r="V48" s="258">
        <v>54</v>
      </c>
      <c r="W48" s="258">
        <v>69</v>
      </c>
      <c r="X48" s="258">
        <v>78</v>
      </c>
      <c r="Y48" s="258">
        <v>60</v>
      </c>
      <c r="Z48" s="258">
        <v>58</v>
      </c>
      <c r="AA48" s="614">
        <v>67</v>
      </c>
      <c r="AB48" s="354"/>
      <c r="AC48" s="257">
        <v>348</v>
      </c>
      <c r="AD48" s="258">
        <v>456</v>
      </c>
      <c r="AE48" s="258">
        <v>351</v>
      </c>
      <c r="AF48" s="258">
        <v>377</v>
      </c>
      <c r="AG48" s="258">
        <v>406</v>
      </c>
      <c r="AH48" s="258">
        <v>323</v>
      </c>
      <c r="AI48" s="258">
        <v>294</v>
      </c>
      <c r="AJ48" s="614">
        <v>326</v>
      </c>
      <c r="AK48" s="354"/>
      <c r="AL48" s="257">
        <v>123</v>
      </c>
      <c r="AM48" s="258">
        <v>137</v>
      </c>
      <c r="AN48" s="258">
        <v>128</v>
      </c>
      <c r="AO48" s="258">
        <v>148</v>
      </c>
      <c r="AP48" s="258">
        <v>162</v>
      </c>
      <c r="AQ48" s="258">
        <v>86</v>
      </c>
      <c r="AR48" s="258">
        <v>97</v>
      </c>
      <c r="AS48" s="614">
        <v>127</v>
      </c>
      <c r="AT48" s="354"/>
      <c r="AU48" s="257"/>
      <c r="AV48" s="258"/>
      <c r="AW48" s="258"/>
      <c r="AX48" s="258"/>
      <c r="AY48" s="258"/>
      <c r="AZ48" s="258"/>
      <c r="BA48" s="258"/>
      <c r="BB48" s="614"/>
      <c r="BC48" s="354"/>
      <c r="BD48" s="257">
        <f t="shared" si="10"/>
        <v>544</v>
      </c>
      <c r="BE48" s="258">
        <f t="shared" si="11"/>
        <v>744</v>
      </c>
      <c r="BF48" s="258">
        <f t="shared" si="12"/>
        <v>624</v>
      </c>
      <c r="BG48" s="258">
        <f t="shared" si="13"/>
        <v>652</v>
      </c>
      <c r="BH48" s="258">
        <f t="shared" si="14"/>
        <v>713</v>
      </c>
      <c r="BI48" s="258">
        <f t="shared" si="15"/>
        <v>528</v>
      </c>
      <c r="BJ48" s="258">
        <f t="shared" si="16"/>
        <v>493</v>
      </c>
      <c r="BK48" s="614">
        <f t="shared" si="9"/>
        <v>545</v>
      </c>
      <c r="BL48" s="354">
        <f t="shared" si="9"/>
        <v>0</v>
      </c>
    </row>
    <row r="49" spans="1:64" x14ac:dyDescent="0.2">
      <c r="A49" s="365" t="s">
        <v>771</v>
      </c>
      <c r="B49" s="257">
        <v>1</v>
      </c>
      <c r="C49" s="258">
        <v>26</v>
      </c>
      <c r="D49" s="258">
        <v>27</v>
      </c>
      <c r="E49" s="258">
        <v>18</v>
      </c>
      <c r="F49" s="258">
        <v>11</v>
      </c>
      <c r="G49" s="258">
        <v>9</v>
      </c>
      <c r="H49" s="258">
        <v>14</v>
      </c>
      <c r="I49" s="614">
        <v>9</v>
      </c>
      <c r="J49" s="354"/>
      <c r="K49" s="257">
        <v>13</v>
      </c>
      <c r="L49" s="258">
        <v>24</v>
      </c>
      <c r="M49" s="258">
        <v>22</v>
      </c>
      <c r="N49" s="258">
        <v>19</v>
      </c>
      <c r="O49" s="258">
        <v>12</v>
      </c>
      <c r="P49" s="258">
        <v>19</v>
      </c>
      <c r="Q49" s="258">
        <v>18</v>
      </c>
      <c r="R49" s="614">
        <v>21</v>
      </c>
      <c r="S49" s="354"/>
      <c r="T49" s="257">
        <v>39</v>
      </c>
      <c r="U49" s="258">
        <v>43</v>
      </c>
      <c r="V49" s="258">
        <v>49</v>
      </c>
      <c r="W49" s="258">
        <v>46</v>
      </c>
      <c r="X49" s="258">
        <v>31</v>
      </c>
      <c r="Y49" s="258">
        <v>34</v>
      </c>
      <c r="Z49" s="258">
        <v>38</v>
      </c>
      <c r="AA49" s="614">
        <v>53</v>
      </c>
      <c r="AB49" s="354"/>
      <c r="AC49" s="257">
        <v>510</v>
      </c>
      <c r="AD49" s="258">
        <v>325</v>
      </c>
      <c r="AE49" s="258">
        <v>455</v>
      </c>
      <c r="AF49" s="258">
        <v>317</v>
      </c>
      <c r="AG49" s="258">
        <v>296</v>
      </c>
      <c r="AH49" s="258">
        <v>316</v>
      </c>
      <c r="AI49" s="258">
        <v>273</v>
      </c>
      <c r="AJ49" s="614">
        <v>278</v>
      </c>
      <c r="AK49" s="354"/>
      <c r="AL49" s="257">
        <v>186</v>
      </c>
      <c r="AM49" s="258">
        <v>135</v>
      </c>
      <c r="AN49" s="258">
        <v>134</v>
      </c>
      <c r="AO49" s="258">
        <v>132</v>
      </c>
      <c r="AP49" s="258">
        <v>116</v>
      </c>
      <c r="AQ49" s="258">
        <v>101</v>
      </c>
      <c r="AR49" s="258">
        <v>101</v>
      </c>
      <c r="AS49" s="614">
        <v>87</v>
      </c>
      <c r="AT49" s="354"/>
      <c r="AU49" s="257"/>
      <c r="AV49" s="258"/>
      <c r="AW49" s="258"/>
      <c r="AX49" s="258"/>
      <c r="AY49" s="258"/>
      <c r="AZ49" s="258"/>
      <c r="BA49" s="258"/>
      <c r="BB49" s="614"/>
      <c r="BC49" s="354"/>
      <c r="BD49" s="257">
        <f t="shared" si="10"/>
        <v>749</v>
      </c>
      <c r="BE49" s="258">
        <f t="shared" si="11"/>
        <v>553</v>
      </c>
      <c r="BF49" s="258">
        <f t="shared" si="12"/>
        <v>687</v>
      </c>
      <c r="BG49" s="258">
        <f t="shared" si="13"/>
        <v>532</v>
      </c>
      <c r="BH49" s="258">
        <f t="shared" si="14"/>
        <v>466</v>
      </c>
      <c r="BI49" s="258">
        <f t="shared" si="15"/>
        <v>479</v>
      </c>
      <c r="BJ49" s="258">
        <f t="shared" si="16"/>
        <v>444</v>
      </c>
      <c r="BK49" s="614">
        <f t="shared" si="9"/>
        <v>448</v>
      </c>
      <c r="BL49" s="354">
        <f t="shared" si="9"/>
        <v>0</v>
      </c>
    </row>
    <row r="50" spans="1:64" x14ac:dyDescent="0.2">
      <c r="A50" s="365" t="s">
        <v>667</v>
      </c>
      <c r="B50" s="257">
        <v>7</v>
      </c>
      <c r="C50" s="258">
        <v>9</v>
      </c>
      <c r="D50" s="258">
        <v>20</v>
      </c>
      <c r="E50" s="258">
        <v>7</v>
      </c>
      <c r="F50" s="258">
        <v>6</v>
      </c>
      <c r="G50" s="258">
        <v>8</v>
      </c>
      <c r="H50" s="258">
        <v>8</v>
      </c>
      <c r="I50" s="614">
        <v>11</v>
      </c>
      <c r="J50" s="354"/>
      <c r="K50" s="257">
        <v>13</v>
      </c>
      <c r="L50" s="258">
        <v>25</v>
      </c>
      <c r="M50" s="258">
        <v>13</v>
      </c>
      <c r="N50" s="258">
        <v>11</v>
      </c>
      <c r="O50" s="258">
        <v>19</v>
      </c>
      <c r="P50" s="258">
        <v>23</v>
      </c>
      <c r="Q50" s="258">
        <v>14</v>
      </c>
      <c r="R50" s="614">
        <v>22</v>
      </c>
      <c r="S50" s="354"/>
      <c r="T50" s="257">
        <v>46</v>
      </c>
      <c r="U50" s="258">
        <v>28</v>
      </c>
      <c r="V50" s="258">
        <v>29</v>
      </c>
      <c r="W50" s="258">
        <v>21</v>
      </c>
      <c r="X50" s="258">
        <v>42</v>
      </c>
      <c r="Y50" s="258">
        <v>137</v>
      </c>
      <c r="Z50" s="258">
        <v>34</v>
      </c>
      <c r="AA50" s="614">
        <v>62</v>
      </c>
      <c r="AB50" s="354"/>
      <c r="AC50" s="257">
        <v>281</v>
      </c>
      <c r="AD50" s="258">
        <v>264</v>
      </c>
      <c r="AE50" s="258">
        <v>283</v>
      </c>
      <c r="AF50" s="258">
        <v>208</v>
      </c>
      <c r="AG50" s="258">
        <v>261</v>
      </c>
      <c r="AH50" s="258">
        <v>303</v>
      </c>
      <c r="AI50" s="258">
        <v>188</v>
      </c>
      <c r="AJ50" s="614">
        <v>271</v>
      </c>
      <c r="AK50" s="354"/>
      <c r="AL50" s="257">
        <v>89</v>
      </c>
      <c r="AM50" s="258">
        <v>91</v>
      </c>
      <c r="AN50" s="258">
        <v>72</v>
      </c>
      <c r="AO50" s="258">
        <v>59</v>
      </c>
      <c r="AP50" s="258">
        <v>81</v>
      </c>
      <c r="AQ50" s="258">
        <v>70</v>
      </c>
      <c r="AR50" s="258">
        <v>30</v>
      </c>
      <c r="AS50" s="614">
        <v>67</v>
      </c>
      <c r="AT50" s="354"/>
      <c r="AU50" s="257"/>
      <c r="AV50" s="258"/>
      <c r="AW50" s="258"/>
      <c r="AX50" s="258"/>
      <c r="AY50" s="258"/>
      <c r="AZ50" s="258"/>
      <c r="BA50" s="258"/>
      <c r="BB50" s="614"/>
      <c r="BC50" s="354"/>
      <c r="BD50" s="257">
        <f t="shared" si="10"/>
        <v>436</v>
      </c>
      <c r="BE50" s="258">
        <f t="shared" si="11"/>
        <v>417</v>
      </c>
      <c r="BF50" s="258">
        <f t="shared" si="12"/>
        <v>417</v>
      </c>
      <c r="BG50" s="258">
        <f t="shared" si="13"/>
        <v>306</v>
      </c>
      <c r="BH50" s="258">
        <f t="shared" si="14"/>
        <v>409</v>
      </c>
      <c r="BI50" s="258">
        <f t="shared" si="15"/>
        <v>541</v>
      </c>
      <c r="BJ50" s="258">
        <f t="shared" si="16"/>
        <v>274</v>
      </c>
      <c r="BK50" s="614">
        <f t="shared" si="9"/>
        <v>433</v>
      </c>
      <c r="BL50" s="354">
        <f t="shared" si="9"/>
        <v>0</v>
      </c>
    </row>
    <row r="51" spans="1:64" x14ac:dyDescent="0.2">
      <c r="A51" s="365" t="s">
        <v>666</v>
      </c>
      <c r="B51" s="257">
        <v>7</v>
      </c>
      <c r="C51" s="258">
        <v>24</v>
      </c>
      <c r="D51" s="258">
        <v>14</v>
      </c>
      <c r="E51" s="258">
        <v>23</v>
      </c>
      <c r="F51" s="258">
        <v>30</v>
      </c>
      <c r="G51" s="258">
        <v>16</v>
      </c>
      <c r="H51" s="258">
        <v>26</v>
      </c>
      <c r="I51" s="614">
        <v>31</v>
      </c>
      <c r="J51" s="354"/>
      <c r="K51" s="257">
        <v>25</v>
      </c>
      <c r="L51" s="258">
        <v>24</v>
      </c>
      <c r="M51" s="258">
        <v>38</v>
      </c>
      <c r="N51" s="258">
        <v>25</v>
      </c>
      <c r="O51" s="258">
        <v>14</v>
      </c>
      <c r="P51" s="258">
        <v>23</v>
      </c>
      <c r="Q51" s="258">
        <v>16</v>
      </c>
      <c r="R51" s="614">
        <v>25</v>
      </c>
      <c r="S51" s="354"/>
      <c r="T51" s="257">
        <v>50</v>
      </c>
      <c r="U51" s="258">
        <v>39</v>
      </c>
      <c r="V51" s="258">
        <v>56</v>
      </c>
      <c r="W51" s="258">
        <v>59</v>
      </c>
      <c r="X51" s="258">
        <v>45</v>
      </c>
      <c r="Y51" s="258">
        <v>58</v>
      </c>
      <c r="Z51" s="258">
        <v>28</v>
      </c>
      <c r="AA51" s="614">
        <v>50</v>
      </c>
      <c r="AB51" s="354"/>
      <c r="AC51" s="257">
        <v>429</v>
      </c>
      <c r="AD51" s="258">
        <v>396</v>
      </c>
      <c r="AE51" s="258">
        <v>397</v>
      </c>
      <c r="AF51" s="258">
        <v>501</v>
      </c>
      <c r="AG51" s="258">
        <v>269</v>
      </c>
      <c r="AH51" s="258">
        <v>261</v>
      </c>
      <c r="AI51" s="258">
        <v>269</v>
      </c>
      <c r="AJ51" s="614">
        <v>223</v>
      </c>
      <c r="AK51" s="354"/>
      <c r="AL51" s="257">
        <v>176</v>
      </c>
      <c r="AM51" s="258">
        <v>183</v>
      </c>
      <c r="AN51" s="258">
        <v>186</v>
      </c>
      <c r="AO51" s="258">
        <v>222</v>
      </c>
      <c r="AP51" s="258">
        <v>150</v>
      </c>
      <c r="AQ51" s="258">
        <v>124</v>
      </c>
      <c r="AR51" s="258">
        <v>108</v>
      </c>
      <c r="AS51" s="614">
        <v>62</v>
      </c>
      <c r="AT51" s="354"/>
      <c r="AU51" s="257"/>
      <c r="AV51" s="258"/>
      <c r="AW51" s="258"/>
      <c r="AX51" s="258"/>
      <c r="AY51" s="258"/>
      <c r="AZ51" s="258"/>
      <c r="BA51" s="258"/>
      <c r="BB51" s="614"/>
      <c r="BC51" s="354"/>
      <c r="BD51" s="257">
        <f t="shared" si="10"/>
        <v>687</v>
      </c>
      <c r="BE51" s="258">
        <f t="shared" si="11"/>
        <v>666</v>
      </c>
      <c r="BF51" s="258">
        <f t="shared" si="12"/>
        <v>691</v>
      </c>
      <c r="BG51" s="258">
        <f t="shared" si="13"/>
        <v>830</v>
      </c>
      <c r="BH51" s="258">
        <f t="shared" si="14"/>
        <v>508</v>
      </c>
      <c r="BI51" s="258">
        <f t="shared" si="15"/>
        <v>482</v>
      </c>
      <c r="BJ51" s="258">
        <f t="shared" si="16"/>
        <v>447</v>
      </c>
      <c r="BK51" s="614">
        <f t="shared" si="9"/>
        <v>391</v>
      </c>
      <c r="BL51" s="354">
        <f t="shared" si="9"/>
        <v>0</v>
      </c>
    </row>
    <row r="52" spans="1:64" ht="13.5" thickBot="1" x14ac:dyDescent="0.25">
      <c r="A52" s="366" t="s">
        <v>772</v>
      </c>
      <c r="B52" s="361">
        <v>6</v>
      </c>
      <c r="C52" s="362">
        <v>9</v>
      </c>
      <c r="D52" s="362">
        <v>14</v>
      </c>
      <c r="E52" s="362">
        <v>18</v>
      </c>
      <c r="F52" s="362">
        <v>4</v>
      </c>
      <c r="G52" s="362">
        <v>14</v>
      </c>
      <c r="H52" s="362">
        <v>9</v>
      </c>
      <c r="I52" s="615">
        <v>6</v>
      </c>
      <c r="J52" s="363"/>
      <c r="K52" s="361">
        <v>16</v>
      </c>
      <c r="L52" s="362">
        <v>21</v>
      </c>
      <c r="M52" s="362">
        <v>17</v>
      </c>
      <c r="N52" s="362">
        <v>14</v>
      </c>
      <c r="O52" s="362">
        <v>23</v>
      </c>
      <c r="P52" s="362">
        <v>17</v>
      </c>
      <c r="Q52" s="362">
        <v>13</v>
      </c>
      <c r="R52" s="615">
        <v>18</v>
      </c>
      <c r="S52" s="363"/>
      <c r="T52" s="361">
        <v>41</v>
      </c>
      <c r="U52" s="362">
        <v>48</v>
      </c>
      <c r="V52" s="362">
        <v>48</v>
      </c>
      <c r="W52" s="362">
        <v>45</v>
      </c>
      <c r="X52" s="362">
        <v>41</v>
      </c>
      <c r="Y52" s="362">
        <v>101</v>
      </c>
      <c r="Z52" s="362">
        <v>53</v>
      </c>
      <c r="AA52" s="615">
        <v>57</v>
      </c>
      <c r="AB52" s="363"/>
      <c r="AC52" s="361">
        <v>350</v>
      </c>
      <c r="AD52" s="362">
        <v>261</v>
      </c>
      <c r="AE52" s="362">
        <v>298</v>
      </c>
      <c r="AF52" s="362">
        <v>247</v>
      </c>
      <c r="AG52" s="362">
        <v>255</v>
      </c>
      <c r="AH52" s="362">
        <v>344</v>
      </c>
      <c r="AI52" s="362">
        <v>237</v>
      </c>
      <c r="AJ52" s="615">
        <v>233</v>
      </c>
      <c r="AK52" s="363"/>
      <c r="AL52" s="361">
        <v>106</v>
      </c>
      <c r="AM52" s="362">
        <v>101</v>
      </c>
      <c r="AN52" s="362">
        <v>128</v>
      </c>
      <c r="AO52" s="362">
        <v>83</v>
      </c>
      <c r="AP52" s="362">
        <v>87</v>
      </c>
      <c r="AQ52" s="362">
        <v>80</v>
      </c>
      <c r="AR52" s="362">
        <v>92</v>
      </c>
      <c r="AS52" s="615">
        <v>78</v>
      </c>
      <c r="AT52" s="363"/>
      <c r="AU52" s="361"/>
      <c r="AV52" s="362"/>
      <c r="AW52" s="362"/>
      <c r="AX52" s="362"/>
      <c r="AY52" s="362"/>
      <c r="AZ52" s="362"/>
      <c r="BA52" s="362"/>
      <c r="BB52" s="615"/>
      <c r="BC52" s="363"/>
      <c r="BD52" s="361">
        <f t="shared" si="10"/>
        <v>519</v>
      </c>
      <c r="BE52" s="362">
        <f t="shared" si="11"/>
        <v>440</v>
      </c>
      <c r="BF52" s="362">
        <f t="shared" si="12"/>
        <v>505</v>
      </c>
      <c r="BG52" s="362">
        <f t="shared" si="13"/>
        <v>407</v>
      </c>
      <c r="BH52" s="362">
        <f t="shared" si="14"/>
        <v>410</v>
      </c>
      <c r="BI52" s="362">
        <f t="shared" si="15"/>
        <v>556</v>
      </c>
      <c r="BJ52" s="362">
        <f t="shared" si="16"/>
        <v>404</v>
      </c>
      <c r="BK52" s="615">
        <f t="shared" si="9"/>
        <v>392</v>
      </c>
      <c r="BL52" s="363">
        <f t="shared" si="9"/>
        <v>0</v>
      </c>
    </row>
    <row r="53" spans="1:64" s="259" customFormat="1" x14ac:dyDescent="0.2">
      <c r="A53" s="364" t="s">
        <v>782</v>
      </c>
      <c r="B53" s="781">
        <v>507</v>
      </c>
      <c r="C53" s="782">
        <v>512</v>
      </c>
      <c r="D53" s="782">
        <v>551</v>
      </c>
      <c r="E53" s="782">
        <v>469</v>
      </c>
      <c r="F53" s="782">
        <v>394</v>
      </c>
      <c r="G53" s="782">
        <v>370</v>
      </c>
      <c r="H53" s="782">
        <v>360</v>
      </c>
      <c r="I53" s="783">
        <v>321</v>
      </c>
      <c r="J53" s="784"/>
      <c r="K53" s="781">
        <v>723</v>
      </c>
      <c r="L53" s="782">
        <v>725</v>
      </c>
      <c r="M53" s="782">
        <v>800</v>
      </c>
      <c r="N53" s="782">
        <v>731</v>
      </c>
      <c r="O53" s="782">
        <v>703</v>
      </c>
      <c r="P53" s="782">
        <v>655</v>
      </c>
      <c r="Q53" s="782">
        <v>658</v>
      </c>
      <c r="R53" s="783">
        <v>613</v>
      </c>
      <c r="S53" s="784"/>
      <c r="T53" s="781">
        <v>1111</v>
      </c>
      <c r="U53" s="782">
        <v>1163</v>
      </c>
      <c r="V53" s="782">
        <v>1306</v>
      </c>
      <c r="W53" s="782">
        <v>1351</v>
      </c>
      <c r="X53" s="782">
        <v>1296</v>
      </c>
      <c r="Y53" s="782">
        <v>1338</v>
      </c>
      <c r="Z53" s="782">
        <v>1331</v>
      </c>
      <c r="AA53" s="783">
        <v>1394</v>
      </c>
      <c r="AB53" s="784"/>
      <c r="AC53" s="781">
        <v>8833</v>
      </c>
      <c r="AD53" s="782">
        <v>8438</v>
      </c>
      <c r="AE53" s="782">
        <v>9344</v>
      </c>
      <c r="AF53" s="782">
        <v>9585</v>
      </c>
      <c r="AG53" s="782">
        <v>7980</v>
      </c>
      <c r="AH53" s="782">
        <v>7134</v>
      </c>
      <c r="AI53" s="782">
        <v>6786</v>
      </c>
      <c r="AJ53" s="783">
        <v>7036</v>
      </c>
      <c r="AK53" s="784"/>
      <c r="AL53" s="781">
        <v>3298</v>
      </c>
      <c r="AM53" s="782">
        <v>3550</v>
      </c>
      <c r="AN53" s="782">
        <v>4292</v>
      </c>
      <c r="AO53" s="782">
        <v>4070</v>
      </c>
      <c r="AP53" s="782">
        <v>3358</v>
      </c>
      <c r="AQ53" s="782">
        <v>2542</v>
      </c>
      <c r="AR53" s="782">
        <v>2345</v>
      </c>
      <c r="AS53" s="783">
        <v>2227</v>
      </c>
      <c r="AT53" s="784"/>
      <c r="AU53" s="781"/>
      <c r="AV53" s="782"/>
      <c r="AW53" s="782"/>
      <c r="AX53" s="782"/>
      <c r="AY53" s="782">
        <v>2</v>
      </c>
      <c r="AZ53" s="782"/>
      <c r="BA53" s="782"/>
      <c r="BB53" s="783"/>
      <c r="BC53" s="784"/>
      <c r="BD53" s="781">
        <f t="shared" si="10"/>
        <v>14472</v>
      </c>
      <c r="BE53" s="782">
        <f t="shared" si="11"/>
        <v>14388</v>
      </c>
      <c r="BF53" s="782">
        <f t="shared" si="12"/>
        <v>16293</v>
      </c>
      <c r="BG53" s="782">
        <f t="shared" si="13"/>
        <v>16206</v>
      </c>
      <c r="BH53" s="782">
        <f t="shared" si="14"/>
        <v>13733</v>
      </c>
      <c r="BI53" s="782">
        <f t="shared" si="15"/>
        <v>12039</v>
      </c>
      <c r="BJ53" s="782">
        <f t="shared" si="16"/>
        <v>11480</v>
      </c>
      <c r="BK53" s="783">
        <f t="shared" si="9"/>
        <v>11591</v>
      </c>
      <c r="BL53" s="784">
        <f t="shared" si="9"/>
        <v>0</v>
      </c>
    </row>
    <row r="54" spans="1:64" x14ac:dyDescent="0.2">
      <c r="A54" s="365" t="s">
        <v>812</v>
      </c>
      <c r="B54" s="257">
        <v>7</v>
      </c>
      <c r="C54" s="258">
        <v>8</v>
      </c>
      <c r="D54" s="258">
        <v>7</v>
      </c>
      <c r="E54" s="258">
        <v>17</v>
      </c>
      <c r="F54" s="258">
        <v>19</v>
      </c>
      <c r="G54" s="258">
        <v>13</v>
      </c>
      <c r="H54" s="258">
        <v>48</v>
      </c>
      <c r="I54" s="614">
        <v>31</v>
      </c>
      <c r="J54" s="354"/>
      <c r="K54" s="257">
        <v>3</v>
      </c>
      <c r="L54" s="258">
        <v>16</v>
      </c>
      <c r="M54" s="258">
        <v>5</v>
      </c>
      <c r="N54" s="258">
        <v>17</v>
      </c>
      <c r="O54" s="258">
        <v>12</v>
      </c>
      <c r="P54" s="258">
        <v>12</v>
      </c>
      <c r="Q54" s="258">
        <v>16</v>
      </c>
      <c r="R54" s="614">
        <v>20</v>
      </c>
      <c r="S54" s="354"/>
      <c r="T54" s="257">
        <v>17</v>
      </c>
      <c r="U54" s="258">
        <v>9</v>
      </c>
      <c r="V54" s="258">
        <v>4</v>
      </c>
      <c r="W54" s="258">
        <v>24</v>
      </c>
      <c r="X54" s="258">
        <v>14</v>
      </c>
      <c r="Y54" s="258">
        <v>10</v>
      </c>
      <c r="Z54" s="258">
        <v>12</v>
      </c>
      <c r="AA54" s="614">
        <v>35</v>
      </c>
      <c r="AB54" s="354"/>
      <c r="AC54" s="257">
        <v>107</v>
      </c>
      <c r="AD54" s="258">
        <v>92</v>
      </c>
      <c r="AE54" s="258">
        <v>93</v>
      </c>
      <c r="AF54" s="258">
        <v>75</v>
      </c>
      <c r="AG54" s="258">
        <v>88</v>
      </c>
      <c r="AH54" s="258">
        <v>68</v>
      </c>
      <c r="AI54" s="258">
        <v>60</v>
      </c>
      <c r="AJ54" s="614">
        <v>74</v>
      </c>
      <c r="AK54" s="354"/>
      <c r="AL54" s="257">
        <v>35</v>
      </c>
      <c r="AM54" s="258">
        <v>35</v>
      </c>
      <c r="AN54" s="258">
        <v>30</v>
      </c>
      <c r="AO54" s="258">
        <v>53</v>
      </c>
      <c r="AP54" s="258">
        <v>25</v>
      </c>
      <c r="AQ54" s="258">
        <v>26</v>
      </c>
      <c r="AR54" s="258">
        <v>25</v>
      </c>
      <c r="AS54" s="614">
        <v>17</v>
      </c>
      <c r="AT54" s="354"/>
      <c r="AU54" s="257"/>
      <c r="AV54" s="258"/>
      <c r="AW54" s="258"/>
      <c r="AX54" s="258"/>
      <c r="AY54" s="258"/>
      <c r="AZ54" s="258"/>
      <c r="BA54" s="258"/>
      <c r="BB54" s="614"/>
      <c r="BC54" s="354"/>
      <c r="BD54" s="257">
        <f t="shared" si="10"/>
        <v>169</v>
      </c>
      <c r="BE54" s="258">
        <f t="shared" si="11"/>
        <v>160</v>
      </c>
      <c r="BF54" s="258">
        <f t="shared" si="12"/>
        <v>139</v>
      </c>
      <c r="BG54" s="258">
        <f t="shared" si="13"/>
        <v>186</v>
      </c>
      <c r="BH54" s="258">
        <f t="shared" si="14"/>
        <v>158</v>
      </c>
      <c r="BI54" s="258">
        <f t="shared" si="15"/>
        <v>129</v>
      </c>
      <c r="BJ54" s="258">
        <f t="shared" si="16"/>
        <v>161</v>
      </c>
      <c r="BK54" s="614">
        <f t="shared" si="9"/>
        <v>177</v>
      </c>
      <c r="BL54" s="354">
        <f t="shared" si="9"/>
        <v>0</v>
      </c>
    </row>
    <row r="55" spans="1:64" x14ac:dyDescent="0.2">
      <c r="A55" s="365" t="s">
        <v>669</v>
      </c>
      <c r="B55" s="257">
        <v>43</v>
      </c>
      <c r="C55" s="258">
        <v>25</v>
      </c>
      <c r="D55" s="258">
        <v>41</v>
      </c>
      <c r="E55" s="258">
        <v>18</v>
      </c>
      <c r="F55" s="258">
        <v>14</v>
      </c>
      <c r="G55" s="258">
        <v>19</v>
      </c>
      <c r="H55" s="258">
        <v>11</v>
      </c>
      <c r="I55" s="614">
        <v>4</v>
      </c>
      <c r="J55" s="354"/>
      <c r="K55" s="257">
        <v>36</v>
      </c>
      <c r="L55" s="258">
        <v>28</v>
      </c>
      <c r="M55" s="258">
        <v>32</v>
      </c>
      <c r="N55" s="258">
        <v>26</v>
      </c>
      <c r="O55" s="258">
        <v>31</v>
      </c>
      <c r="P55" s="258">
        <v>21</v>
      </c>
      <c r="Q55" s="258">
        <v>20</v>
      </c>
      <c r="R55" s="614">
        <v>13</v>
      </c>
      <c r="S55" s="354"/>
      <c r="T55" s="257">
        <v>31</v>
      </c>
      <c r="U55" s="258">
        <v>32</v>
      </c>
      <c r="V55" s="258">
        <v>38</v>
      </c>
      <c r="W55" s="258">
        <v>38</v>
      </c>
      <c r="X55" s="258">
        <v>35</v>
      </c>
      <c r="Y55" s="258">
        <v>36</v>
      </c>
      <c r="Z55" s="258">
        <v>58</v>
      </c>
      <c r="AA55" s="614">
        <v>25</v>
      </c>
      <c r="AB55" s="354"/>
      <c r="AC55" s="257">
        <v>257</v>
      </c>
      <c r="AD55" s="258">
        <v>266</v>
      </c>
      <c r="AE55" s="258">
        <v>306</v>
      </c>
      <c r="AF55" s="258">
        <v>304</v>
      </c>
      <c r="AG55" s="258">
        <v>261</v>
      </c>
      <c r="AH55" s="258">
        <v>244</v>
      </c>
      <c r="AI55" s="258">
        <v>229</v>
      </c>
      <c r="AJ55" s="614">
        <v>158</v>
      </c>
      <c r="AK55" s="354"/>
      <c r="AL55" s="257">
        <v>91</v>
      </c>
      <c r="AM55" s="258">
        <v>111</v>
      </c>
      <c r="AN55" s="258">
        <v>133</v>
      </c>
      <c r="AO55" s="258">
        <v>114</v>
      </c>
      <c r="AP55" s="258">
        <v>94</v>
      </c>
      <c r="AQ55" s="258">
        <v>83</v>
      </c>
      <c r="AR55" s="258">
        <v>63</v>
      </c>
      <c r="AS55" s="614">
        <v>45</v>
      </c>
      <c r="AT55" s="354"/>
      <c r="AU55" s="257"/>
      <c r="AV55" s="258"/>
      <c r="AW55" s="258"/>
      <c r="AX55" s="258"/>
      <c r="AY55" s="258"/>
      <c r="AZ55" s="258"/>
      <c r="BA55" s="258"/>
      <c r="BB55" s="614"/>
      <c r="BC55" s="354"/>
      <c r="BD55" s="257">
        <f t="shared" si="10"/>
        <v>458</v>
      </c>
      <c r="BE55" s="258">
        <f t="shared" si="11"/>
        <v>462</v>
      </c>
      <c r="BF55" s="258">
        <f t="shared" si="12"/>
        <v>550</v>
      </c>
      <c r="BG55" s="258">
        <f t="shared" si="13"/>
        <v>500</v>
      </c>
      <c r="BH55" s="258">
        <f t="shared" si="14"/>
        <v>435</v>
      </c>
      <c r="BI55" s="258">
        <f t="shared" si="15"/>
        <v>403</v>
      </c>
      <c r="BJ55" s="258">
        <f t="shared" si="16"/>
        <v>381</v>
      </c>
      <c r="BK55" s="614">
        <f t="shared" si="9"/>
        <v>245</v>
      </c>
      <c r="BL55" s="354">
        <f t="shared" si="9"/>
        <v>0</v>
      </c>
    </row>
    <row r="56" spans="1:64" x14ac:dyDescent="0.2">
      <c r="A56" s="365" t="s">
        <v>670</v>
      </c>
      <c r="B56" s="257">
        <v>45</v>
      </c>
      <c r="C56" s="258">
        <v>53</v>
      </c>
      <c r="D56" s="258">
        <v>44</v>
      </c>
      <c r="E56" s="258">
        <v>43</v>
      </c>
      <c r="F56" s="258">
        <v>33</v>
      </c>
      <c r="G56" s="258">
        <v>50</v>
      </c>
      <c r="H56" s="258">
        <v>40</v>
      </c>
      <c r="I56" s="614">
        <v>24</v>
      </c>
      <c r="J56" s="354"/>
      <c r="K56" s="257">
        <v>52</v>
      </c>
      <c r="L56" s="258">
        <v>71</v>
      </c>
      <c r="M56" s="258">
        <v>50</v>
      </c>
      <c r="N56" s="258">
        <v>61</v>
      </c>
      <c r="O56" s="258">
        <v>71</v>
      </c>
      <c r="P56" s="258">
        <v>62</v>
      </c>
      <c r="Q56" s="258">
        <v>53</v>
      </c>
      <c r="R56" s="614">
        <v>48</v>
      </c>
      <c r="S56" s="354"/>
      <c r="T56" s="257">
        <v>94</v>
      </c>
      <c r="U56" s="258">
        <v>101</v>
      </c>
      <c r="V56" s="258">
        <v>95</v>
      </c>
      <c r="W56" s="258">
        <v>119</v>
      </c>
      <c r="X56" s="258">
        <v>118</v>
      </c>
      <c r="Y56" s="258">
        <v>83</v>
      </c>
      <c r="Z56" s="258">
        <v>105</v>
      </c>
      <c r="AA56" s="614">
        <v>129</v>
      </c>
      <c r="AB56" s="354"/>
      <c r="AC56" s="257">
        <v>927</v>
      </c>
      <c r="AD56" s="258">
        <v>714</v>
      </c>
      <c r="AE56" s="258">
        <v>707</v>
      </c>
      <c r="AF56" s="258">
        <v>718</v>
      </c>
      <c r="AG56" s="258">
        <v>620</v>
      </c>
      <c r="AH56" s="258">
        <v>600</v>
      </c>
      <c r="AI56" s="258">
        <v>568</v>
      </c>
      <c r="AJ56" s="614">
        <v>585</v>
      </c>
      <c r="AK56" s="354"/>
      <c r="AL56" s="257">
        <v>243</v>
      </c>
      <c r="AM56" s="258">
        <v>302</v>
      </c>
      <c r="AN56" s="258">
        <v>303</v>
      </c>
      <c r="AO56" s="258">
        <v>314</v>
      </c>
      <c r="AP56" s="258">
        <v>213</v>
      </c>
      <c r="AQ56" s="258">
        <v>195</v>
      </c>
      <c r="AR56" s="258">
        <v>230</v>
      </c>
      <c r="AS56" s="614">
        <v>240</v>
      </c>
      <c r="AT56" s="354"/>
      <c r="AU56" s="257"/>
      <c r="AV56" s="258"/>
      <c r="AW56" s="258"/>
      <c r="AX56" s="258"/>
      <c r="AY56" s="258"/>
      <c r="AZ56" s="258"/>
      <c r="BA56" s="258"/>
      <c r="BB56" s="614"/>
      <c r="BC56" s="354"/>
      <c r="BD56" s="257">
        <f t="shared" si="10"/>
        <v>1361</v>
      </c>
      <c r="BE56" s="258">
        <f t="shared" si="11"/>
        <v>1241</v>
      </c>
      <c r="BF56" s="258">
        <f t="shared" si="12"/>
        <v>1199</v>
      </c>
      <c r="BG56" s="258">
        <f t="shared" si="13"/>
        <v>1255</v>
      </c>
      <c r="BH56" s="258">
        <f t="shared" si="14"/>
        <v>1055</v>
      </c>
      <c r="BI56" s="258">
        <f t="shared" si="15"/>
        <v>990</v>
      </c>
      <c r="BJ56" s="258">
        <f t="shared" si="16"/>
        <v>996</v>
      </c>
      <c r="BK56" s="614">
        <f t="shared" si="9"/>
        <v>1026</v>
      </c>
      <c r="BL56" s="354">
        <f t="shared" si="9"/>
        <v>0</v>
      </c>
    </row>
    <row r="57" spans="1:64" x14ac:dyDescent="0.2">
      <c r="A57" s="365" t="s">
        <v>671</v>
      </c>
      <c r="B57" s="257">
        <v>41</v>
      </c>
      <c r="C57" s="258">
        <v>50</v>
      </c>
      <c r="D57" s="258">
        <v>60</v>
      </c>
      <c r="E57" s="258">
        <v>37</v>
      </c>
      <c r="F57" s="258">
        <v>38</v>
      </c>
      <c r="G57" s="258">
        <v>31</v>
      </c>
      <c r="H57" s="258">
        <v>21</v>
      </c>
      <c r="I57" s="614">
        <v>20</v>
      </c>
      <c r="J57" s="354"/>
      <c r="K57" s="257">
        <v>82</v>
      </c>
      <c r="L57" s="258">
        <v>85</v>
      </c>
      <c r="M57" s="258">
        <v>118</v>
      </c>
      <c r="N57" s="258">
        <v>88</v>
      </c>
      <c r="O57" s="258">
        <v>66</v>
      </c>
      <c r="P57" s="258">
        <v>57</v>
      </c>
      <c r="Q57" s="258">
        <v>45</v>
      </c>
      <c r="R57" s="614">
        <v>48</v>
      </c>
      <c r="S57" s="354"/>
      <c r="T57" s="257">
        <v>128</v>
      </c>
      <c r="U57" s="258">
        <v>124</v>
      </c>
      <c r="V57" s="258">
        <v>123</v>
      </c>
      <c r="W57" s="258">
        <v>165</v>
      </c>
      <c r="X57" s="258">
        <v>112</v>
      </c>
      <c r="Y57" s="258">
        <v>118</v>
      </c>
      <c r="Z57" s="258">
        <v>105</v>
      </c>
      <c r="AA57" s="614">
        <v>105</v>
      </c>
      <c r="AB57" s="354"/>
      <c r="AC57" s="257">
        <v>821</v>
      </c>
      <c r="AD57" s="258">
        <v>778</v>
      </c>
      <c r="AE57" s="258">
        <v>940</v>
      </c>
      <c r="AF57" s="258">
        <v>859</v>
      </c>
      <c r="AG57" s="258">
        <v>727</v>
      </c>
      <c r="AH57" s="258">
        <v>571</v>
      </c>
      <c r="AI57" s="258">
        <v>549</v>
      </c>
      <c r="AJ57" s="614">
        <v>508</v>
      </c>
      <c r="AK57" s="354"/>
      <c r="AL57" s="257">
        <v>271</v>
      </c>
      <c r="AM57" s="258">
        <v>272</v>
      </c>
      <c r="AN57" s="258">
        <v>368</v>
      </c>
      <c r="AO57" s="258">
        <v>382</v>
      </c>
      <c r="AP57" s="258">
        <v>262</v>
      </c>
      <c r="AQ57" s="258">
        <v>170</v>
      </c>
      <c r="AR57" s="258">
        <v>160</v>
      </c>
      <c r="AS57" s="614">
        <v>163</v>
      </c>
      <c r="AT57" s="354"/>
      <c r="AU57" s="257"/>
      <c r="AV57" s="258"/>
      <c r="AW57" s="258"/>
      <c r="AX57" s="258"/>
      <c r="AY57" s="258"/>
      <c r="AZ57" s="258"/>
      <c r="BA57" s="258"/>
      <c r="BB57" s="614"/>
      <c r="BC57" s="354"/>
      <c r="BD57" s="257">
        <f t="shared" si="10"/>
        <v>1343</v>
      </c>
      <c r="BE57" s="258">
        <f t="shared" si="11"/>
        <v>1309</v>
      </c>
      <c r="BF57" s="258">
        <f t="shared" si="12"/>
        <v>1609</v>
      </c>
      <c r="BG57" s="258">
        <f t="shared" si="13"/>
        <v>1531</v>
      </c>
      <c r="BH57" s="258">
        <f t="shared" si="14"/>
        <v>1205</v>
      </c>
      <c r="BI57" s="258">
        <f t="shared" si="15"/>
        <v>947</v>
      </c>
      <c r="BJ57" s="258">
        <f t="shared" si="16"/>
        <v>880</v>
      </c>
      <c r="BK57" s="614">
        <f t="shared" si="9"/>
        <v>844</v>
      </c>
      <c r="BL57" s="354">
        <f t="shared" si="9"/>
        <v>0</v>
      </c>
    </row>
    <row r="58" spans="1:64" x14ac:dyDescent="0.2">
      <c r="A58" s="365" t="s">
        <v>673</v>
      </c>
      <c r="B58" s="257">
        <v>18</v>
      </c>
      <c r="C58" s="258">
        <v>17</v>
      </c>
      <c r="D58" s="258">
        <v>24</v>
      </c>
      <c r="E58" s="258">
        <v>35</v>
      </c>
      <c r="F58" s="258">
        <v>34</v>
      </c>
      <c r="G58" s="258">
        <v>20</v>
      </c>
      <c r="H58" s="258">
        <v>16</v>
      </c>
      <c r="I58" s="614">
        <v>20</v>
      </c>
      <c r="J58" s="354"/>
      <c r="K58" s="257">
        <v>35</v>
      </c>
      <c r="L58" s="258">
        <v>33</v>
      </c>
      <c r="M58" s="258">
        <v>50</v>
      </c>
      <c r="N58" s="258">
        <v>33</v>
      </c>
      <c r="O58" s="258">
        <v>45</v>
      </c>
      <c r="P58" s="258">
        <v>33</v>
      </c>
      <c r="Q58" s="258">
        <v>36</v>
      </c>
      <c r="R58" s="614">
        <v>24</v>
      </c>
      <c r="S58" s="354"/>
      <c r="T58" s="257">
        <v>62</v>
      </c>
      <c r="U58" s="258">
        <v>84</v>
      </c>
      <c r="V58" s="258">
        <v>66</v>
      </c>
      <c r="W58" s="258">
        <v>60</v>
      </c>
      <c r="X58" s="258">
        <v>76</v>
      </c>
      <c r="Y58" s="258">
        <v>68</v>
      </c>
      <c r="Z58" s="258">
        <v>75</v>
      </c>
      <c r="AA58" s="614">
        <v>48</v>
      </c>
      <c r="AB58" s="354"/>
      <c r="AC58" s="257">
        <v>815</v>
      </c>
      <c r="AD58" s="258">
        <v>626</v>
      </c>
      <c r="AE58" s="258">
        <v>538</v>
      </c>
      <c r="AF58" s="258">
        <v>558</v>
      </c>
      <c r="AG58" s="258">
        <v>364</v>
      </c>
      <c r="AH58" s="258">
        <v>377</v>
      </c>
      <c r="AI58" s="258">
        <v>433</v>
      </c>
      <c r="AJ58" s="614">
        <v>351</v>
      </c>
      <c r="AK58" s="354"/>
      <c r="AL58" s="257">
        <v>562</v>
      </c>
      <c r="AM58" s="258">
        <v>253</v>
      </c>
      <c r="AN58" s="258">
        <v>349</v>
      </c>
      <c r="AO58" s="258">
        <v>259</v>
      </c>
      <c r="AP58" s="258">
        <v>238</v>
      </c>
      <c r="AQ58" s="258">
        <v>170</v>
      </c>
      <c r="AR58" s="258">
        <v>176</v>
      </c>
      <c r="AS58" s="614">
        <v>130</v>
      </c>
      <c r="AT58" s="354"/>
      <c r="AU58" s="257"/>
      <c r="AV58" s="258"/>
      <c r="AW58" s="258"/>
      <c r="AX58" s="258"/>
      <c r="AY58" s="258"/>
      <c r="AZ58" s="258"/>
      <c r="BA58" s="258"/>
      <c r="BB58" s="614"/>
      <c r="BC58" s="354"/>
      <c r="BD58" s="257">
        <f t="shared" si="10"/>
        <v>1492</v>
      </c>
      <c r="BE58" s="258">
        <f t="shared" si="11"/>
        <v>1013</v>
      </c>
      <c r="BF58" s="258">
        <f t="shared" si="12"/>
        <v>1027</v>
      </c>
      <c r="BG58" s="258">
        <f t="shared" si="13"/>
        <v>945</v>
      </c>
      <c r="BH58" s="258">
        <f t="shared" si="14"/>
        <v>757</v>
      </c>
      <c r="BI58" s="258">
        <f t="shared" si="15"/>
        <v>668</v>
      </c>
      <c r="BJ58" s="258">
        <f t="shared" si="16"/>
        <v>736</v>
      </c>
      <c r="BK58" s="614">
        <f t="shared" si="9"/>
        <v>573</v>
      </c>
      <c r="BL58" s="354">
        <f t="shared" si="9"/>
        <v>0</v>
      </c>
    </row>
    <row r="59" spans="1:64" x14ac:dyDescent="0.2">
      <c r="A59" s="365" t="s">
        <v>668</v>
      </c>
      <c r="B59" s="257">
        <v>201</v>
      </c>
      <c r="C59" s="258">
        <v>193</v>
      </c>
      <c r="D59" s="258">
        <v>180</v>
      </c>
      <c r="E59" s="258">
        <v>144</v>
      </c>
      <c r="F59" s="258">
        <v>99</v>
      </c>
      <c r="G59" s="258">
        <v>112</v>
      </c>
      <c r="H59" s="258">
        <v>91</v>
      </c>
      <c r="I59" s="614">
        <v>112</v>
      </c>
      <c r="J59" s="354"/>
      <c r="K59" s="257">
        <v>268</v>
      </c>
      <c r="L59" s="258">
        <v>256</v>
      </c>
      <c r="M59" s="258">
        <v>303</v>
      </c>
      <c r="N59" s="258">
        <v>213</v>
      </c>
      <c r="O59" s="258">
        <v>242</v>
      </c>
      <c r="P59" s="258">
        <v>262</v>
      </c>
      <c r="Q59" s="258">
        <v>223</v>
      </c>
      <c r="R59" s="614">
        <v>248</v>
      </c>
      <c r="S59" s="354"/>
      <c r="T59" s="257">
        <v>414</v>
      </c>
      <c r="U59" s="258">
        <v>438</v>
      </c>
      <c r="V59" s="258">
        <v>542</v>
      </c>
      <c r="W59" s="258">
        <v>473</v>
      </c>
      <c r="X59" s="258">
        <v>462</v>
      </c>
      <c r="Y59" s="258">
        <v>548</v>
      </c>
      <c r="Z59" s="258">
        <v>500</v>
      </c>
      <c r="AA59" s="614">
        <v>517</v>
      </c>
      <c r="AB59" s="354"/>
      <c r="AC59" s="257">
        <v>3391</v>
      </c>
      <c r="AD59" s="258">
        <v>3420</v>
      </c>
      <c r="AE59" s="258">
        <v>3919</v>
      </c>
      <c r="AF59" s="258">
        <v>4073</v>
      </c>
      <c r="AG59" s="258">
        <v>3394</v>
      </c>
      <c r="AH59" s="258">
        <v>2949</v>
      </c>
      <c r="AI59" s="258">
        <v>2700</v>
      </c>
      <c r="AJ59" s="614">
        <v>2717</v>
      </c>
      <c r="AK59" s="354"/>
      <c r="AL59" s="257">
        <v>1297</v>
      </c>
      <c r="AM59" s="258">
        <v>1696</v>
      </c>
      <c r="AN59" s="258">
        <v>2076</v>
      </c>
      <c r="AO59" s="258">
        <v>1898</v>
      </c>
      <c r="AP59" s="258">
        <v>1675</v>
      </c>
      <c r="AQ59" s="258">
        <v>1256</v>
      </c>
      <c r="AR59" s="258">
        <v>1050</v>
      </c>
      <c r="AS59" s="614">
        <v>987</v>
      </c>
      <c r="AT59" s="354"/>
      <c r="AU59" s="257"/>
      <c r="AV59" s="258"/>
      <c r="AW59" s="258"/>
      <c r="AX59" s="258"/>
      <c r="AY59" s="258">
        <v>2</v>
      </c>
      <c r="AZ59" s="258"/>
      <c r="BA59" s="258"/>
      <c r="BB59" s="614"/>
      <c r="BC59" s="354"/>
      <c r="BD59" s="257">
        <f t="shared" si="10"/>
        <v>5571</v>
      </c>
      <c r="BE59" s="258">
        <f t="shared" si="11"/>
        <v>6003</v>
      </c>
      <c r="BF59" s="258">
        <f t="shared" si="12"/>
        <v>7020</v>
      </c>
      <c r="BG59" s="258">
        <f t="shared" si="13"/>
        <v>6801</v>
      </c>
      <c r="BH59" s="258">
        <f t="shared" si="14"/>
        <v>5874</v>
      </c>
      <c r="BI59" s="258">
        <f t="shared" si="15"/>
        <v>5127</v>
      </c>
      <c r="BJ59" s="258">
        <f t="shared" si="16"/>
        <v>4564</v>
      </c>
      <c r="BK59" s="614">
        <f t="shared" si="9"/>
        <v>4581</v>
      </c>
      <c r="BL59" s="354">
        <f t="shared" si="9"/>
        <v>0</v>
      </c>
    </row>
    <row r="60" spans="1:64" x14ac:dyDescent="0.2">
      <c r="A60" s="365" t="s">
        <v>674</v>
      </c>
      <c r="B60" s="257">
        <v>47</v>
      </c>
      <c r="C60" s="258">
        <v>48</v>
      </c>
      <c r="D60" s="258">
        <v>42</v>
      </c>
      <c r="E60" s="258">
        <v>85</v>
      </c>
      <c r="F60" s="258">
        <v>70</v>
      </c>
      <c r="G60" s="258">
        <v>50</v>
      </c>
      <c r="H60" s="258">
        <v>52</v>
      </c>
      <c r="I60" s="614">
        <v>44</v>
      </c>
      <c r="J60" s="354"/>
      <c r="K60" s="257">
        <v>74</v>
      </c>
      <c r="L60" s="258">
        <v>85</v>
      </c>
      <c r="M60" s="258">
        <v>72</v>
      </c>
      <c r="N60" s="258">
        <v>157</v>
      </c>
      <c r="O60" s="258">
        <v>99</v>
      </c>
      <c r="P60" s="258">
        <v>105</v>
      </c>
      <c r="Q60" s="258">
        <v>110</v>
      </c>
      <c r="R60" s="614">
        <v>93</v>
      </c>
      <c r="S60" s="354"/>
      <c r="T60" s="257">
        <v>123</v>
      </c>
      <c r="U60" s="258">
        <v>113</v>
      </c>
      <c r="V60" s="258">
        <v>155</v>
      </c>
      <c r="W60" s="258">
        <v>202</v>
      </c>
      <c r="X60" s="258">
        <v>177</v>
      </c>
      <c r="Y60" s="258">
        <v>200</v>
      </c>
      <c r="Z60" s="258">
        <v>188</v>
      </c>
      <c r="AA60" s="614">
        <v>231</v>
      </c>
      <c r="AB60" s="354"/>
      <c r="AC60" s="257">
        <v>908</v>
      </c>
      <c r="AD60" s="258">
        <v>830</v>
      </c>
      <c r="AE60" s="258">
        <v>1049</v>
      </c>
      <c r="AF60" s="258">
        <v>1364</v>
      </c>
      <c r="AG60" s="258">
        <v>992</v>
      </c>
      <c r="AH60" s="258">
        <v>874</v>
      </c>
      <c r="AI60" s="258">
        <v>913</v>
      </c>
      <c r="AJ60" s="614">
        <v>1152</v>
      </c>
      <c r="AK60" s="354"/>
      <c r="AL60" s="257">
        <v>328</v>
      </c>
      <c r="AM60" s="258">
        <v>341</v>
      </c>
      <c r="AN60" s="258">
        <v>417</v>
      </c>
      <c r="AO60" s="258">
        <v>462</v>
      </c>
      <c r="AP60" s="258">
        <v>348</v>
      </c>
      <c r="AQ60" s="258">
        <v>313</v>
      </c>
      <c r="AR60" s="258">
        <v>302</v>
      </c>
      <c r="AS60" s="614">
        <v>331</v>
      </c>
      <c r="AT60" s="354"/>
      <c r="AU60" s="257"/>
      <c r="AV60" s="258"/>
      <c r="AW60" s="258"/>
      <c r="AX60" s="258"/>
      <c r="AY60" s="258"/>
      <c r="AZ60" s="258"/>
      <c r="BA60" s="258"/>
      <c r="BB60" s="614"/>
      <c r="BC60" s="354"/>
      <c r="BD60" s="257">
        <f t="shared" si="10"/>
        <v>1480</v>
      </c>
      <c r="BE60" s="258">
        <f t="shared" si="11"/>
        <v>1417</v>
      </c>
      <c r="BF60" s="258">
        <f t="shared" si="12"/>
        <v>1735</v>
      </c>
      <c r="BG60" s="258">
        <f t="shared" si="13"/>
        <v>2270</v>
      </c>
      <c r="BH60" s="258">
        <f t="shared" si="14"/>
        <v>1686</v>
      </c>
      <c r="BI60" s="258">
        <f t="shared" si="15"/>
        <v>1542</v>
      </c>
      <c r="BJ60" s="258">
        <f t="shared" si="16"/>
        <v>1565</v>
      </c>
      <c r="BK60" s="614">
        <f t="shared" si="9"/>
        <v>1851</v>
      </c>
      <c r="BL60" s="354">
        <f t="shared" si="9"/>
        <v>0</v>
      </c>
    </row>
    <row r="61" spans="1:64" x14ac:dyDescent="0.2">
      <c r="A61" s="365" t="s">
        <v>677</v>
      </c>
      <c r="B61" s="257">
        <v>16</v>
      </c>
      <c r="C61" s="258">
        <v>13</v>
      </c>
      <c r="D61" s="258">
        <v>24</v>
      </c>
      <c r="E61" s="258">
        <v>10</v>
      </c>
      <c r="F61" s="258">
        <v>2</v>
      </c>
      <c r="G61" s="258">
        <v>2</v>
      </c>
      <c r="H61" s="258">
        <v>4</v>
      </c>
      <c r="I61" s="614">
        <v>8</v>
      </c>
      <c r="J61" s="354"/>
      <c r="K61" s="257">
        <v>16</v>
      </c>
      <c r="L61" s="258">
        <v>19</v>
      </c>
      <c r="M61" s="258">
        <v>37</v>
      </c>
      <c r="N61" s="258">
        <v>16</v>
      </c>
      <c r="O61" s="258">
        <v>21</v>
      </c>
      <c r="P61" s="258">
        <v>15</v>
      </c>
      <c r="Q61" s="258">
        <v>14</v>
      </c>
      <c r="R61" s="614">
        <v>9</v>
      </c>
      <c r="S61" s="354"/>
      <c r="T61" s="257">
        <v>37</v>
      </c>
      <c r="U61" s="258">
        <v>39</v>
      </c>
      <c r="V61" s="258">
        <v>46</v>
      </c>
      <c r="W61" s="258">
        <v>38</v>
      </c>
      <c r="X61" s="258">
        <v>43</v>
      </c>
      <c r="Y61" s="258">
        <v>37</v>
      </c>
      <c r="Z61" s="258">
        <v>37</v>
      </c>
      <c r="AA61" s="614">
        <v>27</v>
      </c>
      <c r="AB61" s="354"/>
      <c r="AC61" s="257">
        <v>238</v>
      </c>
      <c r="AD61" s="258">
        <v>287</v>
      </c>
      <c r="AE61" s="258">
        <v>287</v>
      </c>
      <c r="AF61" s="258">
        <v>217</v>
      </c>
      <c r="AG61" s="258">
        <v>167</v>
      </c>
      <c r="AH61" s="258">
        <v>157</v>
      </c>
      <c r="AI61" s="258">
        <v>169</v>
      </c>
      <c r="AJ61" s="614">
        <v>147</v>
      </c>
      <c r="AK61" s="354"/>
      <c r="AL61" s="257">
        <v>68</v>
      </c>
      <c r="AM61" s="258">
        <v>93</v>
      </c>
      <c r="AN61" s="258">
        <v>101</v>
      </c>
      <c r="AO61" s="258">
        <v>72</v>
      </c>
      <c r="AP61" s="258">
        <v>52</v>
      </c>
      <c r="AQ61" s="258">
        <v>45</v>
      </c>
      <c r="AR61" s="258">
        <v>42</v>
      </c>
      <c r="AS61" s="614">
        <v>42</v>
      </c>
      <c r="AT61" s="354"/>
      <c r="AU61" s="257"/>
      <c r="AV61" s="258"/>
      <c r="AW61" s="258"/>
      <c r="AX61" s="258"/>
      <c r="AY61" s="258"/>
      <c r="AZ61" s="258"/>
      <c r="BA61" s="258"/>
      <c r="BB61" s="614"/>
      <c r="BC61" s="354"/>
      <c r="BD61" s="257">
        <f t="shared" si="10"/>
        <v>375</v>
      </c>
      <c r="BE61" s="258">
        <f t="shared" si="11"/>
        <v>451</v>
      </c>
      <c r="BF61" s="258">
        <f t="shared" si="12"/>
        <v>495</v>
      </c>
      <c r="BG61" s="258">
        <f t="shared" si="13"/>
        <v>353</v>
      </c>
      <c r="BH61" s="258">
        <f t="shared" si="14"/>
        <v>285</v>
      </c>
      <c r="BI61" s="258">
        <f t="shared" si="15"/>
        <v>256</v>
      </c>
      <c r="BJ61" s="258">
        <f t="shared" si="16"/>
        <v>266</v>
      </c>
      <c r="BK61" s="614">
        <f t="shared" si="9"/>
        <v>233</v>
      </c>
      <c r="BL61" s="354">
        <f t="shared" si="9"/>
        <v>0</v>
      </c>
    </row>
    <row r="62" spans="1:64" x14ac:dyDescent="0.2">
      <c r="A62" s="365" t="s">
        <v>675</v>
      </c>
      <c r="B62" s="257">
        <v>17</v>
      </c>
      <c r="C62" s="258">
        <v>34</v>
      </c>
      <c r="D62" s="258">
        <v>53</v>
      </c>
      <c r="E62" s="258">
        <v>29</v>
      </c>
      <c r="F62" s="258">
        <v>22</v>
      </c>
      <c r="G62" s="258">
        <v>15</v>
      </c>
      <c r="H62" s="258">
        <v>16</v>
      </c>
      <c r="I62" s="614">
        <v>11</v>
      </c>
      <c r="J62" s="354"/>
      <c r="K62" s="257">
        <v>50</v>
      </c>
      <c r="L62" s="258">
        <v>49</v>
      </c>
      <c r="M62" s="258">
        <v>37</v>
      </c>
      <c r="N62" s="258">
        <v>32</v>
      </c>
      <c r="O62" s="258">
        <v>41</v>
      </c>
      <c r="P62" s="258">
        <v>24</v>
      </c>
      <c r="Q62" s="258">
        <v>37</v>
      </c>
      <c r="R62" s="614">
        <v>15</v>
      </c>
      <c r="S62" s="354"/>
      <c r="T62" s="257">
        <v>60</v>
      </c>
      <c r="U62" s="258">
        <v>65</v>
      </c>
      <c r="V62" s="258">
        <v>58</v>
      </c>
      <c r="W62" s="258">
        <v>45</v>
      </c>
      <c r="X62" s="258">
        <v>74</v>
      </c>
      <c r="Y62" s="258">
        <v>44</v>
      </c>
      <c r="Z62" s="258">
        <v>70</v>
      </c>
      <c r="AA62" s="614">
        <v>57</v>
      </c>
      <c r="AB62" s="354"/>
      <c r="AC62" s="257">
        <v>395</v>
      </c>
      <c r="AD62" s="258">
        <v>475</v>
      </c>
      <c r="AE62" s="258">
        <v>493</v>
      </c>
      <c r="AF62" s="258">
        <v>376</v>
      </c>
      <c r="AG62" s="258">
        <v>429</v>
      </c>
      <c r="AH62" s="258">
        <v>284</v>
      </c>
      <c r="AI62" s="258">
        <v>281</v>
      </c>
      <c r="AJ62" s="614">
        <v>325</v>
      </c>
      <c r="AK62" s="354"/>
      <c r="AL62" s="257">
        <v>113</v>
      </c>
      <c r="AM62" s="258">
        <v>137</v>
      </c>
      <c r="AN62" s="258">
        <v>166</v>
      </c>
      <c r="AO62" s="258">
        <v>139</v>
      </c>
      <c r="AP62" s="258">
        <v>146</v>
      </c>
      <c r="AQ62" s="258">
        <v>51</v>
      </c>
      <c r="AR62" s="258">
        <v>79</v>
      </c>
      <c r="AS62" s="614">
        <v>56</v>
      </c>
      <c r="AT62" s="354"/>
      <c r="AU62" s="257"/>
      <c r="AV62" s="258"/>
      <c r="AW62" s="258"/>
      <c r="AX62" s="258"/>
      <c r="AY62" s="258"/>
      <c r="AZ62" s="258"/>
      <c r="BA62" s="258"/>
      <c r="BB62" s="614"/>
      <c r="BC62" s="354"/>
      <c r="BD62" s="257">
        <f t="shared" si="10"/>
        <v>635</v>
      </c>
      <c r="BE62" s="258">
        <f t="shared" si="11"/>
        <v>760</v>
      </c>
      <c r="BF62" s="258">
        <f t="shared" si="12"/>
        <v>807</v>
      </c>
      <c r="BG62" s="258">
        <f t="shared" si="13"/>
        <v>621</v>
      </c>
      <c r="BH62" s="258">
        <f t="shared" si="14"/>
        <v>712</v>
      </c>
      <c r="BI62" s="258">
        <f t="shared" si="15"/>
        <v>418</v>
      </c>
      <c r="BJ62" s="258">
        <f t="shared" si="16"/>
        <v>483</v>
      </c>
      <c r="BK62" s="614">
        <f t="shared" si="9"/>
        <v>464</v>
      </c>
      <c r="BL62" s="354">
        <f t="shared" si="9"/>
        <v>0</v>
      </c>
    </row>
    <row r="63" spans="1:64" x14ac:dyDescent="0.2">
      <c r="A63" s="365" t="s">
        <v>676</v>
      </c>
      <c r="B63" s="257">
        <v>43</v>
      </c>
      <c r="C63" s="258">
        <v>39</v>
      </c>
      <c r="D63" s="258">
        <v>50</v>
      </c>
      <c r="E63" s="258">
        <v>31</v>
      </c>
      <c r="F63" s="258">
        <v>29</v>
      </c>
      <c r="G63" s="258">
        <v>38</v>
      </c>
      <c r="H63" s="258">
        <v>18</v>
      </c>
      <c r="I63" s="614">
        <v>16</v>
      </c>
      <c r="J63" s="354"/>
      <c r="K63" s="257">
        <v>72</v>
      </c>
      <c r="L63" s="258">
        <v>67</v>
      </c>
      <c r="M63" s="258">
        <v>69</v>
      </c>
      <c r="N63" s="258">
        <v>46</v>
      </c>
      <c r="O63" s="258">
        <v>36</v>
      </c>
      <c r="P63" s="258">
        <v>40</v>
      </c>
      <c r="Q63" s="258">
        <v>61</v>
      </c>
      <c r="R63" s="614">
        <v>44</v>
      </c>
      <c r="S63" s="354"/>
      <c r="T63" s="257">
        <v>87</v>
      </c>
      <c r="U63" s="258">
        <v>92</v>
      </c>
      <c r="V63" s="258">
        <v>104</v>
      </c>
      <c r="W63" s="258">
        <v>102</v>
      </c>
      <c r="X63" s="258">
        <v>100</v>
      </c>
      <c r="Y63" s="258">
        <v>92</v>
      </c>
      <c r="Z63" s="258">
        <v>86</v>
      </c>
      <c r="AA63" s="614">
        <v>95</v>
      </c>
      <c r="AB63" s="354"/>
      <c r="AC63" s="257">
        <v>517</v>
      </c>
      <c r="AD63" s="258">
        <v>574</v>
      </c>
      <c r="AE63" s="258">
        <v>537</v>
      </c>
      <c r="AF63" s="258">
        <v>447</v>
      </c>
      <c r="AG63" s="258">
        <v>451</v>
      </c>
      <c r="AH63" s="258">
        <v>502</v>
      </c>
      <c r="AI63" s="258">
        <v>395</v>
      </c>
      <c r="AJ63" s="614">
        <v>357</v>
      </c>
      <c r="AK63" s="354"/>
      <c r="AL63" s="257">
        <v>149</v>
      </c>
      <c r="AM63" s="258">
        <v>190</v>
      </c>
      <c r="AN63" s="258">
        <v>177</v>
      </c>
      <c r="AO63" s="258">
        <v>177</v>
      </c>
      <c r="AP63" s="258">
        <v>97</v>
      </c>
      <c r="AQ63" s="258">
        <v>98</v>
      </c>
      <c r="AR63" s="258">
        <v>103</v>
      </c>
      <c r="AS63" s="614">
        <v>98</v>
      </c>
      <c r="AT63" s="354"/>
      <c r="AU63" s="257"/>
      <c r="AV63" s="258"/>
      <c r="AW63" s="258"/>
      <c r="AX63" s="258"/>
      <c r="AY63" s="258"/>
      <c r="AZ63" s="258"/>
      <c r="BA63" s="258"/>
      <c r="BB63" s="614"/>
      <c r="BC63" s="354"/>
      <c r="BD63" s="257">
        <f t="shared" si="10"/>
        <v>868</v>
      </c>
      <c r="BE63" s="258">
        <f t="shared" si="11"/>
        <v>962</v>
      </c>
      <c r="BF63" s="258">
        <f t="shared" si="12"/>
        <v>937</v>
      </c>
      <c r="BG63" s="258">
        <f t="shared" si="13"/>
        <v>803</v>
      </c>
      <c r="BH63" s="258">
        <f t="shared" si="14"/>
        <v>713</v>
      </c>
      <c r="BI63" s="258">
        <f t="shared" si="15"/>
        <v>770</v>
      </c>
      <c r="BJ63" s="258">
        <f t="shared" si="16"/>
        <v>663</v>
      </c>
      <c r="BK63" s="614">
        <f t="shared" si="9"/>
        <v>610</v>
      </c>
      <c r="BL63" s="354">
        <f t="shared" si="9"/>
        <v>0</v>
      </c>
    </row>
    <row r="64" spans="1:64" ht="13.5" thickBot="1" x14ac:dyDescent="0.25">
      <c r="A64" s="366" t="s">
        <v>672</v>
      </c>
      <c r="B64" s="361">
        <v>29</v>
      </c>
      <c r="C64" s="362">
        <v>32</v>
      </c>
      <c r="D64" s="362">
        <v>26</v>
      </c>
      <c r="E64" s="362">
        <v>20</v>
      </c>
      <c r="F64" s="362">
        <v>34</v>
      </c>
      <c r="G64" s="362">
        <v>20</v>
      </c>
      <c r="H64" s="362">
        <v>43</v>
      </c>
      <c r="I64" s="615">
        <v>31</v>
      </c>
      <c r="J64" s="363"/>
      <c r="K64" s="361">
        <v>35</v>
      </c>
      <c r="L64" s="362">
        <v>16</v>
      </c>
      <c r="M64" s="362">
        <v>27</v>
      </c>
      <c r="N64" s="362">
        <v>42</v>
      </c>
      <c r="O64" s="362">
        <v>39</v>
      </c>
      <c r="P64" s="362">
        <v>24</v>
      </c>
      <c r="Q64" s="362">
        <v>43</v>
      </c>
      <c r="R64" s="615">
        <v>51</v>
      </c>
      <c r="S64" s="363"/>
      <c r="T64" s="361">
        <v>58</v>
      </c>
      <c r="U64" s="362">
        <v>66</v>
      </c>
      <c r="V64" s="362">
        <v>75</v>
      </c>
      <c r="W64" s="362">
        <v>85</v>
      </c>
      <c r="X64" s="362">
        <v>85</v>
      </c>
      <c r="Y64" s="362">
        <v>102</v>
      </c>
      <c r="Z64" s="362">
        <v>95</v>
      </c>
      <c r="AA64" s="615">
        <v>125</v>
      </c>
      <c r="AB64" s="363"/>
      <c r="AC64" s="361">
        <v>457</v>
      </c>
      <c r="AD64" s="362">
        <v>376</v>
      </c>
      <c r="AE64" s="362">
        <v>475</v>
      </c>
      <c r="AF64" s="362">
        <v>594</v>
      </c>
      <c r="AG64" s="362">
        <v>487</v>
      </c>
      <c r="AH64" s="362">
        <v>508</v>
      </c>
      <c r="AI64" s="362">
        <v>489</v>
      </c>
      <c r="AJ64" s="615">
        <v>662</v>
      </c>
      <c r="AK64" s="363"/>
      <c r="AL64" s="361">
        <v>141</v>
      </c>
      <c r="AM64" s="362">
        <v>120</v>
      </c>
      <c r="AN64" s="362">
        <v>172</v>
      </c>
      <c r="AO64" s="362">
        <v>200</v>
      </c>
      <c r="AP64" s="362">
        <v>208</v>
      </c>
      <c r="AQ64" s="362">
        <v>135</v>
      </c>
      <c r="AR64" s="362">
        <v>115</v>
      </c>
      <c r="AS64" s="615">
        <v>118</v>
      </c>
      <c r="AT64" s="363"/>
      <c r="AU64" s="361"/>
      <c r="AV64" s="362"/>
      <c r="AW64" s="362"/>
      <c r="AX64" s="362"/>
      <c r="AY64" s="362"/>
      <c r="AZ64" s="362"/>
      <c r="BA64" s="362"/>
      <c r="BB64" s="615"/>
      <c r="BC64" s="363"/>
      <c r="BD64" s="361">
        <f t="shared" si="10"/>
        <v>720</v>
      </c>
      <c r="BE64" s="362">
        <f t="shared" si="11"/>
        <v>610</v>
      </c>
      <c r="BF64" s="362">
        <f t="shared" si="12"/>
        <v>775</v>
      </c>
      <c r="BG64" s="362">
        <f t="shared" si="13"/>
        <v>941</v>
      </c>
      <c r="BH64" s="362">
        <f t="shared" si="14"/>
        <v>853</v>
      </c>
      <c r="BI64" s="362">
        <f t="shared" si="15"/>
        <v>789</v>
      </c>
      <c r="BJ64" s="362">
        <f t="shared" si="16"/>
        <v>785</v>
      </c>
      <c r="BK64" s="615">
        <f t="shared" si="9"/>
        <v>987</v>
      </c>
      <c r="BL64" s="363">
        <f t="shared" si="9"/>
        <v>0</v>
      </c>
    </row>
    <row r="65" spans="1:64" s="259" customFormat="1" x14ac:dyDescent="0.2">
      <c r="A65" s="364" t="s">
        <v>781</v>
      </c>
      <c r="B65" s="781">
        <v>172</v>
      </c>
      <c r="C65" s="782">
        <v>329</v>
      </c>
      <c r="D65" s="782">
        <v>306</v>
      </c>
      <c r="E65" s="782">
        <v>236</v>
      </c>
      <c r="F65" s="782">
        <v>142</v>
      </c>
      <c r="G65" s="782">
        <v>121</v>
      </c>
      <c r="H65" s="782">
        <v>99</v>
      </c>
      <c r="I65" s="783">
        <v>103</v>
      </c>
      <c r="J65" s="784"/>
      <c r="K65" s="781">
        <v>436</v>
      </c>
      <c r="L65" s="782">
        <v>580</v>
      </c>
      <c r="M65" s="782">
        <v>424</v>
      </c>
      <c r="N65" s="782">
        <v>434</v>
      </c>
      <c r="O65" s="782">
        <v>289</v>
      </c>
      <c r="P65" s="782">
        <v>239</v>
      </c>
      <c r="Q65" s="782">
        <v>222</v>
      </c>
      <c r="R65" s="783">
        <v>244</v>
      </c>
      <c r="S65" s="784"/>
      <c r="T65" s="781">
        <v>1131</v>
      </c>
      <c r="U65" s="782">
        <v>1325</v>
      </c>
      <c r="V65" s="782">
        <v>1279</v>
      </c>
      <c r="W65" s="782">
        <v>1013</v>
      </c>
      <c r="X65" s="782">
        <v>887</v>
      </c>
      <c r="Y65" s="782">
        <v>733</v>
      </c>
      <c r="Z65" s="782">
        <v>697</v>
      </c>
      <c r="AA65" s="783">
        <v>650</v>
      </c>
      <c r="AB65" s="784"/>
      <c r="AC65" s="781">
        <v>6242</v>
      </c>
      <c r="AD65" s="782">
        <v>7938</v>
      </c>
      <c r="AE65" s="782">
        <v>6007</v>
      </c>
      <c r="AF65" s="782">
        <v>4863</v>
      </c>
      <c r="AG65" s="782">
        <v>4288</v>
      </c>
      <c r="AH65" s="782">
        <v>3825</v>
      </c>
      <c r="AI65" s="782">
        <v>3278</v>
      </c>
      <c r="AJ65" s="783">
        <v>3093</v>
      </c>
      <c r="AK65" s="784"/>
      <c r="AL65" s="781">
        <v>1677</v>
      </c>
      <c r="AM65" s="782">
        <v>1915</v>
      </c>
      <c r="AN65" s="782">
        <v>2220</v>
      </c>
      <c r="AO65" s="782">
        <v>1517</v>
      </c>
      <c r="AP65" s="782">
        <v>1245</v>
      </c>
      <c r="AQ65" s="782">
        <v>1202</v>
      </c>
      <c r="AR65" s="782">
        <v>1004</v>
      </c>
      <c r="AS65" s="783">
        <v>952</v>
      </c>
      <c r="AT65" s="784"/>
      <c r="AU65" s="781"/>
      <c r="AV65" s="782"/>
      <c r="AW65" s="782"/>
      <c r="AX65" s="782"/>
      <c r="AY65" s="782"/>
      <c r="AZ65" s="782"/>
      <c r="BA65" s="782"/>
      <c r="BB65" s="783"/>
      <c r="BC65" s="784"/>
      <c r="BD65" s="781">
        <f t="shared" si="10"/>
        <v>9658</v>
      </c>
      <c r="BE65" s="782">
        <f t="shared" si="11"/>
        <v>12087</v>
      </c>
      <c r="BF65" s="782">
        <f t="shared" si="12"/>
        <v>10236</v>
      </c>
      <c r="BG65" s="782">
        <f t="shared" si="13"/>
        <v>8063</v>
      </c>
      <c r="BH65" s="782">
        <f t="shared" si="14"/>
        <v>6851</v>
      </c>
      <c r="BI65" s="782">
        <f t="shared" si="15"/>
        <v>6120</v>
      </c>
      <c r="BJ65" s="782">
        <f t="shared" si="16"/>
        <v>5300</v>
      </c>
      <c r="BK65" s="783">
        <f t="shared" si="9"/>
        <v>5042</v>
      </c>
      <c r="BL65" s="784">
        <f t="shared" si="9"/>
        <v>0</v>
      </c>
    </row>
    <row r="66" spans="1:64" x14ac:dyDescent="0.2">
      <c r="A66" s="365" t="s">
        <v>813</v>
      </c>
      <c r="B66" s="257">
        <v>6</v>
      </c>
      <c r="C66" s="258">
        <v>5</v>
      </c>
      <c r="D66" s="258">
        <v>19</v>
      </c>
      <c r="E66" s="258">
        <v>20</v>
      </c>
      <c r="F66" s="258">
        <v>9</v>
      </c>
      <c r="G66" s="258">
        <v>14</v>
      </c>
      <c r="H66" s="258">
        <v>9</v>
      </c>
      <c r="I66" s="614">
        <v>17</v>
      </c>
      <c r="J66" s="354"/>
      <c r="K66" s="257">
        <v>7</v>
      </c>
      <c r="L66" s="258">
        <v>35</v>
      </c>
      <c r="M66" s="258">
        <v>38</v>
      </c>
      <c r="N66" s="258">
        <v>24</v>
      </c>
      <c r="O66" s="258">
        <v>3</v>
      </c>
      <c r="P66" s="258">
        <v>8</v>
      </c>
      <c r="Q66" s="258">
        <v>11</v>
      </c>
      <c r="R66" s="614">
        <v>4</v>
      </c>
      <c r="S66" s="354"/>
      <c r="T66" s="257">
        <v>14</v>
      </c>
      <c r="U66" s="258">
        <v>31</v>
      </c>
      <c r="V66" s="258">
        <v>82</v>
      </c>
      <c r="W66" s="258">
        <v>43</v>
      </c>
      <c r="X66" s="258">
        <v>9</v>
      </c>
      <c r="Y66" s="258">
        <v>14</v>
      </c>
      <c r="Z66" s="258">
        <v>12</v>
      </c>
      <c r="AA66" s="614">
        <v>9</v>
      </c>
      <c r="AB66" s="354"/>
      <c r="AC66" s="257">
        <v>76</v>
      </c>
      <c r="AD66" s="258">
        <v>93</v>
      </c>
      <c r="AE66" s="258">
        <v>475</v>
      </c>
      <c r="AF66" s="258">
        <v>197</v>
      </c>
      <c r="AG66" s="258">
        <v>62</v>
      </c>
      <c r="AH66" s="258">
        <v>184</v>
      </c>
      <c r="AI66" s="258">
        <v>51</v>
      </c>
      <c r="AJ66" s="614">
        <v>150</v>
      </c>
      <c r="AK66" s="354"/>
      <c r="AL66" s="257">
        <v>16</v>
      </c>
      <c r="AM66" s="258">
        <v>27</v>
      </c>
      <c r="AN66" s="258">
        <v>520</v>
      </c>
      <c r="AO66" s="258">
        <v>39</v>
      </c>
      <c r="AP66" s="258">
        <v>10</v>
      </c>
      <c r="AQ66" s="258">
        <v>27</v>
      </c>
      <c r="AR66" s="258">
        <v>17</v>
      </c>
      <c r="AS66" s="614">
        <v>36</v>
      </c>
      <c r="AT66" s="354"/>
      <c r="AU66" s="257"/>
      <c r="AV66" s="258"/>
      <c r="AW66" s="258"/>
      <c r="AX66" s="258"/>
      <c r="AY66" s="258"/>
      <c r="AZ66" s="258"/>
      <c r="BA66" s="258"/>
      <c r="BB66" s="614"/>
      <c r="BC66" s="354"/>
      <c r="BD66" s="257">
        <f t="shared" si="10"/>
        <v>119</v>
      </c>
      <c r="BE66" s="258">
        <f t="shared" si="11"/>
        <v>191</v>
      </c>
      <c r="BF66" s="258">
        <f t="shared" si="12"/>
        <v>1134</v>
      </c>
      <c r="BG66" s="258">
        <f t="shared" si="13"/>
        <v>323</v>
      </c>
      <c r="BH66" s="258">
        <f t="shared" si="14"/>
        <v>93</v>
      </c>
      <c r="BI66" s="258">
        <f t="shared" si="15"/>
        <v>247</v>
      </c>
      <c r="BJ66" s="258">
        <f t="shared" si="16"/>
        <v>100</v>
      </c>
      <c r="BK66" s="614">
        <f t="shared" si="9"/>
        <v>216</v>
      </c>
      <c r="BL66" s="354">
        <f t="shared" si="9"/>
        <v>0</v>
      </c>
    </row>
    <row r="67" spans="1:64" x14ac:dyDescent="0.2">
      <c r="A67" s="365" t="s">
        <v>679</v>
      </c>
      <c r="B67" s="257">
        <v>24</v>
      </c>
      <c r="C67" s="258">
        <v>21</v>
      </c>
      <c r="D67" s="258">
        <v>23</v>
      </c>
      <c r="E67" s="258">
        <v>10</v>
      </c>
      <c r="F67" s="258">
        <v>7</v>
      </c>
      <c r="G67" s="258">
        <v>3</v>
      </c>
      <c r="H67" s="258">
        <v>7</v>
      </c>
      <c r="I67" s="614">
        <v>4</v>
      </c>
      <c r="J67" s="354"/>
      <c r="K67" s="257">
        <v>62</v>
      </c>
      <c r="L67" s="258">
        <v>36</v>
      </c>
      <c r="M67" s="258">
        <v>26</v>
      </c>
      <c r="N67" s="258">
        <v>17</v>
      </c>
      <c r="O67" s="258">
        <v>22</v>
      </c>
      <c r="P67" s="258">
        <v>12</v>
      </c>
      <c r="Q67" s="258">
        <v>8</v>
      </c>
      <c r="R67" s="614">
        <v>15</v>
      </c>
      <c r="S67" s="354"/>
      <c r="T67" s="257">
        <v>39</v>
      </c>
      <c r="U67" s="258">
        <v>53</v>
      </c>
      <c r="V67" s="258">
        <v>42</v>
      </c>
      <c r="W67" s="258">
        <v>46</v>
      </c>
      <c r="X67" s="258">
        <v>50</v>
      </c>
      <c r="Y67" s="258">
        <v>24</v>
      </c>
      <c r="Z67" s="258">
        <v>25</v>
      </c>
      <c r="AA67" s="614">
        <v>21</v>
      </c>
      <c r="AB67" s="354"/>
      <c r="AC67" s="257">
        <v>339</v>
      </c>
      <c r="AD67" s="258">
        <v>376</v>
      </c>
      <c r="AE67" s="258">
        <v>335</v>
      </c>
      <c r="AF67" s="258">
        <v>251</v>
      </c>
      <c r="AG67" s="258">
        <v>288</v>
      </c>
      <c r="AH67" s="258">
        <v>144</v>
      </c>
      <c r="AI67" s="258">
        <v>133</v>
      </c>
      <c r="AJ67" s="614">
        <v>105</v>
      </c>
      <c r="AK67" s="354"/>
      <c r="AL67" s="257">
        <v>79</v>
      </c>
      <c r="AM67" s="258">
        <v>111</v>
      </c>
      <c r="AN67" s="258">
        <v>135</v>
      </c>
      <c r="AO67" s="258">
        <v>127</v>
      </c>
      <c r="AP67" s="258">
        <v>79</v>
      </c>
      <c r="AQ67" s="258">
        <v>59</v>
      </c>
      <c r="AR67" s="258">
        <v>61</v>
      </c>
      <c r="AS67" s="614">
        <v>51</v>
      </c>
      <c r="AT67" s="354"/>
      <c r="AU67" s="257"/>
      <c r="AV67" s="258"/>
      <c r="AW67" s="258"/>
      <c r="AX67" s="258"/>
      <c r="AY67" s="258"/>
      <c r="AZ67" s="258"/>
      <c r="BA67" s="258"/>
      <c r="BB67" s="614"/>
      <c r="BC67" s="354"/>
      <c r="BD67" s="257">
        <f t="shared" si="10"/>
        <v>543</v>
      </c>
      <c r="BE67" s="258">
        <f t="shared" si="11"/>
        <v>597</v>
      </c>
      <c r="BF67" s="258">
        <f t="shared" si="12"/>
        <v>561</v>
      </c>
      <c r="BG67" s="258">
        <f t="shared" si="13"/>
        <v>451</v>
      </c>
      <c r="BH67" s="258">
        <f t="shared" si="14"/>
        <v>446</v>
      </c>
      <c r="BI67" s="258">
        <f t="shared" si="15"/>
        <v>242</v>
      </c>
      <c r="BJ67" s="258">
        <f t="shared" si="16"/>
        <v>234</v>
      </c>
      <c r="BK67" s="614">
        <f t="shared" si="9"/>
        <v>196</v>
      </c>
      <c r="BL67" s="354">
        <f t="shared" si="9"/>
        <v>0</v>
      </c>
    </row>
    <row r="68" spans="1:64" x14ac:dyDescent="0.2">
      <c r="A68" s="365" t="s">
        <v>680</v>
      </c>
      <c r="B68" s="257">
        <v>32</v>
      </c>
      <c r="C68" s="258">
        <v>53</v>
      </c>
      <c r="D68" s="258">
        <v>24</v>
      </c>
      <c r="E68" s="258">
        <v>23</v>
      </c>
      <c r="F68" s="258">
        <v>30</v>
      </c>
      <c r="G68" s="258">
        <v>10</v>
      </c>
      <c r="H68" s="258">
        <v>25</v>
      </c>
      <c r="I68" s="614">
        <v>14</v>
      </c>
      <c r="J68" s="354"/>
      <c r="K68" s="257">
        <v>72</v>
      </c>
      <c r="L68" s="258">
        <v>67</v>
      </c>
      <c r="M68" s="258">
        <v>48</v>
      </c>
      <c r="N68" s="258">
        <v>51</v>
      </c>
      <c r="O68" s="258">
        <v>33</v>
      </c>
      <c r="P68" s="258">
        <v>25</v>
      </c>
      <c r="Q68" s="258">
        <v>22</v>
      </c>
      <c r="R68" s="614">
        <v>39</v>
      </c>
      <c r="S68" s="354"/>
      <c r="T68" s="257">
        <v>138</v>
      </c>
      <c r="U68" s="258">
        <v>177</v>
      </c>
      <c r="V68" s="258">
        <v>144</v>
      </c>
      <c r="W68" s="258">
        <v>114</v>
      </c>
      <c r="X68" s="258">
        <v>101</v>
      </c>
      <c r="Y68" s="258">
        <v>92</v>
      </c>
      <c r="Z68" s="258">
        <v>87</v>
      </c>
      <c r="AA68" s="614">
        <v>68</v>
      </c>
      <c r="AB68" s="354"/>
      <c r="AC68" s="257">
        <v>757</v>
      </c>
      <c r="AD68" s="258">
        <v>745</v>
      </c>
      <c r="AE68" s="258">
        <v>709</v>
      </c>
      <c r="AF68" s="258">
        <v>573</v>
      </c>
      <c r="AG68" s="258">
        <v>643</v>
      </c>
      <c r="AH68" s="258">
        <v>447</v>
      </c>
      <c r="AI68" s="258">
        <v>406</v>
      </c>
      <c r="AJ68" s="614">
        <v>444</v>
      </c>
      <c r="AK68" s="354"/>
      <c r="AL68" s="257">
        <v>213</v>
      </c>
      <c r="AM68" s="258">
        <v>219</v>
      </c>
      <c r="AN68" s="258">
        <v>218</v>
      </c>
      <c r="AO68" s="258">
        <v>215</v>
      </c>
      <c r="AP68" s="258">
        <v>213</v>
      </c>
      <c r="AQ68" s="258">
        <v>131</v>
      </c>
      <c r="AR68" s="258">
        <v>127</v>
      </c>
      <c r="AS68" s="614">
        <v>111</v>
      </c>
      <c r="AT68" s="354"/>
      <c r="AU68" s="257"/>
      <c r="AV68" s="258"/>
      <c r="AW68" s="258"/>
      <c r="AX68" s="258"/>
      <c r="AY68" s="258"/>
      <c r="AZ68" s="258"/>
      <c r="BA68" s="258"/>
      <c r="BB68" s="614"/>
      <c r="BC68" s="354"/>
      <c r="BD68" s="257">
        <f t="shared" ref="BD68:BD99" si="17">SUM(B68,K68,T68,AC68,AL68,AU68)</f>
        <v>1212</v>
      </c>
      <c r="BE68" s="258">
        <f t="shared" ref="BE68:BE99" si="18">SUM(C68,L68,U68,AD68,AM68,AV68)</f>
        <v>1261</v>
      </c>
      <c r="BF68" s="258">
        <f t="shared" ref="BF68:BF99" si="19">SUM(D68,M68,V68,AE68,AN68,AW68)</f>
        <v>1143</v>
      </c>
      <c r="BG68" s="258">
        <f t="shared" ref="BG68:BG99" si="20">SUM(E68,N68,W68,AF68,AO68,AX68)</f>
        <v>976</v>
      </c>
      <c r="BH68" s="258">
        <f t="shared" ref="BH68:BH99" si="21">SUM(F68,O68,X68,AG68,AP68,AY68)</f>
        <v>1020</v>
      </c>
      <c r="BI68" s="258">
        <f t="shared" ref="BI68:BI99" si="22">SUM(G68,P68,Y68,AH68,AQ68,AZ68)</f>
        <v>705</v>
      </c>
      <c r="BJ68" s="258">
        <f t="shared" ref="BJ68:BJ99" si="23">SUM(H68,Q68,Z68,AI68,AR68,BA68)</f>
        <v>667</v>
      </c>
      <c r="BK68" s="614">
        <f t="shared" si="9"/>
        <v>676</v>
      </c>
      <c r="BL68" s="354">
        <f t="shared" si="9"/>
        <v>0</v>
      </c>
    </row>
    <row r="69" spans="1:64" x14ac:dyDescent="0.2">
      <c r="A69" s="365" t="s">
        <v>683</v>
      </c>
      <c r="B69" s="257">
        <v>15</v>
      </c>
      <c r="C69" s="258">
        <v>11</v>
      </c>
      <c r="D69" s="258">
        <v>14</v>
      </c>
      <c r="E69" s="258">
        <v>12</v>
      </c>
      <c r="F69" s="258">
        <v>4</v>
      </c>
      <c r="G69" s="258">
        <v>4</v>
      </c>
      <c r="H69" s="258">
        <v>5</v>
      </c>
      <c r="I69" s="614">
        <v>5</v>
      </c>
      <c r="J69" s="354"/>
      <c r="K69" s="257">
        <v>11</v>
      </c>
      <c r="L69" s="258">
        <v>22</v>
      </c>
      <c r="M69" s="258">
        <v>7</v>
      </c>
      <c r="N69" s="258">
        <v>23</v>
      </c>
      <c r="O69" s="258">
        <v>9</v>
      </c>
      <c r="P69" s="258">
        <v>4</v>
      </c>
      <c r="Q69" s="258">
        <v>5</v>
      </c>
      <c r="R69" s="614">
        <v>3</v>
      </c>
      <c r="S69" s="354"/>
      <c r="T69" s="257">
        <v>14</v>
      </c>
      <c r="U69" s="258">
        <v>28</v>
      </c>
      <c r="V69" s="258">
        <v>18</v>
      </c>
      <c r="W69" s="258">
        <v>21</v>
      </c>
      <c r="X69" s="258">
        <v>23</v>
      </c>
      <c r="Y69" s="258">
        <v>21</v>
      </c>
      <c r="Z69" s="258">
        <v>16</v>
      </c>
      <c r="AA69" s="614">
        <v>18</v>
      </c>
      <c r="AB69" s="354"/>
      <c r="AC69" s="257">
        <v>192</v>
      </c>
      <c r="AD69" s="258">
        <v>180</v>
      </c>
      <c r="AE69" s="258">
        <v>193</v>
      </c>
      <c r="AF69" s="258">
        <v>115</v>
      </c>
      <c r="AG69" s="258">
        <v>145</v>
      </c>
      <c r="AH69" s="258">
        <v>128</v>
      </c>
      <c r="AI69" s="258">
        <v>93</v>
      </c>
      <c r="AJ69" s="614">
        <v>117</v>
      </c>
      <c r="AK69" s="354"/>
      <c r="AL69" s="257">
        <v>76</v>
      </c>
      <c r="AM69" s="258">
        <v>61</v>
      </c>
      <c r="AN69" s="258">
        <v>70</v>
      </c>
      <c r="AO69" s="258">
        <v>59</v>
      </c>
      <c r="AP69" s="258">
        <v>44</v>
      </c>
      <c r="AQ69" s="258">
        <v>35</v>
      </c>
      <c r="AR69" s="258">
        <v>34</v>
      </c>
      <c r="AS69" s="614">
        <v>43</v>
      </c>
      <c r="AT69" s="354"/>
      <c r="AU69" s="257"/>
      <c r="AV69" s="258"/>
      <c r="AW69" s="258"/>
      <c r="AX69" s="258"/>
      <c r="AY69" s="258"/>
      <c r="AZ69" s="258"/>
      <c r="BA69" s="258"/>
      <c r="BB69" s="614"/>
      <c r="BC69" s="354"/>
      <c r="BD69" s="257">
        <f t="shared" si="17"/>
        <v>308</v>
      </c>
      <c r="BE69" s="258">
        <f t="shared" si="18"/>
        <v>302</v>
      </c>
      <c r="BF69" s="258">
        <f t="shared" si="19"/>
        <v>302</v>
      </c>
      <c r="BG69" s="258">
        <f t="shared" si="20"/>
        <v>230</v>
      </c>
      <c r="BH69" s="258">
        <f t="shared" si="21"/>
        <v>225</v>
      </c>
      <c r="BI69" s="258">
        <f t="shared" si="22"/>
        <v>192</v>
      </c>
      <c r="BJ69" s="258">
        <f t="shared" si="23"/>
        <v>153</v>
      </c>
      <c r="BK69" s="614">
        <f t="shared" si="9"/>
        <v>186</v>
      </c>
      <c r="BL69" s="354">
        <f t="shared" si="9"/>
        <v>0</v>
      </c>
    </row>
    <row r="70" spans="1:64" x14ac:dyDescent="0.2">
      <c r="A70" s="365" t="s">
        <v>681</v>
      </c>
      <c r="B70" s="257">
        <v>14</v>
      </c>
      <c r="C70" s="258">
        <v>42</v>
      </c>
      <c r="D70" s="258">
        <v>53</v>
      </c>
      <c r="E70" s="258">
        <v>34</v>
      </c>
      <c r="F70" s="258">
        <v>17</v>
      </c>
      <c r="G70" s="258">
        <v>24</v>
      </c>
      <c r="H70" s="258">
        <v>15</v>
      </c>
      <c r="I70" s="614">
        <v>22</v>
      </c>
      <c r="J70" s="354"/>
      <c r="K70" s="257">
        <v>42</v>
      </c>
      <c r="L70" s="258">
        <v>50</v>
      </c>
      <c r="M70" s="258">
        <v>54</v>
      </c>
      <c r="N70" s="258">
        <v>46</v>
      </c>
      <c r="O70" s="258">
        <v>41</v>
      </c>
      <c r="P70" s="258">
        <v>20</v>
      </c>
      <c r="Q70" s="258">
        <v>39</v>
      </c>
      <c r="R70" s="614">
        <v>39</v>
      </c>
      <c r="S70" s="354"/>
      <c r="T70" s="257">
        <v>119</v>
      </c>
      <c r="U70" s="258">
        <v>103</v>
      </c>
      <c r="V70" s="258">
        <v>115</v>
      </c>
      <c r="W70" s="258">
        <v>117</v>
      </c>
      <c r="X70" s="258">
        <v>98</v>
      </c>
      <c r="Y70" s="258">
        <v>69</v>
      </c>
      <c r="Z70" s="258">
        <v>71</v>
      </c>
      <c r="AA70" s="614">
        <v>54</v>
      </c>
      <c r="AB70" s="354"/>
      <c r="AC70" s="257">
        <v>710</v>
      </c>
      <c r="AD70" s="258">
        <v>614</v>
      </c>
      <c r="AE70" s="258">
        <v>582</v>
      </c>
      <c r="AF70" s="258">
        <v>462</v>
      </c>
      <c r="AG70" s="258">
        <v>407</v>
      </c>
      <c r="AH70" s="258">
        <v>499</v>
      </c>
      <c r="AI70" s="258">
        <v>353</v>
      </c>
      <c r="AJ70" s="614">
        <v>291</v>
      </c>
      <c r="AK70" s="354"/>
      <c r="AL70" s="257">
        <v>150</v>
      </c>
      <c r="AM70" s="258">
        <v>181</v>
      </c>
      <c r="AN70" s="258">
        <v>125</v>
      </c>
      <c r="AO70" s="258">
        <v>108</v>
      </c>
      <c r="AP70" s="258">
        <v>98</v>
      </c>
      <c r="AQ70" s="258">
        <v>117</v>
      </c>
      <c r="AR70" s="258">
        <v>95</v>
      </c>
      <c r="AS70" s="614">
        <v>81</v>
      </c>
      <c r="AT70" s="354"/>
      <c r="AU70" s="257"/>
      <c r="AV70" s="258"/>
      <c r="AW70" s="258"/>
      <c r="AX70" s="258"/>
      <c r="AY70" s="258"/>
      <c r="AZ70" s="258"/>
      <c r="BA70" s="258"/>
      <c r="BB70" s="614"/>
      <c r="BC70" s="354"/>
      <c r="BD70" s="257">
        <f t="shared" si="17"/>
        <v>1035</v>
      </c>
      <c r="BE70" s="258">
        <f t="shared" si="18"/>
        <v>990</v>
      </c>
      <c r="BF70" s="258">
        <f t="shared" si="19"/>
        <v>929</v>
      </c>
      <c r="BG70" s="258">
        <f t="shared" si="20"/>
        <v>767</v>
      </c>
      <c r="BH70" s="258">
        <f t="shared" si="21"/>
        <v>661</v>
      </c>
      <c r="BI70" s="258">
        <f t="shared" si="22"/>
        <v>729</v>
      </c>
      <c r="BJ70" s="258">
        <f t="shared" si="23"/>
        <v>573</v>
      </c>
      <c r="BK70" s="614">
        <f t="shared" si="9"/>
        <v>487</v>
      </c>
      <c r="BL70" s="354">
        <f t="shared" si="9"/>
        <v>0</v>
      </c>
    </row>
    <row r="71" spans="1:64" x14ac:dyDescent="0.2">
      <c r="A71" s="365" t="s">
        <v>678</v>
      </c>
      <c r="B71" s="257">
        <v>43</v>
      </c>
      <c r="C71" s="258">
        <v>143</v>
      </c>
      <c r="D71" s="258">
        <v>114</v>
      </c>
      <c r="E71" s="258">
        <v>111</v>
      </c>
      <c r="F71" s="258">
        <v>59</v>
      </c>
      <c r="G71" s="258">
        <v>52</v>
      </c>
      <c r="H71" s="258">
        <v>29</v>
      </c>
      <c r="I71" s="614">
        <v>40</v>
      </c>
      <c r="J71" s="354"/>
      <c r="K71" s="257">
        <v>187</v>
      </c>
      <c r="L71" s="258">
        <v>301</v>
      </c>
      <c r="M71" s="258">
        <v>175</v>
      </c>
      <c r="N71" s="258">
        <v>183</v>
      </c>
      <c r="O71" s="258">
        <v>126</v>
      </c>
      <c r="P71" s="258">
        <v>121</v>
      </c>
      <c r="Q71" s="258">
        <v>87</v>
      </c>
      <c r="R71" s="614">
        <v>109</v>
      </c>
      <c r="S71" s="354"/>
      <c r="T71" s="257">
        <v>716</v>
      </c>
      <c r="U71" s="258">
        <v>853</v>
      </c>
      <c r="V71" s="258">
        <v>778</v>
      </c>
      <c r="W71" s="258">
        <v>576</v>
      </c>
      <c r="X71" s="258">
        <v>555</v>
      </c>
      <c r="Y71" s="258">
        <v>446</v>
      </c>
      <c r="Z71" s="258">
        <v>415</v>
      </c>
      <c r="AA71" s="614">
        <v>453</v>
      </c>
      <c r="AB71" s="354"/>
      <c r="AC71" s="257">
        <v>3625</v>
      </c>
      <c r="AD71" s="258">
        <v>5389</v>
      </c>
      <c r="AE71" s="258">
        <v>3220</v>
      </c>
      <c r="AF71" s="258">
        <v>2832</v>
      </c>
      <c r="AG71" s="258">
        <v>2415</v>
      </c>
      <c r="AH71" s="258">
        <v>2033</v>
      </c>
      <c r="AI71" s="258">
        <v>1874</v>
      </c>
      <c r="AJ71" s="614">
        <v>1746</v>
      </c>
      <c r="AK71" s="354"/>
      <c r="AL71" s="257">
        <v>963</v>
      </c>
      <c r="AM71" s="258">
        <v>1101</v>
      </c>
      <c r="AN71" s="258">
        <v>1002</v>
      </c>
      <c r="AO71" s="258">
        <v>788</v>
      </c>
      <c r="AP71" s="258">
        <v>712</v>
      </c>
      <c r="AQ71" s="258">
        <v>675</v>
      </c>
      <c r="AR71" s="258">
        <v>524</v>
      </c>
      <c r="AS71" s="614">
        <v>528</v>
      </c>
      <c r="AT71" s="354"/>
      <c r="AU71" s="257"/>
      <c r="AV71" s="258"/>
      <c r="AW71" s="258"/>
      <c r="AX71" s="258"/>
      <c r="AY71" s="258"/>
      <c r="AZ71" s="258"/>
      <c r="BA71" s="258"/>
      <c r="BB71" s="614"/>
      <c r="BC71" s="354"/>
      <c r="BD71" s="257">
        <f t="shared" si="17"/>
        <v>5534</v>
      </c>
      <c r="BE71" s="258">
        <f t="shared" si="18"/>
        <v>7787</v>
      </c>
      <c r="BF71" s="258">
        <f t="shared" si="19"/>
        <v>5289</v>
      </c>
      <c r="BG71" s="258">
        <f t="shared" si="20"/>
        <v>4490</v>
      </c>
      <c r="BH71" s="258">
        <f t="shared" si="21"/>
        <v>3867</v>
      </c>
      <c r="BI71" s="258">
        <f t="shared" si="22"/>
        <v>3327</v>
      </c>
      <c r="BJ71" s="258">
        <f t="shared" si="23"/>
        <v>2929</v>
      </c>
      <c r="BK71" s="614">
        <f t="shared" si="9"/>
        <v>2876</v>
      </c>
      <c r="BL71" s="354">
        <f t="shared" si="9"/>
        <v>0</v>
      </c>
    </row>
    <row r="72" spans="1:64" ht="13.5" thickBot="1" x14ac:dyDescent="0.25">
      <c r="A72" s="366" t="s">
        <v>682</v>
      </c>
      <c r="B72" s="361">
        <v>38</v>
      </c>
      <c r="C72" s="362">
        <v>54</v>
      </c>
      <c r="D72" s="362">
        <v>59</v>
      </c>
      <c r="E72" s="362">
        <v>26</v>
      </c>
      <c r="F72" s="362">
        <v>16</v>
      </c>
      <c r="G72" s="362">
        <v>14</v>
      </c>
      <c r="H72" s="362">
        <v>9</v>
      </c>
      <c r="I72" s="615">
        <v>1</v>
      </c>
      <c r="J72" s="363"/>
      <c r="K72" s="361">
        <v>55</v>
      </c>
      <c r="L72" s="362">
        <v>69</v>
      </c>
      <c r="M72" s="362">
        <v>76</v>
      </c>
      <c r="N72" s="362">
        <v>90</v>
      </c>
      <c r="O72" s="362">
        <v>55</v>
      </c>
      <c r="P72" s="362">
        <v>49</v>
      </c>
      <c r="Q72" s="362">
        <v>50</v>
      </c>
      <c r="R72" s="615">
        <v>35</v>
      </c>
      <c r="S72" s="363"/>
      <c r="T72" s="361">
        <v>91</v>
      </c>
      <c r="U72" s="362">
        <v>80</v>
      </c>
      <c r="V72" s="362">
        <v>100</v>
      </c>
      <c r="W72" s="362">
        <v>96</v>
      </c>
      <c r="X72" s="362">
        <v>51</v>
      </c>
      <c r="Y72" s="362">
        <v>67</v>
      </c>
      <c r="Z72" s="362">
        <v>71</v>
      </c>
      <c r="AA72" s="615">
        <v>27</v>
      </c>
      <c r="AB72" s="363"/>
      <c r="AC72" s="361">
        <v>543</v>
      </c>
      <c r="AD72" s="362">
        <v>541</v>
      </c>
      <c r="AE72" s="362">
        <v>493</v>
      </c>
      <c r="AF72" s="362">
        <v>433</v>
      </c>
      <c r="AG72" s="362">
        <v>328</v>
      </c>
      <c r="AH72" s="362">
        <v>390</v>
      </c>
      <c r="AI72" s="362">
        <v>368</v>
      </c>
      <c r="AJ72" s="615">
        <v>240</v>
      </c>
      <c r="AK72" s="363"/>
      <c r="AL72" s="361">
        <v>180</v>
      </c>
      <c r="AM72" s="362">
        <v>215</v>
      </c>
      <c r="AN72" s="362">
        <v>150</v>
      </c>
      <c r="AO72" s="362">
        <v>181</v>
      </c>
      <c r="AP72" s="362">
        <v>89</v>
      </c>
      <c r="AQ72" s="362">
        <v>158</v>
      </c>
      <c r="AR72" s="362">
        <v>146</v>
      </c>
      <c r="AS72" s="615">
        <v>102</v>
      </c>
      <c r="AT72" s="363"/>
      <c r="AU72" s="361"/>
      <c r="AV72" s="362"/>
      <c r="AW72" s="362"/>
      <c r="AX72" s="362"/>
      <c r="AY72" s="362"/>
      <c r="AZ72" s="362"/>
      <c r="BA72" s="362"/>
      <c r="BB72" s="615"/>
      <c r="BC72" s="363"/>
      <c r="BD72" s="361">
        <f t="shared" si="17"/>
        <v>907</v>
      </c>
      <c r="BE72" s="362">
        <f t="shared" si="18"/>
        <v>959</v>
      </c>
      <c r="BF72" s="362">
        <f t="shared" si="19"/>
        <v>878</v>
      </c>
      <c r="BG72" s="362">
        <f t="shared" si="20"/>
        <v>826</v>
      </c>
      <c r="BH72" s="362">
        <f t="shared" si="21"/>
        <v>539</v>
      </c>
      <c r="BI72" s="362">
        <f t="shared" si="22"/>
        <v>678</v>
      </c>
      <c r="BJ72" s="362">
        <f t="shared" si="23"/>
        <v>644</v>
      </c>
      <c r="BK72" s="615">
        <f t="shared" si="9"/>
        <v>405</v>
      </c>
      <c r="BL72" s="363">
        <f t="shared" si="9"/>
        <v>0</v>
      </c>
    </row>
    <row r="73" spans="1:64" s="259" customFormat="1" x14ac:dyDescent="0.2">
      <c r="A73" s="364" t="s">
        <v>780</v>
      </c>
      <c r="B73" s="785">
        <v>2250</v>
      </c>
      <c r="C73" s="786">
        <v>2760</v>
      </c>
      <c r="D73" s="786">
        <v>2247</v>
      </c>
      <c r="E73" s="782">
        <v>345</v>
      </c>
      <c r="F73" s="786">
        <v>1146</v>
      </c>
      <c r="G73" s="782">
        <v>356</v>
      </c>
      <c r="H73" s="782">
        <v>205</v>
      </c>
      <c r="I73" s="783">
        <v>211</v>
      </c>
      <c r="J73" s="784"/>
      <c r="K73" s="785">
        <v>756</v>
      </c>
      <c r="L73" s="786">
        <v>435</v>
      </c>
      <c r="M73" s="786">
        <v>305</v>
      </c>
      <c r="N73" s="782">
        <v>326</v>
      </c>
      <c r="O73" s="786">
        <v>194</v>
      </c>
      <c r="P73" s="782">
        <v>332</v>
      </c>
      <c r="Q73" s="782">
        <v>189</v>
      </c>
      <c r="R73" s="783">
        <v>173</v>
      </c>
      <c r="S73" s="784"/>
      <c r="T73" s="785">
        <v>736</v>
      </c>
      <c r="U73" s="786">
        <v>1175</v>
      </c>
      <c r="V73" s="786">
        <v>2828</v>
      </c>
      <c r="W73" s="782">
        <v>613</v>
      </c>
      <c r="X73" s="786">
        <v>619</v>
      </c>
      <c r="Y73" s="782">
        <v>640</v>
      </c>
      <c r="Z73" s="782">
        <v>508</v>
      </c>
      <c r="AA73" s="783">
        <v>555</v>
      </c>
      <c r="AB73" s="784"/>
      <c r="AC73" s="785">
        <v>7280</v>
      </c>
      <c r="AD73" s="786">
        <v>8553</v>
      </c>
      <c r="AE73" s="786">
        <v>14716</v>
      </c>
      <c r="AF73" s="782">
        <v>4919</v>
      </c>
      <c r="AG73" s="786">
        <v>5125</v>
      </c>
      <c r="AH73" s="782">
        <v>4012</v>
      </c>
      <c r="AI73" s="782">
        <v>3267</v>
      </c>
      <c r="AJ73" s="783">
        <v>3596</v>
      </c>
      <c r="AK73" s="784"/>
      <c r="AL73" s="785">
        <v>2255</v>
      </c>
      <c r="AM73" s="786">
        <v>2989</v>
      </c>
      <c r="AN73" s="786">
        <v>3765</v>
      </c>
      <c r="AO73" s="782">
        <v>1984</v>
      </c>
      <c r="AP73" s="786">
        <v>1733</v>
      </c>
      <c r="AQ73" s="782">
        <v>1294</v>
      </c>
      <c r="AR73" s="782">
        <v>1130</v>
      </c>
      <c r="AS73" s="783">
        <v>1037</v>
      </c>
      <c r="AT73" s="784"/>
      <c r="AU73" s="785"/>
      <c r="AV73" s="786"/>
      <c r="AW73" s="786"/>
      <c r="AX73" s="782">
        <v>1</v>
      </c>
      <c r="AY73" s="786"/>
      <c r="AZ73" s="782"/>
      <c r="BA73" s="782"/>
      <c r="BB73" s="783"/>
      <c r="BC73" s="784"/>
      <c r="BD73" s="785">
        <f t="shared" si="17"/>
        <v>13277</v>
      </c>
      <c r="BE73" s="786">
        <f t="shared" si="18"/>
        <v>15912</v>
      </c>
      <c r="BF73" s="786">
        <f t="shared" si="19"/>
        <v>23861</v>
      </c>
      <c r="BG73" s="782">
        <f t="shared" si="20"/>
        <v>8188</v>
      </c>
      <c r="BH73" s="786">
        <f t="shared" si="21"/>
        <v>8817</v>
      </c>
      <c r="BI73" s="782">
        <f t="shared" si="22"/>
        <v>6634</v>
      </c>
      <c r="BJ73" s="782">
        <f t="shared" si="23"/>
        <v>5299</v>
      </c>
      <c r="BK73" s="783">
        <f t="shared" si="9"/>
        <v>5572</v>
      </c>
      <c r="BL73" s="784">
        <f t="shared" si="9"/>
        <v>0</v>
      </c>
    </row>
    <row r="74" spans="1:64" x14ac:dyDescent="0.2">
      <c r="A74" s="365" t="s">
        <v>685</v>
      </c>
      <c r="B74" s="257">
        <v>79</v>
      </c>
      <c r="C74" s="258">
        <v>33</v>
      </c>
      <c r="D74" s="258">
        <v>18</v>
      </c>
      <c r="E74" s="258">
        <v>82</v>
      </c>
      <c r="F74" s="258">
        <v>256</v>
      </c>
      <c r="G74" s="258">
        <v>142</v>
      </c>
      <c r="H74" s="258">
        <v>21</v>
      </c>
      <c r="I74" s="614">
        <v>67</v>
      </c>
      <c r="J74" s="354"/>
      <c r="K74" s="257">
        <v>81</v>
      </c>
      <c r="L74" s="258">
        <v>26</v>
      </c>
      <c r="M74" s="258">
        <v>22</v>
      </c>
      <c r="N74" s="258">
        <v>124</v>
      </c>
      <c r="O74" s="258">
        <v>7</v>
      </c>
      <c r="P74" s="258">
        <v>32</v>
      </c>
      <c r="Q74" s="258">
        <v>9</v>
      </c>
      <c r="R74" s="614">
        <v>20</v>
      </c>
      <c r="S74" s="354"/>
      <c r="T74" s="257">
        <v>25</v>
      </c>
      <c r="U74" s="258">
        <v>35</v>
      </c>
      <c r="V74" s="258">
        <v>32</v>
      </c>
      <c r="W74" s="258">
        <v>46</v>
      </c>
      <c r="X74" s="258">
        <v>30</v>
      </c>
      <c r="Y74" s="258">
        <v>21</v>
      </c>
      <c r="Z74" s="258">
        <v>75</v>
      </c>
      <c r="AA74" s="614">
        <v>43</v>
      </c>
      <c r="AB74" s="354"/>
      <c r="AC74" s="257">
        <v>398</v>
      </c>
      <c r="AD74" s="258">
        <v>458</v>
      </c>
      <c r="AE74" s="258">
        <v>526</v>
      </c>
      <c r="AF74" s="258">
        <v>396</v>
      </c>
      <c r="AG74" s="258">
        <v>352</v>
      </c>
      <c r="AH74" s="258">
        <v>308</v>
      </c>
      <c r="AI74" s="258">
        <v>342</v>
      </c>
      <c r="AJ74" s="614">
        <v>264</v>
      </c>
      <c r="AK74" s="354"/>
      <c r="AL74" s="257">
        <v>129</v>
      </c>
      <c r="AM74" s="258">
        <v>159</v>
      </c>
      <c r="AN74" s="258">
        <v>143</v>
      </c>
      <c r="AO74" s="258">
        <v>162</v>
      </c>
      <c r="AP74" s="258">
        <v>222</v>
      </c>
      <c r="AQ74" s="258">
        <v>91</v>
      </c>
      <c r="AR74" s="258">
        <v>110</v>
      </c>
      <c r="AS74" s="614">
        <v>86</v>
      </c>
      <c r="AT74" s="354"/>
      <c r="AU74" s="257"/>
      <c r="AV74" s="258"/>
      <c r="AW74" s="258"/>
      <c r="AX74" s="258"/>
      <c r="AY74" s="258"/>
      <c r="AZ74" s="258"/>
      <c r="BA74" s="258"/>
      <c r="BB74" s="614"/>
      <c r="BC74" s="354"/>
      <c r="BD74" s="257">
        <f t="shared" si="17"/>
        <v>712</v>
      </c>
      <c r="BE74" s="258">
        <f t="shared" si="18"/>
        <v>711</v>
      </c>
      <c r="BF74" s="258">
        <f t="shared" si="19"/>
        <v>741</v>
      </c>
      <c r="BG74" s="258">
        <f t="shared" si="20"/>
        <v>810</v>
      </c>
      <c r="BH74" s="258">
        <f t="shared" si="21"/>
        <v>867</v>
      </c>
      <c r="BI74" s="258">
        <f t="shared" si="22"/>
        <v>594</v>
      </c>
      <c r="BJ74" s="258">
        <f t="shared" si="23"/>
        <v>557</v>
      </c>
      <c r="BK74" s="614">
        <f t="shared" si="9"/>
        <v>480</v>
      </c>
      <c r="BL74" s="354">
        <f t="shared" si="9"/>
        <v>0</v>
      </c>
    </row>
    <row r="75" spans="1:64" x14ac:dyDescent="0.2">
      <c r="A75" s="365" t="s">
        <v>0</v>
      </c>
      <c r="B75" s="257">
        <v>1176</v>
      </c>
      <c r="C75" s="355">
        <v>2248</v>
      </c>
      <c r="D75" s="355">
        <v>1420</v>
      </c>
      <c r="E75" s="258">
        <v>72</v>
      </c>
      <c r="F75" s="258">
        <v>420</v>
      </c>
      <c r="G75" s="258">
        <v>65</v>
      </c>
      <c r="H75" s="258">
        <v>34</v>
      </c>
      <c r="I75" s="614">
        <v>18</v>
      </c>
      <c r="J75" s="354"/>
      <c r="K75" s="257">
        <v>452</v>
      </c>
      <c r="L75" s="355">
        <v>99</v>
      </c>
      <c r="M75" s="355">
        <v>82</v>
      </c>
      <c r="N75" s="258">
        <v>59</v>
      </c>
      <c r="O75" s="258">
        <v>41</v>
      </c>
      <c r="P75" s="258">
        <v>41</v>
      </c>
      <c r="Q75" s="258">
        <v>45</v>
      </c>
      <c r="R75" s="614">
        <v>44</v>
      </c>
      <c r="S75" s="354"/>
      <c r="T75" s="257">
        <v>195</v>
      </c>
      <c r="U75" s="355">
        <v>235</v>
      </c>
      <c r="V75" s="355">
        <v>175</v>
      </c>
      <c r="W75" s="258">
        <v>180</v>
      </c>
      <c r="X75" s="258">
        <v>171</v>
      </c>
      <c r="Y75" s="258">
        <v>208</v>
      </c>
      <c r="Z75" s="258">
        <v>119</v>
      </c>
      <c r="AA75" s="614">
        <v>140</v>
      </c>
      <c r="AB75" s="354"/>
      <c r="AC75" s="257">
        <v>1553</v>
      </c>
      <c r="AD75" s="355">
        <v>1843</v>
      </c>
      <c r="AE75" s="355">
        <v>1646</v>
      </c>
      <c r="AF75" s="258">
        <v>1455</v>
      </c>
      <c r="AG75" s="258">
        <v>1671</v>
      </c>
      <c r="AH75" s="258">
        <v>1091</v>
      </c>
      <c r="AI75" s="258">
        <v>765</v>
      </c>
      <c r="AJ75" s="614">
        <v>964</v>
      </c>
      <c r="AK75" s="354"/>
      <c r="AL75" s="257">
        <v>565</v>
      </c>
      <c r="AM75" s="355">
        <v>677</v>
      </c>
      <c r="AN75" s="355">
        <v>636</v>
      </c>
      <c r="AO75" s="258">
        <v>709</v>
      </c>
      <c r="AP75" s="258">
        <v>516</v>
      </c>
      <c r="AQ75" s="258">
        <v>382</v>
      </c>
      <c r="AR75" s="258">
        <v>245</v>
      </c>
      <c r="AS75" s="614">
        <v>251</v>
      </c>
      <c r="AT75" s="354"/>
      <c r="AU75" s="257"/>
      <c r="AV75" s="355"/>
      <c r="AW75" s="355"/>
      <c r="AX75" s="258"/>
      <c r="AY75" s="258"/>
      <c r="AZ75" s="258"/>
      <c r="BA75" s="258"/>
      <c r="BB75" s="614"/>
      <c r="BC75" s="354"/>
      <c r="BD75" s="257">
        <f t="shared" si="17"/>
        <v>3941</v>
      </c>
      <c r="BE75" s="355">
        <f t="shared" si="18"/>
        <v>5102</v>
      </c>
      <c r="BF75" s="355">
        <f t="shared" si="19"/>
        <v>3959</v>
      </c>
      <c r="BG75" s="258">
        <f t="shared" si="20"/>
        <v>2475</v>
      </c>
      <c r="BH75" s="258">
        <f t="shared" si="21"/>
        <v>2819</v>
      </c>
      <c r="BI75" s="258">
        <f t="shared" si="22"/>
        <v>1787</v>
      </c>
      <c r="BJ75" s="258">
        <f t="shared" si="23"/>
        <v>1208</v>
      </c>
      <c r="BK75" s="614">
        <f t="shared" si="9"/>
        <v>1417</v>
      </c>
      <c r="BL75" s="354">
        <f t="shared" si="9"/>
        <v>0</v>
      </c>
    </row>
    <row r="76" spans="1:64" x14ac:dyDescent="0.2">
      <c r="A76" s="365" t="s">
        <v>814</v>
      </c>
      <c r="B76" s="257">
        <v>3</v>
      </c>
      <c r="C76" s="258"/>
      <c r="D76" s="258">
        <v>14</v>
      </c>
      <c r="E76" s="258">
        <v>1</v>
      </c>
      <c r="F76" s="258">
        <v>14</v>
      </c>
      <c r="G76" s="258">
        <v>6</v>
      </c>
      <c r="H76" s="258">
        <v>11</v>
      </c>
      <c r="I76" s="614">
        <v>7</v>
      </c>
      <c r="J76" s="354"/>
      <c r="K76" s="257">
        <v>4</v>
      </c>
      <c r="L76" s="258"/>
      <c r="M76" s="258">
        <v>1</v>
      </c>
      <c r="N76" s="258">
        <v>2</v>
      </c>
      <c r="O76" s="258">
        <v>5</v>
      </c>
      <c r="P76" s="258">
        <v>1</v>
      </c>
      <c r="Q76" s="258">
        <v>3</v>
      </c>
      <c r="R76" s="614">
        <v>4</v>
      </c>
      <c r="S76" s="354"/>
      <c r="T76" s="257">
        <v>2</v>
      </c>
      <c r="U76" s="258">
        <v>4</v>
      </c>
      <c r="V76" s="258">
        <v>5</v>
      </c>
      <c r="W76" s="258">
        <v>7</v>
      </c>
      <c r="X76" s="258">
        <v>5</v>
      </c>
      <c r="Y76" s="258">
        <v>6</v>
      </c>
      <c r="Z76" s="258">
        <v>9</v>
      </c>
      <c r="AA76" s="614">
        <v>1</v>
      </c>
      <c r="AB76" s="354"/>
      <c r="AC76" s="257">
        <v>37</v>
      </c>
      <c r="AD76" s="258">
        <v>44</v>
      </c>
      <c r="AE76" s="258">
        <v>56</v>
      </c>
      <c r="AF76" s="258">
        <v>47</v>
      </c>
      <c r="AG76" s="258">
        <v>63</v>
      </c>
      <c r="AH76" s="258">
        <v>63</v>
      </c>
      <c r="AI76" s="258">
        <v>27</v>
      </c>
      <c r="AJ76" s="614">
        <v>12</v>
      </c>
      <c r="AK76" s="354"/>
      <c r="AL76" s="257">
        <v>4</v>
      </c>
      <c r="AM76" s="258">
        <v>28</v>
      </c>
      <c r="AN76" s="258">
        <v>12</v>
      </c>
      <c r="AO76" s="258">
        <v>7</v>
      </c>
      <c r="AP76" s="258">
        <v>11</v>
      </c>
      <c r="AQ76" s="258">
        <v>19</v>
      </c>
      <c r="AR76" s="258">
        <v>9</v>
      </c>
      <c r="AS76" s="614">
        <v>11</v>
      </c>
      <c r="AT76" s="354"/>
      <c r="AU76" s="257"/>
      <c r="AV76" s="258"/>
      <c r="AW76" s="258"/>
      <c r="AX76" s="258"/>
      <c r="AY76" s="258"/>
      <c r="AZ76" s="258"/>
      <c r="BA76" s="258"/>
      <c r="BB76" s="614"/>
      <c r="BC76" s="354"/>
      <c r="BD76" s="257">
        <f t="shared" si="17"/>
        <v>50</v>
      </c>
      <c r="BE76" s="258">
        <f t="shared" si="18"/>
        <v>76</v>
      </c>
      <c r="BF76" s="258">
        <f t="shared" si="19"/>
        <v>88</v>
      </c>
      <c r="BG76" s="258">
        <f t="shared" si="20"/>
        <v>64</v>
      </c>
      <c r="BH76" s="258">
        <f t="shared" si="21"/>
        <v>98</v>
      </c>
      <c r="BI76" s="258">
        <f t="shared" si="22"/>
        <v>95</v>
      </c>
      <c r="BJ76" s="258">
        <f t="shared" si="23"/>
        <v>59</v>
      </c>
      <c r="BK76" s="614">
        <f t="shared" si="9"/>
        <v>35</v>
      </c>
      <c r="BL76" s="354">
        <f t="shared" si="9"/>
        <v>0</v>
      </c>
    </row>
    <row r="77" spans="1:64" x14ac:dyDescent="0.2">
      <c r="A77" s="365" t="s">
        <v>688</v>
      </c>
      <c r="B77" s="257">
        <v>506</v>
      </c>
      <c r="C77" s="258">
        <v>303</v>
      </c>
      <c r="D77" s="258">
        <v>596</v>
      </c>
      <c r="E77" s="258">
        <v>7</v>
      </c>
      <c r="F77" s="258">
        <v>190</v>
      </c>
      <c r="G77" s="258">
        <v>4</v>
      </c>
      <c r="H77" s="258">
        <v>21</v>
      </c>
      <c r="I77" s="614">
        <v>23</v>
      </c>
      <c r="J77" s="354"/>
      <c r="K77" s="257">
        <v>26</v>
      </c>
      <c r="L77" s="258">
        <v>68</v>
      </c>
      <c r="M77" s="258">
        <v>28</v>
      </c>
      <c r="N77" s="258">
        <v>12</v>
      </c>
      <c r="O77" s="258">
        <v>29</v>
      </c>
      <c r="P77" s="258">
        <v>39</v>
      </c>
      <c r="Q77" s="258">
        <v>24</v>
      </c>
      <c r="R77" s="614">
        <v>29</v>
      </c>
      <c r="S77" s="354"/>
      <c r="T77" s="257">
        <v>44</v>
      </c>
      <c r="U77" s="258">
        <v>86</v>
      </c>
      <c r="V77" s="258">
        <v>82</v>
      </c>
      <c r="W77" s="258">
        <v>48</v>
      </c>
      <c r="X77" s="258">
        <v>87</v>
      </c>
      <c r="Y77" s="258">
        <v>86</v>
      </c>
      <c r="Z77" s="258">
        <v>69</v>
      </c>
      <c r="AA77" s="614">
        <v>97</v>
      </c>
      <c r="AB77" s="354"/>
      <c r="AC77" s="257">
        <v>685</v>
      </c>
      <c r="AD77" s="258">
        <v>728</v>
      </c>
      <c r="AE77" s="258">
        <v>716</v>
      </c>
      <c r="AF77" s="258">
        <v>449</v>
      </c>
      <c r="AG77" s="258">
        <v>548</v>
      </c>
      <c r="AH77" s="258">
        <v>459</v>
      </c>
      <c r="AI77" s="258">
        <v>461</v>
      </c>
      <c r="AJ77" s="614">
        <v>624</v>
      </c>
      <c r="AK77" s="354"/>
      <c r="AL77" s="257">
        <v>224</v>
      </c>
      <c r="AM77" s="258">
        <v>293</v>
      </c>
      <c r="AN77" s="258">
        <v>284</v>
      </c>
      <c r="AO77" s="258">
        <v>198</v>
      </c>
      <c r="AP77" s="258">
        <v>192</v>
      </c>
      <c r="AQ77" s="258">
        <v>193</v>
      </c>
      <c r="AR77" s="258">
        <v>218</v>
      </c>
      <c r="AS77" s="614">
        <v>208</v>
      </c>
      <c r="AT77" s="354"/>
      <c r="AU77" s="257"/>
      <c r="AV77" s="258"/>
      <c r="AW77" s="258"/>
      <c r="AX77" s="258"/>
      <c r="AY77" s="258"/>
      <c r="AZ77" s="258"/>
      <c r="BA77" s="258"/>
      <c r="BB77" s="614"/>
      <c r="BC77" s="354"/>
      <c r="BD77" s="257">
        <f t="shared" si="17"/>
        <v>1485</v>
      </c>
      <c r="BE77" s="258">
        <f t="shared" si="18"/>
        <v>1478</v>
      </c>
      <c r="BF77" s="258">
        <f t="shared" si="19"/>
        <v>1706</v>
      </c>
      <c r="BG77" s="258">
        <f t="shared" si="20"/>
        <v>714</v>
      </c>
      <c r="BH77" s="258">
        <f t="shared" si="21"/>
        <v>1046</v>
      </c>
      <c r="BI77" s="258">
        <f t="shared" si="22"/>
        <v>781</v>
      </c>
      <c r="BJ77" s="258">
        <f t="shared" si="23"/>
        <v>793</v>
      </c>
      <c r="BK77" s="614">
        <f t="shared" si="9"/>
        <v>981</v>
      </c>
      <c r="BL77" s="354">
        <f t="shared" si="9"/>
        <v>0</v>
      </c>
    </row>
    <row r="78" spans="1:64" x14ac:dyDescent="0.2">
      <c r="A78" s="365" t="s">
        <v>686</v>
      </c>
      <c r="B78" s="257">
        <v>4</v>
      </c>
      <c r="C78" s="258">
        <v>19</v>
      </c>
      <c r="D78" s="258">
        <v>16</v>
      </c>
      <c r="E78" s="258">
        <v>26</v>
      </c>
      <c r="F78" s="258">
        <v>2</v>
      </c>
      <c r="G78" s="258">
        <v>15</v>
      </c>
      <c r="H78" s="258">
        <v>9</v>
      </c>
      <c r="I78" s="614">
        <v>6</v>
      </c>
      <c r="J78" s="354"/>
      <c r="K78" s="257">
        <v>12</v>
      </c>
      <c r="L78" s="258">
        <v>24</v>
      </c>
      <c r="M78" s="258">
        <v>14</v>
      </c>
      <c r="N78" s="258">
        <v>10</v>
      </c>
      <c r="O78" s="258">
        <v>9</v>
      </c>
      <c r="P78" s="258">
        <v>11</v>
      </c>
      <c r="Q78" s="258">
        <v>13</v>
      </c>
      <c r="R78" s="614">
        <v>13</v>
      </c>
      <c r="S78" s="354"/>
      <c r="T78" s="257">
        <v>19</v>
      </c>
      <c r="U78" s="258">
        <v>24</v>
      </c>
      <c r="V78" s="258">
        <v>40</v>
      </c>
      <c r="W78" s="258">
        <v>34</v>
      </c>
      <c r="X78" s="258">
        <v>27</v>
      </c>
      <c r="Y78" s="258">
        <v>36</v>
      </c>
      <c r="Z78" s="258">
        <v>34</v>
      </c>
      <c r="AA78" s="614">
        <v>29</v>
      </c>
      <c r="AB78" s="354"/>
      <c r="AC78" s="257">
        <v>235</v>
      </c>
      <c r="AD78" s="258">
        <v>223</v>
      </c>
      <c r="AE78" s="258">
        <v>238</v>
      </c>
      <c r="AF78" s="258">
        <v>193</v>
      </c>
      <c r="AG78" s="258">
        <v>192</v>
      </c>
      <c r="AH78" s="258">
        <v>157</v>
      </c>
      <c r="AI78" s="258">
        <v>213</v>
      </c>
      <c r="AJ78" s="614">
        <v>157</v>
      </c>
      <c r="AK78" s="354"/>
      <c r="AL78" s="257">
        <v>74</v>
      </c>
      <c r="AM78" s="258">
        <v>66</v>
      </c>
      <c r="AN78" s="258">
        <v>82</v>
      </c>
      <c r="AO78" s="258">
        <v>83</v>
      </c>
      <c r="AP78" s="258">
        <v>69</v>
      </c>
      <c r="AQ78" s="258">
        <v>50</v>
      </c>
      <c r="AR78" s="258">
        <v>86</v>
      </c>
      <c r="AS78" s="614">
        <v>44</v>
      </c>
      <c r="AT78" s="354"/>
      <c r="AU78" s="257"/>
      <c r="AV78" s="258"/>
      <c r="AW78" s="258"/>
      <c r="AX78" s="258"/>
      <c r="AY78" s="258"/>
      <c r="AZ78" s="258"/>
      <c r="BA78" s="258"/>
      <c r="BB78" s="614"/>
      <c r="BC78" s="354"/>
      <c r="BD78" s="257">
        <f t="shared" si="17"/>
        <v>344</v>
      </c>
      <c r="BE78" s="258">
        <f t="shared" si="18"/>
        <v>356</v>
      </c>
      <c r="BF78" s="258">
        <f t="shared" si="19"/>
        <v>390</v>
      </c>
      <c r="BG78" s="258">
        <f t="shared" si="20"/>
        <v>346</v>
      </c>
      <c r="BH78" s="258">
        <f t="shared" si="21"/>
        <v>299</v>
      </c>
      <c r="BI78" s="258">
        <f t="shared" si="22"/>
        <v>269</v>
      </c>
      <c r="BJ78" s="258">
        <f t="shared" si="23"/>
        <v>355</v>
      </c>
      <c r="BK78" s="614">
        <f t="shared" si="9"/>
        <v>249</v>
      </c>
      <c r="BL78" s="354">
        <f t="shared" si="9"/>
        <v>0</v>
      </c>
    </row>
    <row r="79" spans="1:64" x14ac:dyDescent="0.2">
      <c r="A79" s="365" t="s">
        <v>687</v>
      </c>
      <c r="B79" s="257">
        <v>365</v>
      </c>
      <c r="C79" s="258">
        <v>27</v>
      </c>
      <c r="D79" s="258">
        <v>95</v>
      </c>
      <c r="E79" s="258">
        <v>56</v>
      </c>
      <c r="F79" s="258">
        <v>142</v>
      </c>
      <c r="G79" s="258">
        <v>86</v>
      </c>
      <c r="H79" s="258">
        <v>85</v>
      </c>
      <c r="I79" s="614">
        <v>58</v>
      </c>
      <c r="J79" s="354"/>
      <c r="K79" s="257">
        <v>25</v>
      </c>
      <c r="L79" s="258">
        <v>46</v>
      </c>
      <c r="M79" s="258">
        <v>38</v>
      </c>
      <c r="N79" s="258">
        <v>18</v>
      </c>
      <c r="O79" s="258">
        <v>36</v>
      </c>
      <c r="P79" s="258">
        <v>42</v>
      </c>
      <c r="Q79" s="258">
        <v>15</v>
      </c>
      <c r="R79" s="614">
        <v>10</v>
      </c>
      <c r="S79" s="354"/>
      <c r="T79" s="257">
        <v>64</v>
      </c>
      <c r="U79" s="258">
        <v>58</v>
      </c>
      <c r="V79" s="258">
        <v>79</v>
      </c>
      <c r="W79" s="258">
        <v>67</v>
      </c>
      <c r="X79" s="258">
        <v>72</v>
      </c>
      <c r="Y79" s="258">
        <v>40</v>
      </c>
      <c r="Z79" s="258">
        <v>35</v>
      </c>
      <c r="AA79" s="614">
        <v>66</v>
      </c>
      <c r="AB79" s="354"/>
      <c r="AC79" s="257">
        <v>531</v>
      </c>
      <c r="AD79" s="258">
        <v>497</v>
      </c>
      <c r="AE79" s="258">
        <v>516</v>
      </c>
      <c r="AF79" s="258">
        <v>458</v>
      </c>
      <c r="AG79" s="258">
        <v>447</v>
      </c>
      <c r="AH79" s="258">
        <v>243</v>
      </c>
      <c r="AI79" s="258">
        <v>224</v>
      </c>
      <c r="AJ79" s="614">
        <v>242</v>
      </c>
      <c r="AK79" s="354"/>
      <c r="AL79" s="257">
        <v>184</v>
      </c>
      <c r="AM79" s="258">
        <v>203</v>
      </c>
      <c r="AN79" s="258">
        <v>180</v>
      </c>
      <c r="AO79" s="258">
        <v>219</v>
      </c>
      <c r="AP79" s="258">
        <v>130</v>
      </c>
      <c r="AQ79" s="258">
        <v>94</v>
      </c>
      <c r="AR79" s="258">
        <v>86</v>
      </c>
      <c r="AS79" s="614">
        <v>50</v>
      </c>
      <c r="AT79" s="354"/>
      <c r="AU79" s="257"/>
      <c r="AV79" s="258"/>
      <c r="AW79" s="258"/>
      <c r="AX79" s="258">
        <v>1</v>
      </c>
      <c r="AY79" s="258"/>
      <c r="AZ79" s="258"/>
      <c r="BA79" s="258"/>
      <c r="BB79" s="614"/>
      <c r="BC79" s="354"/>
      <c r="BD79" s="257">
        <f t="shared" si="17"/>
        <v>1169</v>
      </c>
      <c r="BE79" s="258">
        <f t="shared" si="18"/>
        <v>831</v>
      </c>
      <c r="BF79" s="258">
        <f t="shared" si="19"/>
        <v>908</v>
      </c>
      <c r="BG79" s="258">
        <f t="shared" si="20"/>
        <v>819</v>
      </c>
      <c r="BH79" s="258">
        <f t="shared" si="21"/>
        <v>827</v>
      </c>
      <c r="BI79" s="258">
        <f t="shared" si="22"/>
        <v>505</v>
      </c>
      <c r="BJ79" s="258">
        <f t="shared" si="23"/>
        <v>445</v>
      </c>
      <c r="BK79" s="614">
        <f t="shared" si="9"/>
        <v>426</v>
      </c>
      <c r="BL79" s="354">
        <f t="shared" si="9"/>
        <v>0</v>
      </c>
    </row>
    <row r="80" spans="1:64" ht="13.5" thickBot="1" x14ac:dyDescent="0.25">
      <c r="A80" s="366" t="s">
        <v>684</v>
      </c>
      <c r="B80" s="361">
        <v>117</v>
      </c>
      <c r="C80" s="362">
        <v>130</v>
      </c>
      <c r="D80" s="362">
        <v>88</v>
      </c>
      <c r="E80" s="362">
        <v>101</v>
      </c>
      <c r="F80" s="362">
        <v>122</v>
      </c>
      <c r="G80" s="362">
        <v>38</v>
      </c>
      <c r="H80" s="362">
        <v>24</v>
      </c>
      <c r="I80" s="615">
        <v>32</v>
      </c>
      <c r="J80" s="363"/>
      <c r="K80" s="361">
        <v>156</v>
      </c>
      <c r="L80" s="362">
        <v>172</v>
      </c>
      <c r="M80" s="362">
        <v>120</v>
      </c>
      <c r="N80" s="362">
        <v>101</v>
      </c>
      <c r="O80" s="362">
        <v>67</v>
      </c>
      <c r="P80" s="362">
        <v>166</v>
      </c>
      <c r="Q80" s="362">
        <v>80</v>
      </c>
      <c r="R80" s="615">
        <v>53</v>
      </c>
      <c r="S80" s="363"/>
      <c r="T80" s="361">
        <v>387</v>
      </c>
      <c r="U80" s="362">
        <v>733</v>
      </c>
      <c r="V80" s="362">
        <v>2415</v>
      </c>
      <c r="W80" s="362">
        <v>231</v>
      </c>
      <c r="X80" s="362">
        <v>227</v>
      </c>
      <c r="Y80" s="362">
        <v>243</v>
      </c>
      <c r="Z80" s="362">
        <v>167</v>
      </c>
      <c r="AA80" s="615">
        <v>179</v>
      </c>
      <c r="AB80" s="363"/>
      <c r="AC80" s="361">
        <v>3841</v>
      </c>
      <c r="AD80" s="362">
        <v>4760</v>
      </c>
      <c r="AE80" s="362">
        <v>11018</v>
      </c>
      <c r="AF80" s="362">
        <v>1921</v>
      </c>
      <c r="AG80" s="362">
        <v>1852</v>
      </c>
      <c r="AH80" s="362">
        <v>1691</v>
      </c>
      <c r="AI80" s="362">
        <v>1235</v>
      </c>
      <c r="AJ80" s="615">
        <v>1333</v>
      </c>
      <c r="AK80" s="363"/>
      <c r="AL80" s="361">
        <v>1075</v>
      </c>
      <c r="AM80" s="362">
        <v>1563</v>
      </c>
      <c r="AN80" s="362">
        <v>2428</v>
      </c>
      <c r="AO80" s="362">
        <v>606</v>
      </c>
      <c r="AP80" s="362">
        <v>593</v>
      </c>
      <c r="AQ80" s="362">
        <v>465</v>
      </c>
      <c r="AR80" s="362">
        <v>376</v>
      </c>
      <c r="AS80" s="615">
        <v>387</v>
      </c>
      <c r="AT80" s="363"/>
      <c r="AU80" s="361"/>
      <c r="AV80" s="362"/>
      <c r="AW80" s="362"/>
      <c r="AX80" s="362"/>
      <c r="AY80" s="362"/>
      <c r="AZ80" s="362"/>
      <c r="BA80" s="362"/>
      <c r="BB80" s="615"/>
      <c r="BC80" s="363"/>
      <c r="BD80" s="361">
        <f t="shared" si="17"/>
        <v>5576</v>
      </c>
      <c r="BE80" s="362">
        <f t="shared" si="18"/>
        <v>7358</v>
      </c>
      <c r="BF80" s="362">
        <f t="shared" si="19"/>
        <v>16069</v>
      </c>
      <c r="BG80" s="362">
        <f t="shared" si="20"/>
        <v>2960</v>
      </c>
      <c r="BH80" s="362">
        <f t="shared" si="21"/>
        <v>2861</v>
      </c>
      <c r="BI80" s="362">
        <f t="shared" si="22"/>
        <v>2603</v>
      </c>
      <c r="BJ80" s="362">
        <f t="shared" si="23"/>
        <v>1882</v>
      </c>
      <c r="BK80" s="615">
        <f t="shared" si="9"/>
        <v>1984</v>
      </c>
      <c r="BL80" s="363">
        <f t="shared" si="9"/>
        <v>0</v>
      </c>
    </row>
    <row r="81" spans="1:64" s="259" customFormat="1" x14ac:dyDescent="0.2">
      <c r="A81" s="364" t="s">
        <v>779</v>
      </c>
      <c r="B81" s="781">
        <v>173</v>
      </c>
      <c r="C81" s="782">
        <v>269</v>
      </c>
      <c r="D81" s="782">
        <v>242</v>
      </c>
      <c r="E81" s="782">
        <v>222</v>
      </c>
      <c r="F81" s="782">
        <v>150</v>
      </c>
      <c r="G81" s="782">
        <v>95</v>
      </c>
      <c r="H81" s="782">
        <v>124</v>
      </c>
      <c r="I81" s="783">
        <v>138</v>
      </c>
      <c r="J81" s="784"/>
      <c r="K81" s="781">
        <v>332</v>
      </c>
      <c r="L81" s="782">
        <v>362</v>
      </c>
      <c r="M81" s="782">
        <v>317</v>
      </c>
      <c r="N81" s="782">
        <v>308</v>
      </c>
      <c r="O81" s="782">
        <v>270</v>
      </c>
      <c r="P81" s="782">
        <v>163</v>
      </c>
      <c r="Q81" s="782">
        <v>160</v>
      </c>
      <c r="R81" s="783">
        <v>164</v>
      </c>
      <c r="S81" s="784"/>
      <c r="T81" s="781">
        <v>871</v>
      </c>
      <c r="U81" s="782">
        <v>901</v>
      </c>
      <c r="V81" s="782">
        <v>943</v>
      </c>
      <c r="W81" s="782">
        <v>798</v>
      </c>
      <c r="X81" s="782">
        <v>863</v>
      </c>
      <c r="Y81" s="782">
        <v>730</v>
      </c>
      <c r="Z81" s="782">
        <v>646</v>
      </c>
      <c r="AA81" s="783">
        <v>565</v>
      </c>
      <c r="AB81" s="784"/>
      <c r="AC81" s="781">
        <v>5663</v>
      </c>
      <c r="AD81" s="782">
        <v>5350</v>
      </c>
      <c r="AE81" s="782">
        <v>5509</v>
      </c>
      <c r="AF81" s="782">
        <v>4814</v>
      </c>
      <c r="AG81" s="782">
        <v>4859</v>
      </c>
      <c r="AH81" s="782">
        <v>4317</v>
      </c>
      <c r="AI81" s="782">
        <v>3714</v>
      </c>
      <c r="AJ81" s="783">
        <v>3411</v>
      </c>
      <c r="AK81" s="784"/>
      <c r="AL81" s="781">
        <v>1417</v>
      </c>
      <c r="AM81" s="782">
        <v>1555</v>
      </c>
      <c r="AN81" s="782">
        <v>1500</v>
      </c>
      <c r="AO81" s="782">
        <v>1137</v>
      </c>
      <c r="AP81" s="782">
        <v>1212</v>
      </c>
      <c r="AQ81" s="782">
        <v>1016</v>
      </c>
      <c r="AR81" s="782">
        <v>884</v>
      </c>
      <c r="AS81" s="783">
        <v>810</v>
      </c>
      <c r="AT81" s="784"/>
      <c r="AU81" s="781"/>
      <c r="AV81" s="782"/>
      <c r="AW81" s="782"/>
      <c r="AX81" s="782"/>
      <c r="AY81" s="782"/>
      <c r="AZ81" s="782"/>
      <c r="BA81" s="782">
        <v>1</v>
      </c>
      <c r="BB81" s="783"/>
      <c r="BC81" s="784"/>
      <c r="BD81" s="781">
        <f t="shared" si="17"/>
        <v>8456</v>
      </c>
      <c r="BE81" s="782">
        <f t="shared" si="18"/>
        <v>8437</v>
      </c>
      <c r="BF81" s="782">
        <f t="shared" si="19"/>
        <v>8511</v>
      </c>
      <c r="BG81" s="782">
        <f t="shared" si="20"/>
        <v>7279</v>
      </c>
      <c r="BH81" s="782">
        <f t="shared" si="21"/>
        <v>7354</v>
      </c>
      <c r="BI81" s="782">
        <f t="shared" si="22"/>
        <v>6321</v>
      </c>
      <c r="BJ81" s="782">
        <f t="shared" si="23"/>
        <v>5529</v>
      </c>
      <c r="BK81" s="783">
        <f t="shared" si="9"/>
        <v>5088</v>
      </c>
      <c r="BL81" s="784">
        <f t="shared" si="9"/>
        <v>0</v>
      </c>
    </row>
    <row r="82" spans="1:64" x14ac:dyDescent="0.2">
      <c r="A82" s="365" t="s">
        <v>690</v>
      </c>
      <c r="B82" s="257">
        <v>3</v>
      </c>
      <c r="C82" s="258">
        <v>11</v>
      </c>
      <c r="D82" s="258">
        <v>12</v>
      </c>
      <c r="E82" s="258">
        <v>7</v>
      </c>
      <c r="F82" s="258">
        <v>7</v>
      </c>
      <c r="G82" s="258">
        <v>7</v>
      </c>
      <c r="H82" s="258">
        <v>15</v>
      </c>
      <c r="I82" s="614">
        <v>11</v>
      </c>
      <c r="J82" s="354"/>
      <c r="K82" s="257">
        <v>13</v>
      </c>
      <c r="L82" s="258">
        <v>25</v>
      </c>
      <c r="M82" s="258">
        <v>24</v>
      </c>
      <c r="N82" s="258">
        <v>12</v>
      </c>
      <c r="O82" s="258">
        <v>11</v>
      </c>
      <c r="P82" s="258">
        <v>7</v>
      </c>
      <c r="Q82" s="258">
        <v>16</v>
      </c>
      <c r="R82" s="614">
        <v>20</v>
      </c>
      <c r="S82" s="354"/>
      <c r="T82" s="257">
        <v>36</v>
      </c>
      <c r="U82" s="258">
        <v>55</v>
      </c>
      <c r="V82" s="258">
        <v>28</v>
      </c>
      <c r="W82" s="258">
        <v>25</v>
      </c>
      <c r="X82" s="258">
        <v>27</v>
      </c>
      <c r="Y82" s="258">
        <v>44</v>
      </c>
      <c r="Z82" s="258">
        <v>40</v>
      </c>
      <c r="AA82" s="614">
        <v>16</v>
      </c>
      <c r="AB82" s="354"/>
      <c r="AC82" s="257">
        <v>207</v>
      </c>
      <c r="AD82" s="258">
        <v>229</v>
      </c>
      <c r="AE82" s="258">
        <v>225</v>
      </c>
      <c r="AF82" s="258">
        <v>178</v>
      </c>
      <c r="AG82" s="258">
        <v>212</v>
      </c>
      <c r="AH82" s="258">
        <v>258</v>
      </c>
      <c r="AI82" s="258">
        <v>161</v>
      </c>
      <c r="AJ82" s="614">
        <v>163</v>
      </c>
      <c r="AK82" s="354"/>
      <c r="AL82" s="257">
        <v>40</v>
      </c>
      <c r="AM82" s="258">
        <v>44</v>
      </c>
      <c r="AN82" s="258">
        <v>53</v>
      </c>
      <c r="AO82" s="258">
        <v>48</v>
      </c>
      <c r="AP82" s="258">
        <v>49</v>
      </c>
      <c r="AQ82" s="258">
        <v>61</v>
      </c>
      <c r="AR82" s="258">
        <v>40</v>
      </c>
      <c r="AS82" s="614">
        <v>35</v>
      </c>
      <c r="AT82" s="354"/>
      <c r="AU82" s="257"/>
      <c r="AV82" s="258"/>
      <c r="AW82" s="258"/>
      <c r="AX82" s="258"/>
      <c r="AY82" s="258"/>
      <c r="AZ82" s="258"/>
      <c r="BA82" s="258"/>
      <c r="BB82" s="614"/>
      <c r="BC82" s="354"/>
      <c r="BD82" s="257">
        <f t="shared" si="17"/>
        <v>299</v>
      </c>
      <c r="BE82" s="258">
        <f t="shared" si="18"/>
        <v>364</v>
      </c>
      <c r="BF82" s="258">
        <f t="shared" si="19"/>
        <v>342</v>
      </c>
      <c r="BG82" s="258">
        <f t="shared" si="20"/>
        <v>270</v>
      </c>
      <c r="BH82" s="258">
        <f t="shared" si="21"/>
        <v>306</v>
      </c>
      <c r="BI82" s="258">
        <f t="shared" si="22"/>
        <v>377</v>
      </c>
      <c r="BJ82" s="258">
        <f t="shared" si="23"/>
        <v>272</v>
      </c>
      <c r="BK82" s="614">
        <f t="shared" si="9"/>
        <v>245</v>
      </c>
      <c r="BL82" s="354">
        <f t="shared" si="9"/>
        <v>0</v>
      </c>
    </row>
    <row r="83" spans="1:64" x14ac:dyDescent="0.2">
      <c r="A83" s="365" t="s">
        <v>689</v>
      </c>
      <c r="B83" s="257">
        <v>86</v>
      </c>
      <c r="C83" s="258">
        <v>131</v>
      </c>
      <c r="D83" s="258">
        <v>99</v>
      </c>
      <c r="E83" s="258">
        <v>94</v>
      </c>
      <c r="F83" s="258">
        <v>54</v>
      </c>
      <c r="G83" s="258">
        <v>36</v>
      </c>
      <c r="H83" s="258">
        <v>58</v>
      </c>
      <c r="I83" s="614">
        <v>73</v>
      </c>
      <c r="J83" s="354"/>
      <c r="K83" s="257">
        <v>171</v>
      </c>
      <c r="L83" s="258">
        <v>203</v>
      </c>
      <c r="M83" s="258">
        <v>151</v>
      </c>
      <c r="N83" s="258">
        <v>163</v>
      </c>
      <c r="O83" s="258">
        <v>108</v>
      </c>
      <c r="P83" s="258">
        <v>78</v>
      </c>
      <c r="Q83" s="258">
        <v>85</v>
      </c>
      <c r="R83" s="614">
        <v>60</v>
      </c>
      <c r="S83" s="354"/>
      <c r="T83" s="257">
        <v>505</v>
      </c>
      <c r="U83" s="258">
        <v>527</v>
      </c>
      <c r="V83" s="258">
        <v>463</v>
      </c>
      <c r="W83" s="258">
        <v>448</v>
      </c>
      <c r="X83" s="258">
        <v>462</v>
      </c>
      <c r="Y83" s="258">
        <v>395</v>
      </c>
      <c r="Z83" s="258">
        <v>385</v>
      </c>
      <c r="AA83" s="614">
        <v>293</v>
      </c>
      <c r="AB83" s="354"/>
      <c r="AC83" s="257">
        <v>3110</v>
      </c>
      <c r="AD83" s="258">
        <v>3105</v>
      </c>
      <c r="AE83" s="258">
        <v>2994</v>
      </c>
      <c r="AF83" s="258">
        <v>2727</v>
      </c>
      <c r="AG83" s="258">
        <v>2594</v>
      </c>
      <c r="AH83" s="258">
        <v>2386</v>
      </c>
      <c r="AI83" s="258">
        <v>2011</v>
      </c>
      <c r="AJ83" s="614">
        <v>1638</v>
      </c>
      <c r="AK83" s="354"/>
      <c r="AL83" s="257">
        <v>818</v>
      </c>
      <c r="AM83" s="258">
        <v>907</v>
      </c>
      <c r="AN83" s="258">
        <v>903</v>
      </c>
      <c r="AO83" s="258">
        <v>643</v>
      </c>
      <c r="AP83" s="258">
        <v>719</v>
      </c>
      <c r="AQ83" s="258">
        <v>532</v>
      </c>
      <c r="AR83" s="258">
        <v>497</v>
      </c>
      <c r="AS83" s="614">
        <v>403</v>
      </c>
      <c r="AT83" s="354"/>
      <c r="AU83" s="257"/>
      <c r="AV83" s="258"/>
      <c r="AW83" s="258"/>
      <c r="AX83" s="258"/>
      <c r="AY83" s="258"/>
      <c r="AZ83" s="258"/>
      <c r="BA83" s="258"/>
      <c r="BB83" s="614"/>
      <c r="BC83" s="354"/>
      <c r="BD83" s="257">
        <f t="shared" si="17"/>
        <v>4690</v>
      </c>
      <c r="BE83" s="258">
        <f t="shared" si="18"/>
        <v>4873</v>
      </c>
      <c r="BF83" s="258">
        <f t="shared" si="19"/>
        <v>4610</v>
      </c>
      <c r="BG83" s="258">
        <f t="shared" si="20"/>
        <v>4075</v>
      </c>
      <c r="BH83" s="258">
        <f t="shared" si="21"/>
        <v>3937</v>
      </c>
      <c r="BI83" s="258">
        <f t="shared" si="22"/>
        <v>3427</v>
      </c>
      <c r="BJ83" s="258">
        <f t="shared" si="23"/>
        <v>3036</v>
      </c>
      <c r="BK83" s="614">
        <f t="shared" si="9"/>
        <v>2467</v>
      </c>
      <c r="BL83" s="354">
        <f t="shared" si="9"/>
        <v>0</v>
      </c>
    </row>
    <row r="84" spans="1:64" x14ac:dyDescent="0.2">
      <c r="A84" s="365" t="s">
        <v>815</v>
      </c>
      <c r="B84" s="257">
        <v>29</v>
      </c>
      <c r="C84" s="258">
        <v>1</v>
      </c>
      <c r="D84" s="258">
        <v>4</v>
      </c>
      <c r="E84" s="258">
        <v>6</v>
      </c>
      <c r="F84" s="258">
        <v>7</v>
      </c>
      <c r="G84" s="258">
        <v>3</v>
      </c>
      <c r="H84" s="258">
        <v>6</v>
      </c>
      <c r="I84" s="614">
        <v>8</v>
      </c>
      <c r="J84" s="354"/>
      <c r="K84" s="257">
        <v>11</v>
      </c>
      <c r="L84" s="258">
        <v>2</v>
      </c>
      <c r="M84" s="258">
        <v>9</v>
      </c>
      <c r="N84" s="258">
        <v>9</v>
      </c>
      <c r="O84" s="258">
        <v>5</v>
      </c>
      <c r="P84" s="258">
        <v>2</v>
      </c>
      <c r="Q84" s="258">
        <v>1</v>
      </c>
      <c r="R84" s="614">
        <v>12</v>
      </c>
      <c r="S84" s="354"/>
      <c r="T84" s="257">
        <v>9</v>
      </c>
      <c r="U84" s="258">
        <v>10</v>
      </c>
      <c r="V84" s="258">
        <v>14</v>
      </c>
      <c r="W84" s="258">
        <v>27</v>
      </c>
      <c r="X84" s="258">
        <v>19</v>
      </c>
      <c r="Y84" s="258">
        <v>12</v>
      </c>
      <c r="Z84" s="258">
        <v>4</v>
      </c>
      <c r="AA84" s="614">
        <v>21</v>
      </c>
      <c r="AB84" s="354"/>
      <c r="AC84" s="257">
        <v>84</v>
      </c>
      <c r="AD84" s="258">
        <v>103</v>
      </c>
      <c r="AE84" s="258">
        <v>57</v>
      </c>
      <c r="AF84" s="258">
        <v>130</v>
      </c>
      <c r="AG84" s="258">
        <v>68</v>
      </c>
      <c r="AH84" s="258">
        <v>61</v>
      </c>
      <c r="AI84" s="258">
        <v>49</v>
      </c>
      <c r="AJ84" s="614">
        <v>274</v>
      </c>
      <c r="AK84" s="354"/>
      <c r="AL84" s="257">
        <v>12</v>
      </c>
      <c r="AM84" s="258">
        <v>78</v>
      </c>
      <c r="AN84" s="258">
        <v>22</v>
      </c>
      <c r="AO84" s="258">
        <v>18</v>
      </c>
      <c r="AP84" s="258">
        <v>8</v>
      </c>
      <c r="AQ84" s="258">
        <v>24</v>
      </c>
      <c r="AR84" s="258">
        <v>9</v>
      </c>
      <c r="AS84" s="614">
        <v>40</v>
      </c>
      <c r="AT84" s="354"/>
      <c r="AU84" s="257"/>
      <c r="AV84" s="258"/>
      <c r="AW84" s="258"/>
      <c r="AX84" s="258"/>
      <c r="AY84" s="258"/>
      <c r="AZ84" s="258"/>
      <c r="BA84" s="258"/>
      <c r="BB84" s="614"/>
      <c r="BC84" s="354"/>
      <c r="BD84" s="257">
        <f t="shared" si="17"/>
        <v>145</v>
      </c>
      <c r="BE84" s="258">
        <f t="shared" si="18"/>
        <v>194</v>
      </c>
      <c r="BF84" s="258">
        <f t="shared" si="19"/>
        <v>106</v>
      </c>
      <c r="BG84" s="258">
        <f t="shared" si="20"/>
        <v>190</v>
      </c>
      <c r="BH84" s="258">
        <f t="shared" si="21"/>
        <v>107</v>
      </c>
      <c r="BI84" s="258">
        <f t="shared" si="22"/>
        <v>102</v>
      </c>
      <c r="BJ84" s="258">
        <f t="shared" si="23"/>
        <v>69</v>
      </c>
      <c r="BK84" s="614">
        <f t="shared" si="9"/>
        <v>355</v>
      </c>
      <c r="BL84" s="354">
        <f t="shared" si="9"/>
        <v>0</v>
      </c>
    </row>
    <row r="85" spans="1:64" x14ac:dyDescent="0.2">
      <c r="A85" s="365" t="s">
        <v>691</v>
      </c>
      <c r="B85" s="257"/>
      <c r="C85" s="258">
        <v>6</v>
      </c>
      <c r="D85" s="258">
        <v>11</v>
      </c>
      <c r="E85" s="258">
        <v>12</v>
      </c>
      <c r="F85" s="258">
        <v>6</v>
      </c>
      <c r="G85" s="258">
        <v>2</v>
      </c>
      <c r="H85" s="258">
        <v>12</v>
      </c>
      <c r="I85" s="614">
        <v>6</v>
      </c>
      <c r="J85" s="354"/>
      <c r="K85" s="257">
        <v>12</v>
      </c>
      <c r="L85" s="258">
        <v>9</v>
      </c>
      <c r="M85" s="258">
        <v>9</v>
      </c>
      <c r="N85" s="258">
        <v>11</v>
      </c>
      <c r="O85" s="258">
        <v>14</v>
      </c>
      <c r="P85" s="258">
        <v>2</v>
      </c>
      <c r="Q85" s="258">
        <v>5</v>
      </c>
      <c r="R85" s="614">
        <v>11</v>
      </c>
      <c r="S85" s="354"/>
      <c r="T85" s="257">
        <v>33</v>
      </c>
      <c r="U85" s="258">
        <v>26</v>
      </c>
      <c r="V85" s="258">
        <v>19</v>
      </c>
      <c r="W85" s="258">
        <v>18</v>
      </c>
      <c r="X85" s="258">
        <v>30</v>
      </c>
      <c r="Y85" s="258">
        <v>13</v>
      </c>
      <c r="Z85" s="258">
        <v>10</v>
      </c>
      <c r="AA85" s="614">
        <v>25</v>
      </c>
      <c r="AB85" s="354"/>
      <c r="AC85" s="257">
        <v>145</v>
      </c>
      <c r="AD85" s="258">
        <v>107</v>
      </c>
      <c r="AE85" s="258">
        <v>140</v>
      </c>
      <c r="AF85" s="258">
        <v>116</v>
      </c>
      <c r="AG85" s="258">
        <v>132</v>
      </c>
      <c r="AH85" s="258">
        <v>90</v>
      </c>
      <c r="AI85" s="258">
        <v>101</v>
      </c>
      <c r="AJ85" s="614">
        <v>76</v>
      </c>
      <c r="AK85" s="354"/>
      <c r="AL85" s="257">
        <v>28</v>
      </c>
      <c r="AM85" s="258">
        <v>24</v>
      </c>
      <c r="AN85" s="258">
        <v>28</v>
      </c>
      <c r="AO85" s="258">
        <v>22</v>
      </c>
      <c r="AP85" s="258">
        <v>19</v>
      </c>
      <c r="AQ85" s="258">
        <v>32</v>
      </c>
      <c r="AR85" s="258">
        <v>21</v>
      </c>
      <c r="AS85" s="614">
        <v>16</v>
      </c>
      <c r="AT85" s="354"/>
      <c r="AU85" s="257"/>
      <c r="AV85" s="258"/>
      <c r="AW85" s="258"/>
      <c r="AX85" s="258"/>
      <c r="AY85" s="258"/>
      <c r="AZ85" s="258"/>
      <c r="BA85" s="258"/>
      <c r="BB85" s="614"/>
      <c r="BC85" s="354"/>
      <c r="BD85" s="257">
        <f t="shared" si="17"/>
        <v>218</v>
      </c>
      <c r="BE85" s="258">
        <f t="shared" si="18"/>
        <v>172</v>
      </c>
      <c r="BF85" s="258">
        <f t="shared" si="19"/>
        <v>207</v>
      </c>
      <c r="BG85" s="258">
        <f t="shared" si="20"/>
        <v>179</v>
      </c>
      <c r="BH85" s="258">
        <f t="shared" si="21"/>
        <v>201</v>
      </c>
      <c r="BI85" s="258">
        <f t="shared" si="22"/>
        <v>139</v>
      </c>
      <c r="BJ85" s="258">
        <f t="shared" si="23"/>
        <v>149</v>
      </c>
      <c r="BK85" s="614">
        <f t="shared" si="9"/>
        <v>134</v>
      </c>
      <c r="BL85" s="354">
        <f t="shared" si="9"/>
        <v>0</v>
      </c>
    </row>
    <row r="86" spans="1:64" x14ac:dyDescent="0.2">
      <c r="A86" s="365" t="s">
        <v>692</v>
      </c>
      <c r="B86" s="257">
        <v>30</v>
      </c>
      <c r="C86" s="258">
        <v>69</v>
      </c>
      <c r="D86" s="258">
        <v>62</v>
      </c>
      <c r="E86" s="258">
        <v>52</v>
      </c>
      <c r="F86" s="258">
        <v>46</v>
      </c>
      <c r="G86" s="258">
        <v>17</v>
      </c>
      <c r="H86" s="258">
        <v>17</v>
      </c>
      <c r="I86" s="614">
        <v>21</v>
      </c>
      <c r="J86" s="354"/>
      <c r="K86" s="257">
        <v>46</v>
      </c>
      <c r="L86" s="258">
        <v>61</v>
      </c>
      <c r="M86" s="258">
        <v>58</v>
      </c>
      <c r="N86" s="258">
        <v>50</v>
      </c>
      <c r="O86" s="258">
        <v>65</v>
      </c>
      <c r="P86" s="258">
        <v>28</v>
      </c>
      <c r="Q86" s="258">
        <v>23</v>
      </c>
      <c r="R86" s="614">
        <v>28</v>
      </c>
      <c r="S86" s="354"/>
      <c r="T86" s="257">
        <v>147</v>
      </c>
      <c r="U86" s="258">
        <v>149</v>
      </c>
      <c r="V86" s="258">
        <v>152</v>
      </c>
      <c r="W86" s="258">
        <v>145</v>
      </c>
      <c r="X86" s="258">
        <v>136</v>
      </c>
      <c r="Y86" s="258">
        <v>126</v>
      </c>
      <c r="Z86" s="258">
        <v>93</v>
      </c>
      <c r="AA86" s="614">
        <v>93</v>
      </c>
      <c r="AB86" s="354"/>
      <c r="AC86" s="257">
        <v>1086</v>
      </c>
      <c r="AD86" s="258">
        <v>981</v>
      </c>
      <c r="AE86" s="258">
        <v>981</v>
      </c>
      <c r="AF86" s="258">
        <v>865</v>
      </c>
      <c r="AG86" s="258">
        <v>921</v>
      </c>
      <c r="AH86" s="258">
        <v>797</v>
      </c>
      <c r="AI86" s="258">
        <v>698</v>
      </c>
      <c r="AJ86" s="614">
        <v>622</v>
      </c>
      <c r="AK86" s="354"/>
      <c r="AL86" s="257">
        <v>259</v>
      </c>
      <c r="AM86" s="258">
        <v>268</v>
      </c>
      <c r="AN86" s="258">
        <v>217</v>
      </c>
      <c r="AO86" s="258">
        <v>211</v>
      </c>
      <c r="AP86" s="258">
        <v>189</v>
      </c>
      <c r="AQ86" s="258">
        <v>180</v>
      </c>
      <c r="AR86" s="258">
        <v>160</v>
      </c>
      <c r="AS86" s="614">
        <v>135</v>
      </c>
      <c r="AT86" s="354"/>
      <c r="AU86" s="257"/>
      <c r="AV86" s="258"/>
      <c r="AW86" s="258"/>
      <c r="AX86" s="258"/>
      <c r="AY86" s="258"/>
      <c r="AZ86" s="258"/>
      <c r="BA86" s="258"/>
      <c r="BB86" s="614"/>
      <c r="BC86" s="354"/>
      <c r="BD86" s="257">
        <f t="shared" si="17"/>
        <v>1568</v>
      </c>
      <c r="BE86" s="258">
        <f t="shared" si="18"/>
        <v>1528</v>
      </c>
      <c r="BF86" s="258">
        <f t="shared" si="19"/>
        <v>1470</v>
      </c>
      <c r="BG86" s="258">
        <f t="shared" si="20"/>
        <v>1323</v>
      </c>
      <c r="BH86" s="258">
        <f t="shared" si="21"/>
        <v>1357</v>
      </c>
      <c r="BI86" s="258">
        <f t="shared" si="22"/>
        <v>1148</v>
      </c>
      <c r="BJ86" s="258">
        <f t="shared" si="23"/>
        <v>991</v>
      </c>
      <c r="BK86" s="614">
        <f t="shared" si="9"/>
        <v>899</v>
      </c>
      <c r="BL86" s="354">
        <f t="shared" si="9"/>
        <v>0</v>
      </c>
    </row>
    <row r="87" spans="1:64" ht="13.5" thickBot="1" x14ac:dyDescent="0.25">
      <c r="A87" s="366" t="s">
        <v>693</v>
      </c>
      <c r="B87" s="361">
        <v>25</v>
      </c>
      <c r="C87" s="362">
        <v>51</v>
      </c>
      <c r="D87" s="362">
        <v>54</v>
      </c>
      <c r="E87" s="362">
        <v>51</v>
      </c>
      <c r="F87" s="362">
        <v>30</v>
      </c>
      <c r="G87" s="362">
        <v>30</v>
      </c>
      <c r="H87" s="362">
        <v>16</v>
      </c>
      <c r="I87" s="615">
        <v>19</v>
      </c>
      <c r="J87" s="363"/>
      <c r="K87" s="361">
        <v>79</v>
      </c>
      <c r="L87" s="362">
        <v>62</v>
      </c>
      <c r="M87" s="362">
        <v>66</v>
      </c>
      <c r="N87" s="362">
        <v>63</v>
      </c>
      <c r="O87" s="362">
        <v>67</v>
      </c>
      <c r="P87" s="362">
        <v>46</v>
      </c>
      <c r="Q87" s="362">
        <v>30</v>
      </c>
      <c r="R87" s="615">
        <v>33</v>
      </c>
      <c r="S87" s="363"/>
      <c r="T87" s="361">
        <v>141</v>
      </c>
      <c r="U87" s="362">
        <v>134</v>
      </c>
      <c r="V87" s="362">
        <v>267</v>
      </c>
      <c r="W87" s="362">
        <v>135</v>
      </c>
      <c r="X87" s="362">
        <v>189</v>
      </c>
      <c r="Y87" s="362">
        <v>140</v>
      </c>
      <c r="Z87" s="362">
        <v>114</v>
      </c>
      <c r="AA87" s="615">
        <v>117</v>
      </c>
      <c r="AB87" s="363"/>
      <c r="AC87" s="361">
        <v>1031</v>
      </c>
      <c r="AD87" s="362">
        <v>825</v>
      </c>
      <c r="AE87" s="362">
        <v>1112</v>
      </c>
      <c r="AF87" s="362">
        <v>798</v>
      </c>
      <c r="AG87" s="362">
        <v>932</v>
      </c>
      <c r="AH87" s="362">
        <v>725</v>
      </c>
      <c r="AI87" s="362">
        <v>694</v>
      </c>
      <c r="AJ87" s="615">
        <v>638</v>
      </c>
      <c r="AK87" s="363"/>
      <c r="AL87" s="361">
        <v>260</v>
      </c>
      <c r="AM87" s="362">
        <v>234</v>
      </c>
      <c r="AN87" s="362">
        <v>277</v>
      </c>
      <c r="AO87" s="362">
        <v>195</v>
      </c>
      <c r="AP87" s="362">
        <v>228</v>
      </c>
      <c r="AQ87" s="362">
        <v>187</v>
      </c>
      <c r="AR87" s="362">
        <v>157</v>
      </c>
      <c r="AS87" s="615">
        <v>181</v>
      </c>
      <c r="AT87" s="363"/>
      <c r="AU87" s="361"/>
      <c r="AV87" s="362"/>
      <c r="AW87" s="362"/>
      <c r="AX87" s="362"/>
      <c r="AY87" s="362"/>
      <c r="AZ87" s="362"/>
      <c r="BA87" s="362">
        <v>1</v>
      </c>
      <c r="BB87" s="615"/>
      <c r="BC87" s="363"/>
      <c r="BD87" s="361">
        <f t="shared" si="17"/>
        <v>1536</v>
      </c>
      <c r="BE87" s="362">
        <f t="shared" si="18"/>
        <v>1306</v>
      </c>
      <c r="BF87" s="362">
        <f t="shared" si="19"/>
        <v>1776</v>
      </c>
      <c r="BG87" s="362">
        <f t="shared" si="20"/>
        <v>1242</v>
      </c>
      <c r="BH87" s="362">
        <f t="shared" si="21"/>
        <v>1446</v>
      </c>
      <c r="BI87" s="362">
        <f t="shared" si="22"/>
        <v>1128</v>
      </c>
      <c r="BJ87" s="362">
        <f t="shared" si="23"/>
        <v>1012</v>
      </c>
      <c r="BK87" s="615">
        <f t="shared" si="9"/>
        <v>988</v>
      </c>
      <c r="BL87" s="363">
        <f t="shared" si="9"/>
        <v>0</v>
      </c>
    </row>
    <row r="88" spans="1:64" s="259" customFormat="1" x14ac:dyDescent="0.2">
      <c r="A88" s="364" t="s">
        <v>778</v>
      </c>
      <c r="B88" s="781">
        <v>273</v>
      </c>
      <c r="C88" s="782">
        <v>295</v>
      </c>
      <c r="D88" s="782">
        <v>252</v>
      </c>
      <c r="E88" s="782">
        <v>282</v>
      </c>
      <c r="F88" s="782">
        <v>255</v>
      </c>
      <c r="G88" s="782">
        <v>250</v>
      </c>
      <c r="H88" s="782">
        <v>211</v>
      </c>
      <c r="I88" s="783">
        <v>178</v>
      </c>
      <c r="J88" s="784"/>
      <c r="K88" s="781">
        <v>510</v>
      </c>
      <c r="L88" s="782">
        <v>612</v>
      </c>
      <c r="M88" s="782">
        <v>585</v>
      </c>
      <c r="N88" s="782">
        <v>502</v>
      </c>
      <c r="O88" s="782">
        <v>487</v>
      </c>
      <c r="P88" s="782">
        <v>416</v>
      </c>
      <c r="Q88" s="782">
        <v>355</v>
      </c>
      <c r="R88" s="783">
        <v>265</v>
      </c>
      <c r="S88" s="784"/>
      <c r="T88" s="781">
        <v>1327</v>
      </c>
      <c r="U88" s="782">
        <v>1578</v>
      </c>
      <c r="V88" s="782">
        <v>1398</v>
      </c>
      <c r="W88" s="782">
        <v>1309</v>
      </c>
      <c r="X88" s="782">
        <v>1223</v>
      </c>
      <c r="Y88" s="782">
        <v>1021</v>
      </c>
      <c r="Z88" s="782">
        <v>893</v>
      </c>
      <c r="AA88" s="783">
        <v>644</v>
      </c>
      <c r="AB88" s="784"/>
      <c r="AC88" s="781">
        <v>8835</v>
      </c>
      <c r="AD88" s="782">
        <v>9032</v>
      </c>
      <c r="AE88" s="782">
        <v>7843</v>
      </c>
      <c r="AF88" s="782">
        <v>6427</v>
      </c>
      <c r="AG88" s="782">
        <v>5850</v>
      </c>
      <c r="AH88" s="782">
        <v>4837</v>
      </c>
      <c r="AI88" s="782">
        <v>5152</v>
      </c>
      <c r="AJ88" s="783">
        <v>3087</v>
      </c>
      <c r="AK88" s="784"/>
      <c r="AL88" s="781">
        <v>2734</v>
      </c>
      <c r="AM88" s="782">
        <v>2867</v>
      </c>
      <c r="AN88" s="782">
        <v>2943</v>
      </c>
      <c r="AO88" s="782">
        <v>2334</v>
      </c>
      <c r="AP88" s="782">
        <v>1685</v>
      </c>
      <c r="AQ88" s="782">
        <v>1439</v>
      </c>
      <c r="AR88" s="782">
        <v>1727</v>
      </c>
      <c r="AS88" s="783">
        <v>998</v>
      </c>
      <c r="AT88" s="784"/>
      <c r="AU88" s="781"/>
      <c r="AV88" s="782"/>
      <c r="AW88" s="782"/>
      <c r="AX88" s="782"/>
      <c r="AY88" s="782"/>
      <c r="AZ88" s="782"/>
      <c r="BA88" s="782"/>
      <c r="BB88" s="783"/>
      <c r="BC88" s="784"/>
      <c r="BD88" s="781">
        <f t="shared" si="17"/>
        <v>13679</v>
      </c>
      <c r="BE88" s="782">
        <f t="shared" si="18"/>
        <v>14384</v>
      </c>
      <c r="BF88" s="782">
        <f t="shared" si="19"/>
        <v>13021</v>
      </c>
      <c r="BG88" s="782">
        <f t="shared" si="20"/>
        <v>10854</v>
      </c>
      <c r="BH88" s="782">
        <f t="shared" si="21"/>
        <v>9500</v>
      </c>
      <c r="BI88" s="782">
        <f t="shared" si="22"/>
        <v>7963</v>
      </c>
      <c r="BJ88" s="782">
        <f t="shared" si="23"/>
        <v>8338</v>
      </c>
      <c r="BK88" s="783">
        <f t="shared" si="9"/>
        <v>5172</v>
      </c>
      <c r="BL88" s="784">
        <f t="shared" si="9"/>
        <v>0</v>
      </c>
    </row>
    <row r="89" spans="1:64" x14ac:dyDescent="0.2">
      <c r="A89" s="365" t="s">
        <v>700</v>
      </c>
      <c r="B89" s="257">
        <v>13</v>
      </c>
      <c r="C89" s="258">
        <v>38</v>
      </c>
      <c r="D89" s="258">
        <v>11</v>
      </c>
      <c r="E89" s="258">
        <v>22</v>
      </c>
      <c r="F89" s="258">
        <v>11</v>
      </c>
      <c r="G89" s="258">
        <v>21</v>
      </c>
      <c r="H89" s="258">
        <v>4</v>
      </c>
      <c r="I89" s="614">
        <v>2</v>
      </c>
      <c r="J89" s="354"/>
      <c r="K89" s="257">
        <v>21</v>
      </c>
      <c r="L89" s="258">
        <v>31</v>
      </c>
      <c r="M89" s="258">
        <v>19</v>
      </c>
      <c r="N89" s="258">
        <v>30</v>
      </c>
      <c r="O89" s="258">
        <v>31</v>
      </c>
      <c r="P89" s="258">
        <v>19</v>
      </c>
      <c r="Q89" s="258">
        <v>12</v>
      </c>
      <c r="R89" s="614">
        <v>8</v>
      </c>
      <c r="S89" s="354"/>
      <c r="T89" s="257">
        <v>49</v>
      </c>
      <c r="U89" s="258">
        <v>59</v>
      </c>
      <c r="V89" s="258">
        <v>46</v>
      </c>
      <c r="W89" s="258">
        <v>66</v>
      </c>
      <c r="X89" s="258">
        <v>82</v>
      </c>
      <c r="Y89" s="258">
        <v>54</v>
      </c>
      <c r="Z89" s="258">
        <v>39</v>
      </c>
      <c r="AA89" s="614">
        <v>39</v>
      </c>
      <c r="AB89" s="354"/>
      <c r="AC89" s="257">
        <v>378</v>
      </c>
      <c r="AD89" s="258">
        <v>416</v>
      </c>
      <c r="AE89" s="258">
        <v>319</v>
      </c>
      <c r="AF89" s="258">
        <v>341</v>
      </c>
      <c r="AG89" s="258">
        <v>256</v>
      </c>
      <c r="AH89" s="258">
        <v>209</v>
      </c>
      <c r="AI89" s="258">
        <v>192</v>
      </c>
      <c r="AJ89" s="614">
        <v>156</v>
      </c>
      <c r="AK89" s="354"/>
      <c r="AL89" s="257">
        <v>172</v>
      </c>
      <c r="AM89" s="258">
        <v>153</v>
      </c>
      <c r="AN89" s="258">
        <v>146</v>
      </c>
      <c r="AO89" s="258">
        <v>124</v>
      </c>
      <c r="AP89" s="258">
        <v>64</v>
      </c>
      <c r="AQ89" s="258">
        <v>68</v>
      </c>
      <c r="AR89" s="258">
        <v>70</v>
      </c>
      <c r="AS89" s="614">
        <v>54</v>
      </c>
      <c r="AT89" s="354"/>
      <c r="AU89" s="257"/>
      <c r="AV89" s="258"/>
      <c r="AW89" s="258"/>
      <c r="AX89" s="258"/>
      <c r="AY89" s="258"/>
      <c r="AZ89" s="258"/>
      <c r="BA89" s="258"/>
      <c r="BB89" s="614"/>
      <c r="BC89" s="354"/>
      <c r="BD89" s="257">
        <f t="shared" si="17"/>
        <v>633</v>
      </c>
      <c r="BE89" s="258">
        <f t="shared" si="18"/>
        <v>697</v>
      </c>
      <c r="BF89" s="258">
        <f t="shared" si="19"/>
        <v>541</v>
      </c>
      <c r="BG89" s="258">
        <f t="shared" si="20"/>
        <v>583</v>
      </c>
      <c r="BH89" s="258">
        <f t="shared" si="21"/>
        <v>444</v>
      </c>
      <c r="BI89" s="258">
        <f t="shared" si="22"/>
        <v>371</v>
      </c>
      <c r="BJ89" s="258">
        <f t="shared" si="23"/>
        <v>317</v>
      </c>
      <c r="BK89" s="614">
        <f t="shared" si="9"/>
        <v>259</v>
      </c>
      <c r="BL89" s="354">
        <f t="shared" si="9"/>
        <v>0</v>
      </c>
    </row>
    <row r="90" spans="1:64" x14ac:dyDescent="0.2">
      <c r="A90" s="365" t="s">
        <v>695</v>
      </c>
      <c r="B90" s="257">
        <v>51</v>
      </c>
      <c r="C90" s="258">
        <v>53</v>
      </c>
      <c r="D90" s="258">
        <v>42</v>
      </c>
      <c r="E90" s="258">
        <v>67</v>
      </c>
      <c r="F90" s="258">
        <v>48</v>
      </c>
      <c r="G90" s="258">
        <v>37</v>
      </c>
      <c r="H90" s="258">
        <v>46</v>
      </c>
      <c r="I90" s="614">
        <v>39</v>
      </c>
      <c r="J90" s="354"/>
      <c r="K90" s="257">
        <v>95</v>
      </c>
      <c r="L90" s="258">
        <v>82</v>
      </c>
      <c r="M90" s="258">
        <v>73</v>
      </c>
      <c r="N90" s="258">
        <v>74</v>
      </c>
      <c r="O90" s="258">
        <v>68</v>
      </c>
      <c r="P90" s="258">
        <v>78</v>
      </c>
      <c r="Q90" s="258">
        <v>59</v>
      </c>
      <c r="R90" s="614">
        <v>47</v>
      </c>
      <c r="S90" s="354"/>
      <c r="T90" s="257">
        <v>143</v>
      </c>
      <c r="U90" s="258">
        <v>117</v>
      </c>
      <c r="V90" s="258">
        <v>137</v>
      </c>
      <c r="W90" s="258">
        <v>147</v>
      </c>
      <c r="X90" s="258">
        <v>108</v>
      </c>
      <c r="Y90" s="258">
        <v>124</v>
      </c>
      <c r="Z90" s="258">
        <v>109</v>
      </c>
      <c r="AA90" s="614">
        <v>67</v>
      </c>
      <c r="AB90" s="354"/>
      <c r="AC90" s="257">
        <v>993</v>
      </c>
      <c r="AD90" s="258">
        <v>851</v>
      </c>
      <c r="AE90" s="258">
        <v>713</v>
      </c>
      <c r="AF90" s="258">
        <v>675</v>
      </c>
      <c r="AG90" s="258">
        <v>623</v>
      </c>
      <c r="AH90" s="258">
        <v>619</v>
      </c>
      <c r="AI90" s="258">
        <v>532</v>
      </c>
      <c r="AJ90" s="614">
        <v>442</v>
      </c>
      <c r="AK90" s="354"/>
      <c r="AL90" s="257">
        <v>400</v>
      </c>
      <c r="AM90" s="258">
        <v>332</v>
      </c>
      <c r="AN90" s="258">
        <v>314</v>
      </c>
      <c r="AO90" s="258">
        <v>279</v>
      </c>
      <c r="AP90" s="258">
        <v>191</v>
      </c>
      <c r="AQ90" s="258">
        <v>160</v>
      </c>
      <c r="AR90" s="258">
        <v>121</v>
      </c>
      <c r="AS90" s="614">
        <v>152</v>
      </c>
      <c r="AT90" s="354"/>
      <c r="AU90" s="257"/>
      <c r="AV90" s="258"/>
      <c r="AW90" s="258"/>
      <c r="AX90" s="258"/>
      <c r="AY90" s="258"/>
      <c r="AZ90" s="258"/>
      <c r="BA90" s="258"/>
      <c r="BB90" s="614"/>
      <c r="BC90" s="354"/>
      <c r="BD90" s="257">
        <f t="shared" si="17"/>
        <v>1682</v>
      </c>
      <c r="BE90" s="258">
        <f t="shared" si="18"/>
        <v>1435</v>
      </c>
      <c r="BF90" s="258">
        <f t="shared" si="19"/>
        <v>1279</v>
      </c>
      <c r="BG90" s="258">
        <f t="shared" si="20"/>
        <v>1242</v>
      </c>
      <c r="BH90" s="258">
        <f t="shared" si="21"/>
        <v>1038</v>
      </c>
      <c r="BI90" s="258">
        <f t="shared" si="22"/>
        <v>1018</v>
      </c>
      <c r="BJ90" s="258">
        <f t="shared" si="23"/>
        <v>867</v>
      </c>
      <c r="BK90" s="614">
        <f t="shared" si="9"/>
        <v>747</v>
      </c>
      <c r="BL90" s="354">
        <f t="shared" si="9"/>
        <v>0</v>
      </c>
    </row>
    <row r="91" spans="1:64" x14ac:dyDescent="0.2">
      <c r="A91" s="365" t="s">
        <v>694</v>
      </c>
      <c r="B91" s="257">
        <v>82</v>
      </c>
      <c r="C91" s="258">
        <v>89</v>
      </c>
      <c r="D91" s="258">
        <v>64</v>
      </c>
      <c r="E91" s="258">
        <v>61</v>
      </c>
      <c r="F91" s="258">
        <v>54</v>
      </c>
      <c r="G91" s="258">
        <v>65</v>
      </c>
      <c r="H91" s="258">
        <v>78</v>
      </c>
      <c r="I91" s="614">
        <v>43</v>
      </c>
      <c r="J91" s="354"/>
      <c r="K91" s="257">
        <v>235</v>
      </c>
      <c r="L91" s="258">
        <v>227</v>
      </c>
      <c r="M91" s="258">
        <v>269</v>
      </c>
      <c r="N91" s="258">
        <v>157</v>
      </c>
      <c r="O91" s="258">
        <v>122</v>
      </c>
      <c r="P91" s="258">
        <v>140</v>
      </c>
      <c r="Q91" s="258">
        <v>145</v>
      </c>
      <c r="R91" s="614">
        <v>66</v>
      </c>
      <c r="S91" s="354"/>
      <c r="T91" s="257">
        <v>664</v>
      </c>
      <c r="U91" s="258">
        <v>801</v>
      </c>
      <c r="V91" s="258">
        <v>782</v>
      </c>
      <c r="W91" s="258">
        <v>667</v>
      </c>
      <c r="X91" s="258">
        <v>654</v>
      </c>
      <c r="Y91" s="258">
        <v>458</v>
      </c>
      <c r="Z91" s="258">
        <v>492</v>
      </c>
      <c r="AA91" s="614">
        <v>320</v>
      </c>
      <c r="AB91" s="354"/>
      <c r="AC91" s="257">
        <v>4122</v>
      </c>
      <c r="AD91" s="258">
        <v>4095</v>
      </c>
      <c r="AE91" s="258">
        <v>3972</v>
      </c>
      <c r="AF91" s="258">
        <v>2976</v>
      </c>
      <c r="AG91" s="258">
        <v>2978</v>
      </c>
      <c r="AH91" s="258">
        <v>2297</v>
      </c>
      <c r="AI91" s="258">
        <v>3357</v>
      </c>
      <c r="AJ91" s="614">
        <v>1437</v>
      </c>
      <c r="AK91" s="354"/>
      <c r="AL91" s="257">
        <v>1112</v>
      </c>
      <c r="AM91" s="258">
        <v>1257</v>
      </c>
      <c r="AN91" s="258">
        <v>1216</v>
      </c>
      <c r="AO91" s="258">
        <v>962</v>
      </c>
      <c r="AP91" s="258">
        <v>803</v>
      </c>
      <c r="AQ91" s="258">
        <v>760</v>
      </c>
      <c r="AR91" s="258">
        <v>1157</v>
      </c>
      <c r="AS91" s="614">
        <v>500</v>
      </c>
      <c r="AT91" s="354"/>
      <c r="AU91" s="257"/>
      <c r="AV91" s="258"/>
      <c r="AW91" s="258"/>
      <c r="AX91" s="258"/>
      <c r="AY91" s="258"/>
      <c r="AZ91" s="258"/>
      <c r="BA91" s="258"/>
      <c r="BB91" s="614"/>
      <c r="BC91" s="354"/>
      <c r="BD91" s="257">
        <f t="shared" si="17"/>
        <v>6215</v>
      </c>
      <c r="BE91" s="258">
        <f t="shared" si="18"/>
        <v>6469</v>
      </c>
      <c r="BF91" s="258">
        <f t="shared" si="19"/>
        <v>6303</v>
      </c>
      <c r="BG91" s="258">
        <f t="shared" si="20"/>
        <v>4823</v>
      </c>
      <c r="BH91" s="258">
        <f t="shared" si="21"/>
        <v>4611</v>
      </c>
      <c r="BI91" s="258">
        <f t="shared" si="22"/>
        <v>3720</v>
      </c>
      <c r="BJ91" s="258">
        <f t="shared" si="23"/>
        <v>5229</v>
      </c>
      <c r="BK91" s="614">
        <f t="shared" si="9"/>
        <v>2366</v>
      </c>
      <c r="BL91" s="354">
        <f t="shared" si="9"/>
        <v>0</v>
      </c>
    </row>
    <row r="92" spans="1:64" x14ac:dyDescent="0.2">
      <c r="A92" s="365" t="s">
        <v>816</v>
      </c>
      <c r="B92" s="257">
        <v>19</v>
      </c>
      <c r="C92" s="258">
        <v>13</v>
      </c>
      <c r="D92" s="258">
        <v>9</v>
      </c>
      <c r="E92" s="258">
        <v>5</v>
      </c>
      <c r="F92" s="258">
        <v>18</v>
      </c>
      <c r="G92" s="258">
        <v>47</v>
      </c>
      <c r="H92" s="258">
        <v>28</v>
      </c>
      <c r="I92" s="614">
        <v>26</v>
      </c>
      <c r="J92" s="354"/>
      <c r="K92" s="257">
        <v>2</v>
      </c>
      <c r="L92" s="258">
        <v>7</v>
      </c>
      <c r="M92" s="258">
        <v>18</v>
      </c>
      <c r="N92" s="258">
        <v>6</v>
      </c>
      <c r="O92" s="258">
        <v>20</v>
      </c>
      <c r="P92" s="258">
        <v>28</v>
      </c>
      <c r="Q92" s="258">
        <v>27</v>
      </c>
      <c r="R92" s="614">
        <v>21</v>
      </c>
      <c r="S92" s="354"/>
      <c r="T92" s="257">
        <v>41</v>
      </c>
      <c r="U92" s="258">
        <v>217</v>
      </c>
      <c r="V92" s="258">
        <v>18</v>
      </c>
      <c r="W92" s="258">
        <v>15</v>
      </c>
      <c r="X92" s="258">
        <v>13</v>
      </c>
      <c r="Y92" s="258">
        <v>25</v>
      </c>
      <c r="Z92" s="258">
        <v>17</v>
      </c>
      <c r="AA92" s="614">
        <v>2</v>
      </c>
      <c r="AB92" s="354"/>
      <c r="AC92" s="257">
        <v>312</v>
      </c>
      <c r="AD92" s="258">
        <v>836</v>
      </c>
      <c r="AE92" s="258">
        <v>91</v>
      </c>
      <c r="AF92" s="258">
        <v>91</v>
      </c>
      <c r="AG92" s="258">
        <v>103</v>
      </c>
      <c r="AH92" s="258">
        <v>135</v>
      </c>
      <c r="AI92" s="258">
        <v>39</v>
      </c>
      <c r="AJ92" s="614">
        <v>49</v>
      </c>
      <c r="AK92" s="354"/>
      <c r="AL92" s="257">
        <v>49</v>
      </c>
      <c r="AM92" s="258">
        <v>24</v>
      </c>
      <c r="AN92" s="258">
        <v>24</v>
      </c>
      <c r="AO92" s="258">
        <v>21</v>
      </c>
      <c r="AP92" s="258">
        <v>27</v>
      </c>
      <c r="AQ92" s="258">
        <v>17</v>
      </c>
      <c r="AR92" s="258">
        <v>11</v>
      </c>
      <c r="AS92" s="614">
        <v>2</v>
      </c>
      <c r="AT92" s="354"/>
      <c r="AU92" s="257"/>
      <c r="AV92" s="258"/>
      <c r="AW92" s="258"/>
      <c r="AX92" s="258"/>
      <c r="AY92" s="258"/>
      <c r="AZ92" s="258"/>
      <c r="BA92" s="258"/>
      <c r="BB92" s="614"/>
      <c r="BC92" s="354"/>
      <c r="BD92" s="257">
        <f t="shared" si="17"/>
        <v>423</v>
      </c>
      <c r="BE92" s="258">
        <f t="shared" si="18"/>
        <v>1097</v>
      </c>
      <c r="BF92" s="258">
        <f t="shared" si="19"/>
        <v>160</v>
      </c>
      <c r="BG92" s="258">
        <f t="shared" si="20"/>
        <v>138</v>
      </c>
      <c r="BH92" s="258">
        <f t="shared" si="21"/>
        <v>181</v>
      </c>
      <c r="BI92" s="258">
        <f t="shared" si="22"/>
        <v>252</v>
      </c>
      <c r="BJ92" s="258">
        <f t="shared" si="23"/>
        <v>122</v>
      </c>
      <c r="BK92" s="614">
        <f t="shared" si="9"/>
        <v>100</v>
      </c>
      <c r="BL92" s="354">
        <f t="shared" si="9"/>
        <v>0</v>
      </c>
    </row>
    <row r="93" spans="1:64" x14ac:dyDescent="0.2">
      <c r="A93" s="365" t="s">
        <v>696</v>
      </c>
      <c r="B93" s="257">
        <v>24</v>
      </c>
      <c r="C93" s="258">
        <v>14</v>
      </c>
      <c r="D93" s="258">
        <v>21</v>
      </c>
      <c r="E93" s="258">
        <v>10</v>
      </c>
      <c r="F93" s="258">
        <v>13</v>
      </c>
      <c r="G93" s="258">
        <v>6</v>
      </c>
      <c r="H93" s="258">
        <v>8</v>
      </c>
      <c r="I93" s="614">
        <v>22</v>
      </c>
      <c r="J93" s="354"/>
      <c r="K93" s="257">
        <v>19</v>
      </c>
      <c r="L93" s="258">
        <v>45</v>
      </c>
      <c r="M93" s="258">
        <v>37</v>
      </c>
      <c r="N93" s="258">
        <v>46</v>
      </c>
      <c r="O93" s="258">
        <v>30</v>
      </c>
      <c r="P93" s="258">
        <v>31</v>
      </c>
      <c r="Q93" s="258">
        <v>28</v>
      </c>
      <c r="R93" s="614">
        <v>14</v>
      </c>
      <c r="S93" s="354"/>
      <c r="T93" s="257">
        <v>49</v>
      </c>
      <c r="U93" s="258">
        <v>41</v>
      </c>
      <c r="V93" s="258">
        <v>63</v>
      </c>
      <c r="W93" s="258">
        <v>54</v>
      </c>
      <c r="X93" s="258">
        <v>55</v>
      </c>
      <c r="Y93" s="258">
        <v>48</v>
      </c>
      <c r="Z93" s="258">
        <v>68</v>
      </c>
      <c r="AA93" s="614">
        <v>57</v>
      </c>
      <c r="AB93" s="354"/>
      <c r="AC93" s="257">
        <v>320</v>
      </c>
      <c r="AD93" s="258">
        <v>336</v>
      </c>
      <c r="AE93" s="258">
        <v>339</v>
      </c>
      <c r="AF93" s="258">
        <v>335</v>
      </c>
      <c r="AG93" s="258">
        <v>210</v>
      </c>
      <c r="AH93" s="258">
        <v>212</v>
      </c>
      <c r="AI93" s="258">
        <v>202</v>
      </c>
      <c r="AJ93" s="614">
        <v>200</v>
      </c>
      <c r="AK93" s="354"/>
      <c r="AL93" s="257">
        <v>98</v>
      </c>
      <c r="AM93" s="258">
        <v>139</v>
      </c>
      <c r="AN93" s="258">
        <v>187</v>
      </c>
      <c r="AO93" s="258">
        <v>153</v>
      </c>
      <c r="AP93" s="258">
        <v>61</v>
      </c>
      <c r="AQ93" s="258">
        <v>40</v>
      </c>
      <c r="AR93" s="258">
        <v>58</v>
      </c>
      <c r="AS93" s="614">
        <v>49</v>
      </c>
      <c r="AT93" s="354"/>
      <c r="AU93" s="257"/>
      <c r="AV93" s="258"/>
      <c r="AW93" s="258"/>
      <c r="AX93" s="258"/>
      <c r="AY93" s="258"/>
      <c r="AZ93" s="258"/>
      <c r="BA93" s="258"/>
      <c r="BB93" s="614"/>
      <c r="BC93" s="354"/>
      <c r="BD93" s="257">
        <f t="shared" si="17"/>
        <v>510</v>
      </c>
      <c r="BE93" s="258">
        <f t="shared" si="18"/>
        <v>575</v>
      </c>
      <c r="BF93" s="258">
        <f t="shared" si="19"/>
        <v>647</v>
      </c>
      <c r="BG93" s="258">
        <f t="shared" si="20"/>
        <v>598</v>
      </c>
      <c r="BH93" s="258">
        <f t="shared" si="21"/>
        <v>369</v>
      </c>
      <c r="BI93" s="258">
        <f t="shared" si="22"/>
        <v>337</v>
      </c>
      <c r="BJ93" s="258">
        <f t="shared" si="23"/>
        <v>364</v>
      </c>
      <c r="BK93" s="614">
        <f t="shared" si="9"/>
        <v>342</v>
      </c>
      <c r="BL93" s="354">
        <f t="shared" si="9"/>
        <v>0</v>
      </c>
    </row>
    <row r="94" spans="1:64" x14ac:dyDescent="0.2">
      <c r="A94" s="365" t="s">
        <v>773</v>
      </c>
      <c r="B94" s="257">
        <v>34</v>
      </c>
      <c r="C94" s="258">
        <v>43</v>
      </c>
      <c r="D94" s="258">
        <v>51</v>
      </c>
      <c r="E94" s="258">
        <v>39</v>
      </c>
      <c r="F94" s="258">
        <v>45</v>
      </c>
      <c r="G94" s="258">
        <v>21</v>
      </c>
      <c r="H94" s="258">
        <v>8</v>
      </c>
      <c r="I94" s="614">
        <v>14</v>
      </c>
      <c r="J94" s="354"/>
      <c r="K94" s="257">
        <v>59</v>
      </c>
      <c r="L94" s="258">
        <v>88</v>
      </c>
      <c r="M94" s="258">
        <v>51</v>
      </c>
      <c r="N94" s="258">
        <v>38</v>
      </c>
      <c r="O94" s="258">
        <v>103</v>
      </c>
      <c r="P94" s="258">
        <v>44</v>
      </c>
      <c r="Q94" s="258">
        <v>24</v>
      </c>
      <c r="R94" s="614">
        <v>29</v>
      </c>
      <c r="S94" s="354"/>
      <c r="T94" s="257">
        <v>113</v>
      </c>
      <c r="U94" s="258">
        <v>101</v>
      </c>
      <c r="V94" s="258">
        <v>125</v>
      </c>
      <c r="W94" s="258">
        <v>113</v>
      </c>
      <c r="X94" s="258">
        <v>114</v>
      </c>
      <c r="Y94" s="258">
        <v>74</v>
      </c>
      <c r="Z94" s="258">
        <v>52</v>
      </c>
      <c r="AA94" s="614">
        <v>50</v>
      </c>
      <c r="AB94" s="354"/>
      <c r="AC94" s="257">
        <v>1038</v>
      </c>
      <c r="AD94" s="258">
        <v>953</v>
      </c>
      <c r="AE94" s="258">
        <v>988</v>
      </c>
      <c r="AF94" s="258">
        <v>709</v>
      </c>
      <c r="AG94" s="258">
        <v>594</v>
      </c>
      <c r="AH94" s="258">
        <v>474</v>
      </c>
      <c r="AI94" s="258">
        <v>270</v>
      </c>
      <c r="AJ94" s="614">
        <v>227</v>
      </c>
      <c r="AK94" s="354"/>
      <c r="AL94" s="257">
        <v>380</v>
      </c>
      <c r="AM94" s="258">
        <v>365</v>
      </c>
      <c r="AN94" s="258">
        <v>457</v>
      </c>
      <c r="AO94" s="258">
        <v>295</v>
      </c>
      <c r="AP94" s="258">
        <v>173</v>
      </c>
      <c r="AQ94" s="258">
        <v>103</v>
      </c>
      <c r="AR94" s="258">
        <v>76</v>
      </c>
      <c r="AS94" s="614">
        <v>64</v>
      </c>
      <c r="AT94" s="354"/>
      <c r="AU94" s="257"/>
      <c r="AV94" s="258"/>
      <c r="AW94" s="258"/>
      <c r="AX94" s="258"/>
      <c r="AY94" s="258"/>
      <c r="AZ94" s="258"/>
      <c r="BA94" s="258"/>
      <c r="BB94" s="614"/>
      <c r="BC94" s="354"/>
      <c r="BD94" s="257">
        <f t="shared" si="17"/>
        <v>1624</v>
      </c>
      <c r="BE94" s="258">
        <f t="shared" si="18"/>
        <v>1550</v>
      </c>
      <c r="BF94" s="258">
        <f t="shared" si="19"/>
        <v>1672</v>
      </c>
      <c r="BG94" s="258">
        <f t="shared" si="20"/>
        <v>1194</v>
      </c>
      <c r="BH94" s="258">
        <f t="shared" si="21"/>
        <v>1029</v>
      </c>
      <c r="BI94" s="258">
        <f t="shared" si="22"/>
        <v>716</v>
      </c>
      <c r="BJ94" s="258">
        <f t="shared" si="23"/>
        <v>430</v>
      </c>
      <c r="BK94" s="614">
        <f t="shared" si="9"/>
        <v>384</v>
      </c>
      <c r="BL94" s="354">
        <f t="shared" si="9"/>
        <v>0</v>
      </c>
    </row>
    <row r="95" spans="1:64" x14ac:dyDescent="0.2">
      <c r="A95" s="365" t="s">
        <v>698</v>
      </c>
      <c r="B95" s="257">
        <v>13</v>
      </c>
      <c r="C95" s="258">
        <v>18</v>
      </c>
      <c r="D95" s="258">
        <v>14</v>
      </c>
      <c r="E95" s="258">
        <v>20</v>
      </c>
      <c r="F95" s="258">
        <v>9</v>
      </c>
      <c r="G95" s="258">
        <v>21</v>
      </c>
      <c r="H95" s="258">
        <v>12</v>
      </c>
      <c r="I95" s="614">
        <v>9</v>
      </c>
      <c r="J95" s="354"/>
      <c r="K95" s="257">
        <v>12</v>
      </c>
      <c r="L95" s="258">
        <v>34</v>
      </c>
      <c r="M95" s="258">
        <v>38</v>
      </c>
      <c r="N95" s="258">
        <v>58</v>
      </c>
      <c r="O95" s="258">
        <v>47</v>
      </c>
      <c r="P95" s="258">
        <v>27</v>
      </c>
      <c r="Q95" s="258">
        <v>36</v>
      </c>
      <c r="R95" s="614">
        <v>26</v>
      </c>
      <c r="S95" s="354"/>
      <c r="T95" s="257">
        <v>76</v>
      </c>
      <c r="U95" s="258">
        <v>81</v>
      </c>
      <c r="V95" s="258">
        <v>70</v>
      </c>
      <c r="W95" s="258">
        <v>89</v>
      </c>
      <c r="X95" s="258">
        <v>73</v>
      </c>
      <c r="Y95" s="258">
        <v>52</v>
      </c>
      <c r="Z95" s="258">
        <v>37</v>
      </c>
      <c r="AA95" s="614">
        <v>44</v>
      </c>
      <c r="AB95" s="354"/>
      <c r="AC95" s="257">
        <v>544</v>
      </c>
      <c r="AD95" s="258">
        <v>412</v>
      </c>
      <c r="AE95" s="258">
        <v>473</v>
      </c>
      <c r="AF95" s="258">
        <v>425</v>
      </c>
      <c r="AG95" s="258">
        <v>391</v>
      </c>
      <c r="AH95" s="258">
        <v>265</v>
      </c>
      <c r="AI95" s="258">
        <v>155</v>
      </c>
      <c r="AJ95" s="614">
        <v>233</v>
      </c>
      <c r="AK95" s="354"/>
      <c r="AL95" s="257">
        <v>183</v>
      </c>
      <c r="AM95" s="258">
        <v>173</v>
      </c>
      <c r="AN95" s="258">
        <v>227</v>
      </c>
      <c r="AO95" s="258">
        <v>188</v>
      </c>
      <c r="AP95" s="258">
        <v>145</v>
      </c>
      <c r="AQ95" s="258">
        <v>119</v>
      </c>
      <c r="AR95" s="258">
        <v>94</v>
      </c>
      <c r="AS95" s="614">
        <v>58</v>
      </c>
      <c r="AT95" s="354"/>
      <c r="AU95" s="257"/>
      <c r="AV95" s="258"/>
      <c r="AW95" s="258"/>
      <c r="AX95" s="258"/>
      <c r="AY95" s="258"/>
      <c r="AZ95" s="258"/>
      <c r="BA95" s="258"/>
      <c r="BB95" s="614"/>
      <c r="BC95" s="354"/>
      <c r="BD95" s="257">
        <f t="shared" si="17"/>
        <v>828</v>
      </c>
      <c r="BE95" s="258">
        <f t="shared" si="18"/>
        <v>718</v>
      </c>
      <c r="BF95" s="258">
        <f t="shared" si="19"/>
        <v>822</v>
      </c>
      <c r="BG95" s="258">
        <f t="shared" si="20"/>
        <v>780</v>
      </c>
      <c r="BH95" s="258">
        <f t="shared" si="21"/>
        <v>665</v>
      </c>
      <c r="BI95" s="258">
        <f t="shared" si="22"/>
        <v>484</v>
      </c>
      <c r="BJ95" s="258">
        <f t="shared" si="23"/>
        <v>334</v>
      </c>
      <c r="BK95" s="614">
        <f t="shared" si="9"/>
        <v>370</v>
      </c>
      <c r="BL95" s="354">
        <f t="shared" si="9"/>
        <v>0</v>
      </c>
    </row>
    <row r="96" spans="1:64" x14ac:dyDescent="0.2">
      <c r="A96" s="365" t="s">
        <v>697</v>
      </c>
      <c r="B96" s="257">
        <v>19</v>
      </c>
      <c r="C96" s="258">
        <v>16</v>
      </c>
      <c r="D96" s="258">
        <v>30</v>
      </c>
      <c r="E96" s="258">
        <v>37</v>
      </c>
      <c r="F96" s="258">
        <v>46</v>
      </c>
      <c r="G96" s="258">
        <v>22</v>
      </c>
      <c r="H96" s="258">
        <v>10</v>
      </c>
      <c r="I96" s="614">
        <v>9</v>
      </c>
      <c r="J96" s="354"/>
      <c r="K96" s="257">
        <v>33</v>
      </c>
      <c r="L96" s="258">
        <v>36</v>
      </c>
      <c r="M96" s="258">
        <v>42</v>
      </c>
      <c r="N96" s="258">
        <v>53</v>
      </c>
      <c r="O96" s="258">
        <v>44</v>
      </c>
      <c r="P96" s="258">
        <v>36</v>
      </c>
      <c r="Q96" s="258">
        <v>10</v>
      </c>
      <c r="R96" s="614">
        <v>20</v>
      </c>
      <c r="S96" s="354"/>
      <c r="T96" s="257">
        <v>117</v>
      </c>
      <c r="U96" s="258">
        <v>82</v>
      </c>
      <c r="V96" s="258">
        <v>98</v>
      </c>
      <c r="W96" s="258">
        <v>86</v>
      </c>
      <c r="X96" s="258">
        <v>65</v>
      </c>
      <c r="Y96" s="258">
        <v>128</v>
      </c>
      <c r="Z96" s="258">
        <v>45</v>
      </c>
      <c r="AA96" s="614">
        <v>28</v>
      </c>
      <c r="AB96" s="354"/>
      <c r="AC96" s="257">
        <v>558</v>
      </c>
      <c r="AD96" s="258">
        <v>539</v>
      </c>
      <c r="AE96" s="258">
        <v>506</v>
      </c>
      <c r="AF96" s="258">
        <v>454</v>
      </c>
      <c r="AG96" s="258">
        <v>363</v>
      </c>
      <c r="AH96" s="258">
        <v>334</v>
      </c>
      <c r="AI96" s="258">
        <v>196</v>
      </c>
      <c r="AJ96" s="614">
        <v>200</v>
      </c>
      <c r="AK96" s="354"/>
      <c r="AL96" s="257">
        <v>154</v>
      </c>
      <c r="AM96" s="258">
        <v>188</v>
      </c>
      <c r="AN96" s="258">
        <v>165</v>
      </c>
      <c r="AO96" s="258">
        <v>158</v>
      </c>
      <c r="AP96" s="258">
        <v>94</v>
      </c>
      <c r="AQ96" s="258">
        <v>77</v>
      </c>
      <c r="AR96" s="258">
        <v>75</v>
      </c>
      <c r="AS96" s="614">
        <v>69</v>
      </c>
      <c r="AT96" s="354"/>
      <c r="AU96" s="257"/>
      <c r="AV96" s="258"/>
      <c r="AW96" s="258"/>
      <c r="AX96" s="258"/>
      <c r="AY96" s="258"/>
      <c r="AZ96" s="258"/>
      <c r="BA96" s="258"/>
      <c r="BB96" s="614"/>
      <c r="BC96" s="354"/>
      <c r="BD96" s="257">
        <f t="shared" si="17"/>
        <v>881</v>
      </c>
      <c r="BE96" s="258">
        <f t="shared" si="18"/>
        <v>861</v>
      </c>
      <c r="BF96" s="258">
        <f t="shared" si="19"/>
        <v>841</v>
      </c>
      <c r="BG96" s="258">
        <f t="shared" si="20"/>
        <v>788</v>
      </c>
      <c r="BH96" s="258">
        <f t="shared" si="21"/>
        <v>612</v>
      </c>
      <c r="BI96" s="258">
        <f t="shared" si="22"/>
        <v>597</v>
      </c>
      <c r="BJ96" s="258">
        <f t="shared" si="23"/>
        <v>336</v>
      </c>
      <c r="BK96" s="614">
        <f t="shared" si="9"/>
        <v>326</v>
      </c>
      <c r="BL96" s="354">
        <f t="shared" si="9"/>
        <v>0</v>
      </c>
    </row>
    <row r="97" spans="1:64" ht="13.5" thickBot="1" x14ac:dyDescent="0.25">
      <c r="A97" s="366" t="s">
        <v>699</v>
      </c>
      <c r="B97" s="361">
        <v>18</v>
      </c>
      <c r="C97" s="362">
        <v>11</v>
      </c>
      <c r="D97" s="362">
        <v>10</v>
      </c>
      <c r="E97" s="362">
        <v>21</v>
      </c>
      <c r="F97" s="362">
        <v>11</v>
      </c>
      <c r="G97" s="362">
        <v>10</v>
      </c>
      <c r="H97" s="362">
        <v>17</v>
      </c>
      <c r="I97" s="615">
        <v>14</v>
      </c>
      <c r="J97" s="363"/>
      <c r="K97" s="361">
        <v>34</v>
      </c>
      <c r="L97" s="362">
        <v>62</v>
      </c>
      <c r="M97" s="362">
        <v>38</v>
      </c>
      <c r="N97" s="362">
        <v>40</v>
      </c>
      <c r="O97" s="362">
        <v>22</v>
      </c>
      <c r="P97" s="362">
        <v>13</v>
      </c>
      <c r="Q97" s="362">
        <v>14</v>
      </c>
      <c r="R97" s="615">
        <v>34</v>
      </c>
      <c r="S97" s="363"/>
      <c r="T97" s="361">
        <v>75</v>
      </c>
      <c r="U97" s="362">
        <v>79</v>
      </c>
      <c r="V97" s="362">
        <v>59</v>
      </c>
      <c r="W97" s="362">
        <v>72</v>
      </c>
      <c r="X97" s="362">
        <v>59</v>
      </c>
      <c r="Y97" s="362">
        <v>58</v>
      </c>
      <c r="Z97" s="362">
        <v>34</v>
      </c>
      <c r="AA97" s="615">
        <v>37</v>
      </c>
      <c r="AB97" s="363"/>
      <c r="AC97" s="361">
        <v>570</v>
      </c>
      <c r="AD97" s="362">
        <v>594</v>
      </c>
      <c r="AE97" s="362">
        <v>442</v>
      </c>
      <c r="AF97" s="362">
        <v>421</v>
      </c>
      <c r="AG97" s="362">
        <v>332</v>
      </c>
      <c r="AH97" s="362">
        <v>292</v>
      </c>
      <c r="AI97" s="362">
        <v>209</v>
      </c>
      <c r="AJ97" s="615">
        <v>143</v>
      </c>
      <c r="AK97" s="363"/>
      <c r="AL97" s="361">
        <v>186</v>
      </c>
      <c r="AM97" s="362">
        <v>236</v>
      </c>
      <c r="AN97" s="362">
        <v>207</v>
      </c>
      <c r="AO97" s="362">
        <v>154</v>
      </c>
      <c r="AP97" s="362">
        <v>127</v>
      </c>
      <c r="AQ97" s="362">
        <v>95</v>
      </c>
      <c r="AR97" s="362">
        <v>65</v>
      </c>
      <c r="AS97" s="615">
        <v>50</v>
      </c>
      <c r="AT97" s="363"/>
      <c r="AU97" s="361"/>
      <c r="AV97" s="362"/>
      <c r="AW97" s="362"/>
      <c r="AX97" s="362"/>
      <c r="AY97" s="362"/>
      <c r="AZ97" s="362"/>
      <c r="BA97" s="362"/>
      <c r="BB97" s="615"/>
      <c r="BC97" s="363"/>
      <c r="BD97" s="361">
        <f t="shared" si="17"/>
        <v>883</v>
      </c>
      <c r="BE97" s="362">
        <f t="shared" si="18"/>
        <v>982</v>
      </c>
      <c r="BF97" s="362">
        <f t="shared" si="19"/>
        <v>756</v>
      </c>
      <c r="BG97" s="362">
        <f t="shared" si="20"/>
        <v>708</v>
      </c>
      <c r="BH97" s="362">
        <f t="shared" si="21"/>
        <v>551</v>
      </c>
      <c r="BI97" s="362">
        <f t="shared" si="22"/>
        <v>468</v>
      </c>
      <c r="BJ97" s="362">
        <f t="shared" si="23"/>
        <v>339</v>
      </c>
      <c r="BK97" s="615">
        <f t="shared" si="9"/>
        <v>278</v>
      </c>
      <c r="BL97" s="363">
        <f t="shared" si="9"/>
        <v>0</v>
      </c>
    </row>
    <row r="98" spans="1:64" s="259" customFormat="1" x14ac:dyDescent="0.2">
      <c r="A98" s="364" t="s">
        <v>777</v>
      </c>
      <c r="B98" s="781">
        <v>122</v>
      </c>
      <c r="C98" s="782">
        <v>155</v>
      </c>
      <c r="D98" s="782">
        <v>124</v>
      </c>
      <c r="E98" s="782">
        <v>110</v>
      </c>
      <c r="F98" s="782">
        <v>126</v>
      </c>
      <c r="G98" s="782">
        <v>194</v>
      </c>
      <c r="H98" s="782">
        <v>78</v>
      </c>
      <c r="I98" s="783">
        <v>119</v>
      </c>
      <c r="J98" s="784"/>
      <c r="K98" s="781">
        <v>261</v>
      </c>
      <c r="L98" s="782">
        <v>263</v>
      </c>
      <c r="M98" s="782">
        <v>223</v>
      </c>
      <c r="N98" s="782">
        <v>241</v>
      </c>
      <c r="O98" s="782">
        <v>229</v>
      </c>
      <c r="P98" s="782">
        <v>263</v>
      </c>
      <c r="Q98" s="782">
        <v>231</v>
      </c>
      <c r="R98" s="783">
        <v>210</v>
      </c>
      <c r="S98" s="784"/>
      <c r="T98" s="781">
        <v>503</v>
      </c>
      <c r="U98" s="782">
        <v>508</v>
      </c>
      <c r="V98" s="782">
        <v>467</v>
      </c>
      <c r="W98" s="782">
        <v>502</v>
      </c>
      <c r="X98" s="782">
        <v>522</v>
      </c>
      <c r="Y98" s="782">
        <v>570</v>
      </c>
      <c r="Z98" s="782">
        <v>521</v>
      </c>
      <c r="AA98" s="783">
        <v>528</v>
      </c>
      <c r="AB98" s="784"/>
      <c r="AC98" s="781">
        <v>4315</v>
      </c>
      <c r="AD98" s="782">
        <v>4191</v>
      </c>
      <c r="AE98" s="782">
        <v>3723</v>
      </c>
      <c r="AF98" s="782">
        <v>3772</v>
      </c>
      <c r="AG98" s="782">
        <v>3166</v>
      </c>
      <c r="AH98" s="782">
        <v>3220</v>
      </c>
      <c r="AI98" s="782">
        <v>2958</v>
      </c>
      <c r="AJ98" s="783">
        <v>3003</v>
      </c>
      <c r="AK98" s="784"/>
      <c r="AL98" s="781">
        <v>1664</v>
      </c>
      <c r="AM98" s="782">
        <v>1782</v>
      </c>
      <c r="AN98" s="782">
        <v>1753</v>
      </c>
      <c r="AO98" s="782">
        <v>1905</v>
      </c>
      <c r="AP98" s="782">
        <v>1355</v>
      </c>
      <c r="AQ98" s="782">
        <v>1259</v>
      </c>
      <c r="AR98" s="782">
        <v>1069</v>
      </c>
      <c r="AS98" s="783">
        <v>1171</v>
      </c>
      <c r="AT98" s="784"/>
      <c r="AU98" s="781"/>
      <c r="AV98" s="782"/>
      <c r="AW98" s="782"/>
      <c r="AX98" s="782"/>
      <c r="AY98" s="782">
        <v>1</v>
      </c>
      <c r="AZ98" s="782"/>
      <c r="BA98" s="782"/>
      <c r="BB98" s="783"/>
      <c r="BC98" s="784"/>
      <c r="BD98" s="781">
        <f t="shared" si="17"/>
        <v>6865</v>
      </c>
      <c r="BE98" s="782">
        <f t="shared" si="18"/>
        <v>6899</v>
      </c>
      <c r="BF98" s="782">
        <f t="shared" si="19"/>
        <v>6290</v>
      </c>
      <c r="BG98" s="782">
        <f t="shared" si="20"/>
        <v>6530</v>
      </c>
      <c r="BH98" s="782">
        <f t="shared" si="21"/>
        <v>5399</v>
      </c>
      <c r="BI98" s="782">
        <f t="shared" si="22"/>
        <v>5506</v>
      </c>
      <c r="BJ98" s="782">
        <f t="shared" si="23"/>
        <v>4857</v>
      </c>
      <c r="BK98" s="783">
        <f t="shared" si="9"/>
        <v>5031</v>
      </c>
      <c r="BL98" s="784">
        <f t="shared" si="9"/>
        <v>0</v>
      </c>
    </row>
    <row r="99" spans="1:64" x14ac:dyDescent="0.2">
      <c r="A99" s="365" t="s">
        <v>774</v>
      </c>
      <c r="B99" s="257">
        <v>34</v>
      </c>
      <c r="C99" s="258">
        <v>28</v>
      </c>
      <c r="D99" s="258">
        <v>34</v>
      </c>
      <c r="E99" s="258">
        <v>31</v>
      </c>
      <c r="F99" s="258">
        <v>30</v>
      </c>
      <c r="G99" s="258">
        <v>29</v>
      </c>
      <c r="H99" s="258">
        <v>23</v>
      </c>
      <c r="I99" s="614">
        <v>23</v>
      </c>
      <c r="J99" s="354"/>
      <c r="K99" s="257">
        <v>101</v>
      </c>
      <c r="L99" s="258">
        <v>113</v>
      </c>
      <c r="M99" s="258">
        <v>90</v>
      </c>
      <c r="N99" s="258">
        <v>100</v>
      </c>
      <c r="O99" s="258">
        <v>97</v>
      </c>
      <c r="P99" s="258">
        <v>92</v>
      </c>
      <c r="Q99" s="258">
        <v>67</v>
      </c>
      <c r="R99" s="614">
        <v>61</v>
      </c>
      <c r="S99" s="354"/>
      <c r="T99" s="257">
        <v>227</v>
      </c>
      <c r="U99" s="258">
        <v>229</v>
      </c>
      <c r="V99" s="258">
        <v>204</v>
      </c>
      <c r="W99" s="258">
        <v>203</v>
      </c>
      <c r="X99" s="258">
        <v>216</v>
      </c>
      <c r="Y99" s="258">
        <v>224</v>
      </c>
      <c r="Z99" s="258">
        <v>197</v>
      </c>
      <c r="AA99" s="614">
        <v>166</v>
      </c>
      <c r="AB99" s="354"/>
      <c r="AC99" s="257">
        <v>1661</v>
      </c>
      <c r="AD99" s="258">
        <v>1500</v>
      </c>
      <c r="AE99" s="258">
        <v>1288</v>
      </c>
      <c r="AF99" s="258">
        <v>1258</v>
      </c>
      <c r="AG99" s="258">
        <v>1115</v>
      </c>
      <c r="AH99" s="258">
        <v>1149</v>
      </c>
      <c r="AI99" s="258">
        <v>1013</v>
      </c>
      <c r="AJ99" s="614">
        <v>890</v>
      </c>
      <c r="AK99" s="354"/>
      <c r="AL99" s="257">
        <v>658</v>
      </c>
      <c r="AM99" s="258">
        <v>688</v>
      </c>
      <c r="AN99" s="258">
        <v>568</v>
      </c>
      <c r="AO99" s="258">
        <v>533</v>
      </c>
      <c r="AP99" s="258">
        <v>440</v>
      </c>
      <c r="AQ99" s="258">
        <v>444</v>
      </c>
      <c r="AR99" s="258">
        <v>374</v>
      </c>
      <c r="AS99" s="614">
        <v>325</v>
      </c>
      <c r="AT99" s="354"/>
      <c r="AU99" s="257"/>
      <c r="AV99" s="258"/>
      <c r="AW99" s="258"/>
      <c r="AX99" s="258"/>
      <c r="AY99" s="258">
        <v>1</v>
      </c>
      <c r="AZ99" s="258"/>
      <c r="BA99" s="258"/>
      <c r="BB99" s="614"/>
      <c r="BC99" s="354"/>
      <c r="BD99" s="257">
        <f t="shared" si="17"/>
        <v>2681</v>
      </c>
      <c r="BE99" s="258">
        <f t="shared" si="18"/>
        <v>2558</v>
      </c>
      <c r="BF99" s="258">
        <f t="shared" si="19"/>
        <v>2184</v>
      </c>
      <c r="BG99" s="258">
        <f t="shared" si="20"/>
        <v>2125</v>
      </c>
      <c r="BH99" s="258">
        <f t="shared" si="21"/>
        <v>1899</v>
      </c>
      <c r="BI99" s="258">
        <f t="shared" si="22"/>
        <v>1938</v>
      </c>
      <c r="BJ99" s="258">
        <f t="shared" si="23"/>
        <v>1674</v>
      </c>
      <c r="BK99" s="614">
        <f t="shared" ref="BK99:BL127" si="24">SUM(I99,R99,AA99,AJ99,AS99,BB99)</f>
        <v>1465</v>
      </c>
      <c r="BL99" s="354">
        <f t="shared" si="24"/>
        <v>0</v>
      </c>
    </row>
    <row r="100" spans="1:64" x14ac:dyDescent="0.2">
      <c r="A100" s="365" t="s">
        <v>701</v>
      </c>
      <c r="B100" s="257">
        <v>17</v>
      </c>
      <c r="C100" s="258">
        <v>23</v>
      </c>
      <c r="D100" s="258">
        <v>17</v>
      </c>
      <c r="E100" s="258">
        <v>10</v>
      </c>
      <c r="F100" s="258">
        <v>36</v>
      </c>
      <c r="G100" s="258">
        <v>9</v>
      </c>
      <c r="H100" s="258">
        <v>10</v>
      </c>
      <c r="I100" s="614">
        <v>19</v>
      </c>
      <c r="J100" s="354"/>
      <c r="K100" s="257">
        <v>39</v>
      </c>
      <c r="L100" s="258">
        <v>27</v>
      </c>
      <c r="M100" s="258">
        <v>15</v>
      </c>
      <c r="N100" s="258">
        <v>13</v>
      </c>
      <c r="O100" s="258">
        <v>34</v>
      </c>
      <c r="P100" s="258">
        <v>41</v>
      </c>
      <c r="Q100" s="258">
        <v>31</v>
      </c>
      <c r="R100" s="614">
        <v>37</v>
      </c>
      <c r="S100" s="354"/>
      <c r="T100" s="257">
        <v>58</v>
      </c>
      <c r="U100" s="258">
        <v>63</v>
      </c>
      <c r="V100" s="258">
        <v>28</v>
      </c>
      <c r="W100" s="258">
        <v>48</v>
      </c>
      <c r="X100" s="258">
        <v>74</v>
      </c>
      <c r="Y100" s="258">
        <v>92</v>
      </c>
      <c r="Z100" s="258">
        <v>72</v>
      </c>
      <c r="AA100" s="614">
        <v>77</v>
      </c>
      <c r="AB100" s="354"/>
      <c r="AC100" s="257">
        <v>424</v>
      </c>
      <c r="AD100" s="258">
        <v>611</v>
      </c>
      <c r="AE100" s="258">
        <v>430</v>
      </c>
      <c r="AF100" s="258">
        <v>491</v>
      </c>
      <c r="AG100" s="258">
        <v>443</v>
      </c>
      <c r="AH100" s="258">
        <v>538</v>
      </c>
      <c r="AI100" s="258">
        <v>457</v>
      </c>
      <c r="AJ100" s="614">
        <v>464</v>
      </c>
      <c r="AK100" s="354"/>
      <c r="AL100" s="257">
        <v>169</v>
      </c>
      <c r="AM100" s="258">
        <v>235</v>
      </c>
      <c r="AN100" s="258">
        <v>254</v>
      </c>
      <c r="AO100" s="258">
        <v>318</v>
      </c>
      <c r="AP100" s="258">
        <v>192</v>
      </c>
      <c r="AQ100" s="258">
        <v>199</v>
      </c>
      <c r="AR100" s="258">
        <v>138</v>
      </c>
      <c r="AS100" s="614">
        <v>165</v>
      </c>
      <c r="AT100" s="354"/>
      <c r="AU100" s="257"/>
      <c r="AV100" s="258"/>
      <c r="AW100" s="258"/>
      <c r="AX100" s="258"/>
      <c r="AY100" s="258"/>
      <c r="AZ100" s="258"/>
      <c r="BA100" s="258"/>
      <c r="BB100" s="614"/>
      <c r="BC100" s="354"/>
      <c r="BD100" s="257">
        <f t="shared" ref="BD100:BD131" si="25">SUM(B100,K100,T100,AC100,AL100,AU100)</f>
        <v>707</v>
      </c>
      <c r="BE100" s="258">
        <f t="shared" ref="BE100:BE131" si="26">SUM(C100,L100,U100,AD100,AM100,AV100)</f>
        <v>959</v>
      </c>
      <c r="BF100" s="258">
        <f t="shared" ref="BF100:BF131" si="27">SUM(D100,M100,V100,AE100,AN100,AW100)</f>
        <v>744</v>
      </c>
      <c r="BG100" s="258">
        <f t="shared" ref="BG100:BG131" si="28">SUM(E100,N100,W100,AF100,AO100,AX100)</f>
        <v>880</v>
      </c>
      <c r="BH100" s="258">
        <f t="shared" ref="BH100:BH131" si="29">SUM(F100,O100,X100,AG100,AP100,AY100)</f>
        <v>779</v>
      </c>
      <c r="BI100" s="258">
        <f t="shared" ref="BI100:BI131" si="30">SUM(G100,P100,Y100,AH100,AQ100,AZ100)</f>
        <v>879</v>
      </c>
      <c r="BJ100" s="258">
        <f t="shared" ref="BJ100:BJ131" si="31">SUM(H100,Q100,Z100,AI100,AR100,BA100)</f>
        <v>708</v>
      </c>
      <c r="BK100" s="614">
        <f t="shared" si="24"/>
        <v>762</v>
      </c>
      <c r="BL100" s="354">
        <f t="shared" si="24"/>
        <v>0</v>
      </c>
    </row>
    <row r="101" spans="1:64" x14ac:dyDescent="0.2">
      <c r="A101" s="365" t="s">
        <v>702</v>
      </c>
      <c r="B101" s="257">
        <v>27</v>
      </c>
      <c r="C101" s="258">
        <v>45</v>
      </c>
      <c r="D101" s="258">
        <v>29</v>
      </c>
      <c r="E101" s="258">
        <v>22</v>
      </c>
      <c r="F101" s="258">
        <v>21</v>
      </c>
      <c r="G101" s="258">
        <v>25</v>
      </c>
      <c r="H101" s="258">
        <v>12</v>
      </c>
      <c r="I101" s="614">
        <v>23</v>
      </c>
      <c r="J101" s="354"/>
      <c r="K101" s="257">
        <v>56</v>
      </c>
      <c r="L101" s="258">
        <v>55</v>
      </c>
      <c r="M101" s="258">
        <v>63</v>
      </c>
      <c r="N101" s="258">
        <v>51</v>
      </c>
      <c r="O101" s="258">
        <v>48</v>
      </c>
      <c r="P101" s="258">
        <v>54</v>
      </c>
      <c r="Q101" s="258">
        <v>53</v>
      </c>
      <c r="R101" s="614">
        <v>63</v>
      </c>
      <c r="S101" s="354"/>
      <c r="T101" s="257">
        <v>107</v>
      </c>
      <c r="U101" s="258">
        <v>116</v>
      </c>
      <c r="V101" s="258">
        <v>106</v>
      </c>
      <c r="W101" s="258">
        <v>108</v>
      </c>
      <c r="X101" s="258">
        <v>92</v>
      </c>
      <c r="Y101" s="258">
        <v>110</v>
      </c>
      <c r="Z101" s="258">
        <v>72</v>
      </c>
      <c r="AA101" s="614">
        <v>132</v>
      </c>
      <c r="AB101" s="354"/>
      <c r="AC101" s="257">
        <v>955</v>
      </c>
      <c r="AD101" s="258">
        <v>923</v>
      </c>
      <c r="AE101" s="258">
        <v>842</v>
      </c>
      <c r="AF101" s="258">
        <v>776</v>
      </c>
      <c r="AG101" s="258">
        <v>580</v>
      </c>
      <c r="AH101" s="258">
        <v>595</v>
      </c>
      <c r="AI101" s="258">
        <v>600</v>
      </c>
      <c r="AJ101" s="614">
        <v>779</v>
      </c>
      <c r="AK101" s="354"/>
      <c r="AL101" s="257">
        <v>277</v>
      </c>
      <c r="AM101" s="258">
        <v>350</v>
      </c>
      <c r="AN101" s="258">
        <v>349</v>
      </c>
      <c r="AO101" s="258">
        <v>341</v>
      </c>
      <c r="AP101" s="258">
        <v>268</v>
      </c>
      <c r="AQ101" s="258">
        <v>192</v>
      </c>
      <c r="AR101" s="258">
        <v>211</v>
      </c>
      <c r="AS101" s="614">
        <v>253</v>
      </c>
      <c r="AT101" s="354"/>
      <c r="AU101" s="257"/>
      <c r="AV101" s="258"/>
      <c r="AW101" s="258"/>
      <c r="AX101" s="258"/>
      <c r="AY101" s="258"/>
      <c r="AZ101" s="258"/>
      <c r="BA101" s="258"/>
      <c r="BB101" s="614"/>
      <c r="BC101" s="354"/>
      <c r="BD101" s="257">
        <f t="shared" si="25"/>
        <v>1422</v>
      </c>
      <c r="BE101" s="258">
        <f t="shared" si="26"/>
        <v>1489</v>
      </c>
      <c r="BF101" s="258">
        <f t="shared" si="27"/>
        <v>1389</v>
      </c>
      <c r="BG101" s="258">
        <f t="shared" si="28"/>
        <v>1298</v>
      </c>
      <c r="BH101" s="258">
        <f t="shared" si="29"/>
        <v>1009</v>
      </c>
      <c r="BI101" s="258">
        <f t="shared" si="30"/>
        <v>976</v>
      </c>
      <c r="BJ101" s="258">
        <f t="shared" si="31"/>
        <v>948</v>
      </c>
      <c r="BK101" s="614">
        <f t="shared" si="24"/>
        <v>1250</v>
      </c>
      <c r="BL101" s="354">
        <f t="shared" si="24"/>
        <v>0</v>
      </c>
    </row>
    <row r="102" spans="1:64" x14ac:dyDescent="0.2">
      <c r="A102" s="365" t="s">
        <v>703</v>
      </c>
      <c r="B102" s="257">
        <v>8</v>
      </c>
      <c r="C102" s="258">
        <v>21</v>
      </c>
      <c r="D102" s="258">
        <v>15</v>
      </c>
      <c r="E102" s="258">
        <v>17</v>
      </c>
      <c r="F102" s="258">
        <v>17</v>
      </c>
      <c r="G102" s="258">
        <v>6</v>
      </c>
      <c r="H102" s="258">
        <v>14</v>
      </c>
      <c r="I102" s="614">
        <v>4</v>
      </c>
      <c r="J102" s="354"/>
      <c r="K102" s="257">
        <v>33</v>
      </c>
      <c r="L102" s="258">
        <v>37</v>
      </c>
      <c r="M102" s="258">
        <v>22</v>
      </c>
      <c r="N102" s="258">
        <v>23</v>
      </c>
      <c r="O102" s="258">
        <v>18</v>
      </c>
      <c r="P102" s="258">
        <v>16</v>
      </c>
      <c r="Q102" s="258">
        <v>33</v>
      </c>
      <c r="R102" s="614">
        <v>24</v>
      </c>
      <c r="S102" s="354"/>
      <c r="T102" s="257">
        <v>50</v>
      </c>
      <c r="U102" s="258">
        <v>35</v>
      </c>
      <c r="V102" s="258">
        <v>50</v>
      </c>
      <c r="W102" s="258">
        <v>57</v>
      </c>
      <c r="X102" s="258">
        <v>48</v>
      </c>
      <c r="Y102" s="258">
        <v>33</v>
      </c>
      <c r="Z102" s="258">
        <v>94</v>
      </c>
      <c r="AA102" s="614">
        <v>68</v>
      </c>
      <c r="AB102" s="354"/>
      <c r="AC102" s="257">
        <v>685</v>
      </c>
      <c r="AD102" s="258">
        <v>635</v>
      </c>
      <c r="AE102" s="258">
        <v>561</v>
      </c>
      <c r="AF102" s="258">
        <v>500</v>
      </c>
      <c r="AG102" s="258">
        <v>361</v>
      </c>
      <c r="AH102" s="258">
        <v>290</v>
      </c>
      <c r="AI102" s="258">
        <v>345</v>
      </c>
      <c r="AJ102" s="614">
        <v>355</v>
      </c>
      <c r="AK102" s="354"/>
      <c r="AL102" s="257">
        <v>172</v>
      </c>
      <c r="AM102" s="258">
        <v>202</v>
      </c>
      <c r="AN102" s="258">
        <v>201</v>
      </c>
      <c r="AO102" s="258">
        <v>170</v>
      </c>
      <c r="AP102" s="258">
        <v>110</v>
      </c>
      <c r="AQ102" s="258">
        <v>125</v>
      </c>
      <c r="AR102" s="258">
        <v>93</v>
      </c>
      <c r="AS102" s="614">
        <v>117</v>
      </c>
      <c r="AT102" s="354"/>
      <c r="AU102" s="257"/>
      <c r="AV102" s="258"/>
      <c r="AW102" s="258"/>
      <c r="AX102" s="258"/>
      <c r="AY102" s="258"/>
      <c r="AZ102" s="258"/>
      <c r="BA102" s="258"/>
      <c r="BB102" s="614"/>
      <c r="BC102" s="354"/>
      <c r="BD102" s="257">
        <f t="shared" si="25"/>
        <v>948</v>
      </c>
      <c r="BE102" s="258">
        <f t="shared" si="26"/>
        <v>930</v>
      </c>
      <c r="BF102" s="258">
        <f t="shared" si="27"/>
        <v>849</v>
      </c>
      <c r="BG102" s="258">
        <f t="shared" si="28"/>
        <v>767</v>
      </c>
      <c r="BH102" s="258">
        <f t="shared" si="29"/>
        <v>554</v>
      </c>
      <c r="BI102" s="258">
        <f t="shared" si="30"/>
        <v>470</v>
      </c>
      <c r="BJ102" s="258">
        <f t="shared" si="31"/>
        <v>579</v>
      </c>
      <c r="BK102" s="614">
        <f t="shared" si="24"/>
        <v>568</v>
      </c>
      <c r="BL102" s="354">
        <f t="shared" si="24"/>
        <v>0</v>
      </c>
    </row>
    <row r="103" spans="1:64" x14ac:dyDescent="0.2">
      <c r="A103" s="365" t="s">
        <v>817</v>
      </c>
      <c r="B103" s="257">
        <v>14</v>
      </c>
      <c r="C103" s="258">
        <v>6</v>
      </c>
      <c r="D103" s="258">
        <v>10</v>
      </c>
      <c r="E103" s="258">
        <v>13</v>
      </c>
      <c r="F103" s="258">
        <v>11</v>
      </c>
      <c r="G103" s="258">
        <v>112</v>
      </c>
      <c r="H103" s="258">
        <v>13</v>
      </c>
      <c r="I103" s="614">
        <v>23</v>
      </c>
      <c r="J103" s="354"/>
      <c r="K103" s="257">
        <v>9</v>
      </c>
      <c r="L103" s="258">
        <v>11</v>
      </c>
      <c r="M103" s="258">
        <v>14</v>
      </c>
      <c r="N103" s="258">
        <v>22</v>
      </c>
      <c r="O103" s="258">
        <v>8</v>
      </c>
      <c r="P103" s="258">
        <v>15</v>
      </c>
      <c r="Q103" s="258">
        <v>16</v>
      </c>
      <c r="R103" s="614">
        <v>4</v>
      </c>
      <c r="S103" s="354"/>
      <c r="T103" s="257">
        <v>13</v>
      </c>
      <c r="U103" s="258">
        <v>3</v>
      </c>
      <c r="V103" s="258">
        <v>16</v>
      </c>
      <c r="W103" s="258">
        <v>12</v>
      </c>
      <c r="X103" s="258">
        <v>6</v>
      </c>
      <c r="Y103" s="258">
        <v>10</v>
      </c>
      <c r="Z103" s="258">
        <v>14</v>
      </c>
      <c r="AA103" s="614">
        <v>8</v>
      </c>
      <c r="AB103" s="354"/>
      <c r="AC103" s="257">
        <v>61</v>
      </c>
      <c r="AD103" s="258">
        <v>35</v>
      </c>
      <c r="AE103" s="258">
        <v>71</v>
      </c>
      <c r="AF103" s="258">
        <v>64</v>
      </c>
      <c r="AG103" s="258">
        <v>58</v>
      </c>
      <c r="AH103" s="258">
        <v>35</v>
      </c>
      <c r="AI103" s="258">
        <v>57</v>
      </c>
      <c r="AJ103" s="614">
        <v>27</v>
      </c>
      <c r="AK103" s="354"/>
      <c r="AL103" s="257">
        <v>7</v>
      </c>
      <c r="AM103" s="258">
        <v>6</v>
      </c>
      <c r="AN103" s="258">
        <v>13</v>
      </c>
      <c r="AO103" s="258">
        <v>21</v>
      </c>
      <c r="AP103" s="258">
        <v>16</v>
      </c>
      <c r="AQ103" s="258">
        <v>4</v>
      </c>
      <c r="AR103" s="258">
        <v>24</v>
      </c>
      <c r="AS103" s="614">
        <v>97</v>
      </c>
      <c r="AT103" s="354"/>
      <c r="AU103" s="257"/>
      <c r="AV103" s="258"/>
      <c r="AW103" s="258"/>
      <c r="AX103" s="258"/>
      <c r="AY103" s="258"/>
      <c r="AZ103" s="258"/>
      <c r="BA103" s="258"/>
      <c r="BB103" s="614"/>
      <c r="BC103" s="354"/>
      <c r="BD103" s="257">
        <f t="shared" si="25"/>
        <v>104</v>
      </c>
      <c r="BE103" s="258">
        <f t="shared" si="26"/>
        <v>61</v>
      </c>
      <c r="BF103" s="258">
        <f t="shared" si="27"/>
        <v>124</v>
      </c>
      <c r="BG103" s="258">
        <f t="shared" si="28"/>
        <v>132</v>
      </c>
      <c r="BH103" s="258">
        <f t="shared" si="29"/>
        <v>99</v>
      </c>
      <c r="BI103" s="258">
        <f t="shared" si="30"/>
        <v>176</v>
      </c>
      <c r="BJ103" s="258">
        <f t="shared" si="31"/>
        <v>124</v>
      </c>
      <c r="BK103" s="614">
        <f t="shared" si="24"/>
        <v>159</v>
      </c>
      <c r="BL103" s="354">
        <f t="shared" si="24"/>
        <v>0</v>
      </c>
    </row>
    <row r="104" spans="1:64" ht="13.5" thickBot="1" x14ac:dyDescent="0.25">
      <c r="A104" s="366" t="s">
        <v>704</v>
      </c>
      <c r="B104" s="361">
        <v>22</v>
      </c>
      <c r="C104" s="362">
        <v>32</v>
      </c>
      <c r="D104" s="362">
        <v>19</v>
      </c>
      <c r="E104" s="362">
        <v>17</v>
      </c>
      <c r="F104" s="362">
        <v>11</v>
      </c>
      <c r="G104" s="362">
        <v>13</v>
      </c>
      <c r="H104" s="362">
        <v>6</v>
      </c>
      <c r="I104" s="615">
        <v>27</v>
      </c>
      <c r="J104" s="363"/>
      <c r="K104" s="361">
        <v>23</v>
      </c>
      <c r="L104" s="362">
        <v>20</v>
      </c>
      <c r="M104" s="362">
        <v>19</v>
      </c>
      <c r="N104" s="362">
        <v>32</v>
      </c>
      <c r="O104" s="362">
        <v>24</v>
      </c>
      <c r="P104" s="362">
        <v>45</v>
      </c>
      <c r="Q104" s="362">
        <v>31</v>
      </c>
      <c r="R104" s="615">
        <v>21</v>
      </c>
      <c r="S104" s="363"/>
      <c r="T104" s="361">
        <v>48</v>
      </c>
      <c r="U104" s="362">
        <v>62</v>
      </c>
      <c r="V104" s="362">
        <v>63</v>
      </c>
      <c r="W104" s="362">
        <v>74</v>
      </c>
      <c r="X104" s="362">
        <v>86</v>
      </c>
      <c r="Y104" s="362">
        <v>101</v>
      </c>
      <c r="Z104" s="362">
        <v>72</v>
      </c>
      <c r="AA104" s="615">
        <v>77</v>
      </c>
      <c r="AB104" s="363"/>
      <c r="AC104" s="361">
        <v>529</v>
      </c>
      <c r="AD104" s="362">
        <v>487</v>
      </c>
      <c r="AE104" s="362">
        <v>531</v>
      </c>
      <c r="AF104" s="362">
        <v>683</v>
      </c>
      <c r="AG104" s="362">
        <v>609</v>
      </c>
      <c r="AH104" s="362">
        <v>613</v>
      </c>
      <c r="AI104" s="362">
        <v>486</v>
      </c>
      <c r="AJ104" s="615">
        <v>488</v>
      </c>
      <c r="AK104" s="363"/>
      <c r="AL104" s="361">
        <v>381</v>
      </c>
      <c r="AM104" s="362">
        <v>301</v>
      </c>
      <c r="AN104" s="362">
        <v>368</v>
      </c>
      <c r="AO104" s="362">
        <v>522</v>
      </c>
      <c r="AP104" s="362">
        <v>329</v>
      </c>
      <c r="AQ104" s="362">
        <v>295</v>
      </c>
      <c r="AR104" s="362">
        <v>229</v>
      </c>
      <c r="AS104" s="615">
        <v>214</v>
      </c>
      <c r="AT104" s="363"/>
      <c r="AU104" s="361"/>
      <c r="AV104" s="362"/>
      <c r="AW104" s="362"/>
      <c r="AX104" s="362"/>
      <c r="AY104" s="362"/>
      <c r="AZ104" s="362"/>
      <c r="BA104" s="362"/>
      <c r="BB104" s="615"/>
      <c r="BC104" s="363"/>
      <c r="BD104" s="361">
        <f t="shared" si="25"/>
        <v>1003</v>
      </c>
      <c r="BE104" s="362">
        <f t="shared" si="26"/>
        <v>902</v>
      </c>
      <c r="BF104" s="362">
        <f t="shared" si="27"/>
        <v>1000</v>
      </c>
      <c r="BG104" s="362">
        <f t="shared" si="28"/>
        <v>1328</v>
      </c>
      <c r="BH104" s="362">
        <f t="shared" si="29"/>
        <v>1059</v>
      </c>
      <c r="BI104" s="362">
        <f t="shared" si="30"/>
        <v>1067</v>
      </c>
      <c r="BJ104" s="362">
        <f t="shared" si="31"/>
        <v>824</v>
      </c>
      <c r="BK104" s="615">
        <f t="shared" si="24"/>
        <v>827</v>
      </c>
      <c r="BL104" s="363">
        <f t="shared" si="24"/>
        <v>0</v>
      </c>
    </row>
    <row r="105" spans="1:64" s="259" customFormat="1" x14ac:dyDescent="0.2">
      <c r="A105" s="364" t="s">
        <v>776</v>
      </c>
      <c r="B105" s="781">
        <v>165</v>
      </c>
      <c r="C105" s="782">
        <v>250</v>
      </c>
      <c r="D105" s="782">
        <v>169</v>
      </c>
      <c r="E105" s="782">
        <v>157</v>
      </c>
      <c r="F105" s="782">
        <v>122</v>
      </c>
      <c r="G105" s="782">
        <v>92</v>
      </c>
      <c r="H105" s="782">
        <v>102</v>
      </c>
      <c r="I105" s="783">
        <v>75</v>
      </c>
      <c r="J105" s="784"/>
      <c r="K105" s="781">
        <v>237</v>
      </c>
      <c r="L105" s="782">
        <v>275</v>
      </c>
      <c r="M105" s="782">
        <v>244</v>
      </c>
      <c r="N105" s="782">
        <v>222</v>
      </c>
      <c r="O105" s="782">
        <v>248</v>
      </c>
      <c r="P105" s="782">
        <v>168</v>
      </c>
      <c r="Q105" s="782">
        <v>138</v>
      </c>
      <c r="R105" s="783">
        <v>107</v>
      </c>
      <c r="S105" s="784"/>
      <c r="T105" s="781">
        <v>532</v>
      </c>
      <c r="U105" s="782">
        <v>1031</v>
      </c>
      <c r="V105" s="782">
        <v>476</v>
      </c>
      <c r="W105" s="782">
        <v>547</v>
      </c>
      <c r="X105" s="782">
        <v>409</v>
      </c>
      <c r="Y105" s="782">
        <v>462</v>
      </c>
      <c r="Z105" s="782">
        <v>403</v>
      </c>
      <c r="AA105" s="783">
        <v>282</v>
      </c>
      <c r="AB105" s="784"/>
      <c r="AC105" s="781">
        <v>4364</v>
      </c>
      <c r="AD105" s="782">
        <v>4696</v>
      </c>
      <c r="AE105" s="782">
        <v>3863</v>
      </c>
      <c r="AF105" s="782">
        <v>3127</v>
      </c>
      <c r="AG105" s="782">
        <v>2819</v>
      </c>
      <c r="AH105" s="782">
        <v>2703</v>
      </c>
      <c r="AI105" s="782">
        <v>2153</v>
      </c>
      <c r="AJ105" s="783">
        <v>1782</v>
      </c>
      <c r="AK105" s="784"/>
      <c r="AL105" s="781">
        <v>1305</v>
      </c>
      <c r="AM105" s="782">
        <v>1306</v>
      </c>
      <c r="AN105" s="782">
        <v>1248</v>
      </c>
      <c r="AO105" s="782">
        <v>951</v>
      </c>
      <c r="AP105" s="782">
        <v>942</v>
      </c>
      <c r="AQ105" s="782">
        <v>741</v>
      </c>
      <c r="AR105" s="782">
        <v>599</v>
      </c>
      <c r="AS105" s="783">
        <v>471</v>
      </c>
      <c r="AT105" s="784"/>
      <c r="AU105" s="781"/>
      <c r="AV105" s="782"/>
      <c r="AW105" s="782"/>
      <c r="AX105" s="782"/>
      <c r="AY105" s="782"/>
      <c r="AZ105" s="782"/>
      <c r="BA105" s="782"/>
      <c r="BB105" s="783"/>
      <c r="BC105" s="784"/>
      <c r="BD105" s="781">
        <f t="shared" si="25"/>
        <v>6603</v>
      </c>
      <c r="BE105" s="782">
        <f t="shared" si="26"/>
        <v>7558</v>
      </c>
      <c r="BF105" s="782">
        <f t="shared" si="27"/>
        <v>6000</v>
      </c>
      <c r="BG105" s="782">
        <f t="shared" si="28"/>
        <v>5004</v>
      </c>
      <c r="BH105" s="782">
        <f t="shared" si="29"/>
        <v>4540</v>
      </c>
      <c r="BI105" s="782">
        <f t="shared" si="30"/>
        <v>4166</v>
      </c>
      <c r="BJ105" s="782">
        <f t="shared" si="31"/>
        <v>3395</v>
      </c>
      <c r="BK105" s="783">
        <f t="shared" si="24"/>
        <v>2717</v>
      </c>
      <c r="BL105" s="784">
        <f t="shared" si="24"/>
        <v>0</v>
      </c>
    </row>
    <row r="106" spans="1:64" x14ac:dyDescent="0.2">
      <c r="A106" s="365" t="s">
        <v>706</v>
      </c>
      <c r="B106" s="257">
        <v>16</v>
      </c>
      <c r="C106" s="258">
        <v>21</v>
      </c>
      <c r="D106" s="258">
        <v>11</v>
      </c>
      <c r="E106" s="258">
        <v>15</v>
      </c>
      <c r="F106" s="258">
        <v>8</v>
      </c>
      <c r="G106" s="258">
        <v>4</v>
      </c>
      <c r="H106" s="258">
        <v>2</v>
      </c>
      <c r="I106" s="614">
        <v>9</v>
      </c>
      <c r="J106" s="354"/>
      <c r="K106" s="257">
        <v>30</v>
      </c>
      <c r="L106" s="258">
        <v>24</v>
      </c>
      <c r="M106" s="258">
        <v>35</v>
      </c>
      <c r="N106" s="258">
        <v>34</v>
      </c>
      <c r="O106" s="258">
        <v>13</v>
      </c>
      <c r="P106" s="258">
        <v>12</v>
      </c>
      <c r="Q106" s="258">
        <v>16</v>
      </c>
      <c r="R106" s="614">
        <v>13</v>
      </c>
      <c r="S106" s="354"/>
      <c r="T106" s="257">
        <v>54</v>
      </c>
      <c r="U106" s="258">
        <v>58</v>
      </c>
      <c r="V106" s="258">
        <v>34</v>
      </c>
      <c r="W106" s="258">
        <v>29</v>
      </c>
      <c r="X106" s="258">
        <v>62</v>
      </c>
      <c r="Y106" s="258">
        <v>36</v>
      </c>
      <c r="Z106" s="258">
        <v>33</v>
      </c>
      <c r="AA106" s="614">
        <v>30</v>
      </c>
      <c r="AB106" s="354"/>
      <c r="AC106" s="257">
        <v>495</v>
      </c>
      <c r="AD106" s="258">
        <v>407</v>
      </c>
      <c r="AE106" s="258">
        <v>385</v>
      </c>
      <c r="AF106" s="258">
        <v>331</v>
      </c>
      <c r="AG106" s="258">
        <v>298</v>
      </c>
      <c r="AH106" s="258">
        <v>223</v>
      </c>
      <c r="AI106" s="258">
        <v>190</v>
      </c>
      <c r="AJ106" s="614">
        <v>247</v>
      </c>
      <c r="AK106" s="354"/>
      <c r="AL106" s="257">
        <v>113</v>
      </c>
      <c r="AM106" s="258">
        <v>147</v>
      </c>
      <c r="AN106" s="258">
        <v>113</v>
      </c>
      <c r="AO106" s="258">
        <v>106</v>
      </c>
      <c r="AP106" s="258">
        <v>115</v>
      </c>
      <c r="AQ106" s="258">
        <v>77</v>
      </c>
      <c r="AR106" s="258">
        <v>45</v>
      </c>
      <c r="AS106" s="614">
        <v>30</v>
      </c>
      <c r="AT106" s="354"/>
      <c r="AU106" s="257"/>
      <c r="AV106" s="258"/>
      <c r="AW106" s="258"/>
      <c r="AX106" s="258"/>
      <c r="AY106" s="258"/>
      <c r="AZ106" s="258"/>
      <c r="BA106" s="258"/>
      <c r="BB106" s="614"/>
      <c r="BC106" s="354"/>
      <c r="BD106" s="257">
        <f t="shared" si="25"/>
        <v>708</v>
      </c>
      <c r="BE106" s="258">
        <f t="shared" si="26"/>
        <v>657</v>
      </c>
      <c r="BF106" s="258">
        <f t="shared" si="27"/>
        <v>578</v>
      </c>
      <c r="BG106" s="258">
        <f t="shared" si="28"/>
        <v>515</v>
      </c>
      <c r="BH106" s="258">
        <f t="shared" si="29"/>
        <v>496</v>
      </c>
      <c r="BI106" s="258">
        <f t="shared" si="30"/>
        <v>352</v>
      </c>
      <c r="BJ106" s="258">
        <f t="shared" si="31"/>
        <v>286</v>
      </c>
      <c r="BK106" s="614">
        <f t="shared" si="24"/>
        <v>329</v>
      </c>
      <c r="BL106" s="354">
        <f t="shared" si="24"/>
        <v>0</v>
      </c>
    </row>
    <row r="107" spans="1:64" x14ac:dyDescent="0.2">
      <c r="A107" s="365" t="s">
        <v>710</v>
      </c>
      <c r="B107" s="257">
        <v>48</v>
      </c>
      <c r="C107" s="258">
        <v>60</v>
      </c>
      <c r="D107" s="258">
        <v>44</v>
      </c>
      <c r="E107" s="258">
        <v>45</v>
      </c>
      <c r="F107" s="258">
        <v>26</v>
      </c>
      <c r="G107" s="258">
        <v>26</v>
      </c>
      <c r="H107" s="258">
        <v>39</v>
      </c>
      <c r="I107" s="614">
        <v>11</v>
      </c>
      <c r="J107" s="354"/>
      <c r="K107" s="257">
        <v>53</v>
      </c>
      <c r="L107" s="258">
        <v>52</v>
      </c>
      <c r="M107" s="258">
        <v>59</v>
      </c>
      <c r="N107" s="258">
        <v>58</v>
      </c>
      <c r="O107" s="258">
        <v>41</v>
      </c>
      <c r="P107" s="258">
        <v>36</v>
      </c>
      <c r="Q107" s="258">
        <v>35</v>
      </c>
      <c r="R107" s="614">
        <v>15</v>
      </c>
      <c r="S107" s="354"/>
      <c r="T107" s="257">
        <v>106</v>
      </c>
      <c r="U107" s="258">
        <v>124</v>
      </c>
      <c r="V107" s="258">
        <v>104</v>
      </c>
      <c r="W107" s="258">
        <v>111</v>
      </c>
      <c r="X107" s="258">
        <v>91</v>
      </c>
      <c r="Y107" s="258">
        <v>96</v>
      </c>
      <c r="Z107" s="258">
        <v>96</v>
      </c>
      <c r="AA107" s="614">
        <v>69</v>
      </c>
      <c r="AB107" s="354"/>
      <c r="AC107" s="257">
        <v>817</v>
      </c>
      <c r="AD107" s="258">
        <v>790</v>
      </c>
      <c r="AE107" s="258">
        <v>738</v>
      </c>
      <c r="AF107" s="258">
        <v>590</v>
      </c>
      <c r="AG107" s="258">
        <v>622</v>
      </c>
      <c r="AH107" s="258">
        <v>753</v>
      </c>
      <c r="AI107" s="258">
        <v>453</v>
      </c>
      <c r="AJ107" s="614">
        <v>363</v>
      </c>
      <c r="AK107" s="354"/>
      <c r="AL107" s="257">
        <v>227</v>
      </c>
      <c r="AM107" s="258">
        <v>265</v>
      </c>
      <c r="AN107" s="258">
        <v>294</v>
      </c>
      <c r="AO107" s="258">
        <v>208</v>
      </c>
      <c r="AP107" s="258">
        <v>195</v>
      </c>
      <c r="AQ107" s="258">
        <v>183</v>
      </c>
      <c r="AR107" s="258">
        <v>150</v>
      </c>
      <c r="AS107" s="614">
        <v>87</v>
      </c>
      <c r="AT107" s="354"/>
      <c r="AU107" s="257"/>
      <c r="AV107" s="258"/>
      <c r="AW107" s="258"/>
      <c r="AX107" s="258"/>
      <c r="AY107" s="258"/>
      <c r="AZ107" s="258"/>
      <c r="BA107" s="258"/>
      <c r="BB107" s="614"/>
      <c r="BC107" s="354"/>
      <c r="BD107" s="257">
        <f t="shared" si="25"/>
        <v>1251</v>
      </c>
      <c r="BE107" s="258">
        <f t="shared" si="26"/>
        <v>1291</v>
      </c>
      <c r="BF107" s="258">
        <f t="shared" si="27"/>
        <v>1239</v>
      </c>
      <c r="BG107" s="258">
        <f t="shared" si="28"/>
        <v>1012</v>
      </c>
      <c r="BH107" s="258">
        <f t="shared" si="29"/>
        <v>975</v>
      </c>
      <c r="BI107" s="258">
        <f t="shared" si="30"/>
        <v>1094</v>
      </c>
      <c r="BJ107" s="258">
        <f t="shared" si="31"/>
        <v>773</v>
      </c>
      <c r="BK107" s="614">
        <f t="shared" si="24"/>
        <v>545</v>
      </c>
      <c r="BL107" s="354">
        <f t="shared" si="24"/>
        <v>0</v>
      </c>
    </row>
    <row r="108" spans="1:64" x14ac:dyDescent="0.2">
      <c r="A108" s="365" t="s">
        <v>711</v>
      </c>
      <c r="B108" s="257">
        <v>6</v>
      </c>
      <c r="C108" s="258">
        <v>8</v>
      </c>
      <c r="D108" s="258">
        <v>4</v>
      </c>
      <c r="E108" s="258">
        <v>6</v>
      </c>
      <c r="F108" s="258">
        <v>10</v>
      </c>
      <c r="G108" s="258">
        <v>12</v>
      </c>
      <c r="H108" s="258">
        <v>8</v>
      </c>
      <c r="I108" s="614">
        <v>5</v>
      </c>
      <c r="J108" s="354"/>
      <c r="K108" s="257">
        <v>7</v>
      </c>
      <c r="L108" s="258">
        <v>5</v>
      </c>
      <c r="M108" s="258">
        <v>9</v>
      </c>
      <c r="N108" s="258">
        <v>11</v>
      </c>
      <c r="O108" s="258">
        <v>1</v>
      </c>
      <c r="P108" s="258">
        <v>5</v>
      </c>
      <c r="Q108" s="258">
        <v>5</v>
      </c>
      <c r="R108" s="614">
        <v>14</v>
      </c>
      <c r="S108" s="354"/>
      <c r="T108" s="257">
        <v>25</v>
      </c>
      <c r="U108" s="258">
        <v>22</v>
      </c>
      <c r="V108" s="258">
        <v>22</v>
      </c>
      <c r="W108" s="258">
        <v>36</v>
      </c>
      <c r="X108" s="258">
        <v>17</v>
      </c>
      <c r="Y108" s="258">
        <v>16</v>
      </c>
      <c r="Z108" s="258">
        <v>10</v>
      </c>
      <c r="AA108" s="614">
        <v>14</v>
      </c>
      <c r="AB108" s="354"/>
      <c r="AC108" s="257">
        <v>193</v>
      </c>
      <c r="AD108" s="258">
        <v>157</v>
      </c>
      <c r="AE108" s="258">
        <v>200</v>
      </c>
      <c r="AF108" s="258">
        <v>145</v>
      </c>
      <c r="AG108" s="258">
        <v>156</v>
      </c>
      <c r="AH108" s="258">
        <v>106</v>
      </c>
      <c r="AI108" s="258">
        <v>88</v>
      </c>
      <c r="AJ108" s="614">
        <v>81</v>
      </c>
      <c r="AK108" s="354"/>
      <c r="AL108" s="257">
        <v>107</v>
      </c>
      <c r="AM108" s="258">
        <v>61</v>
      </c>
      <c r="AN108" s="258">
        <v>59</v>
      </c>
      <c r="AO108" s="258">
        <v>52</v>
      </c>
      <c r="AP108" s="258">
        <v>33</v>
      </c>
      <c r="AQ108" s="258">
        <v>28</v>
      </c>
      <c r="AR108" s="258">
        <v>28</v>
      </c>
      <c r="AS108" s="614">
        <v>23</v>
      </c>
      <c r="AT108" s="354"/>
      <c r="AU108" s="257"/>
      <c r="AV108" s="258"/>
      <c r="AW108" s="258"/>
      <c r="AX108" s="258"/>
      <c r="AY108" s="258"/>
      <c r="AZ108" s="258"/>
      <c r="BA108" s="258"/>
      <c r="BB108" s="614"/>
      <c r="BC108" s="354"/>
      <c r="BD108" s="257">
        <f t="shared" si="25"/>
        <v>338</v>
      </c>
      <c r="BE108" s="258">
        <f t="shared" si="26"/>
        <v>253</v>
      </c>
      <c r="BF108" s="258">
        <f t="shared" si="27"/>
        <v>294</v>
      </c>
      <c r="BG108" s="258">
        <f t="shared" si="28"/>
        <v>250</v>
      </c>
      <c r="BH108" s="258">
        <f t="shared" si="29"/>
        <v>217</v>
      </c>
      <c r="BI108" s="258">
        <f t="shared" si="30"/>
        <v>167</v>
      </c>
      <c r="BJ108" s="258">
        <f t="shared" si="31"/>
        <v>139</v>
      </c>
      <c r="BK108" s="614">
        <f t="shared" si="24"/>
        <v>137</v>
      </c>
      <c r="BL108" s="354">
        <f t="shared" si="24"/>
        <v>0</v>
      </c>
    </row>
    <row r="109" spans="1:64" x14ac:dyDescent="0.2">
      <c r="A109" s="365" t="s">
        <v>818</v>
      </c>
      <c r="B109" s="257"/>
      <c r="C109" s="258">
        <v>7</v>
      </c>
      <c r="D109" s="258">
        <v>1</v>
      </c>
      <c r="E109" s="258">
        <v>5</v>
      </c>
      <c r="F109" s="258">
        <v>3</v>
      </c>
      <c r="G109" s="258">
        <v>11</v>
      </c>
      <c r="H109" s="258">
        <v>12</v>
      </c>
      <c r="I109" s="614">
        <v>12</v>
      </c>
      <c r="J109" s="354"/>
      <c r="K109" s="257"/>
      <c r="L109" s="258">
        <v>3</v>
      </c>
      <c r="M109" s="258">
        <v>9</v>
      </c>
      <c r="N109" s="258">
        <v>4</v>
      </c>
      <c r="O109" s="258"/>
      <c r="P109" s="258">
        <v>3</v>
      </c>
      <c r="Q109" s="258">
        <v>2</v>
      </c>
      <c r="R109" s="614">
        <v>11</v>
      </c>
      <c r="S109" s="354"/>
      <c r="T109" s="257">
        <v>4</v>
      </c>
      <c r="U109" s="258">
        <v>30</v>
      </c>
      <c r="V109" s="258">
        <v>24</v>
      </c>
      <c r="W109" s="258">
        <v>15</v>
      </c>
      <c r="X109" s="258">
        <v>6</v>
      </c>
      <c r="Y109" s="258">
        <v>4</v>
      </c>
      <c r="Z109" s="258">
        <v>1</v>
      </c>
      <c r="AA109" s="614">
        <v>7</v>
      </c>
      <c r="AB109" s="354"/>
      <c r="AC109" s="257">
        <v>46</v>
      </c>
      <c r="AD109" s="258">
        <v>282</v>
      </c>
      <c r="AE109" s="258">
        <v>76</v>
      </c>
      <c r="AF109" s="258">
        <v>38</v>
      </c>
      <c r="AG109" s="258">
        <v>15</v>
      </c>
      <c r="AH109" s="258">
        <v>31</v>
      </c>
      <c r="AI109" s="258">
        <v>22</v>
      </c>
      <c r="AJ109" s="614">
        <v>19</v>
      </c>
      <c r="AK109" s="354"/>
      <c r="AL109" s="257">
        <v>9</v>
      </c>
      <c r="AM109" s="258">
        <v>77</v>
      </c>
      <c r="AN109" s="258">
        <v>15</v>
      </c>
      <c r="AO109" s="258">
        <v>12</v>
      </c>
      <c r="AP109" s="258">
        <v>8</v>
      </c>
      <c r="AQ109" s="258">
        <v>7</v>
      </c>
      <c r="AR109" s="258">
        <v>12</v>
      </c>
      <c r="AS109" s="614">
        <v>12</v>
      </c>
      <c r="AT109" s="354"/>
      <c r="AU109" s="257"/>
      <c r="AV109" s="258"/>
      <c r="AW109" s="258"/>
      <c r="AX109" s="258"/>
      <c r="AY109" s="258"/>
      <c r="AZ109" s="258"/>
      <c r="BA109" s="258"/>
      <c r="BB109" s="614"/>
      <c r="BC109" s="354"/>
      <c r="BD109" s="257">
        <f t="shared" si="25"/>
        <v>59</v>
      </c>
      <c r="BE109" s="258">
        <f t="shared" si="26"/>
        <v>399</v>
      </c>
      <c r="BF109" s="258">
        <f t="shared" si="27"/>
        <v>125</v>
      </c>
      <c r="BG109" s="258">
        <f t="shared" si="28"/>
        <v>74</v>
      </c>
      <c r="BH109" s="258">
        <f t="shared" si="29"/>
        <v>32</v>
      </c>
      <c r="BI109" s="258">
        <f t="shared" si="30"/>
        <v>56</v>
      </c>
      <c r="BJ109" s="258">
        <f t="shared" si="31"/>
        <v>49</v>
      </c>
      <c r="BK109" s="614">
        <f t="shared" si="24"/>
        <v>61</v>
      </c>
      <c r="BL109" s="354">
        <f t="shared" si="24"/>
        <v>0</v>
      </c>
    </row>
    <row r="110" spans="1:64" x14ac:dyDescent="0.2">
      <c r="A110" s="365" t="s">
        <v>707</v>
      </c>
      <c r="B110" s="257">
        <v>34</v>
      </c>
      <c r="C110" s="258">
        <v>31</v>
      </c>
      <c r="D110" s="258">
        <v>25</v>
      </c>
      <c r="E110" s="258">
        <v>12</v>
      </c>
      <c r="F110" s="258">
        <v>19</v>
      </c>
      <c r="G110" s="258">
        <v>6</v>
      </c>
      <c r="H110" s="258">
        <v>15</v>
      </c>
      <c r="I110" s="614">
        <v>8</v>
      </c>
      <c r="J110" s="354"/>
      <c r="K110" s="257">
        <v>29</v>
      </c>
      <c r="L110" s="258">
        <v>30</v>
      </c>
      <c r="M110" s="258">
        <v>26</v>
      </c>
      <c r="N110" s="258">
        <v>44</v>
      </c>
      <c r="O110" s="258">
        <v>22</v>
      </c>
      <c r="P110" s="258">
        <v>24</v>
      </c>
      <c r="Q110" s="258">
        <v>15</v>
      </c>
      <c r="R110" s="614">
        <v>15</v>
      </c>
      <c r="S110" s="354"/>
      <c r="T110" s="257">
        <v>66</v>
      </c>
      <c r="U110" s="258">
        <v>148</v>
      </c>
      <c r="V110" s="258">
        <v>85</v>
      </c>
      <c r="W110" s="258">
        <v>70</v>
      </c>
      <c r="X110" s="258">
        <v>57</v>
      </c>
      <c r="Y110" s="258">
        <v>68</v>
      </c>
      <c r="Z110" s="258">
        <v>57</v>
      </c>
      <c r="AA110" s="614">
        <v>52</v>
      </c>
      <c r="AB110" s="354"/>
      <c r="AC110" s="257">
        <v>570</v>
      </c>
      <c r="AD110" s="258">
        <v>502</v>
      </c>
      <c r="AE110" s="258">
        <v>608</v>
      </c>
      <c r="AF110" s="258">
        <v>420</v>
      </c>
      <c r="AG110" s="258">
        <v>422</v>
      </c>
      <c r="AH110" s="258">
        <v>405</v>
      </c>
      <c r="AI110" s="258">
        <v>307</v>
      </c>
      <c r="AJ110" s="614">
        <v>264</v>
      </c>
      <c r="AK110" s="354"/>
      <c r="AL110" s="257">
        <v>166</v>
      </c>
      <c r="AM110" s="258">
        <v>172</v>
      </c>
      <c r="AN110" s="258">
        <v>180</v>
      </c>
      <c r="AO110" s="258">
        <v>90</v>
      </c>
      <c r="AP110" s="258">
        <v>125</v>
      </c>
      <c r="AQ110" s="258">
        <v>91</v>
      </c>
      <c r="AR110" s="258">
        <v>85</v>
      </c>
      <c r="AS110" s="614">
        <v>65</v>
      </c>
      <c r="AT110" s="354"/>
      <c r="AU110" s="257"/>
      <c r="AV110" s="258"/>
      <c r="AW110" s="258"/>
      <c r="AX110" s="258"/>
      <c r="AY110" s="258"/>
      <c r="AZ110" s="258"/>
      <c r="BA110" s="258"/>
      <c r="BB110" s="614"/>
      <c r="BC110" s="354"/>
      <c r="BD110" s="257">
        <f t="shared" si="25"/>
        <v>865</v>
      </c>
      <c r="BE110" s="258">
        <f t="shared" si="26"/>
        <v>883</v>
      </c>
      <c r="BF110" s="258">
        <f t="shared" si="27"/>
        <v>924</v>
      </c>
      <c r="BG110" s="258">
        <f t="shared" si="28"/>
        <v>636</v>
      </c>
      <c r="BH110" s="258">
        <f t="shared" si="29"/>
        <v>645</v>
      </c>
      <c r="BI110" s="258">
        <f t="shared" si="30"/>
        <v>594</v>
      </c>
      <c r="BJ110" s="258">
        <f t="shared" si="31"/>
        <v>479</v>
      </c>
      <c r="BK110" s="614">
        <f t="shared" si="24"/>
        <v>404</v>
      </c>
      <c r="BL110" s="354">
        <f t="shared" si="24"/>
        <v>0</v>
      </c>
    </row>
    <row r="111" spans="1:64" x14ac:dyDescent="0.2">
      <c r="A111" s="365" t="s">
        <v>708</v>
      </c>
      <c r="B111" s="257">
        <v>8</v>
      </c>
      <c r="C111" s="258">
        <v>23</v>
      </c>
      <c r="D111" s="258">
        <v>15</v>
      </c>
      <c r="E111" s="258">
        <v>13</v>
      </c>
      <c r="F111" s="258">
        <v>12</v>
      </c>
      <c r="G111" s="258">
        <v>7</v>
      </c>
      <c r="H111" s="258">
        <v>5</v>
      </c>
      <c r="I111" s="614">
        <v>4</v>
      </c>
      <c r="J111" s="354"/>
      <c r="K111" s="257">
        <v>10</v>
      </c>
      <c r="L111" s="258">
        <v>16</v>
      </c>
      <c r="M111" s="258">
        <v>31</v>
      </c>
      <c r="N111" s="258">
        <v>19</v>
      </c>
      <c r="O111" s="258">
        <v>12</v>
      </c>
      <c r="P111" s="258">
        <v>8</v>
      </c>
      <c r="Q111" s="258">
        <v>8</v>
      </c>
      <c r="R111" s="614">
        <v>4</v>
      </c>
      <c r="S111" s="354"/>
      <c r="T111" s="257">
        <v>38</v>
      </c>
      <c r="U111" s="258">
        <v>42</v>
      </c>
      <c r="V111" s="258">
        <v>49</v>
      </c>
      <c r="W111" s="258">
        <v>44</v>
      </c>
      <c r="X111" s="258">
        <v>25</v>
      </c>
      <c r="Y111" s="258">
        <v>32</v>
      </c>
      <c r="Z111" s="258">
        <v>27</v>
      </c>
      <c r="AA111" s="614">
        <v>23</v>
      </c>
      <c r="AB111" s="354"/>
      <c r="AC111" s="257">
        <v>348</v>
      </c>
      <c r="AD111" s="258">
        <v>363</v>
      </c>
      <c r="AE111" s="258">
        <v>340</v>
      </c>
      <c r="AF111" s="258">
        <v>302</v>
      </c>
      <c r="AG111" s="258">
        <v>255</v>
      </c>
      <c r="AH111" s="258">
        <v>140</v>
      </c>
      <c r="AI111" s="258">
        <v>113</v>
      </c>
      <c r="AJ111" s="614">
        <v>119</v>
      </c>
      <c r="AK111" s="354"/>
      <c r="AL111" s="257">
        <v>155</v>
      </c>
      <c r="AM111" s="258">
        <v>107</v>
      </c>
      <c r="AN111" s="258">
        <v>121</v>
      </c>
      <c r="AO111" s="258">
        <v>108</v>
      </c>
      <c r="AP111" s="258">
        <v>105</v>
      </c>
      <c r="AQ111" s="258">
        <v>61</v>
      </c>
      <c r="AR111" s="258">
        <v>24</v>
      </c>
      <c r="AS111" s="614">
        <v>52</v>
      </c>
      <c r="AT111" s="354"/>
      <c r="AU111" s="257"/>
      <c r="AV111" s="258"/>
      <c r="AW111" s="258"/>
      <c r="AX111" s="258"/>
      <c r="AY111" s="258"/>
      <c r="AZ111" s="258"/>
      <c r="BA111" s="258"/>
      <c r="BB111" s="614"/>
      <c r="BC111" s="354"/>
      <c r="BD111" s="257">
        <f t="shared" si="25"/>
        <v>559</v>
      </c>
      <c r="BE111" s="258">
        <f t="shared" si="26"/>
        <v>551</v>
      </c>
      <c r="BF111" s="258">
        <f t="shared" si="27"/>
        <v>556</v>
      </c>
      <c r="BG111" s="258">
        <f t="shared" si="28"/>
        <v>486</v>
      </c>
      <c r="BH111" s="258">
        <f t="shared" si="29"/>
        <v>409</v>
      </c>
      <c r="BI111" s="258">
        <f t="shared" si="30"/>
        <v>248</v>
      </c>
      <c r="BJ111" s="258">
        <f t="shared" si="31"/>
        <v>177</v>
      </c>
      <c r="BK111" s="614">
        <f t="shared" si="24"/>
        <v>202</v>
      </c>
      <c r="BL111" s="354">
        <f t="shared" si="24"/>
        <v>0</v>
      </c>
    </row>
    <row r="112" spans="1:64" x14ac:dyDescent="0.2">
      <c r="A112" s="365" t="s">
        <v>705</v>
      </c>
      <c r="B112" s="257">
        <v>40</v>
      </c>
      <c r="C112" s="258">
        <v>72</v>
      </c>
      <c r="D112" s="258">
        <v>63</v>
      </c>
      <c r="E112" s="258">
        <v>48</v>
      </c>
      <c r="F112" s="258">
        <v>24</v>
      </c>
      <c r="G112" s="258">
        <v>18</v>
      </c>
      <c r="H112" s="258">
        <v>18</v>
      </c>
      <c r="I112" s="614">
        <v>24</v>
      </c>
      <c r="J112" s="354"/>
      <c r="K112" s="257">
        <v>77</v>
      </c>
      <c r="L112" s="258">
        <v>96</v>
      </c>
      <c r="M112" s="258">
        <v>50</v>
      </c>
      <c r="N112" s="258">
        <v>30</v>
      </c>
      <c r="O112" s="258">
        <v>152</v>
      </c>
      <c r="P112" s="258">
        <v>68</v>
      </c>
      <c r="Q112" s="258">
        <v>30</v>
      </c>
      <c r="R112" s="614">
        <v>27</v>
      </c>
      <c r="S112" s="354"/>
      <c r="T112" s="257">
        <v>170</v>
      </c>
      <c r="U112" s="258">
        <v>565</v>
      </c>
      <c r="V112" s="258">
        <v>117</v>
      </c>
      <c r="W112" s="258">
        <v>148</v>
      </c>
      <c r="X112" s="258">
        <v>106</v>
      </c>
      <c r="Y112" s="258">
        <v>177</v>
      </c>
      <c r="Z112" s="258">
        <v>133</v>
      </c>
      <c r="AA112" s="614">
        <v>68</v>
      </c>
      <c r="AB112" s="354"/>
      <c r="AC112" s="257">
        <v>1441</v>
      </c>
      <c r="AD112" s="258">
        <v>1825</v>
      </c>
      <c r="AE112" s="258">
        <v>1136</v>
      </c>
      <c r="AF112" s="258">
        <v>906</v>
      </c>
      <c r="AG112" s="258">
        <v>706</v>
      </c>
      <c r="AH112" s="258">
        <v>837</v>
      </c>
      <c r="AI112" s="258">
        <v>769</v>
      </c>
      <c r="AJ112" s="614">
        <v>558</v>
      </c>
      <c r="AK112" s="354"/>
      <c r="AL112" s="257">
        <v>424</v>
      </c>
      <c r="AM112" s="258">
        <v>396</v>
      </c>
      <c r="AN112" s="258">
        <v>361</v>
      </c>
      <c r="AO112" s="258">
        <v>276</v>
      </c>
      <c r="AP112" s="258">
        <v>277</v>
      </c>
      <c r="AQ112" s="258">
        <v>232</v>
      </c>
      <c r="AR112" s="258">
        <v>209</v>
      </c>
      <c r="AS112" s="614">
        <v>167</v>
      </c>
      <c r="AT112" s="354"/>
      <c r="AU112" s="257"/>
      <c r="AV112" s="258"/>
      <c r="AW112" s="258"/>
      <c r="AX112" s="258"/>
      <c r="AY112" s="258"/>
      <c r="AZ112" s="258"/>
      <c r="BA112" s="258"/>
      <c r="BB112" s="614"/>
      <c r="BC112" s="354"/>
      <c r="BD112" s="257">
        <f t="shared" si="25"/>
        <v>2152</v>
      </c>
      <c r="BE112" s="258">
        <f t="shared" si="26"/>
        <v>2954</v>
      </c>
      <c r="BF112" s="258">
        <f t="shared" si="27"/>
        <v>1727</v>
      </c>
      <c r="BG112" s="258">
        <f t="shared" si="28"/>
        <v>1408</v>
      </c>
      <c r="BH112" s="258">
        <f t="shared" si="29"/>
        <v>1265</v>
      </c>
      <c r="BI112" s="258">
        <f t="shared" si="30"/>
        <v>1332</v>
      </c>
      <c r="BJ112" s="258">
        <f t="shared" si="31"/>
        <v>1159</v>
      </c>
      <c r="BK112" s="614">
        <f t="shared" si="24"/>
        <v>844</v>
      </c>
      <c r="BL112" s="354">
        <f t="shared" si="24"/>
        <v>0</v>
      </c>
    </row>
    <row r="113" spans="1:64" ht="13.5" thickBot="1" x14ac:dyDescent="0.25">
      <c r="A113" s="366" t="s">
        <v>709</v>
      </c>
      <c r="B113" s="361">
        <v>13</v>
      </c>
      <c r="C113" s="362">
        <v>28</v>
      </c>
      <c r="D113" s="362">
        <v>6</v>
      </c>
      <c r="E113" s="362">
        <v>13</v>
      </c>
      <c r="F113" s="362">
        <v>20</v>
      </c>
      <c r="G113" s="362">
        <v>8</v>
      </c>
      <c r="H113" s="362">
        <v>3</v>
      </c>
      <c r="I113" s="615">
        <v>2</v>
      </c>
      <c r="J113" s="363"/>
      <c r="K113" s="361">
        <v>31</v>
      </c>
      <c r="L113" s="362">
        <v>49</v>
      </c>
      <c r="M113" s="362">
        <v>25</v>
      </c>
      <c r="N113" s="362">
        <v>22</v>
      </c>
      <c r="O113" s="362">
        <v>7</v>
      </c>
      <c r="P113" s="362">
        <v>12</v>
      </c>
      <c r="Q113" s="362">
        <v>27</v>
      </c>
      <c r="R113" s="615">
        <v>8</v>
      </c>
      <c r="S113" s="363"/>
      <c r="T113" s="361">
        <v>69</v>
      </c>
      <c r="U113" s="362">
        <v>42</v>
      </c>
      <c r="V113" s="362">
        <v>41</v>
      </c>
      <c r="W113" s="362">
        <v>94</v>
      </c>
      <c r="X113" s="362">
        <v>45</v>
      </c>
      <c r="Y113" s="362">
        <v>33</v>
      </c>
      <c r="Z113" s="362">
        <v>46</v>
      </c>
      <c r="AA113" s="615">
        <v>19</v>
      </c>
      <c r="AB113" s="363"/>
      <c r="AC113" s="361">
        <v>454</v>
      </c>
      <c r="AD113" s="362">
        <v>370</v>
      </c>
      <c r="AE113" s="362">
        <v>380</v>
      </c>
      <c r="AF113" s="362">
        <v>395</v>
      </c>
      <c r="AG113" s="362">
        <v>345</v>
      </c>
      <c r="AH113" s="362">
        <v>208</v>
      </c>
      <c r="AI113" s="362">
        <v>211</v>
      </c>
      <c r="AJ113" s="615">
        <v>131</v>
      </c>
      <c r="AK113" s="363"/>
      <c r="AL113" s="361">
        <v>104</v>
      </c>
      <c r="AM113" s="362">
        <v>81</v>
      </c>
      <c r="AN113" s="362">
        <v>105</v>
      </c>
      <c r="AO113" s="362">
        <v>99</v>
      </c>
      <c r="AP113" s="362">
        <v>84</v>
      </c>
      <c r="AQ113" s="362">
        <v>62</v>
      </c>
      <c r="AR113" s="362">
        <v>46</v>
      </c>
      <c r="AS113" s="615">
        <v>35</v>
      </c>
      <c r="AT113" s="363"/>
      <c r="AU113" s="361"/>
      <c r="AV113" s="362"/>
      <c r="AW113" s="362"/>
      <c r="AX113" s="362"/>
      <c r="AY113" s="362"/>
      <c r="AZ113" s="362"/>
      <c r="BA113" s="362"/>
      <c r="BB113" s="615"/>
      <c r="BC113" s="363"/>
      <c r="BD113" s="361">
        <f t="shared" si="25"/>
        <v>671</v>
      </c>
      <c r="BE113" s="362">
        <f t="shared" si="26"/>
        <v>570</v>
      </c>
      <c r="BF113" s="362">
        <f t="shared" si="27"/>
        <v>557</v>
      </c>
      <c r="BG113" s="362">
        <f t="shared" si="28"/>
        <v>623</v>
      </c>
      <c r="BH113" s="362">
        <f t="shared" si="29"/>
        <v>501</v>
      </c>
      <c r="BI113" s="362">
        <f t="shared" si="30"/>
        <v>323</v>
      </c>
      <c r="BJ113" s="362">
        <f t="shared" si="31"/>
        <v>333</v>
      </c>
      <c r="BK113" s="615">
        <f t="shared" si="24"/>
        <v>195</v>
      </c>
      <c r="BL113" s="363">
        <f t="shared" si="24"/>
        <v>0</v>
      </c>
    </row>
    <row r="114" spans="1:64" s="259" customFormat="1" x14ac:dyDescent="0.2">
      <c r="A114" s="364" t="s">
        <v>787</v>
      </c>
      <c r="B114" s="781">
        <v>86</v>
      </c>
      <c r="C114" s="782">
        <v>172</v>
      </c>
      <c r="D114" s="782">
        <v>179</v>
      </c>
      <c r="E114" s="782">
        <v>5034</v>
      </c>
      <c r="F114" s="782">
        <v>185</v>
      </c>
      <c r="G114" s="782">
        <v>176</v>
      </c>
      <c r="H114" s="782">
        <v>85</v>
      </c>
      <c r="I114" s="783">
        <v>104</v>
      </c>
      <c r="J114" s="784"/>
      <c r="K114" s="781">
        <v>152</v>
      </c>
      <c r="L114" s="782">
        <v>204</v>
      </c>
      <c r="M114" s="782">
        <v>192</v>
      </c>
      <c r="N114" s="782">
        <v>187</v>
      </c>
      <c r="O114" s="782">
        <v>168</v>
      </c>
      <c r="P114" s="782">
        <v>184</v>
      </c>
      <c r="Q114" s="782">
        <v>112</v>
      </c>
      <c r="R114" s="783">
        <v>139</v>
      </c>
      <c r="S114" s="784"/>
      <c r="T114" s="781">
        <v>266</v>
      </c>
      <c r="U114" s="782">
        <v>385</v>
      </c>
      <c r="V114" s="782">
        <v>335</v>
      </c>
      <c r="W114" s="782">
        <v>288</v>
      </c>
      <c r="X114" s="782">
        <v>340</v>
      </c>
      <c r="Y114" s="782">
        <v>352</v>
      </c>
      <c r="Z114" s="782">
        <v>246</v>
      </c>
      <c r="AA114" s="783">
        <v>260</v>
      </c>
      <c r="AB114" s="784"/>
      <c r="AC114" s="781">
        <v>2540</v>
      </c>
      <c r="AD114" s="782">
        <v>3008</v>
      </c>
      <c r="AE114" s="782">
        <v>2761</v>
      </c>
      <c r="AF114" s="782">
        <v>2133</v>
      </c>
      <c r="AG114" s="782">
        <v>2380</v>
      </c>
      <c r="AH114" s="782">
        <v>1830</v>
      </c>
      <c r="AI114" s="782">
        <v>1467</v>
      </c>
      <c r="AJ114" s="783">
        <v>1884</v>
      </c>
      <c r="AK114" s="784"/>
      <c r="AL114" s="781">
        <v>878</v>
      </c>
      <c r="AM114" s="782">
        <v>1123</v>
      </c>
      <c r="AN114" s="782">
        <v>1106</v>
      </c>
      <c r="AO114" s="782">
        <v>925</v>
      </c>
      <c r="AP114" s="782">
        <v>713</v>
      </c>
      <c r="AQ114" s="782">
        <v>632</v>
      </c>
      <c r="AR114" s="782">
        <v>495</v>
      </c>
      <c r="AS114" s="783">
        <v>526</v>
      </c>
      <c r="AT114" s="784"/>
      <c r="AU114" s="781"/>
      <c r="AV114" s="782"/>
      <c r="AW114" s="782">
        <v>1</v>
      </c>
      <c r="AX114" s="782"/>
      <c r="AY114" s="782"/>
      <c r="AZ114" s="782"/>
      <c r="BA114" s="782"/>
      <c r="BB114" s="783"/>
      <c r="BC114" s="784"/>
      <c r="BD114" s="781">
        <f t="shared" si="25"/>
        <v>3922</v>
      </c>
      <c r="BE114" s="782">
        <f t="shared" si="26"/>
        <v>4892</v>
      </c>
      <c r="BF114" s="782">
        <f t="shared" si="27"/>
        <v>4574</v>
      </c>
      <c r="BG114" s="782">
        <f t="shared" si="28"/>
        <v>8567</v>
      </c>
      <c r="BH114" s="782">
        <f t="shared" si="29"/>
        <v>3786</v>
      </c>
      <c r="BI114" s="782">
        <f t="shared" si="30"/>
        <v>3174</v>
      </c>
      <c r="BJ114" s="782">
        <f t="shared" si="31"/>
        <v>2405</v>
      </c>
      <c r="BK114" s="783">
        <f t="shared" si="24"/>
        <v>2913</v>
      </c>
      <c r="BL114" s="784">
        <f t="shared" si="24"/>
        <v>0</v>
      </c>
    </row>
    <row r="115" spans="1:64" x14ac:dyDescent="0.2">
      <c r="A115" s="365" t="s">
        <v>713</v>
      </c>
      <c r="B115" s="257">
        <v>7</v>
      </c>
      <c r="C115" s="258">
        <v>37</v>
      </c>
      <c r="D115" s="258">
        <v>20</v>
      </c>
      <c r="E115" s="258">
        <v>12</v>
      </c>
      <c r="F115" s="258">
        <v>35</v>
      </c>
      <c r="G115" s="258">
        <v>20</v>
      </c>
      <c r="H115" s="258">
        <v>5</v>
      </c>
      <c r="I115" s="614">
        <v>18</v>
      </c>
      <c r="J115" s="354"/>
      <c r="K115" s="257">
        <v>26</v>
      </c>
      <c r="L115" s="258">
        <v>31</v>
      </c>
      <c r="M115" s="258">
        <v>31</v>
      </c>
      <c r="N115" s="258">
        <v>30</v>
      </c>
      <c r="O115" s="258">
        <v>25</v>
      </c>
      <c r="P115" s="258">
        <v>29</v>
      </c>
      <c r="Q115" s="258">
        <v>16</v>
      </c>
      <c r="R115" s="614">
        <v>30</v>
      </c>
      <c r="S115" s="354"/>
      <c r="T115" s="257">
        <v>61</v>
      </c>
      <c r="U115" s="258">
        <v>64</v>
      </c>
      <c r="V115" s="258">
        <v>46</v>
      </c>
      <c r="W115" s="258">
        <v>54</v>
      </c>
      <c r="X115" s="258">
        <v>45</v>
      </c>
      <c r="Y115" s="258">
        <v>69</v>
      </c>
      <c r="Z115" s="258">
        <v>33</v>
      </c>
      <c r="AA115" s="614">
        <v>48</v>
      </c>
      <c r="AB115" s="354"/>
      <c r="AC115" s="257">
        <v>487</v>
      </c>
      <c r="AD115" s="258">
        <v>523</v>
      </c>
      <c r="AE115" s="258">
        <v>487</v>
      </c>
      <c r="AF115" s="258">
        <v>411</v>
      </c>
      <c r="AG115" s="258">
        <v>347</v>
      </c>
      <c r="AH115" s="258">
        <v>346</v>
      </c>
      <c r="AI115" s="258">
        <v>230</v>
      </c>
      <c r="AJ115" s="614">
        <v>247</v>
      </c>
      <c r="AK115" s="354"/>
      <c r="AL115" s="257">
        <v>149</v>
      </c>
      <c r="AM115" s="258">
        <v>211</v>
      </c>
      <c r="AN115" s="258">
        <v>206</v>
      </c>
      <c r="AO115" s="258">
        <v>168</v>
      </c>
      <c r="AP115" s="258">
        <v>97</v>
      </c>
      <c r="AQ115" s="258">
        <v>124</v>
      </c>
      <c r="AR115" s="258">
        <v>67</v>
      </c>
      <c r="AS115" s="614">
        <v>89</v>
      </c>
      <c r="AT115" s="354"/>
      <c r="AU115" s="257"/>
      <c r="AV115" s="258"/>
      <c r="AW115" s="258">
        <v>1</v>
      </c>
      <c r="AX115" s="258"/>
      <c r="AY115" s="258"/>
      <c r="AZ115" s="258"/>
      <c r="BA115" s="258"/>
      <c r="BB115" s="614"/>
      <c r="BC115" s="354"/>
      <c r="BD115" s="257">
        <f t="shared" si="25"/>
        <v>730</v>
      </c>
      <c r="BE115" s="258">
        <f t="shared" si="26"/>
        <v>866</v>
      </c>
      <c r="BF115" s="258">
        <f t="shared" si="27"/>
        <v>791</v>
      </c>
      <c r="BG115" s="258">
        <f t="shared" si="28"/>
        <v>675</v>
      </c>
      <c r="BH115" s="258">
        <f t="shared" si="29"/>
        <v>549</v>
      </c>
      <c r="BI115" s="258">
        <f t="shared" si="30"/>
        <v>588</v>
      </c>
      <c r="BJ115" s="258">
        <f t="shared" si="31"/>
        <v>351</v>
      </c>
      <c r="BK115" s="614">
        <f t="shared" si="24"/>
        <v>432</v>
      </c>
      <c r="BL115" s="354">
        <f t="shared" si="24"/>
        <v>0</v>
      </c>
    </row>
    <row r="116" spans="1:64" x14ac:dyDescent="0.2">
      <c r="A116" s="365" t="s">
        <v>717</v>
      </c>
      <c r="B116" s="257">
        <v>7</v>
      </c>
      <c r="C116" s="258">
        <v>18</v>
      </c>
      <c r="D116" s="258">
        <v>19</v>
      </c>
      <c r="E116" s="258">
        <v>17</v>
      </c>
      <c r="F116" s="258">
        <v>10</v>
      </c>
      <c r="G116" s="258">
        <v>13</v>
      </c>
      <c r="H116" s="258">
        <v>9</v>
      </c>
      <c r="I116" s="614">
        <v>12</v>
      </c>
      <c r="J116" s="354"/>
      <c r="K116" s="257">
        <v>16</v>
      </c>
      <c r="L116" s="258">
        <v>11</v>
      </c>
      <c r="M116" s="258">
        <v>16</v>
      </c>
      <c r="N116" s="258">
        <v>16</v>
      </c>
      <c r="O116" s="258">
        <v>14</v>
      </c>
      <c r="P116" s="258">
        <v>27</v>
      </c>
      <c r="Q116" s="258">
        <v>10</v>
      </c>
      <c r="R116" s="614">
        <v>10</v>
      </c>
      <c r="S116" s="354"/>
      <c r="T116" s="257">
        <v>27</v>
      </c>
      <c r="U116" s="258">
        <v>21</v>
      </c>
      <c r="V116" s="258">
        <v>37</v>
      </c>
      <c r="W116" s="258">
        <v>20</v>
      </c>
      <c r="X116" s="258">
        <v>39</v>
      </c>
      <c r="Y116" s="258">
        <v>39</v>
      </c>
      <c r="Z116" s="258">
        <v>31</v>
      </c>
      <c r="AA116" s="614">
        <v>54</v>
      </c>
      <c r="AB116" s="354"/>
      <c r="AC116" s="257">
        <v>289</v>
      </c>
      <c r="AD116" s="258">
        <v>231</v>
      </c>
      <c r="AE116" s="258">
        <v>229</v>
      </c>
      <c r="AF116" s="258">
        <v>205</v>
      </c>
      <c r="AG116" s="258">
        <v>229</v>
      </c>
      <c r="AH116" s="258">
        <v>168</v>
      </c>
      <c r="AI116" s="258">
        <v>167</v>
      </c>
      <c r="AJ116" s="614">
        <v>542</v>
      </c>
      <c r="AK116" s="354"/>
      <c r="AL116" s="257">
        <v>141</v>
      </c>
      <c r="AM116" s="258">
        <v>112</v>
      </c>
      <c r="AN116" s="258">
        <v>112</v>
      </c>
      <c r="AO116" s="258">
        <v>112</v>
      </c>
      <c r="AP116" s="258">
        <v>92</v>
      </c>
      <c r="AQ116" s="258">
        <v>74</v>
      </c>
      <c r="AR116" s="258">
        <v>41</v>
      </c>
      <c r="AS116" s="614">
        <v>82</v>
      </c>
      <c r="AT116" s="354"/>
      <c r="AU116" s="257"/>
      <c r="AV116" s="258"/>
      <c r="AW116" s="258"/>
      <c r="AX116" s="258"/>
      <c r="AY116" s="258"/>
      <c r="AZ116" s="258"/>
      <c r="BA116" s="258"/>
      <c r="BB116" s="614"/>
      <c r="BC116" s="354"/>
      <c r="BD116" s="257">
        <f t="shared" si="25"/>
        <v>480</v>
      </c>
      <c r="BE116" s="258">
        <f t="shared" si="26"/>
        <v>393</v>
      </c>
      <c r="BF116" s="258">
        <f t="shared" si="27"/>
        <v>413</v>
      </c>
      <c r="BG116" s="258">
        <f t="shared" si="28"/>
        <v>370</v>
      </c>
      <c r="BH116" s="258">
        <f t="shared" si="29"/>
        <v>384</v>
      </c>
      <c r="BI116" s="258">
        <f t="shared" si="30"/>
        <v>321</v>
      </c>
      <c r="BJ116" s="258">
        <f t="shared" si="31"/>
        <v>258</v>
      </c>
      <c r="BK116" s="614">
        <f t="shared" si="24"/>
        <v>700</v>
      </c>
      <c r="BL116" s="354">
        <f t="shared" si="24"/>
        <v>0</v>
      </c>
    </row>
    <row r="117" spans="1:64" x14ac:dyDescent="0.2">
      <c r="A117" s="365" t="s">
        <v>819</v>
      </c>
      <c r="B117" s="257">
        <v>6</v>
      </c>
      <c r="C117" s="258">
        <v>5</v>
      </c>
      <c r="D117" s="258">
        <v>9</v>
      </c>
      <c r="E117" s="258">
        <v>7</v>
      </c>
      <c r="F117" s="258">
        <v>27</v>
      </c>
      <c r="G117" s="258">
        <v>13</v>
      </c>
      <c r="H117" s="258">
        <v>9</v>
      </c>
      <c r="I117" s="614">
        <v>12</v>
      </c>
      <c r="J117" s="354"/>
      <c r="K117" s="257">
        <v>8</v>
      </c>
      <c r="L117" s="258">
        <v>8</v>
      </c>
      <c r="M117" s="258">
        <v>6</v>
      </c>
      <c r="N117" s="258">
        <v>11</v>
      </c>
      <c r="O117" s="258">
        <v>3</v>
      </c>
      <c r="P117" s="258">
        <v>10</v>
      </c>
      <c r="Q117" s="258">
        <v>5</v>
      </c>
      <c r="R117" s="614">
        <v>6</v>
      </c>
      <c r="S117" s="354"/>
      <c r="T117" s="257">
        <v>9</v>
      </c>
      <c r="U117" s="258">
        <v>18</v>
      </c>
      <c r="V117" s="258">
        <v>38</v>
      </c>
      <c r="W117" s="258">
        <v>5</v>
      </c>
      <c r="X117" s="258">
        <v>8</v>
      </c>
      <c r="Y117" s="258">
        <v>8</v>
      </c>
      <c r="Z117" s="258">
        <v>19</v>
      </c>
      <c r="AA117" s="614">
        <v>13</v>
      </c>
      <c r="AB117" s="354"/>
      <c r="AC117" s="257">
        <v>70</v>
      </c>
      <c r="AD117" s="258">
        <v>62</v>
      </c>
      <c r="AE117" s="258">
        <v>154</v>
      </c>
      <c r="AF117" s="258">
        <v>54</v>
      </c>
      <c r="AG117" s="258">
        <v>90</v>
      </c>
      <c r="AH117" s="258">
        <v>40</v>
      </c>
      <c r="AI117" s="258">
        <v>47</v>
      </c>
      <c r="AJ117" s="614">
        <v>65</v>
      </c>
      <c r="AK117" s="354"/>
      <c r="AL117" s="257">
        <v>20</v>
      </c>
      <c r="AM117" s="258">
        <v>13</v>
      </c>
      <c r="AN117" s="258">
        <v>26</v>
      </c>
      <c r="AO117" s="258">
        <v>10</v>
      </c>
      <c r="AP117" s="258">
        <v>21</v>
      </c>
      <c r="AQ117" s="258">
        <v>20</v>
      </c>
      <c r="AR117" s="258">
        <v>18</v>
      </c>
      <c r="AS117" s="614">
        <v>21</v>
      </c>
      <c r="AT117" s="354"/>
      <c r="AU117" s="257"/>
      <c r="AV117" s="258"/>
      <c r="AW117" s="258"/>
      <c r="AX117" s="258"/>
      <c r="AY117" s="258"/>
      <c r="AZ117" s="258"/>
      <c r="BA117" s="258"/>
      <c r="BB117" s="614"/>
      <c r="BC117" s="354"/>
      <c r="BD117" s="257">
        <f t="shared" si="25"/>
        <v>113</v>
      </c>
      <c r="BE117" s="258">
        <f t="shared" si="26"/>
        <v>106</v>
      </c>
      <c r="BF117" s="258">
        <f t="shared" si="27"/>
        <v>233</v>
      </c>
      <c r="BG117" s="258">
        <f t="shared" si="28"/>
        <v>87</v>
      </c>
      <c r="BH117" s="258">
        <f t="shared" si="29"/>
        <v>149</v>
      </c>
      <c r="BI117" s="258">
        <f t="shared" si="30"/>
        <v>91</v>
      </c>
      <c r="BJ117" s="258">
        <f t="shared" si="31"/>
        <v>98</v>
      </c>
      <c r="BK117" s="614">
        <f t="shared" si="24"/>
        <v>117</v>
      </c>
      <c r="BL117" s="354">
        <f t="shared" si="24"/>
        <v>0</v>
      </c>
    </row>
    <row r="118" spans="1:64" x14ac:dyDescent="0.2">
      <c r="A118" s="365" t="s">
        <v>714</v>
      </c>
      <c r="B118" s="257">
        <v>7</v>
      </c>
      <c r="C118" s="258">
        <v>32</v>
      </c>
      <c r="D118" s="258">
        <v>13</v>
      </c>
      <c r="E118" s="258">
        <v>4902</v>
      </c>
      <c r="F118" s="258">
        <v>8</v>
      </c>
      <c r="G118" s="258">
        <v>14</v>
      </c>
      <c r="H118" s="258">
        <v>12</v>
      </c>
      <c r="I118" s="614">
        <v>20</v>
      </c>
      <c r="J118" s="354"/>
      <c r="K118" s="257">
        <v>14</v>
      </c>
      <c r="L118" s="258">
        <v>27</v>
      </c>
      <c r="M118" s="258">
        <v>16</v>
      </c>
      <c r="N118" s="258">
        <v>14</v>
      </c>
      <c r="O118" s="258">
        <v>14</v>
      </c>
      <c r="P118" s="258">
        <v>19</v>
      </c>
      <c r="Q118" s="258">
        <v>11</v>
      </c>
      <c r="R118" s="614">
        <v>18</v>
      </c>
      <c r="S118" s="354"/>
      <c r="T118" s="257">
        <v>28</v>
      </c>
      <c r="U118" s="258">
        <v>43</v>
      </c>
      <c r="V118" s="258">
        <v>37</v>
      </c>
      <c r="W118" s="258">
        <v>47</v>
      </c>
      <c r="X118" s="258">
        <v>56</v>
      </c>
      <c r="Y118" s="258">
        <v>34</v>
      </c>
      <c r="Z118" s="258">
        <v>28</v>
      </c>
      <c r="AA118" s="614">
        <v>21</v>
      </c>
      <c r="AB118" s="354"/>
      <c r="AC118" s="257">
        <v>383</v>
      </c>
      <c r="AD118" s="258">
        <v>408</v>
      </c>
      <c r="AE118" s="258">
        <v>432</v>
      </c>
      <c r="AF118" s="258">
        <v>370</v>
      </c>
      <c r="AG118" s="258">
        <v>444</v>
      </c>
      <c r="AH118" s="258">
        <v>252</v>
      </c>
      <c r="AI118" s="258">
        <v>241</v>
      </c>
      <c r="AJ118" s="614">
        <v>189</v>
      </c>
      <c r="AK118" s="354"/>
      <c r="AL118" s="257">
        <v>146</v>
      </c>
      <c r="AM118" s="258">
        <v>247</v>
      </c>
      <c r="AN118" s="258">
        <v>138</v>
      </c>
      <c r="AO118" s="258">
        <v>202</v>
      </c>
      <c r="AP118" s="258">
        <v>119</v>
      </c>
      <c r="AQ118" s="258">
        <v>90</v>
      </c>
      <c r="AR118" s="258">
        <v>113</v>
      </c>
      <c r="AS118" s="614">
        <v>61</v>
      </c>
      <c r="AT118" s="354"/>
      <c r="AU118" s="257"/>
      <c r="AV118" s="258"/>
      <c r="AW118" s="258"/>
      <c r="AX118" s="258"/>
      <c r="AY118" s="258"/>
      <c r="AZ118" s="258"/>
      <c r="BA118" s="258"/>
      <c r="BB118" s="614"/>
      <c r="BC118" s="354"/>
      <c r="BD118" s="257">
        <f t="shared" si="25"/>
        <v>578</v>
      </c>
      <c r="BE118" s="258">
        <f t="shared" si="26"/>
        <v>757</v>
      </c>
      <c r="BF118" s="258">
        <f t="shared" si="27"/>
        <v>636</v>
      </c>
      <c r="BG118" s="258">
        <f t="shared" si="28"/>
        <v>5535</v>
      </c>
      <c r="BH118" s="258">
        <f t="shared" si="29"/>
        <v>641</v>
      </c>
      <c r="BI118" s="258">
        <f t="shared" si="30"/>
        <v>409</v>
      </c>
      <c r="BJ118" s="258">
        <f t="shared" si="31"/>
        <v>405</v>
      </c>
      <c r="BK118" s="614">
        <f t="shared" si="24"/>
        <v>309</v>
      </c>
      <c r="BL118" s="354">
        <f t="shared" si="24"/>
        <v>0</v>
      </c>
    </row>
    <row r="119" spans="1:64" x14ac:dyDescent="0.2">
      <c r="A119" s="365" t="s">
        <v>715</v>
      </c>
      <c r="B119" s="257">
        <v>11</v>
      </c>
      <c r="C119" s="258">
        <v>14</v>
      </c>
      <c r="D119" s="258">
        <v>16</v>
      </c>
      <c r="E119" s="258">
        <v>15</v>
      </c>
      <c r="F119" s="258">
        <v>16</v>
      </c>
      <c r="G119" s="258">
        <v>11</v>
      </c>
      <c r="H119" s="258">
        <v>15</v>
      </c>
      <c r="I119" s="614">
        <v>11</v>
      </c>
      <c r="J119" s="354"/>
      <c r="K119" s="257">
        <v>12</v>
      </c>
      <c r="L119" s="258">
        <v>38</v>
      </c>
      <c r="M119" s="258">
        <v>14</v>
      </c>
      <c r="N119" s="258">
        <v>20</v>
      </c>
      <c r="O119" s="258">
        <v>17</v>
      </c>
      <c r="P119" s="258">
        <v>4</v>
      </c>
      <c r="Q119" s="258">
        <v>5</v>
      </c>
      <c r="R119" s="614">
        <v>10</v>
      </c>
      <c r="S119" s="354"/>
      <c r="T119" s="257">
        <v>30</v>
      </c>
      <c r="U119" s="258">
        <v>79</v>
      </c>
      <c r="V119" s="258">
        <v>37</v>
      </c>
      <c r="W119" s="258">
        <v>26</v>
      </c>
      <c r="X119" s="258">
        <v>51</v>
      </c>
      <c r="Y119" s="258">
        <v>29</v>
      </c>
      <c r="Z119" s="258">
        <v>17</v>
      </c>
      <c r="AA119" s="614">
        <v>12</v>
      </c>
      <c r="AB119" s="354"/>
      <c r="AC119" s="257">
        <v>249</v>
      </c>
      <c r="AD119" s="258">
        <v>557</v>
      </c>
      <c r="AE119" s="258">
        <v>355</v>
      </c>
      <c r="AF119" s="258">
        <v>262</v>
      </c>
      <c r="AG119" s="258">
        <v>308</v>
      </c>
      <c r="AH119" s="258">
        <v>156</v>
      </c>
      <c r="AI119" s="258">
        <v>155</v>
      </c>
      <c r="AJ119" s="614">
        <v>129</v>
      </c>
      <c r="AK119" s="354"/>
      <c r="AL119" s="257">
        <v>67</v>
      </c>
      <c r="AM119" s="258">
        <v>92</v>
      </c>
      <c r="AN119" s="258">
        <v>168</v>
      </c>
      <c r="AO119" s="258">
        <v>80</v>
      </c>
      <c r="AP119" s="258">
        <v>79</v>
      </c>
      <c r="AQ119" s="258">
        <v>46</v>
      </c>
      <c r="AR119" s="258">
        <v>55</v>
      </c>
      <c r="AS119" s="614">
        <v>41</v>
      </c>
      <c r="AT119" s="354"/>
      <c r="AU119" s="257"/>
      <c r="AV119" s="258"/>
      <c r="AW119" s="258"/>
      <c r="AX119" s="258"/>
      <c r="AY119" s="258"/>
      <c r="AZ119" s="258"/>
      <c r="BA119" s="258"/>
      <c r="BB119" s="614"/>
      <c r="BC119" s="354"/>
      <c r="BD119" s="257">
        <f t="shared" si="25"/>
        <v>369</v>
      </c>
      <c r="BE119" s="258">
        <f t="shared" si="26"/>
        <v>780</v>
      </c>
      <c r="BF119" s="258">
        <f t="shared" si="27"/>
        <v>590</v>
      </c>
      <c r="BG119" s="258">
        <f t="shared" si="28"/>
        <v>403</v>
      </c>
      <c r="BH119" s="258">
        <f t="shared" si="29"/>
        <v>471</v>
      </c>
      <c r="BI119" s="258">
        <f t="shared" si="30"/>
        <v>246</v>
      </c>
      <c r="BJ119" s="258">
        <f t="shared" si="31"/>
        <v>247</v>
      </c>
      <c r="BK119" s="614">
        <f t="shared" si="24"/>
        <v>203</v>
      </c>
      <c r="BL119" s="354">
        <f t="shared" si="24"/>
        <v>0</v>
      </c>
    </row>
    <row r="120" spans="1:64" x14ac:dyDescent="0.2">
      <c r="A120" s="365" t="s">
        <v>712</v>
      </c>
      <c r="B120" s="257">
        <v>35</v>
      </c>
      <c r="C120" s="258">
        <v>52</v>
      </c>
      <c r="D120" s="258">
        <v>89</v>
      </c>
      <c r="E120" s="258">
        <v>55</v>
      </c>
      <c r="F120" s="258">
        <v>69</v>
      </c>
      <c r="G120" s="258">
        <v>69</v>
      </c>
      <c r="H120" s="258">
        <v>21</v>
      </c>
      <c r="I120" s="614">
        <v>22</v>
      </c>
      <c r="J120" s="354"/>
      <c r="K120" s="257">
        <v>64</v>
      </c>
      <c r="L120" s="258">
        <v>75</v>
      </c>
      <c r="M120" s="258">
        <v>88</v>
      </c>
      <c r="N120" s="258">
        <v>76</v>
      </c>
      <c r="O120" s="258">
        <v>65</v>
      </c>
      <c r="P120" s="258">
        <v>71</v>
      </c>
      <c r="Q120" s="258">
        <v>50</v>
      </c>
      <c r="R120" s="614">
        <v>50</v>
      </c>
      <c r="S120" s="354"/>
      <c r="T120" s="257">
        <v>84</v>
      </c>
      <c r="U120" s="258">
        <v>129</v>
      </c>
      <c r="V120" s="258">
        <v>116</v>
      </c>
      <c r="W120" s="258">
        <v>110</v>
      </c>
      <c r="X120" s="258">
        <v>104</v>
      </c>
      <c r="Y120" s="258">
        <v>129</v>
      </c>
      <c r="Z120" s="258">
        <v>99</v>
      </c>
      <c r="AA120" s="614">
        <v>99</v>
      </c>
      <c r="AB120" s="354"/>
      <c r="AC120" s="257">
        <v>845</v>
      </c>
      <c r="AD120" s="258">
        <v>920</v>
      </c>
      <c r="AE120" s="258">
        <v>871</v>
      </c>
      <c r="AF120" s="258">
        <v>604</v>
      </c>
      <c r="AG120" s="258">
        <v>692</v>
      </c>
      <c r="AH120" s="258">
        <v>677</v>
      </c>
      <c r="AI120" s="258">
        <v>476</v>
      </c>
      <c r="AJ120" s="614">
        <v>527</v>
      </c>
      <c r="AK120" s="354"/>
      <c r="AL120" s="257">
        <v>271</v>
      </c>
      <c r="AM120" s="258">
        <v>339</v>
      </c>
      <c r="AN120" s="258">
        <v>339</v>
      </c>
      <c r="AO120" s="258">
        <v>255</v>
      </c>
      <c r="AP120" s="258">
        <v>232</v>
      </c>
      <c r="AQ120" s="258">
        <v>222</v>
      </c>
      <c r="AR120" s="258">
        <v>158</v>
      </c>
      <c r="AS120" s="614">
        <v>186</v>
      </c>
      <c r="AT120" s="354"/>
      <c r="AU120" s="257"/>
      <c r="AV120" s="258"/>
      <c r="AW120" s="258"/>
      <c r="AX120" s="258"/>
      <c r="AY120" s="258"/>
      <c r="AZ120" s="258"/>
      <c r="BA120" s="258"/>
      <c r="BB120" s="614"/>
      <c r="BC120" s="354"/>
      <c r="BD120" s="257">
        <f t="shared" si="25"/>
        <v>1299</v>
      </c>
      <c r="BE120" s="258">
        <f t="shared" si="26"/>
        <v>1515</v>
      </c>
      <c r="BF120" s="258">
        <f t="shared" si="27"/>
        <v>1503</v>
      </c>
      <c r="BG120" s="258">
        <f t="shared" si="28"/>
        <v>1100</v>
      </c>
      <c r="BH120" s="258">
        <f t="shared" si="29"/>
        <v>1162</v>
      </c>
      <c r="BI120" s="258">
        <f t="shared" si="30"/>
        <v>1168</v>
      </c>
      <c r="BJ120" s="258">
        <f t="shared" si="31"/>
        <v>804</v>
      </c>
      <c r="BK120" s="614">
        <f t="shared" si="24"/>
        <v>884</v>
      </c>
      <c r="BL120" s="354">
        <f t="shared" si="24"/>
        <v>0</v>
      </c>
    </row>
    <row r="121" spans="1:64" ht="13.5" thickBot="1" x14ac:dyDescent="0.25">
      <c r="A121" s="366" t="s">
        <v>716</v>
      </c>
      <c r="B121" s="361">
        <v>13</v>
      </c>
      <c r="C121" s="362">
        <v>14</v>
      </c>
      <c r="D121" s="362">
        <v>13</v>
      </c>
      <c r="E121" s="362">
        <v>26</v>
      </c>
      <c r="F121" s="362">
        <v>20</v>
      </c>
      <c r="G121" s="362">
        <v>36</v>
      </c>
      <c r="H121" s="362">
        <v>14</v>
      </c>
      <c r="I121" s="615">
        <v>9</v>
      </c>
      <c r="J121" s="363"/>
      <c r="K121" s="361">
        <v>12</v>
      </c>
      <c r="L121" s="362">
        <v>14</v>
      </c>
      <c r="M121" s="362">
        <v>21</v>
      </c>
      <c r="N121" s="362">
        <v>20</v>
      </c>
      <c r="O121" s="362">
        <v>30</v>
      </c>
      <c r="P121" s="362">
        <v>24</v>
      </c>
      <c r="Q121" s="362">
        <v>15</v>
      </c>
      <c r="R121" s="615">
        <v>15</v>
      </c>
      <c r="S121" s="363"/>
      <c r="T121" s="361">
        <v>27</v>
      </c>
      <c r="U121" s="362">
        <v>31</v>
      </c>
      <c r="V121" s="362">
        <v>24</v>
      </c>
      <c r="W121" s="362">
        <v>26</v>
      </c>
      <c r="X121" s="362">
        <v>37</v>
      </c>
      <c r="Y121" s="362">
        <v>44</v>
      </c>
      <c r="Z121" s="362">
        <v>19</v>
      </c>
      <c r="AA121" s="615">
        <v>13</v>
      </c>
      <c r="AB121" s="363"/>
      <c r="AC121" s="361">
        <v>217</v>
      </c>
      <c r="AD121" s="362">
        <v>307</v>
      </c>
      <c r="AE121" s="362">
        <v>233</v>
      </c>
      <c r="AF121" s="362">
        <v>227</v>
      </c>
      <c r="AG121" s="362">
        <v>270</v>
      </c>
      <c r="AH121" s="362">
        <v>191</v>
      </c>
      <c r="AI121" s="362">
        <v>151</v>
      </c>
      <c r="AJ121" s="615">
        <v>185</v>
      </c>
      <c r="AK121" s="363"/>
      <c r="AL121" s="361">
        <v>84</v>
      </c>
      <c r="AM121" s="362">
        <v>109</v>
      </c>
      <c r="AN121" s="362">
        <v>117</v>
      </c>
      <c r="AO121" s="362">
        <v>98</v>
      </c>
      <c r="AP121" s="362">
        <v>73</v>
      </c>
      <c r="AQ121" s="362">
        <v>56</v>
      </c>
      <c r="AR121" s="362">
        <v>43</v>
      </c>
      <c r="AS121" s="615">
        <v>46</v>
      </c>
      <c r="AT121" s="363"/>
      <c r="AU121" s="361"/>
      <c r="AV121" s="362"/>
      <c r="AW121" s="362"/>
      <c r="AX121" s="362"/>
      <c r="AY121" s="362"/>
      <c r="AZ121" s="362"/>
      <c r="BA121" s="362"/>
      <c r="BB121" s="615"/>
      <c r="BC121" s="363"/>
      <c r="BD121" s="361">
        <f t="shared" si="25"/>
        <v>353</v>
      </c>
      <c r="BE121" s="362">
        <f t="shared" si="26"/>
        <v>475</v>
      </c>
      <c r="BF121" s="362">
        <f t="shared" si="27"/>
        <v>408</v>
      </c>
      <c r="BG121" s="362">
        <f t="shared" si="28"/>
        <v>397</v>
      </c>
      <c r="BH121" s="362">
        <f t="shared" si="29"/>
        <v>430</v>
      </c>
      <c r="BI121" s="362">
        <f t="shared" si="30"/>
        <v>351</v>
      </c>
      <c r="BJ121" s="362">
        <f t="shared" si="31"/>
        <v>242</v>
      </c>
      <c r="BK121" s="615">
        <f t="shared" si="24"/>
        <v>268</v>
      </c>
      <c r="BL121" s="363">
        <f t="shared" si="24"/>
        <v>0</v>
      </c>
    </row>
    <row r="122" spans="1:64" s="259" customFormat="1" x14ac:dyDescent="0.2">
      <c r="A122" s="364" t="s">
        <v>788</v>
      </c>
      <c r="B122" s="781">
        <v>370</v>
      </c>
      <c r="C122" s="782">
        <v>793</v>
      </c>
      <c r="D122" s="782">
        <v>729</v>
      </c>
      <c r="E122" s="782">
        <v>701</v>
      </c>
      <c r="F122" s="782">
        <v>382</v>
      </c>
      <c r="G122" s="782">
        <v>429</v>
      </c>
      <c r="H122" s="782">
        <v>414</v>
      </c>
      <c r="I122" s="783">
        <v>320</v>
      </c>
      <c r="J122" s="784"/>
      <c r="K122" s="781">
        <v>585</v>
      </c>
      <c r="L122" s="782">
        <v>673</v>
      </c>
      <c r="M122" s="782">
        <v>679</v>
      </c>
      <c r="N122" s="782">
        <v>671</v>
      </c>
      <c r="O122" s="782">
        <v>621</v>
      </c>
      <c r="P122" s="782">
        <v>599</v>
      </c>
      <c r="Q122" s="782">
        <v>532</v>
      </c>
      <c r="R122" s="783">
        <v>446</v>
      </c>
      <c r="S122" s="784"/>
      <c r="T122" s="781">
        <v>1386</v>
      </c>
      <c r="U122" s="782">
        <v>1472</v>
      </c>
      <c r="V122" s="782">
        <v>1585</v>
      </c>
      <c r="W122" s="782">
        <v>1604</v>
      </c>
      <c r="X122" s="782">
        <v>1685</v>
      </c>
      <c r="Y122" s="782">
        <v>1630</v>
      </c>
      <c r="Z122" s="782">
        <v>1322</v>
      </c>
      <c r="AA122" s="783">
        <v>1358</v>
      </c>
      <c r="AB122" s="784"/>
      <c r="AC122" s="781">
        <v>16146</v>
      </c>
      <c r="AD122" s="782">
        <v>16576</v>
      </c>
      <c r="AE122" s="782">
        <v>19271</v>
      </c>
      <c r="AF122" s="782">
        <v>15213</v>
      </c>
      <c r="AG122" s="782">
        <v>15999</v>
      </c>
      <c r="AH122" s="782">
        <v>12189</v>
      </c>
      <c r="AI122" s="782">
        <v>9619</v>
      </c>
      <c r="AJ122" s="783">
        <v>9617</v>
      </c>
      <c r="AK122" s="784"/>
      <c r="AL122" s="781">
        <v>4715</v>
      </c>
      <c r="AM122" s="782">
        <v>5494</v>
      </c>
      <c r="AN122" s="782">
        <v>6994</v>
      </c>
      <c r="AO122" s="782">
        <v>5199</v>
      </c>
      <c r="AP122" s="782">
        <v>5400</v>
      </c>
      <c r="AQ122" s="782">
        <v>3785</v>
      </c>
      <c r="AR122" s="782">
        <v>3201</v>
      </c>
      <c r="AS122" s="783">
        <v>2818</v>
      </c>
      <c r="AT122" s="784"/>
      <c r="AU122" s="781"/>
      <c r="AV122" s="782"/>
      <c r="AW122" s="782"/>
      <c r="AX122" s="782"/>
      <c r="AY122" s="782"/>
      <c r="AZ122" s="782"/>
      <c r="BA122" s="782"/>
      <c r="BB122" s="783"/>
      <c r="BC122" s="784"/>
      <c r="BD122" s="781">
        <f t="shared" si="25"/>
        <v>23202</v>
      </c>
      <c r="BE122" s="782">
        <f t="shared" si="26"/>
        <v>25008</v>
      </c>
      <c r="BF122" s="782">
        <f t="shared" si="27"/>
        <v>29258</v>
      </c>
      <c r="BG122" s="782">
        <f t="shared" si="28"/>
        <v>23388</v>
      </c>
      <c r="BH122" s="782">
        <f t="shared" si="29"/>
        <v>24087</v>
      </c>
      <c r="BI122" s="782">
        <f t="shared" si="30"/>
        <v>18632</v>
      </c>
      <c r="BJ122" s="782">
        <f t="shared" si="31"/>
        <v>15088</v>
      </c>
      <c r="BK122" s="783">
        <f t="shared" si="24"/>
        <v>14559</v>
      </c>
      <c r="BL122" s="784">
        <f t="shared" si="24"/>
        <v>0</v>
      </c>
    </row>
    <row r="123" spans="1:64" x14ac:dyDescent="0.2">
      <c r="A123" s="365" t="s">
        <v>718</v>
      </c>
      <c r="B123" s="257">
        <v>74</v>
      </c>
      <c r="C123" s="258">
        <v>37</v>
      </c>
      <c r="D123" s="258">
        <v>41</v>
      </c>
      <c r="E123" s="258">
        <v>55</v>
      </c>
      <c r="F123" s="258">
        <v>30</v>
      </c>
      <c r="G123" s="258">
        <v>30</v>
      </c>
      <c r="H123" s="258">
        <v>15</v>
      </c>
      <c r="I123" s="614">
        <v>17</v>
      </c>
      <c r="J123" s="354"/>
      <c r="K123" s="257">
        <v>34</v>
      </c>
      <c r="L123" s="258">
        <v>44</v>
      </c>
      <c r="M123" s="258">
        <v>31</v>
      </c>
      <c r="N123" s="258">
        <v>69</v>
      </c>
      <c r="O123" s="258">
        <v>41</v>
      </c>
      <c r="P123" s="258">
        <v>33</v>
      </c>
      <c r="Q123" s="258">
        <v>22</v>
      </c>
      <c r="R123" s="614">
        <v>19</v>
      </c>
      <c r="S123" s="354"/>
      <c r="T123" s="257">
        <v>115</v>
      </c>
      <c r="U123" s="258">
        <v>135</v>
      </c>
      <c r="V123" s="258">
        <v>115</v>
      </c>
      <c r="W123" s="258">
        <v>129</v>
      </c>
      <c r="X123" s="258">
        <v>137</v>
      </c>
      <c r="Y123" s="258">
        <v>98</v>
      </c>
      <c r="Z123" s="258">
        <v>98</v>
      </c>
      <c r="AA123" s="614">
        <v>88</v>
      </c>
      <c r="AB123" s="354"/>
      <c r="AC123" s="257">
        <v>1821</v>
      </c>
      <c r="AD123" s="258">
        <v>1936</v>
      </c>
      <c r="AE123" s="258">
        <v>1950</v>
      </c>
      <c r="AF123" s="258">
        <v>1594</v>
      </c>
      <c r="AG123" s="258">
        <v>1636</v>
      </c>
      <c r="AH123" s="258">
        <v>1316</v>
      </c>
      <c r="AI123" s="258">
        <v>907</v>
      </c>
      <c r="AJ123" s="614">
        <v>932</v>
      </c>
      <c r="AK123" s="354"/>
      <c r="AL123" s="257">
        <v>495</v>
      </c>
      <c r="AM123" s="258">
        <v>645</v>
      </c>
      <c r="AN123" s="258">
        <v>615</v>
      </c>
      <c r="AO123" s="258">
        <v>465</v>
      </c>
      <c r="AP123" s="258">
        <v>525</v>
      </c>
      <c r="AQ123" s="258">
        <v>431</v>
      </c>
      <c r="AR123" s="258">
        <v>330</v>
      </c>
      <c r="AS123" s="614">
        <v>359</v>
      </c>
      <c r="AT123" s="354"/>
      <c r="AU123" s="257"/>
      <c r="AV123" s="258"/>
      <c r="AW123" s="258"/>
      <c r="AX123" s="258"/>
      <c r="AY123" s="258"/>
      <c r="AZ123" s="258"/>
      <c r="BA123" s="258"/>
      <c r="BB123" s="614"/>
      <c r="BC123" s="354"/>
      <c r="BD123" s="257">
        <f t="shared" si="25"/>
        <v>2539</v>
      </c>
      <c r="BE123" s="258">
        <f t="shared" si="26"/>
        <v>2797</v>
      </c>
      <c r="BF123" s="258">
        <f t="shared" si="27"/>
        <v>2752</v>
      </c>
      <c r="BG123" s="258">
        <f t="shared" si="28"/>
        <v>2312</v>
      </c>
      <c r="BH123" s="258">
        <f t="shared" si="29"/>
        <v>2369</v>
      </c>
      <c r="BI123" s="258">
        <f t="shared" si="30"/>
        <v>1908</v>
      </c>
      <c r="BJ123" s="258">
        <f t="shared" si="31"/>
        <v>1372</v>
      </c>
      <c r="BK123" s="614">
        <f t="shared" si="24"/>
        <v>1415</v>
      </c>
      <c r="BL123" s="354">
        <f t="shared" si="24"/>
        <v>0</v>
      </c>
    </row>
    <row r="124" spans="1:64" x14ac:dyDescent="0.2">
      <c r="A124" s="365" t="s">
        <v>719</v>
      </c>
      <c r="B124" s="257">
        <v>51</v>
      </c>
      <c r="C124" s="258">
        <v>85</v>
      </c>
      <c r="D124" s="258">
        <v>73</v>
      </c>
      <c r="E124" s="258">
        <v>76</v>
      </c>
      <c r="F124" s="258">
        <v>41</v>
      </c>
      <c r="G124" s="258">
        <v>33</v>
      </c>
      <c r="H124" s="258">
        <v>24</v>
      </c>
      <c r="I124" s="614">
        <v>10</v>
      </c>
      <c r="J124" s="354"/>
      <c r="K124" s="257">
        <v>76</v>
      </c>
      <c r="L124" s="258">
        <v>101</v>
      </c>
      <c r="M124" s="258">
        <v>100</v>
      </c>
      <c r="N124" s="258">
        <v>95</v>
      </c>
      <c r="O124" s="258">
        <v>86</v>
      </c>
      <c r="P124" s="258">
        <v>84</v>
      </c>
      <c r="Q124" s="258">
        <v>85</v>
      </c>
      <c r="R124" s="614">
        <v>61</v>
      </c>
      <c r="S124" s="354"/>
      <c r="T124" s="257">
        <v>134</v>
      </c>
      <c r="U124" s="258">
        <v>160</v>
      </c>
      <c r="V124" s="258">
        <v>243</v>
      </c>
      <c r="W124" s="258">
        <v>203</v>
      </c>
      <c r="X124" s="258">
        <v>218</v>
      </c>
      <c r="Y124" s="258">
        <v>208</v>
      </c>
      <c r="Z124" s="258">
        <v>122</v>
      </c>
      <c r="AA124" s="614">
        <v>182</v>
      </c>
      <c r="AB124" s="354"/>
      <c r="AC124" s="257">
        <v>1198</v>
      </c>
      <c r="AD124" s="258">
        <v>1513</v>
      </c>
      <c r="AE124" s="258">
        <v>1986</v>
      </c>
      <c r="AF124" s="258">
        <v>1458</v>
      </c>
      <c r="AG124" s="258">
        <v>1161</v>
      </c>
      <c r="AH124" s="258">
        <v>1066</v>
      </c>
      <c r="AI124" s="258">
        <v>738</v>
      </c>
      <c r="AJ124" s="614">
        <v>810</v>
      </c>
      <c r="AK124" s="354"/>
      <c r="AL124" s="257">
        <v>434</v>
      </c>
      <c r="AM124" s="258">
        <v>671</v>
      </c>
      <c r="AN124" s="258">
        <v>950</v>
      </c>
      <c r="AO124" s="258">
        <v>577</v>
      </c>
      <c r="AP124" s="258">
        <v>431</v>
      </c>
      <c r="AQ124" s="258">
        <v>333</v>
      </c>
      <c r="AR124" s="258">
        <v>225</v>
      </c>
      <c r="AS124" s="614">
        <v>213</v>
      </c>
      <c r="AT124" s="354"/>
      <c r="AU124" s="257"/>
      <c r="AV124" s="258"/>
      <c r="AW124" s="258"/>
      <c r="AX124" s="258"/>
      <c r="AY124" s="258"/>
      <c r="AZ124" s="258"/>
      <c r="BA124" s="258"/>
      <c r="BB124" s="614"/>
      <c r="BC124" s="354"/>
      <c r="BD124" s="257">
        <f t="shared" si="25"/>
        <v>1893</v>
      </c>
      <c r="BE124" s="258">
        <f t="shared" si="26"/>
        <v>2530</v>
      </c>
      <c r="BF124" s="258">
        <f t="shared" si="27"/>
        <v>3352</v>
      </c>
      <c r="BG124" s="258">
        <f t="shared" si="28"/>
        <v>2409</v>
      </c>
      <c r="BH124" s="258">
        <f t="shared" si="29"/>
        <v>1937</v>
      </c>
      <c r="BI124" s="258">
        <f t="shared" si="30"/>
        <v>1724</v>
      </c>
      <c r="BJ124" s="258">
        <f t="shared" si="31"/>
        <v>1194</v>
      </c>
      <c r="BK124" s="614">
        <f t="shared" si="24"/>
        <v>1276</v>
      </c>
      <c r="BL124" s="354">
        <f t="shared" si="24"/>
        <v>0</v>
      </c>
    </row>
    <row r="125" spans="1:64" x14ac:dyDescent="0.2">
      <c r="A125" s="365" t="s">
        <v>720</v>
      </c>
      <c r="B125" s="257">
        <v>26</v>
      </c>
      <c r="C125" s="258">
        <v>56</v>
      </c>
      <c r="D125" s="258">
        <v>46</v>
      </c>
      <c r="E125" s="258">
        <v>107</v>
      </c>
      <c r="F125" s="258">
        <v>47</v>
      </c>
      <c r="G125" s="258">
        <v>20</v>
      </c>
      <c r="H125" s="258">
        <v>82</v>
      </c>
      <c r="I125" s="614">
        <v>17</v>
      </c>
      <c r="J125" s="354"/>
      <c r="K125" s="257">
        <v>64</v>
      </c>
      <c r="L125" s="258">
        <v>63</v>
      </c>
      <c r="M125" s="258">
        <v>56</v>
      </c>
      <c r="N125" s="258">
        <v>64</v>
      </c>
      <c r="O125" s="258">
        <v>53</v>
      </c>
      <c r="P125" s="258">
        <v>37</v>
      </c>
      <c r="Q125" s="258">
        <v>58</v>
      </c>
      <c r="R125" s="614">
        <v>22</v>
      </c>
      <c r="S125" s="354"/>
      <c r="T125" s="257">
        <v>131</v>
      </c>
      <c r="U125" s="258">
        <v>88</v>
      </c>
      <c r="V125" s="258">
        <v>103</v>
      </c>
      <c r="W125" s="258">
        <v>95</v>
      </c>
      <c r="X125" s="258">
        <v>100</v>
      </c>
      <c r="Y125" s="258">
        <v>91</v>
      </c>
      <c r="Z125" s="258">
        <v>71</v>
      </c>
      <c r="AA125" s="614">
        <v>66</v>
      </c>
      <c r="AB125" s="354"/>
      <c r="AC125" s="257">
        <v>1102</v>
      </c>
      <c r="AD125" s="258">
        <v>1064</v>
      </c>
      <c r="AE125" s="258">
        <v>1031</v>
      </c>
      <c r="AF125" s="258">
        <v>875</v>
      </c>
      <c r="AG125" s="258">
        <v>911</v>
      </c>
      <c r="AH125" s="258">
        <v>873</v>
      </c>
      <c r="AI125" s="258">
        <v>632</v>
      </c>
      <c r="AJ125" s="614">
        <v>634</v>
      </c>
      <c r="AK125" s="354"/>
      <c r="AL125" s="257">
        <v>288</v>
      </c>
      <c r="AM125" s="258">
        <v>307</v>
      </c>
      <c r="AN125" s="258">
        <v>294</v>
      </c>
      <c r="AO125" s="258">
        <v>227</v>
      </c>
      <c r="AP125" s="258">
        <v>247</v>
      </c>
      <c r="AQ125" s="258">
        <v>194</v>
      </c>
      <c r="AR125" s="258">
        <v>186</v>
      </c>
      <c r="AS125" s="614">
        <v>185</v>
      </c>
      <c r="AT125" s="354"/>
      <c r="AU125" s="257"/>
      <c r="AV125" s="258"/>
      <c r="AW125" s="258"/>
      <c r="AX125" s="258"/>
      <c r="AY125" s="258"/>
      <c r="AZ125" s="258"/>
      <c r="BA125" s="258"/>
      <c r="BB125" s="614"/>
      <c r="BC125" s="354"/>
      <c r="BD125" s="257">
        <f t="shared" si="25"/>
        <v>1611</v>
      </c>
      <c r="BE125" s="258">
        <f t="shared" si="26"/>
        <v>1578</v>
      </c>
      <c r="BF125" s="258">
        <f t="shared" si="27"/>
        <v>1530</v>
      </c>
      <c r="BG125" s="258">
        <f t="shared" si="28"/>
        <v>1368</v>
      </c>
      <c r="BH125" s="258">
        <f t="shared" si="29"/>
        <v>1358</v>
      </c>
      <c r="BI125" s="258">
        <f t="shared" si="30"/>
        <v>1215</v>
      </c>
      <c r="BJ125" s="258">
        <f t="shared" si="31"/>
        <v>1029</v>
      </c>
      <c r="BK125" s="614">
        <f t="shared" si="24"/>
        <v>924</v>
      </c>
      <c r="BL125" s="354">
        <f t="shared" si="24"/>
        <v>0</v>
      </c>
    </row>
    <row r="126" spans="1:64" x14ac:dyDescent="0.2">
      <c r="A126" s="365" t="s">
        <v>623</v>
      </c>
      <c r="B126" s="257">
        <v>4</v>
      </c>
      <c r="C126" s="258">
        <v>28</v>
      </c>
      <c r="D126" s="258">
        <v>23</v>
      </c>
      <c r="E126" s="258">
        <v>29</v>
      </c>
      <c r="F126" s="258">
        <v>14</v>
      </c>
      <c r="G126" s="258">
        <v>15</v>
      </c>
      <c r="H126" s="258">
        <v>14</v>
      </c>
      <c r="I126" s="614">
        <v>29</v>
      </c>
      <c r="J126" s="354"/>
      <c r="K126" s="257">
        <v>24</v>
      </c>
      <c r="L126" s="258">
        <v>18</v>
      </c>
      <c r="M126" s="258">
        <v>38</v>
      </c>
      <c r="N126" s="258">
        <v>24</v>
      </c>
      <c r="O126" s="258">
        <v>39</v>
      </c>
      <c r="P126" s="258">
        <v>29</v>
      </c>
      <c r="Q126" s="258">
        <v>49</v>
      </c>
      <c r="R126" s="614">
        <v>39</v>
      </c>
      <c r="S126" s="354"/>
      <c r="T126" s="257">
        <v>73</v>
      </c>
      <c r="U126" s="258">
        <v>89</v>
      </c>
      <c r="V126" s="258">
        <v>105</v>
      </c>
      <c r="W126" s="258">
        <v>77</v>
      </c>
      <c r="X126" s="258">
        <v>84</v>
      </c>
      <c r="Y126" s="258">
        <v>77</v>
      </c>
      <c r="Z126" s="258">
        <v>88</v>
      </c>
      <c r="AA126" s="614">
        <v>78</v>
      </c>
      <c r="AB126" s="354"/>
      <c r="AC126" s="257">
        <v>826</v>
      </c>
      <c r="AD126" s="258">
        <v>1046</v>
      </c>
      <c r="AE126" s="258">
        <v>1480</v>
      </c>
      <c r="AF126" s="258">
        <v>855</v>
      </c>
      <c r="AG126" s="258">
        <v>1076</v>
      </c>
      <c r="AH126" s="258">
        <v>734</v>
      </c>
      <c r="AI126" s="258">
        <v>745</v>
      </c>
      <c r="AJ126" s="614">
        <v>620</v>
      </c>
      <c r="AK126" s="354"/>
      <c r="AL126" s="257">
        <v>159</v>
      </c>
      <c r="AM126" s="258">
        <v>220</v>
      </c>
      <c r="AN126" s="258">
        <v>345</v>
      </c>
      <c r="AO126" s="258">
        <v>260</v>
      </c>
      <c r="AP126" s="258">
        <v>418</v>
      </c>
      <c r="AQ126" s="258">
        <v>209</v>
      </c>
      <c r="AR126" s="258">
        <v>290</v>
      </c>
      <c r="AS126" s="614">
        <v>145</v>
      </c>
      <c r="AT126" s="354"/>
      <c r="AU126" s="257"/>
      <c r="AV126" s="258"/>
      <c r="AW126" s="258"/>
      <c r="AX126" s="258"/>
      <c r="AY126" s="258"/>
      <c r="AZ126" s="258"/>
      <c r="BA126" s="258"/>
      <c r="BB126" s="614"/>
      <c r="BC126" s="354"/>
      <c r="BD126" s="257">
        <f t="shared" si="25"/>
        <v>1086</v>
      </c>
      <c r="BE126" s="258">
        <f t="shared" si="26"/>
        <v>1401</v>
      </c>
      <c r="BF126" s="258">
        <f t="shared" si="27"/>
        <v>1991</v>
      </c>
      <c r="BG126" s="258">
        <f t="shared" si="28"/>
        <v>1245</v>
      </c>
      <c r="BH126" s="258">
        <f t="shared" si="29"/>
        <v>1631</v>
      </c>
      <c r="BI126" s="258">
        <f t="shared" si="30"/>
        <v>1064</v>
      </c>
      <c r="BJ126" s="258">
        <f t="shared" si="31"/>
        <v>1186</v>
      </c>
      <c r="BK126" s="614">
        <f t="shared" si="24"/>
        <v>911</v>
      </c>
      <c r="BL126" s="354">
        <f t="shared" si="24"/>
        <v>0</v>
      </c>
    </row>
    <row r="127" spans="1:64" x14ac:dyDescent="0.2">
      <c r="A127" s="365" t="s">
        <v>728</v>
      </c>
      <c r="B127" s="257">
        <v>30</v>
      </c>
      <c r="C127" s="258">
        <v>34</v>
      </c>
      <c r="D127" s="258">
        <v>36</v>
      </c>
      <c r="E127" s="258">
        <v>35</v>
      </c>
      <c r="F127" s="258">
        <v>23</v>
      </c>
      <c r="G127" s="258">
        <v>19</v>
      </c>
      <c r="H127" s="258">
        <v>19</v>
      </c>
      <c r="I127" s="614">
        <v>23</v>
      </c>
      <c r="J127" s="354"/>
      <c r="K127" s="257">
        <v>38</v>
      </c>
      <c r="L127" s="258">
        <v>42</v>
      </c>
      <c r="M127" s="258">
        <v>75</v>
      </c>
      <c r="N127" s="258">
        <v>37</v>
      </c>
      <c r="O127" s="258">
        <v>49</v>
      </c>
      <c r="P127" s="258">
        <v>47</v>
      </c>
      <c r="Q127" s="258">
        <v>30</v>
      </c>
      <c r="R127" s="614">
        <v>38</v>
      </c>
      <c r="S127" s="354"/>
      <c r="T127" s="257">
        <v>116</v>
      </c>
      <c r="U127" s="258">
        <v>152</v>
      </c>
      <c r="V127" s="258">
        <v>125</v>
      </c>
      <c r="W127" s="258">
        <v>127</v>
      </c>
      <c r="X127" s="258">
        <v>128</v>
      </c>
      <c r="Y127" s="258">
        <v>160</v>
      </c>
      <c r="Z127" s="258">
        <v>118</v>
      </c>
      <c r="AA127" s="614">
        <v>94</v>
      </c>
      <c r="AB127" s="354"/>
      <c r="AC127" s="257">
        <v>1365</v>
      </c>
      <c r="AD127" s="258">
        <v>1604</v>
      </c>
      <c r="AE127" s="258">
        <v>1699</v>
      </c>
      <c r="AF127" s="258">
        <v>1282</v>
      </c>
      <c r="AG127" s="258">
        <v>1300</v>
      </c>
      <c r="AH127" s="258">
        <v>971</v>
      </c>
      <c r="AI127" s="258">
        <v>807</v>
      </c>
      <c r="AJ127" s="614">
        <v>786</v>
      </c>
      <c r="AK127" s="354"/>
      <c r="AL127" s="257">
        <v>369</v>
      </c>
      <c r="AM127" s="258">
        <v>397</v>
      </c>
      <c r="AN127" s="258">
        <v>469</v>
      </c>
      <c r="AO127" s="258">
        <v>435</v>
      </c>
      <c r="AP127" s="258">
        <v>434</v>
      </c>
      <c r="AQ127" s="258">
        <v>281</v>
      </c>
      <c r="AR127" s="258">
        <v>273</v>
      </c>
      <c r="AS127" s="614">
        <v>245</v>
      </c>
      <c r="AT127" s="354"/>
      <c r="AU127" s="257"/>
      <c r="AV127" s="258"/>
      <c r="AW127" s="258"/>
      <c r="AX127" s="258"/>
      <c r="AY127" s="258"/>
      <c r="AZ127" s="258"/>
      <c r="BA127" s="258"/>
      <c r="BB127" s="614"/>
      <c r="BC127" s="354"/>
      <c r="BD127" s="257">
        <f t="shared" si="25"/>
        <v>1918</v>
      </c>
      <c r="BE127" s="258">
        <f t="shared" si="26"/>
        <v>2229</v>
      </c>
      <c r="BF127" s="258">
        <f t="shared" si="27"/>
        <v>2404</v>
      </c>
      <c r="BG127" s="258">
        <f t="shared" si="28"/>
        <v>1916</v>
      </c>
      <c r="BH127" s="258">
        <f t="shared" si="29"/>
        <v>1934</v>
      </c>
      <c r="BI127" s="258">
        <f t="shared" si="30"/>
        <v>1478</v>
      </c>
      <c r="BJ127" s="258">
        <f t="shared" si="31"/>
        <v>1247</v>
      </c>
      <c r="BK127" s="614">
        <f t="shared" si="24"/>
        <v>1186</v>
      </c>
      <c r="BL127" s="354">
        <f t="shared" si="24"/>
        <v>0</v>
      </c>
    </row>
    <row r="128" spans="1:64" x14ac:dyDescent="0.2">
      <c r="A128" s="365" t="s">
        <v>721</v>
      </c>
      <c r="B128" s="257">
        <v>39</v>
      </c>
      <c r="C128" s="258">
        <v>100</v>
      </c>
      <c r="D128" s="258">
        <v>104</v>
      </c>
      <c r="E128" s="258">
        <v>80</v>
      </c>
      <c r="F128" s="258">
        <v>37</v>
      </c>
      <c r="G128" s="258">
        <v>40</v>
      </c>
      <c r="H128" s="258">
        <v>35</v>
      </c>
      <c r="I128" s="614">
        <v>37</v>
      </c>
      <c r="J128" s="354"/>
      <c r="K128" s="257">
        <v>82</v>
      </c>
      <c r="L128" s="258">
        <v>85</v>
      </c>
      <c r="M128" s="258">
        <v>73</v>
      </c>
      <c r="N128" s="258">
        <v>78</v>
      </c>
      <c r="O128" s="258">
        <v>47</v>
      </c>
      <c r="P128" s="258">
        <v>62</v>
      </c>
      <c r="Q128" s="258">
        <v>65</v>
      </c>
      <c r="R128" s="614">
        <v>37</v>
      </c>
      <c r="S128" s="354"/>
      <c r="T128" s="257">
        <v>143</v>
      </c>
      <c r="U128" s="258">
        <v>185</v>
      </c>
      <c r="V128" s="258">
        <v>156</v>
      </c>
      <c r="W128" s="258">
        <v>247</v>
      </c>
      <c r="X128" s="258">
        <v>158</v>
      </c>
      <c r="Y128" s="258">
        <v>177</v>
      </c>
      <c r="Z128" s="258">
        <v>164</v>
      </c>
      <c r="AA128" s="614">
        <v>146</v>
      </c>
      <c r="AB128" s="354"/>
      <c r="AC128" s="257">
        <v>2018</v>
      </c>
      <c r="AD128" s="258">
        <v>2172</v>
      </c>
      <c r="AE128" s="258">
        <v>2248</v>
      </c>
      <c r="AF128" s="258">
        <v>2117</v>
      </c>
      <c r="AG128" s="258">
        <v>1427</v>
      </c>
      <c r="AH128" s="258">
        <v>1290</v>
      </c>
      <c r="AI128" s="258">
        <v>1306</v>
      </c>
      <c r="AJ128" s="614">
        <v>1258</v>
      </c>
      <c r="AK128" s="354"/>
      <c r="AL128" s="257">
        <v>609</v>
      </c>
      <c r="AM128" s="258">
        <v>675</v>
      </c>
      <c r="AN128" s="258">
        <v>826</v>
      </c>
      <c r="AO128" s="258">
        <v>685</v>
      </c>
      <c r="AP128" s="258">
        <v>599</v>
      </c>
      <c r="AQ128" s="258">
        <v>386</v>
      </c>
      <c r="AR128" s="258">
        <v>444</v>
      </c>
      <c r="AS128" s="614">
        <v>337</v>
      </c>
      <c r="AT128" s="354"/>
      <c r="AU128" s="257"/>
      <c r="AV128" s="258"/>
      <c r="AW128" s="258"/>
      <c r="AX128" s="258"/>
      <c r="AY128" s="258"/>
      <c r="AZ128" s="258"/>
      <c r="BA128" s="258"/>
      <c r="BB128" s="614"/>
      <c r="BC128" s="354"/>
      <c r="BD128" s="257">
        <f t="shared" si="25"/>
        <v>2891</v>
      </c>
      <c r="BE128" s="258">
        <f t="shared" si="26"/>
        <v>3217</v>
      </c>
      <c r="BF128" s="258">
        <f t="shared" si="27"/>
        <v>3407</v>
      </c>
      <c r="BG128" s="258">
        <f t="shared" si="28"/>
        <v>3207</v>
      </c>
      <c r="BH128" s="258">
        <f t="shared" si="29"/>
        <v>2268</v>
      </c>
      <c r="BI128" s="258">
        <f t="shared" si="30"/>
        <v>1955</v>
      </c>
      <c r="BJ128" s="258">
        <f t="shared" si="31"/>
        <v>2014</v>
      </c>
      <c r="BK128" s="614">
        <f t="shared" ref="BK128:BL191" si="32">SUM(I128,R128,AA128,AJ128,AS128,BB128)</f>
        <v>1815</v>
      </c>
      <c r="BL128" s="354">
        <f t="shared" si="32"/>
        <v>0</v>
      </c>
    </row>
    <row r="129" spans="1:64" x14ac:dyDescent="0.2">
      <c r="A129" s="365" t="s">
        <v>722</v>
      </c>
      <c r="B129" s="257">
        <v>47</v>
      </c>
      <c r="C129" s="258">
        <v>83</v>
      </c>
      <c r="D129" s="258">
        <v>78</v>
      </c>
      <c r="E129" s="258">
        <v>63</v>
      </c>
      <c r="F129" s="258">
        <v>36</v>
      </c>
      <c r="G129" s="258">
        <v>14</v>
      </c>
      <c r="H129" s="258">
        <v>12</v>
      </c>
      <c r="I129" s="614">
        <v>14</v>
      </c>
      <c r="J129" s="354"/>
      <c r="K129" s="257">
        <v>71</v>
      </c>
      <c r="L129" s="258">
        <v>63</v>
      </c>
      <c r="M129" s="258">
        <v>72</v>
      </c>
      <c r="N129" s="258">
        <v>93</v>
      </c>
      <c r="O129" s="258">
        <v>47</v>
      </c>
      <c r="P129" s="258">
        <v>25</v>
      </c>
      <c r="Q129" s="258">
        <v>28</v>
      </c>
      <c r="R129" s="614">
        <v>41</v>
      </c>
      <c r="S129" s="354"/>
      <c r="T129" s="257">
        <v>179</v>
      </c>
      <c r="U129" s="258">
        <v>121</v>
      </c>
      <c r="V129" s="258">
        <v>139</v>
      </c>
      <c r="W129" s="258">
        <v>187</v>
      </c>
      <c r="X129" s="258">
        <v>176</v>
      </c>
      <c r="Y129" s="258">
        <v>132</v>
      </c>
      <c r="Z129" s="258">
        <v>122</v>
      </c>
      <c r="AA129" s="614">
        <v>104</v>
      </c>
      <c r="AB129" s="354"/>
      <c r="AC129" s="257">
        <v>1764</v>
      </c>
      <c r="AD129" s="258">
        <v>1406</v>
      </c>
      <c r="AE129" s="258">
        <v>1616</v>
      </c>
      <c r="AF129" s="258">
        <v>1687</v>
      </c>
      <c r="AG129" s="258">
        <v>1527</v>
      </c>
      <c r="AH129" s="258">
        <v>996</v>
      </c>
      <c r="AI129" s="258">
        <v>768</v>
      </c>
      <c r="AJ129" s="614">
        <v>822</v>
      </c>
      <c r="AK129" s="354"/>
      <c r="AL129" s="257">
        <v>415</v>
      </c>
      <c r="AM129" s="258">
        <v>463</v>
      </c>
      <c r="AN129" s="258">
        <v>519</v>
      </c>
      <c r="AO129" s="258">
        <v>523</v>
      </c>
      <c r="AP129" s="258">
        <v>502</v>
      </c>
      <c r="AQ129" s="258">
        <v>333</v>
      </c>
      <c r="AR129" s="258">
        <v>248</v>
      </c>
      <c r="AS129" s="614">
        <v>197</v>
      </c>
      <c r="AT129" s="354"/>
      <c r="AU129" s="257"/>
      <c r="AV129" s="258"/>
      <c r="AW129" s="258"/>
      <c r="AX129" s="258"/>
      <c r="AY129" s="258"/>
      <c r="AZ129" s="258"/>
      <c r="BA129" s="258"/>
      <c r="BB129" s="614"/>
      <c r="BC129" s="354"/>
      <c r="BD129" s="257">
        <f t="shared" si="25"/>
        <v>2476</v>
      </c>
      <c r="BE129" s="258">
        <f t="shared" si="26"/>
        <v>2136</v>
      </c>
      <c r="BF129" s="258">
        <f t="shared" si="27"/>
        <v>2424</v>
      </c>
      <c r="BG129" s="258">
        <f t="shared" si="28"/>
        <v>2553</v>
      </c>
      <c r="BH129" s="258">
        <f t="shared" si="29"/>
        <v>2288</v>
      </c>
      <c r="BI129" s="258">
        <f t="shared" si="30"/>
        <v>1500</v>
      </c>
      <c r="BJ129" s="258">
        <f t="shared" si="31"/>
        <v>1178</v>
      </c>
      <c r="BK129" s="614">
        <f t="shared" si="32"/>
        <v>1178</v>
      </c>
      <c r="BL129" s="354">
        <f t="shared" si="32"/>
        <v>0</v>
      </c>
    </row>
    <row r="130" spans="1:64" x14ac:dyDescent="0.2">
      <c r="A130" s="365" t="s">
        <v>723</v>
      </c>
      <c r="B130" s="257">
        <v>25</v>
      </c>
      <c r="C130" s="258">
        <v>36</v>
      </c>
      <c r="D130" s="258">
        <v>61</v>
      </c>
      <c r="E130" s="258">
        <v>38</v>
      </c>
      <c r="F130" s="258">
        <v>26</v>
      </c>
      <c r="G130" s="258">
        <v>33</v>
      </c>
      <c r="H130" s="258">
        <v>31</v>
      </c>
      <c r="I130" s="614">
        <v>29</v>
      </c>
      <c r="J130" s="354"/>
      <c r="K130" s="257">
        <v>45</v>
      </c>
      <c r="L130" s="258">
        <v>39</v>
      </c>
      <c r="M130" s="258">
        <v>44</v>
      </c>
      <c r="N130" s="258">
        <v>28</v>
      </c>
      <c r="O130" s="258">
        <v>53</v>
      </c>
      <c r="P130" s="258">
        <v>44</v>
      </c>
      <c r="Q130" s="258">
        <v>46</v>
      </c>
      <c r="R130" s="614">
        <v>33</v>
      </c>
      <c r="S130" s="354"/>
      <c r="T130" s="257">
        <v>71</v>
      </c>
      <c r="U130" s="258">
        <v>80</v>
      </c>
      <c r="V130" s="258">
        <v>137</v>
      </c>
      <c r="W130" s="258">
        <v>103</v>
      </c>
      <c r="X130" s="258">
        <v>101</v>
      </c>
      <c r="Y130" s="258">
        <v>109</v>
      </c>
      <c r="Z130" s="258">
        <v>101</v>
      </c>
      <c r="AA130" s="614">
        <v>82</v>
      </c>
      <c r="AB130" s="354"/>
      <c r="AC130" s="257">
        <v>1002</v>
      </c>
      <c r="AD130" s="258">
        <v>995</v>
      </c>
      <c r="AE130" s="258">
        <v>1305</v>
      </c>
      <c r="AF130" s="258">
        <v>909</v>
      </c>
      <c r="AG130" s="258">
        <v>1011</v>
      </c>
      <c r="AH130" s="258">
        <v>788</v>
      </c>
      <c r="AI130" s="258">
        <v>717</v>
      </c>
      <c r="AJ130" s="614">
        <v>681</v>
      </c>
      <c r="AK130" s="354"/>
      <c r="AL130" s="257">
        <v>389</v>
      </c>
      <c r="AM130" s="258">
        <v>484</v>
      </c>
      <c r="AN130" s="258">
        <v>605</v>
      </c>
      <c r="AO130" s="258">
        <v>471</v>
      </c>
      <c r="AP130" s="258">
        <v>410</v>
      </c>
      <c r="AQ130" s="258">
        <v>321</v>
      </c>
      <c r="AR130" s="258">
        <v>222</v>
      </c>
      <c r="AS130" s="614">
        <v>194</v>
      </c>
      <c r="AT130" s="354"/>
      <c r="AU130" s="257"/>
      <c r="AV130" s="258"/>
      <c r="AW130" s="258"/>
      <c r="AX130" s="258"/>
      <c r="AY130" s="258"/>
      <c r="AZ130" s="258"/>
      <c r="BA130" s="258"/>
      <c r="BB130" s="614"/>
      <c r="BC130" s="354"/>
      <c r="BD130" s="257">
        <f t="shared" si="25"/>
        <v>1532</v>
      </c>
      <c r="BE130" s="258">
        <f t="shared" si="26"/>
        <v>1634</v>
      </c>
      <c r="BF130" s="258">
        <f t="shared" si="27"/>
        <v>2152</v>
      </c>
      <c r="BG130" s="258">
        <f t="shared" si="28"/>
        <v>1549</v>
      </c>
      <c r="BH130" s="258">
        <f t="shared" si="29"/>
        <v>1601</v>
      </c>
      <c r="BI130" s="258">
        <f t="shared" si="30"/>
        <v>1295</v>
      </c>
      <c r="BJ130" s="258">
        <f t="shared" si="31"/>
        <v>1117</v>
      </c>
      <c r="BK130" s="614">
        <f t="shared" si="32"/>
        <v>1019</v>
      </c>
      <c r="BL130" s="354">
        <f t="shared" si="32"/>
        <v>0</v>
      </c>
    </row>
    <row r="131" spans="1:64" x14ac:dyDescent="0.2">
      <c r="A131" s="365" t="s">
        <v>724</v>
      </c>
      <c r="B131" s="257">
        <v>5</v>
      </c>
      <c r="C131" s="258">
        <v>29</v>
      </c>
      <c r="D131" s="258">
        <v>29</v>
      </c>
      <c r="E131" s="258">
        <v>23</v>
      </c>
      <c r="F131" s="258">
        <v>2</v>
      </c>
      <c r="G131" s="258">
        <v>11</v>
      </c>
      <c r="H131" s="258">
        <v>16</v>
      </c>
      <c r="I131" s="614">
        <v>10</v>
      </c>
      <c r="J131" s="354"/>
      <c r="K131" s="257">
        <v>16</v>
      </c>
      <c r="L131" s="258">
        <v>39</v>
      </c>
      <c r="M131" s="258">
        <v>20</v>
      </c>
      <c r="N131" s="258">
        <v>30</v>
      </c>
      <c r="O131" s="258">
        <v>28</v>
      </c>
      <c r="P131" s="258">
        <v>24</v>
      </c>
      <c r="Q131" s="258">
        <v>29</v>
      </c>
      <c r="R131" s="614">
        <v>27</v>
      </c>
      <c r="S131" s="354"/>
      <c r="T131" s="257">
        <v>40</v>
      </c>
      <c r="U131" s="258">
        <v>49</v>
      </c>
      <c r="V131" s="258">
        <v>44</v>
      </c>
      <c r="W131" s="258">
        <v>46</v>
      </c>
      <c r="X131" s="258">
        <v>55</v>
      </c>
      <c r="Y131" s="258">
        <v>40</v>
      </c>
      <c r="Z131" s="258">
        <v>51</v>
      </c>
      <c r="AA131" s="614">
        <v>40</v>
      </c>
      <c r="AB131" s="354"/>
      <c r="AC131" s="257">
        <v>356</v>
      </c>
      <c r="AD131" s="258">
        <v>267</v>
      </c>
      <c r="AE131" s="258">
        <v>314</v>
      </c>
      <c r="AF131" s="258">
        <v>362</v>
      </c>
      <c r="AG131" s="258">
        <v>398</v>
      </c>
      <c r="AH131" s="258">
        <v>316</v>
      </c>
      <c r="AI131" s="258">
        <v>257</v>
      </c>
      <c r="AJ131" s="614">
        <v>243</v>
      </c>
      <c r="AK131" s="354"/>
      <c r="AL131" s="257">
        <v>114</v>
      </c>
      <c r="AM131" s="258">
        <v>104</v>
      </c>
      <c r="AN131" s="258">
        <v>124</v>
      </c>
      <c r="AO131" s="258">
        <v>132</v>
      </c>
      <c r="AP131" s="258">
        <v>144</v>
      </c>
      <c r="AQ131" s="258">
        <v>109</v>
      </c>
      <c r="AR131" s="258">
        <v>78</v>
      </c>
      <c r="AS131" s="614">
        <v>80</v>
      </c>
      <c r="AT131" s="354"/>
      <c r="AU131" s="257"/>
      <c r="AV131" s="258"/>
      <c r="AW131" s="258"/>
      <c r="AX131" s="258"/>
      <c r="AY131" s="258"/>
      <c r="AZ131" s="258"/>
      <c r="BA131" s="258"/>
      <c r="BB131" s="614"/>
      <c r="BC131" s="354"/>
      <c r="BD131" s="257">
        <f t="shared" si="25"/>
        <v>531</v>
      </c>
      <c r="BE131" s="258">
        <f t="shared" si="26"/>
        <v>488</v>
      </c>
      <c r="BF131" s="258">
        <f t="shared" si="27"/>
        <v>531</v>
      </c>
      <c r="BG131" s="258">
        <f t="shared" si="28"/>
        <v>593</v>
      </c>
      <c r="BH131" s="258">
        <f t="shared" si="29"/>
        <v>627</v>
      </c>
      <c r="BI131" s="258">
        <f t="shared" si="30"/>
        <v>500</v>
      </c>
      <c r="BJ131" s="258">
        <f t="shared" si="31"/>
        <v>431</v>
      </c>
      <c r="BK131" s="614">
        <f t="shared" si="32"/>
        <v>400</v>
      </c>
      <c r="BL131" s="354">
        <f t="shared" si="32"/>
        <v>0</v>
      </c>
    </row>
    <row r="132" spans="1:64" x14ac:dyDescent="0.2">
      <c r="A132" s="365" t="s">
        <v>820</v>
      </c>
      <c r="B132" s="257">
        <v>9</v>
      </c>
      <c r="C132" s="258">
        <v>12</v>
      </c>
      <c r="D132" s="258">
        <v>18</v>
      </c>
      <c r="E132" s="258">
        <v>20</v>
      </c>
      <c r="F132" s="258">
        <v>16</v>
      </c>
      <c r="G132" s="258">
        <v>44</v>
      </c>
      <c r="H132" s="258">
        <v>27</v>
      </c>
      <c r="I132" s="614">
        <v>25</v>
      </c>
      <c r="J132" s="354"/>
      <c r="K132" s="257">
        <v>12</v>
      </c>
      <c r="L132" s="258">
        <v>4</v>
      </c>
      <c r="M132" s="258">
        <v>7</v>
      </c>
      <c r="N132" s="258">
        <v>9</v>
      </c>
      <c r="O132" s="258">
        <v>28</v>
      </c>
      <c r="P132" s="258">
        <v>30</v>
      </c>
      <c r="Q132" s="258">
        <v>19</v>
      </c>
      <c r="R132" s="614">
        <v>22</v>
      </c>
      <c r="S132" s="354"/>
      <c r="T132" s="257">
        <v>10</v>
      </c>
      <c r="U132" s="258">
        <v>12</v>
      </c>
      <c r="V132" s="258">
        <v>9</v>
      </c>
      <c r="W132" s="258">
        <v>13</v>
      </c>
      <c r="X132" s="258">
        <v>47</v>
      </c>
      <c r="Y132" s="258">
        <v>25</v>
      </c>
      <c r="Z132" s="258">
        <v>72</v>
      </c>
      <c r="AA132" s="614">
        <v>25</v>
      </c>
      <c r="AB132" s="354"/>
      <c r="AC132" s="257">
        <v>118</v>
      </c>
      <c r="AD132" s="258">
        <v>128</v>
      </c>
      <c r="AE132" s="258">
        <v>145</v>
      </c>
      <c r="AF132" s="258">
        <v>121</v>
      </c>
      <c r="AG132" s="258">
        <v>442</v>
      </c>
      <c r="AH132" s="258">
        <v>187</v>
      </c>
      <c r="AI132" s="258">
        <v>232</v>
      </c>
      <c r="AJ132" s="614">
        <v>90</v>
      </c>
      <c r="AK132" s="354"/>
      <c r="AL132" s="257">
        <v>23</v>
      </c>
      <c r="AM132" s="258">
        <v>35</v>
      </c>
      <c r="AN132" s="258">
        <v>25</v>
      </c>
      <c r="AO132" s="258">
        <v>34</v>
      </c>
      <c r="AP132" s="258">
        <v>52</v>
      </c>
      <c r="AQ132" s="258">
        <v>33</v>
      </c>
      <c r="AR132" s="258">
        <v>51</v>
      </c>
      <c r="AS132" s="614">
        <v>50</v>
      </c>
      <c r="AT132" s="354"/>
      <c r="AU132" s="257"/>
      <c r="AV132" s="258"/>
      <c r="AW132" s="258"/>
      <c r="AX132" s="258"/>
      <c r="AY132" s="258"/>
      <c r="AZ132" s="258"/>
      <c r="BA132" s="258"/>
      <c r="BB132" s="614"/>
      <c r="BC132" s="354"/>
      <c r="BD132" s="257">
        <f t="shared" ref="BD132:BD163" si="33">SUM(B132,K132,T132,AC132,AL132,AU132)</f>
        <v>172</v>
      </c>
      <c r="BE132" s="258">
        <f t="shared" ref="BE132:BE163" si="34">SUM(C132,L132,U132,AD132,AM132,AV132)</f>
        <v>191</v>
      </c>
      <c r="BF132" s="258">
        <f t="shared" ref="BF132:BF163" si="35">SUM(D132,M132,V132,AE132,AN132,AW132)</f>
        <v>204</v>
      </c>
      <c r="BG132" s="258">
        <f t="shared" ref="BG132:BG163" si="36">SUM(E132,N132,W132,AF132,AO132,AX132)</f>
        <v>197</v>
      </c>
      <c r="BH132" s="258">
        <f t="shared" ref="BH132:BH163" si="37">SUM(F132,O132,X132,AG132,AP132,AY132)</f>
        <v>585</v>
      </c>
      <c r="BI132" s="258">
        <f t="shared" ref="BI132:BI163" si="38">SUM(G132,P132,Y132,AH132,AQ132,AZ132)</f>
        <v>319</v>
      </c>
      <c r="BJ132" s="258">
        <f t="shared" ref="BJ132:BJ163" si="39">SUM(H132,Q132,Z132,AI132,AR132,BA132)</f>
        <v>401</v>
      </c>
      <c r="BK132" s="614">
        <f t="shared" si="32"/>
        <v>212</v>
      </c>
      <c r="BL132" s="354">
        <f t="shared" si="32"/>
        <v>0</v>
      </c>
    </row>
    <row r="133" spans="1:64" x14ac:dyDescent="0.2">
      <c r="A133" s="365" t="s">
        <v>725</v>
      </c>
      <c r="B133" s="257">
        <v>10</v>
      </c>
      <c r="C133" s="258">
        <v>181</v>
      </c>
      <c r="D133" s="258">
        <v>54</v>
      </c>
      <c r="E133" s="258">
        <v>51</v>
      </c>
      <c r="F133" s="258">
        <v>52</v>
      </c>
      <c r="G133" s="258">
        <v>134</v>
      </c>
      <c r="H133" s="258">
        <v>91</v>
      </c>
      <c r="I133" s="614">
        <v>68</v>
      </c>
      <c r="J133" s="354"/>
      <c r="K133" s="257">
        <v>15</v>
      </c>
      <c r="L133" s="258">
        <v>23</v>
      </c>
      <c r="M133" s="258">
        <v>30</v>
      </c>
      <c r="N133" s="258">
        <v>24</v>
      </c>
      <c r="O133" s="258">
        <v>38</v>
      </c>
      <c r="P133" s="258">
        <v>69</v>
      </c>
      <c r="Q133" s="258">
        <v>16</v>
      </c>
      <c r="R133" s="614">
        <v>13</v>
      </c>
      <c r="S133" s="354"/>
      <c r="T133" s="257">
        <v>41</v>
      </c>
      <c r="U133" s="258">
        <v>41</v>
      </c>
      <c r="V133" s="258">
        <v>62</v>
      </c>
      <c r="W133" s="258">
        <v>44</v>
      </c>
      <c r="X133" s="258">
        <v>32</v>
      </c>
      <c r="Y133" s="258">
        <v>51</v>
      </c>
      <c r="Z133" s="258">
        <v>17</v>
      </c>
      <c r="AA133" s="614">
        <v>110</v>
      </c>
      <c r="AB133" s="354"/>
      <c r="AC133" s="257">
        <v>699</v>
      </c>
      <c r="AD133" s="258">
        <v>589</v>
      </c>
      <c r="AE133" s="258">
        <v>816</v>
      </c>
      <c r="AF133" s="258">
        <v>617</v>
      </c>
      <c r="AG133" s="258">
        <v>472</v>
      </c>
      <c r="AH133" s="258">
        <v>412</v>
      </c>
      <c r="AI133" s="258">
        <v>237</v>
      </c>
      <c r="AJ133" s="614">
        <v>375</v>
      </c>
      <c r="AK133" s="354"/>
      <c r="AL133" s="257">
        <v>298</v>
      </c>
      <c r="AM133" s="258">
        <v>267</v>
      </c>
      <c r="AN133" s="258">
        <v>635</v>
      </c>
      <c r="AO133" s="258">
        <v>253</v>
      </c>
      <c r="AP133" s="258">
        <v>309</v>
      </c>
      <c r="AQ133" s="258">
        <v>197</v>
      </c>
      <c r="AR133" s="258">
        <v>133</v>
      </c>
      <c r="AS133" s="614">
        <v>93</v>
      </c>
      <c r="AT133" s="354"/>
      <c r="AU133" s="257"/>
      <c r="AV133" s="258"/>
      <c r="AW133" s="258"/>
      <c r="AX133" s="258"/>
      <c r="AY133" s="258"/>
      <c r="AZ133" s="258"/>
      <c r="BA133" s="258"/>
      <c r="BB133" s="614"/>
      <c r="BC133" s="354"/>
      <c r="BD133" s="257">
        <f t="shared" si="33"/>
        <v>1063</v>
      </c>
      <c r="BE133" s="258">
        <f t="shared" si="34"/>
        <v>1101</v>
      </c>
      <c r="BF133" s="258">
        <f t="shared" si="35"/>
        <v>1597</v>
      </c>
      <c r="BG133" s="258">
        <f t="shared" si="36"/>
        <v>989</v>
      </c>
      <c r="BH133" s="258">
        <f t="shared" si="37"/>
        <v>903</v>
      </c>
      <c r="BI133" s="258">
        <f t="shared" si="38"/>
        <v>863</v>
      </c>
      <c r="BJ133" s="258">
        <f t="shared" si="39"/>
        <v>494</v>
      </c>
      <c r="BK133" s="614">
        <f t="shared" si="32"/>
        <v>659</v>
      </c>
      <c r="BL133" s="354">
        <f t="shared" si="32"/>
        <v>0</v>
      </c>
    </row>
    <row r="134" spans="1:64" x14ac:dyDescent="0.2">
      <c r="A134" s="365" t="s">
        <v>726</v>
      </c>
      <c r="B134" s="257">
        <v>13</v>
      </c>
      <c r="C134" s="258">
        <v>26</v>
      </c>
      <c r="D134" s="258">
        <v>34</v>
      </c>
      <c r="E134" s="258">
        <v>17</v>
      </c>
      <c r="F134" s="258">
        <v>18</v>
      </c>
      <c r="G134" s="258">
        <v>6</v>
      </c>
      <c r="H134" s="258">
        <v>11</v>
      </c>
      <c r="I134" s="614">
        <v>9</v>
      </c>
      <c r="J134" s="354"/>
      <c r="K134" s="257">
        <v>25</v>
      </c>
      <c r="L134" s="258">
        <v>36</v>
      </c>
      <c r="M134" s="258">
        <v>26</v>
      </c>
      <c r="N134" s="258">
        <v>34</v>
      </c>
      <c r="O134" s="258">
        <v>31</v>
      </c>
      <c r="P134" s="258">
        <v>27</v>
      </c>
      <c r="Q134" s="258">
        <v>22</v>
      </c>
      <c r="R134" s="614">
        <v>26</v>
      </c>
      <c r="S134" s="354"/>
      <c r="T134" s="257">
        <v>95</v>
      </c>
      <c r="U134" s="258">
        <v>77</v>
      </c>
      <c r="V134" s="258">
        <v>108</v>
      </c>
      <c r="W134" s="258">
        <v>73</v>
      </c>
      <c r="X134" s="258">
        <v>88</v>
      </c>
      <c r="Y134" s="258">
        <v>173</v>
      </c>
      <c r="Z134" s="258">
        <v>71</v>
      </c>
      <c r="AA134" s="614">
        <v>97</v>
      </c>
      <c r="AB134" s="354"/>
      <c r="AC134" s="257">
        <v>1127</v>
      </c>
      <c r="AD134" s="258">
        <v>1069</v>
      </c>
      <c r="AE134" s="258">
        <v>1557</v>
      </c>
      <c r="AF134" s="258">
        <v>810</v>
      </c>
      <c r="AG134" s="258">
        <v>1196</v>
      </c>
      <c r="AH134" s="258">
        <v>1271</v>
      </c>
      <c r="AI134" s="258">
        <v>622</v>
      </c>
      <c r="AJ134" s="614">
        <v>820</v>
      </c>
      <c r="AK134" s="354"/>
      <c r="AL134" s="257">
        <v>376</v>
      </c>
      <c r="AM134" s="258">
        <v>379</v>
      </c>
      <c r="AN134" s="258">
        <v>498</v>
      </c>
      <c r="AO134" s="258">
        <v>296</v>
      </c>
      <c r="AP134" s="258">
        <v>446</v>
      </c>
      <c r="AQ134" s="258">
        <v>300</v>
      </c>
      <c r="AR134" s="258">
        <v>251</v>
      </c>
      <c r="AS134" s="614">
        <v>297</v>
      </c>
      <c r="AT134" s="354"/>
      <c r="AU134" s="257"/>
      <c r="AV134" s="258"/>
      <c r="AW134" s="258"/>
      <c r="AX134" s="258"/>
      <c r="AY134" s="258"/>
      <c r="AZ134" s="258"/>
      <c r="BA134" s="258"/>
      <c r="BB134" s="614"/>
      <c r="BC134" s="354"/>
      <c r="BD134" s="257">
        <f t="shared" si="33"/>
        <v>1636</v>
      </c>
      <c r="BE134" s="258">
        <f t="shared" si="34"/>
        <v>1587</v>
      </c>
      <c r="BF134" s="258">
        <f t="shared" si="35"/>
        <v>2223</v>
      </c>
      <c r="BG134" s="258">
        <f t="shared" si="36"/>
        <v>1230</v>
      </c>
      <c r="BH134" s="258">
        <f t="shared" si="37"/>
        <v>1779</v>
      </c>
      <c r="BI134" s="258">
        <f t="shared" si="38"/>
        <v>1777</v>
      </c>
      <c r="BJ134" s="258">
        <f t="shared" si="39"/>
        <v>977</v>
      </c>
      <c r="BK134" s="614">
        <f t="shared" si="32"/>
        <v>1249</v>
      </c>
      <c r="BL134" s="354">
        <f t="shared" si="32"/>
        <v>0</v>
      </c>
    </row>
    <row r="135" spans="1:64" x14ac:dyDescent="0.2">
      <c r="A135" s="365" t="s">
        <v>729</v>
      </c>
      <c r="B135" s="257">
        <v>14</v>
      </c>
      <c r="C135" s="258">
        <v>39</v>
      </c>
      <c r="D135" s="258">
        <v>50</v>
      </c>
      <c r="E135" s="258">
        <v>34</v>
      </c>
      <c r="F135" s="258">
        <v>17</v>
      </c>
      <c r="G135" s="258">
        <v>10</v>
      </c>
      <c r="H135" s="258">
        <v>29</v>
      </c>
      <c r="I135" s="614">
        <v>16</v>
      </c>
      <c r="J135" s="354"/>
      <c r="K135" s="257">
        <v>37</v>
      </c>
      <c r="L135" s="258">
        <v>55</v>
      </c>
      <c r="M135" s="258">
        <v>43</v>
      </c>
      <c r="N135" s="258">
        <v>32</v>
      </c>
      <c r="O135" s="258">
        <v>24</v>
      </c>
      <c r="P135" s="258">
        <v>32</v>
      </c>
      <c r="Q135" s="258">
        <v>19</v>
      </c>
      <c r="R135" s="614">
        <v>31</v>
      </c>
      <c r="S135" s="354"/>
      <c r="T135" s="257">
        <v>102</v>
      </c>
      <c r="U135" s="258">
        <v>142</v>
      </c>
      <c r="V135" s="258">
        <v>94</v>
      </c>
      <c r="W135" s="258">
        <v>110</v>
      </c>
      <c r="X135" s="258">
        <v>198</v>
      </c>
      <c r="Y135" s="258">
        <v>115</v>
      </c>
      <c r="Z135" s="258">
        <v>122</v>
      </c>
      <c r="AA135" s="614">
        <v>147</v>
      </c>
      <c r="AB135" s="354"/>
      <c r="AC135" s="257">
        <v>1361</v>
      </c>
      <c r="AD135" s="258">
        <v>1572</v>
      </c>
      <c r="AE135" s="258">
        <v>1628</v>
      </c>
      <c r="AF135" s="258">
        <v>1201</v>
      </c>
      <c r="AG135" s="258">
        <v>1922</v>
      </c>
      <c r="AH135" s="258">
        <v>1105</v>
      </c>
      <c r="AI135" s="258">
        <v>988</v>
      </c>
      <c r="AJ135" s="614">
        <v>952</v>
      </c>
      <c r="AK135" s="354"/>
      <c r="AL135" s="257">
        <v>313</v>
      </c>
      <c r="AM135" s="258">
        <v>432</v>
      </c>
      <c r="AN135" s="258">
        <v>546</v>
      </c>
      <c r="AO135" s="258">
        <v>367</v>
      </c>
      <c r="AP135" s="258">
        <v>322</v>
      </c>
      <c r="AQ135" s="258">
        <v>317</v>
      </c>
      <c r="AR135" s="258">
        <v>248</v>
      </c>
      <c r="AS135" s="614">
        <v>237</v>
      </c>
      <c r="AT135" s="354"/>
      <c r="AU135" s="257"/>
      <c r="AV135" s="258"/>
      <c r="AW135" s="258"/>
      <c r="AX135" s="258"/>
      <c r="AY135" s="258"/>
      <c r="AZ135" s="258"/>
      <c r="BA135" s="258"/>
      <c r="BB135" s="614"/>
      <c r="BC135" s="354"/>
      <c r="BD135" s="257">
        <f t="shared" si="33"/>
        <v>1827</v>
      </c>
      <c r="BE135" s="258">
        <f t="shared" si="34"/>
        <v>2240</v>
      </c>
      <c r="BF135" s="258">
        <f t="shared" si="35"/>
        <v>2361</v>
      </c>
      <c r="BG135" s="258">
        <f t="shared" si="36"/>
        <v>1744</v>
      </c>
      <c r="BH135" s="258">
        <f t="shared" si="37"/>
        <v>2483</v>
      </c>
      <c r="BI135" s="258">
        <f t="shared" si="38"/>
        <v>1579</v>
      </c>
      <c r="BJ135" s="258">
        <f t="shared" si="39"/>
        <v>1406</v>
      </c>
      <c r="BK135" s="614">
        <f t="shared" si="32"/>
        <v>1383</v>
      </c>
      <c r="BL135" s="354">
        <f t="shared" si="32"/>
        <v>0</v>
      </c>
    </row>
    <row r="136" spans="1:64" ht="13.5" thickBot="1" x14ac:dyDescent="0.25">
      <c r="A136" s="366" t="s">
        <v>727</v>
      </c>
      <c r="B136" s="361">
        <v>23</v>
      </c>
      <c r="C136" s="362">
        <v>47</v>
      </c>
      <c r="D136" s="362">
        <v>82</v>
      </c>
      <c r="E136" s="362">
        <v>73</v>
      </c>
      <c r="F136" s="362">
        <v>23</v>
      </c>
      <c r="G136" s="362">
        <v>20</v>
      </c>
      <c r="H136" s="362">
        <v>8</v>
      </c>
      <c r="I136" s="615">
        <v>16</v>
      </c>
      <c r="J136" s="363"/>
      <c r="K136" s="361">
        <v>46</v>
      </c>
      <c r="L136" s="362">
        <v>61</v>
      </c>
      <c r="M136" s="362">
        <v>64</v>
      </c>
      <c r="N136" s="362">
        <v>54</v>
      </c>
      <c r="O136" s="362">
        <v>57</v>
      </c>
      <c r="P136" s="362">
        <v>56</v>
      </c>
      <c r="Q136" s="362">
        <v>44</v>
      </c>
      <c r="R136" s="615">
        <v>37</v>
      </c>
      <c r="S136" s="363"/>
      <c r="T136" s="361">
        <v>136</v>
      </c>
      <c r="U136" s="362">
        <v>141</v>
      </c>
      <c r="V136" s="362">
        <v>145</v>
      </c>
      <c r="W136" s="362">
        <v>150</v>
      </c>
      <c r="X136" s="362">
        <v>163</v>
      </c>
      <c r="Y136" s="362">
        <v>174</v>
      </c>
      <c r="Z136" s="362">
        <v>105</v>
      </c>
      <c r="AA136" s="615">
        <v>99</v>
      </c>
      <c r="AB136" s="363"/>
      <c r="AC136" s="361">
        <v>1389</v>
      </c>
      <c r="AD136" s="362">
        <v>1215</v>
      </c>
      <c r="AE136" s="362">
        <v>1496</v>
      </c>
      <c r="AF136" s="362">
        <v>1325</v>
      </c>
      <c r="AG136" s="362">
        <v>1520</v>
      </c>
      <c r="AH136" s="362">
        <v>864</v>
      </c>
      <c r="AI136" s="362">
        <v>663</v>
      </c>
      <c r="AJ136" s="615">
        <v>594</v>
      </c>
      <c r="AK136" s="363"/>
      <c r="AL136" s="361">
        <v>433</v>
      </c>
      <c r="AM136" s="362">
        <v>415</v>
      </c>
      <c r="AN136" s="362">
        <v>543</v>
      </c>
      <c r="AO136" s="362">
        <v>474</v>
      </c>
      <c r="AP136" s="362">
        <v>561</v>
      </c>
      <c r="AQ136" s="362">
        <v>341</v>
      </c>
      <c r="AR136" s="362">
        <v>222</v>
      </c>
      <c r="AS136" s="615">
        <v>186</v>
      </c>
      <c r="AT136" s="363"/>
      <c r="AU136" s="361"/>
      <c r="AV136" s="362"/>
      <c r="AW136" s="362"/>
      <c r="AX136" s="362"/>
      <c r="AY136" s="362"/>
      <c r="AZ136" s="362"/>
      <c r="BA136" s="362"/>
      <c r="BB136" s="615"/>
      <c r="BC136" s="363"/>
      <c r="BD136" s="361">
        <f t="shared" si="33"/>
        <v>2027</v>
      </c>
      <c r="BE136" s="362">
        <f t="shared" si="34"/>
        <v>1879</v>
      </c>
      <c r="BF136" s="362">
        <f t="shared" si="35"/>
        <v>2330</v>
      </c>
      <c r="BG136" s="362">
        <f t="shared" si="36"/>
        <v>2076</v>
      </c>
      <c r="BH136" s="362">
        <f t="shared" si="37"/>
        <v>2324</v>
      </c>
      <c r="BI136" s="362">
        <f t="shared" si="38"/>
        <v>1455</v>
      </c>
      <c r="BJ136" s="362">
        <f t="shared" si="39"/>
        <v>1042</v>
      </c>
      <c r="BK136" s="615">
        <f t="shared" si="32"/>
        <v>932</v>
      </c>
      <c r="BL136" s="363">
        <f t="shared" si="32"/>
        <v>0</v>
      </c>
    </row>
    <row r="137" spans="1:64" s="259" customFormat="1" x14ac:dyDescent="0.2">
      <c r="A137" s="364" t="s">
        <v>789</v>
      </c>
      <c r="B137" s="781">
        <v>222</v>
      </c>
      <c r="C137" s="782">
        <v>201</v>
      </c>
      <c r="D137" s="782">
        <v>125</v>
      </c>
      <c r="E137" s="782">
        <v>173</v>
      </c>
      <c r="F137" s="782">
        <v>168</v>
      </c>
      <c r="G137" s="782">
        <v>126</v>
      </c>
      <c r="H137" s="782">
        <v>185</v>
      </c>
      <c r="I137" s="783">
        <v>113</v>
      </c>
      <c r="J137" s="784"/>
      <c r="K137" s="781">
        <v>383</v>
      </c>
      <c r="L137" s="782">
        <v>375</v>
      </c>
      <c r="M137" s="782">
        <v>383</v>
      </c>
      <c r="N137" s="782">
        <v>377</v>
      </c>
      <c r="O137" s="782">
        <v>373</v>
      </c>
      <c r="P137" s="782">
        <v>363</v>
      </c>
      <c r="Q137" s="782">
        <v>221</v>
      </c>
      <c r="R137" s="783">
        <v>206</v>
      </c>
      <c r="S137" s="784"/>
      <c r="T137" s="781">
        <v>1237</v>
      </c>
      <c r="U137" s="782">
        <v>1233</v>
      </c>
      <c r="V137" s="782">
        <v>1350</v>
      </c>
      <c r="W137" s="782">
        <v>1237</v>
      </c>
      <c r="X137" s="782">
        <v>1370</v>
      </c>
      <c r="Y137" s="782">
        <v>922</v>
      </c>
      <c r="Z137" s="782">
        <v>814</v>
      </c>
      <c r="AA137" s="783">
        <v>600</v>
      </c>
      <c r="AB137" s="784"/>
      <c r="AC137" s="781">
        <v>7137</v>
      </c>
      <c r="AD137" s="782">
        <v>6837</v>
      </c>
      <c r="AE137" s="782">
        <v>6599</v>
      </c>
      <c r="AF137" s="782">
        <v>6021</v>
      </c>
      <c r="AG137" s="782">
        <v>5293</v>
      </c>
      <c r="AH137" s="782">
        <v>3797</v>
      </c>
      <c r="AI137" s="782">
        <v>3569</v>
      </c>
      <c r="AJ137" s="783">
        <v>2765</v>
      </c>
      <c r="AK137" s="784"/>
      <c r="AL137" s="781">
        <v>2235</v>
      </c>
      <c r="AM137" s="782">
        <v>2612</v>
      </c>
      <c r="AN137" s="782">
        <v>2501</v>
      </c>
      <c r="AO137" s="782">
        <v>2413</v>
      </c>
      <c r="AP137" s="782">
        <v>1771</v>
      </c>
      <c r="AQ137" s="782">
        <v>1367</v>
      </c>
      <c r="AR137" s="782">
        <v>966</v>
      </c>
      <c r="AS137" s="783">
        <v>1017</v>
      </c>
      <c r="AT137" s="784"/>
      <c r="AU137" s="781"/>
      <c r="AV137" s="782"/>
      <c r="AW137" s="782"/>
      <c r="AX137" s="782"/>
      <c r="AY137" s="782"/>
      <c r="AZ137" s="782"/>
      <c r="BA137" s="782"/>
      <c r="BB137" s="783"/>
      <c r="BC137" s="784"/>
      <c r="BD137" s="781">
        <f t="shared" si="33"/>
        <v>11214</v>
      </c>
      <c r="BE137" s="782">
        <f t="shared" si="34"/>
        <v>11258</v>
      </c>
      <c r="BF137" s="782">
        <f t="shared" si="35"/>
        <v>10958</v>
      </c>
      <c r="BG137" s="782">
        <f t="shared" si="36"/>
        <v>10221</v>
      </c>
      <c r="BH137" s="782">
        <f t="shared" si="37"/>
        <v>8975</v>
      </c>
      <c r="BI137" s="782">
        <f t="shared" si="38"/>
        <v>6575</v>
      </c>
      <c r="BJ137" s="782">
        <f t="shared" si="39"/>
        <v>5755</v>
      </c>
      <c r="BK137" s="783">
        <f t="shared" si="32"/>
        <v>4701</v>
      </c>
      <c r="BL137" s="784">
        <f t="shared" si="32"/>
        <v>0</v>
      </c>
    </row>
    <row r="138" spans="1:64" x14ac:dyDescent="0.2">
      <c r="A138" s="365" t="s">
        <v>731</v>
      </c>
      <c r="B138" s="257">
        <v>17</v>
      </c>
      <c r="C138" s="258">
        <v>33</v>
      </c>
      <c r="D138" s="258">
        <v>15</v>
      </c>
      <c r="E138" s="258">
        <v>9</v>
      </c>
      <c r="F138" s="258">
        <v>17</v>
      </c>
      <c r="G138" s="258">
        <v>15</v>
      </c>
      <c r="H138" s="258">
        <v>8</v>
      </c>
      <c r="I138" s="614">
        <v>5</v>
      </c>
      <c r="J138" s="354"/>
      <c r="K138" s="257">
        <v>18</v>
      </c>
      <c r="L138" s="258">
        <v>45</v>
      </c>
      <c r="M138" s="258">
        <v>21</v>
      </c>
      <c r="N138" s="258">
        <v>11</v>
      </c>
      <c r="O138" s="258">
        <v>12</v>
      </c>
      <c r="P138" s="258">
        <v>19</v>
      </c>
      <c r="Q138" s="258">
        <v>18</v>
      </c>
      <c r="R138" s="614">
        <v>27</v>
      </c>
      <c r="S138" s="354"/>
      <c r="T138" s="257">
        <v>34</v>
      </c>
      <c r="U138" s="258">
        <v>45</v>
      </c>
      <c r="V138" s="258">
        <v>53</v>
      </c>
      <c r="W138" s="258">
        <v>47</v>
      </c>
      <c r="X138" s="258">
        <v>56</v>
      </c>
      <c r="Y138" s="258">
        <v>27</v>
      </c>
      <c r="Z138" s="258">
        <v>28</v>
      </c>
      <c r="AA138" s="614">
        <v>19</v>
      </c>
      <c r="AB138" s="354"/>
      <c r="AC138" s="257">
        <v>314</v>
      </c>
      <c r="AD138" s="258">
        <v>318</v>
      </c>
      <c r="AE138" s="258">
        <v>325</v>
      </c>
      <c r="AF138" s="258">
        <v>295</v>
      </c>
      <c r="AG138" s="258">
        <v>240</v>
      </c>
      <c r="AH138" s="258">
        <v>152</v>
      </c>
      <c r="AI138" s="258">
        <v>173</v>
      </c>
      <c r="AJ138" s="614">
        <v>159</v>
      </c>
      <c r="AK138" s="354"/>
      <c r="AL138" s="257">
        <v>67</v>
      </c>
      <c r="AM138" s="258">
        <v>98</v>
      </c>
      <c r="AN138" s="258">
        <v>73</v>
      </c>
      <c r="AO138" s="258">
        <v>83</v>
      </c>
      <c r="AP138" s="258">
        <v>62</v>
      </c>
      <c r="AQ138" s="258">
        <v>51</v>
      </c>
      <c r="AR138" s="258">
        <v>40</v>
      </c>
      <c r="AS138" s="614">
        <v>48</v>
      </c>
      <c r="AT138" s="354"/>
      <c r="AU138" s="257"/>
      <c r="AV138" s="258"/>
      <c r="AW138" s="258"/>
      <c r="AX138" s="258"/>
      <c r="AY138" s="258"/>
      <c r="AZ138" s="258"/>
      <c r="BA138" s="258"/>
      <c r="BB138" s="614"/>
      <c r="BC138" s="354"/>
      <c r="BD138" s="257">
        <f t="shared" si="33"/>
        <v>450</v>
      </c>
      <c r="BE138" s="258">
        <f t="shared" si="34"/>
        <v>539</v>
      </c>
      <c r="BF138" s="258">
        <f t="shared" si="35"/>
        <v>487</v>
      </c>
      <c r="BG138" s="258">
        <f t="shared" si="36"/>
        <v>445</v>
      </c>
      <c r="BH138" s="258">
        <f t="shared" si="37"/>
        <v>387</v>
      </c>
      <c r="BI138" s="258">
        <f t="shared" si="38"/>
        <v>264</v>
      </c>
      <c r="BJ138" s="258">
        <f t="shared" si="39"/>
        <v>267</v>
      </c>
      <c r="BK138" s="614">
        <f t="shared" si="32"/>
        <v>258</v>
      </c>
      <c r="BL138" s="354">
        <f t="shared" si="32"/>
        <v>0</v>
      </c>
    </row>
    <row r="139" spans="1:64" x14ac:dyDescent="0.2">
      <c r="A139" s="365" t="s">
        <v>732</v>
      </c>
      <c r="B139" s="257">
        <v>70</v>
      </c>
      <c r="C139" s="258">
        <v>26</v>
      </c>
      <c r="D139" s="258">
        <v>4</v>
      </c>
      <c r="E139" s="258">
        <v>23</v>
      </c>
      <c r="F139" s="258">
        <v>23</v>
      </c>
      <c r="G139" s="258">
        <v>16</v>
      </c>
      <c r="H139" s="258">
        <v>20</v>
      </c>
      <c r="I139" s="614">
        <v>19</v>
      </c>
      <c r="J139" s="354"/>
      <c r="K139" s="257">
        <v>71</v>
      </c>
      <c r="L139" s="258">
        <v>45</v>
      </c>
      <c r="M139" s="258">
        <v>36</v>
      </c>
      <c r="N139" s="258">
        <v>45</v>
      </c>
      <c r="O139" s="258">
        <v>32</v>
      </c>
      <c r="P139" s="258">
        <v>43</v>
      </c>
      <c r="Q139" s="258">
        <v>26</v>
      </c>
      <c r="R139" s="614">
        <v>13</v>
      </c>
      <c r="S139" s="354"/>
      <c r="T139" s="257">
        <v>139</v>
      </c>
      <c r="U139" s="258">
        <v>157</v>
      </c>
      <c r="V139" s="258">
        <v>167</v>
      </c>
      <c r="W139" s="258">
        <v>109</v>
      </c>
      <c r="X139" s="258">
        <v>126</v>
      </c>
      <c r="Y139" s="258">
        <v>108</v>
      </c>
      <c r="Z139" s="258">
        <v>87</v>
      </c>
      <c r="AA139" s="614">
        <v>56</v>
      </c>
      <c r="AB139" s="354"/>
      <c r="AC139" s="257">
        <v>813</v>
      </c>
      <c r="AD139" s="258">
        <v>880</v>
      </c>
      <c r="AE139" s="258">
        <v>951</v>
      </c>
      <c r="AF139" s="258">
        <v>614</v>
      </c>
      <c r="AG139" s="258">
        <v>709</v>
      </c>
      <c r="AH139" s="258">
        <v>456</v>
      </c>
      <c r="AI139" s="258">
        <v>438</v>
      </c>
      <c r="AJ139" s="614">
        <v>283</v>
      </c>
      <c r="AK139" s="354"/>
      <c r="AL139" s="257">
        <v>242</v>
      </c>
      <c r="AM139" s="258">
        <v>336</v>
      </c>
      <c r="AN139" s="258">
        <v>417</v>
      </c>
      <c r="AO139" s="258">
        <v>206</v>
      </c>
      <c r="AP139" s="258">
        <v>184</v>
      </c>
      <c r="AQ139" s="258">
        <v>153</v>
      </c>
      <c r="AR139" s="258">
        <v>118</v>
      </c>
      <c r="AS139" s="614">
        <v>106</v>
      </c>
      <c r="AT139" s="354"/>
      <c r="AU139" s="257"/>
      <c r="AV139" s="258"/>
      <c r="AW139" s="258"/>
      <c r="AX139" s="258"/>
      <c r="AY139" s="258"/>
      <c r="AZ139" s="258"/>
      <c r="BA139" s="258"/>
      <c r="BB139" s="614"/>
      <c r="BC139" s="354"/>
      <c r="BD139" s="257">
        <f t="shared" si="33"/>
        <v>1335</v>
      </c>
      <c r="BE139" s="258">
        <f t="shared" si="34"/>
        <v>1444</v>
      </c>
      <c r="BF139" s="258">
        <f t="shared" si="35"/>
        <v>1575</v>
      </c>
      <c r="BG139" s="258">
        <f t="shared" si="36"/>
        <v>997</v>
      </c>
      <c r="BH139" s="258">
        <f t="shared" si="37"/>
        <v>1074</v>
      </c>
      <c r="BI139" s="258">
        <f t="shared" si="38"/>
        <v>776</v>
      </c>
      <c r="BJ139" s="258">
        <f t="shared" si="39"/>
        <v>689</v>
      </c>
      <c r="BK139" s="614">
        <f t="shared" si="32"/>
        <v>477</v>
      </c>
      <c r="BL139" s="354">
        <f t="shared" si="32"/>
        <v>0</v>
      </c>
    </row>
    <row r="140" spans="1:64" x14ac:dyDescent="0.2">
      <c r="A140" s="365" t="s">
        <v>730</v>
      </c>
      <c r="B140" s="257">
        <v>46</v>
      </c>
      <c r="C140" s="258">
        <v>43</v>
      </c>
      <c r="D140" s="258">
        <v>39</v>
      </c>
      <c r="E140" s="258">
        <v>41</v>
      </c>
      <c r="F140" s="258">
        <v>51</v>
      </c>
      <c r="G140" s="258">
        <v>28</v>
      </c>
      <c r="H140" s="258">
        <v>59</v>
      </c>
      <c r="I140" s="614">
        <v>26</v>
      </c>
      <c r="J140" s="354"/>
      <c r="K140" s="257">
        <v>101</v>
      </c>
      <c r="L140" s="258">
        <v>99</v>
      </c>
      <c r="M140" s="258">
        <v>134</v>
      </c>
      <c r="N140" s="258">
        <v>107</v>
      </c>
      <c r="O140" s="258">
        <v>114</v>
      </c>
      <c r="P140" s="258">
        <v>92</v>
      </c>
      <c r="Q140" s="258">
        <v>80</v>
      </c>
      <c r="R140" s="614">
        <v>64</v>
      </c>
      <c r="S140" s="354"/>
      <c r="T140" s="257">
        <v>251</v>
      </c>
      <c r="U140" s="258">
        <v>238</v>
      </c>
      <c r="V140" s="258">
        <v>197</v>
      </c>
      <c r="W140" s="258">
        <v>256</v>
      </c>
      <c r="X140" s="258">
        <v>298</v>
      </c>
      <c r="Y140" s="258">
        <v>147</v>
      </c>
      <c r="Z140" s="258">
        <v>177</v>
      </c>
      <c r="AA140" s="614">
        <v>120</v>
      </c>
      <c r="AB140" s="354"/>
      <c r="AC140" s="257">
        <v>2025</v>
      </c>
      <c r="AD140" s="258">
        <v>1772</v>
      </c>
      <c r="AE140" s="258">
        <v>1495</v>
      </c>
      <c r="AF140" s="258">
        <v>1700</v>
      </c>
      <c r="AG140" s="258">
        <v>1207</v>
      </c>
      <c r="AH140" s="258">
        <v>999</v>
      </c>
      <c r="AI140" s="258">
        <v>920</v>
      </c>
      <c r="AJ140" s="614">
        <v>695</v>
      </c>
      <c r="AK140" s="354"/>
      <c r="AL140" s="257">
        <v>677</v>
      </c>
      <c r="AM140" s="258">
        <v>621</v>
      </c>
      <c r="AN140" s="258">
        <v>580</v>
      </c>
      <c r="AO140" s="258">
        <v>810</v>
      </c>
      <c r="AP140" s="258">
        <v>505</v>
      </c>
      <c r="AQ140" s="258">
        <v>446</v>
      </c>
      <c r="AR140" s="258">
        <v>315</v>
      </c>
      <c r="AS140" s="614">
        <v>259</v>
      </c>
      <c r="AT140" s="354"/>
      <c r="AU140" s="257"/>
      <c r="AV140" s="258"/>
      <c r="AW140" s="258"/>
      <c r="AX140" s="258"/>
      <c r="AY140" s="258"/>
      <c r="AZ140" s="258"/>
      <c r="BA140" s="258"/>
      <c r="BB140" s="614"/>
      <c r="BC140" s="354"/>
      <c r="BD140" s="257">
        <f t="shared" si="33"/>
        <v>3100</v>
      </c>
      <c r="BE140" s="258">
        <f t="shared" si="34"/>
        <v>2773</v>
      </c>
      <c r="BF140" s="258">
        <f t="shared" si="35"/>
        <v>2445</v>
      </c>
      <c r="BG140" s="258">
        <f t="shared" si="36"/>
        <v>2914</v>
      </c>
      <c r="BH140" s="258">
        <f t="shared" si="37"/>
        <v>2175</v>
      </c>
      <c r="BI140" s="258">
        <f t="shared" si="38"/>
        <v>1712</v>
      </c>
      <c r="BJ140" s="258">
        <f t="shared" si="39"/>
        <v>1551</v>
      </c>
      <c r="BK140" s="614">
        <f t="shared" si="32"/>
        <v>1164</v>
      </c>
      <c r="BL140" s="354">
        <f t="shared" si="32"/>
        <v>0</v>
      </c>
    </row>
    <row r="141" spans="1:64" x14ac:dyDescent="0.2">
      <c r="A141" s="365" t="s">
        <v>624</v>
      </c>
      <c r="B141" s="257">
        <v>6</v>
      </c>
      <c r="C141" s="258">
        <v>17</v>
      </c>
      <c r="D141" s="258">
        <v>19</v>
      </c>
      <c r="E141" s="258">
        <v>29</v>
      </c>
      <c r="F141" s="258">
        <v>14</v>
      </c>
      <c r="G141" s="258">
        <v>13</v>
      </c>
      <c r="H141" s="258">
        <v>20</v>
      </c>
      <c r="I141" s="614">
        <v>17</v>
      </c>
      <c r="J141" s="354"/>
      <c r="K141" s="257">
        <v>31</v>
      </c>
      <c r="L141" s="258">
        <v>29</v>
      </c>
      <c r="M141" s="258">
        <v>22</v>
      </c>
      <c r="N141" s="258">
        <v>36</v>
      </c>
      <c r="O141" s="258">
        <v>20</v>
      </c>
      <c r="P141" s="258">
        <v>20</v>
      </c>
      <c r="Q141" s="258">
        <v>27</v>
      </c>
      <c r="R141" s="614">
        <v>24</v>
      </c>
      <c r="S141" s="354"/>
      <c r="T141" s="257">
        <v>85</v>
      </c>
      <c r="U141" s="258">
        <v>71</v>
      </c>
      <c r="V141" s="258">
        <v>79</v>
      </c>
      <c r="W141" s="258">
        <v>96</v>
      </c>
      <c r="X141" s="258">
        <v>79</v>
      </c>
      <c r="Y141" s="258">
        <v>75</v>
      </c>
      <c r="Z141" s="258">
        <v>85</v>
      </c>
      <c r="AA141" s="614">
        <v>65</v>
      </c>
      <c r="AB141" s="354"/>
      <c r="AC141" s="257">
        <v>1048</v>
      </c>
      <c r="AD141" s="258">
        <v>1181</v>
      </c>
      <c r="AE141" s="258">
        <v>1082</v>
      </c>
      <c r="AF141" s="258">
        <v>899</v>
      </c>
      <c r="AG141" s="258">
        <v>579</v>
      </c>
      <c r="AH141" s="258">
        <v>575</v>
      </c>
      <c r="AI141" s="258">
        <v>531</v>
      </c>
      <c r="AJ141" s="614">
        <v>455</v>
      </c>
      <c r="AK141" s="354"/>
      <c r="AL141" s="257">
        <v>460</v>
      </c>
      <c r="AM141" s="258">
        <v>742</v>
      </c>
      <c r="AN141" s="258">
        <v>619</v>
      </c>
      <c r="AO141" s="258">
        <v>476</v>
      </c>
      <c r="AP141" s="258">
        <v>339</v>
      </c>
      <c r="AQ141" s="258">
        <v>249</v>
      </c>
      <c r="AR141" s="258">
        <v>183</v>
      </c>
      <c r="AS141" s="614">
        <v>263</v>
      </c>
      <c r="AT141" s="354"/>
      <c r="AU141" s="257"/>
      <c r="AV141" s="258"/>
      <c r="AW141" s="258"/>
      <c r="AX141" s="258"/>
      <c r="AY141" s="258"/>
      <c r="AZ141" s="258"/>
      <c r="BA141" s="258"/>
      <c r="BB141" s="614"/>
      <c r="BC141" s="354"/>
      <c r="BD141" s="257">
        <f t="shared" si="33"/>
        <v>1630</v>
      </c>
      <c r="BE141" s="258">
        <f t="shared" si="34"/>
        <v>2040</v>
      </c>
      <c r="BF141" s="258">
        <f t="shared" si="35"/>
        <v>1821</v>
      </c>
      <c r="BG141" s="258">
        <f t="shared" si="36"/>
        <v>1536</v>
      </c>
      <c r="BH141" s="258">
        <f t="shared" si="37"/>
        <v>1031</v>
      </c>
      <c r="BI141" s="258">
        <f t="shared" si="38"/>
        <v>932</v>
      </c>
      <c r="BJ141" s="258">
        <f t="shared" si="39"/>
        <v>846</v>
      </c>
      <c r="BK141" s="614">
        <f t="shared" si="32"/>
        <v>824</v>
      </c>
      <c r="BL141" s="354">
        <f t="shared" si="32"/>
        <v>0</v>
      </c>
    </row>
    <row r="142" spans="1:64" x14ac:dyDescent="0.2">
      <c r="A142" s="365" t="s">
        <v>733</v>
      </c>
      <c r="B142" s="257">
        <v>37</v>
      </c>
      <c r="C142" s="258">
        <v>45</v>
      </c>
      <c r="D142" s="258">
        <v>36</v>
      </c>
      <c r="E142" s="258">
        <v>27</v>
      </c>
      <c r="F142" s="258">
        <v>29</v>
      </c>
      <c r="G142" s="258">
        <v>17</v>
      </c>
      <c r="H142" s="258">
        <v>35</v>
      </c>
      <c r="I142" s="614">
        <v>10</v>
      </c>
      <c r="J142" s="354"/>
      <c r="K142" s="257">
        <v>47</v>
      </c>
      <c r="L142" s="258">
        <v>49</v>
      </c>
      <c r="M142" s="258">
        <v>41</v>
      </c>
      <c r="N142" s="258">
        <v>38</v>
      </c>
      <c r="O142" s="258">
        <v>49</v>
      </c>
      <c r="P142" s="258">
        <v>29</v>
      </c>
      <c r="Q142" s="258">
        <v>22</v>
      </c>
      <c r="R142" s="614">
        <v>20</v>
      </c>
      <c r="S142" s="354"/>
      <c r="T142" s="257">
        <v>82</v>
      </c>
      <c r="U142" s="258">
        <v>110</v>
      </c>
      <c r="V142" s="258">
        <v>93</v>
      </c>
      <c r="W142" s="258">
        <v>67</v>
      </c>
      <c r="X142" s="258">
        <v>74</v>
      </c>
      <c r="Y142" s="258">
        <v>74</v>
      </c>
      <c r="Z142" s="258">
        <v>53</v>
      </c>
      <c r="AA142" s="614">
        <v>41</v>
      </c>
      <c r="AB142" s="354"/>
      <c r="AC142" s="257">
        <v>800</v>
      </c>
      <c r="AD142" s="258">
        <v>689</v>
      </c>
      <c r="AE142" s="258">
        <v>626</v>
      </c>
      <c r="AF142" s="258">
        <v>529</v>
      </c>
      <c r="AG142" s="258">
        <v>454</v>
      </c>
      <c r="AH142" s="258">
        <v>389</v>
      </c>
      <c r="AI142" s="258">
        <v>250</v>
      </c>
      <c r="AJ142" s="614">
        <v>252</v>
      </c>
      <c r="AK142" s="354"/>
      <c r="AL142" s="257">
        <v>226</v>
      </c>
      <c r="AM142" s="258">
        <v>214</v>
      </c>
      <c r="AN142" s="258">
        <v>222</v>
      </c>
      <c r="AO142" s="258">
        <v>210</v>
      </c>
      <c r="AP142" s="258">
        <v>197</v>
      </c>
      <c r="AQ142" s="258">
        <v>144</v>
      </c>
      <c r="AR142" s="258">
        <v>68</v>
      </c>
      <c r="AS142" s="614">
        <v>73</v>
      </c>
      <c r="AT142" s="354"/>
      <c r="AU142" s="257"/>
      <c r="AV142" s="258"/>
      <c r="AW142" s="258"/>
      <c r="AX142" s="258"/>
      <c r="AY142" s="258"/>
      <c r="AZ142" s="258"/>
      <c r="BA142" s="258"/>
      <c r="BB142" s="614"/>
      <c r="BC142" s="354"/>
      <c r="BD142" s="257">
        <f t="shared" si="33"/>
        <v>1192</v>
      </c>
      <c r="BE142" s="258">
        <f t="shared" si="34"/>
        <v>1107</v>
      </c>
      <c r="BF142" s="258">
        <f t="shared" si="35"/>
        <v>1018</v>
      </c>
      <c r="BG142" s="258">
        <f t="shared" si="36"/>
        <v>871</v>
      </c>
      <c r="BH142" s="258">
        <f t="shared" si="37"/>
        <v>803</v>
      </c>
      <c r="BI142" s="258">
        <f t="shared" si="38"/>
        <v>653</v>
      </c>
      <c r="BJ142" s="258">
        <f t="shared" si="39"/>
        <v>428</v>
      </c>
      <c r="BK142" s="614">
        <f t="shared" si="32"/>
        <v>396</v>
      </c>
      <c r="BL142" s="354">
        <f t="shared" si="32"/>
        <v>0</v>
      </c>
    </row>
    <row r="143" spans="1:64" x14ac:dyDescent="0.2">
      <c r="A143" s="365" t="s">
        <v>734</v>
      </c>
      <c r="B143" s="257">
        <v>44</v>
      </c>
      <c r="C143" s="258">
        <v>24</v>
      </c>
      <c r="D143" s="258">
        <v>10</v>
      </c>
      <c r="E143" s="258">
        <v>29</v>
      </c>
      <c r="F143" s="258">
        <v>25</v>
      </c>
      <c r="G143" s="258">
        <v>28</v>
      </c>
      <c r="H143" s="258">
        <v>40</v>
      </c>
      <c r="I143" s="614">
        <v>22</v>
      </c>
      <c r="J143" s="354"/>
      <c r="K143" s="257">
        <v>114</v>
      </c>
      <c r="L143" s="258">
        <v>102</v>
      </c>
      <c r="M143" s="258">
        <v>128</v>
      </c>
      <c r="N143" s="258">
        <v>136</v>
      </c>
      <c r="O143" s="258">
        <v>99</v>
      </c>
      <c r="P143" s="258">
        <v>125</v>
      </c>
      <c r="Q143" s="258">
        <v>48</v>
      </c>
      <c r="R143" s="614">
        <v>50</v>
      </c>
      <c r="S143" s="354"/>
      <c r="T143" s="257">
        <v>639</v>
      </c>
      <c r="U143" s="258">
        <v>605</v>
      </c>
      <c r="V143" s="258">
        <v>749</v>
      </c>
      <c r="W143" s="258">
        <v>650</v>
      </c>
      <c r="X143" s="258">
        <v>537</v>
      </c>
      <c r="Y143" s="258">
        <v>483</v>
      </c>
      <c r="Z143" s="258">
        <v>371</v>
      </c>
      <c r="AA143" s="614">
        <v>287</v>
      </c>
      <c r="AB143" s="354"/>
      <c r="AC143" s="257">
        <v>2068</v>
      </c>
      <c r="AD143" s="258">
        <v>1928</v>
      </c>
      <c r="AE143" s="258">
        <v>2069</v>
      </c>
      <c r="AF143" s="258">
        <v>1906</v>
      </c>
      <c r="AG143" s="258">
        <v>1613</v>
      </c>
      <c r="AH143" s="258">
        <v>1174</v>
      </c>
      <c r="AI143" s="258">
        <v>1199</v>
      </c>
      <c r="AJ143" s="614">
        <v>875</v>
      </c>
      <c r="AK143" s="354"/>
      <c r="AL143" s="257">
        <v>542</v>
      </c>
      <c r="AM143" s="258">
        <v>573</v>
      </c>
      <c r="AN143" s="258">
        <v>578</v>
      </c>
      <c r="AO143" s="258">
        <v>615</v>
      </c>
      <c r="AP143" s="258">
        <v>465</v>
      </c>
      <c r="AQ143" s="258">
        <v>304</v>
      </c>
      <c r="AR143" s="258">
        <v>229</v>
      </c>
      <c r="AS143" s="614">
        <v>252</v>
      </c>
      <c r="AT143" s="354"/>
      <c r="AU143" s="257"/>
      <c r="AV143" s="258"/>
      <c r="AW143" s="258"/>
      <c r="AX143" s="258"/>
      <c r="AY143" s="258"/>
      <c r="AZ143" s="258"/>
      <c r="BA143" s="258"/>
      <c r="BB143" s="614"/>
      <c r="BC143" s="354"/>
      <c r="BD143" s="257">
        <f t="shared" si="33"/>
        <v>3407</v>
      </c>
      <c r="BE143" s="258">
        <f t="shared" si="34"/>
        <v>3232</v>
      </c>
      <c r="BF143" s="258">
        <f t="shared" si="35"/>
        <v>3534</v>
      </c>
      <c r="BG143" s="258">
        <f t="shared" si="36"/>
        <v>3336</v>
      </c>
      <c r="BH143" s="258">
        <f t="shared" si="37"/>
        <v>2739</v>
      </c>
      <c r="BI143" s="258">
        <f t="shared" si="38"/>
        <v>2114</v>
      </c>
      <c r="BJ143" s="258">
        <f t="shared" si="39"/>
        <v>1887</v>
      </c>
      <c r="BK143" s="614">
        <f t="shared" si="32"/>
        <v>1486</v>
      </c>
      <c r="BL143" s="354">
        <f t="shared" si="32"/>
        <v>0</v>
      </c>
    </row>
    <row r="144" spans="1:64" ht="13.5" thickBot="1" x14ac:dyDescent="0.25">
      <c r="A144" s="366" t="s">
        <v>821</v>
      </c>
      <c r="B144" s="361">
        <v>2</v>
      </c>
      <c r="C144" s="362">
        <v>13</v>
      </c>
      <c r="D144" s="362">
        <v>2</v>
      </c>
      <c r="E144" s="362">
        <v>15</v>
      </c>
      <c r="F144" s="362">
        <v>9</v>
      </c>
      <c r="G144" s="362">
        <v>9</v>
      </c>
      <c r="H144" s="362">
        <v>3</v>
      </c>
      <c r="I144" s="615">
        <v>14</v>
      </c>
      <c r="J144" s="363"/>
      <c r="K144" s="361">
        <v>1</v>
      </c>
      <c r="L144" s="362">
        <v>6</v>
      </c>
      <c r="M144" s="362">
        <v>1</v>
      </c>
      <c r="N144" s="362">
        <v>4</v>
      </c>
      <c r="O144" s="362">
        <v>47</v>
      </c>
      <c r="P144" s="362">
        <v>35</v>
      </c>
      <c r="Q144" s="362"/>
      <c r="R144" s="615">
        <v>8</v>
      </c>
      <c r="S144" s="363"/>
      <c r="T144" s="361">
        <v>7</v>
      </c>
      <c r="U144" s="362">
        <v>7</v>
      </c>
      <c r="V144" s="362">
        <v>12</v>
      </c>
      <c r="W144" s="362">
        <v>12</v>
      </c>
      <c r="X144" s="362">
        <v>200</v>
      </c>
      <c r="Y144" s="362">
        <v>8</v>
      </c>
      <c r="Z144" s="362">
        <v>13</v>
      </c>
      <c r="AA144" s="615">
        <v>12</v>
      </c>
      <c r="AB144" s="363"/>
      <c r="AC144" s="361">
        <v>69</v>
      </c>
      <c r="AD144" s="362">
        <v>69</v>
      </c>
      <c r="AE144" s="362">
        <v>51</v>
      </c>
      <c r="AF144" s="362">
        <v>78</v>
      </c>
      <c r="AG144" s="362">
        <v>491</v>
      </c>
      <c r="AH144" s="362">
        <v>52</v>
      </c>
      <c r="AI144" s="362">
        <v>58</v>
      </c>
      <c r="AJ144" s="615">
        <v>46</v>
      </c>
      <c r="AK144" s="363"/>
      <c r="AL144" s="361">
        <v>21</v>
      </c>
      <c r="AM144" s="362">
        <v>28</v>
      </c>
      <c r="AN144" s="362">
        <v>12</v>
      </c>
      <c r="AO144" s="362">
        <v>13</v>
      </c>
      <c r="AP144" s="362">
        <v>19</v>
      </c>
      <c r="AQ144" s="362">
        <v>20</v>
      </c>
      <c r="AR144" s="362">
        <v>13</v>
      </c>
      <c r="AS144" s="615">
        <v>16</v>
      </c>
      <c r="AT144" s="363"/>
      <c r="AU144" s="361"/>
      <c r="AV144" s="362"/>
      <c r="AW144" s="362"/>
      <c r="AX144" s="362"/>
      <c r="AY144" s="362"/>
      <c r="AZ144" s="362"/>
      <c r="BA144" s="362"/>
      <c r="BB144" s="615"/>
      <c r="BC144" s="363"/>
      <c r="BD144" s="361">
        <f t="shared" si="33"/>
        <v>100</v>
      </c>
      <c r="BE144" s="362">
        <f t="shared" si="34"/>
        <v>123</v>
      </c>
      <c r="BF144" s="362">
        <f t="shared" si="35"/>
        <v>78</v>
      </c>
      <c r="BG144" s="362">
        <f t="shared" si="36"/>
        <v>122</v>
      </c>
      <c r="BH144" s="362">
        <f t="shared" si="37"/>
        <v>766</v>
      </c>
      <c r="BI144" s="362">
        <f t="shared" si="38"/>
        <v>124</v>
      </c>
      <c r="BJ144" s="362">
        <f t="shared" si="39"/>
        <v>87</v>
      </c>
      <c r="BK144" s="615">
        <f t="shared" si="32"/>
        <v>96</v>
      </c>
      <c r="BL144" s="363">
        <f t="shared" si="32"/>
        <v>0</v>
      </c>
    </row>
    <row r="145" spans="1:64" s="259" customFormat="1" x14ac:dyDescent="0.2">
      <c r="A145" s="364" t="s">
        <v>790</v>
      </c>
      <c r="B145" s="781">
        <v>396</v>
      </c>
      <c r="C145" s="782">
        <v>448</v>
      </c>
      <c r="D145" s="782">
        <v>426</v>
      </c>
      <c r="E145" s="782">
        <v>508</v>
      </c>
      <c r="F145" s="782">
        <v>411</v>
      </c>
      <c r="G145" s="782">
        <v>378</v>
      </c>
      <c r="H145" s="782">
        <v>388</v>
      </c>
      <c r="I145" s="783">
        <v>388</v>
      </c>
      <c r="J145" s="784"/>
      <c r="K145" s="781">
        <v>602</v>
      </c>
      <c r="L145" s="782">
        <v>653</v>
      </c>
      <c r="M145" s="782">
        <v>735</v>
      </c>
      <c r="N145" s="782">
        <v>885</v>
      </c>
      <c r="O145" s="782">
        <v>634</v>
      </c>
      <c r="P145" s="782">
        <v>607</v>
      </c>
      <c r="Q145" s="782">
        <v>540</v>
      </c>
      <c r="R145" s="783">
        <v>437</v>
      </c>
      <c r="S145" s="784"/>
      <c r="T145" s="781">
        <v>1146</v>
      </c>
      <c r="U145" s="782">
        <v>1153</v>
      </c>
      <c r="V145" s="782">
        <v>1117</v>
      </c>
      <c r="W145" s="782">
        <v>1246</v>
      </c>
      <c r="X145" s="782">
        <v>1184</v>
      </c>
      <c r="Y145" s="782">
        <v>1150</v>
      </c>
      <c r="Z145" s="782">
        <v>896</v>
      </c>
      <c r="AA145" s="783">
        <v>855</v>
      </c>
      <c r="AB145" s="784"/>
      <c r="AC145" s="781">
        <v>7970</v>
      </c>
      <c r="AD145" s="782">
        <v>7098</v>
      </c>
      <c r="AE145" s="782">
        <v>7396</v>
      </c>
      <c r="AF145" s="782">
        <v>7678</v>
      </c>
      <c r="AG145" s="782">
        <v>7084</v>
      </c>
      <c r="AH145" s="782">
        <v>6553</v>
      </c>
      <c r="AI145" s="782">
        <v>4890</v>
      </c>
      <c r="AJ145" s="783">
        <v>4758</v>
      </c>
      <c r="AK145" s="784"/>
      <c r="AL145" s="781">
        <v>1982</v>
      </c>
      <c r="AM145" s="782">
        <v>2078</v>
      </c>
      <c r="AN145" s="782">
        <v>2132</v>
      </c>
      <c r="AO145" s="782">
        <v>2196</v>
      </c>
      <c r="AP145" s="782">
        <v>1763</v>
      </c>
      <c r="AQ145" s="782">
        <v>1879</v>
      </c>
      <c r="AR145" s="782">
        <v>1411</v>
      </c>
      <c r="AS145" s="783">
        <v>1435</v>
      </c>
      <c r="AT145" s="784"/>
      <c r="AU145" s="781"/>
      <c r="AV145" s="782"/>
      <c r="AW145" s="782"/>
      <c r="AX145" s="782"/>
      <c r="AY145" s="782"/>
      <c r="AZ145" s="782"/>
      <c r="BA145" s="782"/>
      <c r="BB145" s="783"/>
      <c r="BC145" s="784"/>
      <c r="BD145" s="781">
        <f t="shared" si="33"/>
        <v>12096</v>
      </c>
      <c r="BE145" s="782">
        <f t="shared" si="34"/>
        <v>11430</v>
      </c>
      <c r="BF145" s="782">
        <f t="shared" si="35"/>
        <v>11806</v>
      </c>
      <c r="BG145" s="782">
        <f t="shared" si="36"/>
        <v>12513</v>
      </c>
      <c r="BH145" s="782">
        <f t="shared" si="37"/>
        <v>11076</v>
      </c>
      <c r="BI145" s="782">
        <f t="shared" si="38"/>
        <v>10567</v>
      </c>
      <c r="BJ145" s="782">
        <f t="shared" si="39"/>
        <v>8125</v>
      </c>
      <c r="BK145" s="783">
        <f t="shared" si="32"/>
        <v>7873</v>
      </c>
      <c r="BL145" s="784">
        <f t="shared" si="32"/>
        <v>0</v>
      </c>
    </row>
    <row r="146" spans="1:64" x14ac:dyDescent="0.2">
      <c r="A146" s="365" t="s">
        <v>736</v>
      </c>
      <c r="B146" s="257">
        <v>20</v>
      </c>
      <c r="C146" s="258">
        <v>40</v>
      </c>
      <c r="D146" s="258">
        <v>32</v>
      </c>
      <c r="E146" s="258">
        <v>37</v>
      </c>
      <c r="F146" s="258">
        <v>37</v>
      </c>
      <c r="G146" s="258">
        <v>36</v>
      </c>
      <c r="H146" s="258">
        <v>44</v>
      </c>
      <c r="I146" s="614">
        <v>32</v>
      </c>
      <c r="J146" s="354"/>
      <c r="K146" s="257">
        <v>34</v>
      </c>
      <c r="L146" s="258">
        <v>19</v>
      </c>
      <c r="M146" s="258">
        <v>39</v>
      </c>
      <c r="N146" s="258">
        <v>36</v>
      </c>
      <c r="O146" s="258">
        <v>33</v>
      </c>
      <c r="P146" s="258">
        <v>45</v>
      </c>
      <c r="Q146" s="258">
        <v>64</v>
      </c>
      <c r="R146" s="614">
        <v>20</v>
      </c>
      <c r="S146" s="354"/>
      <c r="T146" s="257">
        <v>70</v>
      </c>
      <c r="U146" s="258">
        <v>56</v>
      </c>
      <c r="V146" s="258">
        <v>73</v>
      </c>
      <c r="W146" s="258">
        <v>87</v>
      </c>
      <c r="X146" s="258">
        <v>57</v>
      </c>
      <c r="Y146" s="258">
        <v>46</v>
      </c>
      <c r="Z146" s="258">
        <v>79</v>
      </c>
      <c r="AA146" s="614">
        <v>47</v>
      </c>
      <c r="AB146" s="354"/>
      <c r="AC146" s="257">
        <v>432</v>
      </c>
      <c r="AD146" s="258">
        <v>313</v>
      </c>
      <c r="AE146" s="258">
        <v>353</v>
      </c>
      <c r="AF146" s="258">
        <v>429</v>
      </c>
      <c r="AG146" s="258">
        <v>311</v>
      </c>
      <c r="AH146" s="258">
        <v>348</v>
      </c>
      <c r="AI146" s="258">
        <v>310</v>
      </c>
      <c r="AJ146" s="614">
        <v>292</v>
      </c>
      <c r="AK146" s="354"/>
      <c r="AL146" s="257">
        <v>76</v>
      </c>
      <c r="AM146" s="258">
        <v>105</v>
      </c>
      <c r="AN146" s="258">
        <v>71</v>
      </c>
      <c r="AO146" s="258">
        <v>98</v>
      </c>
      <c r="AP146" s="258">
        <v>89</v>
      </c>
      <c r="AQ146" s="258">
        <v>91</v>
      </c>
      <c r="AR146" s="258">
        <v>76</v>
      </c>
      <c r="AS146" s="614">
        <v>91</v>
      </c>
      <c r="AT146" s="354"/>
      <c r="AU146" s="257"/>
      <c r="AV146" s="258"/>
      <c r="AW146" s="258"/>
      <c r="AX146" s="258"/>
      <c r="AY146" s="258"/>
      <c r="AZ146" s="258"/>
      <c r="BA146" s="258"/>
      <c r="BB146" s="614"/>
      <c r="BC146" s="354"/>
      <c r="BD146" s="257">
        <f t="shared" si="33"/>
        <v>632</v>
      </c>
      <c r="BE146" s="258">
        <f t="shared" si="34"/>
        <v>533</v>
      </c>
      <c r="BF146" s="258">
        <f t="shared" si="35"/>
        <v>568</v>
      </c>
      <c r="BG146" s="258">
        <f t="shared" si="36"/>
        <v>687</v>
      </c>
      <c r="BH146" s="258">
        <f t="shared" si="37"/>
        <v>527</v>
      </c>
      <c r="BI146" s="258">
        <f t="shared" si="38"/>
        <v>566</v>
      </c>
      <c r="BJ146" s="258">
        <f t="shared" si="39"/>
        <v>573</v>
      </c>
      <c r="BK146" s="614">
        <f t="shared" si="32"/>
        <v>482</v>
      </c>
      <c r="BL146" s="354">
        <f t="shared" si="32"/>
        <v>0</v>
      </c>
    </row>
    <row r="147" spans="1:64" x14ac:dyDescent="0.2">
      <c r="A147" s="365" t="s">
        <v>737</v>
      </c>
      <c r="B147" s="257">
        <v>14</v>
      </c>
      <c r="C147" s="258">
        <v>76</v>
      </c>
      <c r="D147" s="258">
        <v>48</v>
      </c>
      <c r="E147" s="258">
        <v>45</v>
      </c>
      <c r="F147" s="258">
        <v>58</v>
      </c>
      <c r="G147" s="258">
        <v>35</v>
      </c>
      <c r="H147" s="258">
        <v>30</v>
      </c>
      <c r="I147" s="614">
        <v>31</v>
      </c>
      <c r="J147" s="354"/>
      <c r="K147" s="257">
        <v>55</v>
      </c>
      <c r="L147" s="258">
        <v>59</v>
      </c>
      <c r="M147" s="258">
        <v>78</v>
      </c>
      <c r="N147" s="258">
        <v>75</v>
      </c>
      <c r="O147" s="258">
        <v>67</v>
      </c>
      <c r="P147" s="258">
        <v>61</v>
      </c>
      <c r="Q147" s="258">
        <v>35</v>
      </c>
      <c r="R147" s="614">
        <v>15</v>
      </c>
      <c r="S147" s="354"/>
      <c r="T147" s="257">
        <v>94</v>
      </c>
      <c r="U147" s="258">
        <v>105</v>
      </c>
      <c r="V147" s="258">
        <v>73</v>
      </c>
      <c r="W147" s="258">
        <v>86</v>
      </c>
      <c r="X147" s="258">
        <v>83</v>
      </c>
      <c r="Y147" s="258">
        <v>92</v>
      </c>
      <c r="Z147" s="258">
        <v>58</v>
      </c>
      <c r="AA147" s="614">
        <v>39</v>
      </c>
      <c r="AB147" s="354"/>
      <c r="AC147" s="257">
        <v>582</v>
      </c>
      <c r="AD147" s="258">
        <v>761</v>
      </c>
      <c r="AE147" s="258">
        <v>579</v>
      </c>
      <c r="AF147" s="258">
        <v>599</v>
      </c>
      <c r="AG147" s="258">
        <v>537</v>
      </c>
      <c r="AH147" s="258">
        <v>452</v>
      </c>
      <c r="AI147" s="258">
        <v>339</v>
      </c>
      <c r="AJ147" s="614">
        <v>341</v>
      </c>
      <c r="AK147" s="354"/>
      <c r="AL147" s="257">
        <v>199</v>
      </c>
      <c r="AM147" s="258">
        <v>187</v>
      </c>
      <c r="AN147" s="258">
        <v>157</v>
      </c>
      <c r="AO147" s="258">
        <v>163</v>
      </c>
      <c r="AP147" s="258">
        <v>114</v>
      </c>
      <c r="AQ147" s="258">
        <v>118</v>
      </c>
      <c r="AR147" s="258">
        <v>73</v>
      </c>
      <c r="AS147" s="614">
        <v>85</v>
      </c>
      <c r="AT147" s="354"/>
      <c r="AU147" s="257"/>
      <c r="AV147" s="258"/>
      <c r="AW147" s="258"/>
      <c r="AX147" s="258"/>
      <c r="AY147" s="258"/>
      <c r="AZ147" s="258"/>
      <c r="BA147" s="258"/>
      <c r="BB147" s="614"/>
      <c r="BC147" s="354"/>
      <c r="BD147" s="257">
        <f t="shared" si="33"/>
        <v>944</v>
      </c>
      <c r="BE147" s="258">
        <f t="shared" si="34"/>
        <v>1188</v>
      </c>
      <c r="BF147" s="258">
        <f t="shared" si="35"/>
        <v>935</v>
      </c>
      <c r="BG147" s="258">
        <f t="shared" si="36"/>
        <v>968</v>
      </c>
      <c r="BH147" s="258">
        <f t="shared" si="37"/>
        <v>859</v>
      </c>
      <c r="BI147" s="258">
        <f t="shared" si="38"/>
        <v>758</v>
      </c>
      <c r="BJ147" s="258">
        <f t="shared" si="39"/>
        <v>535</v>
      </c>
      <c r="BK147" s="614">
        <f t="shared" si="32"/>
        <v>511</v>
      </c>
      <c r="BL147" s="354">
        <f t="shared" si="32"/>
        <v>0</v>
      </c>
    </row>
    <row r="148" spans="1:64" x14ac:dyDescent="0.2">
      <c r="A148" s="365" t="s">
        <v>738</v>
      </c>
      <c r="B148" s="257">
        <v>70</v>
      </c>
      <c r="C148" s="258">
        <v>73</v>
      </c>
      <c r="D148" s="258">
        <v>81</v>
      </c>
      <c r="E148" s="258">
        <v>69</v>
      </c>
      <c r="F148" s="258">
        <v>50</v>
      </c>
      <c r="G148" s="258">
        <v>72</v>
      </c>
      <c r="H148" s="258">
        <v>35</v>
      </c>
      <c r="I148" s="614">
        <v>26</v>
      </c>
      <c r="J148" s="354"/>
      <c r="K148" s="257">
        <v>90</v>
      </c>
      <c r="L148" s="258">
        <v>112</v>
      </c>
      <c r="M148" s="258">
        <v>127</v>
      </c>
      <c r="N148" s="258">
        <v>75</v>
      </c>
      <c r="O148" s="258">
        <v>65</v>
      </c>
      <c r="P148" s="258">
        <v>71</v>
      </c>
      <c r="Q148" s="258">
        <v>77</v>
      </c>
      <c r="R148" s="614">
        <v>63</v>
      </c>
      <c r="S148" s="354"/>
      <c r="T148" s="257">
        <v>122</v>
      </c>
      <c r="U148" s="258">
        <v>127</v>
      </c>
      <c r="V148" s="258">
        <v>156</v>
      </c>
      <c r="W148" s="258">
        <v>139</v>
      </c>
      <c r="X148" s="258">
        <v>154</v>
      </c>
      <c r="Y148" s="258">
        <v>187</v>
      </c>
      <c r="Z148" s="258">
        <v>123</v>
      </c>
      <c r="AA148" s="614">
        <v>113</v>
      </c>
      <c r="AB148" s="354"/>
      <c r="AC148" s="257">
        <v>923</v>
      </c>
      <c r="AD148" s="258">
        <v>893</v>
      </c>
      <c r="AE148" s="258">
        <v>977</v>
      </c>
      <c r="AF148" s="258">
        <v>962</v>
      </c>
      <c r="AG148" s="258">
        <v>917</v>
      </c>
      <c r="AH148" s="258">
        <v>924</v>
      </c>
      <c r="AI148" s="258">
        <v>789</v>
      </c>
      <c r="AJ148" s="614">
        <v>690</v>
      </c>
      <c r="AK148" s="354"/>
      <c r="AL148" s="257">
        <v>224</v>
      </c>
      <c r="AM148" s="258">
        <v>263</v>
      </c>
      <c r="AN148" s="258">
        <v>269</v>
      </c>
      <c r="AO148" s="258">
        <v>313</v>
      </c>
      <c r="AP148" s="258">
        <v>250</v>
      </c>
      <c r="AQ148" s="258">
        <v>236</v>
      </c>
      <c r="AR148" s="258">
        <v>203</v>
      </c>
      <c r="AS148" s="614">
        <v>181</v>
      </c>
      <c r="AT148" s="354"/>
      <c r="AU148" s="257"/>
      <c r="AV148" s="258"/>
      <c r="AW148" s="258"/>
      <c r="AX148" s="258"/>
      <c r="AY148" s="258"/>
      <c r="AZ148" s="258"/>
      <c r="BA148" s="258"/>
      <c r="BB148" s="614"/>
      <c r="BC148" s="354"/>
      <c r="BD148" s="257">
        <f t="shared" si="33"/>
        <v>1429</v>
      </c>
      <c r="BE148" s="258">
        <f t="shared" si="34"/>
        <v>1468</v>
      </c>
      <c r="BF148" s="258">
        <f t="shared" si="35"/>
        <v>1610</v>
      </c>
      <c r="BG148" s="258">
        <f t="shared" si="36"/>
        <v>1558</v>
      </c>
      <c r="BH148" s="258">
        <f t="shared" si="37"/>
        <v>1436</v>
      </c>
      <c r="BI148" s="258">
        <f t="shared" si="38"/>
        <v>1490</v>
      </c>
      <c r="BJ148" s="258">
        <f t="shared" si="39"/>
        <v>1227</v>
      </c>
      <c r="BK148" s="614">
        <f t="shared" si="32"/>
        <v>1073</v>
      </c>
      <c r="BL148" s="354">
        <f t="shared" si="32"/>
        <v>0</v>
      </c>
    </row>
    <row r="149" spans="1:64" x14ac:dyDescent="0.2">
      <c r="A149" s="365" t="s">
        <v>739</v>
      </c>
      <c r="B149" s="257">
        <v>68</v>
      </c>
      <c r="C149" s="258">
        <v>41</v>
      </c>
      <c r="D149" s="258">
        <v>58</v>
      </c>
      <c r="E149" s="258">
        <v>63</v>
      </c>
      <c r="F149" s="258">
        <v>50</v>
      </c>
      <c r="G149" s="258">
        <v>26</v>
      </c>
      <c r="H149" s="258">
        <v>46</v>
      </c>
      <c r="I149" s="614">
        <v>17</v>
      </c>
      <c r="J149" s="354"/>
      <c r="K149" s="257">
        <v>69</v>
      </c>
      <c r="L149" s="258">
        <v>55</v>
      </c>
      <c r="M149" s="258">
        <v>58</v>
      </c>
      <c r="N149" s="258">
        <v>55</v>
      </c>
      <c r="O149" s="258">
        <v>51</v>
      </c>
      <c r="P149" s="258">
        <v>43</v>
      </c>
      <c r="Q149" s="258">
        <v>45</v>
      </c>
      <c r="R149" s="614">
        <v>39</v>
      </c>
      <c r="S149" s="354"/>
      <c r="T149" s="257">
        <v>164</v>
      </c>
      <c r="U149" s="258">
        <v>98</v>
      </c>
      <c r="V149" s="258">
        <v>121</v>
      </c>
      <c r="W149" s="258">
        <v>113</v>
      </c>
      <c r="X149" s="258">
        <v>113</v>
      </c>
      <c r="Y149" s="258">
        <v>76</v>
      </c>
      <c r="Z149" s="258">
        <v>89</v>
      </c>
      <c r="AA149" s="614">
        <v>71</v>
      </c>
      <c r="AB149" s="354"/>
      <c r="AC149" s="257">
        <v>1192</v>
      </c>
      <c r="AD149" s="258">
        <v>856</v>
      </c>
      <c r="AE149" s="258">
        <v>967</v>
      </c>
      <c r="AF149" s="258">
        <v>709</v>
      </c>
      <c r="AG149" s="258">
        <v>686</v>
      </c>
      <c r="AH149" s="258">
        <v>609</v>
      </c>
      <c r="AI149" s="258">
        <v>440</v>
      </c>
      <c r="AJ149" s="614">
        <v>459</v>
      </c>
      <c r="AK149" s="354"/>
      <c r="AL149" s="257">
        <v>343</v>
      </c>
      <c r="AM149" s="258">
        <v>262</v>
      </c>
      <c r="AN149" s="258">
        <v>324</v>
      </c>
      <c r="AO149" s="258">
        <v>274</v>
      </c>
      <c r="AP149" s="258">
        <v>207</v>
      </c>
      <c r="AQ149" s="258">
        <v>173</v>
      </c>
      <c r="AR149" s="258">
        <v>139</v>
      </c>
      <c r="AS149" s="614">
        <v>155</v>
      </c>
      <c r="AT149" s="354"/>
      <c r="AU149" s="257"/>
      <c r="AV149" s="258"/>
      <c r="AW149" s="258"/>
      <c r="AX149" s="258"/>
      <c r="AY149" s="258"/>
      <c r="AZ149" s="258"/>
      <c r="BA149" s="258"/>
      <c r="BB149" s="614"/>
      <c r="BC149" s="354"/>
      <c r="BD149" s="257">
        <f t="shared" si="33"/>
        <v>1836</v>
      </c>
      <c r="BE149" s="258">
        <f t="shared" si="34"/>
        <v>1312</v>
      </c>
      <c r="BF149" s="258">
        <f t="shared" si="35"/>
        <v>1528</v>
      </c>
      <c r="BG149" s="258">
        <f t="shared" si="36"/>
        <v>1214</v>
      </c>
      <c r="BH149" s="258">
        <f t="shared" si="37"/>
        <v>1107</v>
      </c>
      <c r="BI149" s="258">
        <f t="shared" si="38"/>
        <v>927</v>
      </c>
      <c r="BJ149" s="258">
        <f t="shared" si="39"/>
        <v>759</v>
      </c>
      <c r="BK149" s="614">
        <f t="shared" si="32"/>
        <v>741</v>
      </c>
      <c r="BL149" s="354">
        <f t="shared" si="32"/>
        <v>0</v>
      </c>
    </row>
    <row r="150" spans="1:64" x14ac:dyDescent="0.2">
      <c r="A150" s="365" t="s">
        <v>775</v>
      </c>
      <c r="B150" s="257">
        <v>147</v>
      </c>
      <c r="C150" s="258">
        <v>126</v>
      </c>
      <c r="D150" s="258">
        <v>148</v>
      </c>
      <c r="E150" s="258">
        <v>186</v>
      </c>
      <c r="F150" s="258">
        <v>141</v>
      </c>
      <c r="G150" s="258">
        <v>128</v>
      </c>
      <c r="H150" s="258">
        <v>123</v>
      </c>
      <c r="I150" s="614">
        <v>188</v>
      </c>
      <c r="J150" s="354"/>
      <c r="K150" s="257">
        <v>236</v>
      </c>
      <c r="L150" s="258">
        <v>279</v>
      </c>
      <c r="M150" s="258">
        <v>343</v>
      </c>
      <c r="N150" s="258">
        <v>516</v>
      </c>
      <c r="O150" s="258">
        <v>288</v>
      </c>
      <c r="P150" s="258">
        <v>284</v>
      </c>
      <c r="Q150" s="258">
        <v>211</v>
      </c>
      <c r="R150" s="614">
        <v>190</v>
      </c>
      <c r="S150" s="354"/>
      <c r="T150" s="257">
        <v>477</v>
      </c>
      <c r="U150" s="258">
        <v>544</v>
      </c>
      <c r="V150" s="258">
        <v>504</v>
      </c>
      <c r="W150" s="258">
        <v>563</v>
      </c>
      <c r="X150" s="258">
        <v>577</v>
      </c>
      <c r="Y150" s="258">
        <v>536</v>
      </c>
      <c r="Z150" s="258">
        <v>417</v>
      </c>
      <c r="AA150" s="614">
        <v>415</v>
      </c>
      <c r="AB150" s="354"/>
      <c r="AC150" s="257">
        <v>3516</v>
      </c>
      <c r="AD150" s="258">
        <v>3028</v>
      </c>
      <c r="AE150" s="258">
        <v>3262</v>
      </c>
      <c r="AF150" s="258">
        <v>3572</v>
      </c>
      <c r="AG150" s="258">
        <v>2802</v>
      </c>
      <c r="AH150" s="258">
        <v>2646</v>
      </c>
      <c r="AI150" s="258">
        <v>2208</v>
      </c>
      <c r="AJ150" s="614">
        <v>2080</v>
      </c>
      <c r="AK150" s="354"/>
      <c r="AL150" s="257">
        <v>790</v>
      </c>
      <c r="AM150" s="258">
        <v>850</v>
      </c>
      <c r="AN150" s="258">
        <v>892</v>
      </c>
      <c r="AO150" s="258">
        <v>960</v>
      </c>
      <c r="AP150" s="258">
        <v>751</v>
      </c>
      <c r="AQ150" s="258">
        <v>760</v>
      </c>
      <c r="AR150" s="258">
        <v>675</v>
      </c>
      <c r="AS150" s="614">
        <v>669</v>
      </c>
      <c r="AT150" s="354"/>
      <c r="AU150" s="257"/>
      <c r="AV150" s="258"/>
      <c r="AW150" s="258"/>
      <c r="AX150" s="258"/>
      <c r="AY150" s="258"/>
      <c r="AZ150" s="258"/>
      <c r="BA150" s="258"/>
      <c r="BB150" s="614"/>
      <c r="BC150" s="354"/>
      <c r="BD150" s="257">
        <f t="shared" si="33"/>
        <v>5166</v>
      </c>
      <c r="BE150" s="258">
        <f t="shared" si="34"/>
        <v>4827</v>
      </c>
      <c r="BF150" s="258">
        <f t="shared" si="35"/>
        <v>5149</v>
      </c>
      <c r="BG150" s="258">
        <f t="shared" si="36"/>
        <v>5797</v>
      </c>
      <c r="BH150" s="258">
        <f t="shared" si="37"/>
        <v>4559</v>
      </c>
      <c r="BI150" s="258">
        <f t="shared" si="38"/>
        <v>4354</v>
      </c>
      <c r="BJ150" s="258">
        <f t="shared" si="39"/>
        <v>3634</v>
      </c>
      <c r="BK150" s="614">
        <f t="shared" si="32"/>
        <v>3542</v>
      </c>
      <c r="BL150" s="354">
        <f t="shared" si="32"/>
        <v>0</v>
      </c>
    </row>
    <row r="151" spans="1:64" x14ac:dyDescent="0.2">
      <c r="A151" s="365" t="s">
        <v>822</v>
      </c>
      <c r="B151" s="257">
        <v>16</v>
      </c>
      <c r="C151" s="258">
        <v>27</v>
      </c>
      <c r="D151" s="258">
        <v>6</v>
      </c>
      <c r="E151" s="258">
        <v>4</v>
      </c>
      <c r="F151" s="258">
        <v>20</v>
      </c>
      <c r="G151" s="258">
        <v>14</v>
      </c>
      <c r="H151" s="258">
        <v>16</v>
      </c>
      <c r="I151" s="614">
        <v>32</v>
      </c>
      <c r="J151" s="354"/>
      <c r="K151" s="257">
        <v>8</v>
      </c>
      <c r="L151" s="258">
        <v>14</v>
      </c>
      <c r="M151" s="258">
        <v>13</v>
      </c>
      <c r="N151" s="258">
        <v>10</v>
      </c>
      <c r="O151" s="258">
        <v>18</v>
      </c>
      <c r="P151" s="258">
        <v>4</v>
      </c>
      <c r="Q151" s="258">
        <v>6</v>
      </c>
      <c r="R151" s="614">
        <v>25</v>
      </c>
      <c r="S151" s="354"/>
      <c r="T151" s="257">
        <v>11</v>
      </c>
      <c r="U151" s="258">
        <v>8</v>
      </c>
      <c r="V151" s="258">
        <v>14</v>
      </c>
      <c r="W151" s="258">
        <v>8</v>
      </c>
      <c r="X151" s="258">
        <v>6</v>
      </c>
      <c r="Y151" s="258">
        <v>43</v>
      </c>
      <c r="Z151" s="258">
        <v>14</v>
      </c>
      <c r="AA151" s="614">
        <v>7</v>
      </c>
      <c r="AB151" s="354"/>
      <c r="AC151" s="257">
        <v>78</v>
      </c>
      <c r="AD151" s="258">
        <v>74</v>
      </c>
      <c r="AE151" s="258">
        <v>102</v>
      </c>
      <c r="AF151" s="258">
        <v>87</v>
      </c>
      <c r="AG151" s="258">
        <v>781</v>
      </c>
      <c r="AH151" s="258">
        <v>545</v>
      </c>
      <c r="AI151" s="258">
        <v>66</v>
      </c>
      <c r="AJ151" s="614">
        <v>127</v>
      </c>
      <c r="AK151" s="354"/>
      <c r="AL151" s="257">
        <v>21</v>
      </c>
      <c r="AM151" s="258">
        <v>18</v>
      </c>
      <c r="AN151" s="258">
        <v>20</v>
      </c>
      <c r="AO151" s="258">
        <v>22</v>
      </c>
      <c r="AP151" s="258">
        <v>27</v>
      </c>
      <c r="AQ151" s="258">
        <v>168</v>
      </c>
      <c r="AR151" s="258">
        <v>11</v>
      </c>
      <c r="AS151" s="614">
        <v>36</v>
      </c>
      <c r="AT151" s="354"/>
      <c r="AU151" s="257"/>
      <c r="AV151" s="258"/>
      <c r="AW151" s="258"/>
      <c r="AX151" s="258"/>
      <c r="AY151" s="258"/>
      <c r="AZ151" s="258"/>
      <c r="BA151" s="258"/>
      <c r="BB151" s="614"/>
      <c r="BC151" s="354"/>
      <c r="BD151" s="257">
        <f t="shared" si="33"/>
        <v>134</v>
      </c>
      <c r="BE151" s="258">
        <f t="shared" si="34"/>
        <v>141</v>
      </c>
      <c r="BF151" s="258">
        <f t="shared" si="35"/>
        <v>155</v>
      </c>
      <c r="BG151" s="258">
        <f t="shared" si="36"/>
        <v>131</v>
      </c>
      <c r="BH151" s="258">
        <f t="shared" si="37"/>
        <v>852</v>
      </c>
      <c r="BI151" s="258">
        <f t="shared" si="38"/>
        <v>774</v>
      </c>
      <c r="BJ151" s="258">
        <f t="shared" si="39"/>
        <v>113</v>
      </c>
      <c r="BK151" s="614">
        <f t="shared" si="32"/>
        <v>227</v>
      </c>
      <c r="BL151" s="354">
        <f t="shared" si="32"/>
        <v>0</v>
      </c>
    </row>
    <row r="152" spans="1:64" x14ac:dyDescent="0.2">
      <c r="A152" s="365" t="s">
        <v>625</v>
      </c>
      <c r="B152" s="257">
        <v>18</v>
      </c>
      <c r="C152" s="258">
        <v>17</v>
      </c>
      <c r="D152" s="258">
        <v>20</v>
      </c>
      <c r="E152" s="258">
        <v>24</v>
      </c>
      <c r="F152" s="258">
        <v>19</v>
      </c>
      <c r="G152" s="258">
        <v>23</v>
      </c>
      <c r="H152" s="258">
        <v>45</v>
      </c>
      <c r="I152" s="614">
        <v>21</v>
      </c>
      <c r="J152" s="354"/>
      <c r="K152" s="257">
        <v>29</v>
      </c>
      <c r="L152" s="258">
        <v>29</v>
      </c>
      <c r="M152" s="258">
        <v>31</v>
      </c>
      <c r="N152" s="258">
        <v>35</v>
      </c>
      <c r="O152" s="258">
        <v>39</v>
      </c>
      <c r="P152" s="258">
        <v>38</v>
      </c>
      <c r="Q152" s="258">
        <v>51</v>
      </c>
      <c r="R152" s="614">
        <v>46</v>
      </c>
      <c r="S152" s="354"/>
      <c r="T152" s="257">
        <v>45</v>
      </c>
      <c r="U152" s="258">
        <v>55</v>
      </c>
      <c r="V152" s="258">
        <v>49</v>
      </c>
      <c r="W152" s="258">
        <v>69</v>
      </c>
      <c r="X152" s="258">
        <v>55</v>
      </c>
      <c r="Y152" s="258">
        <v>52</v>
      </c>
      <c r="Z152" s="258">
        <v>43</v>
      </c>
      <c r="AA152" s="614">
        <v>36</v>
      </c>
      <c r="AB152" s="354"/>
      <c r="AC152" s="257">
        <v>398</v>
      </c>
      <c r="AD152" s="258">
        <v>330</v>
      </c>
      <c r="AE152" s="258">
        <v>428</v>
      </c>
      <c r="AF152" s="258">
        <v>462</v>
      </c>
      <c r="AG152" s="258">
        <v>369</v>
      </c>
      <c r="AH152" s="258">
        <v>306</v>
      </c>
      <c r="AI152" s="258">
        <v>243</v>
      </c>
      <c r="AJ152" s="614">
        <v>215</v>
      </c>
      <c r="AK152" s="354"/>
      <c r="AL152" s="257">
        <v>175</v>
      </c>
      <c r="AM152" s="258">
        <v>186</v>
      </c>
      <c r="AN152" s="258">
        <v>211</v>
      </c>
      <c r="AO152" s="258">
        <v>145</v>
      </c>
      <c r="AP152" s="258">
        <v>155</v>
      </c>
      <c r="AQ152" s="258">
        <v>150</v>
      </c>
      <c r="AR152" s="258">
        <v>99</v>
      </c>
      <c r="AS152" s="614">
        <v>77</v>
      </c>
      <c r="AT152" s="354"/>
      <c r="AU152" s="257"/>
      <c r="AV152" s="258"/>
      <c r="AW152" s="258"/>
      <c r="AX152" s="258"/>
      <c r="AY152" s="258"/>
      <c r="AZ152" s="258"/>
      <c r="BA152" s="258"/>
      <c r="BB152" s="614"/>
      <c r="BC152" s="354"/>
      <c r="BD152" s="257">
        <f t="shared" si="33"/>
        <v>665</v>
      </c>
      <c r="BE152" s="258">
        <f t="shared" si="34"/>
        <v>617</v>
      </c>
      <c r="BF152" s="258">
        <f t="shared" si="35"/>
        <v>739</v>
      </c>
      <c r="BG152" s="258">
        <f t="shared" si="36"/>
        <v>735</v>
      </c>
      <c r="BH152" s="258">
        <f t="shared" si="37"/>
        <v>637</v>
      </c>
      <c r="BI152" s="258">
        <f t="shared" si="38"/>
        <v>569</v>
      </c>
      <c r="BJ152" s="258">
        <f t="shared" si="39"/>
        <v>481</v>
      </c>
      <c r="BK152" s="614">
        <f t="shared" si="32"/>
        <v>395</v>
      </c>
      <c r="BL152" s="354">
        <f t="shared" si="32"/>
        <v>0</v>
      </c>
    </row>
    <row r="153" spans="1:64" x14ac:dyDescent="0.2">
      <c r="A153" s="365" t="s">
        <v>740</v>
      </c>
      <c r="B153" s="257">
        <v>25</v>
      </c>
      <c r="C153" s="258">
        <v>18</v>
      </c>
      <c r="D153" s="258">
        <v>18</v>
      </c>
      <c r="E153" s="258">
        <v>56</v>
      </c>
      <c r="F153" s="258">
        <v>22</v>
      </c>
      <c r="G153" s="258">
        <v>19</v>
      </c>
      <c r="H153" s="258">
        <v>36</v>
      </c>
      <c r="I153" s="614">
        <v>32</v>
      </c>
      <c r="J153" s="354"/>
      <c r="K153" s="257">
        <v>49</v>
      </c>
      <c r="L153" s="258">
        <v>58</v>
      </c>
      <c r="M153" s="258">
        <v>35</v>
      </c>
      <c r="N153" s="258">
        <v>57</v>
      </c>
      <c r="O153" s="258">
        <v>39</v>
      </c>
      <c r="P153" s="258">
        <v>41</v>
      </c>
      <c r="Q153" s="258">
        <v>37</v>
      </c>
      <c r="R153" s="614">
        <v>31</v>
      </c>
      <c r="S153" s="354"/>
      <c r="T153" s="257">
        <v>100</v>
      </c>
      <c r="U153" s="258">
        <v>115</v>
      </c>
      <c r="V153" s="258">
        <v>74</v>
      </c>
      <c r="W153" s="258">
        <v>140</v>
      </c>
      <c r="X153" s="258">
        <v>95</v>
      </c>
      <c r="Y153" s="258">
        <v>78</v>
      </c>
      <c r="Z153" s="258">
        <v>57</v>
      </c>
      <c r="AA153" s="614">
        <v>85</v>
      </c>
      <c r="AB153" s="354"/>
      <c r="AC153" s="257">
        <v>496</v>
      </c>
      <c r="AD153" s="258">
        <v>484</v>
      </c>
      <c r="AE153" s="258">
        <v>454</v>
      </c>
      <c r="AF153" s="258">
        <v>536</v>
      </c>
      <c r="AG153" s="258">
        <v>339</v>
      </c>
      <c r="AH153" s="258">
        <v>462</v>
      </c>
      <c r="AI153" s="258">
        <v>343</v>
      </c>
      <c r="AJ153" s="614">
        <v>379</v>
      </c>
      <c r="AK153" s="354"/>
      <c r="AL153" s="257">
        <v>88</v>
      </c>
      <c r="AM153" s="258">
        <v>131</v>
      </c>
      <c r="AN153" s="258">
        <v>125</v>
      </c>
      <c r="AO153" s="258">
        <v>151</v>
      </c>
      <c r="AP153" s="258">
        <v>103</v>
      </c>
      <c r="AQ153" s="258">
        <v>136</v>
      </c>
      <c r="AR153" s="258">
        <v>92</v>
      </c>
      <c r="AS153" s="614">
        <v>86</v>
      </c>
      <c r="AT153" s="354"/>
      <c r="AU153" s="257"/>
      <c r="AV153" s="258"/>
      <c r="AW153" s="258"/>
      <c r="AX153" s="258"/>
      <c r="AY153" s="258"/>
      <c r="AZ153" s="258"/>
      <c r="BA153" s="258"/>
      <c r="BB153" s="614"/>
      <c r="BC153" s="354"/>
      <c r="BD153" s="257">
        <f t="shared" si="33"/>
        <v>758</v>
      </c>
      <c r="BE153" s="258">
        <f t="shared" si="34"/>
        <v>806</v>
      </c>
      <c r="BF153" s="258">
        <f t="shared" si="35"/>
        <v>706</v>
      </c>
      <c r="BG153" s="258">
        <f t="shared" si="36"/>
        <v>940</v>
      </c>
      <c r="BH153" s="258">
        <f t="shared" si="37"/>
        <v>598</v>
      </c>
      <c r="BI153" s="258">
        <f t="shared" si="38"/>
        <v>736</v>
      </c>
      <c r="BJ153" s="258">
        <f t="shared" si="39"/>
        <v>565</v>
      </c>
      <c r="BK153" s="614">
        <f t="shared" si="32"/>
        <v>613</v>
      </c>
      <c r="BL153" s="354">
        <f t="shared" si="32"/>
        <v>0</v>
      </c>
    </row>
    <row r="154" spans="1:64" ht="13.5" thickBot="1" x14ac:dyDescent="0.25">
      <c r="A154" s="366" t="s">
        <v>741</v>
      </c>
      <c r="B154" s="361">
        <v>18</v>
      </c>
      <c r="C154" s="362">
        <v>30</v>
      </c>
      <c r="D154" s="362">
        <v>15</v>
      </c>
      <c r="E154" s="362">
        <v>24</v>
      </c>
      <c r="F154" s="362">
        <v>14</v>
      </c>
      <c r="G154" s="362">
        <v>25</v>
      </c>
      <c r="H154" s="362">
        <v>13</v>
      </c>
      <c r="I154" s="615">
        <v>9</v>
      </c>
      <c r="J154" s="363"/>
      <c r="K154" s="361">
        <v>32</v>
      </c>
      <c r="L154" s="362">
        <v>28</v>
      </c>
      <c r="M154" s="362">
        <v>11</v>
      </c>
      <c r="N154" s="362">
        <v>26</v>
      </c>
      <c r="O154" s="362">
        <v>34</v>
      </c>
      <c r="P154" s="362">
        <v>20</v>
      </c>
      <c r="Q154" s="362">
        <v>14</v>
      </c>
      <c r="R154" s="615">
        <v>8</v>
      </c>
      <c r="S154" s="363"/>
      <c r="T154" s="361">
        <v>63</v>
      </c>
      <c r="U154" s="362">
        <v>45</v>
      </c>
      <c r="V154" s="362">
        <v>53</v>
      </c>
      <c r="W154" s="362">
        <v>41</v>
      </c>
      <c r="X154" s="362">
        <v>44</v>
      </c>
      <c r="Y154" s="362">
        <v>40</v>
      </c>
      <c r="Z154" s="362">
        <v>16</v>
      </c>
      <c r="AA154" s="615">
        <v>42</v>
      </c>
      <c r="AB154" s="363"/>
      <c r="AC154" s="361">
        <v>353</v>
      </c>
      <c r="AD154" s="362">
        <v>359</v>
      </c>
      <c r="AE154" s="362">
        <v>274</v>
      </c>
      <c r="AF154" s="362">
        <v>322</v>
      </c>
      <c r="AG154" s="362">
        <v>342</v>
      </c>
      <c r="AH154" s="362">
        <v>261</v>
      </c>
      <c r="AI154" s="362">
        <v>152</v>
      </c>
      <c r="AJ154" s="615">
        <v>175</v>
      </c>
      <c r="AK154" s="363"/>
      <c r="AL154" s="361">
        <v>66</v>
      </c>
      <c r="AM154" s="362">
        <v>76</v>
      </c>
      <c r="AN154" s="362">
        <v>63</v>
      </c>
      <c r="AO154" s="362">
        <v>70</v>
      </c>
      <c r="AP154" s="362">
        <v>67</v>
      </c>
      <c r="AQ154" s="362">
        <v>47</v>
      </c>
      <c r="AR154" s="362">
        <v>43</v>
      </c>
      <c r="AS154" s="615">
        <v>55</v>
      </c>
      <c r="AT154" s="363"/>
      <c r="AU154" s="361"/>
      <c r="AV154" s="362"/>
      <c r="AW154" s="362"/>
      <c r="AX154" s="362"/>
      <c r="AY154" s="362"/>
      <c r="AZ154" s="362"/>
      <c r="BA154" s="362"/>
      <c r="BB154" s="615"/>
      <c r="BC154" s="363"/>
      <c r="BD154" s="361">
        <f t="shared" si="33"/>
        <v>532</v>
      </c>
      <c r="BE154" s="362">
        <f t="shared" si="34"/>
        <v>538</v>
      </c>
      <c r="BF154" s="362">
        <f t="shared" si="35"/>
        <v>416</v>
      </c>
      <c r="BG154" s="362">
        <f t="shared" si="36"/>
        <v>483</v>
      </c>
      <c r="BH154" s="362">
        <f t="shared" si="37"/>
        <v>501</v>
      </c>
      <c r="BI154" s="362">
        <f t="shared" si="38"/>
        <v>393</v>
      </c>
      <c r="BJ154" s="362">
        <f t="shared" si="39"/>
        <v>238</v>
      </c>
      <c r="BK154" s="615">
        <f t="shared" si="32"/>
        <v>289</v>
      </c>
      <c r="BL154" s="363">
        <f t="shared" si="32"/>
        <v>0</v>
      </c>
    </row>
    <row r="155" spans="1:64" s="791" customFormat="1" x14ac:dyDescent="0.2">
      <c r="A155" s="775" t="s">
        <v>791</v>
      </c>
      <c r="B155" s="787">
        <v>311</v>
      </c>
      <c r="C155" s="788">
        <v>393</v>
      </c>
      <c r="D155" s="788">
        <v>350</v>
      </c>
      <c r="E155" s="788">
        <v>287</v>
      </c>
      <c r="F155" s="788">
        <v>283</v>
      </c>
      <c r="G155" s="788">
        <v>265</v>
      </c>
      <c r="H155" s="788">
        <v>245</v>
      </c>
      <c r="I155" s="789">
        <v>136</v>
      </c>
      <c r="J155" s="790"/>
      <c r="K155" s="787">
        <v>459</v>
      </c>
      <c r="L155" s="788">
        <v>476</v>
      </c>
      <c r="M155" s="788">
        <v>558</v>
      </c>
      <c r="N155" s="788">
        <v>411</v>
      </c>
      <c r="O155" s="788">
        <v>371</v>
      </c>
      <c r="P155" s="788">
        <v>390</v>
      </c>
      <c r="Q155" s="788">
        <v>336</v>
      </c>
      <c r="R155" s="789">
        <v>342</v>
      </c>
      <c r="S155" s="790"/>
      <c r="T155" s="787">
        <v>998</v>
      </c>
      <c r="U155" s="788">
        <v>908</v>
      </c>
      <c r="V155" s="788">
        <v>977</v>
      </c>
      <c r="W155" s="788">
        <v>949</v>
      </c>
      <c r="X155" s="788">
        <v>959</v>
      </c>
      <c r="Y155" s="788">
        <v>1158</v>
      </c>
      <c r="Z155" s="788">
        <v>767</v>
      </c>
      <c r="AA155" s="789">
        <v>689</v>
      </c>
      <c r="AB155" s="790"/>
      <c r="AC155" s="787">
        <v>7356</v>
      </c>
      <c r="AD155" s="788">
        <v>6543</v>
      </c>
      <c r="AE155" s="788">
        <v>7255</v>
      </c>
      <c r="AF155" s="788">
        <v>7541</v>
      </c>
      <c r="AG155" s="788">
        <v>6142</v>
      </c>
      <c r="AH155" s="788">
        <v>6045</v>
      </c>
      <c r="AI155" s="788">
        <v>4367</v>
      </c>
      <c r="AJ155" s="789">
        <v>4437</v>
      </c>
      <c r="AK155" s="790"/>
      <c r="AL155" s="787">
        <v>2438</v>
      </c>
      <c r="AM155" s="788">
        <v>2561</v>
      </c>
      <c r="AN155" s="788">
        <v>3174</v>
      </c>
      <c r="AO155" s="788">
        <v>2893</v>
      </c>
      <c r="AP155" s="788">
        <v>2245</v>
      </c>
      <c r="AQ155" s="788">
        <v>1890</v>
      </c>
      <c r="AR155" s="788">
        <v>1396</v>
      </c>
      <c r="AS155" s="789">
        <v>1478</v>
      </c>
      <c r="AT155" s="790"/>
      <c r="AU155" s="787"/>
      <c r="AV155" s="788"/>
      <c r="AW155" s="788"/>
      <c r="AX155" s="788"/>
      <c r="AY155" s="788"/>
      <c r="AZ155" s="788"/>
      <c r="BA155" s="788">
        <v>1</v>
      </c>
      <c r="BB155" s="789"/>
      <c r="BC155" s="790"/>
      <c r="BD155" s="787">
        <f t="shared" si="33"/>
        <v>11562</v>
      </c>
      <c r="BE155" s="788">
        <f t="shared" si="34"/>
        <v>10881</v>
      </c>
      <c r="BF155" s="788">
        <f t="shared" si="35"/>
        <v>12314</v>
      </c>
      <c r="BG155" s="788">
        <f t="shared" si="36"/>
        <v>12081</v>
      </c>
      <c r="BH155" s="788">
        <f t="shared" si="37"/>
        <v>10000</v>
      </c>
      <c r="BI155" s="788">
        <f t="shared" si="38"/>
        <v>9748</v>
      </c>
      <c r="BJ155" s="788">
        <f t="shared" si="39"/>
        <v>7112</v>
      </c>
      <c r="BK155" s="789">
        <f t="shared" si="32"/>
        <v>7082</v>
      </c>
      <c r="BL155" s="790">
        <f t="shared" si="32"/>
        <v>0</v>
      </c>
    </row>
    <row r="156" spans="1:64" x14ac:dyDescent="0.2">
      <c r="A156" s="365" t="s">
        <v>743</v>
      </c>
      <c r="B156" s="257">
        <v>37</v>
      </c>
      <c r="C156" s="258">
        <v>98</v>
      </c>
      <c r="D156" s="258">
        <v>51</v>
      </c>
      <c r="E156" s="258">
        <v>65</v>
      </c>
      <c r="F156" s="258">
        <v>68</v>
      </c>
      <c r="G156" s="258">
        <v>57</v>
      </c>
      <c r="H156" s="258">
        <v>31</v>
      </c>
      <c r="I156" s="614">
        <v>21</v>
      </c>
      <c r="J156" s="354"/>
      <c r="K156" s="257">
        <v>94</v>
      </c>
      <c r="L156" s="258">
        <v>82</v>
      </c>
      <c r="M156" s="258">
        <v>83</v>
      </c>
      <c r="N156" s="258">
        <v>72</v>
      </c>
      <c r="O156" s="258">
        <v>67</v>
      </c>
      <c r="P156" s="258">
        <v>64</v>
      </c>
      <c r="Q156" s="258">
        <v>76</v>
      </c>
      <c r="R156" s="614">
        <v>67</v>
      </c>
      <c r="S156" s="354"/>
      <c r="T156" s="257">
        <v>166</v>
      </c>
      <c r="U156" s="258">
        <v>167</v>
      </c>
      <c r="V156" s="258">
        <v>194</v>
      </c>
      <c r="W156" s="258">
        <v>185</v>
      </c>
      <c r="X156" s="258">
        <v>172</v>
      </c>
      <c r="Y156" s="258">
        <v>353</v>
      </c>
      <c r="Z156" s="258">
        <v>161</v>
      </c>
      <c r="AA156" s="614">
        <v>138</v>
      </c>
      <c r="AB156" s="354"/>
      <c r="AC156" s="257">
        <v>1429</v>
      </c>
      <c r="AD156" s="258">
        <v>1290</v>
      </c>
      <c r="AE156" s="258">
        <v>1612</v>
      </c>
      <c r="AF156" s="258">
        <v>1370</v>
      </c>
      <c r="AG156" s="258">
        <v>1059</v>
      </c>
      <c r="AH156" s="258">
        <v>1347</v>
      </c>
      <c r="AI156" s="258">
        <v>923</v>
      </c>
      <c r="AJ156" s="614">
        <v>641</v>
      </c>
      <c r="AK156" s="354"/>
      <c r="AL156" s="257">
        <v>538</v>
      </c>
      <c r="AM156" s="258">
        <v>558</v>
      </c>
      <c r="AN156" s="258">
        <v>840</v>
      </c>
      <c r="AO156" s="258">
        <v>677</v>
      </c>
      <c r="AP156" s="258">
        <v>426</v>
      </c>
      <c r="AQ156" s="258">
        <v>381</v>
      </c>
      <c r="AR156" s="258">
        <v>337</v>
      </c>
      <c r="AS156" s="614">
        <v>199</v>
      </c>
      <c r="AT156" s="354"/>
      <c r="AU156" s="257"/>
      <c r="AV156" s="258"/>
      <c r="AW156" s="258"/>
      <c r="AX156" s="258"/>
      <c r="AY156" s="258"/>
      <c r="AZ156" s="258"/>
      <c r="BA156" s="258"/>
      <c r="BB156" s="614"/>
      <c r="BC156" s="354"/>
      <c r="BD156" s="257">
        <f t="shared" si="33"/>
        <v>2264</v>
      </c>
      <c r="BE156" s="258">
        <f t="shared" si="34"/>
        <v>2195</v>
      </c>
      <c r="BF156" s="258">
        <f t="shared" si="35"/>
        <v>2780</v>
      </c>
      <c r="BG156" s="258">
        <f t="shared" si="36"/>
        <v>2369</v>
      </c>
      <c r="BH156" s="258">
        <f t="shared" si="37"/>
        <v>1792</v>
      </c>
      <c r="BI156" s="258">
        <f t="shared" si="38"/>
        <v>2202</v>
      </c>
      <c r="BJ156" s="258">
        <f t="shared" si="39"/>
        <v>1528</v>
      </c>
      <c r="BK156" s="614">
        <f t="shared" si="32"/>
        <v>1066</v>
      </c>
      <c r="BL156" s="354">
        <f t="shared" si="32"/>
        <v>0</v>
      </c>
    </row>
    <row r="157" spans="1:64" x14ac:dyDescent="0.2">
      <c r="A157" s="365" t="s">
        <v>823</v>
      </c>
      <c r="B157" s="257">
        <v>20</v>
      </c>
      <c r="C157" s="258">
        <v>10</v>
      </c>
      <c r="D157" s="258">
        <v>11</v>
      </c>
      <c r="E157" s="258">
        <v>6</v>
      </c>
      <c r="F157" s="258">
        <v>15</v>
      </c>
      <c r="G157" s="258">
        <v>25</v>
      </c>
      <c r="H157" s="258">
        <v>25</v>
      </c>
      <c r="I157" s="614">
        <v>20</v>
      </c>
      <c r="J157" s="354"/>
      <c r="K157" s="257">
        <v>5</v>
      </c>
      <c r="L157" s="258">
        <v>9</v>
      </c>
      <c r="M157" s="258">
        <v>19</v>
      </c>
      <c r="N157" s="258">
        <v>2</v>
      </c>
      <c r="O157" s="258">
        <v>13</v>
      </c>
      <c r="P157" s="258">
        <v>15</v>
      </c>
      <c r="Q157" s="258">
        <v>7</v>
      </c>
      <c r="R157" s="614">
        <v>15</v>
      </c>
      <c r="S157" s="354"/>
      <c r="T157" s="257">
        <v>23</v>
      </c>
      <c r="U157" s="258">
        <v>12</v>
      </c>
      <c r="V157" s="258">
        <v>6</v>
      </c>
      <c r="W157" s="258">
        <v>26</v>
      </c>
      <c r="X157" s="258">
        <v>5</v>
      </c>
      <c r="Y157" s="258">
        <v>20</v>
      </c>
      <c r="Z157" s="258">
        <v>8</v>
      </c>
      <c r="AA157" s="614">
        <v>43</v>
      </c>
      <c r="AB157" s="354"/>
      <c r="AC157" s="257">
        <v>99</v>
      </c>
      <c r="AD157" s="258">
        <v>152</v>
      </c>
      <c r="AE157" s="258">
        <v>88</v>
      </c>
      <c r="AF157" s="258">
        <v>106</v>
      </c>
      <c r="AG157" s="258">
        <v>75</v>
      </c>
      <c r="AH157" s="258">
        <v>186</v>
      </c>
      <c r="AI157" s="258">
        <v>71</v>
      </c>
      <c r="AJ157" s="614">
        <v>626</v>
      </c>
      <c r="AK157" s="354"/>
      <c r="AL157" s="257">
        <v>23</v>
      </c>
      <c r="AM157" s="258">
        <v>58</v>
      </c>
      <c r="AN157" s="258">
        <v>15</v>
      </c>
      <c r="AO157" s="258">
        <v>29</v>
      </c>
      <c r="AP157" s="258">
        <v>16</v>
      </c>
      <c r="AQ157" s="258">
        <v>15</v>
      </c>
      <c r="AR157" s="258">
        <v>21</v>
      </c>
      <c r="AS157" s="614">
        <v>302</v>
      </c>
      <c r="AT157" s="354"/>
      <c r="AU157" s="257"/>
      <c r="AV157" s="258"/>
      <c r="AW157" s="258"/>
      <c r="AX157" s="258"/>
      <c r="AY157" s="258"/>
      <c r="AZ157" s="258"/>
      <c r="BA157" s="258">
        <v>1</v>
      </c>
      <c r="BB157" s="614"/>
      <c r="BC157" s="354"/>
      <c r="BD157" s="257">
        <f t="shared" si="33"/>
        <v>170</v>
      </c>
      <c r="BE157" s="258">
        <f t="shared" si="34"/>
        <v>241</v>
      </c>
      <c r="BF157" s="258">
        <f t="shared" si="35"/>
        <v>139</v>
      </c>
      <c r="BG157" s="258">
        <f t="shared" si="36"/>
        <v>169</v>
      </c>
      <c r="BH157" s="258">
        <f t="shared" si="37"/>
        <v>124</v>
      </c>
      <c r="BI157" s="258">
        <f t="shared" si="38"/>
        <v>261</v>
      </c>
      <c r="BJ157" s="258">
        <f t="shared" si="39"/>
        <v>133</v>
      </c>
      <c r="BK157" s="614">
        <f t="shared" si="32"/>
        <v>1006</v>
      </c>
      <c r="BL157" s="354">
        <f t="shared" si="32"/>
        <v>0</v>
      </c>
    </row>
    <row r="158" spans="1:64" x14ac:dyDescent="0.2">
      <c r="A158" s="365" t="s">
        <v>744</v>
      </c>
      <c r="B158" s="257">
        <v>37</v>
      </c>
      <c r="C158" s="258">
        <v>40</v>
      </c>
      <c r="D158" s="258">
        <v>56</v>
      </c>
      <c r="E158" s="258">
        <v>35</v>
      </c>
      <c r="F158" s="258">
        <v>34</v>
      </c>
      <c r="G158" s="258">
        <v>46</v>
      </c>
      <c r="H158" s="258">
        <v>46</v>
      </c>
      <c r="I158" s="614">
        <v>25</v>
      </c>
      <c r="J158" s="354"/>
      <c r="K158" s="257">
        <v>82</v>
      </c>
      <c r="L158" s="258">
        <v>68</v>
      </c>
      <c r="M158" s="258">
        <v>98</v>
      </c>
      <c r="N158" s="258">
        <v>73</v>
      </c>
      <c r="O158" s="258">
        <v>57</v>
      </c>
      <c r="P158" s="258">
        <v>97</v>
      </c>
      <c r="Q158" s="258">
        <v>80</v>
      </c>
      <c r="R158" s="614">
        <v>68</v>
      </c>
      <c r="S158" s="354"/>
      <c r="T158" s="257">
        <v>157</v>
      </c>
      <c r="U158" s="258">
        <v>138</v>
      </c>
      <c r="V158" s="258">
        <v>174</v>
      </c>
      <c r="W158" s="258">
        <v>138</v>
      </c>
      <c r="X158" s="258">
        <v>131</v>
      </c>
      <c r="Y158" s="258">
        <v>144</v>
      </c>
      <c r="Z158" s="258">
        <v>159</v>
      </c>
      <c r="AA158" s="614">
        <v>112</v>
      </c>
      <c r="AB158" s="354"/>
      <c r="AC158" s="257">
        <v>1001</v>
      </c>
      <c r="AD158" s="258">
        <v>882</v>
      </c>
      <c r="AE158" s="258">
        <v>1009</v>
      </c>
      <c r="AF158" s="258">
        <v>794</v>
      </c>
      <c r="AG158" s="258">
        <v>571</v>
      </c>
      <c r="AH158" s="258">
        <v>640</v>
      </c>
      <c r="AI158" s="258">
        <v>859</v>
      </c>
      <c r="AJ158" s="614">
        <v>508</v>
      </c>
      <c r="AK158" s="354"/>
      <c r="AL158" s="257">
        <v>385</v>
      </c>
      <c r="AM158" s="258">
        <v>322</v>
      </c>
      <c r="AN158" s="258">
        <v>446</v>
      </c>
      <c r="AO158" s="258">
        <v>434</v>
      </c>
      <c r="AP158" s="258">
        <v>201</v>
      </c>
      <c r="AQ158" s="258">
        <v>219</v>
      </c>
      <c r="AR158" s="258">
        <v>206</v>
      </c>
      <c r="AS158" s="614">
        <v>171</v>
      </c>
      <c r="AT158" s="354"/>
      <c r="AU158" s="257"/>
      <c r="AV158" s="258"/>
      <c r="AW158" s="258"/>
      <c r="AX158" s="258"/>
      <c r="AY158" s="258"/>
      <c r="AZ158" s="258"/>
      <c r="BA158" s="258"/>
      <c r="BB158" s="614"/>
      <c r="BC158" s="354"/>
      <c r="BD158" s="257">
        <f t="shared" si="33"/>
        <v>1662</v>
      </c>
      <c r="BE158" s="258">
        <f t="shared" si="34"/>
        <v>1450</v>
      </c>
      <c r="BF158" s="258">
        <f t="shared" si="35"/>
        <v>1783</v>
      </c>
      <c r="BG158" s="258">
        <f t="shared" si="36"/>
        <v>1474</v>
      </c>
      <c r="BH158" s="258">
        <f t="shared" si="37"/>
        <v>994</v>
      </c>
      <c r="BI158" s="258">
        <f t="shared" si="38"/>
        <v>1146</v>
      </c>
      <c r="BJ158" s="258">
        <f t="shared" si="39"/>
        <v>1350</v>
      </c>
      <c r="BK158" s="614">
        <f t="shared" si="32"/>
        <v>884</v>
      </c>
      <c r="BL158" s="354">
        <f t="shared" si="32"/>
        <v>0</v>
      </c>
    </row>
    <row r="159" spans="1:64" x14ac:dyDescent="0.2">
      <c r="A159" s="365" t="s">
        <v>745</v>
      </c>
      <c r="B159" s="257">
        <v>33</v>
      </c>
      <c r="C159" s="258">
        <v>49</v>
      </c>
      <c r="D159" s="258">
        <v>28</v>
      </c>
      <c r="E159" s="258">
        <v>40</v>
      </c>
      <c r="F159" s="258">
        <v>39</v>
      </c>
      <c r="G159" s="258">
        <v>28</v>
      </c>
      <c r="H159" s="258">
        <v>42</v>
      </c>
      <c r="I159" s="614">
        <v>8</v>
      </c>
      <c r="J159" s="354"/>
      <c r="K159" s="257">
        <v>16</v>
      </c>
      <c r="L159" s="258">
        <v>36</v>
      </c>
      <c r="M159" s="258">
        <v>28</v>
      </c>
      <c r="N159" s="258">
        <v>35</v>
      </c>
      <c r="O159" s="258">
        <v>16</v>
      </c>
      <c r="P159" s="258">
        <v>30</v>
      </c>
      <c r="Q159" s="258">
        <v>27</v>
      </c>
      <c r="R159" s="614">
        <v>24</v>
      </c>
      <c r="S159" s="354"/>
      <c r="T159" s="257">
        <v>51</v>
      </c>
      <c r="U159" s="258">
        <v>64</v>
      </c>
      <c r="V159" s="258">
        <v>62</v>
      </c>
      <c r="W159" s="258">
        <v>55</v>
      </c>
      <c r="X159" s="258">
        <v>72</v>
      </c>
      <c r="Y159" s="258">
        <v>111</v>
      </c>
      <c r="Z159" s="258">
        <v>105</v>
      </c>
      <c r="AA159" s="614">
        <v>37</v>
      </c>
      <c r="AB159" s="354"/>
      <c r="AC159" s="257">
        <v>462</v>
      </c>
      <c r="AD159" s="258">
        <v>404</v>
      </c>
      <c r="AE159" s="258">
        <v>434</v>
      </c>
      <c r="AF159" s="258">
        <v>450</v>
      </c>
      <c r="AG159" s="258">
        <v>591</v>
      </c>
      <c r="AH159" s="258">
        <v>546</v>
      </c>
      <c r="AI159" s="258">
        <v>728</v>
      </c>
      <c r="AJ159" s="614">
        <v>320</v>
      </c>
      <c r="AK159" s="354"/>
      <c r="AL159" s="257">
        <v>206</v>
      </c>
      <c r="AM159" s="258">
        <v>171</v>
      </c>
      <c r="AN159" s="258">
        <v>189</v>
      </c>
      <c r="AO159" s="258">
        <v>220</v>
      </c>
      <c r="AP159" s="258">
        <v>242</v>
      </c>
      <c r="AQ159" s="258">
        <v>187</v>
      </c>
      <c r="AR159" s="258">
        <v>218</v>
      </c>
      <c r="AS159" s="614">
        <v>120</v>
      </c>
      <c r="AT159" s="354"/>
      <c r="AU159" s="257"/>
      <c r="AV159" s="258"/>
      <c r="AW159" s="258"/>
      <c r="AX159" s="258"/>
      <c r="AY159" s="258"/>
      <c r="AZ159" s="258"/>
      <c r="BA159" s="258"/>
      <c r="BB159" s="614"/>
      <c r="BC159" s="354"/>
      <c r="BD159" s="257">
        <f t="shared" si="33"/>
        <v>768</v>
      </c>
      <c r="BE159" s="258">
        <f t="shared" si="34"/>
        <v>724</v>
      </c>
      <c r="BF159" s="258">
        <f t="shared" si="35"/>
        <v>741</v>
      </c>
      <c r="BG159" s="258">
        <f t="shared" si="36"/>
        <v>800</v>
      </c>
      <c r="BH159" s="258">
        <f t="shared" si="37"/>
        <v>960</v>
      </c>
      <c r="BI159" s="258">
        <f t="shared" si="38"/>
        <v>902</v>
      </c>
      <c r="BJ159" s="258">
        <f t="shared" si="39"/>
        <v>1120</v>
      </c>
      <c r="BK159" s="614">
        <f t="shared" si="32"/>
        <v>509</v>
      </c>
      <c r="BL159" s="354">
        <f t="shared" si="32"/>
        <v>0</v>
      </c>
    </row>
    <row r="160" spans="1:64" x14ac:dyDescent="0.2">
      <c r="A160" s="365" t="s">
        <v>746</v>
      </c>
      <c r="B160" s="257">
        <v>22</v>
      </c>
      <c r="C160" s="258">
        <v>17</v>
      </c>
      <c r="D160" s="258">
        <v>26</v>
      </c>
      <c r="E160" s="258">
        <v>20</v>
      </c>
      <c r="F160" s="258">
        <v>10</v>
      </c>
      <c r="G160" s="258">
        <v>10</v>
      </c>
      <c r="H160" s="258">
        <v>8</v>
      </c>
      <c r="I160" s="614">
        <v>12</v>
      </c>
      <c r="J160" s="354"/>
      <c r="K160" s="257">
        <v>38</v>
      </c>
      <c r="L160" s="258">
        <v>43</v>
      </c>
      <c r="M160" s="258">
        <v>51</v>
      </c>
      <c r="N160" s="258">
        <v>44</v>
      </c>
      <c r="O160" s="258">
        <v>17</v>
      </c>
      <c r="P160" s="258">
        <v>22</v>
      </c>
      <c r="Q160" s="258">
        <v>20</v>
      </c>
      <c r="R160" s="614">
        <v>25</v>
      </c>
      <c r="S160" s="354"/>
      <c r="T160" s="257">
        <v>92</v>
      </c>
      <c r="U160" s="258">
        <v>58</v>
      </c>
      <c r="V160" s="258">
        <v>64</v>
      </c>
      <c r="W160" s="258">
        <v>69</v>
      </c>
      <c r="X160" s="258">
        <v>84</v>
      </c>
      <c r="Y160" s="258">
        <v>72</v>
      </c>
      <c r="Z160" s="258">
        <v>82</v>
      </c>
      <c r="AA160" s="614">
        <v>34</v>
      </c>
      <c r="AB160" s="354"/>
      <c r="AC160" s="257">
        <v>603</v>
      </c>
      <c r="AD160" s="258">
        <v>441</v>
      </c>
      <c r="AE160" s="258">
        <v>479</v>
      </c>
      <c r="AF160" s="258">
        <v>347</v>
      </c>
      <c r="AG160" s="258">
        <v>435</v>
      </c>
      <c r="AH160" s="258">
        <v>329</v>
      </c>
      <c r="AI160" s="258">
        <v>249</v>
      </c>
      <c r="AJ160" s="614">
        <v>170</v>
      </c>
      <c r="AK160" s="354"/>
      <c r="AL160" s="257">
        <v>177</v>
      </c>
      <c r="AM160" s="258">
        <v>158</v>
      </c>
      <c r="AN160" s="258">
        <v>226</v>
      </c>
      <c r="AO160" s="258">
        <v>126</v>
      </c>
      <c r="AP160" s="258">
        <v>131</v>
      </c>
      <c r="AQ160" s="258">
        <v>97</v>
      </c>
      <c r="AR160" s="258">
        <v>58</v>
      </c>
      <c r="AS160" s="614">
        <v>55</v>
      </c>
      <c r="AT160" s="354"/>
      <c r="AU160" s="257"/>
      <c r="AV160" s="258"/>
      <c r="AW160" s="258"/>
      <c r="AX160" s="258"/>
      <c r="AY160" s="258"/>
      <c r="AZ160" s="258"/>
      <c r="BA160" s="258"/>
      <c r="BB160" s="614"/>
      <c r="BC160" s="354"/>
      <c r="BD160" s="257">
        <f t="shared" si="33"/>
        <v>932</v>
      </c>
      <c r="BE160" s="258">
        <f t="shared" si="34"/>
        <v>717</v>
      </c>
      <c r="BF160" s="258">
        <f t="shared" si="35"/>
        <v>846</v>
      </c>
      <c r="BG160" s="258">
        <f t="shared" si="36"/>
        <v>606</v>
      </c>
      <c r="BH160" s="258">
        <f t="shared" si="37"/>
        <v>677</v>
      </c>
      <c r="BI160" s="258">
        <f t="shared" si="38"/>
        <v>530</v>
      </c>
      <c r="BJ160" s="258">
        <f t="shared" si="39"/>
        <v>417</v>
      </c>
      <c r="BK160" s="614">
        <f t="shared" si="32"/>
        <v>296</v>
      </c>
      <c r="BL160" s="354">
        <f t="shared" si="32"/>
        <v>0</v>
      </c>
    </row>
    <row r="161" spans="1:64" x14ac:dyDescent="0.2">
      <c r="A161" s="365" t="s">
        <v>742</v>
      </c>
      <c r="B161" s="257">
        <v>95</v>
      </c>
      <c r="C161" s="258">
        <v>109</v>
      </c>
      <c r="D161" s="258">
        <v>105</v>
      </c>
      <c r="E161" s="258">
        <v>70</v>
      </c>
      <c r="F161" s="258">
        <v>60</v>
      </c>
      <c r="G161" s="258">
        <v>46</v>
      </c>
      <c r="H161" s="258">
        <v>42</v>
      </c>
      <c r="I161" s="614">
        <v>33</v>
      </c>
      <c r="J161" s="354"/>
      <c r="K161" s="257">
        <v>149</v>
      </c>
      <c r="L161" s="258">
        <v>149</v>
      </c>
      <c r="M161" s="258">
        <v>180</v>
      </c>
      <c r="N161" s="258">
        <v>112</v>
      </c>
      <c r="O161" s="258">
        <v>121</v>
      </c>
      <c r="P161" s="258">
        <v>92</v>
      </c>
      <c r="Q161" s="258">
        <v>75</v>
      </c>
      <c r="R161" s="614">
        <v>85</v>
      </c>
      <c r="S161" s="354"/>
      <c r="T161" s="257">
        <v>340</v>
      </c>
      <c r="U161" s="258">
        <v>338</v>
      </c>
      <c r="V161" s="258">
        <v>330</v>
      </c>
      <c r="W161" s="258">
        <v>311</v>
      </c>
      <c r="X161" s="258">
        <v>309</v>
      </c>
      <c r="Y161" s="258">
        <v>327</v>
      </c>
      <c r="Z161" s="258">
        <v>166</v>
      </c>
      <c r="AA161" s="614">
        <v>227</v>
      </c>
      <c r="AB161" s="354"/>
      <c r="AC161" s="257">
        <v>2710</v>
      </c>
      <c r="AD161" s="258">
        <v>2268</v>
      </c>
      <c r="AE161" s="258">
        <v>2502</v>
      </c>
      <c r="AF161" s="258">
        <v>3562</v>
      </c>
      <c r="AG161" s="258">
        <v>2533</v>
      </c>
      <c r="AH161" s="258">
        <v>2272</v>
      </c>
      <c r="AI161" s="258">
        <v>1032</v>
      </c>
      <c r="AJ161" s="614">
        <v>1764</v>
      </c>
      <c r="AK161" s="354"/>
      <c r="AL161" s="257">
        <v>789</v>
      </c>
      <c r="AM161" s="258">
        <v>882</v>
      </c>
      <c r="AN161" s="258">
        <v>974</v>
      </c>
      <c r="AO161" s="258">
        <v>997</v>
      </c>
      <c r="AP161" s="258">
        <v>882</v>
      </c>
      <c r="AQ161" s="258">
        <v>769</v>
      </c>
      <c r="AR161" s="258">
        <v>420</v>
      </c>
      <c r="AS161" s="614">
        <v>532</v>
      </c>
      <c r="AT161" s="354"/>
      <c r="AU161" s="257"/>
      <c r="AV161" s="258"/>
      <c r="AW161" s="258"/>
      <c r="AX161" s="258"/>
      <c r="AY161" s="258"/>
      <c r="AZ161" s="258"/>
      <c r="BA161" s="258"/>
      <c r="BB161" s="614"/>
      <c r="BC161" s="354"/>
      <c r="BD161" s="257">
        <f t="shared" si="33"/>
        <v>4083</v>
      </c>
      <c r="BE161" s="258">
        <f t="shared" si="34"/>
        <v>3746</v>
      </c>
      <c r="BF161" s="258">
        <f t="shared" si="35"/>
        <v>4091</v>
      </c>
      <c r="BG161" s="258">
        <f t="shared" si="36"/>
        <v>5052</v>
      </c>
      <c r="BH161" s="258">
        <f t="shared" si="37"/>
        <v>3905</v>
      </c>
      <c r="BI161" s="258">
        <f t="shared" si="38"/>
        <v>3506</v>
      </c>
      <c r="BJ161" s="258">
        <f t="shared" si="39"/>
        <v>1735</v>
      </c>
      <c r="BK161" s="614">
        <f t="shared" si="32"/>
        <v>2641</v>
      </c>
      <c r="BL161" s="354">
        <f t="shared" si="32"/>
        <v>0</v>
      </c>
    </row>
    <row r="162" spans="1:64" x14ac:dyDescent="0.2">
      <c r="A162" s="365" t="s">
        <v>747</v>
      </c>
      <c r="B162" s="257">
        <v>21</v>
      </c>
      <c r="C162" s="258">
        <v>19</v>
      </c>
      <c r="D162" s="258">
        <v>14</v>
      </c>
      <c r="E162" s="258">
        <v>15</v>
      </c>
      <c r="F162" s="258">
        <v>16</v>
      </c>
      <c r="G162" s="258">
        <v>15</v>
      </c>
      <c r="H162" s="258">
        <v>11</v>
      </c>
      <c r="I162" s="614"/>
      <c r="J162" s="354"/>
      <c r="K162" s="257">
        <v>43</v>
      </c>
      <c r="L162" s="258">
        <v>48</v>
      </c>
      <c r="M162" s="258">
        <v>43</v>
      </c>
      <c r="N162" s="258">
        <v>25</v>
      </c>
      <c r="O162" s="258">
        <v>25</v>
      </c>
      <c r="P162" s="258">
        <v>24</v>
      </c>
      <c r="Q162" s="258">
        <v>7</v>
      </c>
      <c r="R162" s="614">
        <v>12</v>
      </c>
      <c r="S162" s="354"/>
      <c r="T162" s="257">
        <v>68</v>
      </c>
      <c r="U162" s="258">
        <v>66</v>
      </c>
      <c r="V162" s="258">
        <v>68</v>
      </c>
      <c r="W162" s="258">
        <v>73</v>
      </c>
      <c r="X162" s="258">
        <v>81</v>
      </c>
      <c r="Y162" s="258">
        <v>55</v>
      </c>
      <c r="Z162" s="258">
        <v>23</v>
      </c>
      <c r="AA162" s="614">
        <v>17</v>
      </c>
      <c r="AB162" s="354"/>
      <c r="AC162" s="257">
        <v>412</v>
      </c>
      <c r="AD162" s="258">
        <v>460</v>
      </c>
      <c r="AE162" s="258">
        <v>463</v>
      </c>
      <c r="AF162" s="258">
        <v>350</v>
      </c>
      <c r="AG162" s="258">
        <v>337</v>
      </c>
      <c r="AH162" s="258">
        <v>276</v>
      </c>
      <c r="AI162" s="258">
        <v>125</v>
      </c>
      <c r="AJ162" s="614">
        <v>95</v>
      </c>
      <c r="AK162" s="354"/>
      <c r="AL162" s="257">
        <v>139</v>
      </c>
      <c r="AM162" s="258">
        <v>188</v>
      </c>
      <c r="AN162" s="258">
        <v>212</v>
      </c>
      <c r="AO162" s="258">
        <v>159</v>
      </c>
      <c r="AP162" s="258">
        <v>104</v>
      </c>
      <c r="AQ162" s="258">
        <v>87</v>
      </c>
      <c r="AR162" s="258">
        <v>47</v>
      </c>
      <c r="AS162" s="614">
        <v>25</v>
      </c>
      <c r="AT162" s="354"/>
      <c r="AU162" s="257"/>
      <c r="AV162" s="258"/>
      <c r="AW162" s="258"/>
      <c r="AX162" s="258"/>
      <c r="AY162" s="258"/>
      <c r="AZ162" s="258"/>
      <c r="BA162" s="258"/>
      <c r="BB162" s="614"/>
      <c r="BC162" s="354"/>
      <c r="BD162" s="257">
        <f t="shared" si="33"/>
        <v>683</v>
      </c>
      <c r="BE162" s="258">
        <f t="shared" si="34"/>
        <v>781</v>
      </c>
      <c r="BF162" s="258">
        <f t="shared" si="35"/>
        <v>800</v>
      </c>
      <c r="BG162" s="258">
        <f t="shared" si="36"/>
        <v>622</v>
      </c>
      <c r="BH162" s="258">
        <f t="shared" si="37"/>
        <v>563</v>
      </c>
      <c r="BI162" s="258">
        <f t="shared" si="38"/>
        <v>457</v>
      </c>
      <c r="BJ162" s="258">
        <f t="shared" si="39"/>
        <v>213</v>
      </c>
      <c r="BK162" s="614">
        <f t="shared" si="32"/>
        <v>149</v>
      </c>
      <c r="BL162" s="354">
        <f t="shared" si="32"/>
        <v>0</v>
      </c>
    </row>
    <row r="163" spans="1:64" ht="13.5" thickBot="1" x14ac:dyDescent="0.25">
      <c r="A163" s="366" t="s">
        <v>748</v>
      </c>
      <c r="B163" s="361">
        <v>46</v>
      </c>
      <c r="C163" s="362">
        <v>51</v>
      </c>
      <c r="D163" s="362">
        <v>59</v>
      </c>
      <c r="E163" s="362">
        <v>36</v>
      </c>
      <c r="F163" s="362">
        <v>41</v>
      </c>
      <c r="G163" s="362">
        <v>38</v>
      </c>
      <c r="H163" s="362">
        <v>40</v>
      </c>
      <c r="I163" s="615">
        <v>17</v>
      </c>
      <c r="J163" s="363"/>
      <c r="K163" s="361">
        <v>32</v>
      </c>
      <c r="L163" s="362">
        <v>41</v>
      </c>
      <c r="M163" s="362">
        <v>56</v>
      </c>
      <c r="N163" s="362">
        <v>48</v>
      </c>
      <c r="O163" s="362">
        <v>55</v>
      </c>
      <c r="P163" s="362">
        <v>46</v>
      </c>
      <c r="Q163" s="362">
        <v>44</v>
      </c>
      <c r="R163" s="615">
        <v>46</v>
      </c>
      <c r="S163" s="363"/>
      <c r="T163" s="361">
        <v>101</v>
      </c>
      <c r="U163" s="362">
        <v>65</v>
      </c>
      <c r="V163" s="362">
        <v>79</v>
      </c>
      <c r="W163" s="362">
        <v>92</v>
      </c>
      <c r="X163" s="362">
        <v>105</v>
      </c>
      <c r="Y163" s="362">
        <v>76</v>
      </c>
      <c r="Z163" s="362">
        <v>63</v>
      </c>
      <c r="AA163" s="615">
        <v>81</v>
      </c>
      <c r="AB163" s="363"/>
      <c r="AC163" s="361">
        <v>640</v>
      </c>
      <c r="AD163" s="362">
        <v>646</v>
      </c>
      <c r="AE163" s="362">
        <v>668</v>
      </c>
      <c r="AF163" s="362">
        <v>562</v>
      </c>
      <c r="AG163" s="362">
        <v>541</v>
      </c>
      <c r="AH163" s="362">
        <v>449</v>
      </c>
      <c r="AI163" s="362">
        <v>380</v>
      </c>
      <c r="AJ163" s="615">
        <v>313</v>
      </c>
      <c r="AK163" s="363"/>
      <c r="AL163" s="361">
        <v>181</v>
      </c>
      <c r="AM163" s="362">
        <v>224</v>
      </c>
      <c r="AN163" s="362">
        <v>272</v>
      </c>
      <c r="AO163" s="362">
        <v>251</v>
      </c>
      <c r="AP163" s="362">
        <v>243</v>
      </c>
      <c r="AQ163" s="362">
        <v>135</v>
      </c>
      <c r="AR163" s="362">
        <v>89</v>
      </c>
      <c r="AS163" s="615">
        <v>74</v>
      </c>
      <c r="AT163" s="363"/>
      <c r="AU163" s="361"/>
      <c r="AV163" s="362"/>
      <c r="AW163" s="362"/>
      <c r="AX163" s="362"/>
      <c r="AY163" s="362"/>
      <c r="AZ163" s="362"/>
      <c r="BA163" s="362"/>
      <c r="BB163" s="615"/>
      <c r="BC163" s="363"/>
      <c r="BD163" s="361">
        <f t="shared" si="33"/>
        <v>1000</v>
      </c>
      <c r="BE163" s="362">
        <f t="shared" si="34"/>
        <v>1027</v>
      </c>
      <c r="BF163" s="362">
        <f t="shared" si="35"/>
        <v>1134</v>
      </c>
      <c r="BG163" s="362">
        <f t="shared" si="36"/>
        <v>989</v>
      </c>
      <c r="BH163" s="362">
        <f t="shared" si="37"/>
        <v>985</v>
      </c>
      <c r="BI163" s="362">
        <f t="shared" si="38"/>
        <v>744</v>
      </c>
      <c r="BJ163" s="362">
        <f t="shared" si="39"/>
        <v>616</v>
      </c>
      <c r="BK163" s="615">
        <f t="shared" si="32"/>
        <v>531</v>
      </c>
      <c r="BL163" s="363">
        <f t="shared" si="32"/>
        <v>0</v>
      </c>
    </row>
    <row r="164" spans="1:64" s="259" customFormat="1" x14ac:dyDescent="0.2">
      <c r="A164" s="364" t="s">
        <v>792</v>
      </c>
      <c r="B164" s="781">
        <v>118</v>
      </c>
      <c r="C164" s="782">
        <v>172</v>
      </c>
      <c r="D164" s="782">
        <v>150</v>
      </c>
      <c r="E164" s="782">
        <v>137</v>
      </c>
      <c r="F164" s="782">
        <v>102</v>
      </c>
      <c r="G164" s="782">
        <v>87</v>
      </c>
      <c r="H164" s="782">
        <v>63</v>
      </c>
      <c r="I164" s="783">
        <v>101</v>
      </c>
      <c r="J164" s="784"/>
      <c r="K164" s="781">
        <v>288</v>
      </c>
      <c r="L164" s="782">
        <v>246</v>
      </c>
      <c r="M164" s="782">
        <v>218</v>
      </c>
      <c r="N164" s="782">
        <v>193</v>
      </c>
      <c r="O164" s="782">
        <v>165</v>
      </c>
      <c r="P164" s="782">
        <v>157</v>
      </c>
      <c r="Q164" s="782">
        <v>186</v>
      </c>
      <c r="R164" s="783">
        <v>158</v>
      </c>
      <c r="S164" s="784"/>
      <c r="T164" s="781">
        <v>506</v>
      </c>
      <c r="U164" s="782">
        <v>443</v>
      </c>
      <c r="V164" s="782">
        <v>353</v>
      </c>
      <c r="W164" s="782">
        <v>458</v>
      </c>
      <c r="X164" s="782">
        <v>362</v>
      </c>
      <c r="Y164" s="782">
        <v>381</v>
      </c>
      <c r="Z164" s="782">
        <v>506</v>
      </c>
      <c r="AA164" s="783">
        <v>371</v>
      </c>
      <c r="AB164" s="784"/>
      <c r="AC164" s="781">
        <v>3378</v>
      </c>
      <c r="AD164" s="782">
        <v>3206</v>
      </c>
      <c r="AE164" s="782">
        <v>3001</v>
      </c>
      <c r="AF164" s="782">
        <v>2843</v>
      </c>
      <c r="AG164" s="782">
        <v>2911</v>
      </c>
      <c r="AH164" s="782">
        <v>2123</v>
      </c>
      <c r="AI164" s="782">
        <v>2424</v>
      </c>
      <c r="AJ164" s="783">
        <v>1953</v>
      </c>
      <c r="AK164" s="784"/>
      <c r="AL164" s="781">
        <v>1035</v>
      </c>
      <c r="AM164" s="782">
        <v>908</v>
      </c>
      <c r="AN164" s="782">
        <v>1013</v>
      </c>
      <c r="AO164" s="782">
        <v>1031</v>
      </c>
      <c r="AP164" s="782">
        <v>953</v>
      </c>
      <c r="AQ164" s="782">
        <v>757</v>
      </c>
      <c r="AR164" s="782">
        <v>655</v>
      </c>
      <c r="AS164" s="783">
        <v>747</v>
      </c>
      <c r="AT164" s="784"/>
      <c r="AU164" s="781"/>
      <c r="AV164" s="782"/>
      <c r="AW164" s="782"/>
      <c r="AX164" s="782"/>
      <c r="AY164" s="782"/>
      <c r="AZ164" s="782"/>
      <c r="BA164" s="782"/>
      <c r="BB164" s="783"/>
      <c r="BC164" s="784"/>
      <c r="BD164" s="781">
        <f t="shared" ref="BD164:BD198" si="40">SUM(B164,K164,T164,AC164,AL164,AU164)</f>
        <v>5325</v>
      </c>
      <c r="BE164" s="782">
        <f t="shared" ref="BE164:BE198" si="41">SUM(C164,L164,U164,AD164,AM164,AV164)</f>
        <v>4975</v>
      </c>
      <c r="BF164" s="782">
        <f t="shared" ref="BF164:BF198" si="42">SUM(D164,M164,V164,AE164,AN164,AW164)</f>
        <v>4735</v>
      </c>
      <c r="BG164" s="782">
        <f t="shared" ref="BG164:BG198" si="43">SUM(E164,N164,W164,AF164,AO164,AX164)</f>
        <v>4662</v>
      </c>
      <c r="BH164" s="782">
        <f t="shared" ref="BH164:BH198" si="44">SUM(F164,O164,X164,AG164,AP164,AY164)</f>
        <v>4493</v>
      </c>
      <c r="BI164" s="782">
        <f t="shared" ref="BI164:BI198" si="45">SUM(G164,P164,Y164,AH164,AQ164,AZ164)</f>
        <v>3505</v>
      </c>
      <c r="BJ164" s="782">
        <f t="shared" ref="BJ164:BJ198" si="46">SUM(H164,Q164,Z164,AI164,AR164,BA164)</f>
        <v>3834</v>
      </c>
      <c r="BK164" s="783">
        <f t="shared" si="32"/>
        <v>3330</v>
      </c>
      <c r="BL164" s="784">
        <f t="shared" si="32"/>
        <v>0</v>
      </c>
    </row>
    <row r="165" spans="1:64" x14ac:dyDescent="0.2">
      <c r="A165" s="365" t="s">
        <v>751</v>
      </c>
      <c r="B165" s="257">
        <v>25</v>
      </c>
      <c r="C165" s="258">
        <v>42</v>
      </c>
      <c r="D165" s="258">
        <v>40</v>
      </c>
      <c r="E165" s="258">
        <v>29</v>
      </c>
      <c r="F165" s="258">
        <v>15</v>
      </c>
      <c r="G165" s="258">
        <v>8</v>
      </c>
      <c r="H165" s="258">
        <v>6</v>
      </c>
      <c r="I165" s="614">
        <v>9</v>
      </c>
      <c r="J165" s="354"/>
      <c r="K165" s="257">
        <v>47</v>
      </c>
      <c r="L165" s="258">
        <v>21</v>
      </c>
      <c r="M165" s="258">
        <v>31</v>
      </c>
      <c r="N165" s="258">
        <v>30</v>
      </c>
      <c r="O165" s="258">
        <v>26</v>
      </c>
      <c r="P165" s="258">
        <v>14</v>
      </c>
      <c r="Q165" s="258">
        <v>17</v>
      </c>
      <c r="R165" s="614">
        <v>19</v>
      </c>
      <c r="S165" s="354"/>
      <c r="T165" s="257">
        <v>62</v>
      </c>
      <c r="U165" s="258">
        <v>33</v>
      </c>
      <c r="V165" s="258">
        <v>54</v>
      </c>
      <c r="W165" s="258">
        <v>46</v>
      </c>
      <c r="X165" s="258">
        <v>37</v>
      </c>
      <c r="Y165" s="258">
        <v>52</v>
      </c>
      <c r="Z165" s="258">
        <v>45</v>
      </c>
      <c r="AA165" s="614">
        <v>31</v>
      </c>
      <c r="AB165" s="354"/>
      <c r="AC165" s="257">
        <v>449</v>
      </c>
      <c r="AD165" s="258">
        <v>248</v>
      </c>
      <c r="AE165" s="258">
        <v>335</v>
      </c>
      <c r="AF165" s="258">
        <v>353</v>
      </c>
      <c r="AG165" s="258">
        <v>257</v>
      </c>
      <c r="AH165" s="258">
        <v>221</v>
      </c>
      <c r="AI165" s="258">
        <v>185</v>
      </c>
      <c r="AJ165" s="614">
        <v>243</v>
      </c>
      <c r="AK165" s="354"/>
      <c r="AL165" s="257">
        <v>110</v>
      </c>
      <c r="AM165" s="258">
        <v>85</v>
      </c>
      <c r="AN165" s="258">
        <v>114</v>
      </c>
      <c r="AO165" s="258">
        <v>87</v>
      </c>
      <c r="AP165" s="258">
        <v>70</v>
      </c>
      <c r="AQ165" s="258">
        <v>69</v>
      </c>
      <c r="AR165" s="258">
        <v>50</v>
      </c>
      <c r="AS165" s="614">
        <v>85</v>
      </c>
      <c r="AT165" s="354"/>
      <c r="AU165" s="257"/>
      <c r="AV165" s="258"/>
      <c r="AW165" s="258"/>
      <c r="AX165" s="258"/>
      <c r="AY165" s="258"/>
      <c r="AZ165" s="258"/>
      <c r="BA165" s="258"/>
      <c r="BB165" s="614"/>
      <c r="BC165" s="354"/>
      <c r="BD165" s="257">
        <f t="shared" si="40"/>
        <v>693</v>
      </c>
      <c r="BE165" s="258">
        <f t="shared" si="41"/>
        <v>429</v>
      </c>
      <c r="BF165" s="258">
        <f t="shared" si="42"/>
        <v>574</v>
      </c>
      <c r="BG165" s="258">
        <f t="shared" si="43"/>
        <v>545</v>
      </c>
      <c r="BH165" s="258">
        <f t="shared" si="44"/>
        <v>405</v>
      </c>
      <c r="BI165" s="258">
        <f t="shared" si="45"/>
        <v>364</v>
      </c>
      <c r="BJ165" s="258">
        <f t="shared" si="46"/>
        <v>303</v>
      </c>
      <c r="BK165" s="614">
        <f t="shared" si="32"/>
        <v>387</v>
      </c>
      <c r="BL165" s="354">
        <f t="shared" si="32"/>
        <v>0</v>
      </c>
    </row>
    <row r="166" spans="1:64" x14ac:dyDescent="0.2">
      <c r="A166" s="365" t="s">
        <v>752</v>
      </c>
      <c r="B166" s="257">
        <v>13</v>
      </c>
      <c r="C166" s="258">
        <v>37</v>
      </c>
      <c r="D166" s="258">
        <v>21</v>
      </c>
      <c r="E166" s="258">
        <v>17</v>
      </c>
      <c r="F166" s="258">
        <v>22</v>
      </c>
      <c r="G166" s="258">
        <v>20</v>
      </c>
      <c r="H166" s="258">
        <v>2</v>
      </c>
      <c r="I166" s="614">
        <v>14</v>
      </c>
      <c r="J166" s="354"/>
      <c r="K166" s="257">
        <v>40</v>
      </c>
      <c r="L166" s="258">
        <v>54</v>
      </c>
      <c r="M166" s="258">
        <v>39</v>
      </c>
      <c r="N166" s="258">
        <v>36</v>
      </c>
      <c r="O166" s="258">
        <v>39</v>
      </c>
      <c r="P166" s="258">
        <v>11</v>
      </c>
      <c r="Q166" s="258">
        <v>27</v>
      </c>
      <c r="R166" s="614">
        <v>22</v>
      </c>
      <c r="S166" s="354"/>
      <c r="T166" s="257">
        <v>65</v>
      </c>
      <c r="U166" s="258">
        <v>63</v>
      </c>
      <c r="V166" s="258">
        <v>69</v>
      </c>
      <c r="W166" s="258">
        <v>69</v>
      </c>
      <c r="X166" s="258">
        <v>51</v>
      </c>
      <c r="Y166" s="258">
        <v>36</v>
      </c>
      <c r="Z166" s="258">
        <v>75</v>
      </c>
      <c r="AA166" s="614">
        <v>66</v>
      </c>
      <c r="AB166" s="354"/>
      <c r="AC166" s="257">
        <v>480</v>
      </c>
      <c r="AD166" s="258">
        <v>507</v>
      </c>
      <c r="AE166" s="258">
        <v>558</v>
      </c>
      <c r="AF166" s="258">
        <v>497</v>
      </c>
      <c r="AG166" s="258">
        <v>280</v>
      </c>
      <c r="AH166" s="258">
        <v>274</v>
      </c>
      <c r="AI166" s="258">
        <v>329</v>
      </c>
      <c r="AJ166" s="614">
        <v>241</v>
      </c>
      <c r="AK166" s="354"/>
      <c r="AL166" s="257">
        <v>187</v>
      </c>
      <c r="AM166" s="258">
        <v>139</v>
      </c>
      <c r="AN166" s="258">
        <v>213</v>
      </c>
      <c r="AO166" s="258">
        <v>168</v>
      </c>
      <c r="AP166" s="258">
        <v>129</v>
      </c>
      <c r="AQ166" s="258">
        <v>97</v>
      </c>
      <c r="AR166" s="258">
        <v>75</v>
      </c>
      <c r="AS166" s="614">
        <v>132</v>
      </c>
      <c r="AT166" s="354"/>
      <c r="AU166" s="257"/>
      <c r="AV166" s="258"/>
      <c r="AW166" s="258"/>
      <c r="AX166" s="258"/>
      <c r="AY166" s="258"/>
      <c r="AZ166" s="258"/>
      <c r="BA166" s="258"/>
      <c r="BB166" s="614"/>
      <c r="BC166" s="354"/>
      <c r="BD166" s="257">
        <f t="shared" si="40"/>
        <v>785</v>
      </c>
      <c r="BE166" s="258">
        <f t="shared" si="41"/>
        <v>800</v>
      </c>
      <c r="BF166" s="258">
        <f t="shared" si="42"/>
        <v>900</v>
      </c>
      <c r="BG166" s="258">
        <f t="shared" si="43"/>
        <v>787</v>
      </c>
      <c r="BH166" s="258">
        <f t="shared" si="44"/>
        <v>521</v>
      </c>
      <c r="BI166" s="258">
        <f t="shared" si="45"/>
        <v>438</v>
      </c>
      <c r="BJ166" s="258">
        <f t="shared" si="46"/>
        <v>508</v>
      </c>
      <c r="BK166" s="614">
        <f t="shared" si="32"/>
        <v>475</v>
      </c>
      <c r="BL166" s="354">
        <f t="shared" si="32"/>
        <v>0</v>
      </c>
    </row>
    <row r="167" spans="1:64" x14ac:dyDescent="0.2">
      <c r="A167" s="365" t="s">
        <v>753</v>
      </c>
      <c r="B167" s="257">
        <v>16</v>
      </c>
      <c r="C167" s="258">
        <v>24</v>
      </c>
      <c r="D167" s="258">
        <v>31</v>
      </c>
      <c r="E167" s="258">
        <v>18</v>
      </c>
      <c r="F167" s="258">
        <v>20</v>
      </c>
      <c r="G167" s="258">
        <v>17</v>
      </c>
      <c r="H167" s="258">
        <v>16</v>
      </c>
      <c r="I167" s="614">
        <v>14</v>
      </c>
      <c r="J167" s="354"/>
      <c r="K167" s="257">
        <v>39</v>
      </c>
      <c r="L167" s="258">
        <v>33</v>
      </c>
      <c r="M167" s="258">
        <v>22</v>
      </c>
      <c r="N167" s="258">
        <v>31</v>
      </c>
      <c r="O167" s="258">
        <v>23</v>
      </c>
      <c r="P167" s="258">
        <v>25</v>
      </c>
      <c r="Q167" s="258">
        <v>19</v>
      </c>
      <c r="R167" s="614">
        <v>17</v>
      </c>
      <c r="S167" s="354"/>
      <c r="T167" s="257">
        <v>94</v>
      </c>
      <c r="U167" s="258">
        <v>108</v>
      </c>
      <c r="V167" s="258">
        <v>52</v>
      </c>
      <c r="W167" s="258">
        <v>97</v>
      </c>
      <c r="X167" s="258">
        <v>58</v>
      </c>
      <c r="Y167" s="258">
        <v>70</v>
      </c>
      <c r="Z167" s="258">
        <v>88</v>
      </c>
      <c r="AA167" s="614">
        <v>48</v>
      </c>
      <c r="AB167" s="354"/>
      <c r="AC167" s="257">
        <v>657</v>
      </c>
      <c r="AD167" s="258">
        <v>660</v>
      </c>
      <c r="AE167" s="258">
        <v>478</v>
      </c>
      <c r="AF167" s="258">
        <v>490</v>
      </c>
      <c r="AG167" s="258">
        <v>631</v>
      </c>
      <c r="AH167" s="258">
        <v>355</v>
      </c>
      <c r="AI167" s="258">
        <v>595</v>
      </c>
      <c r="AJ167" s="614">
        <v>271</v>
      </c>
      <c r="AK167" s="354"/>
      <c r="AL167" s="257">
        <v>126</v>
      </c>
      <c r="AM167" s="258">
        <v>137</v>
      </c>
      <c r="AN167" s="258">
        <v>101</v>
      </c>
      <c r="AO167" s="258">
        <v>136</v>
      </c>
      <c r="AP167" s="258">
        <v>109</v>
      </c>
      <c r="AQ167" s="258">
        <v>119</v>
      </c>
      <c r="AR167" s="258">
        <v>117</v>
      </c>
      <c r="AS167" s="614">
        <v>87</v>
      </c>
      <c r="AT167" s="354"/>
      <c r="AU167" s="257"/>
      <c r="AV167" s="258"/>
      <c r="AW167" s="258"/>
      <c r="AX167" s="258"/>
      <c r="AY167" s="258"/>
      <c r="AZ167" s="258"/>
      <c r="BA167" s="258"/>
      <c r="BB167" s="614"/>
      <c r="BC167" s="354"/>
      <c r="BD167" s="257">
        <f t="shared" si="40"/>
        <v>932</v>
      </c>
      <c r="BE167" s="258">
        <f t="shared" si="41"/>
        <v>962</v>
      </c>
      <c r="BF167" s="258">
        <f t="shared" si="42"/>
        <v>684</v>
      </c>
      <c r="BG167" s="258">
        <f t="shared" si="43"/>
        <v>772</v>
      </c>
      <c r="BH167" s="258">
        <f t="shared" si="44"/>
        <v>841</v>
      </c>
      <c r="BI167" s="258">
        <f t="shared" si="45"/>
        <v>586</v>
      </c>
      <c r="BJ167" s="258">
        <f t="shared" si="46"/>
        <v>835</v>
      </c>
      <c r="BK167" s="614">
        <f t="shared" si="32"/>
        <v>437</v>
      </c>
      <c r="BL167" s="354">
        <f t="shared" si="32"/>
        <v>0</v>
      </c>
    </row>
    <row r="168" spans="1:64" x14ac:dyDescent="0.2">
      <c r="A168" s="365" t="s">
        <v>750</v>
      </c>
      <c r="B168" s="257">
        <v>23</v>
      </c>
      <c r="C168" s="258">
        <v>46</v>
      </c>
      <c r="D168" s="258">
        <v>30</v>
      </c>
      <c r="E168" s="258">
        <v>45</v>
      </c>
      <c r="F168" s="258">
        <v>31</v>
      </c>
      <c r="G168" s="258">
        <v>25</v>
      </c>
      <c r="H168" s="258">
        <v>19</v>
      </c>
      <c r="I168" s="614">
        <v>31</v>
      </c>
      <c r="J168" s="354"/>
      <c r="K168" s="257">
        <v>121</v>
      </c>
      <c r="L168" s="258">
        <v>109</v>
      </c>
      <c r="M168" s="258">
        <v>105</v>
      </c>
      <c r="N168" s="258">
        <v>68</v>
      </c>
      <c r="O168" s="258">
        <v>46</v>
      </c>
      <c r="P168" s="258">
        <v>69</v>
      </c>
      <c r="Q168" s="258">
        <v>77</v>
      </c>
      <c r="R168" s="614">
        <v>65</v>
      </c>
      <c r="S168" s="354"/>
      <c r="T168" s="257">
        <v>197</v>
      </c>
      <c r="U168" s="258">
        <v>165</v>
      </c>
      <c r="V168" s="258">
        <v>119</v>
      </c>
      <c r="W168" s="258">
        <v>175</v>
      </c>
      <c r="X168" s="258">
        <v>143</v>
      </c>
      <c r="Y168" s="258">
        <v>148</v>
      </c>
      <c r="Z168" s="258">
        <v>188</v>
      </c>
      <c r="AA168" s="614">
        <v>129</v>
      </c>
      <c r="AB168" s="354"/>
      <c r="AC168" s="257">
        <v>1279</v>
      </c>
      <c r="AD168" s="258">
        <v>1188</v>
      </c>
      <c r="AE168" s="258">
        <v>1084</v>
      </c>
      <c r="AF168" s="258">
        <v>1069</v>
      </c>
      <c r="AG168" s="258">
        <v>1163</v>
      </c>
      <c r="AH168" s="258">
        <v>871</v>
      </c>
      <c r="AI168" s="258">
        <v>811</v>
      </c>
      <c r="AJ168" s="614">
        <v>676</v>
      </c>
      <c r="AK168" s="354"/>
      <c r="AL168" s="257">
        <v>416</v>
      </c>
      <c r="AM168" s="258">
        <v>336</v>
      </c>
      <c r="AN168" s="258">
        <v>402</v>
      </c>
      <c r="AO168" s="258">
        <v>432</v>
      </c>
      <c r="AP168" s="258">
        <v>464</v>
      </c>
      <c r="AQ168" s="258">
        <v>334</v>
      </c>
      <c r="AR168" s="258">
        <v>262</v>
      </c>
      <c r="AS168" s="614">
        <v>297</v>
      </c>
      <c r="AT168" s="354"/>
      <c r="AU168" s="257"/>
      <c r="AV168" s="258"/>
      <c r="AW168" s="258"/>
      <c r="AX168" s="258"/>
      <c r="AY168" s="258"/>
      <c r="AZ168" s="258"/>
      <c r="BA168" s="258"/>
      <c r="BB168" s="614"/>
      <c r="BC168" s="354"/>
      <c r="BD168" s="257">
        <f t="shared" si="40"/>
        <v>2036</v>
      </c>
      <c r="BE168" s="258">
        <f t="shared" si="41"/>
        <v>1844</v>
      </c>
      <c r="BF168" s="258">
        <f t="shared" si="42"/>
        <v>1740</v>
      </c>
      <c r="BG168" s="258">
        <f t="shared" si="43"/>
        <v>1789</v>
      </c>
      <c r="BH168" s="258">
        <f t="shared" si="44"/>
        <v>1847</v>
      </c>
      <c r="BI168" s="258">
        <f t="shared" si="45"/>
        <v>1447</v>
      </c>
      <c r="BJ168" s="258">
        <f t="shared" si="46"/>
        <v>1357</v>
      </c>
      <c r="BK168" s="614">
        <f t="shared" si="32"/>
        <v>1198</v>
      </c>
      <c r="BL168" s="354">
        <f t="shared" si="32"/>
        <v>0</v>
      </c>
    </row>
    <row r="169" spans="1:64" x14ac:dyDescent="0.2">
      <c r="A169" s="365" t="s">
        <v>626</v>
      </c>
      <c r="B169" s="257">
        <v>40</v>
      </c>
      <c r="C169" s="258">
        <v>23</v>
      </c>
      <c r="D169" s="258">
        <v>26</v>
      </c>
      <c r="E169" s="258">
        <v>22</v>
      </c>
      <c r="F169" s="258">
        <v>11</v>
      </c>
      <c r="G169" s="258">
        <v>16</v>
      </c>
      <c r="H169" s="258">
        <v>19</v>
      </c>
      <c r="I169" s="614">
        <v>23</v>
      </c>
      <c r="J169" s="354"/>
      <c r="K169" s="257">
        <v>32</v>
      </c>
      <c r="L169" s="258">
        <v>29</v>
      </c>
      <c r="M169" s="258">
        <v>19</v>
      </c>
      <c r="N169" s="258">
        <v>23</v>
      </c>
      <c r="O169" s="258">
        <v>29</v>
      </c>
      <c r="P169" s="258">
        <v>38</v>
      </c>
      <c r="Q169" s="258">
        <v>39</v>
      </c>
      <c r="R169" s="614">
        <v>23</v>
      </c>
      <c r="S169" s="354"/>
      <c r="T169" s="257">
        <v>75</v>
      </c>
      <c r="U169" s="258">
        <v>71</v>
      </c>
      <c r="V169" s="258">
        <v>43</v>
      </c>
      <c r="W169" s="258">
        <v>68</v>
      </c>
      <c r="X169" s="258">
        <v>56</v>
      </c>
      <c r="Y169" s="258">
        <v>72</v>
      </c>
      <c r="Z169" s="258">
        <v>100</v>
      </c>
      <c r="AA169" s="614">
        <v>82</v>
      </c>
      <c r="AB169" s="354"/>
      <c r="AC169" s="257">
        <v>455</v>
      </c>
      <c r="AD169" s="258">
        <v>571</v>
      </c>
      <c r="AE169" s="258">
        <v>511</v>
      </c>
      <c r="AF169" s="258">
        <v>415</v>
      </c>
      <c r="AG169" s="258">
        <v>428</v>
      </c>
      <c r="AH169" s="258">
        <v>363</v>
      </c>
      <c r="AI169" s="258">
        <v>479</v>
      </c>
      <c r="AJ169" s="614">
        <v>434</v>
      </c>
      <c r="AK169" s="354"/>
      <c r="AL169" s="257">
        <v>179</v>
      </c>
      <c r="AM169" s="258">
        <v>204</v>
      </c>
      <c r="AN169" s="258">
        <v>163</v>
      </c>
      <c r="AO169" s="258">
        <v>206</v>
      </c>
      <c r="AP169" s="258">
        <v>174</v>
      </c>
      <c r="AQ169" s="258">
        <v>128</v>
      </c>
      <c r="AR169" s="258">
        <v>149</v>
      </c>
      <c r="AS169" s="614">
        <v>128</v>
      </c>
      <c r="AT169" s="354"/>
      <c r="AU169" s="257"/>
      <c r="AV169" s="258"/>
      <c r="AW169" s="258"/>
      <c r="AX169" s="258"/>
      <c r="AY169" s="258"/>
      <c r="AZ169" s="258"/>
      <c r="BA169" s="258"/>
      <c r="BB169" s="614"/>
      <c r="BC169" s="354"/>
      <c r="BD169" s="257">
        <f t="shared" si="40"/>
        <v>781</v>
      </c>
      <c r="BE169" s="258">
        <f t="shared" si="41"/>
        <v>898</v>
      </c>
      <c r="BF169" s="258">
        <f t="shared" si="42"/>
        <v>762</v>
      </c>
      <c r="BG169" s="258">
        <f t="shared" si="43"/>
        <v>734</v>
      </c>
      <c r="BH169" s="258">
        <f t="shared" si="44"/>
        <v>698</v>
      </c>
      <c r="BI169" s="258">
        <f t="shared" si="45"/>
        <v>617</v>
      </c>
      <c r="BJ169" s="258">
        <f t="shared" si="46"/>
        <v>786</v>
      </c>
      <c r="BK169" s="614">
        <f t="shared" si="32"/>
        <v>690</v>
      </c>
      <c r="BL169" s="354">
        <f t="shared" si="32"/>
        <v>0</v>
      </c>
    </row>
    <row r="170" spans="1:64" ht="13.5" thickBot="1" x14ac:dyDescent="0.25">
      <c r="A170" s="366" t="s">
        <v>606</v>
      </c>
      <c r="B170" s="361">
        <v>1</v>
      </c>
      <c r="C170" s="362"/>
      <c r="D170" s="362">
        <v>2</v>
      </c>
      <c r="E170" s="362">
        <v>6</v>
      </c>
      <c r="F170" s="362">
        <v>3</v>
      </c>
      <c r="G170" s="362">
        <v>1</v>
      </c>
      <c r="H170" s="362">
        <v>1</v>
      </c>
      <c r="I170" s="615">
        <v>10</v>
      </c>
      <c r="J170" s="363"/>
      <c r="K170" s="361">
        <v>9</v>
      </c>
      <c r="L170" s="362"/>
      <c r="M170" s="362">
        <v>2</v>
      </c>
      <c r="N170" s="362">
        <v>5</v>
      </c>
      <c r="O170" s="362">
        <v>2</v>
      </c>
      <c r="P170" s="362"/>
      <c r="Q170" s="362">
        <v>7</v>
      </c>
      <c r="R170" s="615">
        <v>12</v>
      </c>
      <c r="S170" s="363"/>
      <c r="T170" s="361">
        <v>13</v>
      </c>
      <c r="U170" s="362">
        <v>3</v>
      </c>
      <c r="V170" s="362">
        <v>16</v>
      </c>
      <c r="W170" s="362">
        <v>3</v>
      </c>
      <c r="X170" s="362">
        <v>17</v>
      </c>
      <c r="Y170" s="362">
        <v>3</v>
      </c>
      <c r="Z170" s="362">
        <v>10</v>
      </c>
      <c r="AA170" s="615">
        <v>15</v>
      </c>
      <c r="AB170" s="363"/>
      <c r="AC170" s="361">
        <v>58</v>
      </c>
      <c r="AD170" s="362">
        <v>32</v>
      </c>
      <c r="AE170" s="362">
        <v>35</v>
      </c>
      <c r="AF170" s="362">
        <v>19</v>
      </c>
      <c r="AG170" s="362">
        <v>152</v>
      </c>
      <c r="AH170" s="362">
        <v>39</v>
      </c>
      <c r="AI170" s="362">
        <v>25</v>
      </c>
      <c r="AJ170" s="615">
        <v>88</v>
      </c>
      <c r="AK170" s="363"/>
      <c r="AL170" s="361">
        <v>17</v>
      </c>
      <c r="AM170" s="362">
        <v>7</v>
      </c>
      <c r="AN170" s="362">
        <v>20</v>
      </c>
      <c r="AO170" s="362">
        <v>2</v>
      </c>
      <c r="AP170" s="362">
        <v>7</v>
      </c>
      <c r="AQ170" s="362">
        <v>10</v>
      </c>
      <c r="AR170" s="362">
        <v>2</v>
      </c>
      <c r="AS170" s="615">
        <v>18</v>
      </c>
      <c r="AT170" s="363"/>
      <c r="AU170" s="361"/>
      <c r="AV170" s="362"/>
      <c r="AW170" s="362"/>
      <c r="AX170" s="362"/>
      <c r="AY170" s="362"/>
      <c r="AZ170" s="362"/>
      <c r="BA170" s="362"/>
      <c r="BB170" s="615"/>
      <c r="BC170" s="363"/>
      <c r="BD170" s="361">
        <f t="shared" si="40"/>
        <v>98</v>
      </c>
      <c r="BE170" s="362">
        <f t="shared" si="41"/>
        <v>42</v>
      </c>
      <c r="BF170" s="362">
        <f t="shared" si="42"/>
        <v>75</v>
      </c>
      <c r="BG170" s="362">
        <f t="shared" si="43"/>
        <v>35</v>
      </c>
      <c r="BH170" s="362">
        <f t="shared" si="44"/>
        <v>181</v>
      </c>
      <c r="BI170" s="362">
        <f t="shared" si="45"/>
        <v>53</v>
      </c>
      <c r="BJ170" s="362">
        <f t="shared" si="46"/>
        <v>45</v>
      </c>
      <c r="BK170" s="615">
        <f t="shared" si="32"/>
        <v>143</v>
      </c>
      <c r="BL170" s="363">
        <f t="shared" si="32"/>
        <v>0</v>
      </c>
    </row>
    <row r="171" spans="1:64" s="259" customFormat="1" x14ac:dyDescent="0.2">
      <c r="A171" s="364" t="s">
        <v>793</v>
      </c>
      <c r="B171" s="781">
        <v>86</v>
      </c>
      <c r="C171" s="782">
        <v>128</v>
      </c>
      <c r="D171" s="782">
        <v>131</v>
      </c>
      <c r="E171" s="782">
        <v>77</v>
      </c>
      <c r="F171" s="782">
        <v>70</v>
      </c>
      <c r="G171" s="782">
        <v>70</v>
      </c>
      <c r="H171" s="782">
        <v>60</v>
      </c>
      <c r="I171" s="783">
        <v>75</v>
      </c>
      <c r="J171" s="784"/>
      <c r="K171" s="781">
        <v>219</v>
      </c>
      <c r="L171" s="782">
        <v>219</v>
      </c>
      <c r="M171" s="782">
        <v>159</v>
      </c>
      <c r="N171" s="782">
        <v>146</v>
      </c>
      <c r="O171" s="782">
        <v>146</v>
      </c>
      <c r="P171" s="782">
        <v>131</v>
      </c>
      <c r="Q171" s="782">
        <v>103</v>
      </c>
      <c r="R171" s="783">
        <v>98</v>
      </c>
      <c r="S171" s="784"/>
      <c r="T171" s="781">
        <v>484</v>
      </c>
      <c r="U171" s="782">
        <v>482</v>
      </c>
      <c r="V171" s="782">
        <v>424</v>
      </c>
      <c r="W171" s="782">
        <v>390</v>
      </c>
      <c r="X171" s="782">
        <v>394</v>
      </c>
      <c r="Y171" s="782">
        <v>518</v>
      </c>
      <c r="Z171" s="782">
        <v>343</v>
      </c>
      <c r="AA171" s="783">
        <v>349</v>
      </c>
      <c r="AB171" s="784"/>
      <c r="AC171" s="781">
        <v>2979</v>
      </c>
      <c r="AD171" s="782">
        <v>2884</v>
      </c>
      <c r="AE171" s="782">
        <v>2617</v>
      </c>
      <c r="AF171" s="782">
        <v>2359</v>
      </c>
      <c r="AG171" s="782">
        <v>2224</v>
      </c>
      <c r="AH171" s="782">
        <v>2364</v>
      </c>
      <c r="AI171" s="782">
        <v>1801</v>
      </c>
      <c r="AJ171" s="783">
        <v>1862</v>
      </c>
      <c r="AK171" s="784"/>
      <c r="AL171" s="781">
        <v>830</v>
      </c>
      <c r="AM171" s="782">
        <v>962</v>
      </c>
      <c r="AN171" s="782">
        <v>832</v>
      </c>
      <c r="AO171" s="782">
        <v>685</v>
      </c>
      <c r="AP171" s="782">
        <v>662</v>
      </c>
      <c r="AQ171" s="782">
        <v>613</v>
      </c>
      <c r="AR171" s="782">
        <v>596</v>
      </c>
      <c r="AS171" s="783">
        <v>537</v>
      </c>
      <c r="AT171" s="784"/>
      <c r="AU171" s="781"/>
      <c r="AV171" s="782"/>
      <c r="AW171" s="782"/>
      <c r="AX171" s="782"/>
      <c r="AY171" s="782"/>
      <c r="AZ171" s="782"/>
      <c r="BA171" s="782"/>
      <c r="BB171" s="783"/>
      <c r="BC171" s="784"/>
      <c r="BD171" s="781">
        <f t="shared" si="40"/>
        <v>4598</v>
      </c>
      <c r="BE171" s="782">
        <f t="shared" si="41"/>
        <v>4675</v>
      </c>
      <c r="BF171" s="782">
        <f t="shared" si="42"/>
        <v>4163</v>
      </c>
      <c r="BG171" s="782">
        <f t="shared" si="43"/>
        <v>3657</v>
      </c>
      <c r="BH171" s="782">
        <f t="shared" si="44"/>
        <v>3496</v>
      </c>
      <c r="BI171" s="782">
        <f t="shared" si="45"/>
        <v>3696</v>
      </c>
      <c r="BJ171" s="782">
        <f t="shared" si="46"/>
        <v>2903</v>
      </c>
      <c r="BK171" s="783">
        <f t="shared" si="32"/>
        <v>2921</v>
      </c>
      <c r="BL171" s="784">
        <f t="shared" si="32"/>
        <v>0</v>
      </c>
    </row>
    <row r="172" spans="1:64" x14ac:dyDescent="0.2">
      <c r="A172" s="365" t="s">
        <v>755</v>
      </c>
      <c r="B172" s="257">
        <v>9</v>
      </c>
      <c r="C172" s="258">
        <v>7</v>
      </c>
      <c r="D172" s="258">
        <v>25</v>
      </c>
      <c r="E172" s="258">
        <v>7</v>
      </c>
      <c r="F172" s="258">
        <v>8</v>
      </c>
      <c r="G172" s="258">
        <v>8</v>
      </c>
      <c r="H172" s="258">
        <v>1</v>
      </c>
      <c r="I172" s="614">
        <v>6</v>
      </c>
      <c r="J172" s="354"/>
      <c r="K172" s="257">
        <v>9</v>
      </c>
      <c r="L172" s="258">
        <v>9</v>
      </c>
      <c r="M172" s="258">
        <v>10</v>
      </c>
      <c r="N172" s="258">
        <v>7</v>
      </c>
      <c r="O172" s="258">
        <v>7</v>
      </c>
      <c r="P172" s="258">
        <v>7</v>
      </c>
      <c r="Q172" s="258">
        <v>10</v>
      </c>
      <c r="R172" s="614">
        <v>11</v>
      </c>
      <c r="S172" s="354"/>
      <c r="T172" s="257">
        <v>22</v>
      </c>
      <c r="U172" s="258">
        <v>21</v>
      </c>
      <c r="V172" s="258">
        <v>21</v>
      </c>
      <c r="W172" s="258">
        <v>16</v>
      </c>
      <c r="X172" s="258">
        <v>26</v>
      </c>
      <c r="Y172" s="258">
        <v>28</v>
      </c>
      <c r="Z172" s="258">
        <v>25</v>
      </c>
      <c r="AA172" s="614">
        <v>29</v>
      </c>
      <c r="AB172" s="354"/>
      <c r="AC172" s="257">
        <v>218</v>
      </c>
      <c r="AD172" s="258">
        <v>182</v>
      </c>
      <c r="AE172" s="258">
        <v>199</v>
      </c>
      <c r="AF172" s="258">
        <v>162</v>
      </c>
      <c r="AG172" s="258">
        <v>223</v>
      </c>
      <c r="AH172" s="258">
        <v>191</v>
      </c>
      <c r="AI172" s="258">
        <v>143</v>
      </c>
      <c r="AJ172" s="614">
        <v>157</v>
      </c>
      <c r="AK172" s="354"/>
      <c r="AL172" s="257">
        <v>77</v>
      </c>
      <c r="AM172" s="258">
        <v>64</v>
      </c>
      <c r="AN172" s="258">
        <v>40</v>
      </c>
      <c r="AO172" s="258">
        <v>71</v>
      </c>
      <c r="AP172" s="258">
        <v>74</v>
      </c>
      <c r="AQ172" s="258">
        <v>59</v>
      </c>
      <c r="AR172" s="258">
        <v>33</v>
      </c>
      <c r="AS172" s="614">
        <v>56</v>
      </c>
      <c r="AT172" s="354"/>
      <c r="AU172" s="257"/>
      <c r="AV172" s="258"/>
      <c r="AW172" s="258"/>
      <c r="AX172" s="258"/>
      <c r="AY172" s="258"/>
      <c r="AZ172" s="258"/>
      <c r="BA172" s="258"/>
      <c r="BB172" s="614"/>
      <c r="BC172" s="354"/>
      <c r="BD172" s="257">
        <f t="shared" si="40"/>
        <v>335</v>
      </c>
      <c r="BE172" s="258">
        <f t="shared" si="41"/>
        <v>283</v>
      </c>
      <c r="BF172" s="258">
        <f t="shared" si="42"/>
        <v>295</v>
      </c>
      <c r="BG172" s="258">
        <f t="shared" si="43"/>
        <v>263</v>
      </c>
      <c r="BH172" s="258">
        <f t="shared" si="44"/>
        <v>338</v>
      </c>
      <c r="BI172" s="258">
        <f t="shared" si="45"/>
        <v>293</v>
      </c>
      <c r="BJ172" s="258">
        <f t="shared" si="46"/>
        <v>212</v>
      </c>
      <c r="BK172" s="614">
        <f t="shared" si="32"/>
        <v>259</v>
      </c>
      <c r="BL172" s="354">
        <f t="shared" si="32"/>
        <v>0</v>
      </c>
    </row>
    <row r="173" spans="1:64" x14ac:dyDescent="0.2">
      <c r="A173" s="365" t="s">
        <v>756</v>
      </c>
      <c r="B173" s="257">
        <v>4</v>
      </c>
      <c r="C173" s="258">
        <v>12</v>
      </c>
      <c r="D173" s="258">
        <v>23</v>
      </c>
      <c r="E173" s="258">
        <v>15</v>
      </c>
      <c r="F173" s="258">
        <v>1</v>
      </c>
      <c r="G173" s="258">
        <v>6</v>
      </c>
      <c r="H173" s="258">
        <v>9</v>
      </c>
      <c r="I173" s="614">
        <v>8</v>
      </c>
      <c r="J173" s="354"/>
      <c r="K173" s="257">
        <v>25</v>
      </c>
      <c r="L173" s="258">
        <v>22</v>
      </c>
      <c r="M173" s="258">
        <v>23</v>
      </c>
      <c r="N173" s="258">
        <v>13</v>
      </c>
      <c r="O173" s="258">
        <v>18</v>
      </c>
      <c r="P173" s="258">
        <v>12</v>
      </c>
      <c r="Q173" s="258">
        <v>13</v>
      </c>
      <c r="R173" s="614">
        <v>15</v>
      </c>
      <c r="S173" s="354"/>
      <c r="T173" s="257">
        <v>70</v>
      </c>
      <c r="U173" s="258">
        <v>43</v>
      </c>
      <c r="V173" s="258">
        <v>58</v>
      </c>
      <c r="W173" s="258">
        <v>29</v>
      </c>
      <c r="X173" s="258">
        <v>45</v>
      </c>
      <c r="Y173" s="258">
        <v>58</v>
      </c>
      <c r="Z173" s="258">
        <v>50</v>
      </c>
      <c r="AA173" s="614">
        <v>49</v>
      </c>
      <c r="AB173" s="354"/>
      <c r="AC173" s="257">
        <v>408</v>
      </c>
      <c r="AD173" s="258">
        <v>425</v>
      </c>
      <c r="AE173" s="258">
        <v>420</v>
      </c>
      <c r="AF173" s="258">
        <v>332</v>
      </c>
      <c r="AG173" s="258">
        <v>285</v>
      </c>
      <c r="AH173" s="258">
        <v>301</v>
      </c>
      <c r="AI173" s="258">
        <v>253</v>
      </c>
      <c r="AJ173" s="614">
        <v>283</v>
      </c>
      <c r="AK173" s="354"/>
      <c r="AL173" s="257">
        <v>108</v>
      </c>
      <c r="AM173" s="258">
        <v>119</v>
      </c>
      <c r="AN173" s="258">
        <v>125</v>
      </c>
      <c r="AO173" s="258">
        <v>66</v>
      </c>
      <c r="AP173" s="258">
        <v>63</v>
      </c>
      <c r="AQ173" s="258">
        <v>67</v>
      </c>
      <c r="AR173" s="258">
        <v>78</v>
      </c>
      <c r="AS173" s="614">
        <v>50</v>
      </c>
      <c r="AT173" s="354"/>
      <c r="AU173" s="257"/>
      <c r="AV173" s="258"/>
      <c r="AW173" s="258"/>
      <c r="AX173" s="258"/>
      <c r="AY173" s="258"/>
      <c r="AZ173" s="258"/>
      <c r="BA173" s="258"/>
      <c r="BB173" s="614"/>
      <c r="BC173" s="354"/>
      <c r="BD173" s="257">
        <f t="shared" si="40"/>
        <v>615</v>
      </c>
      <c r="BE173" s="258">
        <f t="shared" si="41"/>
        <v>621</v>
      </c>
      <c r="BF173" s="258">
        <f t="shared" si="42"/>
        <v>649</v>
      </c>
      <c r="BG173" s="258">
        <f t="shared" si="43"/>
        <v>455</v>
      </c>
      <c r="BH173" s="258">
        <f t="shared" si="44"/>
        <v>412</v>
      </c>
      <c r="BI173" s="258">
        <f t="shared" si="45"/>
        <v>444</v>
      </c>
      <c r="BJ173" s="258">
        <f t="shared" si="46"/>
        <v>403</v>
      </c>
      <c r="BK173" s="614">
        <f t="shared" si="32"/>
        <v>405</v>
      </c>
      <c r="BL173" s="354">
        <f t="shared" si="32"/>
        <v>0</v>
      </c>
    </row>
    <row r="174" spans="1:64" x14ac:dyDescent="0.2">
      <c r="A174" s="365" t="s">
        <v>758</v>
      </c>
      <c r="B174" s="257">
        <v>5</v>
      </c>
      <c r="C174" s="258">
        <v>22</v>
      </c>
      <c r="D174" s="258">
        <v>16</v>
      </c>
      <c r="E174" s="258">
        <v>18</v>
      </c>
      <c r="F174" s="258">
        <v>11</v>
      </c>
      <c r="G174" s="258">
        <v>11</v>
      </c>
      <c r="H174" s="258">
        <v>12</v>
      </c>
      <c r="I174" s="614">
        <v>7</v>
      </c>
      <c r="J174" s="354"/>
      <c r="K174" s="257">
        <v>27</v>
      </c>
      <c r="L174" s="258">
        <v>33</v>
      </c>
      <c r="M174" s="258">
        <v>16</v>
      </c>
      <c r="N174" s="258">
        <v>21</v>
      </c>
      <c r="O174" s="258">
        <v>20</v>
      </c>
      <c r="P174" s="258">
        <v>12</v>
      </c>
      <c r="Q174" s="258">
        <v>14</v>
      </c>
      <c r="R174" s="614">
        <v>5</v>
      </c>
      <c r="S174" s="354"/>
      <c r="T174" s="257">
        <v>38</v>
      </c>
      <c r="U174" s="258">
        <v>42</v>
      </c>
      <c r="V174" s="258">
        <v>27</v>
      </c>
      <c r="W174" s="258">
        <v>26</v>
      </c>
      <c r="X174" s="258">
        <v>42</v>
      </c>
      <c r="Y174" s="258">
        <v>36</v>
      </c>
      <c r="Z174" s="258">
        <v>46</v>
      </c>
      <c r="AA174" s="614">
        <v>25</v>
      </c>
      <c r="AB174" s="354"/>
      <c r="AC174" s="257">
        <v>295</v>
      </c>
      <c r="AD174" s="258">
        <v>249</v>
      </c>
      <c r="AE174" s="258">
        <v>295</v>
      </c>
      <c r="AF174" s="258">
        <v>296</v>
      </c>
      <c r="AG174" s="258">
        <v>201</v>
      </c>
      <c r="AH174" s="258">
        <v>180</v>
      </c>
      <c r="AI174" s="258">
        <v>241</v>
      </c>
      <c r="AJ174" s="614">
        <v>154</v>
      </c>
      <c r="AK174" s="354"/>
      <c r="AL174" s="257">
        <v>67</v>
      </c>
      <c r="AM174" s="258">
        <v>76</v>
      </c>
      <c r="AN174" s="258">
        <v>62</v>
      </c>
      <c r="AO174" s="258">
        <v>112</v>
      </c>
      <c r="AP174" s="258">
        <v>60</v>
      </c>
      <c r="AQ174" s="258">
        <v>51</v>
      </c>
      <c r="AR174" s="258">
        <v>60</v>
      </c>
      <c r="AS174" s="614">
        <v>72</v>
      </c>
      <c r="AT174" s="354"/>
      <c r="AU174" s="257"/>
      <c r="AV174" s="258"/>
      <c r="AW174" s="258"/>
      <c r="AX174" s="258"/>
      <c r="AY174" s="258"/>
      <c r="AZ174" s="258"/>
      <c r="BA174" s="258"/>
      <c r="BB174" s="614"/>
      <c r="BC174" s="354"/>
      <c r="BD174" s="257">
        <f t="shared" si="40"/>
        <v>432</v>
      </c>
      <c r="BE174" s="258">
        <f t="shared" si="41"/>
        <v>422</v>
      </c>
      <c r="BF174" s="258">
        <f t="shared" si="42"/>
        <v>416</v>
      </c>
      <c r="BG174" s="258">
        <f t="shared" si="43"/>
        <v>473</v>
      </c>
      <c r="BH174" s="258">
        <f t="shared" si="44"/>
        <v>334</v>
      </c>
      <c r="BI174" s="258">
        <f t="shared" si="45"/>
        <v>290</v>
      </c>
      <c r="BJ174" s="258">
        <f t="shared" si="46"/>
        <v>373</v>
      </c>
      <c r="BK174" s="614">
        <f t="shared" si="32"/>
        <v>263</v>
      </c>
      <c r="BL174" s="354">
        <f t="shared" si="32"/>
        <v>0</v>
      </c>
    </row>
    <row r="175" spans="1:64" x14ac:dyDescent="0.2">
      <c r="A175" s="365" t="s">
        <v>757</v>
      </c>
      <c r="B175" s="257">
        <v>17</v>
      </c>
      <c r="C175" s="258">
        <v>21</v>
      </c>
      <c r="D175" s="258">
        <v>8</v>
      </c>
      <c r="E175" s="258">
        <v>4</v>
      </c>
      <c r="F175" s="258">
        <v>7</v>
      </c>
      <c r="G175" s="258">
        <v>11</v>
      </c>
      <c r="H175" s="258">
        <v>7</v>
      </c>
      <c r="I175" s="614">
        <v>12</v>
      </c>
      <c r="J175" s="354"/>
      <c r="K175" s="257">
        <v>25</v>
      </c>
      <c r="L175" s="258">
        <v>15</v>
      </c>
      <c r="M175" s="258">
        <v>17</v>
      </c>
      <c r="N175" s="258">
        <v>26</v>
      </c>
      <c r="O175" s="258">
        <v>10</v>
      </c>
      <c r="P175" s="258">
        <v>22</v>
      </c>
      <c r="Q175" s="258">
        <v>20</v>
      </c>
      <c r="R175" s="614">
        <v>17</v>
      </c>
      <c r="S175" s="354"/>
      <c r="T175" s="257">
        <v>50</v>
      </c>
      <c r="U175" s="258">
        <v>41</v>
      </c>
      <c r="V175" s="258">
        <v>37</v>
      </c>
      <c r="W175" s="258">
        <v>42</v>
      </c>
      <c r="X175" s="258">
        <v>40</v>
      </c>
      <c r="Y175" s="258">
        <v>78</v>
      </c>
      <c r="Z175" s="258">
        <v>29</v>
      </c>
      <c r="AA175" s="614">
        <v>54</v>
      </c>
      <c r="AB175" s="354"/>
      <c r="AC175" s="257">
        <v>292</v>
      </c>
      <c r="AD175" s="258">
        <v>284</v>
      </c>
      <c r="AE175" s="258">
        <v>275</v>
      </c>
      <c r="AF175" s="258">
        <v>325</v>
      </c>
      <c r="AG175" s="258">
        <v>276</v>
      </c>
      <c r="AH175" s="258">
        <v>308</v>
      </c>
      <c r="AI175" s="258">
        <v>195</v>
      </c>
      <c r="AJ175" s="614">
        <v>305</v>
      </c>
      <c r="AK175" s="354"/>
      <c r="AL175" s="257">
        <v>77</v>
      </c>
      <c r="AM175" s="258">
        <v>83</v>
      </c>
      <c r="AN175" s="258">
        <v>92</v>
      </c>
      <c r="AO175" s="258">
        <v>79</v>
      </c>
      <c r="AP175" s="258">
        <v>93</v>
      </c>
      <c r="AQ175" s="258">
        <v>94</v>
      </c>
      <c r="AR175" s="258">
        <v>94</v>
      </c>
      <c r="AS175" s="614">
        <v>73</v>
      </c>
      <c r="AT175" s="354"/>
      <c r="AU175" s="257"/>
      <c r="AV175" s="258"/>
      <c r="AW175" s="258"/>
      <c r="AX175" s="258"/>
      <c r="AY175" s="258"/>
      <c r="AZ175" s="258"/>
      <c r="BA175" s="258"/>
      <c r="BB175" s="614"/>
      <c r="BC175" s="354"/>
      <c r="BD175" s="257">
        <f t="shared" si="40"/>
        <v>461</v>
      </c>
      <c r="BE175" s="258">
        <f t="shared" si="41"/>
        <v>444</v>
      </c>
      <c r="BF175" s="258">
        <f t="shared" si="42"/>
        <v>429</v>
      </c>
      <c r="BG175" s="258">
        <f t="shared" si="43"/>
        <v>476</v>
      </c>
      <c r="BH175" s="258">
        <f t="shared" si="44"/>
        <v>426</v>
      </c>
      <c r="BI175" s="258">
        <f t="shared" si="45"/>
        <v>513</v>
      </c>
      <c r="BJ175" s="258">
        <f t="shared" si="46"/>
        <v>345</v>
      </c>
      <c r="BK175" s="614">
        <f t="shared" si="32"/>
        <v>461</v>
      </c>
      <c r="BL175" s="354">
        <f t="shared" si="32"/>
        <v>0</v>
      </c>
    </row>
    <row r="176" spans="1:64" x14ac:dyDescent="0.2">
      <c r="A176" s="365" t="s">
        <v>754</v>
      </c>
      <c r="B176" s="257">
        <v>37</v>
      </c>
      <c r="C176" s="258">
        <v>57</v>
      </c>
      <c r="D176" s="258">
        <v>52</v>
      </c>
      <c r="E176" s="258">
        <v>22</v>
      </c>
      <c r="F176" s="258">
        <v>33</v>
      </c>
      <c r="G176" s="258">
        <v>21</v>
      </c>
      <c r="H176" s="258">
        <v>20</v>
      </c>
      <c r="I176" s="614">
        <v>36</v>
      </c>
      <c r="J176" s="354"/>
      <c r="K176" s="257">
        <v>111</v>
      </c>
      <c r="L176" s="258">
        <v>124</v>
      </c>
      <c r="M176" s="258">
        <v>78</v>
      </c>
      <c r="N176" s="258">
        <v>65</v>
      </c>
      <c r="O176" s="258">
        <v>79</v>
      </c>
      <c r="P176" s="258">
        <v>70</v>
      </c>
      <c r="Q176" s="258">
        <v>36</v>
      </c>
      <c r="R176" s="614">
        <v>45</v>
      </c>
      <c r="S176" s="354"/>
      <c r="T176" s="257">
        <v>254</v>
      </c>
      <c r="U176" s="258">
        <v>226</v>
      </c>
      <c r="V176" s="258">
        <v>245</v>
      </c>
      <c r="W176" s="258">
        <v>236</v>
      </c>
      <c r="X176" s="258">
        <v>225</v>
      </c>
      <c r="Y176" s="258">
        <v>295</v>
      </c>
      <c r="Z176" s="258">
        <v>165</v>
      </c>
      <c r="AA176" s="614">
        <v>159</v>
      </c>
      <c r="AB176" s="354"/>
      <c r="AC176" s="257">
        <v>1453</v>
      </c>
      <c r="AD176" s="258">
        <v>1316</v>
      </c>
      <c r="AE176" s="258">
        <v>1225</v>
      </c>
      <c r="AF176" s="258">
        <v>1044</v>
      </c>
      <c r="AG176" s="258">
        <v>1051</v>
      </c>
      <c r="AH176" s="258">
        <v>1219</v>
      </c>
      <c r="AI176" s="258">
        <v>817</v>
      </c>
      <c r="AJ176" s="614">
        <v>826</v>
      </c>
      <c r="AK176" s="354"/>
      <c r="AL176" s="257">
        <v>420</v>
      </c>
      <c r="AM176" s="258">
        <v>530</v>
      </c>
      <c r="AN176" s="258">
        <v>446</v>
      </c>
      <c r="AO176" s="258">
        <v>293</v>
      </c>
      <c r="AP176" s="258">
        <v>315</v>
      </c>
      <c r="AQ176" s="258">
        <v>285</v>
      </c>
      <c r="AR176" s="258">
        <v>278</v>
      </c>
      <c r="AS176" s="614">
        <v>233</v>
      </c>
      <c r="AT176" s="354"/>
      <c r="AU176" s="257"/>
      <c r="AV176" s="258"/>
      <c r="AW176" s="258"/>
      <c r="AX176" s="258"/>
      <c r="AY176" s="258"/>
      <c r="AZ176" s="258"/>
      <c r="BA176" s="258"/>
      <c r="BB176" s="614"/>
      <c r="BC176" s="354"/>
      <c r="BD176" s="257">
        <f t="shared" si="40"/>
        <v>2275</v>
      </c>
      <c r="BE176" s="258">
        <f t="shared" si="41"/>
        <v>2253</v>
      </c>
      <c r="BF176" s="258">
        <f t="shared" si="42"/>
        <v>2046</v>
      </c>
      <c r="BG176" s="258">
        <f t="shared" si="43"/>
        <v>1660</v>
      </c>
      <c r="BH176" s="258">
        <f t="shared" si="44"/>
        <v>1703</v>
      </c>
      <c r="BI176" s="258">
        <f t="shared" si="45"/>
        <v>1890</v>
      </c>
      <c r="BJ176" s="258">
        <f t="shared" si="46"/>
        <v>1316</v>
      </c>
      <c r="BK176" s="614">
        <f t="shared" si="32"/>
        <v>1299</v>
      </c>
      <c r="BL176" s="354">
        <f t="shared" si="32"/>
        <v>0</v>
      </c>
    </row>
    <row r="177" spans="1:64" x14ac:dyDescent="0.2">
      <c r="A177" s="365" t="s">
        <v>824</v>
      </c>
      <c r="B177" s="257"/>
      <c r="C177" s="258">
        <v>2</v>
      </c>
      <c r="D177" s="258"/>
      <c r="E177" s="258">
        <v>5</v>
      </c>
      <c r="F177" s="258">
        <v>6</v>
      </c>
      <c r="G177" s="258"/>
      <c r="H177" s="258">
        <v>8</v>
      </c>
      <c r="I177" s="614">
        <v>3</v>
      </c>
      <c r="J177" s="354"/>
      <c r="K177" s="257"/>
      <c r="L177" s="258">
        <v>2</v>
      </c>
      <c r="M177" s="258">
        <v>6</v>
      </c>
      <c r="N177" s="258">
        <v>3</v>
      </c>
      <c r="O177" s="258">
        <v>8</v>
      </c>
      <c r="P177" s="258"/>
      <c r="Q177" s="258">
        <v>2</v>
      </c>
      <c r="R177" s="614"/>
      <c r="S177" s="354"/>
      <c r="T177" s="257">
        <v>11</v>
      </c>
      <c r="U177" s="258">
        <v>8</v>
      </c>
      <c r="V177" s="258">
        <v>14</v>
      </c>
      <c r="W177" s="258">
        <v>13</v>
      </c>
      <c r="X177" s="258">
        <v>3</v>
      </c>
      <c r="Y177" s="258">
        <v>5</v>
      </c>
      <c r="Z177" s="258">
        <v>4</v>
      </c>
      <c r="AA177" s="614">
        <v>4</v>
      </c>
      <c r="AB177" s="354"/>
      <c r="AC177" s="257">
        <v>86</v>
      </c>
      <c r="AD177" s="258">
        <v>54</v>
      </c>
      <c r="AE177" s="258">
        <v>48</v>
      </c>
      <c r="AF177" s="258">
        <v>38</v>
      </c>
      <c r="AG177" s="258">
        <v>32</v>
      </c>
      <c r="AH177" s="258">
        <v>36</v>
      </c>
      <c r="AI177" s="258">
        <v>23</v>
      </c>
      <c r="AJ177" s="614">
        <v>14</v>
      </c>
      <c r="AK177" s="354"/>
      <c r="AL177" s="257">
        <v>9</v>
      </c>
      <c r="AM177" s="258">
        <v>12</v>
      </c>
      <c r="AN177" s="258">
        <v>11</v>
      </c>
      <c r="AO177" s="258">
        <v>9</v>
      </c>
      <c r="AP177" s="258">
        <v>7</v>
      </c>
      <c r="AQ177" s="258">
        <v>9</v>
      </c>
      <c r="AR177" s="258">
        <v>9</v>
      </c>
      <c r="AS177" s="614">
        <v>4</v>
      </c>
      <c r="AT177" s="354"/>
      <c r="AU177" s="257"/>
      <c r="AV177" s="258"/>
      <c r="AW177" s="258"/>
      <c r="AX177" s="258"/>
      <c r="AY177" s="258"/>
      <c r="AZ177" s="258"/>
      <c r="BA177" s="258"/>
      <c r="BB177" s="614"/>
      <c r="BC177" s="354"/>
      <c r="BD177" s="257">
        <f t="shared" si="40"/>
        <v>106</v>
      </c>
      <c r="BE177" s="258">
        <f t="shared" si="41"/>
        <v>78</v>
      </c>
      <c r="BF177" s="258">
        <f t="shared" si="42"/>
        <v>79</v>
      </c>
      <c r="BG177" s="258">
        <f t="shared" si="43"/>
        <v>68</v>
      </c>
      <c r="BH177" s="258">
        <f t="shared" si="44"/>
        <v>56</v>
      </c>
      <c r="BI177" s="258">
        <f t="shared" si="45"/>
        <v>50</v>
      </c>
      <c r="BJ177" s="258">
        <f t="shared" si="46"/>
        <v>46</v>
      </c>
      <c r="BK177" s="614">
        <f t="shared" si="32"/>
        <v>25</v>
      </c>
      <c r="BL177" s="354">
        <f t="shared" si="32"/>
        <v>0</v>
      </c>
    </row>
    <row r="178" spans="1:64" ht="13.5" thickBot="1" x14ac:dyDescent="0.25">
      <c r="A178" s="366" t="s">
        <v>759</v>
      </c>
      <c r="B178" s="361">
        <v>14</v>
      </c>
      <c r="C178" s="362">
        <v>7</v>
      </c>
      <c r="D178" s="362">
        <v>7</v>
      </c>
      <c r="E178" s="362">
        <v>6</v>
      </c>
      <c r="F178" s="362">
        <v>4</v>
      </c>
      <c r="G178" s="362">
        <v>13</v>
      </c>
      <c r="H178" s="362">
        <v>3</v>
      </c>
      <c r="I178" s="615">
        <v>3</v>
      </c>
      <c r="J178" s="363"/>
      <c r="K178" s="361">
        <v>22</v>
      </c>
      <c r="L178" s="362">
        <v>14</v>
      </c>
      <c r="M178" s="362">
        <v>9</v>
      </c>
      <c r="N178" s="362">
        <v>11</v>
      </c>
      <c r="O178" s="362">
        <v>4</v>
      </c>
      <c r="P178" s="362">
        <v>8</v>
      </c>
      <c r="Q178" s="362">
        <v>8</v>
      </c>
      <c r="R178" s="615">
        <v>5</v>
      </c>
      <c r="S178" s="363"/>
      <c r="T178" s="361">
        <v>39</v>
      </c>
      <c r="U178" s="362">
        <v>101</v>
      </c>
      <c r="V178" s="362">
        <v>22</v>
      </c>
      <c r="W178" s="362">
        <v>28</v>
      </c>
      <c r="X178" s="362">
        <v>13</v>
      </c>
      <c r="Y178" s="362">
        <v>18</v>
      </c>
      <c r="Z178" s="362">
        <v>24</v>
      </c>
      <c r="AA178" s="615">
        <v>29</v>
      </c>
      <c r="AB178" s="363"/>
      <c r="AC178" s="361">
        <v>227</v>
      </c>
      <c r="AD178" s="362">
        <v>374</v>
      </c>
      <c r="AE178" s="362">
        <v>155</v>
      </c>
      <c r="AF178" s="362">
        <v>162</v>
      </c>
      <c r="AG178" s="362">
        <v>156</v>
      </c>
      <c r="AH178" s="362">
        <v>129</v>
      </c>
      <c r="AI178" s="362">
        <v>129</v>
      </c>
      <c r="AJ178" s="615">
        <v>123</v>
      </c>
      <c r="AK178" s="363"/>
      <c r="AL178" s="361">
        <v>72</v>
      </c>
      <c r="AM178" s="362">
        <v>78</v>
      </c>
      <c r="AN178" s="362">
        <v>56</v>
      </c>
      <c r="AO178" s="362">
        <v>55</v>
      </c>
      <c r="AP178" s="362">
        <v>50</v>
      </c>
      <c r="AQ178" s="362">
        <v>48</v>
      </c>
      <c r="AR178" s="362">
        <v>44</v>
      </c>
      <c r="AS178" s="615">
        <v>49</v>
      </c>
      <c r="AT178" s="363"/>
      <c r="AU178" s="361"/>
      <c r="AV178" s="362"/>
      <c r="AW178" s="362"/>
      <c r="AX178" s="362"/>
      <c r="AY178" s="362"/>
      <c r="AZ178" s="362"/>
      <c r="BA178" s="362"/>
      <c r="BB178" s="615"/>
      <c r="BC178" s="363"/>
      <c r="BD178" s="361">
        <f t="shared" si="40"/>
        <v>374</v>
      </c>
      <c r="BE178" s="362">
        <f t="shared" si="41"/>
        <v>574</v>
      </c>
      <c r="BF178" s="362">
        <f t="shared" si="42"/>
        <v>249</v>
      </c>
      <c r="BG178" s="362">
        <f t="shared" si="43"/>
        <v>262</v>
      </c>
      <c r="BH178" s="362">
        <f t="shared" si="44"/>
        <v>227</v>
      </c>
      <c r="BI178" s="362">
        <f t="shared" si="45"/>
        <v>216</v>
      </c>
      <c r="BJ178" s="362">
        <f t="shared" si="46"/>
        <v>208</v>
      </c>
      <c r="BK178" s="615">
        <f t="shared" si="32"/>
        <v>209</v>
      </c>
      <c r="BL178" s="363">
        <f t="shared" si="32"/>
        <v>0</v>
      </c>
    </row>
    <row r="179" spans="1:64" s="259" customFormat="1" x14ac:dyDescent="0.2">
      <c r="A179" s="364" t="s">
        <v>794</v>
      </c>
      <c r="B179" s="781">
        <v>176</v>
      </c>
      <c r="C179" s="782">
        <v>376</v>
      </c>
      <c r="D179" s="782">
        <v>256</v>
      </c>
      <c r="E179" s="782">
        <v>224</v>
      </c>
      <c r="F179" s="782">
        <v>186</v>
      </c>
      <c r="G179" s="782">
        <v>186</v>
      </c>
      <c r="H179" s="782">
        <v>157</v>
      </c>
      <c r="I179" s="783">
        <v>181</v>
      </c>
      <c r="J179" s="784"/>
      <c r="K179" s="781">
        <v>280</v>
      </c>
      <c r="L179" s="782">
        <v>312</v>
      </c>
      <c r="M179" s="782">
        <v>305</v>
      </c>
      <c r="N179" s="782">
        <v>282</v>
      </c>
      <c r="O179" s="782">
        <v>261</v>
      </c>
      <c r="P179" s="782">
        <v>239</v>
      </c>
      <c r="Q179" s="782">
        <v>209</v>
      </c>
      <c r="R179" s="783">
        <v>219</v>
      </c>
      <c r="S179" s="784"/>
      <c r="T179" s="781">
        <v>596</v>
      </c>
      <c r="U179" s="782">
        <v>715</v>
      </c>
      <c r="V179" s="782">
        <v>827</v>
      </c>
      <c r="W179" s="782">
        <v>780</v>
      </c>
      <c r="X179" s="782">
        <v>599</v>
      </c>
      <c r="Y179" s="782">
        <v>434</v>
      </c>
      <c r="Z179" s="782">
        <v>493</v>
      </c>
      <c r="AA179" s="783">
        <v>477</v>
      </c>
      <c r="AB179" s="784"/>
      <c r="AC179" s="781">
        <v>4533</v>
      </c>
      <c r="AD179" s="782">
        <v>5263</v>
      </c>
      <c r="AE179" s="782">
        <v>4544</v>
      </c>
      <c r="AF179" s="782">
        <v>4836</v>
      </c>
      <c r="AG179" s="782">
        <v>3443</v>
      </c>
      <c r="AH179" s="782">
        <v>2815</v>
      </c>
      <c r="AI179" s="782">
        <v>2693</v>
      </c>
      <c r="AJ179" s="783">
        <v>2778</v>
      </c>
      <c r="AK179" s="784"/>
      <c r="AL179" s="781">
        <v>1153</v>
      </c>
      <c r="AM179" s="782">
        <v>1362</v>
      </c>
      <c r="AN179" s="782">
        <v>1394</v>
      </c>
      <c r="AO179" s="782">
        <v>1030</v>
      </c>
      <c r="AP179" s="782">
        <v>1097</v>
      </c>
      <c r="AQ179" s="782">
        <v>1170</v>
      </c>
      <c r="AR179" s="782">
        <v>806</v>
      </c>
      <c r="AS179" s="783">
        <v>853</v>
      </c>
      <c r="AT179" s="784"/>
      <c r="AU179" s="781"/>
      <c r="AV179" s="782"/>
      <c r="AW179" s="782"/>
      <c r="AX179" s="782"/>
      <c r="AY179" s="782"/>
      <c r="AZ179" s="782"/>
      <c r="BA179" s="782"/>
      <c r="BB179" s="783"/>
      <c r="BC179" s="784"/>
      <c r="BD179" s="781">
        <f t="shared" si="40"/>
        <v>6738</v>
      </c>
      <c r="BE179" s="782">
        <f t="shared" si="41"/>
        <v>8028</v>
      </c>
      <c r="BF179" s="782">
        <f t="shared" si="42"/>
        <v>7326</v>
      </c>
      <c r="BG179" s="782">
        <f t="shared" si="43"/>
        <v>7152</v>
      </c>
      <c r="BH179" s="782">
        <f t="shared" si="44"/>
        <v>5586</v>
      </c>
      <c r="BI179" s="782">
        <f t="shared" si="45"/>
        <v>4844</v>
      </c>
      <c r="BJ179" s="782">
        <f t="shared" si="46"/>
        <v>4358</v>
      </c>
      <c r="BK179" s="783">
        <f t="shared" si="32"/>
        <v>4508</v>
      </c>
      <c r="BL179" s="784">
        <f t="shared" si="32"/>
        <v>0</v>
      </c>
    </row>
    <row r="180" spans="1:64" x14ac:dyDescent="0.2">
      <c r="A180" s="365" t="s">
        <v>764</v>
      </c>
      <c r="B180" s="257">
        <v>28</v>
      </c>
      <c r="C180" s="258">
        <v>38</v>
      </c>
      <c r="D180" s="258">
        <v>40</v>
      </c>
      <c r="E180" s="258">
        <v>23</v>
      </c>
      <c r="F180" s="258">
        <v>30</v>
      </c>
      <c r="G180" s="258">
        <v>49</v>
      </c>
      <c r="H180" s="258">
        <v>25</v>
      </c>
      <c r="I180" s="614">
        <v>10</v>
      </c>
      <c r="J180" s="354"/>
      <c r="K180" s="257">
        <v>56</v>
      </c>
      <c r="L180" s="258">
        <v>43</v>
      </c>
      <c r="M180" s="258">
        <v>51</v>
      </c>
      <c r="N180" s="258">
        <v>44</v>
      </c>
      <c r="O180" s="258">
        <v>31</v>
      </c>
      <c r="P180" s="258">
        <v>35</v>
      </c>
      <c r="Q180" s="258">
        <v>19</v>
      </c>
      <c r="R180" s="614">
        <v>23</v>
      </c>
      <c r="S180" s="354"/>
      <c r="T180" s="257">
        <v>93</v>
      </c>
      <c r="U180" s="258">
        <v>156</v>
      </c>
      <c r="V180" s="258">
        <v>332</v>
      </c>
      <c r="W180" s="258">
        <v>399</v>
      </c>
      <c r="X180" s="258">
        <v>68</v>
      </c>
      <c r="Y180" s="258">
        <v>55</v>
      </c>
      <c r="Z180" s="258">
        <v>69</v>
      </c>
      <c r="AA180" s="614">
        <v>85</v>
      </c>
      <c r="AB180" s="354"/>
      <c r="AC180" s="257">
        <v>697</v>
      </c>
      <c r="AD180" s="258">
        <v>924</v>
      </c>
      <c r="AE180" s="258">
        <v>922</v>
      </c>
      <c r="AF180" s="258">
        <v>1858</v>
      </c>
      <c r="AG180" s="258">
        <v>433</v>
      </c>
      <c r="AH180" s="258">
        <v>346</v>
      </c>
      <c r="AI180" s="258">
        <v>415</v>
      </c>
      <c r="AJ180" s="614">
        <v>335</v>
      </c>
      <c r="AK180" s="354"/>
      <c r="AL180" s="257">
        <v>168</v>
      </c>
      <c r="AM180" s="258">
        <v>256</v>
      </c>
      <c r="AN180" s="258">
        <v>256</v>
      </c>
      <c r="AO180" s="258">
        <v>214</v>
      </c>
      <c r="AP180" s="258">
        <v>168</v>
      </c>
      <c r="AQ180" s="258">
        <v>131</v>
      </c>
      <c r="AR180" s="258">
        <v>125</v>
      </c>
      <c r="AS180" s="614">
        <v>87</v>
      </c>
      <c r="AT180" s="354"/>
      <c r="AU180" s="257"/>
      <c r="AV180" s="258"/>
      <c r="AW180" s="258"/>
      <c r="AX180" s="258"/>
      <c r="AY180" s="258"/>
      <c r="AZ180" s="258"/>
      <c r="BA180" s="258"/>
      <c r="BB180" s="614"/>
      <c r="BC180" s="354"/>
      <c r="BD180" s="257">
        <f t="shared" si="40"/>
        <v>1042</v>
      </c>
      <c r="BE180" s="258">
        <f t="shared" si="41"/>
        <v>1417</v>
      </c>
      <c r="BF180" s="258">
        <f t="shared" si="42"/>
        <v>1601</v>
      </c>
      <c r="BG180" s="258">
        <f t="shared" si="43"/>
        <v>2538</v>
      </c>
      <c r="BH180" s="258">
        <f t="shared" si="44"/>
        <v>730</v>
      </c>
      <c r="BI180" s="258">
        <f t="shared" si="45"/>
        <v>616</v>
      </c>
      <c r="BJ180" s="258">
        <f t="shared" si="46"/>
        <v>653</v>
      </c>
      <c r="BK180" s="614">
        <f t="shared" si="32"/>
        <v>540</v>
      </c>
      <c r="BL180" s="354">
        <f t="shared" si="32"/>
        <v>0</v>
      </c>
    </row>
    <row r="181" spans="1:64" x14ac:dyDescent="0.2">
      <c r="A181" s="365" t="s">
        <v>627</v>
      </c>
      <c r="B181" s="257">
        <v>11</v>
      </c>
      <c r="C181" s="258">
        <v>19</v>
      </c>
      <c r="D181" s="258">
        <v>26</v>
      </c>
      <c r="E181" s="258">
        <v>4</v>
      </c>
      <c r="F181" s="258">
        <v>8</v>
      </c>
      <c r="G181" s="258">
        <v>2</v>
      </c>
      <c r="H181" s="258">
        <v>6</v>
      </c>
      <c r="I181" s="614">
        <v>9</v>
      </c>
      <c r="J181" s="354"/>
      <c r="K181" s="257">
        <v>20</v>
      </c>
      <c r="L181" s="258">
        <v>31</v>
      </c>
      <c r="M181" s="258">
        <v>30</v>
      </c>
      <c r="N181" s="258">
        <v>37</v>
      </c>
      <c r="O181" s="258">
        <v>13</v>
      </c>
      <c r="P181" s="258">
        <v>19</v>
      </c>
      <c r="Q181" s="258">
        <v>12</v>
      </c>
      <c r="R181" s="614">
        <v>17</v>
      </c>
      <c r="S181" s="354"/>
      <c r="T181" s="257">
        <v>41</v>
      </c>
      <c r="U181" s="258">
        <v>42</v>
      </c>
      <c r="V181" s="258">
        <v>53</v>
      </c>
      <c r="W181" s="258">
        <v>18</v>
      </c>
      <c r="X181" s="258">
        <v>33</v>
      </c>
      <c r="Y181" s="258">
        <v>21</v>
      </c>
      <c r="Z181" s="258">
        <v>32</v>
      </c>
      <c r="AA181" s="614">
        <v>36</v>
      </c>
      <c r="AB181" s="354"/>
      <c r="AC181" s="257">
        <v>422</v>
      </c>
      <c r="AD181" s="258">
        <v>507</v>
      </c>
      <c r="AE181" s="258">
        <v>323</v>
      </c>
      <c r="AF181" s="258">
        <v>327</v>
      </c>
      <c r="AG181" s="258">
        <v>236</v>
      </c>
      <c r="AH181" s="258">
        <v>220</v>
      </c>
      <c r="AI181" s="258">
        <v>255</v>
      </c>
      <c r="AJ181" s="614">
        <v>217</v>
      </c>
      <c r="AK181" s="354"/>
      <c r="AL181" s="257">
        <v>123</v>
      </c>
      <c r="AM181" s="258">
        <v>138</v>
      </c>
      <c r="AN181" s="258">
        <v>144</v>
      </c>
      <c r="AO181" s="258">
        <v>82</v>
      </c>
      <c r="AP181" s="258">
        <v>97</v>
      </c>
      <c r="AQ181" s="258">
        <v>78</v>
      </c>
      <c r="AR181" s="258">
        <v>86</v>
      </c>
      <c r="AS181" s="614">
        <v>70</v>
      </c>
      <c r="AT181" s="354"/>
      <c r="AU181" s="257"/>
      <c r="AV181" s="258"/>
      <c r="AW181" s="258"/>
      <c r="AX181" s="258"/>
      <c r="AY181" s="258"/>
      <c r="AZ181" s="258"/>
      <c r="BA181" s="258"/>
      <c r="BB181" s="614"/>
      <c r="BC181" s="354"/>
      <c r="BD181" s="257">
        <f t="shared" si="40"/>
        <v>617</v>
      </c>
      <c r="BE181" s="258">
        <f t="shared" si="41"/>
        <v>737</v>
      </c>
      <c r="BF181" s="258">
        <f t="shared" si="42"/>
        <v>576</v>
      </c>
      <c r="BG181" s="258">
        <f t="shared" si="43"/>
        <v>468</v>
      </c>
      <c r="BH181" s="258">
        <f t="shared" si="44"/>
        <v>387</v>
      </c>
      <c r="BI181" s="258">
        <f t="shared" si="45"/>
        <v>340</v>
      </c>
      <c r="BJ181" s="258">
        <f t="shared" si="46"/>
        <v>391</v>
      </c>
      <c r="BK181" s="614">
        <f t="shared" si="32"/>
        <v>349</v>
      </c>
      <c r="BL181" s="354">
        <f t="shared" si="32"/>
        <v>0</v>
      </c>
    </row>
    <row r="182" spans="1:64" x14ac:dyDescent="0.2">
      <c r="A182" s="365" t="s">
        <v>765</v>
      </c>
      <c r="B182" s="257">
        <v>11</v>
      </c>
      <c r="C182" s="258">
        <v>22</v>
      </c>
      <c r="D182" s="258">
        <v>9</v>
      </c>
      <c r="E182" s="258">
        <v>10</v>
      </c>
      <c r="F182" s="258">
        <v>10</v>
      </c>
      <c r="G182" s="258">
        <v>3</v>
      </c>
      <c r="H182" s="258">
        <v>5</v>
      </c>
      <c r="I182" s="614">
        <v>8</v>
      </c>
      <c r="J182" s="354"/>
      <c r="K182" s="257">
        <v>26</v>
      </c>
      <c r="L182" s="258">
        <v>48</v>
      </c>
      <c r="M182" s="258">
        <v>25</v>
      </c>
      <c r="N182" s="258">
        <v>24</v>
      </c>
      <c r="O182" s="258">
        <v>30</v>
      </c>
      <c r="P182" s="258">
        <v>9</v>
      </c>
      <c r="Q182" s="258">
        <v>9</v>
      </c>
      <c r="R182" s="614">
        <v>12</v>
      </c>
      <c r="S182" s="354"/>
      <c r="T182" s="257">
        <v>61</v>
      </c>
      <c r="U182" s="258">
        <v>61</v>
      </c>
      <c r="V182" s="258">
        <v>80</v>
      </c>
      <c r="W182" s="258">
        <v>47</v>
      </c>
      <c r="X182" s="258">
        <v>64</v>
      </c>
      <c r="Y182" s="258">
        <v>42</v>
      </c>
      <c r="Z182" s="258">
        <v>33</v>
      </c>
      <c r="AA182" s="614">
        <v>39</v>
      </c>
      <c r="AB182" s="354"/>
      <c r="AC182" s="257">
        <v>472</v>
      </c>
      <c r="AD182" s="258">
        <v>516</v>
      </c>
      <c r="AE182" s="258">
        <v>408</v>
      </c>
      <c r="AF182" s="258">
        <v>240</v>
      </c>
      <c r="AG182" s="258">
        <v>417</v>
      </c>
      <c r="AH182" s="258">
        <v>247</v>
      </c>
      <c r="AI182" s="258">
        <v>211</v>
      </c>
      <c r="AJ182" s="614">
        <v>282</v>
      </c>
      <c r="AK182" s="354"/>
      <c r="AL182" s="257">
        <v>123</v>
      </c>
      <c r="AM182" s="258">
        <v>131</v>
      </c>
      <c r="AN182" s="258">
        <v>154</v>
      </c>
      <c r="AO182" s="258">
        <v>60</v>
      </c>
      <c r="AP182" s="258">
        <v>125</v>
      </c>
      <c r="AQ182" s="258">
        <v>71</v>
      </c>
      <c r="AR182" s="258">
        <v>78</v>
      </c>
      <c r="AS182" s="614">
        <v>92</v>
      </c>
      <c r="AT182" s="354"/>
      <c r="AU182" s="257"/>
      <c r="AV182" s="258"/>
      <c r="AW182" s="258"/>
      <c r="AX182" s="258"/>
      <c r="AY182" s="258"/>
      <c r="AZ182" s="258"/>
      <c r="BA182" s="258"/>
      <c r="BB182" s="614"/>
      <c r="BC182" s="354"/>
      <c r="BD182" s="257">
        <f t="shared" si="40"/>
        <v>693</v>
      </c>
      <c r="BE182" s="258">
        <f t="shared" si="41"/>
        <v>778</v>
      </c>
      <c r="BF182" s="258">
        <f t="shared" si="42"/>
        <v>676</v>
      </c>
      <c r="BG182" s="258">
        <f t="shared" si="43"/>
        <v>381</v>
      </c>
      <c r="BH182" s="258">
        <f t="shared" si="44"/>
        <v>646</v>
      </c>
      <c r="BI182" s="258">
        <f t="shared" si="45"/>
        <v>372</v>
      </c>
      <c r="BJ182" s="258">
        <f t="shared" si="46"/>
        <v>336</v>
      </c>
      <c r="BK182" s="614">
        <f t="shared" si="32"/>
        <v>433</v>
      </c>
      <c r="BL182" s="354">
        <f t="shared" si="32"/>
        <v>0</v>
      </c>
    </row>
    <row r="183" spans="1:64" x14ac:dyDescent="0.2">
      <c r="A183" s="365" t="s">
        <v>761</v>
      </c>
      <c r="B183" s="257">
        <v>33</v>
      </c>
      <c r="C183" s="258">
        <v>69</v>
      </c>
      <c r="D183" s="258">
        <v>46</v>
      </c>
      <c r="E183" s="258">
        <v>42</v>
      </c>
      <c r="F183" s="258">
        <v>37</v>
      </c>
      <c r="G183" s="258">
        <v>35</v>
      </c>
      <c r="H183" s="258">
        <v>20</v>
      </c>
      <c r="I183" s="614">
        <v>32</v>
      </c>
      <c r="J183" s="354"/>
      <c r="K183" s="257">
        <v>45</v>
      </c>
      <c r="L183" s="258">
        <v>54</v>
      </c>
      <c r="M183" s="258">
        <v>60</v>
      </c>
      <c r="N183" s="258">
        <v>39</v>
      </c>
      <c r="O183" s="258">
        <v>45</v>
      </c>
      <c r="P183" s="258">
        <v>28</v>
      </c>
      <c r="Q183" s="258">
        <v>50</v>
      </c>
      <c r="R183" s="614">
        <v>45</v>
      </c>
      <c r="S183" s="354"/>
      <c r="T183" s="257">
        <v>90</v>
      </c>
      <c r="U183" s="258">
        <v>137</v>
      </c>
      <c r="V183" s="258">
        <v>102</v>
      </c>
      <c r="W183" s="258">
        <v>92</v>
      </c>
      <c r="X183" s="258">
        <v>139</v>
      </c>
      <c r="Y183" s="258">
        <v>54</v>
      </c>
      <c r="Z183" s="258">
        <v>95</v>
      </c>
      <c r="AA183" s="614">
        <v>56</v>
      </c>
      <c r="AB183" s="354"/>
      <c r="AC183" s="257">
        <v>876</v>
      </c>
      <c r="AD183" s="258">
        <v>881</v>
      </c>
      <c r="AE183" s="258">
        <v>734</v>
      </c>
      <c r="AF183" s="258">
        <v>672</v>
      </c>
      <c r="AG183" s="258">
        <v>630</v>
      </c>
      <c r="AH183" s="258">
        <v>362</v>
      </c>
      <c r="AI183" s="258">
        <v>413</v>
      </c>
      <c r="AJ183" s="614">
        <v>343</v>
      </c>
      <c r="AK183" s="354"/>
      <c r="AL183" s="257">
        <v>186</v>
      </c>
      <c r="AM183" s="258">
        <v>203</v>
      </c>
      <c r="AN183" s="258">
        <v>210</v>
      </c>
      <c r="AO183" s="258">
        <v>157</v>
      </c>
      <c r="AP183" s="258">
        <v>232</v>
      </c>
      <c r="AQ183" s="258">
        <v>277</v>
      </c>
      <c r="AR183" s="258">
        <v>147</v>
      </c>
      <c r="AS183" s="614">
        <v>110</v>
      </c>
      <c r="AT183" s="354"/>
      <c r="AU183" s="257"/>
      <c r="AV183" s="258"/>
      <c r="AW183" s="258"/>
      <c r="AX183" s="258"/>
      <c r="AY183" s="258"/>
      <c r="AZ183" s="258"/>
      <c r="BA183" s="258"/>
      <c r="BB183" s="614"/>
      <c r="BC183" s="354"/>
      <c r="BD183" s="257">
        <f t="shared" si="40"/>
        <v>1230</v>
      </c>
      <c r="BE183" s="258">
        <f t="shared" si="41"/>
        <v>1344</v>
      </c>
      <c r="BF183" s="258">
        <f t="shared" si="42"/>
        <v>1152</v>
      </c>
      <c r="BG183" s="258">
        <f t="shared" si="43"/>
        <v>1002</v>
      </c>
      <c r="BH183" s="258">
        <f t="shared" si="44"/>
        <v>1083</v>
      </c>
      <c r="BI183" s="258">
        <f t="shared" si="45"/>
        <v>756</v>
      </c>
      <c r="BJ183" s="258">
        <f t="shared" si="46"/>
        <v>725</v>
      </c>
      <c r="BK183" s="614">
        <f t="shared" si="32"/>
        <v>586</v>
      </c>
      <c r="BL183" s="354">
        <f t="shared" si="32"/>
        <v>0</v>
      </c>
    </row>
    <row r="184" spans="1:64" x14ac:dyDescent="0.2">
      <c r="A184" s="365" t="s">
        <v>762</v>
      </c>
      <c r="B184" s="257">
        <v>17</v>
      </c>
      <c r="C184" s="258">
        <v>25</v>
      </c>
      <c r="D184" s="258">
        <v>28</v>
      </c>
      <c r="E184" s="258">
        <v>21</v>
      </c>
      <c r="F184" s="258">
        <v>21</v>
      </c>
      <c r="G184" s="258">
        <v>13</v>
      </c>
      <c r="H184" s="258">
        <v>11</v>
      </c>
      <c r="I184" s="614">
        <v>17</v>
      </c>
      <c r="J184" s="354"/>
      <c r="K184" s="257">
        <v>34</v>
      </c>
      <c r="L184" s="258">
        <v>21</v>
      </c>
      <c r="M184" s="258">
        <v>27</v>
      </c>
      <c r="N184" s="258">
        <v>26</v>
      </c>
      <c r="O184" s="258">
        <v>30</v>
      </c>
      <c r="P184" s="258">
        <v>18</v>
      </c>
      <c r="Q184" s="258">
        <v>20</v>
      </c>
      <c r="R184" s="614">
        <v>19</v>
      </c>
      <c r="S184" s="354"/>
      <c r="T184" s="257">
        <v>47</v>
      </c>
      <c r="U184" s="258">
        <v>69</v>
      </c>
      <c r="V184" s="258">
        <v>56</v>
      </c>
      <c r="W184" s="258">
        <v>42</v>
      </c>
      <c r="X184" s="258">
        <v>71</v>
      </c>
      <c r="Y184" s="258">
        <v>61</v>
      </c>
      <c r="Z184" s="258">
        <v>39</v>
      </c>
      <c r="AA184" s="614">
        <v>49</v>
      </c>
      <c r="AB184" s="354"/>
      <c r="AC184" s="257">
        <v>479</v>
      </c>
      <c r="AD184" s="258">
        <v>574</v>
      </c>
      <c r="AE184" s="258">
        <v>528</v>
      </c>
      <c r="AF184" s="258">
        <v>510</v>
      </c>
      <c r="AG184" s="258">
        <v>434</v>
      </c>
      <c r="AH184" s="258">
        <v>370</v>
      </c>
      <c r="AI184" s="258">
        <v>271</v>
      </c>
      <c r="AJ184" s="614">
        <v>360</v>
      </c>
      <c r="AK184" s="354"/>
      <c r="AL184" s="257">
        <v>130</v>
      </c>
      <c r="AM184" s="258">
        <v>203</v>
      </c>
      <c r="AN184" s="258">
        <v>211</v>
      </c>
      <c r="AO184" s="258">
        <v>190</v>
      </c>
      <c r="AP184" s="258">
        <v>139</v>
      </c>
      <c r="AQ184" s="258">
        <v>132</v>
      </c>
      <c r="AR184" s="258">
        <v>84</v>
      </c>
      <c r="AS184" s="614">
        <v>131</v>
      </c>
      <c r="AT184" s="354"/>
      <c r="AU184" s="257"/>
      <c r="AV184" s="258"/>
      <c r="AW184" s="258"/>
      <c r="AX184" s="258"/>
      <c r="AY184" s="258"/>
      <c r="AZ184" s="258"/>
      <c r="BA184" s="258"/>
      <c r="BB184" s="614"/>
      <c r="BC184" s="354"/>
      <c r="BD184" s="257">
        <f t="shared" si="40"/>
        <v>707</v>
      </c>
      <c r="BE184" s="258">
        <f t="shared" si="41"/>
        <v>892</v>
      </c>
      <c r="BF184" s="258">
        <f t="shared" si="42"/>
        <v>850</v>
      </c>
      <c r="BG184" s="258">
        <f t="shared" si="43"/>
        <v>789</v>
      </c>
      <c r="BH184" s="258">
        <f t="shared" si="44"/>
        <v>695</v>
      </c>
      <c r="BI184" s="258">
        <f t="shared" si="45"/>
        <v>594</v>
      </c>
      <c r="BJ184" s="258">
        <f t="shared" si="46"/>
        <v>425</v>
      </c>
      <c r="BK184" s="614">
        <f t="shared" si="32"/>
        <v>576</v>
      </c>
      <c r="BL184" s="354">
        <f t="shared" si="32"/>
        <v>0</v>
      </c>
    </row>
    <row r="185" spans="1:64" x14ac:dyDescent="0.2">
      <c r="A185" s="365" t="s">
        <v>763</v>
      </c>
      <c r="B185" s="257">
        <v>25</v>
      </c>
      <c r="C185" s="258">
        <v>81</v>
      </c>
      <c r="D185" s="258">
        <v>26</v>
      </c>
      <c r="E185" s="258">
        <v>44</v>
      </c>
      <c r="F185" s="258">
        <v>28</v>
      </c>
      <c r="G185" s="258">
        <v>30</v>
      </c>
      <c r="H185" s="258">
        <v>31</v>
      </c>
      <c r="I185" s="614">
        <v>56</v>
      </c>
      <c r="J185" s="354"/>
      <c r="K185" s="257">
        <v>18</v>
      </c>
      <c r="L185" s="258">
        <v>23</v>
      </c>
      <c r="M185" s="258">
        <v>41</v>
      </c>
      <c r="N185" s="258">
        <v>38</v>
      </c>
      <c r="O185" s="258">
        <v>24</v>
      </c>
      <c r="P185" s="258">
        <v>45</v>
      </c>
      <c r="Q185" s="258">
        <v>18</v>
      </c>
      <c r="R185" s="614">
        <v>12</v>
      </c>
      <c r="S185" s="354"/>
      <c r="T185" s="257">
        <v>84</v>
      </c>
      <c r="U185" s="258">
        <v>47</v>
      </c>
      <c r="V185" s="258">
        <v>59</v>
      </c>
      <c r="W185" s="258">
        <v>63</v>
      </c>
      <c r="X185" s="258">
        <v>62</v>
      </c>
      <c r="Y185" s="258">
        <v>65</v>
      </c>
      <c r="Z185" s="258">
        <v>61</v>
      </c>
      <c r="AA185" s="614">
        <v>35</v>
      </c>
      <c r="AB185" s="354"/>
      <c r="AC185" s="257">
        <v>356</v>
      </c>
      <c r="AD185" s="258">
        <v>344</v>
      </c>
      <c r="AE185" s="258">
        <v>582</v>
      </c>
      <c r="AF185" s="258">
        <v>375</v>
      </c>
      <c r="AG185" s="258">
        <v>361</v>
      </c>
      <c r="AH185" s="258">
        <v>368</v>
      </c>
      <c r="AI185" s="258">
        <v>234</v>
      </c>
      <c r="AJ185" s="614">
        <v>360</v>
      </c>
      <c r="AK185" s="354"/>
      <c r="AL185" s="257">
        <v>95</v>
      </c>
      <c r="AM185" s="258">
        <v>129</v>
      </c>
      <c r="AN185" s="258">
        <v>147</v>
      </c>
      <c r="AO185" s="258">
        <v>97</v>
      </c>
      <c r="AP185" s="258">
        <v>104</v>
      </c>
      <c r="AQ185" s="258">
        <v>147</v>
      </c>
      <c r="AR185" s="258">
        <v>72</v>
      </c>
      <c r="AS185" s="614">
        <v>137</v>
      </c>
      <c r="AT185" s="354"/>
      <c r="AU185" s="257"/>
      <c r="AV185" s="258"/>
      <c r="AW185" s="258"/>
      <c r="AX185" s="258"/>
      <c r="AY185" s="258"/>
      <c r="AZ185" s="258"/>
      <c r="BA185" s="258"/>
      <c r="BB185" s="614"/>
      <c r="BC185" s="354"/>
      <c r="BD185" s="257">
        <f t="shared" si="40"/>
        <v>578</v>
      </c>
      <c r="BE185" s="258">
        <f t="shared" si="41"/>
        <v>624</v>
      </c>
      <c r="BF185" s="258">
        <f t="shared" si="42"/>
        <v>855</v>
      </c>
      <c r="BG185" s="258">
        <f t="shared" si="43"/>
        <v>617</v>
      </c>
      <c r="BH185" s="258">
        <f t="shared" si="44"/>
        <v>579</v>
      </c>
      <c r="BI185" s="258">
        <f t="shared" si="45"/>
        <v>655</v>
      </c>
      <c r="BJ185" s="258">
        <f t="shared" si="46"/>
        <v>416</v>
      </c>
      <c r="BK185" s="614">
        <f t="shared" si="32"/>
        <v>600</v>
      </c>
      <c r="BL185" s="354">
        <f t="shared" si="32"/>
        <v>0</v>
      </c>
    </row>
    <row r="186" spans="1:64" x14ac:dyDescent="0.2">
      <c r="A186" s="365" t="s">
        <v>825</v>
      </c>
      <c r="B186" s="257">
        <v>2</v>
      </c>
      <c r="C186" s="258">
        <v>15</v>
      </c>
      <c r="D186" s="258">
        <v>11</v>
      </c>
      <c r="E186" s="258">
        <v>5</v>
      </c>
      <c r="F186" s="258">
        <v>3</v>
      </c>
      <c r="G186" s="258">
        <v>12</v>
      </c>
      <c r="H186" s="258">
        <v>17</v>
      </c>
      <c r="I186" s="614">
        <v>8</v>
      </c>
      <c r="J186" s="354"/>
      <c r="K186" s="257">
        <v>4</v>
      </c>
      <c r="L186" s="258">
        <v>3</v>
      </c>
      <c r="M186" s="258">
        <v>8</v>
      </c>
      <c r="N186" s="258">
        <v>17</v>
      </c>
      <c r="O186" s="258">
        <v>13</v>
      </c>
      <c r="P186" s="258">
        <v>6</v>
      </c>
      <c r="Q186" s="258">
        <v>8</v>
      </c>
      <c r="R186" s="614">
        <v>6</v>
      </c>
      <c r="S186" s="354"/>
      <c r="T186" s="257">
        <v>6</v>
      </c>
      <c r="U186" s="258">
        <v>11</v>
      </c>
      <c r="V186" s="258">
        <v>7</v>
      </c>
      <c r="W186" s="258">
        <v>20</v>
      </c>
      <c r="X186" s="258">
        <v>13</v>
      </c>
      <c r="Y186" s="258">
        <v>6</v>
      </c>
      <c r="Z186" s="258">
        <v>12</v>
      </c>
      <c r="AA186" s="614">
        <v>3</v>
      </c>
      <c r="AB186" s="354"/>
      <c r="AC186" s="257">
        <v>16</v>
      </c>
      <c r="AD186" s="258">
        <v>18</v>
      </c>
      <c r="AE186" s="258">
        <v>40</v>
      </c>
      <c r="AF186" s="258">
        <v>80</v>
      </c>
      <c r="AG186" s="258">
        <v>33</v>
      </c>
      <c r="AH186" s="258">
        <v>19</v>
      </c>
      <c r="AI186" s="258">
        <v>49</v>
      </c>
      <c r="AJ186" s="614">
        <v>18</v>
      </c>
      <c r="AK186" s="354"/>
      <c r="AL186" s="257"/>
      <c r="AM186" s="258">
        <v>6</v>
      </c>
      <c r="AN186" s="258">
        <v>4</v>
      </c>
      <c r="AO186" s="258">
        <v>14</v>
      </c>
      <c r="AP186" s="258">
        <v>6</v>
      </c>
      <c r="AQ186" s="258">
        <v>7</v>
      </c>
      <c r="AR186" s="258">
        <v>12</v>
      </c>
      <c r="AS186" s="614">
        <v>6</v>
      </c>
      <c r="AT186" s="354"/>
      <c r="AU186" s="257"/>
      <c r="AV186" s="258"/>
      <c r="AW186" s="258"/>
      <c r="AX186" s="258"/>
      <c r="AY186" s="258"/>
      <c r="AZ186" s="258"/>
      <c r="BA186" s="258"/>
      <c r="BB186" s="614"/>
      <c r="BC186" s="354"/>
      <c r="BD186" s="257">
        <f t="shared" si="40"/>
        <v>28</v>
      </c>
      <c r="BE186" s="258">
        <f t="shared" si="41"/>
        <v>53</v>
      </c>
      <c r="BF186" s="258">
        <f t="shared" si="42"/>
        <v>70</v>
      </c>
      <c r="BG186" s="258">
        <f t="shared" si="43"/>
        <v>136</v>
      </c>
      <c r="BH186" s="258">
        <f t="shared" si="44"/>
        <v>68</v>
      </c>
      <c r="BI186" s="258">
        <f t="shared" si="45"/>
        <v>50</v>
      </c>
      <c r="BJ186" s="258">
        <f t="shared" si="46"/>
        <v>98</v>
      </c>
      <c r="BK186" s="614">
        <f t="shared" si="32"/>
        <v>41</v>
      </c>
      <c r="BL186" s="354">
        <f t="shared" si="32"/>
        <v>0</v>
      </c>
    </row>
    <row r="187" spans="1:64" ht="13.5" thickBot="1" x14ac:dyDescent="0.25">
      <c r="A187" s="366" t="s">
        <v>760</v>
      </c>
      <c r="B187" s="361">
        <v>49</v>
      </c>
      <c r="C187" s="362">
        <v>107</v>
      </c>
      <c r="D187" s="362">
        <v>70</v>
      </c>
      <c r="E187" s="362">
        <v>75</v>
      </c>
      <c r="F187" s="362">
        <v>49</v>
      </c>
      <c r="G187" s="362">
        <v>42</v>
      </c>
      <c r="H187" s="362">
        <v>42</v>
      </c>
      <c r="I187" s="615">
        <v>41</v>
      </c>
      <c r="J187" s="363"/>
      <c r="K187" s="361">
        <v>77</v>
      </c>
      <c r="L187" s="362">
        <v>89</v>
      </c>
      <c r="M187" s="362">
        <v>63</v>
      </c>
      <c r="N187" s="362">
        <v>57</v>
      </c>
      <c r="O187" s="362">
        <v>75</v>
      </c>
      <c r="P187" s="362">
        <v>79</v>
      </c>
      <c r="Q187" s="362">
        <v>73</v>
      </c>
      <c r="R187" s="615">
        <v>85</v>
      </c>
      <c r="S187" s="363"/>
      <c r="T187" s="361">
        <v>174</v>
      </c>
      <c r="U187" s="362">
        <v>192</v>
      </c>
      <c r="V187" s="362">
        <v>138</v>
      </c>
      <c r="W187" s="362">
        <v>99</v>
      </c>
      <c r="X187" s="362">
        <v>149</v>
      </c>
      <c r="Y187" s="362">
        <v>130</v>
      </c>
      <c r="Z187" s="362">
        <v>152</v>
      </c>
      <c r="AA187" s="615">
        <v>174</v>
      </c>
      <c r="AB187" s="363"/>
      <c r="AC187" s="361">
        <v>1215</v>
      </c>
      <c r="AD187" s="362">
        <v>1499</v>
      </c>
      <c r="AE187" s="362">
        <v>1007</v>
      </c>
      <c r="AF187" s="362">
        <v>774</v>
      </c>
      <c r="AG187" s="362">
        <v>899</v>
      </c>
      <c r="AH187" s="362">
        <v>883</v>
      </c>
      <c r="AI187" s="362">
        <v>845</v>
      </c>
      <c r="AJ187" s="615">
        <v>863</v>
      </c>
      <c r="AK187" s="363"/>
      <c r="AL187" s="361">
        <v>328</v>
      </c>
      <c r="AM187" s="362">
        <v>296</v>
      </c>
      <c r="AN187" s="362">
        <v>268</v>
      </c>
      <c r="AO187" s="362">
        <v>216</v>
      </c>
      <c r="AP187" s="362">
        <v>226</v>
      </c>
      <c r="AQ187" s="362">
        <v>327</v>
      </c>
      <c r="AR187" s="362">
        <v>202</v>
      </c>
      <c r="AS187" s="615">
        <v>220</v>
      </c>
      <c r="AT187" s="363"/>
      <c r="AU187" s="361"/>
      <c r="AV187" s="362"/>
      <c r="AW187" s="362"/>
      <c r="AX187" s="362"/>
      <c r="AY187" s="362"/>
      <c r="AZ187" s="362"/>
      <c r="BA187" s="362"/>
      <c r="BB187" s="615"/>
      <c r="BC187" s="363"/>
      <c r="BD187" s="361">
        <f t="shared" si="40"/>
        <v>1843</v>
      </c>
      <c r="BE187" s="362">
        <f t="shared" si="41"/>
        <v>2183</v>
      </c>
      <c r="BF187" s="362">
        <f t="shared" si="42"/>
        <v>1546</v>
      </c>
      <c r="BG187" s="362">
        <f t="shared" si="43"/>
        <v>1221</v>
      </c>
      <c r="BH187" s="362">
        <f t="shared" si="44"/>
        <v>1398</v>
      </c>
      <c r="BI187" s="362">
        <f t="shared" si="45"/>
        <v>1461</v>
      </c>
      <c r="BJ187" s="362">
        <f t="shared" si="46"/>
        <v>1314</v>
      </c>
      <c r="BK187" s="615">
        <f t="shared" si="32"/>
        <v>1383</v>
      </c>
      <c r="BL187" s="363">
        <f t="shared" si="32"/>
        <v>0</v>
      </c>
    </row>
    <row r="188" spans="1:64" s="259" customFormat="1" x14ac:dyDescent="0.2">
      <c r="A188" s="364" t="s">
        <v>795</v>
      </c>
      <c r="B188" s="781">
        <v>78</v>
      </c>
      <c r="C188" s="782">
        <v>118</v>
      </c>
      <c r="D188" s="782">
        <v>132</v>
      </c>
      <c r="E188" s="782">
        <v>122</v>
      </c>
      <c r="F188" s="782">
        <v>87</v>
      </c>
      <c r="G188" s="782">
        <v>75</v>
      </c>
      <c r="H188" s="782">
        <v>59</v>
      </c>
      <c r="I188" s="783">
        <v>47</v>
      </c>
      <c r="J188" s="784"/>
      <c r="K188" s="781">
        <v>239</v>
      </c>
      <c r="L188" s="782">
        <v>210</v>
      </c>
      <c r="M188" s="782">
        <v>248</v>
      </c>
      <c r="N188" s="782">
        <v>230</v>
      </c>
      <c r="O188" s="782">
        <v>160</v>
      </c>
      <c r="P188" s="782">
        <v>119</v>
      </c>
      <c r="Q188" s="782">
        <v>151</v>
      </c>
      <c r="R188" s="783">
        <v>148</v>
      </c>
      <c r="S188" s="784"/>
      <c r="T188" s="781">
        <v>704</v>
      </c>
      <c r="U188" s="782">
        <v>566</v>
      </c>
      <c r="V188" s="782">
        <v>452</v>
      </c>
      <c r="W188" s="782">
        <v>389</v>
      </c>
      <c r="X188" s="782">
        <v>513</v>
      </c>
      <c r="Y188" s="782">
        <v>288</v>
      </c>
      <c r="Z188" s="782">
        <v>305</v>
      </c>
      <c r="AA188" s="783">
        <v>301</v>
      </c>
      <c r="AB188" s="784"/>
      <c r="AC188" s="781">
        <v>5298</v>
      </c>
      <c r="AD188" s="782">
        <v>5733</v>
      </c>
      <c r="AE188" s="782">
        <v>4121</v>
      </c>
      <c r="AF188" s="782">
        <v>2921</v>
      </c>
      <c r="AG188" s="782">
        <v>2833</v>
      </c>
      <c r="AH188" s="782">
        <v>2085</v>
      </c>
      <c r="AI188" s="782">
        <v>2148</v>
      </c>
      <c r="AJ188" s="783">
        <v>1922</v>
      </c>
      <c r="AK188" s="784"/>
      <c r="AL188" s="781">
        <v>1214</v>
      </c>
      <c r="AM188" s="782">
        <v>1774</v>
      </c>
      <c r="AN188" s="782">
        <v>1496</v>
      </c>
      <c r="AO188" s="782">
        <v>1174</v>
      </c>
      <c r="AP188" s="782">
        <v>994</v>
      </c>
      <c r="AQ188" s="782">
        <v>953</v>
      </c>
      <c r="AR188" s="782">
        <v>850</v>
      </c>
      <c r="AS188" s="783">
        <v>759</v>
      </c>
      <c r="AT188" s="784"/>
      <c r="AU188" s="781"/>
      <c r="AV188" s="782"/>
      <c r="AW188" s="782"/>
      <c r="AX188" s="782"/>
      <c r="AY188" s="782"/>
      <c r="AZ188" s="782"/>
      <c r="BA188" s="782"/>
      <c r="BB188" s="783">
        <v>3</v>
      </c>
      <c r="BC188" s="784"/>
      <c r="BD188" s="781">
        <f t="shared" si="40"/>
        <v>7533</v>
      </c>
      <c r="BE188" s="782">
        <f t="shared" si="41"/>
        <v>8401</v>
      </c>
      <c r="BF188" s="782">
        <f t="shared" si="42"/>
        <v>6449</v>
      </c>
      <c r="BG188" s="782">
        <f t="shared" si="43"/>
        <v>4836</v>
      </c>
      <c r="BH188" s="782">
        <f t="shared" si="44"/>
        <v>4587</v>
      </c>
      <c r="BI188" s="782">
        <f t="shared" si="45"/>
        <v>3520</v>
      </c>
      <c r="BJ188" s="782">
        <f t="shared" si="46"/>
        <v>3513</v>
      </c>
      <c r="BK188" s="783">
        <f t="shared" si="32"/>
        <v>3180</v>
      </c>
      <c r="BL188" s="784">
        <f t="shared" si="32"/>
        <v>0</v>
      </c>
    </row>
    <row r="189" spans="1:64" x14ac:dyDescent="0.2">
      <c r="A189" s="365" t="s">
        <v>768</v>
      </c>
      <c r="B189" s="257">
        <v>9</v>
      </c>
      <c r="C189" s="258">
        <v>17</v>
      </c>
      <c r="D189" s="258">
        <v>32</v>
      </c>
      <c r="E189" s="258">
        <v>35</v>
      </c>
      <c r="F189" s="258">
        <v>27</v>
      </c>
      <c r="G189" s="258">
        <v>12</v>
      </c>
      <c r="H189" s="258">
        <v>13</v>
      </c>
      <c r="I189" s="614">
        <v>8</v>
      </c>
      <c r="J189" s="354"/>
      <c r="K189" s="257">
        <v>50</v>
      </c>
      <c r="L189" s="258">
        <v>55</v>
      </c>
      <c r="M189" s="258">
        <v>60</v>
      </c>
      <c r="N189" s="258">
        <v>61</v>
      </c>
      <c r="O189" s="258">
        <v>68</v>
      </c>
      <c r="P189" s="258">
        <v>27</v>
      </c>
      <c r="Q189" s="258">
        <v>29</v>
      </c>
      <c r="R189" s="614">
        <v>23</v>
      </c>
      <c r="S189" s="354"/>
      <c r="T189" s="257">
        <v>102</v>
      </c>
      <c r="U189" s="258">
        <v>245</v>
      </c>
      <c r="V189" s="258">
        <v>139</v>
      </c>
      <c r="W189" s="258">
        <v>100</v>
      </c>
      <c r="X189" s="258">
        <v>252</v>
      </c>
      <c r="Y189" s="258">
        <v>94</v>
      </c>
      <c r="Z189" s="258">
        <v>81</v>
      </c>
      <c r="AA189" s="614">
        <v>84</v>
      </c>
      <c r="AB189" s="354"/>
      <c r="AC189" s="257">
        <v>825</v>
      </c>
      <c r="AD189" s="258">
        <v>3011</v>
      </c>
      <c r="AE189" s="258">
        <v>1461</v>
      </c>
      <c r="AF189" s="258">
        <v>707</v>
      </c>
      <c r="AG189" s="258">
        <v>920</v>
      </c>
      <c r="AH189" s="258">
        <v>462</v>
      </c>
      <c r="AI189" s="258">
        <v>435</v>
      </c>
      <c r="AJ189" s="614">
        <v>510</v>
      </c>
      <c r="AK189" s="354"/>
      <c r="AL189" s="257">
        <v>345</v>
      </c>
      <c r="AM189" s="258">
        <v>687</v>
      </c>
      <c r="AN189" s="258">
        <v>382</v>
      </c>
      <c r="AO189" s="258">
        <v>353</v>
      </c>
      <c r="AP189" s="258">
        <v>316</v>
      </c>
      <c r="AQ189" s="258">
        <v>196</v>
      </c>
      <c r="AR189" s="258">
        <v>215</v>
      </c>
      <c r="AS189" s="614">
        <v>219</v>
      </c>
      <c r="AT189" s="354"/>
      <c r="AU189" s="257"/>
      <c r="AV189" s="258"/>
      <c r="AW189" s="258"/>
      <c r="AX189" s="258"/>
      <c r="AY189" s="258"/>
      <c r="AZ189" s="258"/>
      <c r="BA189" s="258"/>
      <c r="BB189" s="614"/>
      <c r="BC189" s="354"/>
      <c r="BD189" s="257">
        <f t="shared" si="40"/>
        <v>1331</v>
      </c>
      <c r="BE189" s="258">
        <f t="shared" si="41"/>
        <v>4015</v>
      </c>
      <c r="BF189" s="258">
        <f t="shared" si="42"/>
        <v>2074</v>
      </c>
      <c r="BG189" s="258">
        <f t="shared" si="43"/>
        <v>1256</v>
      </c>
      <c r="BH189" s="258">
        <f t="shared" si="44"/>
        <v>1583</v>
      </c>
      <c r="BI189" s="258">
        <f t="shared" si="45"/>
        <v>791</v>
      </c>
      <c r="BJ189" s="258">
        <f t="shared" si="46"/>
        <v>773</v>
      </c>
      <c r="BK189" s="614">
        <f t="shared" si="32"/>
        <v>844</v>
      </c>
      <c r="BL189" s="354">
        <f t="shared" si="32"/>
        <v>0</v>
      </c>
    </row>
    <row r="190" spans="1:64" x14ac:dyDescent="0.2">
      <c r="A190" s="365" t="s">
        <v>628</v>
      </c>
      <c r="B190" s="257">
        <v>14</v>
      </c>
      <c r="C190" s="258">
        <v>11</v>
      </c>
      <c r="D190" s="258">
        <v>15</v>
      </c>
      <c r="E190" s="258">
        <v>10</v>
      </c>
      <c r="F190" s="258">
        <v>1</v>
      </c>
      <c r="G190" s="258">
        <v>3</v>
      </c>
      <c r="H190" s="258"/>
      <c r="I190" s="614">
        <v>1</v>
      </c>
      <c r="J190" s="354"/>
      <c r="K190" s="257">
        <v>25</v>
      </c>
      <c r="L190" s="258">
        <v>10</v>
      </c>
      <c r="M190" s="258">
        <v>9</v>
      </c>
      <c r="N190" s="258">
        <v>15</v>
      </c>
      <c r="O190" s="258">
        <v>8</v>
      </c>
      <c r="P190" s="258">
        <v>7</v>
      </c>
      <c r="Q190" s="258">
        <v>14</v>
      </c>
      <c r="R190" s="614">
        <v>14</v>
      </c>
      <c r="S190" s="354"/>
      <c r="T190" s="257">
        <v>29</v>
      </c>
      <c r="U190" s="258">
        <v>28</v>
      </c>
      <c r="V190" s="258">
        <v>25</v>
      </c>
      <c r="W190" s="258">
        <v>29</v>
      </c>
      <c r="X190" s="258">
        <v>39</v>
      </c>
      <c r="Y190" s="258">
        <v>38</v>
      </c>
      <c r="Z190" s="258">
        <v>14</v>
      </c>
      <c r="AA190" s="614">
        <v>20</v>
      </c>
      <c r="AB190" s="354"/>
      <c r="AC190" s="257">
        <v>258</v>
      </c>
      <c r="AD190" s="258">
        <v>253</v>
      </c>
      <c r="AE190" s="258">
        <v>260</v>
      </c>
      <c r="AF190" s="258">
        <v>192</v>
      </c>
      <c r="AG190" s="258">
        <v>243</v>
      </c>
      <c r="AH190" s="258">
        <v>208</v>
      </c>
      <c r="AI190" s="258">
        <v>125</v>
      </c>
      <c r="AJ190" s="614">
        <v>91</v>
      </c>
      <c r="AK190" s="354"/>
      <c r="AL190" s="257">
        <v>111</v>
      </c>
      <c r="AM190" s="258">
        <v>110</v>
      </c>
      <c r="AN190" s="258">
        <v>257</v>
      </c>
      <c r="AO190" s="258">
        <v>79</v>
      </c>
      <c r="AP190" s="258">
        <v>73</v>
      </c>
      <c r="AQ190" s="258">
        <v>61</v>
      </c>
      <c r="AR190" s="258">
        <v>52</v>
      </c>
      <c r="AS190" s="614">
        <v>35</v>
      </c>
      <c r="AT190" s="354"/>
      <c r="AU190" s="257"/>
      <c r="AV190" s="258"/>
      <c r="AW190" s="258"/>
      <c r="AX190" s="258"/>
      <c r="AY190" s="258"/>
      <c r="AZ190" s="258"/>
      <c r="BA190" s="258"/>
      <c r="BB190" s="614"/>
      <c r="BC190" s="354"/>
      <c r="BD190" s="257">
        <f t="shared" si="40"/>
        <v>437</v>
      </c>
      <c r="BE190" s="258">
        <f t="shared" si="41"/>
        <v>412</v>
      </c>
      <c r="BF190" s="258">
        <f t="shared" si="42"/>
        <v>566</v>
      </c>
      <c r="BG190" s="258">
        <f t="shared" si="43"/>
        <v>325</v>
      </c>
      <c r="BH190" s="258">
        <f t="shared" si="44"/>
        <v>364</v>
      </c>
      <c r="BI190" s="258">
        <f t="shared" si="45"/>
        <v>317</v>
      </c>
      <c r="BJ190" s="258">
        <f t="shared" si="46"/>
        <v>205</v>
      </c>
      <c r="BK190" s="614">
        <f t="shared" si="32"/>
        <v>161</v>
      </c>
      <c r="BL190" s="354">
        <f t="shared" si="32"/>
        <v>0</v>
      </c>
    </row>
    <row r="191" spans="1:64" x14ac:dyDescent="0.2">
      <c r="A191" s="365" t="s">
        <v>767</v>
      </c>
      <c r="B191" s="257">
        <v>28</v>
      </c>
      <c r="C191" s="258">
        <v>24</v>
      </c>
      <c r="D191" s="258">
        <v>32</v>
      </c>
      <c r="E191" s="258">
        <v>33</v>
      </c>
      <c r="F191" s="258">
        <v>29</v>
      </c>
      <c r="G191" s="258">
        <v>20</v>
      </c>
      <c r="H191" s="258">
        <v>21</v>
      </c>
      <c r="I191" s="614">
        <v>17</v>
      </c>
      <c r="J191" s="354"/>
      <c r="K191" s="257">
        <v>74</v>
      </c>
      <c r="L191" s="258">
        <v>54</v>
      </c>
      <c r="M191" s="258">
        <v>55</v>
      </c>
      <c r="N191" s="258">
        <v>48</v>
      </c>
      <c r="O191" s="258">
        <v>43</v>
      </c>
      <c r="P191" s="258">
        <v>43</v>
      </c>
      <c r="Q191" s="258">
        <v>44</v>
      </c>
      <c r="R191" s="614">
        <v>50</v>
      </c>
      <c r="S191" s="354"/>
      <c r="T191" s="257">
        <v>383</v>
      </c>
      <c r="U191" s="258">
        <v>86</v>
      </c>
      <c r="V191" s="258">
        <v>97</v>
      </c>
      <c r="W191" s="258">
        <v>114</v>
      </c>
      <c r="X191" s="258">
        <v>112</v>
      </c>
      <c r="Y191" s="258">
        <v>69</v>
      </c>
      <c r="Z191" s="258">
        <v>102</v>
      </c>
      <c r="AA191" s="614">
        <v>106</v>
      </c>
      <c r="AB191" s="354"/>
      <c r="AC191" s="257">
        <v>2910</v>
      </c>
      <c r="AD191" s="258">
        <v>1016</v>
      </c>
      <c r="AE191" s="258">
        <v>1026</v>
      </c>
      <c r="AF191" s="258">
        <v>1035</v>
      </c>
      <c r="AG191" s="258">
        <v>953</v>
      </c>
      <c r="AH191" s="258">
        <v>620</v>
      </c>
      <c r="AI191" s="258">
        <v>602</v>
      </c>
      <c r="AJ191" s="614">
        <v>606</v>
      </c>
      <c r="AK191" s="354"/>
      <c r="AL191" s="257">
        <v>412</v>
      </c>
      <c r="AM191" s="258">
        <v>452</v>
      </c>
      <c r="AN191" s="258">
        <v>429</v>
      </c>
      <c r="AO191" s="258">
        <v>425</v>
      </c>
      <c r="AP191" s="258">
        <v>309</v>
      </c>
      <c r="AQ191" s="258">
        <v>323</v>
      </c>
      <c r="AR191" s="258">
        <v>188</v>
      </c>
      <c r="AS191" s="614">
        <v>209</v>
      </c>
      <c r="AT191" s="354"/>
      <c r="AU191" s="257"/>
      <c r="AV191" s="258"/>
      <c r="AW191" s="258"/>
      <c r="AX191" s="258"/>
      <c r="AY191" s="258"/>
      <c r="AZ191" s="258"/>
      <c r="BA191" s="258"/>
      <c r="BB191" s="614"/>
      <c r="BC191" s="354"/>
      <c r="BD191" s="257">
        <f t="shared" si="40"/>
        <v>3807</v>
      </c>
      <c r="BE191" s="258">
        <f t="shared" si="41"/>
        <v>1632</v>
      </c>
      <c r="BF191" s="258">
        <f t="shared" si="42"/>
        <v>1639</v>
      </c>
      <c r="BG191" s="258">
        <f t="shared" si="43"/>
        <v>1655</v>
      </c>
      <c r="BH191" s="258">
        <f t="shared" si="44"/>
        <v>1446</v>
      </c>
      <c r="BI191" s="258">
        <f t="shared" si="45"/>
        <v>1075</v>
      </c>
      <c r="BJ191" s="258">
        <f t="shared" si="46"/>
        <v>957</v>
      </c>
      <c r="BK191" s="614">
        <f t="shared" si="32"/>
        <v>988</v>
      </c>
      <c r="BL191" s="354">
        <f t="shared" si="32"/>
        <v>0</v>
      </c>
    </row>
    <row r="192" spans="1:64" x14ac:dyDescent="0.2">
      <c r="A192" s="365" t="s">
        <v>826</v>
      </c>
      <c r="B192" s="257"/>
      <c r="C192" s="258">
        <v>6</v>
      </c>
      <c r="D192" s="258">
        <v>3</v>
      </c>
      <c r="E192" s="258">
        <v>5</v>
      </c>
      <c r="F192" s="258">
        <v>5</v>
      </c>
      <c r="G192" s="258">
        <v>2</v>
      </c>
      <c r="H192" s="258">
        <v>6</v>
      </c>
      <c r="I192" s="614">
        <v>10</v>
      </c>
      <c r="J192" s="354"/>
      <c r="K192" s="257">
        <v>2</v>
      </c>
      <c r="L192" s="258">
        <v>11</v>
      </c>
      <c r="M192" s="258">
        <v>5</v>
      </c>
      <c r="N192" s="258">
        <v>13</v>
      </c>
      <c r="O192" s="258">
        <v>3</v>
      </c>
      <c r="P192" s="258">
        <v>6</v>
      </c>
      <c r="Q192" s="258">
        <v>12</v>
      </c>
      <c r="R192" s="614">
        <v>13</v>
      </c>
      <c r="S192" s="354"/>
      <c r="T192" s="257">
        <v>7</v>
      </c>
      <c r="U192" s="258">
        <v>8</v>
      </c>
      <c r="V192" s="258">
        <v>9</v>
      </c>
      <c r="W192" s="258">
        <v>24</v>
      </c>
      <c r="X192" s="258">
        <v>4</v>
      </c>
      <c r="Y192" s="258">
        <v>8</v>
      </c>
      <c r="Z192" s="258">
        <v>6</v>
      </c>
      <c r="AA192" s="614">
        <v>1</v>
      </c>
      <c r="AB192" s="354"/>
      <c r="AC192" s="257">
        <v>54</v>
      </c>
      <c r="AD192" s="258">
        <v>80</v>
      </c>
      <c r="AE192" s="258">
        <v>26</v>
      </c>
      <c r="AF192" s="258">
        <v>64</v>
      </c>
      <c r="AG192" s="258">
        <v>45</v>
      </c>
      <c r="AH192" s="258">
        <v>42</v>
      </c>
      <c r="AI192" s="258">
        <v>24</v>
      </c>
      <c r="AJ192" s="614">
        <v>74</v>
      </c>
      <c r="AK192" s="354"/>
      <c r="AL192" s="257">
        <v>5</v>
      </c>
      <c r="AM192" s="258">
        <v>17</v>
      </c>
      <c r="AN192" s="258">
        <v>16</v>
      </c>
      <c r="AO192" s="258">
        <v>16</v>
      </c>
      <c r="AP192" s="258">
        <v>13</v>
      </c>
      <c r="AQ192" s="258">
        <v>19</v>
      </c>
      <c r="AR192" s="258">
        <v>13</v>
      </c>
      <c r="AS192" s="614">
        <v>71</v>
      </c>
      <c r="AT192" s="354"/>
      <c r="AU192" s="257"/>
      <c r="AV192" s="258"/>
      <c r="AW192" s="258"/>
      <c r="AX192" s="258"/>
      <c r="AY192" s="258"/>
      <c r="AZ192" s="258"/>
      <c r="BA192" s="258"/>
      <c r="BB192" s="614">
        <v>3</v>
      </c>
      <c r="BC192" s="354"/>
      <c r="BD192" s="257">
        <f t="shared" si="40"/>
        <v>68</v>
      </c>
      <c r="BE192" s="258">
        <f t="shared" si="41"/>
        <v>122</v>
      </c>
      <c r="BF192" s="258">
        <f t="shared" si="42"/>
        <v>59</v>
      </c>
      <c r="BG192" s="258">
        <f t="shared" si="43"/>
        <v>122</v>
      </c>
      <c r="BH192" s="258">
        <f t="shared" si="44"/>
        <v>70</v>
      </c>
      <c r="BI192" s="258">
        <f t="shared" si="45"/>
        <v>77</v>
      </c>
      <c r="BJ192" s="258">
        <f t="shared" si="46"/>
        <v>61</v>
      </c>
      <c r="BK192" s="614">
        <f t="shared" ref="BK192:BL197" si="47">SUM(I192,R192,AA192,AJ192,AS192,BB192)</f>
        <v>172</v>
      </c>
      <c r="BL192" s="354">
        <f t="shared" si="47"/>
        <v>0</v>
      </c>
    </row>
    <row r="193" spans="1:64" ht="13.5" thickBot="1" x14ac:dyDescent="0.25">
      <c r="A193" s="366" t="s">
        <v>766</v>
      </c>
      <c r="B193" s="361">
        <v>27</v>
      </c>
      <c r="C193" s="362">
        <v>60</v>
      </c>
      <c r="D193" s="362">
        <v>50</v>
      </c>
      <c r="E193" s="362">
        <v>39</v>
      </c>
      <c r="F193" s="362">
        <v>25</v>
      </c>
      <c r="G193" s="362">
        <v>38</v>
      </c>
      <c r="H193" s="362">
        <v>19</v>
      </c>
      <c r="I193" s="615">
        <v>11</v>
      </c>
      <c r="J193" s="363"/>
      <c r="K193" s="361">
        <v>88</v>
      </c>
      <c r="L193" s="362">
        <v>80</v>
      </c>
      <c r="M193" s="362">
        <v>119</v>
      </c>
      <c r="N193" s="362">
        <v>93</v>
      </c>
      <c r="O193" s="362">
        <v>38</v>
      </c>
      <c r="P193" s="362">
        <v>36</v>
      </c>
      <c r="Q193" s="362">
        <v>52</v>
      </c>
      <c r="R193" s="615">
        <v>48</v>
      </c>
      <c r="S193" s="363"/>
      <c r="T193" s="361">
        <v>183</v>
      </c>
      <c r="U193" s="362">
        <v>199</v>
      </c>
      <c r="V193" s="362">
        <v>182</v>
      </c>
      <c r="W193" s="362">
        <v>122</v>
      </c>
      <c r="X193" s="362">
        <v>106</v>
      </c>
      <c r="Y193" s="362">
        <v>79</v>
      </c>
      <c r="Z193" s="362">
        <v>102</v>
      </c>
      <c r="AA193" s="615">
        <v>90</v>
      </c>
      <c r="AB193" s="363"/>
      <c r="AC193" s="361">
        <v>1251</v>
      </c>
      <c r="AD193" s="362">
        <v>1373</v>
      </c>
      <c r="AE193" s="362">
        <v>1348</v>
      </c>
      <c r="AF193" s="362">
        <v>923</v>
      </c>
      <c r="AG193" s="362">
        <v>672</v>
      </c>
      <c r="AH193" s="362">
        <v>753</v>
      </c>
      <c r="AI193" s="362">
        <v>962</v>
      </c>
      <c r="AJ193" s="615">
        <v>641</v>
      </c>
      <c r="AK193" s="363"/>
      <c r="AL193" s="361">
        <v>341</v>
      </c>
      <c r="AM193" s="362">
        <v>508</v>
      </c>
      <c r="AN193" s="362">
        <v>412</v>
      </c>
      <c r="AO193" s="362">
        <v>301</v>
      </c>
      <c r="AP193" s="362">
        <v>283</v>
      </c>
      <c r="AQ193" s="362">
        <v>354</v>
      </c>
      <c r="AR193" s="362">
        <v>382</v>
      </c>
      <c r="AS193" s="615">
        <v>225</v>
      </c>
      <c r="AT193" s="363"/>
      <c r="AU193" s="361"/>
      <c r="AV193" s="362"/>
      <c r="AW193" s="362"/>
      <c r="AX193" s="362"/>
      <c r="AY193" s="362"/>
      <c r="AZ193" s="362"/>
      <c r="BA193" s="362"/>
      <c r="BB193" s="615"/>
      <c r="BC193" s="363"/>
      <c r="BD193" s="361">
        <f t="shared" si="40"/>
        <v>1890</v>
      </c>
      <c r="BE193" s="362">
        <f t="shared" si="41"/>
        <v>2220</v>
      </c>
      <c r="BF193" s="362">
        <f t="shared" si="42"/>
        <v>2111</v>
      </c>
      <c r="BG193" s="362">
        <f t="shared" si="43"/>
        <v>1478</v>
      </c>
      <c r="BH193" s="362">
        <f t="shared" si="44"/>
        <v>1124</v>
      </c>
      <c r="BI193" s="362">
        <f t="shared" si="45"/>
        <v>1260</v>
      </c>
      <c r="BJ193" s="362">
        <f t="shared" si="46"/>
        <v>1517</v>
      </c>
      <c r="BK193" s="615">
        <f t="shared" si="47"/>
        <v>1015</v>
      </c>
      <c r="BL193" s="363">
        <f t="shared" si="47"/>
        <v>0</v>
      </c>
    </row>
    <row r="194" spans="1:64" x14ac:dyDescent="0.2">
      <c r="A194" s="367" t="s">
        <v>808</v>
      </c>
      <c r="B194" s="255">
        <v>3</v>
      </c>
      <c r="C194" s="256">
        <v>4</v>
      </c>
      <c r="D194" s="256">
        <v>4</v>
      </c>
      <c r="E194" s="256">
        <v>3</v>
      </c>
      <c r="F194" s="256">
        <v>17</v>
      </c>
      <c r="G194" s="256"/>
      <c r="H194" s="256">
        <v>1</v>
      </c>
      <c r="I194" s="613">
        <v>11</v>
      </c>
      <c r="J194" s="356"/>
      <c r="K194" s="255">
        <v>4</v>
      </c>
      <c r="L194" s="256">
        <v>10</v>
      </c>
      <c r="M194" s="256">
        <v>4</v>
      </c>
      <c r="N194" s="256">
        <v>14</v>
      </c>
      <c r="O194" s="256">
        <v>7</v>
      </c>
      <c r="P194" s="256">
        <v>3</v>
      </c>
      <c r="Q194" s="256">
        <v>8</v>
      </c>
      <c r="R194" s="613">
        <v>15</v>
      </c>
      <c r="S194" s="356"/>
      <c r="T194" s="255">
        <v>87</v>
      </c>
      <c r="U194" s="256">
        <v>36</v>
      </c>
      <c r="V194" s="256">
        <v>96</v>
      </c>
      <c r="W194" s="256">
        <v>58</v>
      </c>
      <c r="X194" s="256">
        <v>91</v>
      </c>
      <c r="Y194" s="256">
        <v>31</v>
      </c>
      <c r="Z194" s="256">
        <v>80</v>
      </c>
      <c r="AA194" s="613">
        <v>126</v>
      </c>
      <c r="AB194" s="356"/>
      <c r="AC194" s="255">
        <v>430</v>
      </c>
      <c r="AD194" s="256">
        <v>134</v>
      </c>
      <c r="AE194" s="256">
        <v>340</v>
      </c>
      <c r="AF194" s="256">
        <v>316</v>
      </c>
      <c r="AG194" s="256">
        <v>246</v>
      </c>
      <c r="AH194" s="256">
        <v>130</v>
      </c>
      <c r="AI194" s="256">
        <v>588</v>
      </c>
      <c r="AJ194" s="613">
        <v>359</v>
      </c>
      <c r="AK194" s="356"/>
      <c r="AL194" s="255">
        <v>43</v>
      </c>
      <c r="AM194" s="256">
        <v>9</v>
      </c>
      <c r="AN194" s="256">
        <v>35</v>
      </c>
      <c r="AO194" s="256">
        <v>33</v>
      </c>
      <c r="AP194" s="256">
        <v>15</v>
      </c>
      <c r="AQ194" s="256">
        <v>17</v>
      </c>
      <c r="AR194" s="256">
        <v>41</v>
      </c>
      <c r="AS194" s="613">
        <v>33</v>
      </c>
      <c r="AT194" s="356"/>
      <c r="AU194" s="255"/>
      <c r="AV194" s="256"/>
      <c r="AW194" s="256"/>
      <c r="AX194" s="256"/>
      <c r="AY194" s="256"/>
      <c r="AZ194" s="256"/>
      <c r="BA194" s="256"/>
      <c r="BB194" s="613"/>
      <c r="BC194" s="356"/>
      <c r="BD194" s="255">
        <f t="shared" si="40"/>
        <v>567</v>
      </c>
      <c r="BE194" s="256">
        <f t="shared" si="41"/>
        <v>193</v>
      </c>
      <c r="BF194" s="256">
        <f t="shared" si="42"/>
        <v>479</v>
      </c>
      <c r="BG194" s="256">
        <f t="shared" si="43"/>
        <v>424</v>
      </c>
      <c r="BH194" s="256">
        <f t="shared" si="44"/>
        <v>376</v>
      </c>
      <c r="BI194" s="256">
        <f t="shared" si="45"/>
        <v>181</v>
      </c>
      <c r="BJ194" s="256">
        <f t="shared" si="46"/>
        <v>718</v>
      </c>
      <c r="BK194" s="613">
        <f t="shared" si="47"/>
        <v>544</v>
      </c>
      <c r="BL194" s="356">
        <f t="shared" si="47"/>
        <v>0</v>
      </c>
    </row>
    <row r="195" spans="1:64" s="259" customFormat="1" x14ac:dyDescent="0.2">
      <c r="A195" s="792" t="s">
        <v>614</v>
      </c>
      <c r="B195" s="793">
        <v>3</v>
      </c>
      <c r="C195" s="794">
        <v>4</v>
      </c>
      <c r="D195" s="794">
        <v>4</v>
      </c>
      <c r="E195" s="794">
        <v>3</v>
      </c>
      <c r="F195" s="794">
        <v>17</v>
      </c>
      <c r="G195" s="794"/>
      <c r="H195" s="794">
        <v>1</v>
      </c>
      <c r="I195" s="795">
        <v>11</v>
      </c>
      <c r="J195" s="796"/>
      <c r="K195" s="793">
        <v>3</v>
      </c>
      <c r="L195" s="794">
        <v>9</v>
      </c>
      <c r="M195" s="794">
        <v>2</v>
      </c>
      <c r="N195" s="794">
        <v>12</v>
      </c>
      <c r="O195" s="794">
        <v>7</v>
      </c>
      <c r="P195" s="794">
        <v>1</v>
      </c>
      <c r="Q195" s="794">
        <v>6</v>
      </c>
      <c r="R195" s="795">
        <v>14</v>
      </c>
      <c r="S195" s="796"/>
      <c r="T195" s="793">
        <v>49</v>
      </c>
      <c r="U195" s="794">
        <v>25</v>
      </c>
      <c r="V195" s="794">
        <v>58</v>
      </c>
      <c r="W195" s="794">
        <v>35</v>
      </c>
      <c r="X195" s="794">
        <v>79</v>
      </c>
      <c r="Y195" s="794">
        <v>19</v>
      </c>
      <c r="Z195" s="794">
        <v>70</v>
      </c>
      <c r="AA195" s="795">
        <v>93</v>
      </c>
      <c r="AB195" s="796"/>
      <c r="AC195" s="793">
        <v>138</v>
      </c>
      <c r="AD195" s="794">
        <v>60</v>
      </c>
      <c r="AE195" s="794">
        <v>148</v>
      </c>
      <c r="AF195" s="794">
        <v>116</v>
      </c>
      <c r="AG195" s="794">
        <v>169</v>
      </c>
      <c r="AH195" s="794">
        <v>54</v>
      </c>
      <c r="AI195" s="794">
        <v>501</v>
      </c>
      <c r="AJ195" s="795">
        <v>207</v>
      </c>
      <c r="AK195" s="796"/>
      <c r="AL195" s="793">
        <v>7</v>
      </c>
      <c r="AM195" s="794"/>
      <c r="AN195" s="794">
        <v>17</v>
      </c>
      <c r="AO195" s="794">
        <v>13</v>
      </c>
      <c r="AP195" s="794">
        <v>7</v>
      </c>
      <c r="AQ195" s="794">
        <v>11</v>
      </c>
      <c r="AR195" s="794">
        <v>34</v>
      </c>
      <c r="AS195" s="795">
        <v>17</v>
      </c>
      <c r="AT195" s="796"/>
      <c r="AU195" s="793"/>
      <c r="AV195" s="794"/>
      <c r="AW195" s="794"/>
      <c r="AX195" s="794"/>
      <c r="AY195" s="794"/>
      <c r="AZ195" s="794"/>
      <c r="BA195" s="794"/>
      <c r="BB195" s="795"/>
      <c r="BC195" s="796"/>
      <c r="BD195" s="793">
        <f t="shared" si="40"/>
        <v>200</v>
      </c>
      <c r="BE195" s="794">
        <f t="shared" si="41"/>
        <v>98</v>
      </c>
      <c r="BF195" s="794">
        <f t="shared" si="42"/>
        <v>229</v>
      </c>
      <c r="BG195" s="794">
        <f t="shared" si="43"/>
        <v>179</v>
      </c>
      <c r="BH195" s="794">
        <f t="shared" si="44"/>
        <v>279</v>
      </c>
      <c r="BI195" s="794">
        <f t="shared" si="45"/>
        <v>85</v>
      </c>
      <c r="BJ195" s="794">
        <f t="shared" si="46"/>
        <v>612</v>
      </c>
      <c r="BK195" s="795">
        <f t="shared" si="47"/>
        <v>342</v>
      </c>
      <c r="BL195" s="796">
        <f t="shared" si="47"/>
        <v>0</v>
      </c>
    </row>
    <row r="196" spans="1:64" s="259" customFormat="1" x14ac:dyDescent="0.2">
      <c r="A196" s="792" t="s">
        <v>615</v>
      </c>
      <c r="B196" s="793"/>
      <c r="C196" s="794"/>
      <c r="D196" s="794"/>
      <c r="E196" s="794"/>
      <c r="F196" s="794"/>
      <c r="G196" s="794"/>
      <c r="H196" s="794"/>
      <c r="I196" s="795"/>
      <c r="J196" s="796"/>
      <c r="K196" s="793"/>
      <c r="L196" s="794"/>
      <c r="M196" s="794"/>
      <c r="N196" s="794"/>
      <c r="O196" s="794"/>
      <c r="P196" s="794">
        <v>1</v>
      </c>
      <c r="Q196" s="794"/>
      <c r="R196" s="795"/>
      <c r="S196" s="796"/>
      <c r="T196" s="793"/>
      <c r="U196" s="794"/>
      <c r="V196" s="794"/>
      <c r="W196" s="794"/>
      <c r="X196" s="794"/>
      <c r="Y196" s="794">
        <v>3</v>
      </c>
      <c r="Z196" s="794"/>
      <c r="AA196" s="795"/>
      <c r="AB196" s="796"/>
      <c r="AC196" s="793"/>
      <c r="AD196" s="794"/>
      <c r="AE196" s="794"/>
      <c r="AF196" s="794">
        <v>19</v>
      </c>
      <c r="AG196" s="794"/>
      <c r="AH196" s="794">
        <v>2</v>
      </c>
      <c r="AI196" s="794"/>
      <c r="AJ196" s="795"/>
      <c r="AK196" s="796"/>
      <c r="AL196" s="793"/>
      <c r="AM196" s="794"/>
      <c r="AN196" s="794"/>
      <c r="AO196" s="794">
        <v>3</v>
      </c>
      <c r="AP196" s="794"/>
      <c r="AQ196" s="794"/>
      <c r="AR196" s="794"/>
      <c r="AS196" s="795"/>
      <c r="AT196" s="796"/>
      <c r="AU196" s="793"/>
      <c r="AV196" s="794"/>
      <c r="AW196" s="794"/>
      <c r="AX196" s="794"/>
      <c r="AY196" s="794"/>
      <c r="AZ196" s="794"/>
      <c r="BA196" s="794"/>
      <c r="BB196" s="795"/>
      <c r="BC196" s="796"/>
      <c r="BD196" s="793">
        <f t="shared" si="40"/>
        <v>0</v>
      </c>
      <c r="BE196" s="794">
        <f t="shared" si="41"/>
        <v>0</v>
      </c>
      <c r="BF196" s="794">
        <f t="shared" si="42"/>
        <v>0</v>
      </c>
      <c r="BG196" s="794">
        <f t="shared" si="43"/>
        <v>22</v>
      </c>
      <c r="BH196" s="794">
        <f t="shared" si="44"/>
        <v>0</v>
      </c>
      <c r="BI196" s="794">
        <f t="shared" si="45"/>
        <v>6</v>
      </c>
      <c r="BJ196" s="794">
        <f t="shared" si="46"/>
        <v>0</v>
      </c>
      <c r="BK196" s="795">
        <f t="shared" si="47"/>
        <v>0</v>
      </c>
      <c r="BL196" s="796">
        <f t="shared" si="47"/>
        <v>0</v>
      </c>
    </row>
    <row r="197" spans="1:64" s="259" customFormat="1" ht="13.5" thickBot="1" x14ac:dyDescent="0.25">
      <c r="A197" s="797" t="s">
        <v>830</v>
      </c>
      <c r="B197" s="798"/>
      <c r="C197" s="799"/>
      <c r="D197" s="799"/>
      <c r="E197" s="799"/>
      <c r="F197" s="799"/>
      <c r="G197" s="799"/>
      <c r="H197" s="799"/>
      <c r="I197" s="800"/>
      <c r="J197" s="801"/>
      <c r="K197" s="798">
        <v>1</v>
      </c>
      <c r="L197" s="799">
        <v>1</v>
      </c>
      <c r="M197" s="799">
        <v>2</v>
      </c>
      <c r="N197" s="799">
        <v>2</v>
      </c>
      <c r="O197" s="799"/>
      <c r="P197" s="799">
        <v>1</v>
      </c>
      <c r="Q197" s="799">
        <v>2</v>
      </c>
      <c r="R197" s="800">
        <v>1</v>
      </c>
      <c r="S197" s="801"/>
      <c r="T197" s="798">
        <v>38</v>
      </c>
      <c r="U197" s="799">
        <v>11</v>
      </c>
      <c r="V197" s="799">
        <v>38</v>
      </c>
      <c r="W197" s="799">
        <v>23</v>
      </c>
      <c r="X197" s="799">
        <v>12</v>
      </c>
      <c r="Y197" s="799">
        <v>9</v>
      </c>
      <c r="Z197" s="799">
        <v>10</v>
      </c>
      <c r="AA197" s="800">
        <v>33</v>
      </c>
      <c r="AB197" s="801"/>
      <c r="AC197" s="798">
        <v>292</v>
      </c>
      <c r="AD197" s="799">
        <v>74</v>
      </c>
      <c r="AE197" s="799">
        <v>192</v>
      </c>
      <c r="AF197" s="799">
        <v>181</v>
      </c>
      <c r="AG197" s="799">
        <v>77</v>
      </c>
      <c r="AH197" s="799">
        <v>74</v>
      </c>
      <c r="AI197" s="799">
        <v>87</v>
      </c>
      <c r="AJ197" s="800">
        <v>152</v>
      </c>
      <c r="AK197" s="801"/>
      <c r="AL197" s="798">
        <v>36</v>
      </c>
      <c r="AM197" s="799">
        <v>9</v>
      </c>
      <c r="AN197" s="799">
        <v>18</v>
      </c>
      <c r="AO197" s="799">
        <v>17</v>
      </c>
      <c r="AP197" s="799">
        <v>8</v>
      </c>
      <c r="AQ197" s="799">
        <v>6</v>
      </c>
      <c r="AR197" s="799">
        <v>7</v>
      </c>
      <c r="AS197" s="800">
        <v>16</v>
      </c>
      <c r="AT197" s="801"/>
      <c r="AU197" s="798"/>
      <c r="AV197" s="799"/>
      <c r="AW197" s="799"/>
      <c r="AX197" s="799"/>
      <c r="AY197" s="799"/>
      <c r="AZ197" s="799"/>
      <c r="BA197" s="799"/>
      <c r="BB197" s="800"/>
      <c r="BC197" s="801"/>
      <c r="BD197" s="798">
        <f t="shared" si="40"/>
        <v>367</v>
      </c>
      <c r="BE197" s="799">
        <f t="shared" si="41"/>
        <v>95</v>
      </c>
      <c r="BF197" s="799">
        <f t="shared" si="42"/>
        <v>250</v>
      </c>
      <c r="BG197" s="799">
        <f t="shared" si="43"/>
        <v>223</v>
      </c>
      <c r="BH197" s="799">
        <f t="shared" si="44"/>
        <v>97</v>
      </c>
      <c r="BI197" s="799">
        <f t="shared" si="45"/>
        <v>90</v>
      </c>
      <c r="BJ197" s="799">
        <f t="shared" si="46"/>
        <v>106</v>
      </c>
      <c r="BK197" s="800">
        <f t="shared" si="47"/>
        <v>202</v>
      </c>
      <c r="BL197" s="801">
        <f t="shared" si="47"/>
        <v>0</v>
      </c>
    </row>
    <row r="198" spans="1:64" s="259" customFormat="1" ht="13.5" thickBot="1" x14ac:dyDescent="0.25">
      <c r="A198" s="368" t="s">
        <v>1072</v>
      </c>
      <c r="B198" s="369">
        <v>6554</v>
      </c>
      <c r="C198" s="370">
        <v>8838</v>
      </c>
      <c r="D198" s="370">
        <v>7727</v>
      </c>
      <c r="E198" s="370">
        <v>10474</v>
      </c>
      <c r="F198" s="370">
        <v>5410</v>
      </c>
      <c r="G198" s="370">
        <v>4127</v>
      </c>
      <c r="H198" s="370">
        <v>3680</v>
      </c>
      <c r="I198" s="616">
        <v>3789</v>
      </c>
      <c r="J198" s="371"/>
      <c r="K198" s="369">
        <v>8886</v>
      </c>
      <c r="L198" s="370">
        <v>9375</v>
      </c>
      <c r="M198" s="370">
        <v>9059</v>
      </c>
      <c r="N198" s="370">
        <v>8584</v>
      </c>
      <c r="O198" s="370">
        <v>7486</v>
      </c>
      <c r="P198" s="370">
        <v>6994</v>
      </c>
      <c r="Q198" s="370">
        <v>6122</v>
      </c>
      <c r="R198" s="616">
        <v>5927</v>
      </c>
      <c r="S198" s="371"/>
      <c r="T198" s="369">
        <v>22248</v>
      </c>
      <c r="U198" s="370">
        <v>24216</v>
      </c>
      <c r="V198" s="370">
        <v>26193</v>
      </c>
      <c r="W198" s="370">
        <v>23640</v>
      </c>
      <c r="X198" s="370">
        <v>22399</v>
      </c>
      <c r="Y198" s="370">
        <v>21057</v>
      </c>
      <c r="Z198" s="370">
        <v>18546</v>
      </c>
      <c r="AA198" s="616">
        <v>17529</v>
      </c>
      <c r="AB198" s="371"/>
      <c r="AC198" s="369">
        <v>161392</v>
      </c>
      <c r="AD198" s="370">
        <v>164259</v>
      </c>
      <c r="AE198" s="370">
        <v>171831</v>
      </c>
      <c r="AF198" s="370">
        <v>150256</v>
      </c>
      <c r="AG198" s="370">
        <v>135071</v>
      </c>
      <c r="AH198" s="370">
        <v>114382</v>
      </c>
      <c r="AI198" s="370">
        <v>97626</v>
      </c>
      <c r="AJ198" s="616">
        <v>97674</v>
      </c>
      <c r="AK198" s="371"/>
      <c r="AL198" s="369">
        <v>46597</v>
      </c>
      <c r="AM198" s="370">
        <v>52589</v>
      </c>
      <c r="AN198" s="370">
        <v>57620</v>
      </c>
      <c r="AO198" s="370">
        <v>52713</v>
      </c>
      <c r="AP198" s="370">
        <v>44167</v>
      </c>
      <c r="AQ198" s="370">
        <v>36842</v>
      </c>
      <c r="AR198" s="370">
        <v>30776</v>
      </c>
      <c r="AS198" s="616">
        <v>28433</v>
      </c>
      <c r="AT198" s="371"/>
      <c r="AU198" s="369"/>
      <c r="AV198" s="370"/>
      <c r="AW198" s="370">
        <v>1</v>
      </c>
      <c r="AX198" s="370">
        <v>1</v>
      </c>
      <c r="AY198" s="370">
        <v>4</v>
      </c>
      <c r="AZ198" s="370"/>
      <c r="BA198" s="370">
        <v>3</v>
      </c>
      <c r="BB198" s="616">
        <v>3</v>
      </c>
      <c r="BC198" s="371"/>
      <c r="BD198" s="369">
        <f t="shared" si="40"/>
        <v>245677</v>
      </c>
      <c r="BE198" s="370">
        <f t="shared" si="41"/>
        <v>259277</v>
      </c>
      <c r="BF198" s="370">
        <f t="shared" si="42"/>
        <v>272431</v>
      </c>
      <c r="BG198" s="370">
        <f t="shared" si="43"/>
        <v>245668</v>
      </c>
      <c r="BH198" s="370">
        <f t="shared" si="44"/>
        <v>214537</v>
      </c>
      <c r="BI198" s="370">
        <f t="shared" si="45"/>
        <v>183402</v>
      </c>
      <c r="BJ198" s="370">
        <f t="shared" si="46"/>
        <v>156753</v>
      </c>
      <c r="BK198" s="616">
        <f>SUM(I198,R198,AA198,AJ198,AS198,BB198)</f>
        <v>153355</v>
      </c>
      <c r="BL198" s="371">
        <f>SUM(J198,S198,AB198,AK198,AT198,BC198)</f>
        <v>0</v>
      </c>
    </row>
  </sheetData>
  <mergeCells count="8">
    <mergeCell ref="A1:A2"/>
    <mergeCell ref="BD1:BL1"/>
    <mergeCell ref="K1:S1"/>
    <mergeCell ref="B1:J1"/>
    <mergeCell ref="T1:AB1"/>
    <mergeCell ref="AC1:AK1"/>
    <mergeCell ref="AL1:AT1"/>
    <mergeCell ref="AU1:BC1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7">
    <tabColor rgb="FFC00000"/>
  </sheetPr>
  <dimension ref="A1:BL199"/>
  <sheetViews>
    <sheetView workbookViewId="0">
      <selection activeCell="AU3" sqref="AU3:BB199"/>
    </sheetView>
  </sheetViews>
  <sheetFormatPr defaultColWidth="9.140625" defaultRowHeight="12.75" x14ac:dyDescent="0.2"/>
  <cols>
    <col min="1" max="1" width="50.140625" style="265" bestFit="1" customWidth="1"/>
    <col min="2" max="10" width="9.7109375" style="263" customWidth="1"/>
    <col min="11" max="11" width="9.140625" style="263" customWidth="1"/>
    <col min="12" max="16384" width="9.140625" style="263"/>
  </cols>
  <sheetData>
    <row r="1" spans="1:64" s="264" customFormat="1" ht="23.25" customHeight="1" thickBot="1" x14ac:dyDescent="0.25">
      <c r="A1" s="1035"/>
      <c r="B1" s="1037" t="s">
        <v>803</v>
      </c>
      <c r="C1" s="1038"/>
      <c r="D1" s="1038"/>
      <c r="E1" s="1038"/>
      <c r="F1" s="1038"/>
      <c r="G1" s="1038"/>
      <c r="H1" s="1038"/>
      <c r="I1" s="1039"/>
      <c r="J1" s="1040"/>
      <c r="K1" s="1037" t="s">
        <v>804</v>
      </c>
      <c r="L1" s="1038"/>
      <c r="M1" s="1038"/>
      <c r="N1" s="1038"/>
      <c r="O1" s="1038"/>
      <c r="P1" s="1038"/>
      <c r="Q1" s="1038"/>
      <c r="R1" s="1039"/>
      <c r="S1" s="1040"/>
      <c r="T1" s="1037" t="s">
        <v>805</v>
      </c>
      <c r="U1" s="1038"/>
      <c r="V1" s="1038"/>
      <c r="W1" s="1038"/>
      <c r="X1" s="1038"/>
      <c r="Y1" s="1038"/>
      <c r="Z1" s="1038"/>
      <c r="AA1" s="1039"/>
      <c r="AB1" s="1040"/>
      <c r="AC1" s="1037" t="s">
        <v>806</v>
      </c>
      <c r="AD1" s="1038"/>
      <c r="AE1" s="1038"/>
      <c r="AF1" s="1038"/>
      <c r="AG1" s="1038"/>
      <c r="AH1" s="1038"/>
      <c r="AI1" s="1038"/>
      <c r="AJ1" s="1039"/>
      <c r="AK1" s="1040"/>
      <c r="AL1" s="1037" t="s">
        <v>807</v>
      </c>
      <c r="AM1" s="1038"/>
      <c r="AN1" s="1038"/>
      <c r="AO1" s="1038"/>
      <c r="AP1" s="1038"/>
      <c r="AQ1" s="1038"/>
      <c r="AR1" s="1038"/>
      <c r="AS1" s="1039"/>
      <c r="AT1" s="1040"/>
      <c r="AU1" s="1037" t="s">
        <v>32</v>
      </c>
      <c r="AV1" s="1038"/>
      <c r="AW1" s="1038"/>
      <c r="AX1" s="1038"/>
      <c r="AY1" s="1038"/>
      <c r="AZ1" s="1038"/>
      <c r="BA1" s="1038"/>
      <c r="BB1" s="1039"/>
      <c r="BC1" s="1040"/>
      <c r="BD1" s="1031" t="s">
        <v>37</v>
      </c>
      <c r="BE1" s="1032"/>
      <c r="BF1" s="1032"/>
      <c r="BG1" s="1032"/>
      <c r="BH1" s="1032"/>
      <c r="BI1" s="1032"/>
      <c r="BJ1" s="1032"/>
      <c r="BK1" s="1033"/>
      <c r="BL1" s="1034"/>
    </row>
    <row r="2" spans="1:64" s="372" customFormat="1" ht="30.75" customHeight="1" thickBot="1" x14ac:dyDescent="0.25">
      <c r="A2" s="1036"/>
      <c r="B2" s="142" t="s">
        <v>1084</v>
      </c>
      <c r="C2" s="143" t="s">
        <v>1085</v>
      </c>
      <c r="D2" s="143" t="s">
        <v>1086</v>
      </c>
      <c r="E2" s="143" t="s">
        <v>1087</v>
      </c>
      <c r="F2" s="143" t="s">
        <v>1088</v>
      </c>
      <c r="G2" s="143" t="s">
        <v>1089</v>
      </c>
      <c r="H2" s="143" t="s">
        <v>1090</v>
      </c>
      <c r="I2" s="610" t="s">
        <v>1091</v>
      </c>
      <c r="J2" s="144" t="s">
        <v>1154</v>
      </c>
      <c r="K2" s="142" t="s">
        <v>1084</v>
      </c>
      <c r="L2" s="143" t="s">
        <v>1085</v>
      </c>
      <c r="M2" s="143" t="s">
        <v>1086</v>
      </c>
      <c r="N2" s="143" t="s">
        <v>1087</v>
      </c>
      <c r="O2" s="143" t="s">
        <v>1088</v>
      </c>
      <c r="P2" s="143" t="s">
        <v>1089</v>
      </c>
      <c r="Q2" s="143" t="s">
        <v>1090</v>
      </c>
      <c r="R2" s="610" t="s">
        <v>1091</v>
      </c>
      <c r="S2" s="144" t="s">
        <v>1154</v>
      </c>
      <c r="T2" s="142" t="s">
        <v>1084</v>
      </c>
      <c r="U2" s="143" t="s">
        <v>1085</v>
      </c>
      <c r="V2" s="143" t="s">
        <v>1086</v>
      </c>
      <c r="W2" s="143" t="s">
        <v>1087</v>
      </c>
      <c r="X2" s="143" t="s">
        <v>1088</v>
      </c>
      <c r="Y2" s="143" t="s">
        <v>1089</v>
      </c>
      <c r="Z2" s="143" t="s">
        <v>1090</v>
      </c>
      <c r="AA2" s="610" t="s">
        <v>1091</v>
      </c>
      <c r="AB2" s="144" t="s">
        <v>1154</v>
      </c>
      <c r="AC2" s="142" t="s">
        <v>1084</v>
      </c>
      <c r="AD2" s="143" t="s">
        <v>1085</v>
      </c>
      <c r="AE2" s="143" t="s">
        <v>1086</v>
      </c>
      <c r="AF2" s="143" t="s">
        <v>1087</v>
      </c>
      <c r="AG2" s="143" t="s">
        <v>1088</v>
      </c>
      <c r="AH2" s="143" t="s">
        <v>1089</v>
      </c>
      <c r="AI2" s="143" t="s">
        <v>1090</v>
      </c>
      <c r="AJ2" s="610" t="s">
        <v>1091</v>
      </c>
      <c r="AK2" s="144" t="s">
        <v>1154</v>
      </c>
      <c r="AL2" s="142" t="s">
        <v>1084</v>
      </c>
      <c r="AM2" s="143" t="s">
        <v>1085</v>
      </c>
      <c r="AN2" s="143" t="s">
        <v>1086</v>
      </c>
      <c r="AO2" s="143" t="s">
        <v>1087</v>
      </c>
      <c r="AP2" s="143" t="s">
        <v>1088</v>
      </c>
      <c r="AQ2" s="143" t="s">
        <v>1089</v>
      </c>
      <c r="AR2" s="143" t="s">
        <v>1090</v>
      </c>
      <c r="AS2" s="610" t="s">
        <v>1091</v>
      </c>
      <c r="AT2" s="144" t="s">
        <v>1154</v>
      </c>
      <c r="AU2" s="142" t="s">
        <v>1084</v>
      </c>
      <c r="AV2" s="143" t="s">
        <v>1085</v>
      </c>
      <c r="AW2" s="143" t="s">
        <v>1086</v>
      </c>
      <c r="AX2" s="143" t="s">
        <v>1087</v>
      </c>
      <c r="AY2" s="143" t="s">
        <v>1088</v>
      </c>
      <c r="AZ2" s="143" t="s">
        <v>1089</v>
      </c>
      <c r="BA2" s="143" t="s">
        <v>1090</v>
      </c>
      <c r="BB2" s="610" t="s">
        <v>1091</v>
      </c>
      <c r="BC2" s="144" t="s">
        <v>1154</v>
      </c>
      <c r="BD2" s="142" t="s">
        <v>1084</v>
      </c>
      <c r="BE2" s="143" t="s">
        <v>1085</v>
      </c>
      <c r="BF2" s="143" t="s">
        <v>1086</v>
      </c>
      <c r="BG2" s="143" t="s">
        <v>1087</v>
      </c>
      <c r="BH2" s="143" t="s">
        <v>1088</v>
      </c>
      <c r="BI2" s="143" t="s">
        <v>1089</v>
      </c>
      <c r="BJ2" s="143" t="s">
        <v>1090</v>
      </c>
      <c r="BK2" s="610" t="s">
        <v>1091</v>
      </c>
      <c r="BL2" s="144" t="s">
        <v>1154</v>
      </c>
    </row>
    <row r="3" spans="1:64" s="264" customFormat="1" x14ac:dyDescent="0.2">
      <c r="A3" s="364" t="s">
        <v>786</v>
      </c>
      <c r="B3" s="379"/>
      <c r="C3" s="380"/>
      <c r="D3" s="380"/>
      <c r="E3" s="380"/>
      <c r="F3" s="380">
        <v>1</v>
      </c>
      <c r="G3" s="380">
        <v>4</v>
      </c>
      <c r="H3" s="380">
        <v>3</v>
      </c>
      <c r="I3" s="617">
        <v>5</v>
      </c>
      <c r="J3" s="381"/>
      <c r="K3" s="379">
        <v>1318</v>
      </c>
      <c r="L3" s="380">
        <v>1377</v>
      </c>
      <c r="M3" s="380">
        <v>1038</v>
      </c>
      <c r="N3" s="380">
        <v>1093</v>
      </c>
      <c r="O3" s="380">
        <v>1064</v>
      </c>
      <c r="P3" s="380">
        <v>883</v>
      </c>
      <c r="Q3" s="380">
        <v>882</v>
      </c>
      <c r="R3" s="617">
        <v>1011</v>
      </c>
      <c r="S3" s="381"/>
      <c r="T3" s="379">
        <v>3634</v>
      </c>
      <c r="U3" s="380">
        <v>3039</v>
      </c>
      <c r="V3" s="380">
        <v>2499</v>
      </c>
      <c r="W3" s="380">
        <v>2927</v>
      </c>
      <c r="X3" s="380">
        <v>3296</v>
      </c>
      <c r="Y3" s="380">
        <v>3272</v>
      </c>
      <c r="Z3" s="380">
        <v>3252</v>
      </c>
      <c r="AA3" s="617">
        <v>3290</v>
      </c>
      <c r="AB3" s="381"/>
      <c r="AC3" s="379">
        <v>12898</v>
      </c>
      <c r="AD3" s="380">
        <v>11394</v>
      </c>
      <c r="AE3" s="380">
        <v>9611</v>
      </c>
      <c r="AF3" s="380">
        <v>10513</v>
      </c>
      <c r="AG3" s="380">
        <v>11405</v>
      </c>
      <c r="AH3" s="380">
        <v>11814</v>
      </c>
      <c r="AI3" s="380">
        <v>11835</v>
      </c>
      <c r="AJ3" s="617">
        <v>11628</v>
      </c>
      <c r="AK3" s="381"/>
      <c r="AL3" s="379">
        <v>580</v>
      </c>
      <c r="AM3" s="380">
        <v>509</v>
      </c>
      <c r="AN3" s="380">
        <v>485</v>
      </c>
      <c r="AO3" s="380">
        <v>528</v>
      </c>
      <c r="AP3" s="380">
        <v>648</v>
      </c>
      <c r="AQ3" s="380">
        <v>634</v>
      </c>
      <c r="AR3" s="380">
        <v>825</v>
      </c>
      <c r="AS3" s="617">
        <v>829</v>
      </c>
      <c r="AT3" s="381"/>
      <c r="AU3" s="379"/>
      <c r="AV3" s="380"/>
      <c r="AW3" s="380"/>
      <c r="AX3" s="380"/>
      <c r="AY3" s="380">
        <v>58</v>
      </c>
      <c r="AZ3" s="380">
        <v>3</v>
      </c>
      <c r="BA3" s="380"/>
      <c r="BB3" s="617"/>
      <c r="BC3" s="381"/>
      <c r="BD3" s="387">
        <f t="shared" ref="BD3:BL3" si="0">SUM(B3,K3,T3,AC3,AL3,AU3)</f>
        <v>18430</v>
      </c>
      <c r="BE3" s="388">
        <f t="shared" si="0"/>
        <v>16319</v>
      </c>
      <c r="BF3" s="388">
        <f t="shared" si="0"/>
        <v>13633</v>
      </c>
      <c r="BG3" s="388">
        <f t="shared" si="0"/>
        <v>15061</v>
      </c>
      <c r="BH3" s="388">
        <f t="shared" si="0"/>
        <v>16472</v>
      </c>
      <c r="BI3" s="388">
        <f t="shared" si="0"/>
        <v>16610</v>
      </c>
      <c r="BJ3" s="388">
        <f t="shared" si="0"/>
        <v>16797</v>
      </c>
      <c r="BK3" s="621">
        <f t="shared" si="0"/>
        <v>16763</v>
      </c>
      <c r="BL3" s="389">
        <f t="shared" si="0"/>
        <v>0</v>
      </c>
    </row>
    <row r="4" spans="1:64" x14ac:dyDescent="0.2">
      <c r="A4" s="359" t="s">
        <v>574</v>
      </c>
      <c r="B4" s="152"/>
      <c r="C4" s="274"/>
      <c r="D4" s="274"/>
      <c r="E4" s="274"/>
      <c r="F4" s="373"/>
      <c r="G4" s="373"/>
      <c r="H4" s="373"/>
      <c r="I4" s="618"/>
      <c r="J4" s="374"/>
      <c r="K4" s="152">
        <v>294</v>
      </c>
      <c r="L4" s="274">
        <v>175</v>
      </c>
      <c r="M4" s="274">
        <v>65</v>
      </c>
      <c r="N4" s="274">
        <v>48</v>
      </c>
      <c r="O4" s="373">
        <v>23</v>
      </c>
      <c r="P4" s="373">
        <v>31</v>
      </c>
      <c r="Q4" s="373">
        <v>38</v>
      </c>
      <c r="R4" s="618">
        <v>35</v>
      </c>
      <c r="S4" s="374"/>
      <c r="T4" s="152">
        <v>599</v>
      </c>
      <c r="U4" s="274">
        <v>312</v>
      </c>
      <c r="V4" s="274">
        <v>214</v>
      </c>
      <c r="W4" s="274">
        <v>150</v>
      </c>
      <c r="X4" s="373">
        <v>164</v>
      </c>
      <c r="Y4" s="373">
        <v>141</v>
      </c>
      <c r="Z4" s="373">
        <v>184</v>
      </c>
      <c r="AA4" s="618">
        <v>143</v>
      </c>
      <c r="AB4" s="374"/>
      <c r="AC4" s="152">
        <v>2313</v>
      </c>
      <c r="AD4" s="274">
        <v>1451</v>
      </c>
      <c r="AE4" s="274">
        <v>1163</v>
      </c>
      <c r="AF4" s="274">
        <v>1042</v>
      </c>
      <c r="AG4" s="373">
        <v>994</v>
      </c>
      <c r="AH4" s="373">
        <v>882</v>
      </c>
      <c r="AI4" s="373">
        <v>962</v>
      </c>
      <c r="AJ4" s="618">
        <v>852</v>
      </c>
      <c r="AK4" s="374"/>
      <c r="AL4" s="152">
        <v>114</v>
      </c>
      <c r="AM4" s="274">
        <v>80</v>
      </c>
      <c r="AN4" s="274">
        <v>104</v>
      </c>
      <c r="AO4" s="274">
        <v>91</v>
      </c>
      <c r="AP4" s="373">
        <v>97</v>
      </c>
      <c r="AQ4" s="373">
        <v>105</v>
      </c>
      <c r="AR4" s="373">
        <v>141</v>
      </c>
      <c r="AS4" s="618">
        <v>143</v>
      </c>
      <c r="AT4" s="374"/>
      <c r="AU4" s="152"/>
      <c r="AV4" s="274"/>
      <c r="AW4" s="274"/>
      <c r="AX4" s="274"/>
      <c r="AY4" s="373">
        <v>3</v>
      </c>
      <c r="AZ4" s="373"/>
      <c r="BA4" s="373"/>
      <c r="BB4" s="618"/>
      <c r="BC4" s="374"/>
      <c r="BD4" s="152">
        <f t="shared" ref="BD4:BD67" si="1">SUM(B4,K4,T4,AC4,AL4,AU4)</f>
        <v>3320</v>
      </c>
      <c r="BE4" s="274">
        <f t="shared" ref="BE4:BE67" si="2">SUM(C4,L4,U4,AD4,AM4,AV4)</f>
        <v>2018</v>
      </c>
      <c r="BF4" s="274">
        <f t="shared" ref="BF4:BF67" si="3">SUM(D4,M4,V4,AE4,AN4,AW4)</f>
        <v>1546</v>
      </c>
      <c r="BG4" s="274">
        <f t="shared" ref="BG4:BG67" si="4">SUM(E4,N4,W4,AF4,AO4,AX4)</f>
        <v>1331</v>
      </c>
      <c r="BH4" s="373">
        <f t="shared" ref="BH4:BH67" si="5">SUM(F4,O4,X4,AG4,AP4,AY4)</f>
        <v>1281</v>
      </c>
      <c r="BI4" s="373">
        <f t="shared" ref="BI4:BI67" si="6">SUM(G4,P4,Y4,AH4,AQ4,AZ4)</f>
        <v>1159</v>
      </c>
      <c r="BJ4" s="373">
        <f t="shared" ref="BJ4:BJ67" si="7">SUM(H4,Q4,Z4,AI4,AR4,BA4)</f>
        <v>1325</v>
      </c>
      <c r="BK4" s="618">
        <f t="shared" ref="BK4:BL67" si="8">SUM(I4,R4,AA4,AJ4,AS4,BB4)</f>
        <v>1173</v>
      </c>
      <c r="BL4" s="374">
        <f t="shared" si="8"/>
        <v>0</v>
      </c>
    </row>
    <row r="5" spans="1:64" x14ac:dyDescent="0.2">
      <c r="A5" s="359" t="s">
        <v>629</v>
      </c>
      <c r="B5" s="152"/>
      <c r="C5" s="274"/>
      <c r="D5" s="274"/>
      <c r="E5" s="274"/>
      <c r="F5" s="373"/>
      <c r="G5" s="373"/>
      <c r="H5" s="373"/>
      <c r="I5" s="618"/>
      <c r="J5" s="374"/>
      <c r="K5" s="152">
        <v>5</v>
      </c>
      <c r="L5" s="274">
        <v>12</v>
      </c>
      <c r="M5" s="274">
        <v>7</v>
      </c>
      <c r="N5" s="274">
        <v>12</v>
      </c>
      <c r="O5" s="373">
        <v>19</v>
      </c>
      <c r="P5" s="373">
        <v>8</v>
      </c>
      <c r="Q5" s="373">
        <v>8</v>
      </c>
      <c r="R5" s="618">
        <v>12</v>
      </c>
      <c r="S5" s="374"/>
      <c r="T5" s="152">
        <v>27</v>
      </c>
      <c r="U5" s="274">
        <v>28</v>
      </c>
      <c r="V5" s="274">
        <v>39</v>
      </c>
      <c r="W5" s="274">
        <v>59</v>
      </c>
      <c r="X5" s="373">
        <v>49</v>
      </c>
      <c r="Y5" s="373">
        <v>57</v>
      </c>
      <c r="Z5" s="373">
        <v>50</v>
      </c>
      <c r="AA5" s="618">
        <v>40</v>
      </c>
      <c r="AB5" s="374"/>
      <c r="AC5" s="152">
        <v>118</v>
      </c>
      <c r="AD5" s="274">
        <v>147</v>
      </c>
      <c r="AE5" s="274">
        <v>193</v>
      </c>
      <c r="AF5" s="274">
        <v>227</v>
      </c>
      <c r="AG5" s="373">
        <v>182</v>
      </c>
      <c r="AH5" s="373">
        <v>199</v>
      </c>
      <c r="AI5" s="373">
        <v>185</v>
      </c>
      <c r="AJ5" s="618">
        <v>213</v>
      </c>
      <c r="AK5" s="374"/>
      <c r="AL5" s="152">
        <v>8</v>
      </c>
      <c r="AM5" s="274">
        <v>10</v>
      </c>
      <c r="AN5" s="274">
        <v>12</v>
      </c>
      <c r="AO5" s="274">
        <v>18</v>
      </c>
      <c r="AP5" s="373">
        <v>14</v>
      </c>
      <c r="AQ5" s="373">
        <v>17</v>
      </c>
      <c r="AR5" s="373">
        <v>10</v>
      </c>
      <c r="AS5" s="618">
        <v>30</v>
      </c>
      <c r="AT5" s="374"/>
      <c r="AU5" s="152"/>
      <c r="AV5" s="274"/>
      <c r="AW5" s="274"/>
      <c r="AX5" s="274"/>
      <c r="AY5" s="373"/>
      <c r="AZ5" s="373"/>
      <c r="BA5" s="373"/>
      <c r="BB5" s="618"/>
      <c r="BC5" s="374"/>
      <c r="BD5" s="152">
        <f t="shared" si="1"/>
        <v>158</v>
      </c>
      <c r="BE5" s="274">
        <f t="shared" si="2"/>
        <v>197</v>
      </c>
      <c r="BF5" s="274">
        <f t="shared" si="3"/>
        <v>251</v>
      </c>
      <c r="BG5" s="274">
        <f t="shared" si="4"/>
        <v>316</v>
      </c>
      <c r="BH5" s="373">
        <f t="shared" si="5"/>
        <v>264</v>
      </c>
      <c r="BI5" s="373">
        <f t="shared" si="6"/>
        <v>281</v>
      </c>
      <c r="BJ5" s="373">
        <f t="shared" si="7"/>
        <v>253</v>
      </c>
      <c r="BK5" s="618">
        <f t="shared" si="8"/>
        <v>295</v>
      </c>
      <c r="BL5" s="374">
        <f t="shared" si="8"/>
        <v>0</v>
      </c>
    </row>
    <row r="6" spans="1:64" x14ac:dyDescent="0.2">
      <c r="A6" s="359" t="s">
        <v>630</v>
      </c>
      <c r="B6" s="152"/>
      <c r="C6" s="274"/>
      <c r="D6" s="274"/>
      <c r="E6" s="274"/>
      <c r="F6" s="373"/>
      <c r="G6" s="373"/>
      <c r="H6" s="373"/>
      <c r="I6" s="618"/>
      <c r="J6" s="374"/>
      <c r="K6" s="152">
        <v>41</v>
      </c>
      <c r="L6" s="274">
        <v>59</v>
      </c>
      <c r="M6" s="274">
        <v>43</v>
      </c>
      <c r="N6" s="274">
        <v>61</v>
      </c>
      <c r="O6" s="373">
        <v>52</v>
      </c>
      <c r="P6" s="373">
        <v>25</v>
      </c>
      <c r="Q6" s="373">
        <v>60</v>
      </c>
      <c r="R6" s="618">
        <v>76</v>
      </c>
      <c r="S6" s="374"/>
      <c r="T6" s="152">
        <v>90</v>
      </c>
      <c r="U6" s="274">
        <v>99</v>
      </c>
      <c r="V6" s="274">
        <v>69</v>
      </c>
      <c r="W6" s="274">
        <v>96</v>
      </c>
      <c r="X6" s="373">
        <v>150</v>
      </c>
      <c r="Y6" s="373">
        <v>134</v>
      </c>
      <c r="Z6" s="373">
        <v>133</v>
      </c>
      <c r="AA6" s="618">
        <v>191</v>
      </c>
      <c r="AB6" s="374"/>
      <c r="AC6" s="152">
        <v>404</v>
      </c>
      <c r="AD6" s="274">
        <v>386</v>
      </c>
      <c r="AE6" s="274">
        <v>267</v>
      </c>
      <c r="AF6" s="274">
        <v>369</v>
      </c>
      <c r="AG6" s="373">
        <v>715</v>
      </c>
      <c r="AH6" s="373">
        <v>702</v>
      </c>
      <c r="AI6" s="373">
        <v>485</v>
      </c>
      <c r="AJ6" s="618">
        <v>593</v>
      </c>
      <c r="AK6" s="374"/>
      <c r="AL6" s="152">
        <v>28</v>
      </c>
      <c r="AM6" s="274">
        <v>26</v>
      </c>
      <c r="AN6" s="274">
        <v>18</v>
      </c>
      <c r="AO6" s="274">
        <v>24</v>
      </c>
      <c r="AP6" s="373">
        <v>53</v>
      </c>
      <c r="AQ6" s="373">
        <v>37</v>
      </c>
      <c r="AR6" s="373">
        <v>24</v>
      </c>
      <c r="AS6" s="618">
        <v>47</v>
      </c>
      <c r="AT6" s="374"/>
      <c r="AU6" s="152"/>
      <c r="AV6" s="274"/>
      <c r="AW6" s="274"/>
      <c r="AX6" s="274"/>
      <c r="AY6" s="373">
        <v>2</v>
      </c>
      <c r="AZ6" s="373">
        <v>2</v>
      </c>
      <c r="BA6" s="373"/>
      <c r="BB6" s="618"/>
      <c r="BC6" s="374"/>
      <c r="BD6" s="152">
        <f t="shared" si="1"/>
        <v>563</v>
      </c>
      <c r="BE6" s="274">
        <f t="shared" si="2"/>
        <v>570</v>
      </c>
      <c r="BF6" s="274">
        <f t="shared" si="3"/>
        <v>397</v>
      </c>
      <c r="BG6" s="274">
        <f t="shared" si="4"/>
        <v>550</v>
      </c>
      <c r="BH6" s="373">
        <f t="shared" si="5"/>
        <v>972</v>
      </c>
      <c r="BI6" s="373">
        <f t="shared" si="6"/>
        <v>900</v>
      </c>
      <c r="BJ6" s="373">
        <f t="shared" si="7"/>
        <v>702</v>
      </c>
      <c r="BK6" s="618">
        <f t="shared" si="8"/>
        <v>907</v>
      </c>
      <c r="BL6" s="374">
        <f t="shared" si="8"/>
        <v>0</v>
      </c>
    </row>
    <row r="7" spans="1:64" x14ac:dyDescent="0.2">
      <c r="A7" s="359" t="s">
        <v>631</v>
      </c>
      <c r="B7" s="152"/>
      <c r="C7" s="274"/>
      <c r="D7" s="274"/>
      <c r="E7" s="274"/>
      <c r="F7" s="373"/>
      <c r="G7" s="373"/>
      <c r="H7" s="373"/>
      <c r="I7" s="618"/>
      <c r="J7" s="374"/>
      <c r="K7" s="152">
        <v>57</v>
      </c>
      <c r="L7" s="274">
        <v>74</v>
      </c>
      <c r="M7" s="274">
        <v>53</v>
      </c>
      <c r="N7" s="274">
        <v>62</v>
      </c>
      <c r="O7" s="373">
        <v>50</v>
      </c>
      <c r="P7" s="373">
        <v>49</v>
      </c>
      <c r="Q7" s="373">
        <v>45</v>
      </c>
      <c r="R7" s="618">
        <v>66</v>
      </c>
      <c r="S7" s="374"/>
      <c r="T7" s="152">
        <v>154</v>
      </c>
      <c r="U7" s="274">
        <v>164</v>
      </c>
      <c r="V7" s="274">
        <v>115</v>
      </c>
      <c r="W7" s="274">
        <v>152</v>
      </c>
      <c r="X7" s="373">
        <v>278</v>
      </c>
      <c r="Y7" s="373">
        <v>245</v>
      </c>
      <c r="Z7" s="373">
        <v>260</v>
      </c>
      <c r="AA7" s="618">
        <v>268</v>
      </c>
      <c r="AB7" s="374"/>
      <c r="AC7" s="152">
        <v>621</v>
      </c>
      <c r="AD7" s="274">
        <v>659</v>
      </c>
      <c r="AE7" s="274">
        <v>473</v>
      </c>
      <c r="AF7" s="274">
        <v>570</v>
      </c>
      <c r="AG7" s="373">
        <v>1126</v>
      </c>
      <c r="AH7" s="373">
        <v>880</v>
      </c>
      <c r="AI7" s="373">
        <v>781</v>
      </c>
      <c r="AJ7" s="618">
        <v>695</v>
      </c>
      <c r="AK7" s="374"/>
      <c r="AL7" s="152">
        <v>38</v>
      </c>
      <c r="AM7" s="274">
        <v>33</v>
      </c>
      <c r="AN7" s="274">
        <v>23</v>
      </c>
      <c r="AO7" s="274">
        <v>36</v>
      </c>
      <c r="AP7" s="373">
        <v>60</v>
      </c>
      <c r="AQ7" s="373">
        <v>38</v>
      </c>
      <c r="AR7" s="373">
        <v>63</v>
      </c>
      <c r="AS7" s="618">
        <v>48</v>
      </c>
      <c r="AT7" s="374"/>
      <c r="AU7" s="152"/>
      <c r="AV7" s="274"/>
      <c r="AW7" s="274"/>
      <c r="AX7" s="274"/>
      <c r="AY7" s="373">
        <v>1</v>
      </c>
      <c r="AZ7" s="373"/>
      <c r="BA7" s="373"/>
      <c r="BB7" s="618"/>
      <c r="BC7" s="374"/>
      <c r="BD7" s="152">
        <f t="shared" si="1"/>
        <v>870</v>
      </c>
      <c r="BE7" s="274">
        <f t="shared" si="2"/>
        <v>930</v>
      </c>
      <c r="BF7" s="274">
        <f t="shared" si="3"/>
        <v>664</v>
      </c>
      <c r="BG7" s="274">
        <f t="shared" si="4"/>
        <v>820</v>
      </c>
      <c r="BH7" s="373">
        <f t="shared" si="5"/>
        <v>1515</v>
      </c>
      <c r="BI7" s="373">
        <f t="shared" si="6"/>
        <v>1212</v>
      </c>
      <c r="BJ7" s="373">
        <f t="shared" si="7"/>
        <v>1149</v>
      </c>
      <c r="BK7" s="618">
        <f t="shared" si="8"/>
        <v>1077</v>
      </c>
      <c r="BL7" s="374">
        <f t="shared" si="8"/>
        <v>0</v>
      </c>
    </row>
    <row r="8" spans="1:64" x14ac:dyDescent="0.2">
      <c r="A8" s="359" t="s">
        <v>632</v>
      </c>
      <c r="B8" s="152"/>
      <c r="C8" s="274"/>
      <c r="D8" s="274"/>
      <c r="E8" s="274"/>
      <c r="F8" s="373"/>
      <c r="G8" s="373"/>
      <c r="H8" s="373"/>
      <c r="I8" s="618"/>
      <c r="J8" s="374"/>
      <c r="K8" s="152">
        <v>43</v>
      </c>
      <c r="L8" s="274">
        <v>61</v>
      </c>
      <c r="M8" s="274">
        <v>72</v>
      </c>
      <c r="N8" s="274">
        <v>47</v>
      </c>
      <c r="O8" s="373">
        <v>52</v>
      </c>
      <c r="P8" s="373">
        <v>48</v>
      </c>
      <c r="Q8" s="373">
        <v>30</v>
      </c>
      <c r="R8" s="618">
        <v>47</v>
      </c>
      <c r="S8" s="374"/>
      <c r="T8" s="152">
        <v>108</v>
      </c>
      <c r="U8" s="274">
        <v>148</v>
      </c>
      <c r="V8" s="274">
        <v>133</v>
      </c>
      <c r="W8" s="274">
        <v>186</v>
      </c>
      <c r="X8" s="373">
        <v>130</v>
      </c>
      <c r="Y8" s="373">
        <v>153</v>
      </c>
      <c r="Z8" s="373">
        <v>160</v>
      </c>
      <c r="AA8" s="618">
        <v>196</v>
      </c>
      <c r="AB8" s="374"/>
      <c r="AC8" s="152">
        <v>453</v>
      </c>
      <c r="AD8" s="274">
        <v>528</v>
      </c>
      <c r="AE8" s="274">
        <v>589</v>
      </c>
      <c r="AF8" s="274">
        <v>601</v>
      </c>
      <c r="AG8" s="373">
        <v>513</v>
      </c>
      <c r="AH8" s="373">
        <v>495</v>
      </c>
      <c r="AI8" s="373">
        <v>540</v>
      </c>
      <c r="AJ8" s="618">
        <v>532</v>
      </c>
      <c r="AK8" s="374"/>
      <c r="AL8" s="152">
        <v>28</v>
      </c>
      <c r="AM8" s="274">
        <v>30</v>
      </c>
      <c r="AN8" s="274">
        <v>20</v>
      </c>
      <c r="AO8" s="274">
        <v>21</v>
      </c>
      <c r="AP8" s="373">
        <v>28</v>
      </c>
      <c r="AQ8" s="373">
        <v>19</v>
      </c>
      <c r="AR8" s="373">
        <v>27</v>
      </c>
      <c r="AS8" s="618">
        <v>29</v>
      </c>
      <c r="AT8" s="374"/>
      <c r="AU8" s="152"/>
      <c r="AV8" s="274"/>
      <c r="AW8" s="274"/>
      <c r="AX8" s="274"/>
      <c r="AY8" s="373">
        <v>2</v>
      </c>
      <c r="AZ8" s="373"/>
      <c r="BA8" s="373"/>
      <c r="BB8" s="618"/>
      <c r="BC8" s="374"/>
      <c r="BD8" s="152">
        <f t="shared" si="1"/>
        <v>632</v>
      </c>
      <c r="BE8" s="274">
        <f t="shared" si="2"/>
        <v>767</v>
      </c>
      <c r="BF8" s="274">
        <f t="shared" si="3"/>
        <v>814</v>
      </c>
      <c r="BG8" s="274">
        <f t="shared" si="4"/>
        <v>855</v>
      </c>
      <c r="BH8" s="373">
        <f t="shared" si="5"/>
        <v>725</v>
      </c>
      <c r="BI8" s="373">
        <f t="shared" si="6"/>
        <v>715</v>
      </c>
      <c r="BJ8" s="373">
        <f t="shared" si="7"/>
        <v>757</v>
      </c>
      <c r="BK8" s="618">
        <f t="shared" si="8"/>
        <v>804</v>
      </c>
      <c r="BL8" s="374">
        <f t="shared" si="8"/>
        <v>0</v>
      </c>
    </row>
    <row r="9" spans="1:64" x14ac:dyDescent="0.2">
      <c r="A9" s="359" t="s">
        <v>633</v>
      </c>
      <c r="B9" s="152"/>
      <c r="C9" s="274"/>
      <c r="D9" s="274"/>
      <c r="E9" s="274"/>
      <c r="F9" s="373"/>
      <c r="G9" s="373"/>
      <c r="H9" s="373"/>
      <c r="I9" s="618"/>
      <c r="J9" s="374"/>
      <c r="K9" s="152">
        <v>50</v>
      </c>
      <c r="L9" s="274">
        <v>54</v>
      </c>
      <c r="M9" s="274">
        <v>46</v>
      </c>
      <c r="N9" s="274">
        <v>31</v>
      </c>
      <c r="O9" s="373">
        <v>35</v>
      </c>
      <c r="P9" s="373">
        <v>33</v>
      </c>
      <c r="Q9" s="373">
        <v>43</v>
      </c>
      <c r="R9" s="618">
        <v>36</v>
      </c>
      <c r="S9" s="374"/>
      <c r="T9" s="152">
        <v>166</v>
      </c>
      <c r="U9" s="274">
        <v>148</v>
      </c>
      <c r="V9" s="274">
        <v>109</v>
      </c>
      <c r="W9" s="274">
        <v>172</v>
      </c>
      <c r="X9" s="373">
        <v>152</v>
      </c>
      <c r="Y9" s="373">
        <v>163</v>
      </c>
      <c r="Z9" s="373">
        <v>134</v>
      </c>
      <c r="AA9" s="618">
        <v>99</v>
      </c>
      <c r="AB9" s="374"/>
      <c r="AC9" s="152">
        <v>519</v>
      </c>
      <c r="AD9" s="274">
        <v>501</v>
      </c>
      <c r="AE9" s="274">
        <v>365</v>
      </c>
      <c r="AF9" s="274">
        <v>489</v>
      </c>
      <c r="AG9" s="373">
        <v>451</v>
      </c>
      <c r="AH9" s="373">
        <v>529</v>
      </c>
      <c r="AI9" s="373">
        <v>485</v>
      </c>
      <c r="AJ9" s="618">
        <v>370</v>
      </c>
      <c r="AK9" s="374"/>
      <c r="AL9" s="152">
        <v>10</v>
      </c>
      <c r="AM9" s="274">
        <v>13</v>
      </c>
      <c r="AN9" s="274">
        <v>14</v>
      </c>
      <c r="AO9" s="274">
        <v>16</v>
      </c>
      <c r="AP9" s="373">
        <v>14</v>
      </c>
      <c r="AQ9" s="373">
        <v>18</v>
      </c>
      <c r="AR9" s="373">
        <v>17</v>
      </c>
      <c r="AS9" s="618">
        <v>13</v>
      </c>
      <c r="AT9" s="374"/>
      <c r="AU9" s="152"/>
      <c r="AV9" s="274"/>
      <c r="AW9" s="274"/>
      <c r="AX9" s="274"/>
      <c r="AY9" s="373">
        <v>1</v>
      </c>
      <c r="AZ9" s="373"/>
      <c r="BA9" s="373"/>
      <c r="BB9" s="618"/>
      <c r="BC9" s="374"/>
      <c r="BD9" s="152">
        <f t="shared" si="1"/>
        <v>745</v>
      </c>
      <c r="BE9" s="274">
        <f t="shared" si="2"/>
        <v>716</v>
      </c>
      <c r="BF9" s="274">
        <f t="shared" si="3"/>
        <v>534</v>
      </c>
      <c r="BG9" s="274">
        <f t="shared" si="4"/>
        <v>708</v>
      </c>
      <c r="BH9" s="373">
        <f t="shared" si="5"/>
        <v>653</v>
      </c>
      <c r="BI9" s="373">
        <f t="shared" si="6"/>
        <v>743</v>
      </c>
      <c r="BJ9" s="373">
        <f t="shared" si="7"/>
        <v>679</v>
      </c>
      <c r="BK9" s="618">
        <f t="shared" si="8"/>
        <v>518</v>
      </c>
      <c r="BL9" s="374">
        <f t="shared" si="8"/>
        <v>0</v>
      </c>
    </row>
    <row r="10" spans="1:64" x14ac:dyDescent="0.2">
      <c r="A10" s="359" t="s">
        <v>634</v>
      </c>
      <c r="B10" s="152"/>
      <c r="C10" s="274"/>
      <c r="D10" s="274"/>
      <c r="E10" s="274"/>
      <c r="F10" s="373"/>
      <c r="G10" s="373"/>
      <c r="H10" s="373"/>
      <c r="I10" s="618">
        <v>1</v>
      </c>
      <c r="J10" s="374"/>
      <c r="K10" s="152">
        <v>37</v>
      </c>
      <c r="L10" s="274">
        <v>49</v>
      </c>
      <c r="M10" s="274">
        <v>44</v>
      </c>
      <c r="N10" s="274">
        <v>32</v>
      </c>
      <c r="O10" s="373">
        <v>30</v>
      </c>
      <c r="P10" s="373">
        <v>43</v>
      </c>
      <c r="Q10" s="373">
        <v>47</v>
      </c>
      <c r="R10" s="618">
        <v>38</v>
      </c>
      <c r="S10" s="374"/>
      <c r="T10" s="152">
        <v>157</v>
      </c>
      <c r="U10" s="274">
        <v>168</v>
      </c>
      <c r="V10" s="274">
        <v>94</v>
      </c>
      <c r="W10" s="274">
        <v>144</v>
      </c>
      <c r="X10" s="373">
        <v>138</v>
      </c>
      <c r="Y10" s="373">
        <v>201</v>
      </c>
      <c r="Z10" s="373">
        <v>216</v>
      </c>
      <c r="AA10" s="618">
        <v>245</v>
      </c>
      <c r="AB10" s="374"/>
      <c r="AC10" s="152">
        <v>506</v>
      </c>
      <c r="AD10" s="274">
        <v>589</v>
      </c>
      <c r="AE10" s="274">
        <v>357</v>
      </c>
      <c r="AF10" s="274">
        <v>525</v>
      </c>
      <c r="AG10" s="373">
        <v>512</v>
      </c>
      <c r="AH10" s="373">
        <v>630</v>
      </c>
      <c r="AI10" s="373">
        <v>566</v>
      </c>
      <c r="AJ10" s="618">
        <v>734</v>
      </c>
      <c r="AK10" s="374"/>
      <c r="AL10" s="152">
        <v>24</v>
      </c>
      <c r="AM10" s="274">
        <v>18</v>
      </c>
      <c r="AN10" s="274">
        <v>18</v>
      </c>
      <c r="AO10" s="274">
        <v>16</v>
      </c>
      <c r="AP10" s="373">
        <v>26</v>
      </c>
      <c r="AQ10" s="373">
        <v>28</v>
      </c>
      <c r="AR10" s="373">
        <v>30</v>
      </c>
      <c r="AS10" s="618">
        <v>38</v>
      </c>
      <c r="AT10" s="374"/>
      <c r="AU10" s="152"/>
      <c r="AV10" s="274"/>
      <c r="AW10" s="274"/>
      <c r="AX10" s="274"/>
      <c r="AY10" s="373">
        <v>5</v>
      </c>
      <c r="AZ10" s="373"/>
      <c r="BA10" s="373"/>
      <c r="BB10" s="618"/>
      <c r="BC10" s="374"/>
      <c r="BD10" s="152">
        <f t="shared" si="1"/>
        <v>724</v>
      </c>
      <c r="BE10" s="274">
        <f t="shared" si="2"/>
        <v>824</v>
      </c>
      <c r="BF10" s="274">
        <f t="shared" si="3"/>
        <v>513</v>
      </c>
      <c r="BG10" s="274">
        <f t="shared" si="4"/>
        <v>717</v>
      </c>
      <c r="BH10" s="373">
        <f t="shared" si="5"/>
        <v>711</v>
      </c>
      <c r="BI10" s="373">
        <f t="shared" si="6"/>
        <v>902</v>
      </c>
      <c r="BJ10" s="373">
        <f t="shared" si="7"/>
        <v>859</v>
      </c>
      <c r="BK10" s="618">
        <f t="shared" si="8"/>
        <v>1056</v>
      </c>
      <c r="BL10" s="374">
        <f t="shared" si="8"/>
        <v>0</v>
      </c>
    </row>
    <row r="11" spans="1:64" x14ac:dyDescent="0.2">
      <c r="A11" s="359" t="s">
        <v>635</v>
      </c>
      <c r="B11" s="152"/>
      <c r="C11" s="274"/>
      <c r="D11" s="274"/>
      <c r="E11" s="274"/>
      <c r="F11" s="373"/>
      <c r="G11" s="373"/>
      <c r="H11" s="373"/>
      <c r="I11" s="618"/>
      <c r="J11" s="374"/>
      <c r="K11" s="152">
        <v>45</v>
      </c>
      <c r="L11" s="274">
        <v>71</v>
      </c>
      <c r="M11" s="274">
        <v>69</v>
      </c>
      <c r="N11" s="274">
        <v>62</v>
      </c>
      <c r="O11" s="373">
        <v>57</v>
      </c>
      <c r="P11" s="373">
        <v>48</v>
      </c>
      <c r="Q11" s="373">
        <v>51</v>
      </c>
      <c r="R11" s="618">
        <v>62</v>
      </c>
      <c r="S11" s="374"/>
      <c r="T11" s="152">
        <v>227</v>
      </c>
      <c r="U11" s="274">
        <v>177</v>
      </c>
      <c r="V11" s="274">
        <v>127</v>
      </c>
      <c r="W11" s="274">
        <v>135</v>
      </c>
      <c r="X11" s="373">
        <v>197</v>
      </c>
      <c r="Y11" s="373">
        <v>181</v>
      </c>
      <c r="Z11" s="373">
        <v>184</v>
      </c>
      <c r="AA11" s="618">
        <v>175</v>
      </c>
      <c r="AB11" s="374"/>
      <c r="AC11" s="152">
        <v>647</v>
      </c>
      <c r="AD11" s="274">
        <v>558</v>
      </c>
      <c r="AE11" s="274">
        <v>482</v>
      </c>
      <c r="AF11" s="274">
        <v>395</v>
      </c>
      <c r="AG11" s="373">
        <v>493</v>
      </c>
      <c r="AH11" s="373">
        <v>496</v>
      </c>
      <c r="AI11" s="373">
        <v>502</v>
      </c>
      <c r="AJ11" s="618">
        <v>548</v>
      </c>
      <c r="AK11" s="374"/>
      <c r="AL11" s="152">
        <v>19</v>
      </c>
      <c r="AM11" s="274">
        <v>16</v>
      </c>
      <c r="AN11" s="274">
        <v>10</v>
      </c>
      <c r="AO11" s="274">
        <v>12</v>
      </c>
      <c r="AP11" s="373">
        <v>14</v>
      </c>
      <c r="AQ11" s="373">
        <v>23</v>
      </c>
      <c r="AR11" s="373">
        <v>27</v>
      </c>
      <c r="AS11" s="618">
        <v>21</v>
      </c>
      <c r="AT11" s="374"/>
      <c r="AU11" s="152"/>
      <c r="AV11" s="274"/>
      <c r="AW11" s="274"/>
      <c r="AX11" s="274"/>
      <c r="AY11" s="373">
        <v>5</v>
      </c>
      <c r="AZ11" s="373"/>
      <c r="BA11" s="373"/>
      <c r="BB11" s="618"/>
      <c r="BC11" s="374"/>
      <c r="BD11" s="152">
        <f t="shared" si="1"/>
        <v>938</v>
      </c>
      <c r="BE11" s="274">
        <f t="shared" si="2"/>
        <v>822</v>
      </c>
      <c r="BF11" s="274">
        <f t="shared" si="3"/>
        <v>688</v>
      </c>
      <c r="BG11" s="274">
        <f t="shared" si="4"/>
        <v>604</v>
      </c>
      <c r="BH11" s="373">
        <f t="shared" si="5"/>
        <v>766</v>
      </c>
      <c r="BI11" s="373">
        <f t="shared" si="6"/>
        <v>748</v>
      </c>
      <c r="BJ11" s="373">
        <f t="shared" si="7"/>
        <v>764</v>
      </c>
      <c r="BK11" s="618">
        <f t="shared" si="8"/>
        <v>806</v>
      </c>
      <c r="BL11" s="374">
        <f t="shared" si="8"/>
        <v>0</v>
      </c>
    </row>
    <row r="12" spans="1:64" x14ac:dyDescent="0.2">
      <c r="A12" s="359" t="s">
        <v>636</v>
      </c>
      <c r="B12" s="152"/>
      <c r="C12" s="274"/>
      <c r="D12" s="274"/>
      <c r="E12" s="274"/>
      <c r="F12" s="373"/>
      <c r="G12" s="373"/>
      <c r="H12" s="373"/>
      <c r="I12" s="618"/>
      <c r="J12" s="374"/>
      <c r="K12" s="152">
        <v>29</v>
      </c>
      <c r="L12" s="274">
        <v>40</v>
      </c>
      <c r="M12" s="274">
        <v>31</v>
      </c>
      <c r="N12" s="274">
        <v>31</v>
      </c>
      <c r="O12" s="373">
        <v>34</v>
      </c>
      <c r="P12" s="373">
        <v>29</v>
      </c>
      <c r="Q12" s="373">
        <v>21</v>
      </c>
      <c r="R12" s="618">
        <v>32</v>
      </c>
      <c r="S12" s="374"/>
      <c r="T12" s="152">
        <v>162</v>
      </c>
      <c r="U12" s="274">
        <v>115</v>
      </c>
      <c r="V12" s="274">
        <v>116</v>
      </c>
      <c r="W12" s="274">
        <v>118</v>
      </c>
      <c r="X12" s="373">
        <v>179</v>
      </c>
      <c r="Y12" s="373">
        <v>191</v>
      </c>
      <c r="Z12" s="373">
        <v>145</v>
      </c>
      <c r="AA12" s="618">
        <v>145</v>
      </c>
      <c r="AB12" s="374"/>
      <c r="AC12" s="152">
        <v>533</v>
      </c>
      <c r="AD12" s="274">
        <v>441</v>
      </c>
      <c r="AE12" s="274">
        <v>371</v>
      </c>
      <c r="AF12" s="274">
        <v>422</v>
      </c>
      <c r="AG12" s="373">
        <v>429</v>
      </c>
      <c r="AH12" s="373">
        <v>425</v>
      </c>
      <c r="AI12" s="373">
        <v>426</v>
      </c>
      <c r="AJ12" s="618">
        <v>387</v>
      </c>
      <c r="AK12" s="374"/>
      <c r="AL12" s="152">
        <v>24</v>
      </c>
      <c r="AM12" s="274">
        <v>24</v>
      </c>
      <c r="AN12" s="274">
        <v>10</v>
      </c>
      <c r="AO12" s="274">
        <v>13</v>
      </c>
      <c r="AP12" s="373">
        <v>12</v>
      </c>
      <c r="AQ12" s="373">
        <v>17</v>
      </c>
      <c r="AR12" s="373">
        <v>20</v>
      </c>
      <c r="AS12" s="618">
        <v>15</v>
      </c>
      <c r="AT12" s="374"/>
      <c r="AU12" s="152"/>
      <c r="AV12" s="274"/>
      <c r="AW12" s="274"/>
      <c r="AX12" s="274"/>
      <c r="AY12" s="373"/>
      <c r="AZ12" s="373"/>
      <c r="BA12" s="373"/>
      <c r="BB12" s="618"/>
      <c r="BC12" s="374"/>
      <c r="BD12" s="152">
        <f t="shared" si="1"/>
        <v>748</v>
      </c>
      <c r="BE12" s="274">
        <f t="shared" si="2"/>
        <v>620</v>
      </c>
      <c r="BF12" s="274">
        <f t="shared" si="3"/>
        <v>528</v>
      </c>
      <c r="BG12" s="274">
        <f t="shared" si="4"/>
        <v>584</v>
      </c>
      <c r="BH12" s="373">
        <f t="shared" si="5"/>
        <v>654</v>
      </c>
      <c r="BI12" s="373">
        <f t="shared" si="6"/>
        <v>662</v>
      </c>
      <c r="BJ12" s="373">
        <f t="shared" si="7"/>
        <v>612</v>
      </c>
      <c r="BK12" s="618">
        <f t="shared" si="8"/>
        <v>579</v>
      </c>
      <c r="BL12" s="374">
        <f t="shared" si="8"/>
        <v>0</v>
      </c>
    </row>
    <row r="13" spans="1:64" x14ac:dyDescent="0.2">
      <c r="A13" s="359" t="s">
        <v>637</v>
      </c>
      <c r="B13" s="152"/>
      <c r="C13" s="274"/>
      <c r="D13" s="274"/>
      <c r="E13" s="274"/>
      <c r="F13" s="373"/>
      <c r="G13" s="373">
        <v>2</v>
      </c>
      <c r="H13" s="373"/>
      <c r="I13" s="618"/>
      <c r="J13" s="374"/>
      <c r="K13" s="152">
        <v>118</v>
      </c>
      <c r="L13" s="274">
        <v>172</v>
      </c>
      <c r="M13" s="274">
        <v>102</v>
      </c>
      <c r="N13" s="274">
        <v>130</v>
      </c>
      <c r="O13" s="373">
        <v>119</v>
      </c>
      <c r="P13" s="373">
        <v>97</v>
      </c>
      <c r="Q13" s="373">
        <v>83</v>
      </c>
      <c r="R13" s="618">
        <v>129</v>
      </c>
      <c r="S13" s="374"/>
      <c r="T13" s="152">
        <v>394</v>
      </c>
      <c r="U13" s="274">
        <v>359</v>
      </c>
      <c r="V13" s="274">
        <v>286</v>
      </c>
      <c r="W13" s="274">
        <v>371</v>
      </c>
      <c r="X13" s="373">
        <v>322</v>
      </c>
      <c r="Y13" s="373">
        <v>304</v>
      </c>
      <c r="Z13" s="373">
        <v>397</v>
      </c>
      <c r="AA13" s="618">
        <v>332</v>
      </c>
      <c r="AB13" s="374"/>
      <c r="AC13" s="152">
        <v>1028</v>
      </c>
      <c r="AD13" s="274">
        <v>943</v>
      </c>
      <c r="AE13" s="274">
        <v>823</v>
      </c>
      <c r="AF13" s="274">
        <v>975</v>
      </c>
      <c r="AG13" s="373">
        <v>834</v>
      </c>
      <c r="AH13" s="373">
        <v>686</v>
      </c>
      <c r="AI13" s="373">
        <v>1142</v>
      </c>
      <c r="AJ13" s="618">
        <v>1028</v>
      </c>
      <c r="AK13" s="374"/>
      <c r="AL13" s="152">
        <v>27</v>
      </c>
      <c r="AM13" s="274">
        <v>25</v>
      </c>
      <c r="AN13" s="274">
        <v>26</v>
      </c>
      <c r="AO13" s="274">
        <v>25</v>
      </c>
      <c r="AP13" s="373">
        <v>31</v>
      </c>
      <c r="AQ13" s="373">
        <v>26</v>
      </c>
      <c r="AR13" s="373">
        <v>40</v>
      </c>
      <c r="AS13" s="618">
        <v>46</v>
      </c>
      <c r="AT13" s="374"/>
      <c r="AU13" s="152"/>
      <c r="AV13" s="274"/>
      <c r="AW13" s="274"/>
      <c r="AX13" s="274"/>
      <c r="AY13" s="373">
        <v>2</v>
      </c>
      <c r="AZ13" s="373"/>
      <c r="BA13" s="373"/>
      <c r="BB13" s="618"/>
      <c r="BC13" s="374"/>
      <c r="BD13" s="152">
        <f t="shared" si="1"/>
        <v>1567</v>
      </c>
      <c r="BE13" s="274">
        <f t="shared" si="2"/>
        <v>1499</v>
      </c>
      <c r="BF13" s="274">
        <f t="shared" si="3"/>
        <v>1237</v>
      </c>
      <c r="BG13" s="274">
        <f t="shared" si="4"/>
        <v>1501</v>
      </c>
      <c r="BH13" s="373">
        <f t="shared" si="5"/>
        <v>1308</v>
      </c>
      <c r="BI13" s="373">
        <f t="shared" si="6"/>
        <v>1115</v>
      </c>
      <c r="BJ13" s="373">
        <f t="shared" si="7"/>
        <v>1662</v>
      </c>
      <c r="BK13" s="618">
        <f t="shared" si="8"/>
        <v>1535</v>
      </c>
      <c r="BL13" s="374">
        <f t="shared" si="8"/>
        <v>0</v>
      </c>
    </row>
    <row r="14" spans="1:64" x14ac:dyDescent="0.2">
      <c r="A14" s="359" t="s">
        <v>638</v>
      </c>
      <c r="B14" s="152"/>
      <c r="C14" s="274"/>
      <c r="D14" s="274"/>
      <c r="E14" s="274"/>
      <c r="F14" s="373"/>
      <c r="G14" s="373">
        <v>1</v>
      </c>
      <c r="H14" s="373"/>
      <c r="I14" s="618"/>
      <c r="J14" s="374"/>
      <c r="K14" s="152">
        <v>79</v>
      </c>
      <c r="L14" s="274">
        <v>86</v>
      </c>
      <c r="M14" s="274">
        <v>59</v>
      </c>
      <c r="N14" s="274">
        <v>57</v>
      </c>
      <c r="O14" s="373">
        <v>74</v>
      </c>
      <c r="P14" s="373">
        <v>64</v>
      </c>
      <c r="Q14" s="373">
        <v>46</v>
      </c>
      <c r="R14" s="618">
        <v>48</v>
      </c>
      <c r="S14" s="374"/>
      <c r="T14" s="152">
        <v>189</v>
      </c>
      <c r="U14" s="274">
        <v>145</v>
      </c>
      <c r="V14" s="274">
        <v>166</v>
      </c>
      <c r="W14" s="274">
        <v>163</v>
      </c>
      <c r="X14" s="373">
        <v>249</v>
      </c>
      <c r="Y14" s="373">
        <v>195</v>
      </c>
      <c r="Z14" s="373">
        <v>176</v>
      </c>
      <c r="AA14" s="618">
        <v>193</v>
      </c>
      <c r="AB14" s="374"/>
      <c r="AC14" s="152">
        <v>585</v>
      </c>
      <c r="AD14" s="274">
        <v>614</v>
      </c>
      <c r="AE14" s="274">
        <v>515</v>
      </c>
      <c r="AF14" s="274">
        <v>594</v>
      </c>
      <c r="AG14" s="373">
        <v>669</v>
      </c>
      <c r="AH14" s="373">
        <v>664</v>
      </c>
      <c r="AI14" s="373">
        <v>734</v>
      </c>
      <c r="AJ14" s="618">
        <v>758</v>
      </c>
      <c r="AK14" s="374"/>
      <c r="AL14" s="152">
        <v>16</v>
      </c>
      <c r="AM14" s="274">
        <v>19</v>
      </c>
      <c r="AN14" s="274">
        <v>16</v>
      </c>
      <c r="AO14" s="274">
        <v>19</v>
      </c>
      <c r="AP14" s="373">
        <v>27</v>
      </c>
      <c r="AQ14" s="373">
        <v>26</v>
      </c>
      <c r="AR14" s="373">
        <v>31</v>
      </c>
      <c r="AS14" s="618">
        <v>45</v>
      </c>
      <c r="AT14" s="374"/>
      <c r="AU14" s="152"/>
      <c r="AV14" s="274"/>
      <c r="AW14" s="274"/>
      <c r="AX14" s="274"/>
      <c r="AY14" s="373">
        <v>4</v>
      </c>
      <c r="AZ14" s="373"/>
      <c r="BA14" s="373"/>
      <c r="BB14" s="618"/>
      <c r="BC14" s="374"/>
      <c r="BD14" s="152">
        <f t="shared" si="1"/>
        <v>869</v>
      </c>
      <c r="BE14" s="274">
        <f t="shared" si="2"/>
        <v>864</v>
      </c>
      <c r="BF14" s="274">
        <f t="shared" si="3"/>
        <v>756</v>
      </c>
      <c r="BG14" s="274">
        <f t="shared" si="4"/>
        <v>833</v>
      </c>
      <c r="BH14" s="373">
        <f t="shared" si="5"/>
        <v>1023</v>
      </c>
      <c r="BI14" s="373">
        <f t="shared" si="6"/>
        <v>950</v>
      </c>
      <c r="BJ14" s="373">
        <f t="shared" si="7"/>
        <v>987</v>
      </c>
      <c r="BK14" s="618">
        <f t="shared" si="8"/>
        <v>1044</v>
      </c>
      <c r="BL14" s="374">
        <f t="shared" si="8"/>
        <v>0</v>
      </c>
    </row>
    <row r="15" spans="1:64" x14ac:dyDescent="0.2">
      <c r="A15" s="359" t="s">
        <v>639</v>
      </c>
      <c r="B15" s="152"/>
      <c r="C15" s="274"/>
      <c r="D15" s="274"/>
      <c r="E15" s="274"/>
      <c r="F15" s="373">
        <v>1</v>
      </c>
      <c r="G15" s="373"/>
      <c r="H15" s="373">
        <v>1</v>
      </c>
      <c r="I15" s="618"/>
      <c r="J15" s="374"/>
      <c r="K15" s="152">
        <v>65</v>
      </c>
      <c r="L15" s="274">
        <v>52</v>
      </c>
      <c r="M15" s="274">
        <v>59</v>
      </c>
      <c r="N15" s="274">
        <v>90</v>
      </c>
      <c r="O15" s="373">
        <v>99</v>
      </c>
      <c r="P15" s="373">
        <v>57</v>
      </c>
      <c r="Q15" s="373">
        <v>64</v>
      </c>
      <c r="R15" s="618">
        <v>62</v>
      </c>
      <c r="S15" s="374"/>
      <c r="T15" s="152">
        <v>181</v>
      </c>
      <c r="U15" s="274">
        <v>182</v>
      </c>
      <c r="V15" s="274">
        <v>142</v>
      </c>
      <c r="W15" s="274">
        <v>153</v>
      </c>
      <c r="X15" s="373">
        <v>171</v>
      </c>
      <c r="Y15" s="373">
        <v>198</v>
      </c>
      <c r="Z15" s="373">
        <v>160</v>
      </c>
      <c r="AA15" s="618">
        <v>168</v>
      </c>
      <c r="AB15" s="374"/>
      <c r="AC15" s="152">
        <v>625</v>
      </c>
      <c r="AD15" s="274">
        <v>608</v>
      </c>
      <c r="AE15" s="274">
        <v>562</v>
      </c>
      <c r="AF15" s="274">
        <v>392</v>
      </c>
      <c r="AG15" s="373">
        <v>459</v>
      </c>
      <c r="AH15" s="373">
        <v>694</v>
      </c>
      <c r="AI15" s="373">
        <v>623</v>
      </c>
      <c r="AJ15" s="618">
        <v>524</v>
      </c>
      <c r="AK15" s="374"/>
      <c r="AL15" s="152">
        <v>31</v>
      </c>
      <c r="AM15" s="274">
        <v>42</v>
      </c>
      <c r="AN15" s="274">
        <v>33</v>
      </c>
      <c r="AO15" s="274">
        <v>21</v>
      </c>
      <c r="AP15" s="373">
        <v>28</v>
      </c>
      <c r="AQ15" s="373">
        <v>45</v>
      </c>
      <c r="AR15" s="373">
        <v>52</v>
      </c>
      <c r="AS15" s="618">
        <v>45</v>
      </c>
      <c r="AT15" s="374"/>
      <c r="AU15" s="152"/>
      <c r="AV15" s="274"/>
      <c r="AW15" s="274"/>
      <c r="AX15" s="274"/>
      <c r="AY15" s="373">
        <v>5</v>
      </c>
      <c r="AZ15" s="373">
        <v>1</v>
      </c>
      <c r="BA15" s="373"/>
      <c r="BB15" s="618"/>
      <c r="BC15" s="374"/>
      <c r="BD15" s="152">
        <f t="shared" si="1"/>
        <v>902</v>
      </c>
      <c r="BE15" s="274">
        <f t="shared" si="2"/>
        <v>884</v>
      </c>
      <c r="BF15" s="274">
        <f t="shared" si="3"/>
        <v>796</v>
      </c>
      <c r="BG15" s="274">
        <f t="shared" si="4"/>
        <v>656</v>
      </c>
      <c r="BH15" s="373">
        <f t="shared" si="5"/>
        <v>763</v>
      </c>
      <c r="BI15" s="373">
        <f t="shared" si="6"/>
        <v>995</v>
      </c>
      <c r="BJ15" s="373">
        <f t="shared" si="7"/>
        <v>900</v>
      </c>
      <c r="BK15" s="618">
        <f t="shared" si="8"/>
        <v>799</v>
      </c>
      <c r="BL15" s="374">
        <f t="shared" si="8"/>
        <v>0</v>
      </c>
    </row>
    <row r="16" spans="1:64" x14ac:dyDescent="0.2">
      <c r="A16" s="359" t="s">
        <v>640</v>
      </c>
      <c r="B16" s="152"/>
      <c r="C16" s="274"/>
      <c r="D16" s="274"/>
      <c r="E16" s="274"/>
      <c r="F16" s="373"/>
      <c r="G16" s="373"/>
      <c r="H16" s="373"/>
      <c r="I16" s="618"/>
      <c r="J16" s="374"/>
      <c r="K16" s="152">
        <v>10</v>
      </c>
      <c r="L16" s="274">
        <v>8</v>
      </c>
      <c r="M16" s="274">
        <v>11</v>
      </c>
      <c r="N16" s="274">
        <v>12</v>
      </c>
      <c r="O16" s="373">
        <v>11</v>
      </c>
      <c r="P16" s="373">
        <v>26</v>
      </c>
      <c r="Q16" s="373">
        <v>19</v>
      </c>
      <c r="R16" s="618">
        <v>30</v>
      </c>
      <c r="S16" s="374"/>
      <c r="T16" s="152">
        <v>46</v>
      </c>
      <c r="U16" s="274">
        <v>33</v>
      </c>
      <c r="V16" s="274">
        <v>35</v>
      </c>
      <c r="W16" s="274">
        <v>36</v>
      </c>
      <c r="X16" s="373">
        <v>34</v>
      </c>
      <c r="Y16" s="373">
        <v>25</v>
      </c>
      <c r="Z16" s="373">
        <v>45</v>
      </c>
      <c r="AA16" s="618">
        <v>42</v>
      </c>
      <c r="AB16" s="374"/>
      <c r="AC16" s="152">
        <v>181</v>
      </c>
      <c r="AD16" s="274">
        <v>156</v>
      </c>
      <c r="AE16" s="274">
        <v>138</v>
      </c>
      <c r="AF16" s="274">
        <v>227</v>
      </c>
      <c r="AG16" s="373">
        <v>154</v>
      </c>
      <c r="AH16" s="373">
        <v>157</v>
      </c>
      <c r="AI16" s="373">
        <v>261</v>
      </c>
      <c r="AJ16" s="618">
        <v>252</v>
      </c>
      <c r="AK16" s="374"/>
      <c r="AL16" s="152">
        <v>12</v>
      </c>
      <c r="AM16" s="274">
        <v>7</v>
      </c>
      <c r="AN16" s="274">
        <v>7</v>
      </c>
      <c r="AO16" s="274">
        <v>14</v>
      </c>
      <c r="AP16" s="373">
        <v>21</v>
      </c>
      <c r="AQ16" s="373">
        <v>11</v>
      </c>
      <c r="AR16" s="373">
        <v>24</v>
      </c>
      <c r="AS16" s="618">
        <v>26</v>
      </c>
      <c r="AT16" s="374"/>
      <c r="AU16" s="152"/>
      <c r="AV16" s="274"/>
      <c r="AW16" s="274"/>
      <c r="AX16" s="274"/>
      <c r="AY16" s="373">
        <v>1</v>
      </c>
      <c r="AZ16" s="373"/>
      <c r="BA16" s="373"/>
      <c r="BB16" s="618"/>
      <c r="BC16" s="374"/>
      <c r="BD16" s="152">
        <f t="shared" si="1"/>
        <v>249</v>
      </c>
      <c r="BE16" s="274">
        <f t="shared" si="2"/>
        <v>204</v>
      </c>
      <c r="BF16" s="274">
        <f t="shared" si="3"/>
        <v>191</v>
      </c>
      <c r="BG16" s="274">
        <f t="shared" si="4"/>
        <v>289</v>
      </c>
      <c r="BH16" s="373">
        <f t="shared" si="5"/>
        <v>221</v>
      </c>
      <c r="BI16" s="373">
        <f t="shared" si="6"/>
        <v>219</v>
      </c>
      <c r="BJ16" s="373">
        <f t="shared" si="7"/>
        <v>349</v>
      </c>
      <c r="BK16" s="618">
        <f t="shared" si="8"/>
        <v>350</v>
      </c>
      <c r="BL16" s="374">
        <f t="shared" si="8"/>
        <v>0</v>
      </c>
    </row>
    <row r="17" spans="1:64" x14ac:dyDescent="0.2">
      <c r="A17" s="359" t="s">
        <v>641</v>
      </c>
      <c r="B17" s="152"/>
      <c r="C17" s="274"/>
      <c r="D17" s="274"/>
      <c r="E17" s="274"/>
      <c r="F17" s="373"/>
      <c r="G17" s="373"/>
      <c r="H17" s="373"/>
      <c r="I17" s="618"/>
      <c r="J17" s="374"/>
      <c r="K17" s="152">
        <v>77</v>
      </c>
      <c r="L17" s="274">
        <v>70</v>
      </c>
      <c r="M17" s="274">
        <v>54</v>
      </c>
      <c r="N17" s="274">
        <v>45</v>
      </c>
      <c r="O17" s="373">
        <v>41</v>
      </c>
      <c r="P17" s="373">
        <v>51</v>
      </c>
      <c r="Q17" s="373">
        <v>50</v>
      </c>
      <c r="R17" s="618">
        <v>48</v>
      </c>
      <c r="S17" s="374"/>
      <c r="T17" s="152">
        <v>203</v>
      </c>
      <c r="U17" s="274">
        <v>162</v>
      </c>
      <c r="V17" s="274">
        <v>123</v>
      </c>
      <c r="W17" s="274">
        <v>214</v>
      </c>
      <c r="X17" s="373">
        <v>136</v>
      </c>
      <c r="Y17" s="373">
        <v>163</v>
      </c>
      <c r="Z17" s="373">
        <v>164</v>
      </c>
      <c r="AA17" s="618">
        <v>211</v>
      </c>
      <c r="AB17" s="374"/>
      <c r="AC17" s="152">
        <v>725</v>
      </c>
      <c r="AD17" s="274">
        <v>661</v>
      </c>
      <c r="AE17" s="274">
        <v>556</v>
      </c>
      <c r="AF17" s="274">
        <v>644</v>
      </c>
      <c r="AG17" s="373">
        <v>524</v>
      </c>
      <c r="AH17" s="373">
        <v>720</v>
      </c>
      <c r="AI17" s="373">
        <v>788</v>
      </c>
      <c r="AJ17" s="618">
        <v>872</v>
      </c>
      <c r="AK17" s="374"/>
      <c r="AL17" s="152">
        <v>27</v>
      </c>
      <c r="AM17" s="274">
        <v>20</v>
      </c>
      <c r="AN17" s="274">
        <v>22</v>
      </c>
      <c r="AO17" s="274">
        <v>36</v>
      </c>
      <c r="AP17" s="373">
        <v>27</v>
      </c>
      <c r="AQ17" s="373">
        <v>29</v>
      </c>
      <c r="AR17" s="373">
        <v>51</v>
      </c>
      <c r="AS17" s="618">
        <v>56</v>
      </c>
      <c r="AT17" s="374"/>
      <c r="AU17" s="152"/>
      <c r="AV17" s="274"/>
      <c r="AW17" s="274"/>
      <c r="AX17" s="274"/>
      <c r="AY17" s="373">
        <v>2</v>
      </c>
      <c r="AZ17" s="373"/>
      <c r="BA17" s="373"/>
      <c r="BB17" s="618"/>
      <c r="BC17" s="374"/>
      <c r="BD17" s="152">
        <f t="shared" si="1"/>
        <v>1032</v>
      </c>
      <c r="BE17" s="274">
        <f t="shared" si="2"/>
        <v>913</v>
      </c>
      <c r="BF17" s="274">
        <f t="shared" si="3"/>
        <v>755</v>
      </c>
      <c r="BG17" s="274">
        <f t="shared" si="4"/>
        <v>939</v>
      </c>
      <c r="BH17" s="373">
        <f t="shared" si="5"/>
        <v>730</v>
      </c>
      <c r="BI17" s="373">
        <f t="shared" si="6"/>
        <v>963</v>
      </c>
      <c r="BJ17" s="373">
        <f t="shared" si="7"/>
        <v>1053</v>
      </c>
      <c r="BK17" s="618">
        <f t="shared" si="8"/>
        <v>1187</v>
      </c>
      <c r="BL17" s="374">
        <f t="shared" si="8"/>
        <v>0</v>
      </c>
    </row>
    <row r="18" spans="1:64" x14ac:dyDescent="0.2">
      <c r="A18" s="359" t="s">
        <v>642</v>
      </c>
      <c r="B18" s="152"/>
      <c r="C18" s="274"/>
      <c r="D18" s="274"/>
      <c r="E18" s="274"/>
      <c r="F18" s="373"/>
      <c r="G18" s="373">
        <v>1</v>
      </c>
      <c r="H18" s="373"/>
      <c r="I18" s="618"/>
      <c r="J18" s="374"/>
      <c r="K18" s="152">
        <v>70</v>
      </c>
      <c r="L18" s="274">
        <v>58</v>
      </c>
      <c r="M18" s="274">
        <v>63</v>
      </c>
      <c r="N18" s="274">
        <v>45</v>
      </c>
      <c r="O18" s="373">
        <v>62</v>
      </c>
      <c r="P18" s="373">
        <v>45</v>
      </c>
      <c r="Q18" s="373">
        <v>50</v>
      </c>
      <c r="R18" s="618">
        <v>45</v>
      </c>
      <c r="S18" s="374"/>
      <c r="T18" s="152">
        <v>183</v>
      </c>
      <c r="U18" s="274">
        <v>98</v>
      </c>
      <c r="V18" s="274">
        <v>144</v>
      </c>
      <c r="W18" s="274">
        <v>147</v>
      </c>
      <c r="X18" s="373">
        <v>180</v>
      </c>
      <c r="Y18" s="373">
        <v>207</v>
      </c>
      <c r="Z18" s="373">
        <v>178</v>
      </c>
      <c r="AA18" s="618">
        <v>165</v>
      </c>
      <c r="AB18" s="374"/>
      <c r="AC18" s="152">
        <v>669</v>
      </c>
      <c r="AD18" s="274">
        <v>348</v>
      </c>
      <c r="AE18" s="274">
        <v>443</v>
      </c>
      <c r="AF18" s="274">
        <v>571</v>
      </c>
      <c r="AG18" s="373">
        <v>676</v>
      </c>
      <c r="AH18" s="373">
        <v>711</v>
      </c>
      <c r="AI18" s="373">
        <v>597</v>
      </c>
      <c r="AJ18" s="618">
        <v>511</v>
      </c>
      <c r="AK18" s="374"/>
      <c r="AL18" s="152">
        <v>31</v>
      </c>
      <c r="AM18" s="274">
        <v>18</v>
      </c>
      <c r="AN18" s="274">
        <v>23</v>
      </c>
      <c r="AO18" s="274">
        <v>26</v>
      </c>
      <c r="AP18" s="373">
        <v>33</v>
      </c>
      <c r="AQ18" s="373">
        <v>31</v>
      </c>
      <c r="AR18" s="373">
        <v>46</v>
      </c>
      <c r="AS18" s="618">
        <v>28</v>
      </c>
      <c r="AT18" s="374"/>
      <c r="AU18" s="152"/>
      <c r="AV18" s="274"/>
      <c r="AW18" s="274"/>
      <c r="AX18" s="274"/>
      <c r="AY18" s="373">
        <v>5</v>
      </c>
      <c r="AZ18" s="373"/>
      <c r="BA18" s="373"/>
      <c r="BB18" s="618"/>
      <c r="BC18" s="374"/>
      <c r="BD18" s="152">
        <f t="shared" si="1"/>
        <v>953</v>
      </c>
      <c r="BE18" s="274">
        <f t="shared" si="2"/>
        <v>522</v>
      </c>
      <c r="BF18" s="274">
        <f t="shared" si="3"/>
        <v>673</v>
      </c>
      <c r="BG18" s="274">
        <f t="shared" si="4"/>
        <v>789</v>
      </c>
      <c r="BH18" s="373">
        <f t="shared" si="5"/>
        <v>956</v>
      </c>
      <c r="BI18" s="373">
        <f t="shared" si="6"/>
        <v>995</v>
      </c>
      <c r="BJ18" s="373">
        <f t="shared" si="7"/>
        <v>871</v>
      </c>
      <c r="BK18" s="618">
        <f t="shared" si="8"/>
        <v>749</v>
      </c>
      <c r="BL18" s="374">
        <f t="shared" si="8"/>
        <v>0</v>
      </c>
    </row>
    <row r="19" spans="1:64" x14ac:dyDescent="0.2">
      <c r="A19" s="359" t="s">
        <v>643</v>
      </c>
      <c r="B19" s="152"/>
      <c r="C19" s="274"/>
      <c r="D19" s="274"/>
      <c r="E19" s="274"/>
      <c r="F19" s="373"/>
      <c r="G19" s="373"/>
      <c r="H19" s="373"/>
      <c r="I19" s="618"/>
      <c r="J19" s="374"/>
      <c r="K19" s="152">
        <v>24</v>
      </c>
      <c r="L19" s="274">
        <v>39</v>
      </c>
      <c r="M19" s="274">
        <v>47</v>
      </c>
      <c r="N19" s="274">
        <v>55</v>
      </c>
      <c r="O19" s="373">
        <v>52</v>
      </c>
      <c r="P19" s="373">
        <v>56</v>
      </c>
      <c r="Q19" s="373">
        <v>37</v>
      </c>
      <c r="R19" s="618">
        <v>42</v>
      </c>
      <c r="S19" s="374"/>
      <c r="T19" s="152">
        <v>85</v>
      </c>
      <c r="U19" s="274">
        <v>106</v>
      </c>
      <c r="V19" s="274">
        <v>86</v>
      </c>
      <c r="W19" s="274">
        <v>111</v>
      </c>
      <c r="X19" s="373">
        <v>101</v>
      </c>
      <c r="Y19" s="373">
        <v>118</v>
      </c>
      <c r="Z19" s="373">
        <v>99</v>
      </c>
      <c r="AA19" s="618">
        <v>111</v>
      </c>
      <c r="AB19" s="374"/>
      <c r="AC19" s="152">
        <v>395</v>
      </c>
      <c r="AD19" s="274">
        <v>442</v>
      </c>
      <c r="AE19" s="274">
        <v>348</v>
      </c>
      <c r="AF19" s="274">
        <v>357</v>
      </c>
      <c r="AG19" s="373">
        <v>269</v>
      </c>
      <c r="AH19" s="373">
        <v>461</v>
      </c>
      <c r="AI19" s="373">
        <v>419</v>
      </c>
      <c r="AJ19" s="618">
        <v>333</v>
      </c>
      <c r="AK19" s="374"/>
      <c r="AL19" s="152">
        <v>22</v>
      </c>
      <c r="AM19" s="274">
        <v>15</v>
      </c>
      <c r="AN19" s="274">
        <v>16</v>
      </c>
      <c r="AO19" s="274">
        <v>15</v>
      </c>
      <c r="AP19" s="373">
        <v>12</v>
      </c>
      <c r="AQ19" s="373">
        <v>19</v>
      </c>
      <c r="AR19" s="373">
        <v>27</v>
      </c>
      <c r="AS19" s="618">
        <v>24</v>
      </c>
      <c r="AT19" s="374"/>
      <c r="AU19" s="152"/>
      <c r="AV19" s="274"/>
      <c r="AW19" s="274"/>
      <c r="AX19" s="274"/>
      <c r="AY19" s="373">
        <v>1</v>
      </c>
      <c r="AZ19" s="373"/>
      <c r="BA19" s="373"/>
      <c r="BB19" s="618"/>
      <c r="BC19" s="374"/>
      <c r="BD19" s="152">
        <f t="shared" si="1"/>
        <v>526</v>
      </c>
      <c r="BE19" s="274">
        <f t="shared" si="2"/>
        <v>602</v>
      </c>
      <c r="BF19" s="274">
        <f t="shared" si="3"/>
        <v>497</v>
      </c>
      <c r="BG19" s="274">
        <f t="shared" si="4"/>
        <v>538</v>
      </c>
      <c r="BH19" s="373">
        <f t="shared" si="5"/>
        <v>435</v>
      </c>
      <c r="BI19" s="373">
        <f t="shared" si="6"/>
        <v>654</v>
      </c>
      <c r="BJ19" s="373">
        <f t="shared" si="7"/>
        <v>582</v>
      </c>
      <c r="BK19" s="618">
        <f t="shared" si="8"/>
        <v>510</v>
      </c>
      <c r="BL19" s="374">
        <f t="shared" si="8"/>
        <v>0</v>
      </c>
    </row>
    <row r="20" spans="1:64" x14ac:dyDescent="0.2">
      <c r="A20" s="359" t="s">
        <v>644</v>
      </c>
      <c r="B20" s="152"/>
      <c r="C20" s="274"/>
      <c r="D20" s="274"/>
      <c r="E20" s="274"/>
      <c r="F20" s="373"/>
      <c r="G20" s="373"/>
      <c r="H20" s="373"/>
      <c r="I20" s="618"/>
      <c r="J20" s="374"/>
      <c r="K20" s="152">
        <v>27</v>
      </c>
      <c r="L20" s="274">
        <v>46</v>
      </c>
      <c r="M20" s="274">
        <v>24</v>
      </c>
      <c r="N20" s="274">
        <v>55</v>
      </c>
      <c r="O20" s="373">
        <v>29</v>
      </c>
      <c r="P20" s="373">
        <v>22</v>
      </c>
      <c r="Q20" s="373">
        <v>34</v>
      </c>
      <c r="R20" s="618">
        <v>33</v>
      </c>
      <c r="S20" s="374"/>
      <c r="T20" s="152">
        <v>77</v>
      </c>
      <c r="U20" s="274">
        <v>103</v>
      </c>
      <c r="V20" s="274">
        <v>86</v>
      </c>
      <c r="W20" s="274">
        <v>106</v>
      </c>
      <c r="X20" s="373">
        <v>108</v>
      </c>
      <c r="Y20" s="373">
        <v>92</v>
      </c>
      <c r="Z20" s="373">
        <v>79</v>
      </c>
      <c r="AA20" s="618">
        <v>76</v>
      </c>
      <c r="AB20" s="374"/>
      <c r="AC20" s="152">
        <v>302</v>
      </c>
      <c r="AD20" s="274">
        <v>367</v>
      </c>
      <c r="AE20" s="274">
        <v>403</v>
      </c>
      <c r="AF20" s="274">
        <v>403</v>
      </c>
      <c r="AG20" s="373">
        <v>371</v>
      </c>
      <c r="AH20" s="373">
        <v>348</v>
      </c>
      <c r="AI20" s="373">
        <v>339</v>
      </c>
      <c r="AJ20" s="618">
        <v>292</v>
      </c>
      <c r="AK20" s="374"/>
      <c r="AL20" s="152">
        <v>9</v>
      </c>
      <c r="AM20" s="274">
        <v>18</v>
      </c>
      <c r="AN20" s="274">
        <v>20</v>
      </c>
      <c r="AO20" s="274">
        <v>25</v>
      </c>
      <c r="AP20" s="373">
        <v>21</v>
      </c>
      <c r="AQ20" s="373">
        <v>20</v>
      </c>
      <c r="AR20" s="373">
        <v>29</v>
      </c>
      <c r="AS20" s="618">
        <v>10</v>
      </c>
      <c r="AT20" s="374"/>
      <c r="AU20" s="152"/>
      <c r="AV20" s="274"/>
      <c r="AW20" s="274"/>
      <c r="AX20" s="274"/>
      <c r="AY20" s="373"/>
      <c r="AZ20" s="373"/>
      <c r="BA20" s="373"/>
      <c r="BB20" s="618"/>
      <c r="BC20" s="374"/>
      <c r="BD20" s="152">
        <f t="shared" si="1"/>
        <v>415</v>
      </c>
      <c r="BE20" s="274">
        <f t="shared" si="2"/>
        <v>534</v>
      </c>
      <c r="BF20" s="274">
        <f t="shared" si="3"/>
        <v>533</v>
      </c>
      <c r="BG20" s="274">
        <f t="shared" si="4"/>
        <v>589</v>
      </c>
      <c r="BH20" s="373">
        <f t="shared" si="5"/>
        <v>529</v>
      </c>
      <c r="BI20" s="373">
        <f t="shared" si="6"/>
        <v>482</v>
      </c>
      <c r="BJ20" s="373">
        <f t="shared" si="7"/>
        <v>481</v>
      </c>
      <c r="BK20" s="618">
        <f t="shared" si="8"/>
        <v>411</v>
      </c>
      <c r="BL20" s="374">
        <f t="shared" si="8"/>
        <v>0</v>
      </c>
    </row>
    <row r="21" spans="1:64" x14ac:dyDescent="0.2">
      <c r="A21" s="359" t="s">
        <v>645</v>
      </c>
      <c r="B21" s="152"/>
      <c r="C21" s="274"/>
      <c r="D21" s="274"/>
      <c r="E21" s="274"/>
      <c r="F21" s="373"/>
      <c r="G21" s="373"/>
      <c r="H21" s="373"/>
      <c r="I21" s="618"/>
      <c r="J21" s="374"/>
      <c r="K21" s="152">
        <v>21</v>
      </c>
      <c r="L21" s="274">
        <v>27</v>
      </c>
      <c r="M21" s="274">
        <v>28</v>
      </c>
      <c r="N21" s="274">
        <v>30</v>
      </c>
      <c r="O21" s="373">
        <v>19</v>
      </c>
      <c r="P21" s="373">
        <v>17</v>
      </c>
      <c r="Q21" s="373">
        <v>29</v>
      </c>
      <c r="R21" s="618">
        <v>18</v>
      </c>
      <c r="S21" s="374"/>
      <c r="T21" s="152">
        <v>55</v>
      </c>
      <c r="U21" s="274">
        <v>46</v>
      </c>
      <c r="V21" s="274">
        <v>49</v>
      </c>
      <c r="W21" s="274">
        <v>47</v>
      </c>
      <c r="X21" s="373">
        <v>106</v>
      </c>
      <c r="Y21" s="373">
        <v>77</v>
      </c>
      <c r="Z21" s="373">
        <v>62</v>
      </c>
      <c r="AA21" s="618">
        <v>60</v>
      </c>
      <c r="AB21" s="374"/>
      <c r="AC21" s="152">
        <v>210</v>
      </c>
      <c r="AD21" s="274">
        <v>159</v>
      </c>
      <c r="AE21" s="274">
        <v>212</v>
      </c>
      <c r="AF21" s="274">
        <v>195</v>
      </c>
      <c r="AG21" s="373">
        <v>386</v>
      </c>
      <c r="AH21" s="373">
        <v>298</v>
      </c>
      <c r="AI21" s="373">
        <v>293</v>
      </c>
      <c r="AJ21" s="618">
        <v>249</v>
      </c>
      <c r="AK21" s="374"/>
      <c r="AL21" s="152">
        <v>10</v>
      </c>
      <c r="AM21" s="274">
        <v>10</v>
      </c>
      <c r="AN21" s="274">
        <v>15</v>
      </c>
      <c r="AO21" s="274">
        <v>12</v>
      </c>
      <c r="AP21" s="373">
        <v>26</v>
      </c>
      <c r="AQ21" s="373">
        <v>18</v>
      </c>
      <c r="AR21" s="373">
        <v>26</v>
      </c>
      <c r="AS21" s="618">
        <v>23</v>
      </c>
      <c r="AT21" s="374"/>
      <c r="AU21" s="152"/>
      <c r="AV21" s="274"/>
      <c r="AW21" s="274"/>
      <c r="AX21" s="274"/>
      <c r="AY21" s="373">
        <v>1</v>
      </c>
      <c r="AZ21" s="373"/>
      <c r="BA21" s="373"/>
      <c r="BB21" s="618"/>
      <c r="BC21" s="374"/>
      <c r="BD21" s="152">
        <f t="shared" si="1"/>
        <v>296</v>
      </c>
      <c r="BE21" s="274">
        <f t="shared" si="2"/>
        <v>242</v>
      </c>
      <c r="BF21" s="274">
        <f t="shared" si="3"/>
        <v>304</v>
      </c>
      <c r="BG21" s="274">
        <f t="shared" si="4"/>
        <v>284</v>
      </c>
      <c r="BH21" s="373">
        <f t="shared" si="5"/>
        <v>538</v>
      </c>
      <c r="BI21" s="373">
        <f t="shared" si="6"/>
        <v>410</v>
      </c>
      <c r="BJ21" s="373">
        <f t="shared" si="7"/>
        <v>410</v>
      </c>
      <c r="BK21" s="618">
        <f t="shared" si="8"/>
        <v>350</v>
      </c>
      <c r="BL21" s="374">
        <f t="shared" si="8"/>
        <v>0</v>
      </c>
    </row>
    <row r="22" spans="1:64" x14ac:dyDescent="0.2">
      <c r="A22" s="359" t="s">
        <v>646</v>
      </c>
      <c r="B22" s="152"/>
      <c r="C22" s="274"/>
      <c r="D22" s="274"/>
      <c r="E22" s="274"/>
      <c r="F22" s="373"/>
      <c r="G22" s="373"/>
      <c r="H22" s="373"/>
      <c r="I22" s="618">
        <v>2</v>
      </c>
      <c r="J22" s="374"/>
      <c r="K22" s="152">
        <v>26</v>
      </c>
      <c r="L22" s="274">
        <v>35</v>
      </c>
      <c r="M22" s="274">
        <v>22</v>
      </c>
      <c r="N22" s="274">
        <v>24</v>
      </c>
      <c r="O22" s="373">
        <v>36</v>
      </c>
      <c r="P22" s="373">
        <v>20</v>
      </c>
      <c r="Q22" s="373">
        <v>12</v>
      </c>
      <c r="R22" s="618">
        <v>26</v>
      </c>
      <c r="S22" s="374"/>
      <c r="T22" s="152">
        <v>99</v>
      </c>
      <c r="U22" s="274">
        <v>76</v>
      </c>
      <c r="V22" s="274">
        <v>52</v>
      </c>
      <c r="W22" s="274">
        <v>40</v>
      </c>
      <c r="X22" s="373">
        <v>79</v>
      </c>
      <c r="Y22" s="373">
        <v>62</v>
      </c>
      <c r="Z22" s="373">
        <v>76</v>
      </c>
      <c r="AA22" s="618">
        <v>88</v>
      </c>
      <c r="AB22" s="374"/>
      <c r="AC22" s="152">
        <v>393</v>
      </c>
      <c r="AD22" s="274">
        <v>304</v>
      </c>
      <c r="AE22" s="274">
        <v>218</v>
      </c>
      <c r="AF22" s="274">
        <v>188</v>
      </c>
      <c r="AG22" s="373">
        <v>328</v>
      </c>
      <c r="AH22" s="373">
        <v>316</v>
      </c>
      <c r="AI22" s="373">
        <v>346</v>
      </c>
      <c r="AJ22" s="618">
        <v>484</v>
      </c>
      <c r="AK22" s="374"/>
      <c r="AL22" s="152">
        <v>20</v>
      </c>
      <c r="AM22" s="274">
        <v>10</v>
      </c>
      <c r="AN22" s="274">
        <v>17</v>
      </c>
      <c r="AO22" s="274">
        <v>13</v>
      </c>
      <c r="AP22" s="373">
        <v>19</v>
      </c>
      <c r="AQ22" s="373">
        <v>17</v>
      </c>
      <c r="AR22" s="373">
        <v>31</v>
      </c>
      <c r="AS22" s="618">
        <v>38</v>
      </c>
      <c r="AT22" s="374"/>
      <c r="AU22" s="152"/>
      <c r="AV22" s="274"/>
      <c r="AW22" s="274"/>
      <c r="AX22" s="274"/>
      <c r="AY22" s="373"/>
      <c r="AZ22" s="373"/>
      <c r="BA22" s="373"/>
      <c r="BB22" s="618"/>
      <c r="BC22" s="374"/>
      <c r="BD22" s="152">
        <f t="shared" si="1"/>
        <v>538</v>
      </c>
      <c r="BE22" s="274">
        <f t="shared" si="2"/>
        <v>425</v>
      </c>
      <c r="BF22" s="274">
        <f t="shared" si="3"/>
        <v>309</v>
      </c>
      <c r="BG22" s="274">
        <f t="shared" si="4"/>
        <v>265</v>
      </c>
      <c r="BH22" s="373">
        <f t="shared" si="5"/>
        <v>462</v>
      </c>
      <c r="BI22" s="373">
        <f t="shared" si="6"/>
        <v>415</v>
      </c>
      <c r="BJ22" s="373">
        <f t="shared" si="7"/>
        <v>465</v>
      </c>
      <c r="BK22" s="618">
        <f t="shared" si="8"/>
        <v>638</v>
      </c>
      <c r="BL22" s="374">
        <f t="shared" si="8"/>
        <v>0</v>
      </c>
    </row>
    <row r="23" spans="1:64" x14ac:dyDescent="0.2">
      <c r="A23" s="359" t="s">
        <v>647</v>
      </c>
      <c r="B23" s="152"/>
      <c r="C23" s="274"/>
      <c r="D23" s="274"/>
      <c r="E23" s="274"/>
      <c r="F23" s="373"/>
      <c r="G23" s="373"/>
      <c r="H23" s="373"/>
      <c r="I23" s="618"/>
      <c r="J23" s="374"/>
      <c r="K23" s="152">
        <v>34</v>
      </c>
      <c r="L23" s="274">
        <v>30</v>
      </c>
      <c r="M23" s="274">
        <v>29</v>
      </c>
      <c r="N23" s="274">
        <v>29</v>
      </c>
      <c r="O23" s="373">
        <v>40</v>
      </c>
      <c r="P23" s="373">
        <v>21</v>
      </c>
      <c r="Q23" s="373">
        <v>20</v>
      </c>
      <c r="R23" s="618">
        <v>41</v>
      </c>
      <c r="S23" s="374"/>
      <c r="T23" s="152">
        <v>111</v>
      </c>
      <c r="U23" s="274">
        <v>88</v>
      </c>
      <c r="V23" s="274">
        <v>56</v>
      </c>
      <c r="W23" s="274">
        <v>68</v>
      </c>
      <c r="X23" s="373">
        <v>60</v>
      </c>
      <c r="Y23" s="373">
        <v>69</v>
      </c>
      <c r="Z23" s="373">
        <v>65</v>
      </c>
      <c r="AA23" s="618">
        <v>76</v>
      </c>
      <c r="AB23" s="374"/>
      <c r="AC23" s="152">
        <v>397</v>
      </c>
      <c r="AD23" s="274">
        <v>424</v>
      </c>
      <c r="AE23" s="274">
        <v>285</v>
      </c>
      <c r="AF23" s="274">
        <v>372</v>
      </c>
      <c r="AG23" s="373">
        <v>309</v>
      </c>
      <c r="AH23" s="373">
        <v>460</v>
      </c>
      <c r="AI23" s="373">
        <v>306</v>
      </c>
      <c r="AJ23" s="618">
        <v>355</v>
      </c>
      <c r="AK23" s="374"/>
      <c r="AL23" s="152">
        <v>13</v>
      </c>
      <c r="AM23" s="274">
        <v>29</v>
      </c>
      <c r="AN23" s="274">
        <v>19</v>
      </c>
      <c r="AO23" s="274">
        <v>24</v>
      </c>
      <c r="AP23" s="373">
        <v>25</v>
      </c>
      <c r="AQ23" s="373">
        <v>31</v>
      </c>
      <c r="AR23" s="373">
        <v>35</v>
      </c>
      <c r="AS23" s="618">
        <v>26</v>
      </c>
      <c r="AT23" s="374"/>
      <c r="AU23" s="152"/>
      <c r="AV23" s="274"/>
      <c r="AW23" s="274"/>
      <c r="AX23" s="274"/>
      <c r="AY23" s="373">
        <v>12</v>
      </c>
      <c r="AZ23" s="373"/>
      <c r="BA23" s="373"/>
      <c r="BB23" s="618"/>
      <c r="BC23" s="374"/>
      <c r="BD23" s="152">
        <f t="shared" si="1"/>
        <v>555</v>
      </c>
      <c r="BE23" s="274">
        <f t="shared" si="2"/>
        <v>571</v>
      </c>
      <c r="BF23" s="274">
        <f t="shared" si="3"/>
        <v>389</v>
      </c>
      <c r="BG23" s="274">
        <f t="shared" si="4"/>
        <v>493</v>
      </c>
      <c r="BH23" s="373">
        <f t="shared" si="5"/>
        <v>446</v>
      </c>
      <c r="BI23" s="373">
        <f t="shared" si="6"/>
        <v>581</v>
      </c>
      <c r="BJ23" s="373">
        <f t="shared" si="7"/>
        <v>426</v>
      </c>
      <c r="BK23" s="618">
        <f t="shared" si="8"/>
        <v>498</v>
      </c>
      <c r="BL23" s="374">
        <f t="shared" si="8"/>
        <v>0</v>
      </c>
    </row>
    <row r="24" spans="1:64" x14ac:dyDescent="0.2">
      <c r="A24" s="359" t="s">
        <v>648</v>
      </c>
      <c r="B24" s="152"/>
      <c r="C24" s="274"/>
      <c r="D24" s="274"/>
      <c r="E24" s="274"/>
      <c r="F24" s="373"/>
      <c r="G24" s="373"/>
      <c r="H24" s="373"/>
      <c r="I24" s="618">
        <v>1</v>
      </c>
      <c r="J24" s="374"/>
      <c r="K24" s="152">
        <v>58</v>
      </c>
      <c r="L24" s="274">
        <v>84</v>
      </c>
      <c r="M24" s="274">
        <v>50</v>
      </c>
      <c r="N24" s="274">
        <v>52</v>
      </c>
      <c r="O24" s="373">
        <v>60</v>
      </c>
      <c r="P24" s="373">
        <v>44</v>
      </c>
      <c r="Q24" s="373">
        <v>40</v>
      </c>
      <c r="R24" s="618">
        <v>33</v>
      </c>
      <c r="S24" s="374"/>
      <c r="T24" s="152">
        <v>117</v>
      </c>
      <c r="U24" s="274">
        <v>103</v>
      </c>
      <c r="V24" s="274">
        <v>101</v>
      </c>
      <c r="W24" s="274">
        <v>101</v>
      </c>
      <c r="X24" s="373">
        <v>119</v>
      </c>
      <c r="Y24" s="373">
        <v>93</v>
      </c>
      <c r="Z24" s="373">
        <v>90</v>
      </c>
      <c r="AA24" s="618">
        <v>105</v>
      </c>
      <c r="AB24" s="374"/>
      <c r="AC24" s="152">
        <v>480</v>
      </c>
      <c r="AD24" s="274">
        <v>448</v>
      </c>
      <c r="AE24" s="274">
        <v>331</v>
      </c>
      <c r="AF24" s="274">
        <v>386</v>
      </c>
      <c r="AG24" s="373">
        <v>376</v>
      </c>
      <c r="AH24" s="373">
        <v>333</v>
      </c>
      <c r="AI24" s="373">
        <v>340</v>
      </c>
      <c r="AJ24" s="618">
        <v>342</v>
      </c>
      <c r="AK24" s="374"/>
      <c r="AL24" s="152">
        <v>28</v>
      </c>
      <c r="AM24" s="274">
        <v>13</v>
      </c>
      <c r="AN24" s="274">
        <v>10</v>
      </c>
      <c r="AO24" s="274">
        <v>18</v>
      </c>
      <c r="AP24" s="373">
        <v>19</v>
      </c>
      <c r="AQ24" s="373">
        <v>22</v>
      </c>
      <c r="AR24" s="373">
        <v>31</v>
      </c>
      <c r="AS24" s="618">
        <v>23</v>
      </c>
      <c r="AT24" s="374"/>
      <c r="AU24" s="152"/>
      <c r="AV24" s="274"/>
      <c r="AW24" s="274"/>
      <c r="AX24" s="274"/>
      <c r="AY24" s="373">
        <v>3</v>
      </c>
      <c r="AZ24" s="373"/>
      <c r="BA24" s="373"/>
      <c r="BB24" s="618"/>
      <c r="BC24" s="374"/>
      <c r="BD24" s="152">
        <f t="shared" si="1"/>
        <v>683</v>
      </c>
      <c r="BE24" s="274">
        <f t="shared" si="2"/>
        <v>648</v>
      </c>
      <c r="BF24" s="274">
        <f t="shared" si="3"/>
        <v>492</v>
      </c>
      <c r="BG24" s="274">
        <f t="shared" si="4"/>
        <v>557</v>
      </c>
      <c r="BH24" s="373">
        <f t="shared" si="5"/>
        <v>577</v>
      </c>
      <c r="BI24" s="373">
        <f t="shared" si="6"/>
        <v>492</v>
      </c>
      <c r="BJ24" s="373">
        <f t="shared" si="7"/>
        <v>501</v>
      </c>
      <c r="BK24" s="618">
        <f t="shared" si="8"/>
        <v>504</v>
      </c>
      <c r="BL24" s="374">
        <f t="shared" si="8"/>
        <v>0</v>
      </c>
    </row>
    <row r="25" spans="1:64" x14ac:dyDescent="0.2">
      <c r="A25" s="359" t="s">
        <v>649</v>
      </c>
      <c r="B25" s="152"/>
      <c r="C25" s="274"/>
      <c r="D25" s="274"/>
      <c r="E25" s="274"/>
      <c r="F25" s="373"/>
      <c r="G25" s="373"/>
      <c r="H25" s="373"/>
      <c r="I25" s="618"/>
      <c r="J25" s="374"/>
      <c r="K25" s="152">
        <v>46</v>
      </c>
      <c r="L25" s="274">
        <v>29</v>
      </c>
      <c r="M25" s="274">
        <v>34</v>
      </c>
      <c r="N25" s="274">
        <v>35</v>
      </c>
      <c r="O25" s="373">
        <v>21</v>
      </c>
      <c r="P25" s="373">
        <v>12</v>
      </c>
      <c r="Q25" s="373">
        <v>14</v>
      </c>
      <c r="R25" s="618">
        <v>20</v>
      </c>
      <c r="S25" s="374"/>
      <c r="T25" s="152">
        <v>84</v>
      </c>
      <c r="U25" s="274">
        <v>83</v>
      </c>
      <c r="V25" s="274">
        <v>82</v>
      </c>
      <c r="W25" s="274">
        <v>55</v>
      </c>
      <c r="X25" s="373">
        <v>73</v>
      </c>
      <c r="Y25" s="373">
        <v>79</v>
      </c>
      <c r="Z25" s="373">
        <v>63</v>
      </c>
      <c r="AA25" s="618">
        <v>51</v>
      </c>
      <c r="AB25" s="374"/>
      <c r="AC25" s="152">
        <v>276</v>
      </c>
      <c r="AD25" s="274">
        <v>263</v>
      </c>
      <c r="AE25" s="274">
        <v>229</v>
      </c>
      <c r="AF25" s="274">
        <v>210</v>
      </c>
      <c r="AG25" s="373">
        <v>261</v>
      </c>
      <c r="AH25" s="373">
        <v>329</v>
      </c>
      <c r="AI25" s="373">
        <v>322</v>
      </c>
      <c r="AJ25" s="618">
        <v>244</v>
      </c>
      <c r="AK25" s="374"/>
      <c r="AL25" s="152">
        <v>16</v>
      </c>
      <c r="AM25" s="274">
        <v>16</v>
      </c>
      <c r="AN25" s="274">
        <v>18</v>
      </c>
      <c r="AO25" s="274">
        <v>17</v>
      </c>
      <c r="AP25" s="373">
        <v>25</v>
      </c>
      <c r="AQ25" s="373">
        <v>21</v>
      </c>
      <c r="AR25" s="373">
        <v>19</v>
      </c>
      <c r="AS25" s="618">
        <v>25</v>
      </c>
      <c r="AT25" s="374"/>
      <c r="AU25" s="152"/>
      <c r="AV25" s="274"/>
      <c r="AW25" s="274"/>
      <c r="AX25" s="274"/>
      <c r="AY25" s="373"/>
      <c r="AZ25" s="373"/>
      <c r="BA25" s="373"/>
      <c r="BB25" s="618"/>
      <c r="BC25" s="374"/>
      <c r="BD25" s="152">
        <f t="shared" si="1"/>
        <v>422</v>
      </c>
      <c r="BE25" s="274">
        <f t="shared" si="2"/>
        <v>391</v>
      </c>
      <c r="BF25" s="274">
        <f t="shared" si="3"/>
        <v>363</v>
      </c>
      <c r="BG25" s="274">
        <f t="shared" si="4"/>
        <v>317</v>
      </c>
      <c r="BH25" s="373">
        <f t="shared" si="5"/>
        <v>380</v>
      </c>
      <c r="BI25" s="373">
        <f t="shared" si="6"/>
        <v>441</v>
      </c>
      <c r="BJ25" s="373">
        <f t="shared" si="7"/>
        <v>418</v>
      </c>
      <c r="BK25" s="618">
        <f t="shared" si="8"/>
        <v>340</v>
      </c>
      <c r="BL25" s="374">
        <f t="shared" si="8"/>
        <v>0</v>
      </c>
    </row>
    <row r="26" spans="1:64" ht="13.5" thickBot="1" x14ac:dyDescent="0.25">
      <c r="A26" s="360" t="s">
        <v>650</v>
      </c>
      <c r="B26" s="157"/>
      <c r="C26" s="382"/>
      <c r="D26" s="382"/>
      <c r="E26" s="382"/>
      <c r="F26" s="375"/>
      <c r="G26" s="375"/>
      <c r="H26" s="375">
        <v>2</v>
      </c>
      <c r="I26" s="619">
        <v>1</v>
      </c>
      <c r="J26" s="376"/>
      <c r="K26" s="157">
        <v>62</v>
      </c>
      <c r="L26" s="382">
        <v>46</v>
      </c>
      <c r="M26" s="382">
        <v>26</v>
      </c>
      <c r="N26" s="382">
        <v>48</v>
      </c>
      <c r="O26" s="375">
        <v>49</v>
      </c>
      <c r="P26" s="375">
        <v>37</v>
      </c>
      <c r="Q26" s="375">
        <v>41</v>
      </c>
      <c r="R26" s="619">
        <v>32</v>
      </c>
      <c r="S26" s="376"/>
      <c r="T26" s="157">
        <v>120</v>
      </c>
      <c r="U26" s="382">
        <v>96</v>
      </c>
      <c r="V26" s="382">
        <v>75</v>
      </c>
      <c r="W26" s="382">
        <v>103</v>
      </c>
      <c r="X26" s="375">
        <v>121</v>
      </c>
      <c r="Y26" s="375">
        <v>124</v>
      </c>
      <c r="Z26" s="375">
        <v>132</v>
      </c>
      <c r="AA26" s="619">
        <v>110</v>
      </c>
      <c r="AB26" s="376"/>
      <c r="AC26" s="157">
        <v>518</v>
      </c>
      <c r="AD26" s="382">
        <v>397</v>
      </c>
      <c r="AE26" s="382">
        <v>288</v>
      </c>
      <c r="AF26" s="382">
        <v>359</v>
      </c>
      <c r="AG26" s="375">
        <v>374</v>
      </c>
      <c r="AH26" s="375">
        <v>399</v>
      </c>
      <c r="AI26" s="375">
        <v>393</v>
      </c>
      <c r="AJ26" s="619">
        <v>460</v>
      </c>
      <c r="AK26" s="376"/>
      <c r="AL26" s="157">
        <v>25</v>
      </c>
      <c r="AM26" s="382">
        <v>17</v>
      </c>
      <c r="AN26" s="382">
        <v>14</v>
      </c>
      <c r="AO26" s="382">
        <v>16</v>
      </c>
      <c r="AP26" s="375">
        <v>16</v>
      </c>
      <c r="AQ26" s="375">
        <v>16</v>
      </c>
      <c r="AR26" s="375">
        <v>24</v>
      </c>
      <c r="AS26" s="619">
        <v>30</v>
      </c>
      <c r="AT26" s="376"/>
      <c r="AU26" s="157"/>
      <c r="AV26" s="382"/>
      <c r="AW26" s="382"/>
      <c r="AX26" s="382"/>
      <c r="AY26" s="375">
        <v>3</v>
      </c>
      <c r="AZ26" s="375"/>
      <c r="BA26" s="375"/>
      <c r="BB26" s="619"/>
      <c r="BC26" s="376"/>
      <c r="BD26" s="157">
        <f t="shared" si="1"/>
        <v>725</v>
      </c>
      <c r="BE26" s="382">
        <f t="shared" si="2"/>
        <v>556</v>
      </c>
      <c r="BF26" s="382">
        <f t="shared" si="3"/>
        <v>403</v>
      </c>
      <c r="BG26" s="382">
        <f t="shared" si="4"/>
        <v>526</v>
      </c>
      <c r="BH26" s="375">
        <f t="shared" si="5"/>
        <v>563</v>
      </c>
      <c r="BI26" s="375">
        <f t="shared" si="6"/>
        <v>576</v>
      </c>
      <c r="BJ26" s="375">
        <f t="shared" si="7"/>
        <v>592</v>
      </c>
      <c r="BK26" s="619">
        <f t="shared" si="8"/>
        <v>633</v>
      </c>
      <c r="BL26" s="376">
        <f t="shared" si="8"/>
        <v>0</v>
      </c>
    </row>
    <row r="27" spans="1:64" s="264" customFormat="1" x14ac:dyDescent="0.2">
      <c r="A27" s="364" t="s">
        <v>785</v>
      </c>
      <c r="B27" s="379"/>
      <c r="C27" s="380"/>
      <c r="D27" s="380"/>
      <c r="E27" s="380"/>
      <c r="F27" s="380"/>
      <c r="G27" s="380"/>
      <c r="H27" s="380"/>
      <c r="I27" s="617"/>
      <c r="J27" s="381"/>
      <c r="K27" s="379">
        <v>543</v>
      </c>
      <c r="L27" s="380">
        <v>486</v>
      </c>
      <c r="M27" s="380">
        <v>414</v>
      </c>
      <c r="N27" s="380">
        <v>482</v>
      </c>
      <c r="O27" s="380">
        <v>382</v>
      </c>
      <c r="P27" s="380">
        <v>364</v>
      </c>
      <c r="Q27" s="380">
        <v>296</v>
      </c>
      <c r="R27" s="617">
        <v>218</v>
      </c>
      <c r="S27" s="381"/>
      <c r="T27" s="379">
        <v>1260</v>
      </c>
      <c r="U27" s="380">
        <v>1185</v>
      </c>
      <c r="V27" s="380">
        <v>973</v>
      </c>
      <c r="W27" s="380">
        <v>1001</v>
      </c>
      <c r="X27" s="380">
        <v>893</v>
      </c>
      <c r="Y27" s="380">
        <v>717</v>
      </c>
      <c r="Z27" s="380">
        <v>748</v>
      </c>
      <c r="AA27" s="617">
        <v>674</v>
      </c>
      <c r="AB27" s="381"/>
      <c r="AC27" s="379">
        <v>3249</v>
      </c>
      <c r="AD27" s="380">
        <v>2877</v>
      </c>
      <c r="AE27" s="380">
        <v>2454</v>
      </c>
      <c r="AF27" s="380">
        <v>2336</v>
      </c>
      <c r="AG27" s="380">
        <v>2319</v>
      </c>
      <c r="AH27" s="380">
        <v>2141</v>
      </c>
      <c r="AI27" s="380">
        <v>2083</v>
      </c>
      <c r="AJ27" s="617">
        <v>2030</v>
      </c>
      <c r="AK27" s="381"/>
      <c r="AL27" s="379">
        <v>148</v>
      </c>
      <c r="AM27" s="380">
        <v>176</v>
      </c>
      <c r="AN27" s="380">
        <v>152</v>
      </c>
      <c r="AO27" s="380">
        <v>144</v>
      </c>
      <c r="AP27" s="380">
        <v>158</v>
      </c>
      <c r="AQ27" s="380">
        <v>185</v>
      </c>
      <c r="AR27" s="380">
        <v>201</v>
      </c>
      <c r="AS27" s="617">
        <v>233</v>
      </c>
      <c r="AT27" s="381"/>
      <c r="AU27" s="379"/>
      <c r="AV27" s="380"/>
      <c r="AW27" s="380"/>
      <c r="AX27" s="380"/>
      <c r="AY27" s="380">
        <v>9</v>
      </c>
      <c r="AZ27" s="380"/>
      <c r="BA27" s="380"/>
      <c r="BB27" s="617"/>
      <c r="BC27" s="381"/>
      <c r="BD27" s="379">
        <f t="shared" si="1"/>
        <v>5200</v>
      </c>
      <c r="BE27" s="380">
        <f t="shared" si="2"/>
        <v>4724</v>
      </c>
      <c r="BF27" s="380">
        <f t="shared" si="3"/>
        <v>3993</v>
      </c>
      <c r="BG27" s="380">
        <f t="shared" si="4"/>
        <v>3963</v>
      </c>
      <c r="BH27" s="380">
        <f t="shared" si="5"/>
        <v>3761</v>
      </c>
      <c r="BI27" s="380">
        <f t="shared" si="6"/>
        <v>3407</v>
      </c>
      <c r="BJ27" s="380">
        <f t="shared" si="7"/>
        <v>3328</v>
      </c>
      <c r="BK27" s="617">
        <f t="shared" si="8"/>
        <v>3155</v>
      </c>
      <c r="BL27" s="381">
        <f t="shared" si="8"/>
        <v>0</v>
      </c>
    </row>
    <row r="28" spans="1:64" x14ac:dyDescent="0.2">
      <c r="A28" s="365" t="s">
        <v>809</v>
      </c>
      <c r="B28" s="377"/>
      <c r="C28" s="373"/>
      <c r="D28" s="373"/>
      <c r="E28" s="373"/>
      <c r="F28" s="373"/>
      <c r="G28" s="373"/>
      <c r="H28" s="373"/>
      <c r="I28" s="618"/>
      <c r="J28" s="374"/>
      <c r="K28" s="377">
        <v>16</v>
      </c>
      <c r="L28" s="373">
        <v>2</v>
      </c>
      <c r="M28" s="373">
        <v>8</v>
      </c>
      <c r="N28" s="373">
        <v>4</v>
      </c>
      <c r="O28" s="373">
        <v>11</v>
      </c>
      <c r="P28" s="373">
        <v>9</v>
      </c>
      <c r="Q28" s="373">
        <v>10</v>
      </c>
      <c r="R28" s="618">
        <v>3</v>
      </c>
      <c r="S28" s="374"/>
      <c r="T28" s="377">
        <v>32</v>
      </c>
      <c r="U28" s="373">
        <v>42</v>
      </c>
      <c r="V28" s="373">
        <v>31</v>
      </c>
      <c r="W28" s="373">
        <v>21</v>
      </c>
      <c r="X28" s="373">
        <v>47</v>
      </c>
      <c r="Y28" s="373">
        <v>32</v>
      </c>
      <c r="Z28" s="373">
        <v>40</v>
      </c>
      <c r="AA28" s="618">
        <v>11</v>
      </c>
      <c r="AB28" s="374"/>
      <c r="AC28" s="377">
        <v>138</v>
      </c>
      <c r="AD28" s="373">
        <v>113</v>
      </c>
      <c r="AE28" s="373">
        <v>73</v>
      </c>
      <c r="AF28" s="373">
        <v>61</v>
      </c>
      <c r="AG28" s="373">
        <v>86</v>
      </c>
      <c r="AH28" s="373">
        <v>123</v>
      </c>
      <c r="AI28" s="373">
        <v>150</v>
      </c>
      <c r="AJ28" s="618">
        <v>44</v>
      </c>
      <c r="AK28" s="374"/>
      <c r="AL28" s="377">
        <v>11</v>
      </c>
      <c r="AM28" s="373">
        <v>8</v>
      </c>
      <c r="AN28" s="373">
        <v>1</v>
      </c>
      <c r="AO28" s="373">
        <v>6</v>
      </c>
      <c r="AP28" s="373">
        <v>6</v>
      </c>
      <c r="AQ28" s="373">
        <v>6</v>
      </c>
      <c r="AR28" s="373">
        <v>3</v>
      </c>
      <c r="AS28" s="618">
        <v>7</v>
      </c>
      <c r="AT28" s="374"/>
      <c r="AU28" s="377"/>
      <c r="AV28" s="373"/>
      <c r="AW28" s="373"/>
      <c r="AX28" s="373"/>
      <c r="AY28" s="373"/>
      <c r="AZ28" s="373"/>
      <c r="BA28" s="373"/>
      <c r="BB28" s="618"/>
      <c r="BC28" s="374"/>
      <c r="BD28" s="377">
        <f t="shared" si="1"/>
        <v>197</v>
      </c>
      <c r="BE28" s="373">
        <f t="shared" si="2"/>
        <v>165</v>
      </c>
      <c r="BF28" s="373">
        <f t="shared" si="3"/>
        <v>113</v>
      </c>
      <c r="BG28" s="373">
        <f t="shared" si="4"/>
        <v>92</v>
      </c>
      <c r="BH28" s="373">
        <f t="shared" si="5"/>
        <v>150</v>
      </c>
      <c r="BI28" s="373">
        <f t="shared" si="6"/>
        <v>170</v>
      </c>
      <c r="BJ28" s="373">
        <f t="shared" si="7"/>
        <v>203</v>
      </c>
      <c r="BK28" s="618">
        <f t="shared" si="8"/>
        <v>65</v>
      </c>
      <c r="BL28" s="374">
        <f t="shared" si="8"/>
        <v>0</v>
      </c>
    </row>
    <row r="29" spans="1:64" x14ac:dyDescent="0.2">
      <c r="A29" s="365" t="s">
        <v>653</v>
      </c>
      <c r="B29" s="377"/>
      <c r="C29" s="373"/>
      <c r="D29" s="373"/>
      <c r="E29" s="373"/>
      <c r="F29" s="373"/>
      <c r="G29" s="373"/>
      <c r="H29" s="373"/>
      <c r="I29" s="618"/>
      <c r="J29" s="374"/>
      <c r="K29" s="377">
        <v>61</v>
      </c>
      <c r="L29" s="373">
        <v>74</v>
      </c>
      <c r="M29" s="373">
        <v>26</v>
      </c>
      <c r="N29" s="373">
        <v>50</v>
      </c>
      <c r="O29" s="373">
        <v>40</v>
      </c>
      <c r="P29" s="373">
        <v>37</v>
      </c>
      <c r="Q29" s="373">
        <v>27</v>
      </c>
      <c r="R29" s="618">
        <v>25</v>
      </c>
      <c r="S29" s="374"/>
      <c r="T29" s="377">
        <v>152</v>
      </c>
      <c r="U29" s="373">
        <v>137</v>
      </c>
      <c r="V29" s="373">
        <v>96</v>
      </c>
      <c r="W29" s="373">
        <v>126</v>
      </c>
      <c r="X29" s="373">
        <v>159</v>
      </c>
      <c r="Y29" s="373">
        <v>104</v>
      </c>
      <c r="Z29" s="373">
        <v>104</v>
      </c>
      <c r="AA29" s="618">
        <v>75</v>
      </c>
      <c r="AB29" s="374"/>
      <c r="AC29" s="377">
        <v>489</v>
      </c>
      <c r="AD29" s="373">
        <v>391</v>
      </c>
      <c r="AE29" s="373">
        <v>326</v>
      </c>
      <c r="AF29" s="373">
        <v>313</v>
      </c>
      <c r="AG29" s="373">
        <v>364</v>
      </c>
      <c r="AH29" s="373">
        <v>323</v>
      </c>
      <c r="AI29" s="373">
        <v>259</v>
      </c>
      <c r="AJ29" s="618">
        <v>229</v>
      </c>
      <c r="AK29" s="374"/>
      <c r="AL29" s="377">
        <v>23</v>
      </c>
      <c r="AM29" s="373">
        <v>21</v>
      </c>
      <c r="AN29" s="373">
        <v>21</v>
      </c>
      <c r="AO29" s="373">
        <v>11</v>
      </c>
      <c r="AP29" s="373">
        <v>16</v>
      </c>
      <c r="AQ29" s="373">
        <v>28</v>
      </c>
      <c r="AR29" s="373">
        <v>35</v>
      </c>
      <c r="AS29" s="618">
        <v>23</v>
      </c>
      <c r="AT29" s="374"/>
      <c r="AU29" s="377"/>
      <c r="AV29" s="373"/>
      <c r="AW29" s="373"/>
      <c r="AX29" s="373"/>
      <c r="AY29" s="373">
        <v>1</v>
      </c>
      <c r="AZ29" s="373"/>
      <c r="BA29" s="373"/>
      <c r="BB29" s="618"/>
      <c r="BC29" s="374"/>
      <c r="BD29" s="377">
        <f t="shared" si="1"/>
        <v>725</v>
      </c>
      <c r="BE29" s="373">
        <f t="shared" si="2"/>
        <v>623</v>
      </c>
      <c r="BF29" s="373">
        <f t="shared" si="3"/>
        <v>469</v>
      </c>
      <c r="BG29" s="373">
        <f t="shared" si="4"/>
        <v>500</v>
      </c>
      <c r="BH29" s="373">
        <f t="shared" si="5"/>
        <v>580</v>
      </c>
      <c r="BI29" s="373">
        <f t="shared" si="6"/>
        <v>492</v>
      </c>
      <c r="BJ29" s="373">
        <f t="shared" si="7"/>
        <v>425</v>
      </c>
      <c r="BK29" s="618">
        <f t="shared" si="8"/>
        <v>352</v>
      </c>
      <c r="BL29" s="374">
        <f t="shared" si="8"/>
        <v>0</v>
      </c>
    </row>
    <row r="30" spans="1:64" x14ac:dyDescent="0.2">
      <c r="A30" s="365" t="s">
        <v>654</v>
      </c>
      <c r="B30" s="377"/>
      <c r="C30" s="373"/>
      <c r="D30" s="373"/>
      <c r="E30" s="373"/>
      <c r="F30" s="373"/>
      <c r="G30" s="373"/>
      <c r="H30" s="373"/>
      <c r="I30" s="618"/>
      <c r="J30" s="374"/>
      <c r="K30" s="377">
        <v>54</v>
      </c>
      <c r="L30" s="373">
        <v>47</v>
      </c>
      <c r="M30" s="373">
        <v>32</v>
      </c>
      <c r="N30" s="373">
        <v>25</v>
      </c>
      <c r="O30" s="373">
        <v>28</v>
      </c>
      <c r="P30" s="373">
        <v>32</v>
      </c>
      <c r="Q30" s="373">
        <v>20</v>
      </c>
      <c r="R30" s="618">
        <v>13</v>
      </c>
      <c r="S30" s="374"/>
      <c r="T30" s="377">
        <v>122</v>
      </c>
      <c r="U30" s="373">
        <v>82</v>
      </c>
      <c r="V30" s="373">
        <v>63</v>
      </c>
      <c r="W30" s="373">
        <v>67</v>
      </c>
      <c r="X30" s="373">
        <v>58</v>
      </c>
      <c r="Y30" s="373">
        <v>61</v>
      </c>
      <c r="Z30" s="373">
        <v>47</v>
      </c>
      <c r="AA30" s="618">
        <v>53</v>
      </c>
      <c r="AB30" s="374"/>
      <c r="AC30" s="377">
        <v>297</v>
      </c>
      <c r="AD30" s="373">
        <v>225</v>
      </c>
      <c r="AE30" s="373">
        <v>175</v>
      </c>
      <c r="AF30" s="373">
        <v>166</v>
      </c>
      <c r="AG30" s="373">
        <v>188</v>
      </c>
      <c r="AH30" s="373">
        <v>164</v>
      </c>
      <c r="AI30" s="373">
        <v>212</v>
      </c>
      <c r="AJ30" s="618">
        <v>217</v>
      </c>
      <c r="AK30" s="374"/>
      <c r="AL30" s="377">
        <v>18</v>
      </c>
      <c r="AM30" s="373">
        <v>14</v>
      </c>
      <c r="AN30" s="373">
        <v>7</v>
      </c>
      <c r="AO30" s="373">
        <v>8</v>
      </c>
      <c r="AP30" s="373">
        <v>17</v>
      </c>
      <c r="AQ30" s="373">
        <v>18</v>
      </c>
      <c r="AR30" s="373">
        <v>27</v>
      </c>
      <c r="AS30" s="618">
        <v>19</v>
      </c>
      <c r="AT30" s="374"/>
      <c r="AU30" s="377"/>
      <c r="AV30" s="373"/>
      <c r="AW30" s="373"/>
      <c r="AX30" s="373"/>
      <c r="AY30" s="373"/>
      <c r="AZ30" s="373"/>
      <c r="BA30" s="373"/>
      <c r="BB30" s="618"/>
      <c r="BC30" s="374"/>
      <c r="BD30" s="377">
        <f t="shared" si="1"/>
        <v>491</v>
      </c>
      <c r="BE30" s="373">
        <f t="shared" si="2"/>
        <v>368</v>
      </c>
      <c r="BF30" s="373">
        <f t="shared" si="3"/>
        <v>277</v>
      </c>
      <c r="BG30" s="373">
        <f t="shared" si="4"/>
        <v>266</v>
      </c>
      <c r="BH30" s="373">
        <f t="shared" si="5"/>
        <v>291</v>
      </c>
      <c r="BI30" s="373">
        <f t="shared" si="6"/>
        <v>275</v>
      </c>
      <c r="BJ30" s="373">
        <f t="shared" si="7"/>
        <v>306</v>
      </c>
      <c r="BK30" s="618">
        <f t="shared" si="8"/>
        <v>302</v>
      </c>
      <c r="BL30" s="374">
        <f t="shared" si="8"/>
        <v>0</v>
      </c>
    </row>
    <row r="31" spans="1:64" x14ac:dyDescent="0.2">
      <c r="A31" s="365" t="s">
        <v>652</v>
      </c>
      <c r="B31" s="377"/>
      <c r="C31" s="373"/>
      <c r="D31" s="373"/>
      <c r="E31" s="373"/>
      <c r="F31" s="373"/>
      <c r="G31" s="373"/>
      <c r="H31" s="373"/>
      <c r="I31" s="618"/>
      <c r="J31" s="374"/>
      <c r="K31" s="377">
        <v>262</v>
      </c>
      <c r="L31" s="373">
        <v>236</v>
      </c>
      <c r="M31" s="373">
        <v>228</v>
      </c>
      <c r="N31" s="373">
        <v>279</v>
      </c>
      <c r="O31" s="373">
        <v>176</v>
      </c>
      <c r="P31" s="373">
        <v>176</v>
      </c>
      <c r="Q31" s="373">
        <v>138</v>
      </c>
      <c r="R31" s="618">
        <v>111</v>
      </c>
      <c r="S31" s="374"/>
      <c r="T31" s="377">
        <v>660</v>
      </c>
      <c r="U31" s="373">
        <v>619</v>
      </c>
      <c r="V31" s="373">
        <v>538</v>
      </c>
      <c r="W31" s="373">
        <v>532</v>
      </c>
      <c r="X31" s="373">
        <v>406</v>
      </c>
      <c r="Y31" s="373">
        <v>347</v>
      </c>
      <c r="Z31" s="373">
        <v>364</v>
      </c>
      <c r="AA31" s="618">
        <v>354</v>
      </c>
      <c r="AB31" s="374"/>
      <c r="AC31" s="377">
        <v>1534</v>
      </c>
      <c r="AD31" s="373">
        <v>1361</v>
      </c>
      <c r="AE31" s="373">
        <v>1295</v>
      </c>
      <c r="AF31" s="373">
        <v>1232</v>
      </c>
      <c r="AG31" s="373">
        <v>1086</v>
      </c>
      <c r="AH31" s="373">
        <v>986</v>
      </c>
      <c r="AI31" s="373">
        <v>907</v>
      </c>
      <c r="AJ31" s="618">
        <v>963</v>
      </c>
      <c r="AK31" s="374"/>
      <c r="AL31" s="377">
        <v>58</v>
      </c>
      <c r="AM31" s="373">
        <v>78</v>
      </c>
      <c r="AN31" s="373">
        <v>75</v>
      </c>
      <c r="AO31" s="373">
        <v>77</v>
      </c>
      <c r="AP31" s="373">
        <v>71</v>
      </c>
      <c r="AQ31" s="373">
        <v>73</v>
      </c>
      <c r="AR31" s="373">
        <v>75</v>
      </c>
      <c r="AS31" s="618">
        <v>100</v>
      </c>
      <c r="AT31" s="374"/>
      <c r="AU31" s="377"/>
      <c r="AV31" s="373"/>
      <c r="AW31" s="373"/>
      <c r="AX31" s="373"/>
      <c r="AY31" s="373">
        <v>5</v>
      </c>
      <c r="AZ31" s="373"/>
      <c r="BA31" s="373"/>
      <c r="BB31" s="618"/>
      <c r="BC31" s="374"/>
      <c r="BD31" s="377">
        <f t="shared" si="1"/>
        <v>2514</v>
      </c>
      <c r="BE31" s="373">
        <f t="shared" si="2"/>
        <v>2294</v>
      </c>
      <c r="BF31" s="373">
        <f t="shared" si="3"/>
        <v>2136</v>
      </c>
      <c r="BG31" s="373">
        <f t="shared" si="4"/>
        <v>2120</v>
      </c>
      <c r="BH31" s="373">
        <f t="shared" si="5"/>
        <v>1744</v>
      </c>
      <c r="BI31" s="373">
        <f t="shared" si="6"/>
        <v>1582</v>
      </c>
      <c r="BJ31" s="373">
        <f t="shared" si="7"/>
        <v>1484</v>
      </c>
      <c r="BK31" s="618">
        <f t="shared" si="8"/>
        <v>1528</v>
      </c>
      <c r="BL31" s="374">
        <f t="shared" si="8"/>
        <v>0</v>
      </c>
    </row>
    <row r="32" spans="1:64" x14ac:dyDescent="0.2">
      <c r="A32" s="365" t="s">
        <v>655</v>
      </c>
      <c r="B32" s="377"/>
      <c r="C32" s="373"/>
      <c r="D32" s="373"/>
      <c r="E32" s="373"/>
      <c r="F32" s="373"/>
      <c r="G32" s="373"/>
      <c r="H32" s="373"/>
      <c r="I32" s="618"/>
      <c r="J32" s="374"/>
      <c r="K32" s="377">
        <v>79</v>
      </c>
      <c r="L32" s="373">
        <v>66</v>
      </c>
      <c r="M32" s="373">
        <v>69</v>
      </c>
      <c r="N32" s="373">
        <v>70</v>
      </c>
      <c r="O32" s="373">
        <v>60</v>
      </c>
      <c r="P32" s="373">
        <v>56</v>
      </c>
      <c r="Q32" s="373">
        <v>38</v>
      </c>
      <c r="R32" s="618">
        <v>26</v>
      </c>
      <c r="S32" s="374"/>
      <c r="T32" s="377">
        <v>187</v>
      </c>
      <c r="U32" s="373">
        <v>193</v>
      </c>
      <c r="V32" s="373">
        <v>142</v>
      </c>
      <c r="W32" s="373">
        <v>131</v>
      </c>
      <c r="X32" s="373">
        <v>125</v>
      </c>
      <c r="Y32" s="373">
        <v>91</v>
      </c>
      <c r="Z32" s="373">
        <v>103</v>
      </c>
      <c r="AA32" s="618">
        <v>91</v>
      </c>
      <c r="AB32" s="374"/>
      <c r="AC32" s="377">
        <v>443</v>
      </c>
      <c r="AD32" s="373">
        <v>465</v>
      </c>
      <c r="AE32" s="373">
        <v>347</v>
      </c>
      <c r="AF32" s="373">
        <v>357</v>
      </c>
      <c r="AG32" s="373">
        <v>336</v>
      </c>
      <c r="AH32" s="373">
        <v>269</v>
      </c>
      <c r="AI32" s="373">
        <v>310</v>
      </c>
      <c r="AJ32" s="618">
        <v>331</v>
      </c>
      <c r="AK32" s="374"/>
      <c r="AL32" s="377">
        <v>24</v>
      </c>
      <c r="AM32" s="373">
        <v>40</v>
      </c>
      <c r="AN32" s="373">
        <v>31</v>
      </c>
      <c r="AO32" s="373">
        <v>33</v>
      </c>
      <c r="AP32" s="373">
        <v>26</v>
      </c>
      <c r="AQ32" s="373">
        <v>29</v>
      </c>
      <c r="AR32" s="373">
        <v>32</v>
      </c>
      <c r="AS32" s="618">
        <v>51</v>
      </c>
      <c r="AT32" s="374"/>
      <c r="AU32" s="377"/>
      <c r="AV32" s="373"/>
      <c r="AW32" s="373"/>
      <c r="AX32" s="373"/>
      <c r="AY32" s="373">
        <v>2</v>
      </c>
      <c r="AZ32" s="373"/>
      <c r="BA32" s="373"/>
      <c r="BB32" s="618"/>
      <c r="BC32" s="374"/>
      <c r="BD32" s="377">
        <f t="shared" si="1"/>
        <v>733</v>
      </c>
      <c r="BE32" s="373">
        <f t="shared" si="2"/>
        <v>764</v>
      </c>
      <c r="BF32" s="373">
        <f t="shared" si="3"/>
        <v>589</v>
      </c>
      <c r="BG32" s="373">
        <f t="shared" si="4"/>
        <v>591</v>
      </c>
      <c r="BH32" s="373">
        <f t="shared" si="5"/>
        <v>549</v>
      </c>
      <c r="BI32" s="373">
        <f t="shared" si="6"/>
        <v>445</v>
      </c>
      <c r="BJ32" s="373">
        <f t="shared" si="7"/>
        <v>483</v>
      </c>
      <c r="BK32" s="618">
        <f t="shared" si="8"/>
        <v>499</v>
      </c>
      <c r="BL32" s="374">
        <f t="shared" si="8"/>
        <v>0</v>
      </c>
    </row>
    <row r="33" spans="1:64" ht="13.5" thickBot="1" x14ac:dyDescent="0.25">
      <c r="A33" s="366" t="s">
        <v>656</v>
      </c>
      <c r="B33" s="378"/>
      <c r="C33" s="375"/>
      <c r="D33" s="375"/>
      <c r="E33" s="375"/>
      <c r="F33" s="375"/>
      <c r="G33" s="375"/>
      <c r="H33" s="375"/>
      <c r="I33" s="619"/>
      <c r="J33" s="376"/>
      <c r="K33" s="378">
        <v>71</v>
      </c>
      <c r="L33" s="375">
        <v>61</v>
      </c>
      <c r="M33" s="375">
        <v>51</v>
      </c>
      <c r="N33" s="375">
        <v>54</v>
      </c>
      <c r="O33" s="375">
        <v>67</v>
      </c>
      <c r="P33" s="375">
        <v>54</v>
      </c>
      <c r="Q33" s="375">
        <v>63</v>
      </c>
      <c r="R33" s="619">
        <v>40</v>
      </c>
      <c r="S33" s="376"/>
      <c r="T33" s="378">
        <v>107</v>
      </c>
      <c r="U33" s="375">
        <v>112</v>
      </c>
      <c r="V33" s="375">
        <v>103</v>
      </c>
      <c r="W33" s="375">
        <v>124</v>
      </c>
      <c r="X33" s="375">
        <v>98</v>
      </c>
      <c r="Y33" s="375">
        <v>82</v>
      </c>
      <c r="Z33" s="375">
        <v>90</v>
      </c>
      <c r="AA33" s="619">
        <v>90</v>
      </c>
      <c r="AB33" s="376"/>
      <c r="AC33" s="378">
        <v>348</v>
      </c>
      <c r="AD33" s="375">
        <v>322</v>
      </c>
      <c r="AE33" s="375">
        <v>238</v>
      </c>
      <c r="AF33" s="375">
        <v>207</v>
      </c>
      <c r="AG33" s="375">
        <v>259</v>
      </c>
      <c r="AH33" s="375">
        <v>276</v>
      </c>
      <c r="AI33" s="375">
        <v>245</v>
      </c>
      <c r="AJ33" s="619">
        <v>246</v>
      </c>
      <c r="AK33" s="376"/>
      <c r="AL33" s="378">
        <v>14</v>
      </c>
      <c r="AM33" s="375">
        <v>15</v>
      </c>
      <c r="AN33" s="375">
        <v>17</v>
      </c>
      <c r="AO33" s="375">
        <v>9</v>
      </c>
      <c r="AP33" s="375">
        <v>22</v>
      </c>
      <c r="AQ33" s="375">
        <v>31</v>
      </c>
      <c r="AR33" s="375">
        <v>29</v>
      </c>
      <c r="AS33" s="619">
        <v>33</v>
      </c>
      <c r="AT33" s="376"/>
      <c r="AU33" s="378"/>
      <c r="AV33" s="375"/>
      <c r="AW33" s="375"/>
      <c r="AX33" s="375"/>
      <c r="AY33" s="375">
        <v>1</v>
      </c>
      <c r="AZ33" s="375"/>
      <c r="BA33" s="375"/>
      <c r="BB33" s="619"/>
      <c r="BC33" s="376"/>
      <c r="BD33" s="378">
        <f t="shared" si="1"/>
        <v>540</v>
      </c>
      <c r="BE33" s="375">
        <f t="shared" si="2"/>
        <v>510</v>
      </c>
      <c r="BF33" s="375">
        <f t="shared" si="3"/>
        <v>409</v>
      </c>
      <c r="BG33" s="375">
        <f t="shared" si="4"/>
        <v>394</v>
      </c>
      <c r="BH33" s="375">
        <f t="shared" si="5"/>
        <v>447</v>
      </c>
      <c r="BI33" s="375">
        <f t="shared" si="6"/>
        <v>443</v>
      </c>
      <c r="BJ33" s="375">
        <f t="shared" si="7"/>
        <v>427</v>
      </c>
      <c r="BK33" s="619">
        <f t="shared" si="8"/>
        <v>409</v>
      </c>
      <c r="BL33" s="376">
        <f t="shared" si="8"/>
        <v>0</v>
      </c>
    </row>
    <row r="34" spans="1:64" s="264" customFormat="1" x14ac:dyDescent="0.2">
      <c r="A34" s="364" t="s">
        <v>784</v>
      </c>
      <c r="B34" s="379"/>
      <c r="C34" s="380"/>
      <c r="D34" s="380"/>
      <c r="E34" s="380"/>
      <c r="F34" s="380">
        <v>1</v>
      </c>
      <c r="G34" s="380"/>
      <c r="H34" s="380">
        <v>3</v>
      </c>
      <c r="I34" s="617">
        <v>1</v>
      </c>
      <c r="J34" s="381"/>
      <c r="K34" s="379">
        <v>539</v>
      </c>
      <c r="L34" s="380">
        <v>504</v>
      </c>
      <c r="M34" s="380">
        <v>561</v>
      </c>
      <c r="N34" s="380">
        <v>504</v>
      </c>
      <c r="O34" s="380">
        <v>358</v>
      </c>
      <c r="P34" s="380">
        <v>299</v>
      </c>
      <c r="Q34" s="380">
        <v>468</v>
      </c>
      <c r="R34" s="617">
        <v>330</v>
      </c>
      <c r="S34" s="381"/>
      <c r="T34" s="379">
        <v>1193</v>
      </c>
      <c r="U34" s="380">
        <v>1105</v>
      </c>
      <c r="V34" s="380">
        <v>1246</v>
      </c>
      <c r="W34" s="380">
        <v>1106</v>
      </c>
      <c r="X34" s="380">
        <v>1122</v>
      </c>
      <c r="Y34" s="380">
        <v>1119</v>
      </c>
      <c r="Z34" s="380">
        <v>1338</v>
      </c>
      <c r="AA34" s="617">
        <v>943</v>
      </c>
      <c r="AB34" s="381"/>
      <c r="AC34" s="379">
        <v>3867</v>
      </c>
      <c r="AD34" s="380">
        <v>3478</v>
      </c>
      <c r="AE34" s="380">
        <v>3773</v>
      </c>
      <c r="AF34" s="380">
        <v>3690</v>
      </c>
      <c r="AG34" s="380">
        <v>3794</v>
      </c>
      <c r="AH34" s="380">
        <v>3983</v>
      </c>
      <c r="AI34" s="380">
        <v>3985</v>
      </c>
      <c r="AJ34" s="617">
        <v>3511</v>
      </c>
      <c r="AK34" s="381"/>
      <c r="AL34" s="379">
        <v>208</v>
      </c>
      <c r="AM34" s="380">
        <v>191</v>
      </c>
      <c r="AN34" s="380">
        <v>196</v>
      </c>
      <c r="AO34" s="380">
        <v>224</v>
      </c>
      <c r="AP34" s="380">
        <v>306</v>
      </c>
      <c r="AQ34" s="380">
        <v>321</v>
      </c>
      <c r="AR34" s="380">
        <v>361</v>
      </c>
      <c r="AS34" s="617">
        <v>364</v>
      </c>
      <c r="AT34" s="381"/>
      <c r="AU34" s="379"/>
      <c r="AV34" s="380"/>
      <c r="AW34" s="380"/>
      <c r="AX34" s="380"/>
      <c r="AY34" s="380">
        <v>5</v>
      </c>
      <c r="AZ34" s="380"/>
      <c r="BA34" s="380"/>
      <c r="BB34" s="617"/>
      <c r="BC34" s="381"/>
      <c r="BD34" s="379">
        <f t="shared" si="1"/>
        <v>5807</v>
      </c>
      <c r="BE34" s="380">
        <f t="shared" si="2"/>
        <v>5278</v>
      </c>
      <c r="BF34" s="380">
        <f t="shared" si="3"/>
        <v>5776</v>
      </c>
      <c r="BG34" s="380">
        <f t="shared" si="4"/>
        <v>5524</v>
      </c>
      <c r="BH34" s="380">
        <f t="shared" si="5"/>
        <v>5586</v>
      </c>
      <c r="BI34" s="380">
        <f t="shared" si="6"/>
        <v>5722</v>
      </c>
      <c r="BJ34" s="380">
        <f t="shared" si="7"/>
        <v>6155</v>
      </c>
      <c r="BK34" s="617">
        <f t="shared" si="8"/>
        <v>5149</v>
      </c>
      <c r="BL34" s="381">
        <f t="shared" si="8"/>
        <v>0</v>
      </c>
    </row>
    <row r="35" spans="1:64" x14ac:dyDescent="0.2">
      <c r="A35" s="365" t="s">
        <v>810</v>
      </c>
      <c r="B35" s="377"/>
      <c r="C35" s="373"/>
      <c r="D35" s="373"/>
      <c r="E35" s="373"/>
      <c r="F35" s="373"/>
      <c r="G35" s="373"/>
      <c r="H35" s="373"/>
      <c r="I35" s="618"/>
      <c r="J35" s="374"/>
      <c r="K35" s="377">
        <v>4</v>
      </c>
      <c r="L35" s="373">
        <v>15</v>
      </c>
      <c r="M35" s="373">
        <v>73</v>
      </c>
      <c r="N35" s="373">
        <v>19</v>
      </c>
      <c r="O35" s="373">
        <v>2</v>
      </c>
      <c r="P35" s="373">
        <v>7</v>
      </c>
      <c r="Q35" s="373">
        <v>2</v>
      </c>
      <c r="R35" s="618">
        <v>10</v>
      </c>
      <c r="S35" s="374"/>
      <c r="T35" s="377">
        <v>40</v>
      </c>
      <c r="U35" s="373">
        <v>76</v>
      </c>
      <c r="V35" s="373">
        <v>132</v>
      </c>
      <c r="W35" s="373">
        <v>30</v>
      </c>
      <c r="X35" s="373">
        <v>22</v>
      </c>
      <c r="Y35" s="373">
        <v>38</v>
      </c>
      <c r="Z35" s="373">
        <v>34</v>
      </c>
      <c r="AA35" s="618">
        <v>30</v>
      </c>
      <c r="AB35" s="374"/>
      <c r="AC35" s="377">
        <v>164</v>
      </c>
      <c r="AD35" s="373">
        <v>232</v>
      </c>
      <c r="AE35" s="373">
        <v>233</v>
      </c>
      <c r="AF35" s="373">
        <v>138</v>
      </c>
      <c r="AG35" s="373">
        <v>112</v>
      </c>
      <c r="AH35" s="373">
        <v>209</v>
      </c>
      <c r="AI35" s="373">
        <v>142</v>
      </c>
      <c r="AJ35" s="618">
        <v>122</v>
      </c>
      <c r="AK35" s="374"/>
      <c r="AL35" s="377">
        <v>3</v>
      </c>
      <c r="AM35" s="373">
        <v>10</v>
      </c>
      <c r="AN35" s="373">
        <v>6</v>
      </c>
      <c r="AO35" s="373">
        <v>7</v>
      </c>
      <c r="AP35" s="373">
        <v>7</v>
      </c>
      <c r="AQ35" s="373">
        <v>10</v>
      </c>
      <c r="AR35" s="373">
        <v>6</v>
      </c>
      <c r="AS35" s="618">
        <v>14</v>
      </c>
      <c r="AT35" s="374"/>
      <c r="AU35" s="377"/>
      <c r="AV35" s="373"/>
      <c r="AW35" s="373"/>
      <c r="AX35" s="373"/>
      <c r="AY35" s="373"/>
      <c r="AZ35" s="373"/>
      <c r="BA35" s="373"/>
      <c r="BB35" s="618"/>
      <c r="BC35" s="374"/>
      <c r="BD35" s="377">
        <f t="shared" si="1"/>
        <v>211</v>
      </c>
      <c r="BE35" s="373">
        <f t="shared" si="2"/>
        <v>333</v>
      </c>
      <c r="BF35" s="373">
        <f t="shared" si="3"/>
        <v>444</v>
      </c>
      <c r="BG35" s="373">
        <f t="shared" si="4"/>
        <v>194</v>
      </c>
      <c r="BH35" s="373">
        <f t="shared" si="5"/>
        <v>143</v>
      </c>
      <c r="BI35" s="373">
        <f t="shared" si="6"/>
        <v>264</v>
      </c>
      <c r="BJ35" s="373">
        <f t="shared" si="7"/>
        <v>184</v>
      </c>
      <c r="BK35" s="618">
        <f t="shared" si="8"/>
        <v>176</v>
      </c>
      <c r="BL35" s="374">
        <f t="shared" si="8"/>
        <v>0</v>
      </c>
    </row>
    <row r="36" spans="1:64" x14ac:dyDescent="0.2">
      <c r="A36" s="365" t="s">
        <v>658</v>
      </c>
      <c r="B36" s="377"/>
      <c r="C36" s="373"/>
      <c r="D36" s="373"/>
      <c r="E36" s="373"/>
      <c r="F36" s="373"/>
      <c r="G36" s="373"/>
      <c r="H36" s="373"/>
      <c r="I36" s="618"/>
      <c r="J36" s="374"/>
      <c r="K36" s="377">
        <v>69</v>
      </c>
      <c r="L36" s="373">
        <v>74</v>
      </c>
      <c r="M36" s="373">
        <v>64</v>
      </c>
      <c r="N36" s="373">
        <v>70</v>
      </c>
      <c r="O36" s="373">
        <v>62</v>
      </c>
      <c r="P36" s="373">
        <v>57</v>
      </c>
      <c r="Q36" s="373">
        <v>31</v>
      </c>
      <c r="R36" s="618">
        <v>53</v>
      </c>
      <c r="S36" s="374"/>
      <c r="T36" s="377">
        <v>164</v>
      </c>
      <c r="U36" s="373">
        <v>182</v>
      </c>
      <c r="V36" s="373">
        <v>191</v>
      </c>
      <c r="W36" s="373">
        <v>226</v>
      </c>
      <c r="X36" s="373">
        <v>177</v>
      </c>
      <c r="Y36" s="373">
        <v>175</v>
      </c>
      <c r="Z36" s="373">
        <v>208</v>
      </c>
      <c r="AA36" s="618">
        <v>117</v>
      </c>
      <c r="AB36" s="374"/>
      <c r="AC36" s="377">
        <v>512</v>
      </c>
      <c r="AD36" s="373">
        <v>494</v>
      </c>
      <c r="AE36" s="373">
        <v>492</v>
      </c>
      <c r="AF36" s="373">
        <v>566</v>
      </c>
      <c r="AG36" s="373">
        <v>630</v>
      </c>
      <c r="AH36" s="373">
        <v>690</v>
      </c>
      <c r="AI36" s="373">
        <v>591</v>
      </c>
      <c r="AJ36" s="618">
        <v>536</v>
      </c>
      <c r="AK36" s="374"/>
      <c r="AL36" s="377">
        <v>36</v>
      </c>
      <c r="AM36" s="373">
        <v>30</v>
      </c>
      <c r="AN36" s="373">
        <v>31</v>
      </c>
      <c r="AO36" s="373">
        <v>32</v>
      </c>
      <c r="AP36" s="373">
        <v>52</v>
      </c>
      <c r="AQ36" s="373">
        <v>72</v>
      </c>
      <c r="AR36" s="373">
        <v>69</v>
      </c>
      <c r="AS36" s="618">
        <v>49</v>
      </c>
      <c r="AT36" s="374"/>
      <c r="AU36" s="377"/>
      <c r="AV36" s="373"/>
      <c r="AW36" s="373"/>
      <c r="AX36" s="373"/>
      <c r="AY36" s="373"/>
      <c r="AZ36" s="373"/>
      <c r="BA36" s="373"/>
      <c r="BB36" s="618"/>
      <c r="BC36" s="374"/>
      <c r="BD36" s="377">
        <f t="shared" si="1"/>
        <v>781</v>
      </c>
      <c r="BE36" s="373">
        <f t="shared" si="2"/>
        <v>780</v>
      </c>
      <c r="BF36" s="373">
        <f t="shared" si="3"/>
        <v>778</v>
      </c>
      <c r="BG36" s="373">
        <f t="shared" si="4"/>
        <v>894</v>
      </c>
      <c r="BH36" s="373">
        <f t="shared" si="5"/>
        <v>921</v>
      </c>
      <c r="BI36" s="373">
        <f t="shared" si="6"/>
        <v>994</v>
      </c>
      <c r="BJ36" s="373">
        <f t="shared" si="7"/>
        <v>899</v>
      </c>
      <c r="BK36" s="618">
        <f t="shared" si="8"/>
        <v>755</v>
      </c>
      <c r="BL36" s="374">
        <f t="shared" si="8"/>
        <v>0</v>
      </c>
    </row>
    <row r="37" spans="1:64" x14ac:dyDescent="0.2">
      <c r="A37" s="365" t="s">
        <v>659</v>
      </c>
      <c r="B37" s="377"/>
      <c r="C37" s="373"/>
      <c r="D37" s="373"/>
      <c r="E37" s="373"/>
      <c r="F37" s="373"/>
      <c r="G37" s="373"/>
      <c r="H37" s="373"/>
      <c r="I37" s="618">
        <v>1</v>
      </c>
      <c r="J37" s="374"/>
      <c r="K37" s="377">
        <v>67</v>
      </c>
      <c r="L37" s="373">
        <v>56</v>
      </c>
      <c r="M37" s="373">
        <v>73</v>
      </c>
      <c r="N37" s="373">
        <v>67</v>
      </c>
      <c r="O37" s="373">
        <v>44</v>
      </c>
      <c r="P37" s="373">
        <v>33</v>
      </c>
      <c r="Q37" s="373">
        <v>58</v>
      </c>
      <c r="R37" s="618">
        <v>58</v>
      </c>
      <c r="S37" s="374"/>
      <c r="T37" s="377">
        <v>146</v>
      </c>
      <c r="U37" s="373">
        <v>115</v>
      </c>
      <c r="V37" s="373">
        <v>138</v>
      </c>
      <c r="W37" s="373">
        <v>123</v>
      </c>
      <c r="X37" s="373">
        <v>98</v>
      </c>
      <c r="Y37" s="373">
        <v>82</v>
      </c>
      <c r="Z37" s="373">
        <v>65</v>
      </c>
      <c r="AA37" s="618">
        <v>57</v>
      </c>
      <c r="AB37" s="374"/>
      <c r="AC37" s="377">
        <v>393</v>
      </c>
      <c r="AD37" s="373">
        <v>289</v>
      </c>
      <c r="AE37" s="373">
        <v>362</v>
      </c>
      <c r="AF37" s="373">
        <v>347</v>
      </c>
      <c r="AG37" s="373">
        <v>263</v>
      </c>
      <c r="AH37" s="373">
        <v>247</v>
      </c>
      <c r="AI37" s="373">
        <v>232</v>
      </c>
      <c r="AJ37" s="618">
        <v>237</v>
      </c>
      <c r="AK37" s="374"/>
      <c r="AL37" s="377">
        <v>21</v>
      </c>
      <c r="AM37" s="373">
        <v>16</v>
      </c>
      <c r="AN37" s="373">
        <v>23</v>
      </c>
      <c r="AO37" s="373">
        <v>13</v>
      </c>
      <c r="AP37" s="373">
        <v>26</v>
      </c>
      <c r="AQ37" s="373">
        <v>23</v>
      </c>
      <c r="AR37" s="373">
        <v>24</v>
      </c>
      <c r="AS37" s="618">
        <v>29</v>
      </c>
      <c r="AT37" s="374"/>
      <c r="AU37" s="377"/>
      <c r="AV37" s="373"/>
      <c r="AW37" s="373"/>
      <c r="AX37" s="373"/>
      <c r="AY37" s="373">
        <v>4</v>
      </c>
      <c r="AZ37" s="373"/>
      <c r="BA37" s="373"/>
      <c r="BB37" s="618"/>
      <c r="BC37" s="374"/>
      <c r="BD37" s="377">
        <f t="shared" si="1"/>
        <v>627</v>
      </c>
      <c r="BE37" s="373">
        <f t="shared" si="2"/>
        <v>476</v>
      </c>
      <c r="BF37" s="373">
        <f t="shared" si="3"/>
        <v>596</v>
      </c>
      <c r="BG37" s="373">
        <f t="shared" si="4"/>
        <v>550</v>
      </c>
      <c r="BH37" s="373">
        <f t="shared" si="5"/>
        <v>435</v>
      </c>
      <c r="BI37" s="373">
        <f t="shared" si="6"/>
        <v>385</v>
      </c>
      <c r="BJ37" s="373">
        <f t="shared" si="7"/>
        <v>379</v>
      </c>
      <c r="BK37" s="618">
        <f t="shared" si="8"/>
        <v>382</v>
      </c>
      <c r="BL37" s="374">
        <f t="shared" si="8"/>
        <v>0</v>
      </c>
    </row>
    <row r="38" spans="1:64" x14ac:dyDescent="0.2">
      <c r="A38" s="365" t="s">
        <v>657</v>
      </c>
      <c r="B38" s="377"/>
      <c r="C38" s="373"/>
      <c r="D38" s="373"/>
      <c r="E38" s="373"/>
      <c r="F38" s="373">
        <v>1</v>
      </c>
      <c r="G38" s="373"/>
      <c r="H38" s="373">
        <v>2</v>
      </c>
      <c r="I38" s="618"/>
      <c r="J38" s="374"/>
      <c r="K38" s="377">
        <v>186</v>
      </c>
      <c r="L38" s="373">
        <v>178</v>
      </c>
      <c r="M38" s="373">
        <v>138</v>
      </c>
      <c r="N38" s="373">
        <v>149</v>
      </c>
      <c r="O38" s="373">
        <v>131</v>
      </c>
      <c r="P38" s="373">
        <v>84</v>
      </c>
      <c r="Q38" s="373">
        <v>174</v>
      </c>
      <c r="R38" s="618">
        <v>92</v>
      </c>
      <c r="S38" s="374"/>
      <c r="T38" s="377">
        <v>356</v>
      </c>
      <c r="U38" s="373">
        <v>311</v>
      </c>
      <c r="V38" s="373">
        <v>298</v>
      </c>
      <c r="W38" s="373">
        <v>302</v>
      </c>
      <c r="X38" s="373">
        <v>388</v>
      </c>
      <c r="Y38" s="373">
        <v>383</v>
      </c>
      <c r="Z38" s="373">
        <v>421</v>
      </c>
      <c r="AA38" s="618">
        <v>316</v>
      </c>
      <c r="AB38" s="374"/>
      <c r="AC38" s="377">
        <v>1248</v>
      </c>
      <c r="AD38" s="373">
        <v>1081</v>
      </c>
      <c r="AE38" s="373">
        <v>977</v>
      </c>
      <c r="AF38" s="373">
        <v>990</v>
      </c>
      <c r="AG38" s="373">
        <v>1141</v>
      </c>
      <c r="AH38" s="373">
        <v>1192</v>
      </c>
      <c r="AI38" s="373">
        <v>1279</v>
      </c>
      <c r="AJ38" s="618">
        <v>1043</v>
      </c>
      <c r="AK38" s="374"/>
      <c r="AL38" s="377">
        <v>72</v>
      </c>
      <c r="AM38" s="373">
        <v>67</v>
      </c>
      <c r="AN38" s="373">
        <v>58</v>
      </c>
      <c r="AO38" s="373">
        <v>75</v>
      </c>
      <c r="AP38" s="373">
        <v>64</v>
      </c>
      <c r="AQ38" s="373">
        <v>84</v>
      </c>
      <c r="AR38" s="373">
        <v>107</v>
      </c>
      <c r="AS38" s="618">
        <v>90</v>
      </c>
      <c r="AT38" s="374"/>
      <c r="AU38" s="377"/>
      <c r="AV38" s="373"/>
      <c r="AW38" s="373"/>
      <c r="AX38" s="373"/>
      <c r="AY38" s="373"/>
      <c r="AZ38" s="373"/>
      <c r="BA38" s="373"/>
      <c r="BB38" s="618"/>
      <c r="BC38" s="374"/>
      <c r="BD38" s="377">
        <f t="shared" si="1"/>
        <v>1862</v>
      </c>
      <c r="BE38" s="373">
        <f t="shared" si="2"/>
        <v>1637</v>
      </c>
      <c r="BF38" s="373">
        <f t="shared" si="3"/>
        <v>1471</v>
      </c>
      <c r="BG38" s="373">
        <f t="shared" si="4"/>
        <v>1516</v>
      </c>
      <c r="BH38" s="373">
        <f t="shared" si="5"/>
        <v>1725</v>
      </c>
      <c r="BI38" s="373">
        <f t="shared" si="6"/>
        <v>1743</v>
      </c>
      <c r="BJ38" s="373">
        <f t="shared" si="7"/>
        <v>1983</v>
      </c>
      <c r="BK38" s="618">
        <f t="shared" si="8"/>
        <v>1541</v>
      </c>
      <c r="BL38" s="374">
        <f t="shared" si="8"/>
        <v>0</v>
      </c>
    </row>
    <row r="39" spans="1:64" x14ac:dyDescent="0.2">
      <c r="A39" s="365" t="s">
        <v>660</v>
      </c>
      <c r="B39" s="377"/>
      <c r="C39" s="373"/>
      <c r="D39" s="373"/>
      <c r="E39" s="373"/>
      <c r="F39" s="373"/>
      <c r="G39" s="373"/>
      <c r="H39" s="373"/>
      <c r="I39" s="618"/>
      <c r="J39" s="374"/>
      <c r="K39" s="377">
        <v>53</v>
      </c>
      <c r="L39" s="373">
        <v>46</v>
      </c>
      <c r="M39" s="373">
        <v>38</v>
      </c>
      <c r="N39" s="373">
        <v>48</v>
      </c>
      <c r="O39" s="373">
        <v>31</v>
      </c>
      <c r="P39" s="373">
        <v>24</v>
      </c>
      <c r="Q39" s="373">
        <v>35</v>
      </c>
      <c r="R39" s="618">
        <v>26</v>
      </c>
      <c r="S39" s="374"/>
      <c r="T39" s="377">
        <v>171</v>
      </c>
      <c r="U39" s="373">
        <v>142</v>
      </c>
      <c r="V39" s="373">
        <v>152</v>
      </c>
      <c r="W39" s="373">
        <v>118</v>
      </c>
      <c r="X39" s="373">
        <v>121</v>
      </c>
      <c r="Y39" s="373">
        <v>124</v>
      </c>
      <c r="Z39" s="373">
        <v>108</v>
      </c>
      <c r="AA39" s="618">
        <v>121</v>
      </c>
      <c r="AB39" s="374"/>
      <c r="AC39" s="377">
        <v>447</v>
      </c>
      <c r="AD39" s="373">
        <v>459</v>
      </c>
      <c r="AE39" s="373">
        <v>498</v>
      </c>
      <c r="AF39" s="373">
        <v>540</v>
      </c>
      <c r="AG39" s="373">
        <v>516</v>
      </c>
      <c r="AH39" s="373">
        <v>513</v>
      </c>
      <c r="AI39" s="373">
        <v>446</v>
      </c>
      <c r="AJ39" s="618">
        <v>487</v>
      </c>
      <c r="AK39" s="374"/>
      <c r="AL39" s="377">
        <v>21</v>
      </c>
      <c r="AM39" s="373">
        <v>26</v>
      </c>
      <c r="AN39" s="373">
        <v>20</v>
      </c>
      <c r="AO39" s="373">
        <v>28</v>
      </c>
      <c r="AP39" s="373">
        <v>54</v>
      </c>
      <c r="AQ39" s="373">
        <v>49</v>
      </c>
      <c r="AR39" s="373">
        <v>37</v>
      </c>
      <c r="AS39" s="618">
        <v>62</v>
      </c>
      <c r="AT39" s="374"/>
      <c r="AU39" s="377"/>
      <c r="AV39" s="373"/>
      <c r="AW39" s="373"/>
      <c r="AX39" s="373"/>
      <c r="AY39" s="373"/>
      <c r="AZ39" s="373"/>
      <c r="BA39" s="373"/>
      <c r="BB39" s="618"/>
      <c r="BC39" s="374"/>
      <c r="BD39" s="377">
        <f t="shared" si="1"/>
        <v>692</v>
      </c>
      <c r="BE39" s="373">
        <f t="shared" si="2"/>
        <v>673</v>
      </c>
      <c r="BF39" s="373">
        <f t="shared" si="3"/>
        <v>708</v>
      </c>
      <c r="BG39" s="373">
        <f t="shared" si="4"/>
        <v>734</v>
      </c>
      <c r="BH39" s="373">
        <f t="shared" si="5"/>
        <v>722</v>
      </c>
      <c r="BI39" s="373">
        <f t="shared" si="6"/>
        <v>710</v>
      </c>
      <c r="BJ39" s="373">
        <f t="shared" si="7"/>
        <v>626</v>
      </c>
      <c r="BK39" s="618">
        <f t="shared" si="8"/>
        <v>696</v>
      </c>
      <c r="BL39" s="374">
        <f t="shared" si="8"/>
        <v>0</v>
      </c>
    </row>
    <row r="40" spans="1:64" x14ac:dyDescent="0.2">
      <c r="A40" s="365" t="s">
        <v>769</v>
      </c>
      <c r="B40" s="377"/>
      <c r="C40" s="373"/>
      <c r="D40" s="373"/>
      <c r="E40" s="373"/>
      <c r="F40" s="373"/>
      <c r="G40" s="373"/>
      <c r="H40" s="373"/>
      <c r="I40" s="618"/>
      <c r="J40" s="374"/>
      <c r="K40" s="377">
        <v>40</v>
      </c>
      <c r="L40" s="373">
        <v>16</v>
      </c>
      <c r="M40" s="373">
        <v>28</v>
      </c>
      <c r="N40" s="373">
        <v>13</v>
      </c>
      <c r="O40" s="373">
        <v>10</v>
      </c>
      <c r="P40" s="373">
        <v>17</v>
      </c>
      <c r="Q40" s="373">
        <v>13</v>
      </c>
      <c r="R40" s="618">
        <v>13</v>
      </c>
      <c r="S40" s="374"/>
      <c r="T40" s="377">
        <v>80</v>
      </c>
      <c r="U40" s="373">
        <v>59</v>
      </c>
      <c r="V40" s="373">
        <v>64</v>
      </c>
      <c r="W40" s="373">
        <v>61</v>
      </c>
      <c r="X40" s="373">
        <v>73</v>
      </c>
      <c r="Y40" s="373">
        <v>50</v>
      </c>
      <c r="Z40" s="373">
        <v>60</v>
      </c>
      <c r="AA40" s="618">
        <v>55</v>
      </c>
      <c r="AB40" s="374"/>
      <c r="AC40" s="377">
        <v>277</v>
      </c>
      <c r="AD40" s="373">
        <v>244</v>
      </c>
      <c r="AE40" s="373">
        <v>292</v>
      </c>
      <c r="AF40" s="373">
        <v>231</v>
      </c>
      <c r="AG40" s="373">
        <v>265</v>
      </c>
      <c r="AH40" s="373">
        <v>259</v>
      </c>
      <c r="AI40" s="373">
        <v>266</v>
      </c>
      <c r="AJ40" s="618">
        <v>243</v>
      </c>
      <c r="AK40" s="374"/>
      <c r="AL40" s="377">
        <v>19</v>
      </c>
      <c r="AM40" s="373">
        <v>9</v>
      </c>
      <c r="AN40" s="373">
        <v>14</v>
      </c>
      <c r="AO40" s="373">
        <v>8</v>
      </c>
      <c r="AP40" s="373">
        <v>24</v>
      </c>
      <c r="AQ40" s="373">
        <v>19</v>
      </c>
      <c r="AR40" s="373">
        <v>29</v>
      </c>
      <c r="AS40" s="618">
        <v>28</v>
      </c>
      <c r="AT40" s="374"/>
      <c r="AU40" s="377"/>
      <c r="AV40" s="373"/>
      <c r="AW40" s="373"/>
      <c r="AX40" s="373"/>
      <c r="AY40" s="373">
        <v>1</v>
      </c>
      <c r="AZ40" s="373"/>
      <c r="BA40" s="373"/>
      <c r="BB40" s="618"/>
      <c r="BC40" s="374"/>
      <c r="BD40" s="377">
        <f t="shared" si="1"/>
        <v>416</v>
      </c>
      <c r="BE40" s="373">
        <f t="shared" si="2"/>
        <v>328</v>
      </c>
      <c r="BF40" s="373">
        <f t="shared" si="3"/>
        <v>398</v>
      </c>
      <c r="BG40" s="373">
        <f t="shared" si="4"/>
        <v>313</v>
      </c>
      <c r="BH40" s="373">
        <f t="shared" si="5"/>
        <v>373</v>
      </c>
      <c r="BI40" s="373">
        <f t="shared" si="6"/>
        <v>345</v>
      </c>
      <c r="BJ40" s="373">
        <f t="shared" si="7"/>
        <v>368</v>
      </c>
      <c r="BK40" s="618">
        <f t="shared" si="8"/>
        <v>339</v>
      </c>
      <c r="BL40" s="374">
        <f t="shared" si="8"/>
        <v>0</v>
      </c>
    </row>
    <row r="41" spans="1:64" x14ac:dyDescent="0.2">
      <c r="A41" s="365" t="s">
        <v>661</v>
      </c>
      <c r="B41" s="377"/>
      <c r="C41" s="373"/>
      <c r="D41" s="373"/>
      <c r="E41" s="373"/>
      <c r="F41" s="373"/>
      <c r="G41" s="373"/>
      <c r="H41" s="373">
        <v>1</v>
      </c>
      <c r="I41" s="618"/>
      <c r="J41" s="374"/>
      <c r="K41" s="377">
        <v>87</v>
      </c>
      <c r="L41" s="373">
        <v>80</v>
      </c>
      <c r="M41" s="373">
        <v>115</v>
      </c>
      <c r="N41" s="373">
        <v>101</v>
      </c>
      <c r="O41" s="373">
        <v>68</v>
      </c>
      <c r="P41" s="373">
        <v>57</v>
      </c>
      <c r="Q41" s="373">
        <v>115</v>
      </c>
      <c r="R41" s="618">
        <v>60</v>
      </c>
      <c r="S41" s="374"/>
      <c r="T41" s="377">
        <v>180</v>
      </c>
      <c r="U41" s="373">
        <v>143</v>
      </c>
      <c r="V41" s="373">
        <v>176</v>
      </c>
      <c r="W41" s="373">
        <v>178</v>
      </c>
      <c r="X41" s="373">
        <v>168</v>
      </c>
      <c r="Y41" s="373">
        <v>204</v>
      </c>
      <c r="Z41" s="373">
        <v>363</v>
      </c>
      <c r="AA41" s="618">
        <v>188</v>
      </c>
      <c r="AB41" s="374"/>
      <c r="AC41" s="377">
        <v>643</v>
      </c>
      <c r="AD41" s="373">
        <v>517</v>
      </c>
      <c r="AE41" s="373">
        <v>694</v>
      </c>
      <c r="AF41" s="373">
        <v>659</v>
      </c>
      <c r="AG41" s="373">
        <v>669</v>
      </c>
      <c r="AH41" s="373">
        <v>705</v>
      </c>
      <c r="AI41" s="373">
        <v>811</v>
      </c>
      <c r="AJ41" s="618">
        <v>623</v>
      </c>
      <c r="AK41" s="374"/>
      <c r="AL41" s="377">
        <v>27</v>
      </c>
      <c r="AM41" s="373">
        <v>28</v>
      </c>
      <c r="AN41" s="373">
        <v>35</v>
      </c>
      <c r="AO41" s="373">
        <v>50</v>
      </c>
      <c r="AP41" s="373">
        <v>66</v>
      </c>
      <c r="AQ41" s="373">
        <v>42</v>
      </c>
      <c r="AR41" s="373">
        <v>56</v>
      </c>
      <c r="AS41" s="618">
        <v>61</v>
      </c>
      <c r="AT41" s="374"/>
      <c r="AU41" s="377"/>
      <c r="AV41" s="373"/>
      <c r="AW41" s="373"/>
      <c r="AX41" s="373"/>
      <c r="AY41" s="373"/>
      <c r="AZ41" s="373"/>
      <c r="BA41" s="373"/>
      <c r="BB41" s="618"/>
      <c r="BC41" s="374"/>
      <c r="BD41" s="377">
        <f t="shared" si="1"/>
        <v>937</v>
      </c>
      <c r="BE41" s="373">
        <f t="shared" si="2"/>
        <v>768</v>
      </c>
      <c r="BF41" s="373">
        <f t="shared" si="3"/>
        <v>1020</v>
      </c>
      <c r="BG41" s="373">
        <f t="shared" si="4"/>
        <v>988</v>
      </c>
      <c r="BH41" s="373">
        <f t="shared" si="5"/>
        <v>971</v>
      </c>
      <c r="BI41" s="373">
        <f t="shared" si="6"/>
        <v>1008</v>
      </c>
      <c r="BJ41" s="373">
        <f t="shared" si="7"/>
        <v>1346</v>
      </c>
      <c r="BK41" s="618">
        <f t="shared" si="8"/>
        <v>932</v>
      </c>
      <c r="BL41" s="374">
        <f t="shared" si="8"/>
        <v>0</v>
      </c>
    </row>
    <row r="42" spans="1:64" ht="13.5" thickBot="1" x14ac:dyDescent="0.25">
      <c r="A42" s="366" t="s">
        <v>662</v>
      </c>
      <c r="B42" s="378"/>
      <c r="C42" s="375"/>
      <c r="D42" s="375"/>
      <c r="E42" s="375"/>
      <c r="F42" s="375"/>
      <c r="G42" s="375"/>
      <c r="H42" s="375"/>
      <c r="I42" s="619"/>
      <c r="J42" s="376"/>
      <c r="K42" s="378">
        <v>33</v>
      </c>
      <c r="L42" s="375">
        <v>39</v>
      </c>
      <c r="M42" s="375">
        <v>32</v>
      </c>
      <c r="N42" s="375">
        <v>37</v>
      </c>
      <c r="O42" s="375">
        <v>10</v>
      </c>
      <c r="P42" s="375">
        <v>20</v>
      </c>
      <c r="Q42" s="375">
        <v>40</v>
      </c>
      <c r="R42" s="619">
        <v>18</v>
      </c>
      <c r="S42" s="376"/>
      <c r="T42" s="378">
        <v>56</v>
      </c>
      <c r="U42" s="375">
        <v>77</v>
      </c>
      <c r="V42" s="375">
        <v>95</v>
      </c>
      <c r="W42" s="375">
        <v>68</v>
      </c>
      <c r="X42" s="375">
        <v>75</v>
      </c>
      <c r="Y42" s="375">
        <v>63</v>
      </c>
      <c r="Z42" s="375">
        <v>79</v>
      </c>
      <c r="AA42" s="619">
        <v>59</v>
      </c>
      <c r="AB42" s="376"/>
      <c r="AC42" s="378">
        <v>183</v>
      </c>
      <c r="AD42" s="375">
        <v>162</v>
      </c>
      <c r="AE42" s="375">
        <v>225</v>
      </c>
      <c r="AF42" s="375">
        <v>219</v>
      </c>
      <c r="AG42" s="375">
        <v>198</v>
      </c>
      <c r="AH42" s="375">
        <v>168</v>
      </c>
      <c r="AI42" s="375">
        <v>218</v>
      </c>
      <c r="AJ42" s="619">
        <v>220</v>
      </c>
      <c r="AK42" s="376"/>
      <c r="AL42" s="378">
        <v>9</v>
      </c>
      <c r="AM42" s="375">
        <v>5</v>
      </c>
      <c r="AN42" s="375">
        <v>9</v>
      </c>
      <c r="AO42" s="375">
        <v>11</v>
      </c>
      <c r="AP42" s="375">
        <v>13</v>
      </c>
      <c r="AQ42" s="375">
        <v>22</v>
      </c>
      <c r="AR42" s="375">
        <v>33</v>
      </c>
      <c r="AS42" s="619">
        <v>31</v>
      </c>
      <c r="AT42" s="376"/>
      <c r="AU42" s="378"/>
      <c r="AV42" s="375"/>
      <c r="AW42" s="375"/>
      <c r="AX42" s="375"/>
      <c r="AY42" s="375"/>
      <c r="AZ42" s="375"/>
      <c r="BA42" s="375"/>
      <c r="BB42" s="619"/>
      <c r="BC42" s="376"/>
      <c r="BD42" s="378">
        <f t="shared" si="1"/>
        <v>281</v>
      </c>
      <c r="BE42" s="375">
        <f t="shared" si="2"/>
        <v>283</v>
      </c>
      <c r="BF42" s="375">
        <f t="shared" si="3"/>
        <v>361</v>
      </c>
      <c r="BG42" s="375">
        <f t="shared" si="4"/>
        <v>335</v>
      </c>
      <c r="BH42" s="375">
        <f t="shared" si="5"/>
        <v>296</v>
      </c>
      <c r="BI42" s="375">
        <f t="shared" si="6"/>
        <v>273</v>
      </c>
      <c r="BJ42" s="375">
        <f t="shared" si="7"/>
        <v>370</v>
      </c>
      <c r="BK42" s="619">
        <f t="shared" si="8"/>
        <v>328</v>
      </c>
      <c r="BL42" s="376">
        <f t="shared" si="8"/>
        <v>0</v>
      </c>
    </row>
    <row r="43" spans="1:64" s="264" customFormat="1" x14ac:dyDescent="0.2">
      <c r="A43" s="364" t="s">
        <v>783</v>
      </c>
      <c r="B43" s="379"/>
      <c r="C43" s="380"/>
      <c r="D43" s="380"/>
      <c r="E43" s="380"/>
      <c r="F43" s="380"/>
      <c r="G43" s="380"/>
      <c r="H43" s="380"/>
      <c r="I43" s="617"/>
      <c r="J43" s="381"/>
      <c r="K43" s="379">
        <v>362</v>
      </c>
      <c r="L43" s="380">
        <v>364</v>
      </c>
      <c r="M43" s="380">
        <v>298</v>
      </c>
      <c r="N43" s="380">
        <v>241</v>
      </c>
      <c r="O43" s="380">
        <v>254</v>
      </c>
      <c r="P43" s="380">
        <v>223</v>
      </c>
      <c r="Q43" s="380">
        <v>191</v>
      </c>
      <c r="R43" s="617">
        <v>150</v>
      </c>
      <c r="S43" s="381"/>
      <c r="T43" s="379">
        <v>826</v>
      </c>
      <c r="U43" s="380">
        <v>686</v>
      </c>
      <c r="V43" s="380">
        <v>605</v>
      </c>
      <c r="W43" s="380">
        <v>650</v>
      </c>
      <c r="X43" s="380">
        <v>635</v>
      </c>
      <c r="Y43" s="380">
        <v>467</v>
      </c>
      <c r="Z43" s="380">
        <v>501</v>
      </c>
      <c r="AA43" s="617">
        <v>491</v>
      </c>
      <c r="AB43" s="381"/>
      <c r="AC43" s="379">
        <v>2253</v>
      </c>
      <c r="AD43" s="380">
        <v>1887</v>
      </c>
      <c r="AE43" s="380">
        <v>1800</v>
      </c>
      <c r="AF43" s="380">
        <v>1819</v>
      </c>
      <c r="AG43" s="380">
        <v>1843</v>
      </c>
      <c r="AH43" s="380">
        <v>1635</v>
      </c>
      <c r="AI43" s="380">
        <v>1713</v>
      </c>
      <c r="AJ43" s="617">
        <v>1727</v>
      </c>
      <c r="AK43" s="381"/>
      <c r="AL43" s="379">
        <v>109</v>
      </c>
      <c r="AM43" s="380">
        <v>114</v>
      </c>
      <c r="AN43" s="380">
        <v>126</v>
      </c>
      <c r="AO43" s="380">
        <v>130</v>
      </c>
      <c r="AP43" s="380">
        <v>150</v>
      </c>
      <c r="AQ43" s="380">
        <v>159</v>
      </c>
      <c r="AR43" s="380">
        <v>157</v>
      </c>
      <c r="AS43" s="617">
        <v>201</v>
      </c>
      <c r="AT43" s="381"/>
      <c r="AU43" s="379"/>
      <c r="AV43" s="380"/>
      <c r="AW43" s="380"/>
      <c r="AX43" s="380"/>
      <c r="AY43" s="380">
        <v>2</v>
      </c>
      <c r="AZ43" s="380">
        <v>2</v>
      </c>
      <c r="BA43" s="380"/>
      <c r="BB43" s="617"/>
      <c r="BC43" s="381"/>
      <c r="BD43" s="379">
        <f t="shared" si="1"/>
        <v>3550</v>
      </c>
      <c r="BE43" s="380">
        <f t="shared" si="2"/>
        <v>3051</v>
      </c>
      <c r="BF43" s="380">
        <f t="shared" si="3"/>
        <v>2829</v>
      </c>
      <c r="BG43" s="380">
        <f t="shared" si="4"/>
        <v>2840</v>
      </c>
      <c r="BH43" s="380">
        <f t="shared" si="5"/>
        <v>2884</v>
      </c>
      <c r="BI43" s="380">
        <f t="shared" si="6"/>
        <v>2486</v>
      </c>
      <c r="BJ43" s="380">
        <f t="shared" si="7"/>
        <v>2562</v>
      </c>
      <c r="BK43" s="617">
        <f t="shared" si="8"/>
        <v>2569</v>
      </c>
      <c r="BL43" s="381">
        <f t="shared" si="8"/>
        <v>0</v>
      </c>
    </row>
    <row r="44" spans="1:64" x14ac:dyDescent="0.2">
      <c r="A44" s="365" t="s">
        <v>811</v>
      </c>
      <c r="B44" s="377"/>
      <c r="C44" s="373"/>
      <c r="D44" s="373"/>
      <c r="E44" s="373"/>
      <c r="F44" s="373"/>
      <c r="G44" s="373"/>
      <c r="H44" s="373"/>
      <c r="I44" s="618"/>
      <c r="J44" s="374"/>
      <c r="K44" s="377">
        <v>12</v>
      </c>
      <c r="L44" s="373">
        <v>6</v>
      </c>
      <c r="M44" s="373">
        <v>6</v>
      </c>
      <c r="N44" s="373">
        <v>6</v>
      </c>
      <c r="O44" s="373">
        <v>2</v>
      </c>
      <c r="P44" s="373">
        <v>16</v>
      </c>
      <c r="Q44" s="373"/>
      <c r="R44" s="618">
        <v>5</v>
      </c>
      <c r="S44" s="374"/>
      <c r="T44" s="377">
        <v>46</v>
      </c>
      <c r="U44" s="373">
        <v>39</v>
      </c>
      <c r="V44" s="373">
        <v>12</v>
      </c>
      <c r="W44" s="373">
        <v>14</v>
      </c>
      <c r="X44" s="373">
        <v>14</v>
      </c>
      <c r="Y44" s="373">
        <v>33</v>
      </c>
      <c r="Z44" s="373">
        <v>9</v>
      </c>
      <c r="AA44" s="618">
        <v>20</v>
      </c>
      <c r="AB44" s="374"/>
      <c r="AC44" s="377">
        <v>121</v>
      </c>
      <c r="AD44" s="373">
        <v>112</v>
      </c>
      <c r="AE44" s="373">
        <v>84</v>
      </c>
      <c r="AF44" s="373">
        <v>94</v>
      </c>
      <c r="AG44" s="373">
        <v>51</v>
      </c>
      <c r="AH44" s="373">
        <v>106</v>
      </c>
      <c r="AI44" s="373">
        <v>77</v>
      </c>
      <c r="AJ44" s="618">
        <v>130</v>
      </c>
      <c r="AK44" s="374"/>
      <c r="AL44" s="377">
        <v>5</v>
      </c>
      <c r="AM44" s="373">
        <v>4</v>
      </c>
      <c r="AN44" s="373">
        <v>4</v>
      </c>
      <c r="AO44" s="373">
        <v>5</v>
      </c>
      <c r="AP44" s="373">
        <v>3</v>
      </c>
      <c r="AQ44" s="373">
        <v>4</v>
      </c>
      <c r="AR44" s="373">
        <v>5</v>
      </c>
      <c r="AS44" s="618">
        <v>4</v>
      </c>
      <c r="AT44" s="374"/>
      <c r="AU44" s="377"/>
      <c r="AV44" s="373"/>
      <c r="AW44" s="373"/>
      <c r="AX44" s="373"/>
      <c r="AY44" s="373">
        <v>1</v>
      </c>
      <c r="AZ44" s="373"/>
      <c r="BA44" s="373"/>
      <c r="BB44" s="618"/>
      <c r="BC44" s="374"/>
      <c r="BD44" s="377">
        <f t="shared" si="1"/>
        <v>184</v>
      </c>
      <c r="BE44" s="373">
        <f t="shared" si="2"/>
        <v>161</v>
      </c>
      <c r="BF44" s="373">
        <f t="shared" si="3"/>
        <v>106</v>
      </c>
      <c r="BG44" s="373">
        <f t="shared" si="4"/>
        <v>119</v>
      </c>
      <c r="BH44" s="373">
        <f t="shared" si="5"/>
        <v>71</v>
      </c>
      <c r="BI44" s="373">
        <f t="shared" si="6"/>
        <v>159</v>
      </c>
      <c r="BJ44" s="373">
        <f t="shared" si="7"/>
        <v>91</v>
      </c>
      <c r="BK44" s="618">
        <f t="shared" si="8"/>
        <v>159</v>
      </c>
      <c r="BL44" s="374">
        <f t="shared" si="8"/>
        <v>0</v>
      </c>
    </row>
    <row r="45" spans="1:64" x14ac:dyDescent="0.2">
      <c r="A45" s="365" t="s">
        <v>663</v>
      </c>
      <c r="B45" s="377"/>
      <c r="C45" s="373"/>
      <c r="D45" s="373"/>
      <c r="E45" s="373"/>
      <c r="F45" s="373"/>
      <c r="G45" s="373"/>
      <c r="H45" s="373"/>
      <c r="I45" s="618"/>
      <c r="J45" s="374"/>
      <c r="K45" s="377">
        <v>86</v>
      </c>
      <c r="L45" s="373">
        <v>96</v>
      </c>
      <c r="M45" s="373">
        <v>68</v>
      </c>
      <c r="N45" s="373">
        <v>46</v>
      </c>
      <c r="O45" s="373">
        <v>50</v>
      </c>
      <c r="P45" s="373">
        <v>26</v>
      </c>
      <c r="Q45" s="373">
        <v>34</v>
      </c>
      <c r="R45" s="618">
        <v>30</v>
      </c>
      <c r="S45" s="374"/>
      <c r="T45" s="377">
        <v>187</v>
      </c>
      <c r="U45" s="373">
        <v>161</v>
      </c>
      <c r="V45" s="373">
        <v>158</v>
      </c>
      <c r="W45" s="373">
        <v>135</v>
      </c>
      <c r="X45" s="373">
        <v>154</v>
      </c>
      <c r="Y45" s="373">
        <v>82</v>
      </c>
      <c r="Z45" s="373">
        <v>102</v>
      </c>
      <c r="AA45" s="618">
        <v>89</v>
      </c>
      <c r="AB45" s="374"/>
      <c r="AC45" s="377">
        <v>621</v>
      </c>
      <c r="AD45" s="373">
        <v>433</v>
      </c>
      <c r="AE45" s="373">
        <v>456</v>
      </c>
      <c r="AF45" s="373">
        <v>409</v>
      </c>
      <c r="AG45" s="373">
        <v>458</v>
      </c>
      <c r="AH45" s="373">
        <v>392</v>
      </c>
      <c r="AI45" s="373">
        <v>371</v>
      </c>
      <c r="AJ45" s="618">
        <v>369</v>
      </c>
      <c r="AK45" s="374"/>
      <c r="AL45" s="377">
        <v>29</v>
      </c>
      <c r="AM45" s="373">
        <v>33</v>
      </c>
      <c r="AN45" s="373">
        <v>30</v>
      </c>
      <c r="AO45" s="373">
        <v>33</v>
      </c>
      <c r="AP45" s="373">
        <v>28</v>
      </c>
      <c r="AQ45" s="373">
        <v>26</v>
      </c>
      <c r="AR45" s="373">
        <v>33</v>
      </c>
      <c r="AS45" s="618">
        <v>60</v>
      </c>
      <c r="AT45" s="374"/>
      <c r="AU45" s="377"/>
      <c r="AV45" s="373"/>
      <c r="AW45" s="373"/>
      <c r="AX45" s="373"/>
      <c r="AY45" s="373"/>
      <c r="AZ45" s="373"/>
      <c r="BA45" s="373"/>
      <c r="BB45" s="618"/>
      <c r="BC45" s="374"/>
      <c r="BD45" s="377">
        <f t="shared" si="1"/>
        <v>923</v>
      </c>
      <c r="BE45" s="373">
        <f t="shared" si="2"/>
        <v>723</v>
      </c>
      <c r="BF45" s="373">
        <f t="shared" si="3"/>
        <v>712</v>
      </c>
      <c r="BG45" s="373">
        <f t="shared" si="4"/>
        <v>623</v>
      </c>
      <c r="BH45" s="373">
        <f t="shared" si="5"/>
        <v>690</v>
      </c>
      <c r="BI45" s="373">
        <f t="shared" si="6"/>
        <v>526</v>
      </c>
      <c r="BJ45" s="373">
        <f t="shared" si="7"/>
        <v>540</v>
      </c>
      <c r="BK45" s="618">
        <f t="shared" si="8"/>
        <v>548</v>
      </c>
      <c r="BL45" s="374">
        <f t="shared" si="8"/>
        <v>0</v>
      </c>
    </row>
    <row r="46" spans="1:64" x14ac:dyDescent="0.2">
      <c r="A46" s="365" t="s">
        <v>664</v>
      </c>
      <c r="B46" s="377"/>
      <c r="C46" s="373"/>
      <c r="D46" s="373"/>
      <c r="E46" s="373"/>
      <c r="F46" s="373"/>
      <c r="G46" s="373"/>
      <c r="H46" s="373"/>
      <c r="I46" s="618"/>
      <c r="J46" s="374"/>
      <c r="K46" s="377">
        <v>36</v>
      </c>
      <c r="L46" s="373">
        <v>39</v>
      </c>
      <c r="M46" s="373">
        <v>46</v>
      </c>
      <c r="N46" s="373">
        <v>30</v>
      </c>
      <c r="O46" s="373">
        <v>33</v>
      </c>
      <c r="P46" s="373">
        <v>40</v>
      </c>
      <c r="Q46" s="373">
        <v>34</v>
      </c>
      <c r="R46" s="618">
        <v>25</v>
      </c>
      <c r="S46" s="374"/>
      <c r="T46" s="377">
        <v>49</v>
      </c>
      <c r="U46" s="373">
        <v>70</v>
      </c>
      <c r="V46" s="373">
        <v>43</v>
      </c>
      <c r="W46" s="373">
        <v>56</v>
      </c>
      <c r="X46" s="373">
        <v>36</v>
      </c>
      <c r="Y46" s="373">
        <v>29</v>
      </c>
      <c r="Z46" s="373">
        <v>37</v>
      </c>
      <c r="AA46" s="618">
        <v>42</v>
      </c>
      <c r="AB46" s="374"/>
      <c r="AC46" s="377">
        <v>142</v>
      </c>
      <c r="AD46" s="373">
        <v>159</v>
      </c>
      <c r="AE46" s="373">
        <v>130</v>
      </c>
      <c r="AF46" s="373">
        <v>121</v>
      </c>
      <c r="AG46" s="373">
        <v>127</v>
      </c>
      <c r="AH46" s="373">
        <v>111</v>
      </c>
      <c r="AI46" s="373">
        <v>119</v>
      </c>
      <c r="AJ46" s="618">
        <v>129</v>
      </c>
      <c r="AK46" s="374"/>
      <c r="AL46" s="377">
        <v>12</v>
      </c>
      <c r="AM46" s="373">
        <v>5</v>
      </c>
      <c r="AN46" s="373">
        <v>6</v>
      </c>
      <c r="AO46" s="373">
        <v>9</v>
      </c>
      <c r="AP46" s="373">
        <v>6</v>
      </c>
      <c r="AQ46" s="373">
        <v>10</v>
      </c>
      <c r="AR46" s="373">
        <v>11</v>
      </c>
      <c r="AS46" s="618">
        <v>17</v>
      </c>
      <c r="AT46" s="374"/>
      <c r="AU46" s="377"/>
      <c r="AV46" s="373"/>
      <c r="AW46" s="373"/>
      <c r="AX46" s="373"/>
      <c r="AY46" s="373"/>
      <c r="AZ46" s="373"/>
      <c r="BA46" s="373"/>
      <c r="BB46" s="618"/>
      <c r="BC46" s="374"/>
      <c r="BD46" s="377">
        <f t="shared" si="1"/>
        <v>239</v>
      </c>
      <c r="BE46" s="373">
        <f t="shared" si="2"/>
        <v>273</v>
      </c>
      <c r="BF46" s="373">
        <f t="shared" si="3"/>
        <v>225</v>
      </c>
      <c r="BG46" s="373">
        <f t="shared" si="4"/>
        <v>216</v>
      </c>
      <c r="BH46" s="373">
        <f t="shared" si="5"/>
        <v>202</v>
      </c>
      <c r="BI46" s="373">
        <f t="shared" si="6"/>
        <v>190</v>
      </c>
      <c r="BJ46" s="373">
        <f t="shared" si="7"/>
        <v>201</v>
      </c>
      <c r="BK46" s="618">
        <f t="shared" si="8"/>
        <v>213</v>
      </c>
      <c r="BL46" s="374">
        <f t="shared" si="8"/>
        <v>0</v>
      </c>
    </row>
    <row r="47" spans="1:64" x14ac:dyDescent="0.2">
      <c r="A47" s="365" t="s">
        <v>665</v>
      </c>
      <c r="B47" s="377"/>
      <c r="C47" s="373"/>
      <c r="D47" s="373"/>
      <c r="E47" s="373"/>
      <c r="F47" s="373"/>
      <c r="G47" s="373"/>
      <c r="H47" s="373"/>
      <c r="I47" s="618"/>
      <c r="J47" s="374"/>
      <c r="K47" s="377">
        <v>58</v>
      </c>
      <c r="L47" s="373">
        <v>51</v>
      </c>
      <c r="M47" s="373">
        <v>38</v>
      </c>
      <c r="N47" s="373">
        <v>30</v>
      </c>
      <c r="O47" s="373">
        <v>38</v>
      </c>
      <c r="P47" s="373">
        <v>35</v>
      </c>
      <c r="Q47" s="373">
        <v>24</v>
      </c>
      <c r="R47" s="618">
        <v>14</v>
      </c>
      <c r="S47" s="374"/>
      <c r="T47" s="377">
        <v>87</v>
      </c>
      <c r="U47" s="373">
        <v>99</v>
      </c>
      <c r="V47" s="373">
        <v>63</v>
      </c>
      <c r="W47" s="373">
        <v>54</v>
      </c>
      <c r="X47" s="373">
        <v>72</v>
      </c>
      <c r="Y47" s="373">
        <v>49</v>
      </c>
      <c r="Z47" s="373">
        <v>66</v>
      </c>
      <c r="AA47" s="618">
        <v>49</v>
      </c>
      <c r="AB47" s="374"/>
      <c r="AC47" s="377">
        <v>220</v>
      </c>
      <c r="AD47" s="373">
        <v>211</v>
      </c>
      <c r="AE47" s="373">
        <v>215</v>
      </c>
      <c r="AF47" s="373">
        <v>225</v>
      </c>
      <c r="AG47" s="373">
        <v>206</v>
      </c>
      <c r="AH47" s="373">
        <v>206</v>
      </c>
      <c r="AI47" s="373">
        <v>166</v>
      </c>
      <c r="AJ47" s="618">
        <v>174</v>
      </c>
      <c r="AK47" s="374"/>
      <c r="AL47" s="377">
        <v>13</v>
      </c>
      <c r="AM47" s="373">
        <v>9</v>
      </c>
      <c r="AN47" s="373">
        <v>13</v>
      </c>
      <c r="AO47" s="373">
        <v>14</v>
      </c>
      <c r="AP47" s="373">
        <v>24</v>
      </c>
      <c r="AQ47" s="373">
        <v>25</v>
      </c>
      <c r="AR47" s="373">
        <v>20</v>
      </c>
      <c r="AS47" s="618">
        <v>21</v>
      </c>
      <c r="AT47" s="374"/>
      <c r="AU47" s="377"/>
      <c r="AV47" s="373"/>
      <c r="AW47" s="373"/>
      <c r="AX47" s="373"/>
      <c r="AY47" s="373"/>
      <c r="AZ47" s="373"/>
      <c r="BA47" s="373"/>
      <c r="BB47" s="618"/>
      <c r="BC47" s="374"/>
      <c r="BD47" s="377">
        <f t="shared" si="1"/>
        <v>378</v>
      </c>
      <c r="BE47" s="373">
        <f t="shared" si="2"/>
        <v>370</v>
      </c>
      <c r="BF47" s="373">
        <f t="shared" si="3"/>
        <v>329</v>
      </c>
      <c r="BG47" s="373">
        <f t="shared" si="4"/>
        <v>323</v>
      </c>
      <c r="BH47" s="373">
        <f t="shared" si="5"/>
        <v>340</v>
      </c>
      <c r="BI47" s="373">
        <f t="shared" si="6"/>
        <v>315</v>
      </c>
      <c r="BJ47" s="373">
        <f t="shared" si="7"/>
        <v>276</v>
      </c>
      <c r="BK47" s="618">
        <f t="shared" si="8"/>
        <v>258</v>
      </c>
      <c r="BL47" s="374">
        <f t="shared" si="8"/>
        <v>0</v>
      </c>
    </row>
    <row r="48" spans="1:64" x14ac:dyDescent="0.2">
      <c r="A48" s="365" t="s">
        <v>770</v>
      </c>
      <c r="B48" s="377"/>
      <c r="C48" s="373"/>
      <c r="D48" s="373"/>
      <c r="E48" s="373"/>
      <c r="F48" s="373"/>
      <c r="G48" s="373"/>
      <c r="H48" s="373"/>
      <c r="I48" s="618"/>
      <c r="J48" s="374"/>
      <c r="K48" s="377">
        <v>43</v>
      </c>
      <c r="L48" s="373">
        <v>59</v>
      </c>
      <c r="M48" s="373">
        <v>50</v>
      </c>
      <c r="N48" s="373">
        <v>39</v>
      </c>
      <c r="O48" s="373">
        <v>44</v>
      </c>
      <c r="P48" s="373">
        <v>31</v>
      </c>
      <c r="Q48" s="373">
        <v>23</v>
      </c>
      <c r="R48" s="618">
        <v>10</v>
      </c>
      <c r="S48" s="374"/>
      <c r="T48" s="377">
        <v>97</v>
      </c>
      <c r="U48" s="373">
        <v>90</v>
      </c>
      <c r="V48" s="373">
        <v>99</v>
      </c>
      <c r="W48" s="373">
        <v>144</v>
      </c>
      <c r="X48" s="373">
        <v>116</v>
      </c>
      <c r="Y48" s="373">
        <v>69</v>
      </c>
      <c r="Z48" s="373">
        <v>99</v>
      </c>
      <c r="AA48" s="618">
        <v>86</v>
      </c>
      <c r="AB48" s="374"/>
      <c r="AC48" s="377">
        <v>234</v>
      </c>
      <c r="AD48" s="373">
        <v>273</v>
      </c>
      <c r="AE48" s="373">
        <v>263</v>
      </c>
      <c r="AF48" s="373">
        <v>301</v>
      </c>
      <c r="AG48" s="373">
        <v>287</v>
      </c>
      <c r="AH48" s="373">
        <v>195</v>
      </c>
      <c r="AI48" s="373">
        <v>240</v>
      </c>
      <c r="AJ48" s="618">
        <v>228</v>
      </c>
      <c r="AK48" s="374"/>
      <c r="AL48" s="377">
        <v>12</v>
      </c>
      <c r="AM48" s="373">
        <v>17</v>
      </c>
      <c r="AN48" s="373">
        <v>17</v>
      </c>
      <c r="AO48" s="373">
        <v>25</v>
      </c>
      <c r="AP48" s="373">
        <v>23</v>
      </c>
      <c r="AQ48" s="373">
        <v>18</v>
      </c>
      <c r="AR48" s="373">
        <v>21</v>
      </c>
      <c r="AS48" s="618">
        <v>32</v>
      </c>
      <c r="AT48" s="374"/>
      <c r="AU48" s="377"/>
      <c r="AV48" s="373"/>
      <c r="AW48" s="373"/>
      <c r="AX48" s="373"/>
      <c r="AY48" s="373"/>
      <c r="AZ48" s="373"/>
      <c r="BA48" s="373"/>
      <c r="BB48" s="618"/>
      <c r="BC48" s="374"/>
      <c r="BD48" s="377">
        <f t="shared" si="1"/>
        <v>386</v>
      </c>
      <c r="BE48" s="373">
        <f t="shared" si="2"/>
        <v>439</v>
      </c>
      <c r="BF48" s="373">
        <f t="shared" si="3"/>
        <v>429</v>
      </c>
      <c r="BG48" s="373">
        <f t="shared" si="4"/>
        <v>509</v>
      </c>
      <c r="BH48" s="373">
        <f t="shared" si="5"/>
        <v>470</v>
      </c>
      <c r="BI48" s="373">
        <f t="shared" si="6"/>
        <v>313</v>
      </c>
      <c r="BJ48" s="373">
        <f t="shared" si="7"/>
        <v>383</v>
      </c>
      <c r="BK48" s="618">
        <f t="shared" si="8"/>
        <v>356</v>
      </c>
      <c r="BL48" s="374">
        <f t="shared" si="8"/>
        <v>0</v>
      </c>
    </row>
    <row r="49" spans="1:64" x14ac:dyDescent="0.2">
      <c r="A49" s="365" t="s">
        <v>771</v>
      </c>
      <c r="B49" s="377"/>
      <c r="C49" s="373"/>
      <c r="D49" s="373"/>
      <c r="E49" s="373"/>
      <c r="F49" s="373"/>
      <c r="G49" s="373"/>
      <c r="H49" s="373"/>
      <c r="I49" s="618"/>
      <c r="J49" s="374"/>
      <c r="K49" s="377">
        <v>34</v>
      </c>
      <c r="L49" s="373">
        <v>36</v>
      </c>
      <c r="M49" s="373">
        <v>24</v>
      </c>
      <c r="N49" s="373">
        <v>25</v>
      </c>
      <c r="O49" s="373">
        <v>17</v>
      </c>
      <c r="P49" s="373">
        <v>18</v>
      </c>
      <c r="Q49" s="373">
        <v>17</v>
      </c>
      <c r="R49" s="618">
        <v>15</v>
      </c>
      <c r="S49" s="374"/>
      <c r="T49" s="377">
        <v>88</v>
      </c>
      <c r="U49" s="373">
        <v>72</v>
      </c>
      <c r="V49" s="373">
        <v>59</v>
      </c>
      <c r="W49" s="373">
        <v>70</v>
      </c>
      <c r="X49" s="373">
        <v>65</v>
      </c>
      <c r="Y49" s="373">
        <v>54</v>
      </c>
      <c r="Z49" s="373">
        <v>44</v>
      </c>
      <c r="AA49" s="618">
        <v>59</v>
      </c>
      <c r="AB49" s="374"/>
      <c r="AC49" s="377">
        <v>260</v>
      </c>
      <c r="AD49" s="373">
        <v>249</v>
      </c>
      <c r="AE49" s="373">
        <v>216</v>
      </c>
      <c r="AF49" s="373">
        <v>204</v>
      </c>
      <c r="AG49" s="373">
        <v>219</v>
      </c>
      <c r="AH49" s="373">
        <v>220</v>
      </c>
      <c r="AI49" s="373">
        <v>208</v>
      </c>
      <c r="AJ49" s="618">
        <v>213</v>
      </c>
      <c r="AK49" s="374"/>
      <c r="AL49" s="377">
        <v>21</v>
      </c>
      <c r="AM49" s="373">
        <v>18</v>
      </c>
      <c r="AN49" s="373">
        <v>8</v>
      </c>
      <c r="AO49" s="373">
        <v>19</v>
      </c>
      <c r="AP49" s="373">
        <v>19</v>
      </c>
      <c r="AQ49" s="373">
        <v>24</v>
      </c>
      <c r="AR49" s="373">
        <v>29</v>
      </c>
      <c r="AS49" s="618">
        <v>15</v>
      </c>
      <c r="AT49" s="374"/>
      <c r="AU49" s="377"/>
      <c r="AV49" s="373"/>
      <c r="AW49" s="373"/>
      <c r="AX49" s="373"/>
      <c r="AY49" s="373"/>
      <c r="AZ49" s="373"/>
      <c r="BA49" s="373"/>
      <c r="BB49" s="618"/>
      <c r="BC49" s="374"/>
      <c r="BD49" s="377">
        <f t="shared" si="1"/>
        <v>403</v>
      </c>
      <c r="BE49" s="373">
        <f t="shared" si="2"/>
        <v>375</v>
      </c>
      <c r="BF49" s="373">
        <f t="shared" si="3"/>
        <v>307</v>
      </c>
      <c r="BG49" s="373">
        <f t="shared" si="4"/>
        <v>318</v>
      </c>
      <c r="BH49" s="373">
        <f t="shared" si="5"/>
        <v>320</v>
      </c>
      <c r="BI49" s="373">
        <f t="shared" si="6"/>
        <v>316</v>
      </c>
      <c r="BJ49" s="373">
        <f t="shared" si="7"/>
        <v>298</v>
      </c>
      <c r="BK49" s="618">
        <f t="shared" si="8"/>
        <v>302</v>
      </c>
      <c r="BL49" s="374">
        <f t="shared" si="8"/>
        <v>0</v>
      </c>
    </row>
    <row r="50" spans="1:64" x14ac:dyDescent="0.2">
      <c r="A50" s="365" t="s">
        <v>667</v>
      </c>
      <c r="B50" s="377"/>
      <c r="C50" s="373"/>
      <c r="D50" s="373"/>
      <c r="E50" s="373"/>
      <c r="F50" s="373"/>
      <c r="G50" s="373"/>
      <c r="H50" s="373"/>
      <c r="I50" s="618"/>
      <c r="J50" s="374"/>
      <c r="K50" s="377">
        <v>33</v>
      </c>
      <c r="L50" s="373">
        <v>33</v>
      </c>
      <c r="M50" s="373">
        <v>23</v>
      </c>
      <c r="N50" s="373">
        <v>23</v>
      </c>
      <c r="O50" s="373">
        <v>33</v>
      </c>
      <c r="P50" s="373">
        <v>19</v>
      </c>
      <c r="Q50" s="373">
        <v>21</v>
      </c>
      <c r="R50" s="618">
        <v>20</v>
      </c>
      <c r="S50" s="374"/>
      <c r="T50" s="377">
        <v>56</v>
      </c>
      <c r="U50" s="373">
        <v>48</v>
      </c>
      <c r="V50" s="373">
        <v>47</v>
      </c>
      <c r="W50" s="373">
        <v>51</v>
      </c>
      <c r="X50" s="373">
        <v>74</v>
      </c>
      <c r="Y50" s="373">
        <v>46</v>
      </c>
      <c r="Z50" s="373">
        <v>41</v>
      </c>
      <c r="AA50" s="618">
        <v>31</v>
      </c>
      <c r="AB50" s="374"/>
      <c r="AC50" s="377">
        <v>90</v>
      </c>
      <c r="AD50" s="373">
        <v>122</v>
      </c>
      <c r="AE50" s="373">
        <v>123</v>
      </c>
      <c r="AF50" s="373">
        <v>122</v>
      </c>
      <c r="AG50" s="373">
        <v>176</v>
      </c>
      <c r="AH50" s="373">
        <v>113</v>
      </c>
      <c r="AI50" s="373">
        <v>110</v>
      </c>
      <c r="AJ50" s="618">
        <v>89</v>
      </c>
      <c r="AK50" s="374"/>
      <c r="AL50" s="377">
        <v>3</v>
      </c>
      <c r="AM50" s="373">
        <v>1</v>
      </c>
      <c r="AN50" s="373">
        <v>5</v>
      </c>
      <c r="AO50" s="373">
        <v>4</v>
      </c>
      <c r="AP50" s="373">
        <v>13</v>
      </c>
      <c r="AQ50" s="373">
        <v>8</v>
      </c>
      <c r="AR50" s="373">
        <v>4</v>
      </c>
      <c r="AS50" s="618">
        <v>7</v>
      </c>
      <c r="AT50" s="374"/>
      <c r="AU50" s="377"/>
      <c r="AV50" s="373"/>
      <c r="AW50" s="373"/>
      <c r="AX50" s="373"/>
      <c r="AY50" s="373"/>
      <c r="AZ50" s="373">
        <v>2</v>
      </c>
      <c r="BA50" s="373"/>
      <c r="BB50" s="618"/>
      <c r="BC50" s="374"/>
      <c r="BD50" s="377">
        <f t="shared" si="1"/>
        <v>182</v>
      </c>
      <c r="BE50" s="373">
        <f t="shared" si="2"/>
        <v>204</v>
      </c>
      <c r="BF50" s="373">
        <f t="shared" si="3"/>
        <v>198</v>
      </c>
      <c r="BG50" s="373">
        <f t="shared" si="4"/>
        <v>200</v>
      </c>
      <c r="BH50" s="373">
        <f t="shared" si="5"/>
        <v>296</v>
      </c>
      <c r="BI50" s="373">
        <f t="shared" si="6"/>
        <v>188</v>
      </c>
      <c r="BJ50" s="373">
        <f t="shared" si="7"/>
        <v>176</v>
      </c>
      <c r="BK50" s="618">
        <f t="shared" si="8"/>
        <v>147</v>
      </c>
      <c r="BL50" s="374">
        <f t="shared" si="8"/>
        <v>0</v>
      </c>
    </row>
    <row r="51" spans="1:64" x14ac:dyDescent="0.2">
      <c r="A51" s="365" t="s">
        <v>666</v>
      </c>
      <c r="B51" s="377"/>
      <c r="C51" s="373"/>
      <c r="D51" s="373"/>
      <c r="E51" s="373"/>
      <c r="F51" s="373"/>
      <c r="G51" s="373"/>
      <c r="H51" s="373"/>
      <c r="I51" s="618"/>
      <c r="J51" s="374"/>
      <c r="K51" s="377">
        <v>36</v>
      </c>
      <c r="L51" s="373">
        <v>22</v>
      </c>
      <c r="M51" s="373">
        <v>22</v>
      </c>
      <c r="N51" s="373">
        <v>20</v>
      </c>
      <c r="O51" s="373">
        <v>26</v>
      </c>
      <c r="P51" s="373">
        <v>13</v>
      </c>
      <c r="Q51" s="373">
        <v>26</v>
      </c>
      <c r="R51" s="618">
        <v>17</v>
      </c>
      <c r="S51" s="374"/>
      <c r="T51" s="377">
        <v>115</v>
      </c>
      <c r="U51" s="373">
        <v>40</v>
      </c>
      <c r="V51" s="373">
        <v>48</v>
      </c>
      <c r="W51" s="373">
        <v>53</v>
      </c>
      <c r="X51" s="373">
        <v>41</v>
      </c>
      <c r="Y51" s="373">
        <v>51</v>
      </c>
      <c r="Z51" s="373">
        <v>45</v>
      </c>
      <c r="AA51" s="618">
        <v>49</v>
      </c>
      <c r="AB51" s="374"/>
      <c r="AC51" s="377">
        <v>366</v>
      </c>
      <c r="AD51" s="373">
        <v>176</v>
      </c>
      <c r="AE51" s="373">
        <v>153</v>
      </c>
      <c r="AF51" s="373">
        <v>178</v>
      </c>
      <c r="AG51" s="373">
        <v>165</v>
      </c>
      <c r="AH51" s="373">
        <v>166</v>
      </c>
      <c r="AI51" s="373">
        <v>216</v>
      </c>
      <c r="AJ51" s="618">
        <v>182</v>
      </c>
      <c r="AK51" s="374"/>
      <c r="AL51" s="377">
        <v>10</v>
      </c>
      <c r="AM51" s="373">
        <v>15</v>
      </c>
      <c r="AN51" s="373">
        <v>30</v>
      </c>
      <c r="AO51" s="373">
        <v>10</v>
      </c>
      <c r="AP51" s="373">
        <v>20</v>
      </c>
      <c r="AQ51" s="373">
        <v>26</v>
      </c>
      <c r="AR51" s="373">
        <v>20</v>
      </c>
      <c r="AS51" s="618">
        <v>30</v>
      </c>
      <c r="AT51" s="374"/>
      <c r="AU51" s="377"/>
      <c r="AV51" s="373"/>
      <c r="AW51" s="373"/>
      <c r="AX51" s="373"/>
      <c r="AY51" s="373">
        <v>1</v>
      </c>
      <c r="AZ51" s="373"/>
      <c r="BA51" s="373"/>
      <c r="BB51" s="618"/>
      <c r="BC51" s="374"/>
      <c r="BD51" s="377">
        <f t="shared" si="1"/>
        <v>527</v>
      </c>
      <c r="BE51" s="373">
        <f t="shared" si="2"/>
        <v>253</v>
      </c>
      <c r="BF51" s="373">
        <f t="shared" si="3"/>
        <v>253</v>
      </c>
      <c r="BG51" s="373">
        <f t="shared" si="4"/>
        <v>261</v>
      </c>
      <c r="BH51" s="373">
        <f t="shared" si="5"/>
        <v>253</v>
      </c>
      <c r="BI51" s="373">
        <f t="shared" si="6"/>
        <v>256</v>
      </c>
      <c r="BJ51" s="373">
        <f t="shared" si="7"/>
        <v>307</v>
      </c>
      <c r="BK51" s="618">
        <f t="shared" si="8"/>
        <v>278</v>
      </c>
      <c r="BL51" s="374">
        <f t="shared" si="8"/>
        <v>0</v>
      </c>
    </row>
    <row r="52" spans="1:64" ht="13.5" thickBot="1" x14ac:dyDescent="0.25">
      <c r="A52" s="366" t="s">
        <v>772</v>
      </c>
      <c r="B52" s="378"/>
      <c r="C52" s="375"/>
      <c r="D52" s="375"/>
      <c r="E52" s="375"/>
      <c r="F52" s="375"/>
      <c r="G52" s="375"/>
      <c r="H52" s="375"/>
      <c r="I52" s="619"/>
      <c r="J52" s="376"/>
      <c r="K52" s="378">
        <v>24</v>
      </c>
      <c r="L52" s="375">
        <v>22</v>
      </c>
      <c r="M52" s="375">
        <v>21</v>
      </c>
      <c r="N52" s="375">
        <v>22</v>
      </c>
      <c r="O52" s="375">
        <v>11</v>
      </c>
      <c r="P52" s="375">
        <v>25</v>
      </c>
      <c r="Q52" s="375">
        <v>12</v>
      </c>
      <c r="R52" s="619">
        <v>14</v>
      </c>
      <c r="S52" s="376"/>
      <c r="T52" s="378">
        <v>101</v>
      </c>
      <c r="U52" s="375">
        <v>67</v>
      </c>
      <c r="V52" s="375">
        <v>76</v>
      </c>
      <c r="W52" s="375">
        <v>73</v>
      </c>
      <c r="X52" s="375">
        <v>63</v>
      </c>
      <c r="Y52" s="375">
        <v>54</v>
      </c>
      <c r="Z52" s="375">
        <v>58</v>
      </c>
      <c r="AA52" s="619">
        <v>66</v>
      </c>
      <c r="AB52" s="376"/>
      <c r="AC52" s="378">
        <v>199</v>
      </c>
      <c r="AD52" s="375">
        <v>152</v>
      </c>
      <c r="AE52" s="375">
        <v>160</v>
      </c>
      <c r="AF52" s="375">
        <v>165</v>
      </c>
      <c r="AG52" s="375">
        <v>154</v>
      </c>
      <c r="AH52" s="375">
        <v>126</v>
      </c>
      <c r="AI52" s="375">
        <v>206</v>
      </c>
      <c r="AJ52" s="619">
        <v>213</v>
      </c>
      <c r="AK52" s="376"/>
      <c r="AL52" s="378">
        <v>4</v>
      </c>
      <c r="AM52" s="375">
        <v>12</v>
      </c>
      <c r="AN52" s="375">
        <v>13</v>
      </c>
      <c r="AO52" s="375">
        <v>11</v>
      </c>
      <c r="AP52" s="375">
        <v>14</v>
      </c>
      <c r="AQ52" s="375">
        <v>18</v>
      </c>
      <c r="AR52" s="375">
        <v>14</v>
      </c>
      <c r="AS52" s="619">
        <v>15</v>
      </c>
      <c r="AT52" s="376"/>
      <c r="AU52" s="378"/>
      <c r="AV52" s="375"/>
      <c r="AW52" s="375"/>
      <c r="AX52" s="375"/>
      <c r="AY52" s="375"/>
      <c r="AZ52" s="375"/>
      <c r="BA52" s="375"/>
      <c r="BB52" s="619"/>
      <c r="BC52" s="376"/>
      <c r="BD52" s="378">
        <f t="shared" si="1"/>
        <v>328</v>
      </c>
      <c r="BE52" s="375">
        <f t="shared" si="2"/>
        <v>253</v>
      </c>
      <c r="BF52" s="375">
        <f t="shared" si="3"/>
        <v>270</v>
      </c>
      <c r="BG52" s="375">
        <f t="shared" si="4"/>
        <v>271</v>
      </c>
      <c r="BH52" s="375">
        <f t="shared" si="5"/>
        <v>242</v>
      </c>
      <c r="BI52" s="375">
        <f t="shared" si="6"/>
        <v>223</v>
      </c>
      <c r="BJ52" s="375">
        <f t="shared" si="7"/>
        <v>290</v>
      </c>
      <c r="BK52" s="619">
        <f t="shared" si="8"/>
        <v>308</v>
      </c>
      <c r="BL52" s="376">
        <f t="shared" si="8"/>
        <v>0</v>
      </c>
    </row>
    <row r="53" spans="1:64" s="264" customFormat="1" x14ac:dyDescent="0.2">
      <c r="A53" s="364" t="s">
        <v>782</v>
      </c>
      <c r="B53" s="379"/>
      <c r="C53" s="380"/>
      <c r="D53" s="380"/>
      <c r="E53" s="380"/>
      <c r="F53" s="380">
        <v>4</v>
      </c>
      <c r="G53" s="380">
        <v>11</v>
      </c>
      <c r="H53" s="380">
        <v>3</v>
      </c>
      <c r="I53" s="617">
        <v>3</v>
      </c>
      <c r="J53" s="381"/>
      <c r="K53" s="379">
        <v>1180</v>
      </c>
      <c r="L53" s="380">
        <v>1031</v>
      </c>
      <c r="M53" s="380">
        <v>1257</v>
      </c>
      <c r="N53" s="380">
        <v>1272</v>
      </c>
      <c r="O53" s="380">
        <v>1134</v>
      </c>
      <c r="P53" s="380">
        <v>1085</v>
      </c>
      <c r="Q53" s="380">
        <v>909</v>
      </c>
      <c r="R53" s="617">
        <v>850</v>
      </c>
      <c r="S53" s="381"/>
      <c r="T53" s="379">
        <v>2450</v>
      </c>
      <c r="U53" s="380">
        <v>2145</v>
      </c>
      <c r="V53" s="380">
        <v>2120</v>
      </c>
      <c r="W53" s="380">
        <v>2188</v>
      </c>
      <c r="X53" s="380">
        <v>2170</v>
      </c>
      <c r="Y53" s="380">
        <v>1885</v>
      </c>
      <c r="Z53" s="380">
        <v>1801</v>
      </c>
      <c r="AA53" s="617">
        <v>1677</v>
      </c>
      <c r="AB53" s="381"/>
      <c r="AC53" s="379">
        <v>6175</v>
      </c>
      <c r="AD53" s="380">
        <v>5385</v>
      </c>
      <c r="AE53" s="380">
        <v>5231</v>
      </c>
      <c r="AF53" s="380">
        <v>4873</v>
      </c>
      <c r="AG53" s="380">
        <v>5044</v>
      </c>
      <c r="AH53" s="380">
        <v>4655</v>
      </c>
      <c r="AI53" s="380">
        <v>4246</v>
      </c>
      <c r="AJ53" s="617">
        <v>4199</v>
      </c>
      <c r="AK53" s="381"/>
      <c r="AL53" s="379">
        <v>242</v>
      </c>
      <c r="AM53" s="380">
        <v>276</v>
      </c>
      <c r="AN53" s="380">
        <v>295</v>
      </c>
      <c r="AO53" s="380">
        <v>262</v>
      </c>
      <c r="AP53" s="380">
        <v>321</v>
      </c>
      <c r="AQ53" s="380">
        <v>350</v>
      </c>
      <c r="AR53" s="380">
        <v>320</v>
      </c>
      <c r="AS53" s="617">
        <v>313</v>
      </c>
      <c r="AT53" s="381"/>
      <c r="AU53" s="379"/>
      <c r="AV53" s="380"/>
      <c r="AW53" s="380"/>
      <c r="AX53" s="380"/>
      <c r="AY53" s="380">
        <v>5</v>
      </c>
      <c r="AZ53" s="380"/>
      <c r="BA53" s="380"/>
      <c r="BB53" s="617"/>
      <c r="BC53" s="381"/>
      <c r="BD53" s="379">
        <f t="shared" si="1"/>
        <v>10047</v>
      </c>
      <c r="BE53" s="380">
        <f t="shared" si="2"/>
        <v>8837</v>
      </c>
      <c r="BF53" s="380">
        <f t="shared" si="3"/>
        <v>8903</v>
      </c>
      <c r="BG53" s="380">
        <f t="shared" si="4"/>
        <v>8595</v>
      </c>
      <c r="BH53" s="380">
        <f t="shared" si="5"/>
        <v>8678</v>
      </c>
      <c r="BI53" s="380">
        <f t="shared" si="6"/>
        <v>7986</v>
      </c>
      <c r="BJ53" s="380">
        <f t="shared" si="7"/>
        <v>7279</v>
      </c>
      <c r="BK53" s="617">
        <f t="shared" si="8"/>
        <v>7042</v>
      </c>
      <c r="BL53" s="381">
        <f t="shared" si="8"/>
        <v>0</v>
      </c>
    </row>
    <row r="54" spans="1:64" x14ac:dyDescent="0.2">
      <c r="A54" s="365" t="s">
        <v>812</v>
      </c>
      <c r="B54" s="377"/>
      <c r="C54" s="373"/>
      <c r="D54" s="373"/>
      <c r="E54" s="373"/>
      <c r="F54" s="373"/>
      <c r="G54" s="373"/>
      <c r="H54" s="373">
        <v>1</v>
      </c>
      <c r="I54" s="618"/>
      <c r="J54" s="374"/>
      <c r="K54" s="377">
        <v>18</v>
      </c>
      <c r="L54" s="373">
        <v>14</v>
      </c>
      <c r="M54" s="373">
        <v>10</v>
      </c>
      <c r="N54" s="373">
        <v>18</v>
      </c>
      <c r="O54" s="373">
        <v>9</v>
      </c>
      <c r="P54" s="373">
        <v>13</v>
      </c>
      <c r="Q54" s="373">
        <v>17</v>
      </c>
      <c r="R54" s="618">
        <v>17</v>
      </c>
      <c r="S54" s="374"/>
      <c r="T54" s="377">
        <v>82</v>
      </c>
      <c r="U54" s="373">
        <v>116</v>
      </c>
      <c r="V54" s="373">
        <v>52</v>
      </c>
      <c r="W54" s="373">
        <v>74</v>
      </c>
      <c r="X54" s="373">
        <v>38</v>
      </c>
      <c r="Y54" s="373">
        <v>28</v>
      </c>
      <c r="Z54" s="373">
        <v>39</v>
      </c>
      <c r="AA54" s="618">
        <v>32</v>
      </c>
      <c r="AB54" s="374"/>
      <c r="AC54" s="377">
        <v>280</v>
      </c>
      <c r="AD54" s="373">
        <v>289</v>
      </c>
      <c r="AE54" s="373">
        <v>174</v>
      </c>
      <c r="AF54" s="373">
        <v>210</v>
      </c>
      <c r="AG54" s="373">
        <v>142</v>
      </c>
      <c r="AH54" s="373">
        <v>155</v>
      </c>
      <c r="AI54" s="373">
        <v>98</v>
      </c>
      <c r="AJ54" s="618">
        <v>141</v>
      </c>
      <c r="AK54" s="374"/>
      <c r="AL54" s="377">
        <v>11</v>
      </c>
      <c r="AM54" s="373">
        <v>10</v>
      </c>
      <c r="AN54" s="373">
        <v>12</v>
      </c>
      <c r="AO54" s="373">
        <v>8</v>
      </c>
      <c r="AP54" s="373">
        <v>7</v>
      </c>
      <c r="AQ54" s="373">
        <v>6</v>
      </c>
      <c r="AR54" s="373">
        <v>9</v>
      </c>
      <c r="AS54" s="618">
        <v>11</v>
      </c>
      <c r="AT54" s="374"/>
      <c r="AU54" s="377"/>
      <c r="AV54" s="373"/>
      <c r="AW54" s="373"/>
      <c r="AX54" s="373"/>
      <c r="AY54" s="373"/>
      <c r="AZ54" s="373"/>
      <c r="BA54" s="373"/>
      <c r="BB54" s="618"/>
      <c r="BC54" s="374"/>
      <c r="BD54" s="377">
        <f t="shared" si="1"/>
        <v>391</v>
      </c>
      <c r="BE54" s="373">
        <f t="shared" si="2"/>
        <v>429</v>
      </c>
      <c r="BF54" s="373">
        <f t="shared" si="3"/>
        <v>248</v>
      </c>
      <c r="BG54" s="373">
        <f t="shared" si="4"/>
        <v>310</v>
      </c>
      <c r="BH54" s="373">
        <f t="shared" si="5"/>
        <v>196</v>
      </c>
      <c r="BI54" s="373">
        <f t="shared" si="6"/>
        <v>202</v>
      </c>
      <c r="BJ54" s="373">
        <f t="shared" si="7"/>
        <v>164</v>
      </c>
      <c r="BK54" s="618">
        <f t="shared" si="8"/>
        <v>201</v>
      </c>
      <c r="BL54" s="374">
        <f t="shared" si="8"/>
        <v>0</v>
      </c>
    </row>
    <row r="55" spans="1:64" x14ac:dyDescent="0.2">
      <c r="A55" s="365" t="s">
        <v>669</v>
      </c>
      <c r="B55" s="377"/>
      <c r="C55" s="373"/>
      <c r="D55" s="373"/>
      <c r="E55" s="373"/>
      <c r="F55" s="373"/>
      <c r="G55" s="373"/>
      <c r="H55" s="373"/>
      <c r="I55" s="618"/>
      <c r="J55" s="374"/>
      <c r="K55" s="377">
        <v>60</v>
      </c>
      <c r="L55" s="373">
        <v>62</v>
      </c>
      <c r="M55" s="373">
        <v>109</v>
      </c>
      <c r="N55" s="373">
        <v>94</v>
      </c>
      <c r="O55" s="373">
        <v>92</v>
      </c>
      <c r="P55" s="373">
        <v>69</v>
      </c>
      <c r="Q55" s="373">
        <v>55</v>
      </c>
      <c r="R55" s="618">
        <v>47</v>
      </c>
      <c r="S55" s="374"/>
      <c r="T55" s="377">
        <v>140</v>
      </c>
      <c r="U55" s="373">
        <v>98</v>
      </c>
      <c r="V55" s="373">
        <v>103</v>
      </c>
      <c r="W55" s="373">
        <v>118</v>
      </c>
      <c r="X55" s="373">
        <v>138</v>
      </c>
      <c r="Y55" s="373">
        <v>107</v>
      </c>
      <c r="Z55" s="373">
        <v>106</v>
      </c>
      <c r="AA55" s="618">
        <v>94</v>
      </c>
      <c r="AB55" s="374"/>
      <c r="AC55" s="377">
        <v>322</v>
      </c>
      <c r="AD55" s="373">
        <v>265</v>
      </c>
      <c r="AE55" s="373">
        <v>247</v>
      </c>
      <c r="AF55" s="373">
        <v>258</v>
      </c>
      <c r="AG55" s="373">
        <v>223</v>
      </c>
      <c r="AH55" s="373">
        <v>240</v>
      </c>
      <c r="AI55" s="373">
        <v>241</v>
      </c>
      <c r="AJ55" s="618">
        <v>159</v>
      </c>
      <c r="AK55" s="374"/>
      <c r="AL55" s="377">
        <v>19</v>
      </c>
      <c r="AM55" s="373">
        <v>16</v>
      </c>
      <c r="AN55" s="373">
        <v>11</v>
      </c>
      <c r="AO55" s="373">
        <v>13</v>
      </c>
      <c r="AP55" s="373">
        <v>15</v>
      </c>
      <c r="AQ55" s="373">
        <v>12</v>
      </c>
      <c r="AR55" s="373">
        <v>16</v>
      </c>
      <c r="AS55" s="618">
        <v>13</v>
      </c>
      <c r="AT55" s="374"/>
      <c r="AU55" s="377"/>
      <c r="AV55" s="373"/>
      <c r="AW55" s="373"/>
      <c r="AX55" s="373"/>
      <c r="AY55" s="373"/>
      <c r="AZ55" s="373"/>
      <c r="BA55" s="373"/>
      <c r="BB55" s="618"/>
      <c r="BC55" s="374"/>
      <c r="BD55" s="377">
        <f t="shared" si="1"/>
        <v>541</v>
      </c>
      <c r="BE55" s="373">
        <f t="shared" si="2"/>
        <v>441</v>
      </c>
      <c r="BF55" s="373">
        <f t="shared" si="3"/>
        <v>470</v>
      </c>
      <c r="BG55" s="373">
        <f t="shared" si="4"/>
        <v>483</v>
      </c>
      <c r="BH55" s="373">
        <f t="shared" si="5"/>
        <v>468</v>
      </c>
      <c r="BI55" s="373">
        <f t="shared" si="6"/>
        <v>428</v>
      </c>
      <c r="BJ55" s="373">
        <f t="shared" si="7"/>
        <v>418</v>
      </c>
      <c r="BK55" s="618">
        <f t="shared" si="8"/>
        <v>313</v>
      </c>
      <c r="BL55" s="374">
        <f t="shared" si="8"/>
        <v>0</v>
      </c>
    </row>
    <row r="56" spans="1:64" x14ac:dyDescent="0.2">
      <c r="A56" s="365" t="s">
        <v>670</v>
      </c>
      <c r="B56" s="377"/>
      <c r="C56" s="373"/>
      <c r="D56" s="373"/>
      <c r="E56" s="373"/>
      <c r="F56" s="373">
        <v>1</v>
      </c>
      <c r="G56" s="373">
        <v>1</v>
      </c>
      <c r="H56" s="373">
        <v>1</v>
      </c>
      <c r="I56" s="618"/>
      <c r="J56" s="374"/>
      <c r="K56" s="377">
        <v>115</v>
      </c>
      <c r="L56" s="373">
        <v>108</v>
      </c>
      <c r="M56" s="373">
        <v>116</v>
      </c>
      <c r="N56" s="373">
        <v>132</v>
      </c>
      <c r="O56" s="373">
        <v>100</v>
      </c>
      <c r="P56" s="373">
        <v>107</v>
      </c>
      <c r="Q56" s="373">
        <v>76</v>
      </c>
      <c r="R56" s="618">
        <v>96</v>
      </c>
      <c r="S56" s="374"/>
      <c r="T56" s="377">
        <v>171</v>
      </c>
      <c r="U56" s="373">
        <v>195</v>
      </c>
      <c r="V56" s="373">
        <v>164</v>
      </c>
      <c r="W56" s="373">
        <v>187</v>
      </c>
      <c r="X56" s="373">
        <v>163</v>
      </c>
      <c r="Y56" s="373">
        <v>171</v>
      </c>
      <c r="Z56" s="373">
        <v>171</v>
      </c>
      <c r="AA56" s="618">
        <v>168</v>
      </c>
      <c r="AB56" s="374"/>
      <c r="AC56" s="377">
        <v>489</v>
      </c>
      <c r="AD56" s="373">
        <v>423</v>
      </c>
      <c r="AE56" s="373">
        <v>408</v>
      </c>
      <c r="AF56" s="373">
        <v>402</v>
      </c>
      <c r="AG56" s="373">
        <v>423</v>
      </c>
      <c r="AH56" s="373">
        <v>395</v>
      </c>
      <c r="AI56" s="373">
        <v>388</v>
      </c>
      <c r="AJ56" s="618">
        <v>386</v>
      </c>
      <c r="AK56" s="374"/>
      <c r="AL56" s="377">
        <v>19</v>
      </c>
      <c r="AM56" s="373">
        <v>25</v>
      </c>
      <c r="AN56" s="373">
        <v>21</v>
      </c>
      <c r="AO56" s="373">
        <v>15</v>
      </c>
      <c r="AP56" s="373">
        <v>24</v>
      </c>
      <c r="AQ56" s="373">
        <v>27</v>
      </c>
      <c r="AR56" s="373">
        <v>17</v>
      </c>
      <c r="AS56" s="618">
        <v>24</v>
      </c>
      <c r="AT56" s="374"/>
      <c r="AU56" s="377"/>
      <c r="AV56" s="373"/>
      <c r="AW56" s="373"/>
      <c r="AX56" s="373"/>
      <c r="AY56" s="373"/>
      <c r="AZ56" s="373"/>
      <c r="BA56" s="373"/>
      <c r="BB56" s="618"/>
      <c r="BC56" s="374"/>
      <c r="BD56" s="377">
        <f t="shared" si="1"/>
        <v>794</v>
      </c>
      <c r="BE56" s="373">
        <f t="shared" si="2"/>
        <v>751</v>
      </c>
      <c r="BF56" s="373">
        <f t="shared" si="3"/>
        <v>709</v>
      </c>
      <c r="BG56" s="373">
        <f t="shared" si="4"/>
        <v>736</v>
      </c>
      <c r="BH56" s="373">
        <f t="shared" si="5"/>
        <v>711</v>
      </c>
      <c r="BI56" s="373">
        <f t="shared" si="6"/>
        <v>701</v>
      </c>
      <c r="BJ56" s="373">
        <f t="shared" si="7"/>
        <v>653</v>
      </c>
      <c r="BK56" s="618">
        <f t="shared" si="8"/>
        <v>674</v>
      </c>
      <c r="BL56" s="374">
        <f t="shared" si="8"/>
        <v>0</v>
      </c>
    </row>
    <row r="57" spans="1:64" x14ac:dyDescent="0.2">
      <c r="A57" s="365" t="s">
        <v>671</v>
      </c>
      <c r="B57" s="377"/>
      <c r="C57" s="373"/>
      <c r="D57" s="373"/>
      <c r="E57" s="373"/>
      <c r="F57" s="373">
        <v>1</v>
      </c>
      <c r="G57" s="373">
        <v>2</v>
      </c>
      <c r="H57" s="373"/>
      <c r="I57" s="618"/>
      <c r="J57" s="374"/>
      <c r="K57" s="377">
        <v>116</v>
      </c>
      <c r="L57" s="373">
        <v>110</v>
      </c>
      <c r="M57" s="373">
        <v>151</v>
      </c>
      <c r="N57" s="373">
        <v>200</v>
      </c>
      <c r="O57" s="373">
        <v>119</v>
      </c>
      <c r="P57" s="373">
        <v>115</v>
      </c>
      <c r="Q57" s="373">
        <v>83</v>
      </c>
      <c r="R57" s="618">
        <v>97</v>
      </c>
      <c r="S57" s="374"/>
      <c r="T57" s="377">
        <v>213</v>
      </c>
      <c r="U57" s="373">
        <v>204</v>
      </c>
      <c r="V57" s="373">
        <v>205</v>
      </c>
      <c r="W57" s="373">
        <v>267</v>
      </c>
      <c r="X57" s="373">
        <v>231</v>
      </c>
      <c r="Y57" s="373">
        <v>235</v>
      </c>
      <c r="Z57" s="373">
        <v>189</v>
      </c>
      <c r="AA57" s="618">
        <v>137</v>
      </c>
      <c r="AB57" s="374"/>
      <c r="AC57" s="377">
        <v>533</v>
      </c>
      <c r="AD57" s="373">
        <v>460</v>
      </c>
      <c r="AE57" s="373">
        <v>475</v>
      </c>
      <c r="AF57" s="373">
        <v>470</v>
      </c>
      <c r="AG57" s="373">
        <v>503</v>
      </c>
      <c r="AH57" s="373">
        <v>451</v>
      </c>
      <c r="AI57" s="373">
        <v>412</v>
      </c>
      <c r="AJ57" s="618">
        <v>392</v>
      </c>
      <c r="AK57" s="374"/>
      <c r="AL57" s="377">
        <v>24</v>
      </c>
      <c r="AM57" s="373">
        <v>27</v>
      </c>
      <c r="AN57" s="373">
        <v>23</v>
      </c>
      <c r="AO57" s="373">
        <v>24</v>
      </c>
      <c r="AP57" s="373">
        <v>34</v>
      </c>
      <c r="AQ57" s="373">
        <v>30</v>
      </c>
      <c r="AR57" s="373">
        <v>24</v>
      </c>
      <c r="AS57" s="618">
        <v>41</v>
      </c>
      <c r="AT57" s="374"/>
      <c r="AU57" s="377"/>
      <c r="AV57" s="373"/>
      <c r="AW57" s="373"/>
      <c r="AX57" s="373"/>
      <c r="AY57" s="373">
        <v>2</v>
      </c>
      <c r="AZ57" s="373"/>
      <c r="BA57" s="373"/>
      <c r="BB57" s="618"/>
      <c r="BC57" s="374"/>
      <c r="BD57" s="377">
        <f t="shared" si="1"/>
        <v>886</v>
      </c>
      <c r="BE57" s="373">
        <f t="shared" si="2"/>
        <v>801</v>
      </c>
      <c r="BF57" s="373">
        <f t="shared" si="3"/>
        <v>854</v>
      </c>
      <c r="BG57" s="373">
        <f t="shared" si="4"/>
        <v>961</v>
      </c>
      <c r="BH57" s="373">
        <f t="shared" si="5"/>
        <v>890</v>
      </c>
      <c r="BI57" s="373">
        <f t="shared" si="6"/>
        <v>833</v>
      </c>
      <c r="BJ57" s="373">
        <f t="shared" si="7"/>
        <v>708</v>
      </c>
      <c r="BK57" s="618">
        <f t="shared" si="8"/>
        <v>667</v>
      </c>
      <c r="BL57" s="374">
        <f t="shared" si="8"/>
        <v>0</v>
      </c>
    </row>
    <row r="58" spans="1:64" x14ac:dyDescent="0.2">
      <c r="A58" s="365" t="s">
        <v>673</v>
      </c>
      <c r="B58" s="377"/>
      <c r="C58" s="373"/>
      <c r="D58" s="373"/>
      <c r="E58" s="373"/>
      <c r="F58" s="373"/>
      <c r="G58" s="373"/>
      <c r="H58" s="373"/>
      <c r="I58" s="618"/>
      <c r="J58" s="374"/>
      <c r="K58" s="377">
        <v>60</v>
      </c>
      <c r="L58" s="373">
        <v>43</v>
      </c>
      <c r="M58" s="373">
        <v>65</v>
      </c>
      <c r="N58" s="373">
        <v>60</v>
      </c>
      <c r="O58" s="373">
        <v>37</v>
      </c>
      <c r="P58" s="373">
        <v>52</v>
      </c>
      <c r="Q58" s="373">
        <v>39</v>
      </c>
      <c r="R58" s="618">
        <v>36</v>
      </c>
      <c r="S58" s="374"/>
      <c r="T58" s="377">
        <v>129</v>
      </c>
      <c r="U58" s="373">
        <v>111</v>
      </c>
      <c r="V58" s="373">
        <v>120</v>
      </c>
      <c r="W58" s="373">
        <v>114</v>
      </c>
      <c r="X58" s="373">
        <v>96</v>
      </c>
      <c r="Y58" s="373">
        <v>91</v>
      </c>
      <c r="Z58" s="373">
        <v>110</v>
      </c>
      <c r="AA58" s="618">
        <v>89</v>
      </c>
      <c r="AB58" s="374"/>
      <c r="AC58" s="377">
        <v>363</v>
      </c>
      <c r="AD58" s="373">
        <v>321</v>
      </c>
      <c r="AE58" s="373">
        <v>281</v>
      </c>
      <c r="AF58" s="373">
        <v>277</v>
      </c>
      <c r="AG58" s="373">
        <v>259</v>
      </c>
      <c r="AH58" s="373">
        <v>304</v>
      </c>
      <c r="AI58" s="373">
        <v>281</v>
      </c>
      <c r="AJ58" s="618">
        <v>228</v>
      </c>
      <c r="AK58" s="374"/>
      <c r="AL58" s="377">
        <v>26</v>
      </c>
      <c r="AM58" s="373">
        <v>21</v>
      </c>
      <c r="AN58" s="373">
        <v>19</v>
      </c>
      <c r="AO58" s="373">
        <v>24</v>
      </c>
      <c r="AP58" s="373">
        <v>27</v>
      </c>
      <c r="AQ58" s="373">
        <v>26</v>
      </c>
      <c r="AR58" s="373">
        <v>17</v>
      </c>
      <c r="AS58" s="618">
        <v>20</v>
      </c>
      <c r="AT58" s="374"/>
      <c r="AU58" s="377"/>
      <c r="AV58" s="373"/>
      <c r="AW58" s="373"/>
      <c r="AX58" s="373"/>
      <c r="AY58" s="373"/>
      <c r="AZ58" s="373"/>
      <c r="BA58" s="373"/>
      <c r="BB58" s="618"/>
      <c r="BC58" s="374"/>
      <c r="BD58" s="377">
        <f t="shared" si="1"/>
        <v>578</v>
      </c>
      <c r="BE58" s="373">
        <f t="shared" si="2"/>
        <v>496</v>
      </c>
      <c r="BF58" s="373">
        <f t="shared" si="3"/>
        <v>485</v>
      </c>
      <c r="BG58" s="373">
        <f t="shared" si="4"/>
        <v>475</v>
      </c>
      <c r="BH58" s="373">
        <f t="shared" si="5"/>
        <v>419</v>
      </c>
      <c r="BI58" s="373">
        <f t="shared" si="6"/>
        <v>473</v>
      </c>
      <c r="BJ58" s="373">
        <f t="shared" si="7"/>
        <v>447</v>
      </c>
      <c r="BK58" s="618">
        <f t="shared" si="8"/>
        <v>373</v>
      </c>
      <c r="BL58" s="374">
        <f t="shared" si="8"/>
        <v>0</v>
      </c>
    </row>
    <row r="59" spans="1:64" x14ac:dyDescent="0.2">
      <c r="A59" s="365" t="s">
        <v>668</v>
      </c>
      <c r="B59" s="377"/>
      <c r="C59" s="373"/>
      <c r="D59" s="373"/>
      <c r="E59" s="373"/>
      <c r="F59" s="373">
        <v>2</v>
      </c>
      <c r="G59" s="373">
        <v>6</v>
      </c>
      <c r="H59" s="373"/>
      <c r="I59" s="618">
        <v>1</v>
      </c>
      <c r="J59" s="374"/>
      <c r="K59" s="377">
        <v>394</v>
      </c>
      <c r="L59" s="373">
        <v>360</v>
      </c>
      <c r="M59" s="373">
        <v>402</v>
      </c>
      <c r="N59" s="373">
        <v>319</v>
      </c>
      <c r="O59" s="373">
        <v>342</v>
      </c>
      <c r="P59" s="373">
        <v>366</v>
      </c>
      <c r="Q59" s="373">
        <v>312</v>
      </c>
      <c r="R59" s="618">
        <v>266</v>
      </c>
      <c r="S59" s="374"/>
      <c r="T59" s="377">
        <v>952</v>
      </c>
      <c r="U59" s="373">
        <v>678</v>
      </c>
      <c r="V59" s="373">
        <v>739</v>
      </c>
      <c r="W59" s="373">
        <v>643</v>
      </c>
      <c r="X59" s="373">
        <v>721</v>
      </c>
      <c r="Y59" s="373">
        <v>598</v>
      </c>
      <c r="Z59" s="373">
        <v>527</v>
      </c>
      <c r="AA59" s="618">
        <v>531</v>
      </c>
      <c r="AB59" s="374"/>
      <c r="AC59" s="377">
        <v>2228</v>
      </c>
      <c r="AD59" s="373">
        <v>1876</v>
      </c>
      <c r="AE59" s="373">
        <v>1901</v>
      </c>
      <c r="AF59" s="373">
        <v>1697</v>
      </c>
      <c r="AG59" s="373">
        <v>1736</v>
      </c>
      <c r="AH59" s="373">
        <v>1599</v>
      </c>
      <c r="AI59" s="373">
        <v>1261</v>
      </c>
      <c r="AJ59" s="618">
        <v>1427</v>
      </c>
      <c r="AK59" s="374"/>
      <c r="AL59" s="377">
        <v>76</v>
      </c>
      <c r="AM59" s="373">
        <v>90</v>
      </c>
      <c r="AN59" s="373">
        <v>115</v>
      </c>
      <c r="AO59" s="373">
        <v>100</v>
      </c>
      <c r="AP59" s="373">
        <v>118</v>
      </c>
      <c r="AQ59" s="373">
        <v>140</v>
      </c>
      <c r="AR59" s="373">
        <v>103</v>
      </c>
      <c r="AS59" s="618">
        <v>111</v>
      </c>
      <c r="AT59" s="374"/>
      <c r="AU59" s="377"/>
      <c r="AV59" s="373"/>
      <c r="AW59" s="373"/>
      <c r="AX59" s="373"/>
      <c r="AY59" s="373">
        <v>2</v>
      </c>
      <c r="AZ59" s="373"/>
      <c r="BA59" s="373"/>
      <c r="BB59" s="618"/>
      <c r="BC59" s="374"/>
      <c r="BD59" s="377">
        <f t="shared" si="1"/>
        <v>3650</v>
      </c>
      <c r="BE59" s="373">
        <f t="shared" si="2"/>
        <v>3004</v>
      </c>
      <c r="BF59" s="373">
        <f t="shared" si="3"/>
        <v>3157</v>
      </c>
      <c r="BG59" s="373">
        <f t="shared" si="4"/>
        <v>2759</v>
      </c>
      <c r="BH59" s="373">
        <f t="shared" si="5"/>
        <v>2921</v>
      </c>
      <c r="BI59" s="373">
        <f t="shared" si="6"/>
        <v>2709</v>
      </c>
      <c r="BJ59" s="373">
        <f t="shared" si="7"/>
        <v>2203</v>
      </c>
      <c r="BK59" s="618">
        <f t="shared" si="8"/>
        <v>2336</v>
      </c>
      <c r="BL59" s="374">
        <f t="shared" si="8"/>
        <v>0</v>
      </c>
    </row>
    <row r="60" spans="1:64" x14ac:dyDescent="0.2">
      <c r="A60" s="365" t="s">
        <v>674</v>
      </c>
      <c r="B60" s="377"/>
      <c r="C60" s="373"/>
      <c r="D60" s="373"/>
      <c r="E60" s="373"/>
      <c r="F60" s="373"/>
      <c r="G60" s="373"/>
      <c r="H60" s="373">
        <v>1</v>
      </c>
      <c r="I60" s="618">
        <v>1</v>
      </c>
      <c r="J60" s="374"/>
      <c r="K60" s="377">
        <v>133</v>
      </c>
      <c r="L60" s="373">
        <v>121</v>
      </c>
      <c r="M60" s="373">
        <v>138</v>
      </c>
      <c r="N60" s="373">
        <v>199</v>
      </c>
      <c r="O60" s="373">
        <v>139</v>
      </c>
      <c r="P60" s="373">
        <v>143</v>
      </c>
      <c r="Q60" s="373">
        <v>136</v>
      </c>
      <c r="R60" s="618">
        <v>126</v>
      </c>
      <c r="S60" s="374"/>
      <c r="T60" s="377">
        <v>262</v>
      </c>
      <c r="U60" s="373">
        <v>261</v>
      </c>
      <c r="V60" s="373">
        <v>257</v>
      </c>
      <c r="W60" s="373">
        <v>326</v>
      </c>
      <c r="X60" s="373">
        <v>304</v>
      </c>
      <c r="Y60" s="373">
        <v>235</v>
      </c>
      <c r="Z60" s="373">
        <v>244</v>
      </c>
      <c r="AA60" s="618">
        <v>269</v>
      </c>
      <c r="AB60" s="374"/>
      <c r="AC60" s="377">
        <v>744</v>
      </c>
      <c r="AD60" s="373">
        <v>655</v>
      </c>
      <c r="AE60" s="373">
        <v>609</v>
      </c>
      <c r="AF60" s="373">
        <v>584</v>
      </c>
      <c r="AG60" s="373">
        <v>674</v>
      </c>
      <c r="AH60" s="373">
        <v>542</v>
      </c>
      <c r="AI60" s="373">
        <v>550</v>
      </c>
      <c r="AJ60" s="618">
        <v>562</v>
      </c>
      <c r="AK60" s="374"/>
      <c r="AL60" s="377">
        <v>25</v>
      </c>
      <c r="AM60" s="373">
        <v>24</v>
      </c>
      <c r="AN60" s="373">
        <v>35</v>
      </c>
      <c r="AO60" s="373">
        <v>23</v>
      </c>
      <c r="AP60" s="373">
        <v>43</v>
      </c>
      <c r="AQ60" s="373">
        <v>38</v>
      </c>
      <c r="AR60" s="373">
        <v>38</v>
      </c>
      <c r="AS60" s="618">
        <v>31</v>
      </c>
      <c r="AT60" s="374"/>
      <c r="AU60" s="377"/>
      <c r="AV60" s="373"/>
      <c r="AW60" s="373"/>
      <c r="AX60" s="373"/>
      <c r="AY60" s="373"/>
      <c r="AZ60" s="373"/>
      <c r="BA60" s="373"/>
      <c r="BB60" s="618"/>
      <c r="BC60" s="374"/>
      <c r="BD60" s="377">
        <f t="shared" si="1"/>
        <v>1164</v>
      </c>
      <c r="BE60" s="373">
        <f t="shared" si="2"/>
        <v>1061</v>
      </c>
      <c r="BF60" s="373">
        <f t="shared" si="3"/>
        <v>1039</v>
      </c>
      <c r="BG60" s="373">
        <f t="shared" si="4"/>
        <v>1132</v>
      </c>
      <c r="BH60" s="373">
        <f t="shared" si="5"/>
        <v>1160</v>
      </c>
      <c r="BI60" s="373">
        <f t="shared" si="6"/>
        <v>958</v>
      </c>
      <c r="BJ60" s="373">
        <f t="shared" si="7"/>
        <v>969</v>
      </c>
      <c r="BK60" s="618">
        <f t="shared" si="8"/>
        <v>989</v>
      </c>
      <c r="BL60" s="374">
        <f t="shared" si="8"/>
        <v>0</v>
      </c>
    </row>
    <row r="61" spans="1:64" x14ac:dyDescent="0.2">
      <c r="A61" s="365" t="s">
        <v>677</v>
      </c>
      <c r="B61" s="377"/>
      <c r="C61" s="373"/>
      <c r="D61" s="373"/>
      <c r="E61" s="373"/>
      <c r="F61" s="373"/>
      <c r="G61" s="373"/>
      <c r="H61" s="373"/>
      <c r="I61" s="618"/>
      <c r="J61" s="374"/>
      <c r="K61" s="377">
        <v>31</v>
      </c>
      <c r="L61" s="373">
        <v>31</v>
      </c>
      <c r="M61" s="373">
        <v>47</v>
      </c>
      <c r="N61" s="373">
        <v>47</v>
      </c>
      <c r="O61" s="373">
        <v>65</v>
      </c>
      <c r="P61" s="373">
        <v>27</v>
      </c>
      <c r="Q61" s="373">
        <v>13</v>
      </c>
      <c r="R61" s="618">
        <v>19</v>
      </c>
      <c r="S61" s="374"/>
      <c r="T61" s="377">
        <v>96</v>
      </c>
      <c r="U61" s="373">
        <v>75</v>
      </c>
      <c r="V61" s="373">
        <v>75</v>
      </c>
      <c r="W61" s="373">
        <v>44</v>
      </c>
      <c r="X61" s="373">
        <v>46</v>
      </c>
      <c r="Y61" s="373">
        <v>57</v>
      </c>
      <c r="Z61" s="373">
        <v>56</v>
      </c>
      <c r="AA61" s="618">
        <v>51</v>
      </c>
      <c r="AB61" s="374"/>
      <c r="AC61" s="377">
        <v>188</v>
      </c>
      <c r="AD61" s="373">
        <v>194</v>
      </c>
      <c r="AE61" s="373">
        <v>175</v>
      </c>
      <c r="AF61" s="373">
        <v>110</v>
      </c>
      <c r="AG61" s="373">
        <v>143</v>
      </c>
      <c r="AH61" s="373">
        <v>97</v>
      </c>
      <c r="AI61" s="373">
        <v>121</v>
      </c>
      <c r="AJ61" s="618">
        <v>110</v>
      </c>
      <c r="AK61" s="374"/>
      <c r="AL61" s="377">
        <v>6</v>
      </c>
      <c r="AM61" s="373">
        <v>13</v>
      </c>
      <c r="AN61" s="373">
        <v>13</v>
      </c>
      <c r="AO61" s="373">
        <v>7</v>
      </c>
      <c r="AP61" s="373">
        <v>14</v>
      </c>
      <c r="AQ61" s="373">
        <v>11</v>
      </c>
      <c r="AR61" s="373">
        <v>17</v>
      </c>
      <c r="AS61" s="618">
        <v>13</v>
      </c>
      <c r="AT61" s="374"/>
      <c r="AU61" s="377"/>
      <c r="AV61" s="373"/>
      <c r="AW61" s="373"/>
      <c r="AX61" s="373"/>
      <c r="AY61" s="373"/>
      <c r="AZ61" s="373"/>
      <c r="BA61" s="373"/>
      <c r="BB61" s="618"/>
      <c r="BC61" s="374"/>
      <c r="BD61" s="377">
        <f t="shared" si="1"/>
        <v>321</v>
      </c>
      <c r="BE61" s="373">
        <f t="shared" si="2"/>
        <v>313</v>
      </c>
      <c r="BF61" s="373">
        <f t="shared" si="3"/>
        <v>310</v>
      </c>
      <c r="BG61" s="373">
        <f t="shared" si="4"/>
        <v>208</v>
      </c>
      <c r="BH61" s="373">
        <f t="shared" si="5"/>
        <v>268</v>
      </c>
      <c r="BI61" s="373">
        <f t="shared" si="6"/>
        <v>192</v>
      </c>
      <c r="BJ61" s="373">
        <f t="shared" si="7"/>
        <v>207</v>
      </c>
      <c r="BK61" s="618">
        <f t="shared" si="8"/>
        <v>193</v>
      </c>
      <c r="BL61" s="374">
        <f t="shared" si="8"/>
        <v>0</v>
      </c>
    </row>
    <row r="62" spans="1:64" x14ac:dyDescent="0.2">
      <c r="A62" s="365" t="s">
        <v>675</v>
      </c>
      <c r="B62" s="377"/>
      <c r="C62" s="373"/>
      <c r="D62" s="373"/>
      <c r="E62" s="373"/>
      <c r="F62" s="373"/>
      <c r="G62" s="373"/>
      <c r="H62" s="373"/>
      <c r="I62" s="618"/>
      <c r="J62" s="374"/>
      <c r="K62" s="377">
        <v>59</v>
      </c>
      <c r="L62" s="373">
        <v>73</v>
      </c>
      <c r="M62" s="373">
        <v>60</v>
      </c>
      <c r="N62" s="373">
        <v>47</v>
      </c>
      <c r="O62" s="373">
        <v>64</v>
      </c>
      <c r="P62" s="373">
        <v>40</v>
      </c>
      <c r="Q62" s="373">
        <v>38</v>
      </c>
      <c r="R62" s="618">
        <v>30</v>
      </c>
      <c r="S62" s="374"/>
      <c r="T62" s="377">
        <v>108</v>
      </c>
      <c r="U62" s="373">
        <v>114</v>
      </c>
      <c r="V62" s="373">
        <v>118</v>
      </c>
      <c r="W62" s="373">
        <v>110</v>
      </c>
      <c r="X62" s="373">
        <v>143</v>
      </c>
      <c r="Y62" s="373">
        <v>86</v>
      </c>
      <c r="Z62" s="373">
        <v>103</v>
      </c>
      <c r="AA62" s="618">
        <v>83</v>
      </c>
      <c r="AB62" s="374"/>
      <c r="AC62" s="377">
        <v>293</v>
      </c>
      <c r="AD62" s="373">
        <v>239</v>
      </c>
      <c r="AE62" s="373">
        <v>250</v>
      </c>
      <c r="AF62" s="373">
        <v>199</v>
      </c>
      <c r="AG62" s="373">
        <v>287</v>
      </c>
      <c r="AH62" s="373">
        <v>189</v>
      </c>
      <c r="AI62" s="373">
        <v>291</v>
      </c>
      <c r="AJ62" s="618">
        <v>208</v>
      </c>
      <c r="AK62" s="374"/>
      <c r="AL62" s="377">
        <v>10</v>
      </c>
      <c r="AM62" s="373">
        <v>12</v>
      </c>
      <c r="AN62" s="373">
        <v>11</v>
      </c>
      <c r="AO62" s="373">
        <v>9</v>
      </c>
      <c r="AP62" s="373">
        <v>7</v>
      </c>
      <c r="AQ62" s="373">
        <v>13</v>
      </c>
      <c r="AR62" s="373">
        <v>30</v>
      </c>
      <c r="AS62" s="618">
        <v>11</v>
      </c>
      <c r="AT62" s="374"/>
      <c r="AU62" s="377"/>
      <c r="AV62" s="373"/>
      <c r="AW62" s="373"/>
      <c r="AX62" s="373"/>
      <c r="AY62" s="373">
        <v>1</v>
      </c>
      <c r="AZ62" s="373"/>
      <c r="BA62" s="373"/>
      <c r="BB62" s="618"/>
      <c r="BC62" s="374"/>
      <c r="BD62" s="377">
        <f t="shared" si="1"/>
        <v>470</v>
      </c>
      <c r="BE62" s="373">
        <f t="shared" si="2"/>
        <v>438</v>
      </c>
      <c r="BF62" s="373">
        <f t="shared" si="3"/>
        <v>439</v>
      </c>
      <c r="BG62" s="373">
        <f t="shared" si="4"/>
        <v>365</v>
      </c>
      <c r="BH62" s="373">
        <f t="shared" si="5"/>
        <v>502</v>
      </c>
      <c r="BI62" s="373">
        <f t="shared" si="6"/>
        <v>328</v>
      </c>
      <c r="BJ62" s="373">
        <f t="shared" si="7"/>
        <v>462</v>
      </c>
      <c r="BK62" s="618">
        <f t="shared" si="8"/>
        <v>332</v>
      </c>
      <c r="BL62" s="374">
        <f t="shared" si="8"/>
        <v>0</v>
      </c>
    </row>
    <row r="63" spans="1:64" x14ac:dyDescent="0.2">
      <c r="A63" s="365" t="s">
        <v>676</v>
      </c>
      <c r="B63" s="377"/>
      <c r="C63" s="373"/>
      <c r="D63" s="373"/>
      <c r="E63" s="373"/>
      <c r="F63" s="373"/>
      <c r="G63" s="373">
        <v>2</v>
      </c>
      <c r="H63" s="373"/>
      <c r="I63" s="618">
        <v>1</v>
      </c>
      <c r="J63" s="374"/>
      <c r="K63" s="377">
        <v>120</v>
      </c>
      <c r="L63" s="373">
        <v>68</v>
      </c>
      <c r="M63" s="373">
        <v>105</v>
      </c>
      <c r="N63" s="373">
        <v>82</v>
      </c>
      <c r="O63" s="373">
        <v>79</v>
      </c>
      <c r="P63" s="373">
        <v>74</v>
      </c>
      <c r="Q63" s="373">
        <v>79</v>
      </c>
      <c r="R63" s="618">
        <v>62</v>
      </c>
      <c r="S63" s="374"/>
      <c r="T63" s="377">
        <v>150</v>
      </c>
      <c r="U63" s="373">
        <v>168</v>
      </c>
      <c r="V63" s="373">
        <v>160</v>
      </c>
      <c r="W63" s="373">
        <v>151</v>
      </c>
      <c r="X63" s="373">
        <v>120</v>
      </c>
      <c r="Y63" s="373">
        <v>130</v>
      </c>
      <c r="Z63" s="373">
        <v>128</v>
      </c>
      <c r="AA63" s="618">
        <v>113</v>
      </c>
      <c r="AB63" s="374"/>
      <c r="AC63" s="377">
        <v>383</v>
      </c>
      <c r="AD63" s="373">
        <v>378</v>
      </c>
      <c r="AE63" s="373">
        <v>401</v>
      </c>
      <c r="AF63" s="373">
        <v>336</v>
      </c>
      <c r="AG63" s="373">
        <v>320</v>
      </c>
      <c r="AH63" s="373">
        <v>327</v>
      </c>
      <c r="AI63" s="373">
        <v>302</v>
      </c>
      <c r="AJ63" s="618">
        <v>281</v>
      </c>
      <c r="AK63" s="374"/>
      <c r="AL63" s="377">
        <v>17</v>
      </c>
      <c r="AM63" s="373">
        <v>26</v>
      </c>
      <c r="AN63" s="373">
        <v>20</v>
      </c>
      <c r="AO63" s="373">
        <v>27</v>
      </c>
      <c r="AP63" s="373">
        <v>22</v>
      </c>
      <c r="AQ63" s="373">
        <v>19</v>
      </c>
      <c r="AR63" s="373">
        <v>23</v>
      </c>
      <c r="AS63" s="618">
        <v>14</v>
      </c>
      <c r="AT63" s="374"/>
      <c r="AU63" s="377"/>
      <c r="AV63" s="373"/>
      <c r="AW63" s="373"/>
      <c r="AX63" s="373"/>
      <c r="AY63" s="373"/>
      <c r="AZ63" s="373"/>
      <c r="BA63" s="373"/>
      <c r="BB63" s="618"/>
      <c r="BC63" s="374"/>
      <c r="BD63" s="377">
        <f t="shared" si="1"/>
        <v>670</v>
      </c>
      <c r="BE63" s="373">
        <f t="shared" si="2"/>
        <v>640</v>
      </c>
      <c r="BF63" s="373">
        <f t="shared" si="3"/>
        <v>686</v>
      </c>
      <c r="BG63" s="373">
        <f t="shared" si="4"/>
        <v>596</v>
      </c>
      <c r="BH63" s="373">
        <f t="shared" si="5"/>
        <v>541</v>
      </c>
      <c r="BI63" s="373">
        <f t="shared" si="6"/>
        <v>552</v>
      </c>
      <c r="BJ63" s="373">
        <f t="shared" si="7"/>
        <v>532</v>
      </c>
      <c r="BK63" s="618">
        <f t="shared" si="8"/>
        <v>471</v>
      </c>
      <c r="BL63" s="374">
        <f t="shared" si="8"/>
        <v>0</v>
      </c>
    </row>
    <row r="64" spans="1:64" ht="13.5" thickBot="1" x14ac:dyDescent="0.25">
      <c r="A64" s="366" t="s">
        <v>672</v>
      </c>
      <c r="B64" s="378"/>
      <c r="C64" s="375"/>
      <c r="D64" s="375"/>
      <c r="E64" s="375"/>
      <c r="F64" s="375"/>
      <c r="G64" s="375"/>
      <c r="H64" s="375"/>
      <c r="I64" s="619"/>
      <c r="J64" s="376"/>
      <c r="K64" s="378">
        <v>74</v>
      </c>
      <c r="L64" s="375">
        <v>41</v>
      </c>
      <c r="M64" s="375">
        <v>54</v>
      </c>
      <c r="N64" s="375">
        <v>74</v>
      </c>
      <c r="O64" s="375">
        <v>88</v>
      </c>
      <c r="P64" s="375">
        <v>79</v>
      </c>
      <c r="Q64" s="375">
        <v>61</v>
      </c>
      <c r="R64" s="619">
        <v>54</v>
      </c>
      <c r="S64" s="376"/>
      <c r="T64" s="378">
        <v>147</v>
      </c>
      <c r="U64" s="375">
        <v>125</v>
      </c>
      <c r="V64" s="375">
        <v>127</v>
      </c>
      <c r="W64" s="375">
        <v>154</v>
      </c>
      <c r="X64" s="375">
        <v>170</v>
      </c>
      <c r="Y64" s="375">
        <v>147</v>
      </c>
      <c r="Z64" s="375">
        <v>128</v>
      </c>
      <c r="AA64" s="619">
        <v>110</v>
      </c>
      <c r="AB64" s="376"/>
      <c r="AC64" s="378">
        <v>352</v>
      </c>
      <c r="AD64" s="375">
        <v>285</v>
      </c>
      <c r="AE64" s="375">
        <v>310</v>
      </c>
      <c r="AF64" s="375">
        <v>330</v>
      </c>
      <c r="AG64" s="375">
        <v>334</v>
      </c>
      <c r="AH64" s="375">
        <v>356</v>
      </c>
      <c r="AI64" s="375">
        <v>301</v>
      </c>
      <c r="AJ64" s="619">
        <v>305</v>
      </c>
      <c r="AK64" s="376"/>
      <c r="AL64" s="378">
        <v>9</v>
      </c>
      <c r="AM64" s="375">
        <v>12</v>
      </c>
      <c r="AN64" s="375">
        <v>15</v>
      </c>
      <c r="AO64" s="375">
        <v>12</v>
      </c>
      <c r="AP64" s="375">
        <v>10</v>
      </c>
      <c r="AQ64" s="375">
        <v>28</v>
      </c>
      <c r="AR64" s="375">
        <v>26</v>
      </c>
      <c r="AS64" s="619">
        <v>24</v>
      </c>
      <c r="AT64" s="376"/>
      <c r="AU64" s="378"/>
      <c r="AV64" s="375"/>
      <c r="AW64" s="375"/>
      <c r="AX64" s="375"/>
      <c r="AY64" s="375"/>
      <c r="AZ64" s="375"/>
      <c r="BA64" s="375"/>
      <c r="BB64" s="619"/>
      <c r="BC64" s="376"/>
      <c r="BD64" s="378">
        <f t="shared" si="1"/>
        <v>582</v>
      </c>
      <c r="BE64" s="375">
        <f t="shared" si="2"/>
        <v>463</v>
      </c>
      <c r="BF64" s="375">
        <f t="shared" si="3"/>
        <v>506</v>
      </c>
      <c r="BG64" s="375">
        <f t="shared" si="4"/>
        <v>570</v>
      </c>
      <c r="BH64" s="375">
        <f t="shared" si="5"/>
        <v>602</v>
      </c>
      <c r="BI64" s="375">
        <f t="shared" si="6"/>
        <v>610</v>
      </c>
      <c r="BJ64" s="375">
        <f t="shared" si="7"/>
        <v>516</v>
      </c>
      <c r="BK64" s="619">
        <f t="shared" si="8"/>
        <v>493</v>
      </c>
      <c r="BL64" s="376">
        <f t="shared" si="8"/>
        <v>0</v>
      </c>
    </row>
    <row r="65" spans="1:64" s="264" customFormat="1" x14ac:dyDescent="0.2">
      <c r="A65" s="364" t="s">
        <v>781</v>
      </c>
      <c r="B65" s="379"/>
      <c r="C65" s="380"/>
      <c r="D65" s="380"/>
      <c r="E65" s="380"/>
      <c r="F65" s="380"/>
      <c r="G65" s="380"/>
      <c r="H65" s="380">
        <v>2</v>
      </c>
      <c r="I65" s="617"/>
      <c r="J65" s="381"/>
      <c r="K65" s="379">
        <v>486</v>
      </c>
      <c r="L65" s="380">
        <v>483</v>
      </c>
      <c r="M65" s="380">
        <v>525</v>
      </c>
      <c r="N65" s="380">
        <v>521</v>
      </c>
      <c r="O65" s="380">
        <v>303</v>
      </c>
      <c r="P65" s="380">
        <v>319</v>
      </c>
      <c r="Q65" s="380">
        <v>630</v>
      </c>
      <c r="R65" s="617">
        <v>213</v>
      </c>
      <c r="S65" s="381"/>
      <c r="T65" s="379">
        <v>1042</v>
      </c>
      <c r="U65" s="380">
        <v>1153</v>
      </c>
      <c r="V65" s="380">
        <v>1073</v>
      </c>
      <c r="W65" s="380">
        <v>1025</v>
      </c>
      <c r="X65" s="380">
        <v>856</v>
      </c>
      <c r="Y65" s="380">
        <v>1104</v>
      </c>
      <c r="Z65" s="380">
        <v>1604</v>
      </c>
      <c r="AA65" s="617">
        <v>596</v>
      </c>
      <c r="AB65" s="381"/>
      <c r="AC65" s="379">
        <v>3204</v>
      </c>
      <c r="AD65" s="380">
        <v>3151</v>
      </c>
      <c r="AE65" s="380">
        <v>2762</v>
      </c>
      <c r="AF65" s="380">
        <v>2810</v>
      </c>
      <c r="AG65" s="380">
        <v>2736</v>
      </c>
      <c r="AH65" s="380">
        <v>3005</v>
      </c>
      <c r="AI65" s="380">
        <v>3246</v>
      </c>
      <c r="AJ65" s="617">
        <v>2158</v>
      </c>
      <c r="AK65" s="381"/>
      <c r="AL65" s="379">
        <v>167</v>
      </c>
      <c r="AM65" s="380">
        <v>202</v>
      </c>
      <c r="AN65" s="380">
        <v>169</v>
      </c>
      <c r="AO65" s="380">
        <v>158</v>
      </c>
      <c r="AP65" s="380">
        <v>198</v>
      </c>
      <c r="AQ65" s="380">
        <v>227</v>
      </c>
      <c r="AR65" s="380">
        <v>223</v>
      </c>
      <c r="AS65" s="617">
        <v>214</v>
      </c>
      <c r="AT65" s="381"/>
      <c r="AU65" s="379"/>
      <c r="AV65" s="380"/>
      <c r="AW65" s="380"/>
      <c r="AX65" s="380"/>
      <c r="AY65" s="380">
        <v>3</v>
      </c>
      <c r="AZ65" s="380"/>
      <c r="BA65" s="380"/>
      <c r="BB65" s="617"/>
      <c r="BC65" s="381"/>
      <c r="BD65" s="379">
        <f t="shared" si="1"/>
        <v>4899</v>
      </c>
      <c r="BE65" s="380">
        <f t="shared" si="2"/>
        <v>4989</v>
      </c>
      <c r="BF65" s="380">
        <f t="shared" si="3"/>
        <v>4529</v>
      </c>
      <c r="BG65" s="380">
        <f t="shared" si="4"/>
        <v>4514</v>
      </c>
      <c r="BH65" s="380">
        <f t="shared" si="5"/>
        <v>4096</v>
      </c>
      <c r="BI65" s="380">
        <f t="shared" si="6"/>
        <v>4655</v>
      </c>
      <c r="BJ65" s="380">
        <f t="shared" si="7"/>
        <v>5705</v>
      </c>
      <c r="BK65" s="617">
        <f t="shared" si="8"/>
        <v>3181</v>
      </c>
      <c r="BL65" s="381">
        <f t="shared" si="8"/>
        <v>0</v>
      </c>
    </row>
    <row r="66" spans="1:64" x14ac:dyDescent="0.2">
      <c r="A66" s="365" t="s">
        <v>813</v>
      </c>
      <c r="B66" s="377"/>
      <c r="C66" s="373"/>
      <c r="D66" s="373"/>
      <c r="E66" s="373"/>
      <c r="F66" s="373"/>
      <c r="G66" s="373"/>
      <c r="H66" s="373"/>
      <c r="I66" s="618"/>
      <c r="J66" s="374"/>
      <c r="K66" s="377">
        <v>9</v>
      </c>
      <c r="L66" s="373">
        <v>16</v>
      </c>
      <c r="M66" s="373">
        <v>95</v>
      </c>
      <c r="N66" s="373">
        <v>23</v>
      </c>
      <c r="O66" s="373">
        <v>6</v>
      </c>
      <c r="P66" s="373">
        <v>8</v>
      </c>
      <c r="Q66" s="373">
        <v>4</v>
      </c>
      <c r="R66" s="618"/>
      <c r="S66" s="374"/>
      <c r="T66" s="377">
        <v>62</v>
      </c>
      <c r="U66" s="373">
        <v>114</v>
      </c>
      <c r="V66" s="373">
        <v>151</v>
      </c>
      <c r="W66" s="373">
        <v>77</v>
      </c>
      <c r="X66" s="373">
        <v>59</v>
      </c>
      <c r="Y66" s="373">
        <v>64</v>
      </c>
      <c r="Z66" s="373">
        <v>37</v>
      </c>
      <c r="AA66" s="618">
        <v>18</v>
      </c>
      <c r="AB66" s="374"/>
      <c r="AC66" s="377">
        <v>223</v>
      </c>
      <c r="AD66" s="373">
        <v>268</v>
      </c>
      <c r="AE66" s="373">
        <v>358</v>
      </c>
      <c r="AF66" s="373">
        <v>256</v>
      </c>
      <c r="AG66" s="373">
        <v>281</v>
      </c>
      <c r="AH66" s="373">
        <v>291</v>
      </c>
      <c r="AI66" s="373">
        <v>153</v>
      </c>
      <c r="AJ66" s="618">
        <v>127</v>
      </c>
      <c r="AK66" s="374"/>
      <c r="AL66" s="377">
        <v>6</v>
      </c>
      <c r="AM66" s="373">
        <v>4</v>
      </c>
      <c r="AN66" s="373">
        <v>14</v>
      </c>
      <c r="AO66" s="373">
        <v>12</v>
      </c>
      <c r="AP66" s="373">
        <v>12</v>
      </c>
      <c r="AQ66" s="373">
        <v>16</v>
      </c>
      <c r="AR66" s="373">
        <v>4</v>
      </c>
      <c r="AS66" s="618">
        <v>7</v>
      </c>
      <c r="AT66" s="374"/>
      <c r="AU66" s="377"/>
      <c r="AV66" s="373"/>
      <c r="AW66" s="373"/>
      <c r="AX66" s="373"/>
      <c r="AY66" s="373"/>
      <c r="AZ66" s="373"/>
      <c r="BA66" s="373"/>
      <c r="BB66" s="618"/>
      <c r="BC66" s="374"/>
      <c r="BD66" s="377">
        <f t="shared" si="1"/>
        <v>300</v>
      </c>
      <c r="BE66" s="373">
        <f t="shared" si="2"/>
        <v>402</v>
      </c>
      <c r="BF66" s="373">
        <f t="shared" si="3"/>
        <v>618</v>
      </c>
      <c r="BG66" s="373">
        <f t="shared" si="4"/>
        <v>368</v>
      </c>
      <c r="BH66" s="373">
        <f t="shared" si="5"/>
        <v>358</v>
      </c>
      <c r="BI66" s="373">
        <f t="shared" si="6"/>
        <v>379</v>
      </c>
      <c r="BJ66" s="373">
        <f t="shared" si="7"/>
        <v>198</v>
      </c>
      <c r="BK66" s="618">
        <f t="shared" si="8"/>
        <v>152</v>
      </c>
      <c r="BL66" s="374">
        <f t="shared" si="8"/>
        <v>0</v>
      </c>
    </row>
    <row r="67" spans="1:64" x14ac:dyDescent="0.2">
      <c r="A67" s="365" t="s">
        <v>679</v>
      </c>
      <c r="B67" s="377"/>
      <c r="C67" s="373"/>
      <c r="D67" s="373"/>
      <c r="E67" s="373"/>
      <c r="F67" s="373"/>
      <c r="G67" s="373"/>
      <c r="H67" s="373"/>
      <c r="I67" s="618"/>
      <c r="J67" s="374"/>
      <c r="K67" s="377">
        <v>33</v>
      </c>
      <c r="L67" s="373">
        <v>34</v>
      </c>
      <c r="M67" s="373">
        <v>34</v>
      </c>
      <c r="N67" s="373">
        <v>29</v>
      </c>
      <c r="O67" s="373">
        <v>19</v>
      </c>
      <c r="P67" s="373">
        <v>13</v>
      </c>
      <c r="Q67" s="373">
        <v>13</v>
      </c>
      <c r="R67" s="618">
        <v>12</v>
      </c>
      <c r="S67" s="374"/>
      <c r="T67" s="377">
        <v>50</v>
      </c>
      <c r="U67" s="373">
        <v>48</v>
      </c>
      <c r="V67" s="373">
        <v>52</v>
      </c>
      <c r="W67" s="373">
        <v>54</v>
      </c>
      <c r="X67" s="373">
        <v>52</v>
      </c>
      <c r="Y67" s="373">
        <v>54</v>
      </c>
      <c r="Z67" s="373">
        <v>47</v>
      </c>
      <c r="AA67" s="618">
        <v>35</v>
      </c>
      <c r="AB67" s="374"/>
      <c r="AC67" s="377">
        <v>187</v>
      </c>
      <c r="AD67" s="373">
        <v>170</v>
      </c>
      <c r="AE67" s="373">
        <v>131</v>
      </c>
      <c r="AF67" s="373">
        <v>169</v>
      </c>
      <c r="AG67" s="373">
        <v>129</v>
      </c>
      <c r="AH67" s="373">
        <v>136</v>
      </c>
      <c r="AI67" s="373">
        <v>110</v>
      </c>
      <c r="AJ67" s="618">
        <v>117</v>
      </c>
      <c r="AK67" s="374"/>
      <c r="AL67" s="377">
        <v>7</v>
      </c>
      <c r="AM67" s="373">
        <v>14</v>
      </c>
      <c r="AN67" s="373">
        <v>8</v>
      </c>
      <c r="AO67" s="373">
        <v>10</v>
      </c>
      <c r="AP67" s="373">
        <v>11</v>
      </c>
      <c r="AQ67" s="373">
        <v>17</v>
      </c>
      <c r="AR67" s="373">
        <v>17</v>
      </c>
      <c r="AS67" s="618">
        <v>20</v>
      </c>
      <c r="AT67" s="374"/>
      <c r="AU67" s="377"/>
      <c r="AV67" s="373"/>
      <c r="AW67" s="373"/>
      <c r="AX67" s="373"/>
      <c r="AY67" s="373"/>
      <c r="AZ67" s="373"/>
      <c r="BA67" s="373"/>
      <c r="BB67" s="618"/>
      <c r="BC67" s="374"/>
      <c r="BD67" s="377">
        <f t="shared" si="1"/>
        <v>277</v>
      </c>
      <c r="BE67" s="373">
        <f t="shared" si="2"/>
        <v>266</v>
      </c>
      <c r="BF67" s="373">
        <f t="shared" si="3"/>
        <v>225</v>
      </c>
      <c r="BG67" s="373">
        <f t="shared" si="4"/>
        <v>262</v>
      </c>
      <c r="BH67" s="373">
        <f t="shared" si="5"/>
        <v>211</v>
      </c>
      <c r="BI67" s="373">
        <f t="shared" si="6"/>
        <v>220</v>
      </c>
      <c r="BJ67" s="373">
        <f t="shared" si="7"/>
        <v>187</v>
      </c>
      <c r="BK67" s="618">
        <f t="shared" si="8"/>
        <v>184</v>
      </c>
      <c r="BL67" s="374">
        <f t="shared" si="8"/>
        <v>0</v>
      </c>
    </row>
    <row r="68" spans="1:64" x14ac:dyDescent="0.2">
      <c r="A68" s="365" t="s">
        <v>680</v>
      </c>
      <c r="B68" s="377"/>
      <c r="C68" s="373"/>
      <c r="D68" s="373"/>
      <c r="E68" s="373"/>
      <c r="F68" s="373"/>
      <c r="G68" s="373"/>
      <c r="H68" s="373"/>
      <c r="I68" s="618"/>
      <c r="J68" s="374"/>
      <c r="K68" s="377">
        <v>86</v>
      </c>
      <c r="L68" s="373">
        <v>53</v>
      </c>
      <c r="M68" s="373">
        <v>54</v>
      </c>
      <c r="N68" s="373">
        <v>60</v>
      </c>
      <c r="O68" s="373">
        <v>26</v>
      </c>
      <c r="P68" s="373">
        <v>18</v>
      </c>
      <c r="Q68" s="373">
        <v>29</v>
      </c>
      <c r="R68" s="618">
        <v>39</v>
      </c>
      <c r="S68" s="374"/>
      <c r="T68" s="377">
        <v>145</v>
      </c>
      <c r="U68" s="373">
        <v>123</v>
      </c>
      <c r="V68" s="373">
        <v>127</v>
      </c>
      <c r="W68" s="373">
        <v>128</v>
      </c>
      <c r="X68" s="373">
        <v>91</v>
      </c>
      <c r="Y68" s="373">
        <v>87</v>
      </c>
      <c r="Z68" s="373">
        <v>92</v>
      </c>
      <c r="AA68" s="618">
        <v>98</v>
      </c>
      <c r="AB68" s="374"/>
      <c r="AC68" s="377">
        <v>413</v>
      </c>
      <c r="AD68" s="373">
        <v>331</v>
      </c>
      <c r="AE68" s="373">
        <v>276</v>
      </c>
      <c r="AF68" s="373">
        <v>336</v>
      </c>
      <c r="AG68" s="373">
        <v>292</v>
      </c>
      <c r="AH68" s="373">
        <v>270</v>
      </c>
      <c r="AI68" s="373">
        <v>307</v>
      </c>
      <c r="AJ68" s="618">
        <v>307</v>
      </c>
      <c r="AK68" s="374"/>
      <c r="AL68" s="377">
        <v>34</v>
      </c>
      <c r="AM68" s="373">
        <v>24</v>
      </c>
      <c r="AN68" s="373">
        <v>26</v>
      </c>
      <c r="AO68" s="373">
        <v>23</v>
      </c>
      <c r="AP68" s="373">
        <v>30</v>
      </c>
      <c r="AQ68" s="373">
        <v>27</v>
      </c>
      <c r="AR68" s="373">
        <v>32</v>
      </c>
      <c r="AS68" s="618">
        <v>38</v>
      </c>
      <c r="AT68" s="374"/>
      <c r="AU68" s="377"/>
      <c r="AV68" s="373"/>
      <c r="AW68" s="373"/>
      <c r="AX68" s="373"/>
      <c r="AY68" s="373"/>
      <c r="AZ68" s="373"/>
      <c r="BA68" s="373"/>
      <c r="BB68" s="618"/>
      <c r="BC68" s="374"/>
      <c r="BD68" s="377">
        <f t="shared" ref="BD68:BD131" si="9">SUM(B68,K68,T68,AC68,AL68,AU68)</f>
        <v>678</v>
      </c>
      <c r="BE68" s="373">
        <f t="shared" ref="BE68:BE131" si="10">SUM(C68,L68,U68,AD68,AM68,AV68)</f>
        <v>531</v>
      </c>
      <c r="BF68" s="373">
        <f t="shared" ref="BF68:BF131" si="11">SUM(D68,M68,V68,AE68,AN68,AW68)</f>
        <v>483</v>
      </c>
      <c r="BG68" s="373">
        <f t="shared" ref="BG68:BG131" si="12">SUM(E68,N68,W68,AF68,AO68,AX68)</f>
        <v>547</v>
      </c>
      <c r="BH68" s="373">
        <f t="shared" ref="BH68:BH131" si="13">SUM(F68,O68,X68,AG68,AP68,AY68)</f>
        <v>439</v>
      </c>
      <c r="BI68" s="373">
        <f t="shared" ref="BI68:BI131" si="14">SUM(G68,P68,Y68,AH68,AQ68,AZ68)</f>
        <v>402</v>
      </c>
      <c r="BJ68" s="373">
        <f t="shared" ref="BJ68:BJ131" si="15">SUM(H68,Q68,Z68,AI68,AR68,BA68)</f>
        <v>460</v>
      </c>
      <c r="BK68" s="618">
        <f t="shared" ref="BK68:BL131" si="16">SUM(I68,R68,AA68,AJ68,AS68,BB68)</f>
        <v>482</v>
      </c>
      <c r="BL68" s="374">
        <f t="shared" si="16"/>
        <v>0</v>
      </c>
    </row>
    <row r="69" spans="1:64" x14ac:dyDescent="0.2">
      <c r="A69" s="365" t="s">
        <v>683</v>
      </c>
      <c r="B69" s="377"/>
      <c r="C69" s="373"/>
      <c r="D69" s="373"/>
      <c r="E69" s="373"/>
      <c r="F69" s="373"/>
      <c r="G69" s="373"/>
      <c r="H69" s="373"/>
      <c r="I69" s="618"/>
      <c r="J69" s="374"/>
      <c r="K69" s="377">
        <v>20</v>
      </c>
      <c r="L69" s="373">
        <v>14</v>
      </c>
      <c r="M69" s="373">
        <v>10</v>
      </c>
      <c r="N69" s="373">
        <v>29</v>
      </c>
      <c r="O69" s="373">
        <v>9</v>
      </c>
      <c r="P69" s="373">
        <v>13</v>
      </c>
      <c r="Q69" s="373">
        <v>6</v>
      </c>
      <c r="R69" s="618">
        <v>5</v>
      </c>
      <c r="S69" s="374"/>
      <c r="T69" s="377">
        <v>14</v>
      </c>
      <c r="U69" s="373">
        <v>35</v>
      </c>
      <c r="V69" s="373">
        <v>24</v>
      </c>
      <c r="W69" s="373">
        <v>23</v>
      </c>
      <c r="X69" s="373">
        <v>29</v>
      </c>
      <c r="Y69" s="373">
        <v>33</v>
      </c>
      <c r="Z69" s="373">
        <v>22</v>
      </c>
      <c r="AA69" s="618">
        <v>24</v>
      </c>
      <c r="AB69" s="374"/>
      <c r="AC69" s="377">
        <v>110</v>
      </c>
      <c r="AD69" s="373">
        <v>116</v>
      </c>
      <c r="AE69" s="373">
        <v>118</v>
      </c>
      <c r="AF69" s="373">
        <v>102</v>
      </c>
      <c r="AG69" s="373">
        <v>80</v>
      </c>
      <c r="AH69" s="373">
        <v>117</v>
      </c>
      <c r="AI69" s="373">
        <v>103</v>
      </c>
      <c r="AJ69" s="618">
        <v>124</v>
      </c>
      <c r="AK69" s="374"/>
      <c r="AL69" s="377">
        <v>6</v>
      </c>
      <c r="AM69" s="373">
        <v>8</v>
      </c>
      <c r="AN69" s="373">
        <v>7</v>
      </c>
      <c r="AO69" s="373">
        <v>5</v>
      </c>
      <c r="AP69" s="373">
        <v>6</v>
      </c>
      <c r="AQ69" s="373">
        <v>14</v>
      </c>
      <c r="AR69" s="373">
        <v>16</v>
      </c>
      <c r="AS69" s="618">
        <v>19</v>
      </c>
      <c r="AT69" s="374"/>
      <c r="AU69" s="377"/>
      <c r="AV69" s="373"/>
      <c r="AW69" s="373"/>
      <c r="AX69" s="373"/>
      <c r="AY69" s="373"/>
      <c r="AZ69" s="373"/>
      <c r="BA69" s="373"/>
      <c r="BB69" s="618"/>
      <c r="BC69" s="374"/>
      <c r="BD69" s="377">
        <f t="shared" si="9"/>
        <v>150</v>
      </c>
      <c r="BE69" s="373">
        <f t="shared" si="10"/>
        <v>173</v>
      </c>
      <c r="BF69" s="373">
        <f t="shared" si="11"/>
        <v>159</v>
      </c>
      <c r="BG69" s="373">
        <f t="shared" si="12"/>
        <v>159</v>
      </c>
      <c r="BH69" s="373">
        <f t="shared" si="13"/>
        <v>124</v>
      </c>
      <c r="BI69" s="373">
        <f t="shared" si="14"/>
        <v>177</v>
      </c>
      <c r="BJ69" s="373">
        <f t="shared" si="15"/>
        <v>147</v>
      </c>
      <c r="BK69" s="618">
        <f t="shared" si="16"/>
        <v>172</v>
      </c>
      <c r="BL69" s="374">
        <f t="shared" si="16"/>
        <v>0</v>
      </c>
    </row>
    <row r="70" spans="1:64" x14ac:dyDescent="0.2">
      <c r="A70" s="365" t="s">
        <v>681</v>
      </c>
      <c r="B70" s="377"/>
      <c r="C70" s="373"/>
      <c r="D70" s="373"/>
      <c r="E70" s="373"/>
      <c r="F70" s="373"/>
      <c r="G70" s="373"/>
      <c r="H70" s="373"/>
      <c r="I70" s="618"/>
      <c r="J70" s="374"/>
      <c r="K70" s="377">
        <v>61</v>
      </c>
      <c r="L70" s="373">
        <v>35</v>
      </c>
      <c r="M70" s="373">
        <v>53</v>
      </c>
      <c r="N70" s="373">
        <v>54</v>
      </c>
      <c r="O70" s="373">
        <v>51</v>
      </c>
      <c r="P70" s="373">
        <v>22</v>
      </c>
      <c r="Q70" s="373">
        <v>31</v>
      </c>
      <c r="R70" s="618">
        <v>36</v>
      </c>
      <c r="S70" s="374"/>
      <c r="T70" s="377">
        <v>146</v>
      </c>
      <c r="U70" s="373">
        <v>132</v>
      </c>
      <c r="V70" s="373">
        <v>89</v>
      </c>
      <c r="W70" s="373">
        <v>105</v>
      </c>
      <c r="X70" s="373">
        <v>93</v>
      </c>
      <c r="Y70" s="373">
        <v>80</v>
      </c>
      <c r="Z70" s="373">
        <v>80</v>
      </c>
      <c r="AA70" s="618">
        <v>68</v>
      </c>
      <c r="AB70" s="374"/>
      <c r="AC70" s="377">
        <v>371</v>
      </c>
      <c r="AD70" s="373">
        <v>339</v>
      </c>
      <c r="AE70" s="373">
        <v>272</v>
      </c>
      <c r="AF70" s="373">
        <v>289</v>
      </c>
      <c r="AG70" s="373">
        <v>298</v>
      </c>
      <c r="AH70" s="373">
        <v>332</v>
      </c>
      <c r="AI70" s="373">
        <v>246</v>
      </c>
      <c r="AJ70" s="618">
        <v>236</v>
      </c>
      <c r="AK70" s="374"/>
      <c r="AL70" s="377">
        <v>16</v>
      </c>
      <c r="AM70" s="373">
        <v>31</v>
      </c>
      <c r="AN70" s="373">
        <v>13</v>
      </c>
      <c r="AO70" s="373">
        <v>17</v>
      </c>
      <c r="AP70" s="373">
        <v>19</v>
      </c>
      <c r="AQ70" s="373">
        <v>23</v>
      </c>
      <c r="AR70" s="373">
        <v>16</v>
      </c>
      <c r="AS70" s="618">
        <v>22</v>
      </c>
      <c r="AT70" s="374"/>
      <c r="AU70" s="377"/>
      <c r="AV70" s="373"/>
      <c r="AW70" s="373"/>
      <c r="AX70" s="373"/>
      <c r="AY70" s="373">
        <v>1</v>
      </c>
      <c r="AZ70" s="373"/>
      <c r="BA70" s="373"/>
      <c r="BB70" s="618"/>
      <c r="BC70" s="374"/>
      <c r="BD70" s="377">
        <f t="shared" si="9"/>
        <v>594</v>
      </c>
      <c r="BE70" s="373">
        <f t="shared" si="10"/>
        <v>537</v>
      </c>
      <c r="BF70" s="373">
        <f t="shared" si="11"/>
        <v>427</v>
      </c>
      <c r="BG70" s="373">
        <f t="shared" si="12"/>
        <v>465</v>
      </c>
      <c r="BH70" s="373">
        <f t="shared" si="13"/>
        <v>462</v>
      </c>
      <c r="BI70" s="373">
        <f t="shared" si="14"/>
        <v>457</v>
      </c>
      <c r="BJ70" s="373">
        <f t="shared" si="15"/>
        <v>373</v>
      </c>
      <c r="BK70" s="618">
        <f t="shared" si="16"/>
        <v>362</v>
      </c>
      <c r="BL70" s="374">
        <f t="shared" si="16"/>
        <v>0</v>
      </c>
    </row>
    <row r="71" spans="1:64" x14ac:dyDescent="0.2">
      <c r="A71" s="365" t="s">
        <v>678</v>
      </c>
      <c r="B71" s="377"/>
      <c r="C71" s="373"/>
      <c r="D71" s="373"/>
      <c r="E71" s="373"/>
      <c r="F71" s="373"/>
      <c r="G71" s="373"/>
      <c r="H71" s="373">
        <v>2</v>
      </c>
      <c r="I71" s="618"/>
      <c r="J71" s="374"/>
      <c r="K71" s="377">
        <v>221</v>
      </c>
      <c r="L71" s="373">
        <v>266</v>
      </c>
      <c r="M71" s="373">
        <v>226</v>
      </c>
      <c r="N71" s="373">
        <v>223</v>
      </c>
      <c r="O71" s="373">
        <v>146</v>
      </c>
      <c r="P71" s="373">
        <v>199</v>
      </c>
      <c r="Q71" s="373">
        <v>482</v>
      </c>
      <c r="R71" s="618">
        <v>107</v>
      </c>
      <c r="S71" s="374"/>
      <c r="T71" s="377">
        <v>528</v>
      </c>
      <c r="U71" s="373">
        <v>597</v>
      </c>
      <c r="V71" s="373">
        <v>545</v>
      </c>
      <c r="W71" s="373">
        <v>525</v>
      </c>
      <c r="X71" s="373">
        <v>456</v>
      </c>
      <c r="Y71" s="373">
        <v>699</v>
      </c>
      <c r="Z71" s="373">
        <v>1235</v>
      </c>
      <c r="AA71" s="618">
        <v>308</v>
      </c>
      <c r="AB71" s="374"/>
      <c r="AC71" s="377">
        <v>1615</v>
      </c>
      <c r="AD71" s="373">
        <v>1628</v>
      </c>
      <c r="AE71" s="373">
        <v>1332</v>
      </c>
      <c r="AF71" s="373">
        <v>1437</v>
      </c>
      <c r="AG71" s="373">
        <v>1476</v>
      </c>
      <c r="AH71" s="373">
        <v>1664</v>
      </c>
      <c r="AI71" s="373">
        <v>2098</v>
      </c>
      <c r="AJ71" s="618">
        <v>1054</v>
      </c>
      <c r="AK71" s="374"/>
      <c r="AL71" s="377">
        <v>88</v>
      </c>
      <c r="AM71" s="373">
        <v>102</v>
      </c>
      <c r="AN71" s="373">
        <v>91</v>
      </c>
      <c r="AO71" s="373">
        <v>71</v>
      </c>
      <c r="AP71" s="373">
        <v>98</v>
      </c>
      <c r="AQ71" s="373">
        <v>113</v>
      </c>
      <c r="AR71" s="373">
        <v>113</v>
      </c>
      <c r="AS71" s="618">
        <v>95</v>
      </c>
      <c r="AT71" s="374"/>
      <c r="AU71" s="377"/>
      <c r="AV71" s="373"/>
      <c r="AW71" s="373"/>
      <c r="AX71" s="373"/>
      <c r="AY71" s="373">
        <v>1</v>
      </c>
      <c r="AZ71" s="373"/>
      <c r="BA71" s="373"/>
      <c r="BB71" s="618"/>
      <c r="BC71" s="374"/>
      <c r="BD71" s="377">
        <f t="shared" si="9"/>
        <v>2452</v>
      </c>
      <c r="BE71" s="373">
        <f t="shared" si="10"/>
        <v>2593</v>
      </c>
      <c r="BF71" s="373">
        <f t="shared" si="11"/>
        <v>2194</v>
      </c>
      <c r="BG71" s="373">
        <f t="shared" si="12"/>
        <v>2256</v>
      </c>
      <c r="BH71" s="373">
        <f t="shared" si="13"/>
        <v>2177</v>
      </c>
      <c r="BI71" s="373">
        <f t="shared" si="14"/>
        <v>2675</v>
      </c>
      <c r="BJ71" s="373">
        <f t="shared" si="15"/>
        <v>3930</v>
      </c>
      <c r="BK71" s="618">
        <f t="shared" si="16"/>
        <v>1564</v>
      </c>
      <c r="BL71" s="374">
        <f t="shared" si="16"/>
        <v>0</v>
      </c>
    </row>
    <row r="72" spans="1:64" ht="13.5" thickBot="1" x14ac:dyDescent="0.25">
      <c r="A72" s="366" t="s">
        <v>682</v>
      </c>
      <c r="B72" s="378"/>
      <c r="C72" s="375"/>
      <c r="D72" s="375"/>
      <c r="E72" s="375"/>
      <c r="F72" s="375"/>
      <c r="G72" s="375"/>
      <c r="H72" s="375"/>
      <c r="I72" s="619"/>
      <c r="J72" s="376"/>
      <c r="K72" s="378">
        <v>56</v>
      </c>
      <c r="L72" s="375">
        <v>65</v>
      </c>
      <c r="M72" s="375">
        <v>53</v>
      </c>
      <c r="N72" s="375">
        <v>103</v>
      </c>
      <c r="O72" s="375">
        <v>46</v>
      </c>
      <c r="P72" s="375">
        <v>46</v>
      </c>
      <c r="Q72" s="375">
        <v>65</v>
      </c>
      <c r="R72" s="619">
        <v>14</v>
      </c>
      <c r="S72" s="376"/>
      <c r="T72" s="378">
        <v>97</v>
      </c>
      <c r="U72" s="375">
        <v>104</v>
      </c>
      <c r="V72" s="375">
        <v>85</v>
      </c>
      <c r="W72" s="375">
        <v>113</v>
      </c>
      <c r="X72" s="375">
        <v>76</v>
      </c>
      <c r="Y72" s="375">
        <v>87</v>
      </c>
      <c r="Z72" s="375">
        <v>91</v>
      </c>
      <c r="AA72" s="619">
        <v>45</v>
      </c>
      <c r="AB72" s="376"/>
      <c r="AC72" s="378">
        <v>285</v>
      </c>
      <c r="AD72" s="375">
        <v>299</v>
      </c>
      <c r="AE72" s="375">
        <v>275</v>
      </c>
      <c r="AF72" s="375">
        <v>221</v>
      </c>
      <c r="AG72" s="375">
        <v>180</v>
      </c>
      <c r="AH72" s="375">
        <v>195</v>
      </c>
      <c r="AI72" s="375">
        <v>229</v>
      </c>
      <c r="AJ72" s="619">
        <v>193</v>
      </c>
      <c r="AK72" s="376"/>
      <c r="AL72" s="378">
        <v>10</v>
      </c>
      <c r="AM72" s="375">
        <v>19</v>
      </c>
      <c r="AN72" s="375">
        <v>10</v>
      </c>
      <c r="AO72" s="375">
        <v>20</v>
      </c>
      <c r="AP72" s="375">
        <v>22</v>
      </c>
      <c r="AQ72" s="375">
        <v>17</v>
      </c>
      <c r="AR72" s="375">
        <v>25</v>
      </c>
      <c r="AS72" s="619">
        <v>13</v>
      </c>
      <c r="AT72" s="376"/>
      <c r="AU72" s="378"/>
      <c r="AV72" s="375"/>
      <c r="AW72" s="375"/>
      <c r="AX72" s="375"/>
      <c r="AY72" s="375">
        <v>1</v>
      </c>
      <c r="AZ72" s="375"/>
      <c r="BA72" s="375"/>
      <c r="BB72" s="619"/>
      <c r="BC72" s="376"/>
      <c r="BD72" s="378">
        <f t="shared" si="9"/>
        <v>448</v>
      </c>
      <c r="BE72" s="375">
        <f t="shared" si="10"/>
        <v>487</v>
      </c>
      <c r="BF72" s="375">
        <f t="shared" si="11"/>
        <v>423</v>
      </c>
      <c r="BG72" s="375">
        <f t="shared" si="12"/>
        <v>457</v>
      </c>
      <c r="BH72" s="375">
        <f t="shared" si="13"/>
        <v>325</v>
      </c>
      <c r="BI72" s="375">
        <f t="shared" si="14"/>
        <v>345</v>
      </c>
      <c r="BJ72" s="375">
        <f t="shared" si="15"/>
        <v>410</v>
      </c>
      <c r="BK72" s="619">
        <f t="shared" si="16"/>
        <v>265</v>
      </c>
      <c r="BL72" s="376">
        <f t="shared" si="16"/>
        <v>0</v>
      </c>
    </row>
    <row r="73" spans="1:64" s="264" customFormat="1" x14ac:dyDescent="0.2">
      <c r="A73" s="364" t="s">
        <v>780</v>
      </c>
      <c r="B73" s="379"/>
      <c r="C73" s="380"/>
      <c r="D73" s="380"/>
      <c r="E73" s="380"/>
      <c r="F73" s="380"/>
      <c r="G73" s="380"/>
      <c r="H73" s="380"/>
      <c r="I73" s="617">
        <v>2</v>
      </c>
      <c r="J73" s="381"/>
      <c r="K73" s="379">
        <v>399</v>
      </c>
      <c r="L73" s="380">
        <v>341</v>
      </c>
      <c r="M73" s="380">
        <v>290</v>
      </c>
      <c r="N73" s="380">
        <v>246</v>
      </c>
      <c r="O73" s="380">
        <v>174</v>
      </c>
      <c r="P73" s="380">
        <v>277</v>
      </c>
      <c r="Q73" s="380">
        <v>206</v>
      </c>
      <c r="R73" s="617">
        <v>171</v>
      </c>
      <c r="S73" s="381"/>
      <c r="T73" s="379">
        <v>679</v>
      </c>
      <c r="U73" s="380">
        <v>702</v>
      </c>
      <c r="V73" s="380">
        <v>541</v>
      </c>
      <c r="W73" s="380">
        <v>550</v>
      </c>
      <c r="X73" s="380">
        <v>697</v>
      </c>
      <c r="Y73" s="380">
        <v>574</v>
      </c>
      <c r="Z73" s="380">
        <v>535</v>
      </c>
      <c r="AA73" s="617">
        <v>487</v>
      </c>
      <c r="AB73" s="381"/>
      <c r="AC73" s="379">
        <v>2175</v>
      </c>
      <c r="AD73" s="380">
        <v>1972</v>
      </c>
      <c r="AE73" s="380">
        <v>1666</v>
      </c>
      <c r="AF73" s="380">
        <v>1692</v>
      </c>
      <c r="AG73" s="380">
        <v>1977</v>
      </c>
      <c r="AH73" s="380">
        <v>1752</v>
      </c>
      <c r="AI73" s="380">
        <v>1740</v>
      </c>
      <c r="AJ73" s="617">
        <v>1695</v>
      </c>
      <c r="AK73" s="381"/>
      <c r="AL73" s="379">
        <v>114</v>
      </c>
      <c r="AM73" s="380">
        <v>120</v>
      </c>
      <c r="AN73" s="380">
        <v>118</v>
      </c>
      <c r="AO73" s="380">
        <v>150</v>
      </c>
      <c r="AP73" s="380">
        <v>145</v>
      </c>
      <c r="AQ73" s="380">
        <v>144</v>
      </c>
      <c r="AR73" s="380">
        <v>163</v>
      </c>
      <c r="AS73" s="617">
        <v>183</v>
      </c>
      <c r="AT73" s="381"/>
      <c r="AU73" s="379"/>
      <c r="AV73" s="380"/>
      <c r="AW73" s="380"/>
      <c r="AX73" s="380"/>
      <c r="AY73" s="380">
        <v>1</v>
      </c>
      <c r="AZ73" s="380"/>
      <c r="BA73" s="380"/>
      <c r="BB73" s="617"/>
      <c r="BC73" s="381"/>
      <c r="BD73" s="379">
        <f t="shared" si="9"/>
        <v>3367</v>
      </c>
      <c r="BE73" s="380">
        <f t="shared" si="10"/>
        <v>3135</v>
      </c>
      <c r="BF73" s="380">
        <f t="shared" si="11"/>
        <v>2615</v>
      </c>
      <c r="BG73" s="380">
        <f t="shared" si="12"/>
        <v>2638</v>
      </c>
      <c r="BH73" s="380">
        <f t="shared" si="13"/>
        <v>2994</v>
      </c>
      <c r="BI73" s="380">
        <f t="shared" si="14"/>
        <v>2747</v>
      </c>
      <c r="BJ73" s="380">
        <f t="shared" si="15"/>
        <v>2644</v>
      </c>
      <c r="BK73" s="617">
        <f t="shared" si="16"/>
        <v>2538</v>
      </c>
      <c r="BL73" s="381">
        <f t="shared" si="16"/>
        <v>0</v>
      </c>
    </row>
    <row r="74" spans="1:64" x14ac:dyDescent="0.2">
      <c r="A74" s="365" t="s">
        <v>685</v>
      </c>
      <c r="B74" s="377"/>
      <c r="C74" s="373"/>
      <c r="D74" s="373"/>
      <c r="E74" s="373"/>
      <c r="F74" s="373"/>
      <c r="G74" s="373"/>
      <c r="H74" s="373"/>
      <c r="I74" s="618"/>
      <c r="J74" s="374"/>
      <c r="K74" s="377">
        <v>25</v>
      </c>
      <c r="L74" s="373">
        <v>24</v>
      </c>
      <c r="M74" s="373">
        <v>37</v>
      </c>
      <c r="N74" s="373">
        <v>21</v>
      </c>
      <c r="O74" s="373">
        <v>8</v>
      </c>
      <c r="P74" s="373">
        <v>23</v>
      </c>
      <c r="Q74" s="373">
        <v>12</v>
      </c>
      <c r="R74" s="618">
        <v>22</v>
      </c>
      <c r="S74" s="374"/>
      <c r="T74" s="377">
        <v>44</v>
      </c>
      <c r="U74" s="373">
        <v>56</v>
      </c>
      <c r="V74" s="373">
        <v>48</v>
      </c>
      <c r="W74" s="373">
        <v>30</v>
      </c>
      <c r="X74" s="373">
        <v>53</v>
      </c>
      <c r="Y74" s="373">
        <v>49</v>
      </c>
      <c r="Z74" s="373">
        <v>33</v>
      </c>
      <c r="AA74" s="618">
        <v>38</v>
      </c>
      <c r="AB74" s="374"/>
      <c r="AC74" s="377">
        <v>148</v>
      </c>
      <c r="AD74" s="373">
        <v>142</v>
      </c>
      <c r="AE74" s="373">
        <v>189</v>
      </c>
      <c r="AF74" s="373">
        <v>149</v>
      </c>
      <c r="AG74" s="373">
        <v>174</v>
      </c>
      <c r="AH74" s="373">
        <v>169</v>
      </c>
      <c r="AI74" s="373">
        <v>144</v>
      </c>
      <c r="AJ74" s="618">
        <v>173</v>
      </c>
      <c r="AK74" s="374"/>
      <c r="AL74" s="377">
        <v>9</v>
      </c>
      <c r="AM74" s="373">
        <v>16</v>
      </c>
      <c r="AN74" s="373">
        <v>8</v>
      </c>
      <c r="AO74" s="373">
        <v>16</v>
      </c>
      <c r="AP74" s="373">
        <v>12</v>
      </c>
      <c r="AQ74" s="373">
        <v>23</v>
      </c>
      <c r="AR74" s="373">
        <v>11</v>
      </c>
      <c r="AS74" s="618">
        <v>21</v>
      </c>
      <c r="AT74" s="374"/>
      <c r="AU74" s="377"/>
      <c r="AV74" s="373"/>
      <c r="AW74" s="373"/>
      <c r="AX74" s="373"/>
      <c r="AY74" s="373">
        <v>1</v>
      </c>
      <c r="AZ74" s="373"/>
      <c r="BA74" s="373"/>
      <c r="BB74" s="618"/>
      <c r="BC74" s="374"/>
      <c r="BD74" s="377">
        <f t="shared" si="9"/>
        <v>226</v>
      </c>
      <c r="BE74" s="373">
        <f t="shared" si="10"/>
        <v>238</v>
      </c>
      <c r="BF74" s="373">
        <f t="shared" si="11"/>
        <v>282</v>
      </c>
      <c r="BG74" s="373">
        <f t="shared" si="12"/>
        <v>216</v>
      </c>
      <c r="BH74" s="373">
        <f t="shared" si="13"/>
        <v>248</v>
      </c>
      <c r="BI74" s="373">
        <f t="shared" si="14"/>
        <v>264</v>
      </c>
      <c r="BJ74" s="373">
        <f t="shared" si="15"/>
        <v>200</v>
      </c>
      <c r="BK74" s="618">
        <f t="shared" si="16"/>
        <v>254</v>
      </c>
      <c r="BL74" s="374">
        <f t="shared" si="16"/>
        <v>0</v>
      </c>
    </row>
    <row r="75" spans="1:64" x14ac:dyDescent="0.2">
      <c r="A75" s="365" t="s">
        <v>0</v>
      </c>
      <c r="B75" s="377"/>
      <c r="C75" s="373"/>
      <c r="D75" s="373"/>
      <c r="E75" s="373"/>
      <c r="F75" s="373"/>
      <c r="G75" s="373"/>
      <c r="H75" s="373"/>
      <c r="I75" s="618">
        <v>2</v>
      </c>
      <c r="J75" s="374"/>
      <c r="K75" s="377">
        <v>129</v>
      </c>
      <c r="L75" s="373">
        <v>72</v>
      </c>
      <c r="M75" s="373">
        <v>71</v>
      </c>
      <c r="N75" s="373">
        <v>83</v>
      </c>
      <c r="O75" s="373">
        <v>43</v>
      </c>
      <c r="P75" s="373">
        <v>66</v>
      </c>
      <c r="Q75" s="373">
        <v>44</v>
      </c>
      <c r="R75" s="618">
        <v>39</v>
      </c>
      <c r="S75" s="374"/>
      <c r="T75" s="377">
        <v>163</v>
      </c>
      <c r="U75" s="373">
        <v>150</v>
      </c>
      <c r="V75" s="373">
        <v>90</v>
      </c>
      <c r="W75" s="373">
        <v>169</v>
      </c>
      <c r="X75" s="373">
        <v>155</v>
      </c>
      <c r="Y75" s="373">
        <v>109</v>
      </c>
      <c r="Z75" s="373">
        <v>117</v>
      </c>
      <c r="AA75" s="618">
        <v>79</v>
      </c>
      <c r="AB75" s="374"/>
      <c r="AC75" s="377">
        <v>468</v>
      </c>
      <c r="AD75" s="373">
        <v>387</v>
      </c>
      <c r="AE75" s="373">
        <v>302</v>
      </c>
      <c r="AF75" s="373">
        <v>380</v>
      </c>
      <c r="AG75" s="373">
        <v>441</v>
      </c>
      <c r="AH75" s="373">
        <v>362</v>
      </c>
      <c r="AI75" s="373">
        <v>318</v>
      </c>
      <c r="AJ75" s="618">
        <v>294</v>
      </c>
      <c r="AK75" s="374"/>
      <c r="AL75" s="377">
        <v>18</v>
      </c>
      <c r="AM75" s="373">
        <v>23</v>
      </c>
      <c r="AN75" s="373">
        <v>17</v>
      </c>
      <c r="AO75" s="373">
        <v>26</v>
      </c>
      <c r="AP75" s="373">
        <v>34</v>
      </c>
      <c r="AQ75" s="373">
        <v>34</v>
      </c>
      <c r="AR75" s="373">
        <v>38</v>
      </c>
      <c r="AS75" s="618">
        <v>42</v>
      </c>
      <c r="AT75" s="374"/>
      <c r="AU75" s="377"/>
      <c r="AV75" s="373"/>
      <c r="AW75" s="373"/>
      <c r="AX75" s="373"/>
      <c r="AY75" s="373"/>
      <c r="AZ75" s="373"/>
      <c r="BA75" s="373"/>
      <c r="BB75" s="618"/>
      <c r="BC75" s="374"/>
      <c r="BD75" s="377">
        <f t="shared" si="9"/>
        <v>778</v>
      </c>
      <c r="BE75" s="373">
        <f t="shared" si="10"/>
        <v>632</v>
      </c>
      <c r="BF75" s="373">
        <f t="shared" si="11"/>
        <v>480</v>
      </c>
      <c r="BG75" s="373">
        <f t="shared" si="12"/>
        <v>658</v>
      </c>
      <c r="BH75" s="373">
        <f t="shared" si="13"/>
        <v>673</v>
      </c>
      <c r="BI75" s="373">
        <f t="shared" si="14"/>
        <v>571</v>
      </c>
      <c r="BJ75" s="373">
        <f t="shared" si="15"/>
        <v>517</v>
      </c>
      <c r="BK75" s="618">
        <f t="shared" si="16"/>
        <v>456</v>
      </c>
      <c r="BL75" s="374">
        <f t="shared" si="16"/>
        <v>0</v>
      </c>
    </row>
    <row r="76" spans="1:64" x14ac:dyDescent="0.2">
      <c r="A76" s="365" t="s">
        <v>814</v>
      </c>
      <c r="B76" s="377"/>
      <c r="C76" s="373"/>
      <c r="D76" s="373"/>
      <c r="E76" s="373"/>
      <c r="F76" s="373"/>
      <c r="G76" s="373"/>
      <c r="H76" s="373"/>
      <c r="I76" s="618"/>
      <c r="J76" s="374"/>
      <c r="K76" s="377">
        <v>6</v>
      </c>
      <c r="L76" s="373">
        <v>4</v>
      </c>
      <c r="M76" s="373">
        <v>4</v>
      </c>
      <c r="N76" s="373">
        <v>1</v>
      </c>
      <c r="O76" s="373">
        <v>10</v>
      </c>
      <c r="P76" s="373">
        <v>8</v>
      </c>
      <c r="Q76" s="373">
        <v>3</v>
      </c>
      <c r="R76" s="618">
        <v>3</v>
      </c>
      <c r="S76" s="374"/>
      <c r="T76" s="377">
        <v>17</v>
      </c>
      <c r="U76" s="373">
        <v>11</v>
      </c>
      <c r="V76" s="373">
        <v>6</v>
      </c>
      <c r="W76" s="373">
        <v>9</v>
      </c>
      <c r="X76" s="373">
        <v>27</v>
      </c>
      <c r="Y76" s="373">
        <v>35</v>
      </c>
      <c r="Z76" s="373">
        <v>8</v>
      </c>
      <c r="AA76" s="618">
        <v>12</v>
      </c>
      <c r="AB76" s="374"/>
      <c r="AC76" s="377">
        <v>87</v>
      </c>
      <c r="AD76" s="373">
        <v>66</v>
      </c>
      <c r="AE76" s="373">
        <v>37</v>
      </c>
      <c r="AF76" s="373">
        <v>45</v>
      </c>
      <c r="AG76" s="373">
        <v>73</v>
      </c>
      <c r="AH76" s="373">
        <v>103</v>
      </c>
      <c r="AI76" s="373">
        <v>47</v>
      </c>
      <c r="AJ76" s="618">
        <v>56</v>
      </c>
      <c r="AK76" s="374"/>
      <c r="AL76" s="377">
        <v>3</v>
      </c>
      <c r="AM76" s="373">
        <v>4</v>
      </c>
      <c r="AN76" s="373">
        <v>6</v>
      </c>
      <c r="AO76" s="373">
        <v>7</v>
      </c>
      <c r="AP76" s="373">
        <v>8</v>
      </c>
      <c r="AQ76" s="373">
        <v>5</v>
      </c>
      <c r="AR76" s="373">
        <v>6</v>
      </c>
      <c r="AS76" s="618">
        <v>4</v>
      </c>
      <c r="AT76" s="374"/>
      <c r="AU76" s="377"/>
      <c r="AV76" s="373"/>
      <c r="AW76" s="373"/>
      <c r="AX76" s="373"/>
      <c r="AY76" s="373"/>
      <c r="AZ76" s="373"/>
      <c r="BA76" s="373"/>
      <c r="BB76" s="618"/>
      <c r="BC76" s="374"/>
      <c r="BD76" s="377">
        <f t="shared" si="9"/>
        <v>113</v>
      </c>
      <c r="BE76" s="373">
        <f t="shared" si="10"/>
        <v>85</v>
      </c>
      <c r="BF76" s="373">
        <f t="shared" si="11"/>
        <v>53</v>
      </c>
      <c r="BG76" s="373">
        <f t="shared" si="12"/>
        <v>62</v>
      </c>
      <c r="BH76" s="373">
        <f t="shared" si="13"/>
        <v>118</v>
      </c>
      <c r="BI76" s="373">
        <f t="shared" si="14"/>
        <v>151</v>
      </c>
      <c r="BJ76" s="373">
        <f t="shared" si="15"/>
        <v>64</v>
      </c>
      <c r="BK76" s="618">
        <f t="shared" si="16"/>
        <v>75</v>
      </c>
      <c r="BL76" s="374">
        <f t="shared" si="16"/>
        <v>0</v>
      </c>
    </row>
    <row r="77" spans="1:64" x14ac:dyDescent="0.2">
      <c r="A77" s="365" t="s">
        <v>688</v>
      </c>
      <c r="B77" s="377"/>
      <c r="C77" s="373"/>
      <c r="D77" s="373"/>
      <c r="E77" s="373"/>
      <c r="F77" s="373"/>
      <c r="G77" s="373"/>
      <c r="H77" s="373"/>
      <c r="I77" s="618"/>
      <c r="J77" s="374"/>
      <c r="K77" s="377">
        <v>28</v>
      </c>
      <c r="L77" s="373">
        <v>26</v>
      </c>
      <c r="M77" s="373">
        <v>13</v>
      </c>
      <c r="N77" s="373">
        <v>11</v>
      </c>
      <c r="O77" s="373">
        <v>7</v>
      </c>
      <c r="P77" s="373">
        <v>25</v>
      </c>
      <c r="Q77" s="373">
        <v>40</v>
      </c>
      <c r="R77" s="618">
        <v>33</v>
      </c>
      <c r="S77" s="374"/>
      <c r="T77" s="377">
        <v>55</v>
      </c>
      <c r="U77" s="373">
        <v>47</v>
      </c>
      <c r="V77" s="373">
        <v>50</v>
      </c>
      <c r="W77" s="373">
        <v>35</v>
      </c>
      <c r="X77" s="373">
        <v>44</v>
      </c>
      <c r="Y77" s="373">
        <v>49</v>
      </c>
      <c r="Z77" s="373">
        <v>53</v>
      </c>
      <c r="AA77" s="618">
        <v>61</v>
      </c>
      <c r="AB77" s="374"/>
      <c r="AC77" s="377">
        <v>157</v>
      </c>
      <c r="AD77" s="373">
        <v>156</v>
      </c>
      <c r="AE77" s="373">
        <v>146</v>
      </c>
      <c r="AF77" s="373">
        <v>122</v>
      </c>
      <c r="AG77" s="373">
        <v>153</v>
      </c>
      <c r="AH77" s="373">
        <v>180</v>
      </c>
      <c r="AI77" s="373">
        <v>239</v>
      </c>
      <c r="AJ77" s="618">
        <v>282</v>
      </c>
      <c r="AK77" s="374"/>
      <c r="AL77" s="377">
        <v>14</v>
      </c>
      <c r="AM77" s="373">
        <v>7</v>
      </c>
      <c r="AN77" s="373">
        <v>11</v>
      </c>
      <c r="AO77" s="373">
        <v>11</v>
      </c>
      <c r="AP77" s="373">
        <v>18</v>
      </c>
      <c r="AQ77" s="373">
        <v>15</v>
      </c>
      <c r="AR77" s="373">
        <v>24</v>
      </c>
      <c r="AS77" s="618">
        <v>33</v>
      </c>
      <c r="AT77" s="374"/>
      <c r="AU77" s="377"/>
      <c r="AV77" s="373"/>
      <c r="AW77" s="373"/>
      <c r="AX77" s="373"/>
      <c r="AY77" s="373"/>
      <c r="AZ77" s="373"/>
      <c r="BA77" s="373"/>
      <c r="BB77" s="618"/>
      <c r="BC77" s="374"/>
      <c r="BD77" s="377">
        <f t="shared" si="9"/>
        <v>254</v>
      </c>
      <c r="BE77" s="373">
        <f t="shared" si="10"/>
        <v>236</v>
      </c>
      <c r="BF77" s="373">
        <f t="shared" si="11"/>
        <v>220</v>
      </c>
      <c r="BG77" s="373">
        <f t="shared" si="12"/>
        <v>179</v>
      </c>
      <c r="BH77" s="373">
        <f t="shared" si="13"/>
        <v>222</v>
      </c>
      <c r="BI77" s="373">
        <f t="shared" si="14"/>
        <v>269</v>
      </c>
      <c r="BJ77" s="373">
        <f t="shared" si="15"/>
        <v>356</v>
      </c>
      <c r="BK77" s="618">
        <f t="shared" si="16"/>
        <v>409</v>
      </c>
      <c r="BL77" s="374">
        <f t="shared" si="16"/>
        <v>0</v>
      </c>
    </row>
    <row r="78" spans="1:64" x14ac:dyDescent="0.2">
      <c r="A78" s="365" t="s">
        <v>686</v>
      </c>
      <c r="B78" s="377"/>
      <c r="C78" s="373"/>
      <c r="D78" s="373"/>
      <c r="E78" s="373"/>
      <c r="F78" s="373"/>
      <c r="G78" s="373"/>
      <c r="H78" s="373"/>
      <c r="I78" s="618"/>
      <c r="J78" s="374"/>
      <c r="K78" s="377">
        <v>20</v>
      </c>
      <c r="L78" s="373">
        <v>32</v>
      </c>
      <c r="M78" s="373">
        <v>22</v>
      </c>
      <c r="N78" s="373">
        <v>6</v>
      </c>
      <c r="O78" s="373">
        <v>13</v>
      </c>
      <c r="P78" s="373">
        <v>15</v>
      </c>
      <c r="Q78" s="373">
        <v>9</v>
      </c>
      <c r="R78" s="618">
        <v>12</v>
      </c>
      <c r="S78" s="374"/>
      <c r="T78" s="377">
        <v>42</v>
      </c>
      <c r="U78" s="373">
        <v>43</v>
      </c>
      <c r="V78" s="373">
        <v>40</v>
      </c>
      <c r="W78" s="373">
        <v>39</v>
      </c>
      <c r="X78" s="373">
        <v>52</v>
      </c>
      <c r="Y78" s="373">
        <v>37</v>
      </c>
      <c r="Z78" s="373">
        <v>44</v>
      </c>
      <c r="AA78" s="618">
        <v>32</v>
      </c>
      <c r="AB78" s="374"/>
      <c r="AC78" s="377">
        <v>133</v>
      </c>
      <c r="AD78" s="373">
        <v>133</v>
      </c>
      <c r="AE78" s="373">
        <v>122</v>
      </c>
      <c r="AF78" s="373">
        <v>101</v>
      </c>
      <c r="AG78" s="373">
        <v>99</v>
      </c>
      <c r="AH78" s="373">
        <v>103</v>
      </c>
      <c r="AI78" s="373">
        <v>132</v>
      </c>
      <c r="AJ78" s="618">
        <v>119</v>
      </c>
      <c r="AK78" s="374"/>
      <c r="AL78" s="377">
        <v>4</v>
      </c>
      <c r="AM78" s="373">
        <v>4</v>
      </c>
      <c r="AN78" s="373">
        <v>12</v>
      </c>
      <c r="AO78" s="373">
        <v>13</v>
      </c>
      <c r="AP78" s="373">
        <v>13</v>
      </c>
      <c r="AQ78" s="373">
        <v>7</v>
      </c>
      <c r="AR78" s="373">
        <v>13</v>
      </c>
      <c r="AS78" s="618">
        <v>14</v>
      </c>
      <c r="AT78" s="374"/>
      <c r="AU78" s="377"/>
      <c r="AV78" s="373"/>
      <c r="AW78" s="373"/>
      <c r="AX78" s="373"/>
      <c r="AY78" s="373"/>
      <c r="AZ78" s="373"/>
      <c r="BA78" s="373"/>
      <c r="BB78" s="618"/>
      <c r="BC78" s="374"/>
      <c r="BD78" s="377">
        <f t="shared" si="9"/>
        <v>199</v>
      </c>
      <c r="BE78" s="373">
        <f t="shared" si="10"/>
        <v>212</v>
      </c>
      <c r="BF78" s="373">
        <f t="shared" si="11"/>
        <v>196</v>
      </c>
      <c r="BG78" s="373">
        <f t="shared" si="12"/>
        <v>159</v>
      </c>
      <c r="BH78" s="373">
        <f t="shared" si="13"/>
        <v>177</v>
      </c>
      <c r="BI78" s="373">
        <f t="shared" si="14"/>
        <v>162</v>
      </c>
      <c r="BJ78" s="373">
        <f t="shared" si="15"/>
        <v>198</v>
      </c>
      <c r="BK78" s="618">
        <f t="shared" si="16"/>
        <v>177</v>
      </c>
      <c r="BL78" s="374">
        <f t="shared" si="16"/>
        <v>0</v>
      </c>
    </row>
    <row r="79" spans="1:64" x14ac:dyDescent="0.2">
      <c r="A79" s="365" t="s">
        <v>687</v>
      </c>
      <c r="B79" s="377"/>
      <c r="C79" s="373"/>
      <c r="D79" s="373"/>
      <c r="E79" s="373"/>
      <c r="F79" s="373"/>
      <c r="G79" s="373"/>
      <c r="H79" s="373"/>
      <c r="I79" s="618"/>
      <c r="J79" s="374"/>
      <c r="K79" s="377">
        <v>40</v>
      </c>
      <c r="L79" s="373">
        <v>46</v>
      </c>
      <c r="M79" s="373">
        <v>25</v>
      </c>
      <c r="N79" s="373">
        <v>27</v>
      </c>
      <c r="O79" s="373">
        <v>24</v>
      </c>
      <c r="P79" s="373">
        <v>35</v>
      </c>
      <c r="Q79" s="373">
        <v>16</v>
      </c>
      <c r="R79" s="618">
        <v>10</v>
      </c>
      <c r="S79" s="374"/>
      <c r="T79" s="377">
        <v>69</v>
      </c>
      <c r="U79" s="373">
        <v>76</v>
      </c>
      <c r="V79" s="373">
        <v>47</v>
      </c>
      <c r="W79" s="373">
        <v>58</v>
      </c>
      <c r="X79" s="373">
        <v>164</v>
      </c>
      <c r="Y79" s="373">
        <v>85</v>
      </c>
      <c r="Z79" s="373">
        <v>78</v>
      </c>
      <c r="AA79" s="618">
        <v>71</v>
      </c>
      <c r="AB79" s="374"/>
      <c r="AC79" s="377">
        <v>200</v>
      </c>
      <c r="AD79" s="373">
        <v>170</v>
      </c>
      <c r="AE79" s="373">
        <v>138</v>
      </c>
      <c r="AF79" s="373">
        <v>191</v>
      </c>
      <c r="AG79" s="373">
        <v>209</v>
      </c>
      <c r="AH79" s="373">
        <v>136</v>
      </c>
      <c r="AI79" s="373">
        <v>196</v>
      </c>
      <c r="AJ79" s="618">
        <v>145</v>
      </c>
      <c r="AK79" s="374"/>
      <c r="AL79" s="377">
        <v>8</v>
      </c>
      <c r="AM79" s="373">
        <v>13</v>
      </c>
      <c r="AN79" s="373">
        <v>7</v>
      </c>
      <c r="AO79" s="373">
        <v>12</v>
      </c>
      <c r="AP79" s="373">
        <v>12</v>
      </c>
      <c r="AQ79" s="373">
        <v>12</v>
      </c>
      <c r="AR79" s="373">
        <v>7</v>
      </c>
      <c r="AS79" s="618">
        <v>9</v>
      </c>
      <c r="AT79" s="374"/>
      <c r="AU79" s="377"/>
      <c r="AV79" s="373"/>
      <c r="AW79" s="373"/>
      <c r="AX79" s="373"/>
      <c r="AY79" s="373"/>
      <c r="AZ79" s="373"/>
      <c r="BA79" s="373"/>
      <c r="BB79" s="618"/>
      <c r="BC79" s="374"/>
      <c r="BD79" s="377">
        <f t="shared" si="9"/>
        <v>317</v>
      </c>
      <c r="BE79" s="373">
        <f t="shared" si="10"/>
        <v>305</v>
      </c>
      <c r="BF79" s="373">
        <f t="shared" si="11"/>
        <v>217</v>
      </c>
      <c r="BG79" s="373">
        <f t="shared" si="12"/>
        <v>288</v>
      </c>
      <c r="BH79" s="373">
        <f t="shared" si="13"/>
        <v>409</v>
      </c>
      <c r="BI79" s="373">
        <f t="shared" si="14"/>
        <v>268</v>
      </c>
      <c r="BJ79" s="373">
        <f t="shared" si="15"/>
        <v>297</v>
      </c>
      <c r="BK79" s="618">
        <f t="shared" si="16"/>
        <v>235</v>
      </c>
      <c r="BL79" s="374">
        <f t="shared" si="16"/>
        <v>0</v>
      </c>
    </row>
    <row r="80" spans="1:64" ht="13.5" thickBot="1" x14ac:dyDescent="0.25">
      <c r="A80" s="366" t="s">
        <v>684</v>
      </c>
      <c r="B80" s="378"/>
      <c r="C80" s="375"/>
      <c r="D80" s="375"/>
      <c r="E80" s="375"/>
      <c r="F80" s="375"/>
      <c r="G80" s="375"/>
      <c r="H80" s="375"/>
      <c r="I80" s="619"/>
      <c r="J80" s="376"/>
      <c r="K80" s="378">
        <v>151</v>
      </c>
      <c r="L80" s="375">
        <v>137</v>
      </c>
      <c r="M80" s="375">
        <v>118</v>
      </c>
      <c r="N80" s="375">
        <v>97</v>
      </c>
      <c r="O80" s="375">
        <v>69</v>
      </c>
      <c r="P80" s="375">
        <v>105</v>
      </c>
      <c r="Q80" s="375">
        <v>82</v>
      </c>
      <c r="R80" s="619">
        <v>52</v>
      </c>
      <c r="S80" s="376"/>
      <c r="T80" s="378">
        <v>289</v>
      </c>
      <c r="U80" s="375">
        <v>319</v>
      </c>
      <c r="V80" s="375">
        <v>260</v>
      </c>
      <c r="W80" s="375">
        <v>210</v>
      </c>
      <c r="X80" s="375">
        <v>202</v>
      </c>
      <c r="Y80" s="375">
        <v>210</v>
      </c>
      <c r="Z80" s="375">
        <v>202</v>
      </c>
      <c r="AA80" s="619">
        <v>194</v>
      </c>
      <c r="AB80" s="376"/>
      <c r="AC80" s="378">
        <v>982</v>
      </c>
      <c r="AD80" s="375">
        <v>918</v>
      </c>
      <c r="AE80" s="375">
        <v>732</v>
      </c>
      <c r="AF80" s="375">
        <v>704</v>
      </c>
      <c r="AG80" s="375">
        <v>828</v>
      </c>
      <c r="AH80" s="375">
        <v>699</v>
      </c>
      <c r="AI80" s="375">
        <v>664</v>
      </c>
      <c r="AJ80" s="619">
        <v>626</v>
      </c>
      <c r="AK80" s="376"/>
      <c r="AL80" s="378">
        <v>58</v>
      </c>
      <c r="AM80" s="375">
        <v>53</v>
      </c>
      <c r="AN80" s="375">
        <v>57</v>
      </c>
      <c r="AO80" s="375">
        <v>65</v>
      </c>
      <c r="AP80" s="375">
        <v>48</v>
      </c>
      <c r="AQ80" s="375">
        <v>48</v>
      </c>
      <c r="AR80" s="375">
        <v>64</v>
      </c>
      <c r="AS80" s="619">
        <v>60</v>
      </c>
      <c r="AT80" s="376"/>
      <c r="AU80" s="378"/>
      <c r="AV80" s="375"/>
      <c r="AW80" s="375"/>
      <c r="AX80" s="375"/>
      <c r="AY80" s="375"/>
      <c r="AZ80" s="375"/>
      <c r="BA80" s="375"/>
      <c r="BB80" s="619"/>
      <c r="BC80" s="376"/>
      <c r="BD80" s="378">
        <f t="shared" si="9"/>
        <v>1480</v>
      </c>
      <c r="BE80" s="375">
        <f t="shared" si="10"/>
        <v>1427</v>
      </c>
      <c r="BF80" s="375">
        <f t="shared" si="11"/>
        <v>1167</v>
      </c>
      <c r="BG80" s="375">
        <f t="shared" si="12"/>
        <v>1076</v>
      </c>
      <c r="BH80" s="375">
        <f t="shared" si="13"/>
        <v>1147</v>
      </c>
      <c r="BI80" s="375">
        <f t="shared" si="14"/>
        <v>1062</v>
      </c>
      <c r="BJ80" s="375">
        <f t="shared" si="15"/>
        <v>1012</v>
      </c>
      <c r="BK80" s="619">
        <f t="shared" si="16"/>
        <v>932</v>
      </c>
      <c r="BL80" s="376">
        <f t="shared" si="16"/>
        <v>0</v>
      </c>
    </row>
    <row r="81" spans="1:64" s="264" customFormat="1" x14ac:dyDescent="0.2">
      <c r="A81" s="364" t="s">
        <v>779</v>
      </c>
      <c r="B81" s="379"/>
      <c r="C81" s="380"/>
      <c r="D81" s="380"/>
      <c r="E81" s="380"/>
      <c r="F81" s="380">
        <v>1</v>
      </c>
      <c r="G81" s="380"/>
      <c r="H81" s="380">
        <v>1</v>
      </c>
      <c r="I81" s="617">
        <v>1</v>
      </c>
      <c r="J81" s="381"/>
      <c r="K81" s="379">
        <v>407</v>
      </c>
      <c r="L81" s="380">
        <v>448</v>
      </c>
      <c r="M81" s="380">
        <v>344</v>
      </c>
      <c r="N81" s="380">
        <v>263</v>
      </c>
      <c r="O81" s="380">
        <v>196</v>
      </c>
      <c r="P81" s="380">
        <v>174</v>
      </c>
      <c r="Q81" s="380">
        <v>176</v>
      </c>
      <c r="R81" s="617">
        <v>175</v>
      </c>
      <c r="S81" s="381"/>
      <c r="T81" s="379">
        <v>1044</v>
      </c>
      <c r="U81" s="380">
        <v>1004</v>
      </c>
      <c r="V81" s="380">
        <v>953</v>
      </c>
      <c r="W81" s="380">
        <v>852</v>
      </c>
      <c r="X81" s="380">
        <v>820</v>
      </c>
      <c r="Y81" s="380">
        <v>704</v>
      </c>
      <c r="Z81" s="380">
        <v>685</v>
      </c>
      <c r="AA81" s="617">
        <v>643</v>
      </c>
      <c r="AB81" s="381"/>
      <c r="AC81" s="379">
        <v>3288</v>
      </c>
      <c r="AD81" s="380">
        <v>3448</v>
      </c>
      <c r="AE81" s="380">
        <v>3098</v>
      </c>
      <c r="AF81" s="380">
        <v>2773</v>
      </c>
      <c r="AG81" s="380">
        <v>2675</v>
      </c>
      <c r="AH81" s="380">
        <v>2530</v>
      </c>
      <c r="AI81" s="380">
        <v>2846</v>
      </c>
      <c r="AJ81" s="617">
        <v>2428</v>
      </c>
      <c r="AK81" s="381"/>
      <c r="AL81" s="379">
        <v>159</v>
      </c>
      <c r="AM81" s="380">
        <v>173</v>
      </c>
      <c r="AN81" s="380">
        <v>169</v>
      </c>
      <c r="AO81" s="380">
        <v>194</v>
      </c>
      <c r="AP81" s="380">
        <v>205</v>
      </c>
      <c r="AQ81" s="380">
        <v>201</v>
      </c>
      <c r="AR81" s="380">
        <v>276</v>
      </c>
      <c r="AS81" s="617">
        <v>186</v>
      </c>
      <c r="AT81" s="381"/>
      <c r="AU81" s="379"/>
      <c r="AV81" s="380"/>
      <c r="AW81" s="380"/>
      <c r="AX81" s="380"/>
      <c r="AY81" s="380">
        <v>7</v>
      </c>
      <c r="AZ81" s="380">
        <v>1</v>
      </c>
      <c r="BA81" s="380"/>
      <c r="BB81" s="617"/>
      <c r="BC81" s="381"/>
      <c r="BD81" s="379">
        <f t="shared" si="9"/>
        <v>4898</v>
      </c>
      <c r="BE81" s="380">
        <f t="shared" si="10"/>
        <v>5073</v>
      </c>
      <c r="BF81" s="380">
        <f t="shared" si="11"/>
        <v>4564</v>
      </c>
      <c r="BG81" s="380">
        <f t="shared" si="12"/>
        <v>4082</v>
      </c>
      <c r="BH81" s="380">
        <f t="shared" si="13"/>
        <v>3904</v>
      </c>
      <c r="BI81" s="380">
        <f t="shared" si="14"/>
        <v>3610</v>
      </c>
      <c r="BJ81" s="380">
        <f t="shared" si="15"/>
        <v>3984</v>
      </c>
      <c r="BK81" s="617">
        <f t="shared" si="16"/>
        <v>3433</v>
      </c>
      <c r="BL81" s="381">
        <f t="shared" si="16"/>
        <v>0</v>
      </c>
    </row>
    <row r="82" spans="1:64" x14ac:dyDescent="0.2">
      <c r="A82" s="365" t="s">
        <v>690</v>
      </c>
      <c r="B82" s="377"/>
      <c r="C82" s="373"/>
      <c r="D82" s="373"/>
      <c r="E82" s="373"/>
      <c r="F82" s="373"/>
      <c r="G82" s="373"/>
      <c r="H82" s="373"/>
      <c r="I82" s="618"/>
      <c r="J82" s="374"/>
      <c r="K82" s="377">
        <v>16</v>
      </c>
      <c r="L82" s="373">
        <v>29</v>
      </c>
      <c r="M82" s="373">
        <v>20</v>
      </c>
      <c r="N82" s="373">
        <v>23</v>
      </c>
      <c r="O82" s="373">
        <v>14</v>
      </c>
      <c r="P82" s="373">
        <v>15</v>
      </c>
      <c r="Q82" s="373">
        <v>17</v>
      </c>
      <c r="R82" s="618">
        <v>12</v>
      </c>
      <c r="S82" s="374"/>
      <c r="T82" s="377">
        <v>54</v>
      </c>
      <c r="U82" s="373">
        <v>75</v>
      </c>
      <c r="V82" s="373">
        <v>67</v>
      </c>
      <c r="W82" s="373">
        <v>41</v>
      </c>
      <c r="X82" s="373">
        <v>42</v>
      </c>
      <c r="Y82" s="373">
        <v>31</v>
      </c>
      <c r="Z82" s="373">
        <v>31</v>
      </c>
      <c r="AA82" s="618">
        <v>31</v>
      </c>
      <c r="AB82" s="374"/>
      <c r="AC82" s="377">
        <v>187</v>
      </c>
      <c r="AD82" s="373">
        <v>217</v>
      </c>
      <c r="AE82" s="373">
        <v>204</v>
      </c>
      <c r="AF82" s="373">
        <v>155</v>
      </c>
      <c r="AG82" s="373">
        <v>163</v>
      </c>
      <c r="AH82" s="373">
        <v>182</v>
      </c>
      <c r="AI82" s="373">
        <v>117</v>
      </c>
      <c r="AJ82" s="618">
        <v>124</v>
      </c>
      <c r="AK82" s="374"/>
      <c r="AL82" s="377">
        <v>15</v>
      </c>
      <c r="AM82" s="373">
        <v>14</v>
      </c>
      <c r="AN82" s="373">
        <v>16</v>
      </c>
      <c r="AO82" s="373">
        <v>9</v>
      </c>
      <c r="AP82" s="373">
        <v>14</v>
      </c>
      <c r="AQ82" s="373">
        <v>15</v>
      </c>
      <c r="AR82" s="373">
        <v>16</v>
      </c>
      <c r="AS82" s="618">
        <v>13</v>
      </c>
      <c r="AT82" s="374"/>
      <c r="AU82" s="377"/>
      <c r="AV82" s="373"/>
      <c r="AW82" s="373"/>
      <c r="AX82" s="373"/>
      <c r="AY82" s="373"/>
      <c r="AZ82" s="373"/>
      <c r="BA82" s="373"/>
      <c r="BB82" s="618"/>
      <c r="BC82" s="374"/>
      <c r="BD82" s="377">
        <f t="shared" si="9"/>
        <v>272</v>
      </c>
      <c r="BE82" s="373">
        <f t="shared" si="10"/>
        <v>335</v>
      </c>
      <c r="BF82" s="373">
        <f t="shared" si="11"/>
        <v>307</v>
      </c>
      <c r="BG82" s="373">
        <f t="shared" si="12"/>
        <v>228</v>
      </c>
      <c r="BH82" s="373">
        <f t="shared" si="13"/>
        <v>233</v>
      </c>
      <c r="BI82" s="373">
        <f t="shared" si="14"/>
        <v>243</v>
      </c>
      <c r="BJ82" s="373">
        <f t="shared" si="15"/>
        <v>181</v>
      </c>
      <c r="BK82" s="618">
        <f t="shared" si="16"/>
        <v>180</v>
      </c>
      <c r="BL82" s="374">
        <f t="shared" si="16"/>
        <v>0</v>
      </c>
    </row>
    <row r="83" spans="1:64" x14ac:dyDescent="0.2">
      <c r="A83" s="365" t="s">
        <v>689</v>
      </c>
      <c r="B83" s="377"/>
      <c r="C83" s="373"/>
      <c r="D83" s="373"/>
      <c r="E83" s="373"/>
      <c r="F83" s="373"/>
      <c r="G83" s="373"/>
      <c r="H83" s="373"/>
      <c r="I83" s="618">
        <v>1</v>
      </c>
      <c r="J83" s="374"/>
      <c r="K83" s="377">
        <v>159</v>
      </c>
      <c r="L83" s="373">
        <v>183</v>
      </c>
      <c r="M83" s="373">
        <v>177</v>
      </c>
      <c r="N83" s="373">
        <v>113</v>
      </c>
      <c r="O83" s="373">
        <v>84</v>
      </c>
      <c r="P83" s="373">
        <v>62</v>
      </c>
      <c r="Q83" s="373">
        <v>54</v>
      </c>
      <c r="R83" s="618">
        <v>80</v>
      </c>
      <c r="S83" s="374"/>
      <c r="T83" s="377">
        <v>453</v>
      </c>
      <c r="U83" s="373">
        <v>472</v>
      </c>
      <c r="V83" s="373">
        <v>410</v>
      </c>
      <c r="W83" s="373">
        <v>409</v>
      </c>
      <c r="X83" s="373">
        <v>385</v>
      </c>
      <c r="Y83" s="373">
        <v>309</v>
      </c>
      <c r="Z83" s="373">
        <v>331</v>
      </c>
      <c r="AA83" s="618">
        <v>275</v>
      </c>
      <c r="AB83" s="374"/>
      <c r="AC83" s="377">
        <v>1436</v>
      </c>
      <c r="AD83" s="373">
        <v>1748</v>
      </c>
      <c r="AE83" s="373">
        <v>1557</v>
      </c>
      <c r="AF83" s="373">
        <v>1219</v>
      </c>
      <c r="AG83" s="373">
        <v>1208</v>
      </c>
      <c r="AH83" s="373">
        <v>1115</v>
      </c>
      <c r="AI83" s="373">
        <v>1507</v>
      </c>
      <c r="AJ83" s="618">
        <v>1085</v>
      </c>
      <c r="AK83" s="374"/>
      <c r="AL83" s="377">
        <v>68</v>
      </c>
      <c r="AM83" s="373">
        <v>75</v>
      </c>
      <c r="AN83" s="373">
        <v>77</v>
      </c>
      <c r="AO83" s="373">
        <v>76</v>
      </c>
      <c r="AP83" s="373">
        <v>82</v>
      </c>
      <c r="AQ83" s="373">
        <v>78</v>
      </c>
      <c r="AR83" s="373">
        <v>151</v>
      </c>
      <c r="AS83" s="618">
        <v>100</v>
      </c>
      <c r="AT83" s="374"/>
      <c r="AU83" s="377"/>
      <c r="AV83" s="373"/>
      <c r="AW83" s="373"/>
      <c r="AX83" s="373"/>
      <c r="AY83" s="373">
        <v>4</v>
      </c>
      <c r="AZ83" s="373">
        <v>1</v>
      </c>
      <c r="BA83" s="373"/>
      <c r="BB83" s="618"/>
      <c r="BC83" s="374"/>
      <c r="BD83" s="377">
        <f t="shared" si="9"/>
        <v>2116</v>
      </c>
      <c r="BE83" s="373">
        <f t="shared" si="10"/>
        <v>2478</v>
      </c>
      <c r="BF83" s="373">
        <f t="shared" si="11"/>
        <v>2221</v>
      </c>
      <c r="BG83" s="373">
        <f t="shared" si="12"/>
        <v>1817</v>
      </c>
      <c r="BH83" s="373">
        <f t="shared" si="13"/>
        <v>1763</v>
      </c>
      <c r="BI83" s="373">
        <f t="shared" si="14"/>
        <v>1565</v>
      </c>
      <c r="BJ83" s="373">
        <f t="shared" si="15"/>
        <v>2043</v>
      </c>
      <c r="BK83" s="618">
        <f t="shared" si="16"/>
        <v>1541</v>
      </c>
      <c r="BL83" s="374">
        <f t="shared" si="16"/>
        <v>0</v>
      </c>
    </row>
    <row r="84" spans="1:64" x14ac:dyDescent="0.2">
      <c r="A84" s="365" t="s">
        <v>815</v>
      </c>
      <c r="B84" s="377"/>
      <c r="C84" s="373"/>
      <c r="D84" s="373"/>
      <c r="E84" s="373"/>
      <c r="F84" s="373"/>
      <c r="G84" s="373"/>
      <c r="H84" s="373"/>
      <c r="I84" s="618"/>
      <c r="J84" s="374"/>
      <c r="K84" s="377">
        <v>9</v>
      </c>
      <c r="L84" s="373">
        <v>2</v>
      </c>
      <c r="M84" s="373">
        <v>15</v>
      </c>
      <c r="N84" s="373">
        <v>2</v>
      </c>
      <c r="O84" s="373">
        <v>4</v>
      </c>
      <c r="P84" s="373">
        <v>8</v>
      </c>
      <c r="Q84" s="373">
        <v>3</v>
      </c>
      <c r="R84" s="618">
        <v>3</v>
      </c>
      <c r="S84" s="374"/>
      <c r="T84" s="377">
        <v>60</v>
      </c>
      <c r="U84" s="373">
        <v>37</v>
      </c>
      <c r="V84" s="373">
        <v>51</v>
      </c>
      <c r="W84" s="373">
        <v>35</v>
      </c>
      <c r="X84" s="373">
        <v>26</v>
      </c>
      <c r="Y84" s="373">
        <v>39</v>
      </c>
      <c r="Z84" s="373">
        <v>45</v>
      </c>
      <c r="AA84" s="618">
        <v>30</v>
      </c>
      <c r="AB84" s="374"/>
      <c r="AC84" s="377">
        <v>287</v>
      </c>
      <c r="AD84" s="373">
        <v>222</v>
      </c>
      <c r="AE84" s="373">
        <v>168</v>
      </c>
      <c r="AF84" s="373">
        <v>197</v>
      </c>
      <c r="AG84" s="373">
        <v>141</v>
      </c>
      <c r="AH84" s="373">
        <v>222</v>
      </c>
      <c r="AI84" s="373">
        <v>131</v>
      </c>
      <c r="AJ84" s="618">
        <v>120</v>
      </c>
      <c r="AK84" s="374"/>
      <c r="AL84" s="377">
        <v>3</v>
      </c>
      <c r="AM84" s="373">
        <v>9</v>
      </c>
      <c r="AN84" s="373">
        <v>6</v>
      </c>
      <c r="AO84" s="373">
        <v>13</v>
      </c>
      <c r="AP84" s="373">
        <v>9</v>
      </c>
      <c r="AQ84" s="373">
        <v>15</v>
      </c>
      <c r="AR84" s="373">
        <v>5</v>
      </c>
      <c r="AS84" s="618">
        <v>1</v>
      </c>
      <c r="AT84" s="374"/>
      <c r="AU84" s="377"/>
      <c r="AV84" s="373"/>
      <c r="AW84" s="373"/>
      <c r="AX84" s="373"/>
      <c r="AY84" s="373"/>
      <c r="AZ84" s="373"/>
      <c r="BA84" s="373"/>
      <c r="BB84" s="618"/>
      <c r="BC84" s="374"/>
      <c r="BD84" s="377">
        <f t="shared" si="9"/>
        <v>359</v>
      </c>
      <c r="BE84" s="373">
        <f t="shared" si="10"/>
        <v>270</v>
      </c>
      <c r="BF84" s="373">
        <f t="shared" si="11"/>
        <v>240</v>
      </c>
      <c r="BG84" s="373">
        <f t="shared" si="12"/>
        <v>247</v>
      </c>
      <c r="BH84" s="373">
        <f t="shared" si="13"/>
        <v>180</v>
      </c>
      <c r="BI84" s="373">
        <f t="shared" si="14"/>
        <v>284</v>
      </c>
      <c r="BJ84" s="373">
        <f t="shared" si="15"/>
        <v>184</v>
      </c>
      <c r="BK84" s="618">
        <f t="shared" si="16"/>
        <v>154</v>
      </c>
      <c r="BL84" s="374">
        <f t="shared" si="16"/>
        <v>0</v>
      </c>
    </row>
    <row r="85" spans="1:64" x14ac:dyDescent="0.2">
      <c r="A85" s="365" t="s">
        <v>691</v>
      </c>
      <c r="B85" s="377"/>
      <c r="C85" s="373"/>
      <c r="D85" s="373"/>
      <c r="E85" s="373"/>
      <c r="F85" s="373"/>
      <c r="G85" s="373"/>
      <c r="H85" s="373"/>
      <c r="I85" s="618"/>
      <c r="J85" s="374"/>
      <c r="K85" s="377">
        <v>14</v>
      </c>
      <c r="L85" s="373">
        <v>27</v>
      </c>
      <c r="M85" s="373">
        <v>21</v>
      </c>
      <c r="N85" s="373">
        <v>17</v>
      </c>
      <c r="O85" s="373">
        <v>14</v>
      </c>
      <c r="P85" s="373">
        <v>4</v>
      </c>
      <c r="Q85" s="373">
        <v>12</v>
      </c>
      <c r="R85" s="618">
        <v>8</v>
      </c>
      <c r="S85" s="374"/>
      <c r="T85" s="377">
        <v>54</v>
      </c>
      <c r="U85" s="373">
        <v>40</v>
      </c>
      <c r="V85" s="373">
        <v>39</v>
      </c>
      <c r="W85" s="373">
        <v>33</v>
      </c>
      <c r="X85" s="373">
        <v>31</v>
      </c>
      <c r="Y85" s="373">
        <v>31</v>
      </c>
      <c r="Z85" s="373">
        <v>16</v>
      </c>
      <c r="AA85" s="618">
        <v>14</v>
      </c>
      <c r="AB85" s="374"/>
      <c r="AC85" s="377">
        <v>116</v>
      </c>
      <c r="AD85" s="373">
        <v>97</v>
      </c>
      <c r="AE85" s="373">
        <v>117</v>
      </c>
      <c r="AF85" s="373">
        <v>107</v>
      </c>
      <c r="AG85" s="373">
        <v>100</v>
      </c>
      <c r="AH85" s="373">
        <v>95</v>
      </c>
      <c r="AI85" s="373">
        <v>112</v>
      </c>
      <c r="AJ85" s="618">
        <v>77</v>
      </c>
      <c r="AK85" s="374"/>
      <c r="AL85" s="377">
        <v>3</v>
      </c>
      <c r="AM85" s="373">
        <v>6</v>
      </c>
      <c r="AN85" s="373">
        <v>7</v>
      </c>
      <c r="AO85" s="373">
        <v>7</v>
      </c>
      <c r="AP85" s="373">
        <v>9</v>
      </c>
      <c r="AQ85" s="373">
        <v>11</v>
      </c>
      <c r="AR85" s="373">
        <v>10</v>
      </c>
      <c r="AS85" s="618">
        <v>10</v>
      </c>
      <c r="AT85" s="374"/>
      <c r="AU85" s="377"/>
      <c r="AV85" s="373"/>
      <c r="AW85" s="373"/>
      <c r="AX85" s="373"/>
      <c r="AY85" s="373"/>
      <c r="AZ85" s="373"/>
      <c r="BA85" s="373"/>
      <c r="BB85" s="618"/>
      <c r="BC85" s="374"/>
      <c r="BD85" s="377">
        <f t="shared" si="9"/>
        <v>187</v>
      </c>
      <c r="BE85" s="373">
        <f t="shared" si="10"/>
        <v>170</v>
      </c>
      <c r="BF85" s="373">
        <f t="shared" si="11"/>
        <v>184</v>
      </c>
      <c r="BG85" s="373">
        <f t="shared" si="12"/>
        <v>164</v>
      </c>
      <c r="BH85" s="373">
        <f t="shared" si="13"/>
        <v>154</v>
      </c>
      <c r="BI85" s="373">
        <f t="shared" si="14"/>
        <v>141</v>
      </c>
      <c r="BJ85" s="373">
        <f t="shared" si="15"/>
        <v>150</v>
      </c>
      <c r="BK85" s="618">
        <f t="shared" si="16"/>
        <v>109</v>
      </c>
      <c r="BL85" s="374">
        <f t="shared" si="16"/>
        <v>0</v>
      </c>
    </row>
    <row r="86" spans="1:64" x14ac:dyDescent="0.2">
      <c r="A86" s="365" t="s">
        <v>692</v>
      </c>
      <c r="B86" s="377"/>
      <c r="C86" s="373"/>
      <c r="D86" s="373"/>
      <c r="E86" s="373"/>
      <c r="F86" s="373"/>
      <c r="G86" s="373"/>
      <c r="H86" s="373"/>
      <c r="I86" s="618"/>
      <c r="J86" s="374"/>
      <c r="K86" s="377">
        <v>77</v>
      </c>
      <c r="L86" s="373">
        <v>75</v>
      </c>
      <c r="M86" s="373">
        <v>46</v>
      </c>
      <c r="N86" s="373">
        <v>40</v>
      </c>
      <c r="O86" s="373">
        <v>24</v>
      </c>
      <c r="P86" s="373">
        <v>23</v>
      </c>
      <c r="Q86" s="373">
        <v>31</v>
      </c>
      <c r="R86" s="618">
        <v>13</v>
      </c>
      <c r="S86" s="374"/>
      <c r="T86" s="377">
        <v>224</v>
      </c>
      <c r="U86" s="373">
        <v>197</v>
      </c>
      <c r="V86" s="373">
        <v>183</v>
      </c>
      <c r="W86" s="373">
        <v>167</v>
      </c>
      <c r="X86" s="373">
        <v>153</v>
      </c>
      <c r="Y86" s="373">
        <v>113</v>
      </c>
      <c r="Z86" s="373">
        <v>131</v>
      </c>
      <c r="AA86" s="618">
        <v>119</v>
      </c>
      <c r="AB86" s="374"/>
      <c r="AC86" s="377">
        <v>672</v>
      </c>
      <c r="AD86" s="373">
        <v>582</v>
      </c>
      <c r="AE86" s="373">
        <v>468</v>
      </c>
      <c r="AF86" s="373">
        <v>522</v>
      </c>
      <c r="AG86" s="373">
        <v>514</v>
      </c>
      <c r="AH86" s="373">
        <v>410</v>
      </c>
      <c r="AI86" s="373">
        <v>498</v>
      </c>
      <c r="AJ86" s="618">
        <v>497</v>
      </c>
      <c r="AK86" s="374"/>
      <c r="AL86" s="377">
        <v>23</v>
      </c>
      <c r="AM86" s="373">
        <v>34</v>
      </c>
      <c r="AN86" s="373">
        <v>21</v>
      </c>
      <c r="AO86" s="373">
        <v>37</v>
      </c>
      <c r="AP86" s="373">
        <v>38</v>
      </c>
      <c r="AQ86" s="373">
        <v>39</v>
      </c>
      <c r="AR86" s="373">
        <v>40</v>
      </c>
      <c r="AS86" s="618">
        <v>30</v>
      </c>
      <c r="AT86" s="374"/>
      <c r="AU86" s="377"/>
      <c r="AV86" s="373"/>
      <c r="AW86" s="373"/>
      <c r="AX86" s="373"/>
      <c r="AY86" s="373">
        <v>1</v>
      </c>
      <c r="AZ86" s="373"/>
      <c r="BA86" s="373"/>
      <c r="BB86" s="618"/>
      <c r="BC86" s="374"/>
      <c r="BD86" s="377">
        <f t="shared" si="9"/>
        <v>996</v>
      </c>
      <c r="BE86" s="373">
        <f t="shared" si="10"/>
        <v>888</v>
      </c>
      <c r="BF86" s="373">
        <f t="shared" si="11"/>
        <v>718</v>
      </c>
      <c r="BG86" s="373">
        <f t="shared" si="12"/>
        <v>766</v>
      </c>
      <c r="BH86" s="373">
        <f t="shared" si="13"/>
        <v>730</v>
      </c>
      <c r="BI86" s="373">
        <f t="shared" si="14"/>
        <v>585</v>
      </c>
      <c r="BJ86" s="373">
        <f t="shared" si="15"/>
        <v>700</v>
      </c>
      <c r="BK86" s="618">
        <f t="shared" si="16"/>
        <v>659</v>
      </c>
      <c r="BL86" s="374">
        <f t="shared" si="16"/>
        <v>0</v>
      </c>
    </row>
    <row r="87" spans="1:64" ht="13.5" thickBot="1" x14ac:dyDescent="0.25">
      <c r="A87" s="366" t="s">
        <v>693</v>
      </c>
      <c r="B87" s="378"/>
      <c r="C87" s="375"/>
      <c r="D87" s="375"/>
      <c r="E87" s="375"/>
      <c r="F87" s="375">
        <v>1</v>
      </c>
      <c r="G87" s="375"/>
      <c r="H87" s="375">
        <v>1</v>
      </c>
      <c r="I87" s="619"/>
      <c r="J87" s="376"/>
      <c r="K87" s="378">
        <v>132</v>
      </c>
      <c r="L87" s="375">
        <v>132</v>
      </c>
      <c r="M87" s="375">
        <v>65</v>
      </c>
      <c r="N87" s="375">
        <v>68</v>
      </c>
      <c r="O87" s="375">
        <v>56</v>
      </c>
      <c r="P87" s="375">
        <v>62</v>
      </c>
      <c r="Q87" s="375">
        <v>59</v>
      </c>
      <c r="R87" s="619">
        <v>59</v>
      </c>
      <c r="S87" s="376"/>
      <c r="T87" s="378">
        <v>199</v>
      </c>
      <c r="U87" s="375">
        <v>183</v>
      </c>
      <c r="V87" s="375">
        <v>203</v>
      </c>
      <c r="W87" s="375">
        <v>167</v>
      </c>
      <c r="X87" s="375">
        <v>183</v>
      </c>
      <c r="Y87" s="375">
        <v>181</v>
      </c>
      <c r="Z87" s="375">
        <v>131</v>
      </c>
      <c r="AA87" s="619">
        <v>174</v>
      </c>
      <c r="AB87" s="376"/>
      <c r="AC87" s="378">
        <v>590</v>
      </c>
      <c r="AD87" s="375">
        <v>582</v>
      </c>
      <c r="AE87" s="375">
        <v>584</v>
      </c>
      <c r="AF87" s="375">
        <v>573</v>
      </c>
      <c r="AG87" s="375">
        <v>549</v>
      </c>
      <c r="AH87" s="375">
        <v>506</v>
      </c>
      <c r="AI87" s="375">
        <v>481</v>
      </c>
      <c r="AJ87" s="619">
        <v>525</v>
      </c>
      <c r="AK87" s="376"/>
      <c r="AL87" s="378">
        <v>47</v>
      </c>
      <c r="AM87" s="375">
        <v>35</v>
      </c>
      <c r="AN87" s="375">
        <v>42</v>
      </c>
      <c r="AO87" s="375">
        <v>52</v>
      </c>
      <c r="AP87" s="375">
        <v>53</v>
      </c>
      <c r="AQ87" s="375">
        <v>43</v>
      </c>
      <c r="AR87" s="375">
        <v>54</v>
      </c>
      <c r="AS87" s="619">
        <v>32</v>
      </c>
      <c r="AT87" s="376"/>
      <c r="AU87" s="378"/>
      <c r="AV87" s="375"/>
      <c r="AW87" s="375"/>
      <c r="AX87" s="375"/>
      <c r="AY87" s="375">
        <v>2</v>
      </c>
      <c r="AZ87" s="375"/>
      <c r="BA87" s="375"/>
      <c r="BB87" s="619"/>
      <c r="BC87" s="376"/>
      <c r="BD87" s="378">
        <f t="shared" si="9"/>
        <v>968</v>
      </c>
      <c r="BE87" s="375">
        <f t="shared" si="10"/>
        <v>932</v>
      </c>
      <c r="BF87" s="375">
        <f t="shared" si="11"/>
        <v>894</v>
      </c>
      <c r="BG87" s="375">
        <f t="shared" si="12"/>
        <v>860</v>
      </c>
      <c r="BH87" s="375">
        <f t="shared" si="13"/>
        <v>844</v>
      </c>
      <c r="BI87" s="375">
        <f t="shared" si="14"/>
        <v>792</v>
      </c>
      <c r="BJ87" s="375">
        <f t="shared" si="15"/>
        <v>726</v>
      </c>
      <c r="BK87" s="619">
        <f t="shared" si="16"/>
        <v>790</v>
      </c>
      <c r="BL87" s="376">
        <f t="shared" si="16"/>
        <v>0</v>
      </c>
    </row>
    <row r="88" spans="1:64" s="264" customFormat="1" x14ac:dyDescent="0.2">
      <c r="A88" s="364" t="s">
        <v>778</v>
      </c>
      <c r="B88" s="379"/>
      <c r="C88" s="380"/>
      <c r="D88" s="380"/>
      <c r="E88" s="380"/>
      <c r="F88" s="380">
        <v>2</v>
      </c>
      <c r="G88" s="380">
        <v>1</v>
      </c>
      <c r="H88" s="380">
        <v>3</v>
      </c>
      <c r="I88" s="617">
        <v>1</v>
      </c>
      <c r="J88" s="381"/>
      <c r="K88" s="379">
        <v>750</v>
      </c>
      <c r="L88" s="380">
        <v>742</v>
      </c>
      <c r="M88" s="380">
        <v>694</v>
      </c>
      <c r="N88" s="380">
        <v>717</v>
      </c>
      <c r="O88" s="380">
        <v>792</v>
      </c>
      <c r="P88" s="380">
        <v>575</v>
      </c>
      <c r="Q88" s="380">
        <v>572</v>
      </c>
      <c r="R88" s="617">
        <v>463</v>
      </c>
      <c r="S88" s="381"/>
      <c r="T88" s="379">
        <v>1552</v>
      </c>
      <c r="U88" s="380">
        <v>1568</v>
      </c>
      <c r="V88" s="380">
        <v>1204</v>
      </c>
      <c r="W88" s="380">
        <v>1406</v>
      </c>
      <c r="X88" s="380">
        <v>1350</v>
      </c>
      <c r="Y88" s="380">
        <v>1138</v>
      </c>
      <c r="Z88" s="380">
        <v>1111</v>
      </c>
      <c r="AA88" s="617">
        <v>878</v>
      </c>
      <c r="AB88" s="381"/>
      <c r="AC88" s="379">
        <v>4197</v>
      </c>
      <c r="AD88" s="380">
        <v>3650</v>
      </c>
      <c r="AE88" s="380">
        <v>3119</v>
      </c>
      <c r="AF88" s="380">
        <v>3426</v>
      </c>
      <c r="AG88" s="380">
        <v>3310</v>
      </c>
      <c r="AH88" s="380">
        <v>3045</v>
      </c>
      <c r="AI88" s="380">
        <v>2805</v>
      </c>
      <c r="AJ88" s="617">
        <v>2645</v>
      </c>
      <c r="AK88" s="381"/>
      <c r="AL88" s="379">
        <v>204</v>
      </c>
      <c r="AM88" s="380">
        <v>207</v>
      </c>
      <c r="AN88" s="380">
        <v>182</v>
      </c>
      <c r="AO88" s="380">
        <v>180</v>
      </c>
      <c r="AP88" s="380">
        <v>254</v>
      </c>
      <c r="AQ88" s="380">
        <v>238</v>
      </c>
      <c r="AR88" s="380">
        <v>245</v>
      </c>
      <c r="AS88" s="617">
        <v>262</v>
      </c>
      <c r="AT88" s="381"/>
      <c r="AU88" s="379"/>
      <c r="AV88" s="380"/>
      <c r="AW88" s="380"/>
      <c r="AX88" s="380"/>
      <c r="AY88" s="380">
        <v>7</v>
      </c>
      <c r="AZ88" s="380"/>
      <c r="BA88" s="380"/>
      <c r="BB88" s="617"/>
      <c r="BC88" s="381"/>
      <c r="BD88" s="379">
        <f t="shared" si="9"/>
        <v>6703</v>
      </c>
      <c r="BE88" s="380">
        <f t="shared" si="10"/>
        <v>6167</v>
      </c>
      <c r="BF88" s="380">
        <f t="shared" si="11"/>
        <v>5199</v>
      </c>
      <c r="BG88" s="380">
        <f t="shared" si="12"/>
        <v>5729</v>
      </c>
      <c r="BH88" s="380">
        <f t="shared" si="13"/>
        <v>5715</v>
      </c>
      <c r="BI88" s="380">
        <f t="shared" si="14"/>
        <v>4997</v>
      </c>
      <c r="BJ88" s="380">
        <f t="shared" si="15"/>
        <v>4736</v>
      </c>
      <c r="BK88" s="617">
        <f t="shared" si="16"/>
        <v>4249</v>
      </c>
      <c r="BL88" s="381">
        <f t="shared" si="16"/>
        <v>0</v>
      </c>
    </row>
    <row r="89" spans="1:64" x14ac:dyDescent="0.2">
      <c r="A89" s="365" t="s">
        <v>700</v>
      </c>
      <c r="B89" s="377"/>
      <c r="C89" s="373"/>
      <c r="D89" s="373"/>
      <c r="E89" s="373"/>
      <c r="F89" s="373"/>
      <c r="G89" s="373"/>
      <c r="H89" s="373"/>
      <c r="I89" s="618"/>
      <c r="J89" s="374"/>
      <c r="K89" s="377">
        <v>43</v>
      </c>
      <c r="L89" s="373">
        <v>60</v>
      </c>
      <c r="M89" s="373">
        <v>39</v>
      </c>
      <c r="N89" s="373">
        <v>50</v>
      </c>
      <c r="O89" s="373">
        <v>53</v>
      </c>
      <c r="P89" s="373">
        <v>52</v>
      </c>
      <c r="Q89" s="373">
        <v>37</v>
      </c>
      <c r="R89" s="618">
        <v>27</v>
      </c>
      <c r="S89" s="374"/>
      <c r="T89" s="377">
        <v>82</v>
      </c>
      <c r="U89" s="373">
        <v>106</v>
      </c>
      <c r="V89" s="373">
        <v>50</v>
      </c>
      <c r="W89" s="373">
        <v>104</v>
      </c>
      <c r="X89" s="373">
        <v>87</v>
      </c>
      <c r="Y89" s="373">
        <v>63</v>
      </c>
      <c r="Z89" s="373">
        <v>58</v>
      </c>
      <c r="AA89" s="618">
        <v>53</v>
      </c>
      <c r="AB89" s="374"/>
      <c r="AC89" s="377">
        <v>263</v>
      </c>
      <c r="AD89" s="373">
        <v>209</v>
      </c>
      <c r="AE89" s="373">
        <v>142</v>
      </c>
      <c r="AF89" s="373">
        <v>230</v>
      </c>
      <c r="AG89" s="373">
        <v>188</v>
      </c>
      <c r="AH89" s="373">
        <v>148</v>
      </c>
      <c r="AI89" s="373">
        <v>127</v>
      </c>
      <c r="AJ89" s="618">
        <v>112</v>
      </c>
      <c r="AK89" s="374"/>
      <c r="AL89" s="377">
        <v>10</v>
      </c>
      <c r="AM89" s="373">
        <v>9</v>
      </c>
      <c r="AN89" s="373">
        <v>11</v>
      </c>
      <c r="AO89" s="373">
        <v>10</v>
      </c>
      <c r="AP89" s="373">
        <v>11</v>
      </c>
      <c r="AQ89" s="373">
        <v>15</v>
      </c>
      <c r="AR89" s="373">
        <v>8</v>
      </c>
      <c r="AS89" s="618">
        <v>10</v>
      </c>
      <c r="AT89" s="374"/>
      <c r="AU89" s="377"/>
      <c r="AV89" s="373"/>
      <c r="AW89" s="373"/>
      <c r="AX89" s="373"/>
      <c r="AY89" s="373"/>
      <c r="AZ89" s="373"/>
      <c r="BA89" s="373"/>
      <c r="BB89" s="618"/>
      <c r="BC89" s="374"/>
      <c r="BD89" s="377">
        <f t="shared" si="9"/>
        <v>398</v>
      </c>
      <c r="BE89" s="373">
        <f t="shared" si="10"/>
        <v>384</v>
      </c>
      <c r="BF89" s="373">
        <f t="shared" si="11"/>
        <v>242</v>
      </c>
      <c r="BG89" s="373">
        <f t="shared" si="12"/>
        <v>394</v>
      </c>
      <c r="BH89" s="373">
        <f t="shared" si="13"/>
        <v>339</v>
      </c>
      <c r="BI89" s="373">
        <f t="shared" si="14"/>
        <v>278</v>
      </c>
      <c r="BJ89" s="373">
        <f t="shared" si="15"/>
        <v>230</v>
      </c>
      <c r="BK89" s="618">
        <f t="shared" si="16"/>
        <v>202</v>
      </c>
      <c r="BL89" s="374">
        <f t="shared" si="16"/>
        <v>0</v>
      </c>
    </row>
    <row r="90" spans="1:64" x14ac:dyDescent="0.2">
      <c r="A90" s="365" t="s">
        <v>695</v>
      </c>
      <c r="B90" s="377"/>
      <c r="C90" s="373"/>
      <c r="D90" s="373"/>
      <c r="E90" s="373"/>
      <c r="F90" s="373"/>
      <c r="G90" s="373"/>
      <c r="H90" s="373"/>
      <c r="I90" s="618">
        <v>1</v>
      </c>
      <c r="J90" s="374"/>
      <c r="K90" s="377">
        <v>156</v>
      </c>
      <c r="L90" s="373">
        <v>139</v>
      </c>
      <c r="M90" s="373">
        <v>103</v>
      </c>
      <c r="N90" s="373">
        <v>142</v>
      </c>
      <c r="O90" s="373">
        <v>112</v>
      </c>
      <c r="P90" s="373">
        <v>110</v>
      </c>
      <c r="Q90" s="373">
        <v>120</v>
      </c>
      <c r="R90" s="618">
        <v>91</v>
      </c>
      <c r="S90" s="374"/>
      <c r="T90" s="377">
        <v>252</v>
      </c>
      <c r="U90" s="373">
        <v>234</v>
      </c>
      <c r="V90" s="373">
        <v>198</v>
      </c>
      <c r="W90" s="373">
        <v>166</v>
      </c>
      <c r="X90" s="373">
        <v>157</v>
      </c>
      <c r="Y90" s="373">
        <v>173</v>
      </c>
      <c r="Z90" s="373">
        <v>138</v>
      </c>
      <c r="AA90" s="618">
        <v>136</v>
      </c>
      <c r="AB90" s="374"/>
      <c r="AC90" s="377">
        <v>567</v>
      </c>
      <c r="AD90" s="373">
        <v>496</v>
      </c>
      <c r="AE90" s="373">
        <v>406</v>
      </c>
      <c r="AF90" s="373">
        <v>397</v>
      </c>
      <c r="AG90" s="373">
        <v>417</v>
      </c>
      <c r="AH90" s="373">
        <v>427</v>
      </c>
      <c r="AI90" s="373">
        <v>428</v>
      </c>
      <c r="AJ90" s="618">
        <v>405</v>
      </c>
      <c r="AK90" s="374"/>
      <c r="AL90" s="377">
        <v>30</v>
      </c>
      <c r="AM90" s="373">
        <v>20</v>
      </c>
      <c r="AN90" s="373">
        <v>21</v>
      </c>
      <c r="AO90" s="373">
        <v>18</v>
      </c>
      <c r="AP90" s="373">
        <v>30</v>
      </c>
      <c r="AQ90" s="373">
        <v>34</v>
      </c>
      <c r="AR90" s="373">
        <v>31</v>
      </c>
      <c r="AS90" s="618">
        <v>30</v>
      </c>
      <c r="AT90" s="374"/>
      <c r="AU90" s="377"/>
      <c r="AV90" s="373"/>
      <c r="AW90" s="373"/>
      <c r="AX90" s="373"/>
      <c r="AY90" s="373">
        <v>1</v>
      </c>
      <c r="AZ90" s="373"/>
      <c r="BA90" s="373"/>
      <c r="BB90" s="618"/>
      <c r="BC90" s="374"/>
      <c r="BD90" s="377">
        <f t="shared" si="9"/>
        <v>1005</v>
      </c>
      <c r="BE90" s="373">
        <f t="shared" si="10"/>
        <v>889</v>
      </c>
      <c r="BF90" s="373">
        <f t="shared" si="11"/>
        <v>728</v>
      </c>
      <c r="BG90" s="373">
        <f t="shared" si="12"/>
        <v>723</v>
      </c>
      <c r="BH90" s="373">
        <f t="shared" si="13"/>
        <v>717</v>
      </c>
      <c r="BI90" s="373">
        <f t="shared" si="14"/>
        <v>744</v>
      </c>
      <c r="BJ90" s="373">
        <f t="shared" si="15"/>
        <v>717</v>
      </c>
      <c r="BK90" s="618">
        <f t="shared" si="16"/>
        <v>663</v>
      </c>
      <c r="BL90" s="374">
        <f t="shared" si="16"/>
        <v>0</v>
      </c>
    </row>
    <row r="91" spans="1:64" x14ac:dyDescent="0.2">
      <c r="A91" s="365" t="s">
        <v>694</v>
      </c>
      <c r="B91" s="377"/>
      <c r="C91" s="373"/>
      <c r="D91" s="373"/>
      <c r="E91" s="373"/>
      <c r="F91" s="373">
        <v>2</v>
      </c>
      <c r="G91" s="373"/>
      <c r="H91" s="373">
        <v>1</v>
      </c>
      <c r="I91" s="618"/>
      <c r="J91" s="374"/>
      <c r="K91" s="377">
        <v>273</v>
      </c>
      <c r="L91" s="373">
        <v>237</v>
      </c>
      <c r="M91" s="373">
        <v>251</v>
      </c>
      <c r="N91" s="373">
        <v>216</v>
      </c>
      <c r="O91" s="373">
        <v>204</v>
      </c>
      <c r="P91" s="373">
        <v>147</v>
      </c>
      <c r="Q91" s="373">
        <v>173</v>
      </c>
      <c r="R91" s="618">
        <v>158</v>
      </c>
      <c r="S91" s="374"/>
      <c r="T91" s="377">
        <v>620</v>
      </c>
      <c r="U91" s="373">
        <v>629</v>
      </c>
      <c r="V91" s="373">
        <v>450</v>
      </c>
      <c r="W91" s="373">
        <v>559</v>
      </c>
      <c r="X91" s="373">
        <v>523</v>
      </c>
      <c r="Y91" s="373">
        <v>403</v>
      </c>
      <c r="Z91" s="373">
        <v>437</v>
      </c>
      <c r="AA91" s="618">
        <v>335</v>
      </c>
      <c r="AB91" s="374"/>
      <c r="AC91" s="377">
        <v>1914</v>
      </c>
      <c r="AD91" s="373">
        <v>1594</v>
      </c>
      <c r="AE91" s="373">
        <v>1393</v>
      </c>
      <c r="AF91" s="373">
        <v>1421</v>
      </c>
      <c r="AG91" s="373">
        <v>1335</v>
      </c>
      <c r="AH91" s="373">
        <v>1195</v>
      </c>
      <c r="AI91" s="373">
        <v>1192</v>
      </c>
      <c r="AJ91" s="618">
        <v>1159</v>
      </c>
      <c r="AK91" s="374"/>
      <c r="AL91" s="377">
        <v>93</v>
      </c>
      <c r="AM91" s="373">
        <v>97</v>
      </c>
      <c r="AN91" s="373">
        <v>97</v>
      </c>
      <c r="AO91" s="373">
        <v>86</v>
      </c>
      <c r="AP91" s="373">
        <v>110</v>
      </c>
      <c r="AQ91" s="373">
        <v>108</v>
      </c>
      <c r="AR91" s="373">
        <v>127</v>
      </c>
      <c r="AS91" s="618">
        <v>121</v>
      </c>
      <c r="AT91" s="374"/>
      <c r="AU91" s="377"/>
      <c r="AV91" s="373"/>
      <c r="AW91" s="373"/>
      <c r="AX91" s="373"/>
      <c r="AY91" s="373">
        <v>5</v>
      </c>
      <c r="AZ91" s="373"/>
      <c r="BA91" s="373"/>
      <c r="BB91" s="618"/>
      <c r="BC91" s="374"/>
      <c r="BD91" s="377">
        <f t="shared" si="9"/>
        <v>2900</v>
      </c>
      <c r="BE91" s="373">
        <f t="shared" si="10"/>
        <v>2557</v>
      </c>
      <c r="BF91" s="373">
        <f t="shared" si="11"/>
        <v>2191</v>
      </c>
      <c r="BG91" s="373">
        <f t="shared" si="12"/>
        <v>2282</v>
      </c>
      <c r="BH91" s="373">
        <f t="shared" si="13"/>
        <v>2179</v>
      </c>
      <c r="BI91" s="373">
        <f t="shared" si="14"/>
        <v>1853</v>
      </c>
      <c r="BJ91" s="373">
        <f t="shared" si="15"/>
        <v>1930</v>
      </c>
      <c r="BK91" s="618">
        <f t="shared" si="16"/>
        <v>1773</v>
      </c>
      <c r="BL91" s="374">
        <f t="shared" si="16"/>
        <v>0</v>
      </c>
    </row>
    <row r="92" spans="1:64" x14ac:dyDescent="0.2">
      <c r="A92" s="365" t="s">
        <v>816</v>
      </c>
      <c r="B92" s="377"/>
      <c r="C92" s="373"/>
      <c r="D92" s="373"/>
      <c r="E92" s="373"/>
      <c r="F92" s="373"/>
      <c r="G92" s="373"/>
      <c r="H92" s="373">
        <v>2</v>
      </c>
      <c r="I92" s="618"/>
      <c r="J92" s="374"/>
      <c r="K92" s="377">
        <v>9</v>
      </c>
      <c r="L92" s="373">
        <v>17</v>
      </c>
      <c r="M92" s="373">
        <v>11</v>
      </c>
      <c r="N92" s="373">
        <v>8</v>
      </c>
      <c r="O92" s="373">
        <v>8</v>
      </c>
      <c r="P92" s="373">
        <v>4</v>
      </c>
      <c r="Q92" s="373">
        <v>6</v>
      </c>
      <c r="R92" s="618">
        <v>9</v>
      </c>
      <c r="S92" s="374"/>
      <c r="T92" s="377">
        <v>42</v>
      </c>
      <c r="U92" s="373">
        <v>57</v>
      </c>
      <c r="V92" s="373">
        <v>43</v>
      </c>
      <c r="W92" s="373">
        <v>28</v>
      </c>
      <c r="X92" s="373">
        <v>30</v>
      </c>
      <c r="Y92" s="373">
        <v>31</v>
      </c>
      <c r="Z92" s="373">
        <v>42</v>
      </c>
      <c r="AA92" s="618">
        <v>25</v>
      </c>
      <c r="AB92" s="374"/>
      <c r="AC92" s="377">
        <v>146</v>
      </c>
      <c r="AD92" s="373">
        <v>122</v>
      </c>
      <c r="AE92" s="373">
        <v>132</v>
      </c>
      <c r="AF92" s="373">
        <v>121</v>
      </c>
      <c r="AG92" s="373">
        <v>143</v>
      </c>
      <c r="AH92" s="373">
        <v>175</v>
      </c>
      <c r="AI92" s="373">
        <v>196</v>
      </c>
      <c r="AJ92" s="618">
        <v>160</v>
      </c>
      <c r="AK92" s="374"/>
      <c r="AL92" s="377">
        <v>9</v>
      </c>
      <c r="AM92" s="373">
        <v>2</v>
      </c>
      <c r="AN92" s="373">
        <v>2</v>
      </c>
      <c r="AO92" s="373">
        <v>5</v>
      </c>
      <c r="AP92" s="373">
        <v>11</v>
      </c>
      <c r="AQ92" s="373">
        <v>12</v>
      </c>
      <c r="AR92" s="373">
        <v>9</v>
      </c>
      <c r="AS92" s="618">
        <v>23</v>
      </c>
      <c r="AT92" s="374"/>
      <c r="AU92" s="377"/>
      <c r="AV92" s="373"/>
      <c r="AW92" s="373"/>
      <c r="AX92" s="373"/>
      <c r="AY92" s="373"/>
      <c r="AZ92" s="373"/>
      <c r="BA92" s="373"/>
      <c r="BB92" s="618"/>
      <c r="BC92" s="374"/>
      <c r="BD92" s="377">
        <f t="shared" si="9"/>
        <v>206</v>
      </c>
      <c r="BE92" s="373">
        <f t="shared" si="10"/>
        <v>198</v>
      </c>
      <c r="BF92" s="373">
        <f t="shared" si="11"/>
        <v>188</v>
      </c>
      <c r="BG92" s="373">
        <f t="shared" si="12"/>
        <v>162</v>
      </c>
      <c r="BH92" s="373">
        <f t="shared" si="13"/>
        <v>192</v>
      </c>
      <c r="BI92" s="373">
        <f t="shared" si="14"/>
        <v>222</v>
      </c>
      <c r="BJ92" s="373">
        <f t="shared" si="15"/>
        <v>255</v>
      </c>
      <c r="BK92" s="618">
        <f t="shared" si="16"/>
        <v>217</v>
      </c>
      <c r="BL92" s="374">
        <f t="shared" si="16"/>
        <v>0</v>
      </c>
    </row>
    <row r="93" spans="1:64" x14ac:dyDescent="0.2">
      <c r="A93" s="365" t="s">
        <v>696</v>
      </c>
      <c r="B93" s="377"/>
      <c r="C93" s="373"/>
      <c r="D93" s="373"/>
      <c r="E93" s="373"/>
      <c r="F93" s="373"/>
      <c r="G93" s="373"/>
      <c r="H93" s="373"/>
      <c r="I93" s="618"/>
      <c r="J93" s="374"/>
      <c r="K93" s="377">
        <v>47</v>
      </c>
      <c r="L93" s="373">
        <v>41</v>
      </c>
      <c r="M93" s="373">
        <v>24</v>
      </c>
      <c r="N93" s="373">
        <v>47</v>
      </c>
      <c r="O93" s="373">
        <v>45</v>
      </c>
      <c r="P93" s="373">
        <v>30</v>
      </c>
      <c r="Q93" s="373">
        <v>46</v>
      </c>
      <c r="R93" s="618">
        <v>40</v>
      </c>
      <c r="S93" s="374"/>
      <c r="T93" s="377">
        <v>51</v>
      </c>
      <c r="U93" s="373">
        <v>65</v>
      </c>
      <c r="V93" s="373">
        <v>62</v>
      </c>
      <c r="W93" s="373">
        <v>82</v>
      </c>
      <c r="X93" s="373">
        <v>69</v>
      </c>
      <c r="Y93" s="373">
        <v>65</v>
      </c>
      <c r="Z93" s="373">
        <v>78</v>
      </c>
      <c r="AA93" s="618">
        <v>58</v>
      </c>
      <c r="AB93" s="374"/>
      <c r="AC93" s="377">
        <v>166</v>
      </c>
      <c r="AD93" s="373">
        <v>163</v>
      </c>
      <c r="AE93" s="373">
        <v>150</v>
      </c>
      <c r="AF93" s="373">
        <v>183</v>
      </c>
      <c r="AG93" s="373">
        <v>200</v>
      </c>
      <c r="AH93" s="373">
        <v>173</v>
      </c>
      <c r="AI93" s="373">
        <v>151</v>
      </c>
      <c r="AJ93" s="618">
        <v>159</v>
      </c>
      <c r="AK93" s="374"/>
      <c r="AL93" s="377">
        <v>6</v>
      </c>
      <c r="AM93" s="373">
        <v>10</v>
      </c>
      <c r="AN93" s="373">
        <v>9</v>
      </c>
      <c r="AO93" s="373">
        <v>9</v>
      </c>
      <c r="AP93" s="373">
        <v>18</v>
      </c>
      <c r="AQ93" s="373">
        <v>14</v>
      </c>
      <c r="AR93" s="373">
        <v>16</v>
      </c>
      <c r="AS93" s="618">
        <v>24</v>
      </c>
      <c r="AT93" s="374"/>
      <c r="AU93" s="377"/>
      <c r="AV93" s="373"/>
      <c r="AW93" s="373"/>
      <c r="AX93" s="373"/>
      <c r="AY93" s="373"/>
      <c r="AZ93" s="373"/>
      <c r="BA93" s="373"/>
      <c r="BB93" s="618"/>
      <c r="BC93" s="374"/>
      <c r="BD93" s="377">
        <f t="shared" si="9"/>
        <v>270</v>
      </c>
      <c r="BE93" s="373">
        <f t="shared" si="10"/>
        <v>279</v>
      </c>
      <c r="BF93" s="373">
        <f t="shared" si="11"/>
        <v>245</v>
      </c>
      <c r="BG93" s="373">
        <f t="shared" si="12"/>
        <v>321</v>
      </c>
      <c r="BH93" s="373">
        <f t="shared" si="13"/>
        <v>332</v>
      </c>
      <c r="BI93" s="373">
        <f t="shared" si="14"/>
        <v>282</v>
      </c>
      <c r="BJ93" s="373">
        <f t="shared" si="15"/>
        <v>291</v>
      </c>
      <c r="BK93" s="618">
        <f t="shared" si="16"/>
        <v>281</v>
      </c>
      <c r="BL93" s="374">
        <f t="shared" si="16"/>
        <v>0</v>
      </c>
    </row>
    <row r="94" spans="1:64" x14ac:dyDescent="0.2">
      <c r="A94" s="365" t="s">
        <v>773</v>
      </c>
      <c r="B94" s="377"/>
      <c r="C94" s="373"/>
      <c r="D94" s="373"/>
      <c r="E94" s="373"/>
      <c r="F94" s="373"/>
      <c r="G94" s="373"/>
      <c r="H94" s="373"/>
      <c r="I94" s="618"/>
      <c r="J94" s="374"/>
      <c r="K94" s="377">
        <v>100</v>
      </c>
      <c r="L94" s="373">
        <v>97</v>
      </c>
      <c r="M94" s="373">
        <v>94</v>
      </c>
      <c r="N94" s="373">
        <v>78</v>
      </c>
      <c r="O94" s="373">
        <v>202</v>
      </c>
      <c r="P94" s="373">
        <v>114</v>
      </c>
      <c r="Q94" s="373">
        <v>82</v>
      </c>
      <c r="R94" s="618">
        <v>52</v>
      </c>
      <c r="S94" s="374"/>
      <c r="T94" s="377">
        <v>201</v>
      </c>
      <c r="U94" s="373">
        <v>165</v>
      </c>
      <c r="V94" s="373">
        <v>139</v>
      </c>
      <c r="W94" s="373">
        <v>181</v>
      </c>
      <c r="X94" s="373">
        <v>207</v>
      </c>
      <c r="Y94" s="373">
        <v>178</v>
      </c>
      <c r="Z94" s="373">
        <v>131</v>
      </c>
      <c r="AA94" s="618">
        <v>116</v>
      </c>
      <c r="AB94" s="374"/>
      <c r="AC94" s="377">
        <v>452</v>
      </c>
      <c r="AD94" s="373">
        <v>372</v>
      </c>
      <c r="AE94" s="373">
        <v>346</v>
      </c>
      <c r="AF94" s="373">
        <v>383</v>
      </c>
      <c r="AG94" s="373">
        <v>490</v>
      </c>
      <c r="AH94" s="373">
        <v>358</v>
      </c>
      <c r="AI94" s="373">
        <v>276</v>
      </c>
      <c r="AJ94" s="618">
        <v>251</v>
      </c>
      <c r="AK94" s="374"/>
      <c r="AL94" s="377">
        <v>16</v>
      </c>
      <c r="AM94" s="373">
        <v>19</v>
      </c>
      <c r="AN94" s="373">
        <v>12</v>
      </c>
      <c r="AO94" s="373">
        <v>12</v>
      </c>
      <c r="AP94" s="373">
        <v>15</v>
      </c>
      <c r="AQ94" s="373">
        <v>18</v>
      </c>
      <c r="AR94" s="373">
        <v>17</v>
      </c>
      <c r="AS94" s="618">
        <v>20</v>
      </c>
      <c r="AT94" s="374"/>
      <c r="AU94" s="377"/>
      <c r="AV94" s="373"/>
      <c r="AW94" s="373"/>
      <c r="AX94" s="373"/>
      <c r="AY94" s="373"/>
      <c r="AZ94" s="373"/>
      <c r="BA94" s="373"/>
      <c r="BB94" s="618"/>
      <c r="BC94" s="374"/>
      <c r="BD94" s="377">
        <f t="shared" si="9"/>
        <v>769</v>
      </c>
      <c r="BE94" s="373">
        <f t="shared" si="10"/>
        <v>653</v>
      </c>
      <c r="BF94" s="373">
        <f t="shared" si="11"/>
        <v>591</v>
      </c>
      <c r="BG94" s="373">
        <f t="shared" si="12"/>
        <v>654</v>
      </c>
      <c r="BH94" s="373">
        <f t="shared" si="13"/>
        <v>914</v>
      </c>
      <c r="BI94" s="373">
        <f t="shared" si="14"/>
        <v>668</v>
      </c>
      <c r="BJ94" s="373">
        <f t="shared" si="15"/>
        <v>506</v>
      </c>
      <c r="BK94" s="618">
        <f t="shared" si="16"/>
        <v>439</v>
      </c>
      <c r="BL94" s="374">
        <f t="shared" si="16"/>
        <v>0</v>
      </c>
    </row>
    <row r="95" spans="1:64" x14ac:dyDescent="0.2">
      <c r="A95" s="365" t="s">
        <v>698</v>
      </c>
      <c r="B95" s="377"/>
      <c r="C95" s="373"/>
      <c r="D95" s="373"/>
      <c r="E95" s="373"/>
      <c r="F95" s="373"/>
      <c r="G95" s="373">
        <v>1</v>
      </c>
      <c r="H95" s="373"/>
      <c r="I95" s="618"/>
      <c r="J95" s="374"/>
      <c r="K95" s="377">
        <v>40</v>
      </c>
      <c r="L95" s="373">
        <v>57</v>
      </c>
      <c r="M95" s="373">
        <v>70</v>
      </c>
      <c r="N95" s="373">
        <v>63</v>
      </c>
      <c r="O95" s="373">
        <v>48</v>
      </c>
      <c r="P95" s="373">
        <v>44</v>
      </c>
      <c r="Q95" s="373">
        <v>38</v>
      </c>
      <c r="R95" s="618">
        <v>31</v>
      </c>
      <c r="S95" s="374"/>
      <c r="T95" s="377">
        <v>74</v>
      </c>
      <c r="U95" s="373">
        <v>103</v>
      </c>
      <c r="V95" s="373">
        <v>93</v>
      </c>
      <c r="W95" s="373">
        <v>118</v>
      </c>
      <c r="X95" s="373">
        <v>137</v>
      </c>
      <c r="Y95" s="373">
        <v>94</v>
      </c>
      <c r="Z95" s="373">
        <v>101</v>
      </c>
      <c r="AA95" s="618">
        <v>60</v>
      </c>
      <c r="AB95" s="374"/>
      <c r="AC95" s="377">
        <v>184</v>
      </c>
      <c r="AD95" s="373">
        <v>220</v>
      </c>
      <c r="AE95" s="373">
        <v>162</v>
      </c>
      <c r="AF95" s="373">
        <v>230</v>
      </c>
      <c r="AG95" s="373">
        <v>193</v>
      </c>
      <c r="AH95" s="373">
        <v>166</v>
      </c>
      <c r="AI95" s="373">
        <v>143</v>
      </c>
      <c r="AJ95" s="618">
        <v>137</v>
      </c>
      <c r="AK95" s="374"/>
      <c r="AL95" s="377">
        <v>11</v>
      </c>
      <c r="AM95" s="373">
        <v>16</v>
      </c>
      <c r="AN95" s="373">
        <v>9</v>
      </c>
      <c r="AO95" s="373">
        <v>16</v>
      </c>
      <c r="AP95" s="373">
        <v>25</v>
      </c>
      <c r="AQ95" s="373">
        <v>13</v>
      </c>
      <c r="AR95" s="373">
        <v>10</v>
      </c>
      <c r="AS95" s="618">
        <v>9</v>
      </c>
      <c r="AT95" s="374"/>
      <c r="AU95" s="377"/>
      <c r="AV95" s="373"/>
      <c r="AW95" s="373"/>
      <c r="AX95" s="373"/>
      <c r="AY95" s="373"/>
      <c r="AZ95" s="373"/>
      <c r="BA95" s="373"/>
      <c r="BB95" s="618"/>
      <c r="BC95" s="374"/>
      <c r="BD95" s="377">
        <f t="shared" si="9"/>
        <v>309</v>
      </c>
      <c r="BE95" s="373">
        <f t="shared" si="10"/>
        <v>396</v>
      </c>
      <c r="BF95" s="373">
        <f t="shared" si="11"/>
        <v>334</v>
      </c>
      <c r="BG95" s="373">
        <f t="shared" si="12"/>
        <v>427</v>
      </c>
      <c r="BH95" s="373">
        <f t="shared" si="13"/>
        <v>403</v>
      </c>
      <c r="BI95" s="373">
        <f t="shared" si="14"/>
        <v>318</v>
      </c>
      <c r="BJ95" s="373">
        <f t="shared" si="15"/>
        <v>292</v>
      </c>
      <c r="BK95" s="618">
        <f t="shared" si="16"/>
        <v>237</v>
      </c>
      <c r="BL95" s="374">
        <f t="shared" si="16"/>
        <v>0</v>
      </c>
    </row>
    <row r="96" spans="1:64" x14ac:dyDescent="0.2">
      <c r="A96" s="365" t="s">
        <v>697</v>
      </c>
      <c r="B96" s="377"/>
      <c r="C96" s="373"/>
      <c r="D96" s="373"/>
      <c r="E96" s="373"/>
      <c r="F96" s="373"/>
      <c r="G96" s="373"/>
      <c r="H96" s="373"/>
      <c r="I96" s="618"/>
      <c r="J96" s="374"/>
      <c r="K96" s="377">
        <v>37</v>
      </c>
      <c r="L96" s="373">
        <v>45</v>
      </c>
      <c r="M96" s="373">
        <v>58</v>
      </c>
      <c r="N96" s="373">
        <v>48</v>
      </c>
      <c r="O96" s="373">
        <v>61</v>
      </c>
      <c r="P96" s="373">
        <v>37</v>
      </c>
      <c r="Q96" s="373">
        <v>26</v>
      </c>
      <c r="R96" s="618">
        <v>22</v>
      </c>
      <c r="S96" s="374"/>
      <c r="T96" s="377">
        <v>116</v>
      </c>
      <c r="U96" s="373">
        <v>100</v>
      </c>
      <c r="V96" s="373">
        <v>93</v>
      </c>
      <c r="W96" s="373">
        <v>86</v>
      </c>
      <c r="X96" s="373">
        <v>61</v>
      </c>
      <c r="Y96" s="373">
        <v>62</v>
      </c>
      <c r="Z96" s="373">
        <v>50</v>
      </c>
      <c r="AA96" s="618">
        <v>41</v>
      </c>
      <c r="AB96" s="374"/>
      <c r="AC96" s="377">
        <v>258</v>
      </c>
      <c r="AD96" s="373">
        <v>225</v>
      </c>
      <c r="AE96" s="373">
        <v>167</v>
      </c>
      <c r="AF96" s="373">
        <v>239</v>
      </c>
      <c r="AG96" s="373">
        <v>183</v>
      </c>
      <c r="AH96" s="373">
        <v>214</v>
      </c>
      <c r="AI96" s="373">
        <v>136</v>
      </c>
      <c r="AJ96" s="618">
        <v>153</v>
      </c>
      <c r="AK96" s="374"/>
      <c r="AL96" s="377">
        <v>14</v>
      </c>
      <c r="AM96" s="373">
        <v>9</v>
      </c>
      <c r="AN96" s="373">
        <v>8</v>
      </c>
      <c r="AO96" s="373">
        <v>14</v>
      </c>
      <c r="AP96" s="373">
        <v>19</v>
      </c>
      <c r="AQ96" s="373">
        <v>14</v>
      </c>
      <c r="AR96" s="373">
        <v>19</v>
      </c>
      <c r="AS96" s="618">
        <v>16</v>
      </c>
      <c r="AT96" s="374"/>
      <c r="AU96" s="377"/>
      <c r="AV96" s="373"/>
      <c r="AW96" s="373"/>
      <c r="AX96" s="373"/>
      <c r="AY96" s="373">
        <v>1</v>
      </c>
      <c r="AZ96" s="373"/>
      <c r="BA96" s="373"/>
      <c r="BB96" s="618"/>
      <c r="BC96" s="374"/>
      <c r="BD96" s="377">
        <f t="shared" si="9"/>
        <v>425</v>
      </c>
      <c r="BE96" s="373">
        <f t="shared" si="10"/>
        <v>379</v>
      </c>
      <c r="BF96" s="373">
        <f t="shared" si="11"/>
        <v>326</v>
      </c>
      <c r="BG96" s="373">
        <f t="shared" si="12"/>
        <v>387</v>
      </c>
      <c r="BH96" s="373">
        <f t="shared" si="13"/>
        <v>325</v>
      </c>
      <c r="BI96" s="373">
        <f t="shared" si="14"/>
        <v>327</v>
      </c>
      <c r="BJ96" s="373">
        <f t="shared" si="15"/>
        <v>231</v>
      </c>
      <c r="BK96" s="618">
        <f t="shared" si="16"/>
        <v>232</v>
      </c>
      <c r="BL96" s="374">
        <f t="shared" si="16"/>
        <v>0</v>
      </c>
    </row>
    <row r="97" spans="1:64" ht="13.5" thickBot="1" x14ac:dyDescent="0.25">
      <c r="A97" s="366" t="s">
        <v>699</v>
      </c>
      <c r="B97" s="378"/>
      <c r="C97" s="375"/>
      <c r="D97" s="375"/>
      <c r="E97" s="375"/>
      <c r="F97" s="375"/>
      <c r="G97" s="375"/>
      <c r="H97" s="375"/>
      <c r="I97" s="619"/>
      <c r="J97" s="376"/>
      <c r="K97" s="378">
        <v>45</v>
      </c>
      <c r="L97" s="375">
        <v>49</v>
      </c>
      <c r="M97" s="375">
        <v>44</v>
      </c>
      <c r="N97" s="375">
        <v>65</v>
      </c>
      <c r="O97" s="375">
        <v>59</v>
      </c>
      <c r="P97" s="375">
        <v>37</v>
      </c>
      <c r="Q97" s="375">
        <v>44</v>
      </c>
      <c r="R97" s="619">
        <v>33</v>
      </c>
      <c r="S97" s="376"/>
      <c r="T97" s="378">
        <v>114</v>
      </c>
      <c r="U97" s="375">
        <v>109</v>
      </c>
      <c r="V97" s="375">
        <v>76</v>
      </c>
      <c r="W97" s="375">
        <v>82</v>
      </c>
      <c r="X97" s="375">
        <v>79</v>
      </c>
      <c r="Y97" s="375">
        <v>69</v>
      </c>
      <c r="Z97" s="375">
        <v>76</v>
      </c>
      <c r="AA97" s="619">
        <v>54</v>
      </c>
      <c r="AB97" s="376"/>
      <c r="AC97" s="378">
        <v>247</v>
      </c>
      <c r="AD97" s="375">
        <v>249</v>
      </c>
      <c r="AE97" s="375">
        <v>221</v>
      </c>
      <c r="AF97" s="375">
        <v>222</v>
      </c>
      <c r="AG97" s="375">
        <v>161</v>
      </c>
      <c r="AH97" s="375">
        <v>189</v>
      </c>
      <c r="AI97" s="375">
        <v>156</v>
      </c>
      <c r="AJ97" s="619">
        <v>109</v>
      </c>
      <c r="AK97" s="376"/>
      <c r="AL97" s="378">
        <v>15</v>
      </c>
      <c r="AM97" s="375">
        <v>25</v>
      </c>
      <c r="AN97" s="375">
        <v>13</v>
      </c>
      <c r="AO97" s="375">
        <v>10</v>
      </c>
      <c r="AP97" s="375">
        <v>15</v>
      </c>
      <c r="AQ97" s="375">
        <v>10</v>
      </c>
      <c r="AR97" s="375">
        <v>8</v>
      </c>
      <c r="AS97" s="619">
        <v>9</v>
      </c>
      <c r="AT97" s="376"/>
      <c r="AU97" s="378"/>
      <c r="AV97" s="375"/>
      <c r="AW97" s="375"/>
      <c r="AX97" s="375"/>
      <c r="AY97" s="375"/>
      <c r="AZ97" s="375"/>
      <c r="BA97" s="375"/>
      <c r="BB97" s="619"/>
      <c r="BC97" s="376"/>
      <c r="BD97" s="378">
        <f t="shared" si="9"/>
        <v>421</v>
      </c>
      <c r="BE97" s="375">
        <f t="shared" si="10"/>
        <v>432</v>
      </c>
      <c r="BF97" s="375">
        <f t="shared" si="11"/>
        <v>354</v>
      </c>
      <c r="BG97" s="375">
        <f t="shared" si="12"/>
        <v>379</v>
      </c>
      <c r="BH97" s="375">
        <f t="shared" si="13"/>
        <v>314</v>
      </c>
      <c r="BI97" s="375">
        <f t="shared" si="14"/>
        <v>305</v>
      </c>
      <c r="BJ97" s="375">
        <f t="shared" si="15"/>
        <v>284</v>
      </c>
      <c r="BK97" s="619">
        <f t="shared" si="16"/>
        <v>205</v>
      </c>
      <c r="BL97" s="376">
        <f t="shared" si="16"/>
        <v>0</v>
      </c>
    </row>
    <row r="98" spans="1:64" s="264" customFormat="1" x14ac:dyDescent="0.2">
      <c r="A98" s="364" t="s">
        <v>777</v>
      </c>
      <c r="B98" s="379"/>
      <c r="C98" s="380"/>
      <c r="D98" s="380"/>
      <c r="E98" s="380"/>
      <c r="F98" s="380">
        <v>1</v>
      </c>
      <c r="G98" s="380">
        <v>2</v>
      </c>
      <c r="H98" s="380">
        <v>1</v>
      </c>
      <c r="I98" s="617">
        <v>3</v>
      </c>
      <c r="J98" s="381"/>
      <c r="K98" s="379">
        <v>416</v>
      </c>
      <c r="L98" s="380">
        <v>391</v>
      </c>
      <c r="M98" s="380">
        <v>322</v>
      </c>
      <c r="N98" s="380">
        <v>370</v>
      </c>
      <c r="O98" s="380">
        <v>366</v>
      </c>
      <c r="P98" s="380">
        <v>331</v>
      </c>
      <c r="Q98" s="380">
        <v>288</v>
      </c>
      <c r="R98" s="617">
        <v>246</v>
      </c>
      <c r="S98" s="381"/>
      <c r="T98" s="379">
        <v>843</v>
      </c>
      <c r="U98" s="380">
        <v>761</v>
      </c>
      <c r="V98" s="380">
        <v>708</v>
      </c>
      <c r="W98" s="380">
        <v>581</v>
      </c>
      <c r="X98" s="380">
        <v>680</v>
      </c>
      <c r="Y98" s="380">
        <v>652</v>
      </c>
      <c r="Z98" s="380">
        <v>643</v>
      </c>
      <c r="AA98" s="617">
        <v>657</v>
      </c>
      <c r="AB98" s="381"/>
      <c r="AC98" s="379">
        <v>2388</v>
      </c>
      <c r="AD98" s="380">
        <v>2106</v>
      </c>
      <c r="AE98" s="380">
        <v>1813</v>
      </c>
      <c r="AF98" s="380">
        <v>1745</v>
      </c>
      <c r="AG98" s="380">
        <v>1911</v>
      </c>
      <c r="AH98" s="380">
        <v>1839</v>
      </c>
      <c r="AI98" s="380">
        <v>1631</v>
      </c>
      <c r="AJ98" s="617">
        <v>1759</v>
      </c>
      <c r="AK98" s="381"/>
      <c r="AL98" s="379">
        <v>109</v>
      </c>
      <c r="AM98" s="380">
        <v>104</v>
      </c>
      <c r="AN98" s="380">
        <v>144</v>
      </c>
      <c r="AO98" s="380">
        <v>138</v>
      </c>
      <c r="AP98" s="380">
        <v>150</v>
      </c>
      <c r="AQ98" s="380">
        <v>154</v>
      </c>
      <c r="AR98" s="380">
        <v>137</v>
      </c>
      <c r="AS98" s="617">
        <v>167</v>
      </c>
      <c r="AT98" s="381"/>
      <c r="AU98" s="379"/>
      <c r="AV98" s="380"/>
      <c r="AW98" s="380"/>
      <c r="AX98" s="380"/>
      <c r="AY98" s="380">
        <v>8</v>
      </c>
      <c r="AZ98" s="380"/>
      <c r="BA98" s="380"/>
      <c r="BB98" s="617"/>
      <c r="BC98" s="381"/>
      <c r="BD98" s="379">
        <f t="shared" si="9"/>
        <v>3756</v>
      </c>
      <c r="BE98" s="380">
        <f t="shared" si="10"/>
        <v>3362</v>
      </c>
      <c r="BF98" s="380">
        <f t="shared" si="11"/>
        <v>2987</v>
      </c>
      <c r="BG98" s="380">
        <f t="shared" si="12"/>
        <v>2834</v>
      </c>
      <c r="BH98" s="380">
        <f t="shared" si="13"/>
        <v>3116</v>
      </c>
      <c r="BI98" s="380">
        <f t="shared" si="14"/>
        <v>2978</v>
      </c>
      <c r="BJ98" s="380">
        <f t="shared" si="15"/>
        <v>2700</v>
      </c>
      <c r="BK98" s="617">
        <f t="shared" si="16"/>
        <v>2832</v>
      </c>
      <c r="BL98" s="381">
        <f t="shared" si="16"/>
        <v>0</v>
      </c>
    </row>
    <row r="99" spans="1:64" x14ac:dyDescent="0.2">
      <c r="A99" s="365" t="s">
        <v>774</v>
      </c>
      <c r="B99" s="377"/>
      <c r="C99" s="373"/>
      <c r="D99" s="373"/>
      <c r="E99" s="373"/>
      <c r="F99" s="373">
        <v>1</v>
      </c>
      <c r="G99" s="373"/>
      <c r="H99" s="373"/>
      <c r="I99" s="618">
        <v>1</v>
      </c>
      <c r="J99" s="374"/>
      <c r="K99" s="377">
        <v>118</v>
      </c>
      <c r="L99" s="373">
        <v>117</v>
      </c>
      <c r="M99" s="373">
        <v>112</v>
      </c>
      <c r="N99" s="373">
        <v>136</v>
      </c>
      <c r="O99" s="373">
        <v>132</v>
      </c>
      <c r="P99" s="373">
        <v>94</v>
      </c>
      <c r="Q99" s="373">
        <v>118</v>
      </c>
      <c r="R99" s="618">
        <v>90</v>
      </c>
      <c r="S99" s="374"/>
      <c r="T99" s="377">
        <v>263</v>
      </c>
      <c r="U99" s="373">
        <v>257</v>
      </c>
      <c r="V99" s="373">
        <v>216</v>
      </c>
      <c r="W99" s="373">
        <v>214</v>
      </c>
      <c r="X99" s="373">
        <v>196</v>
      </c>
      <c r="Y99" s="373">
        <v>215</v>
      </c>
      <c r="Z99" s="373">
        <v>212</v>
      </c>
      <c r="AA99" s="618">
        <v>160</v>
      </c>
      <c r="AB99" s="374"/>
      <c r="AC99" s="377">
        <v>854</v>
      </c>
      <c r="AD99" s="373">
        <v>704</v>
      </c>
      <c r="AE99" s="373">
        <v>535</v>
      </c>
      <c r="AF99" s="373">
        <v>635</v>
      </c>
      <c r="AG99" s="373">
        <v>611</v>
      </c>
      <c r="AH99" s="373">
        <v>653</v>
      </c>
      <c r="AI99" s="373">
        <v>520</v>
      </c>
      <c r="AJ99" s="618">
        <v>495</v>
      </c>
      <c r="AK99" s="374"/>
      <c r="AL99" s="377">
        <v>44</v>
      </c>
      <c r="AM99" s="373">
        <v>26</v>
      </c>
      <c r="AN99" s="373">
        <v>34</v>
      </c>
      <c r="AO99" s="373">
        <v>47</v>
      </c>
      <c r="AP99" s="373">
        <v>52</v>
      </c>
      <c r="AQ99" s="373">
        <v>50</v>
      </c>
      <c r="AR99" s="373">
        <v>59</v>
      </c>
      <c r="AS99" s="618">
        <v>52</v>
      </c>
      <c r="AT99" s="374"/>
      <c r="AU99" s="377"/>
      <c r="AV99" s="373"/>
      <c r="AW99" s="373"/>
      <c r="AX99" s="373"/>
      <c r="AY99" s="373">
        <v>2</v>
      </c>
      <c r="AZ99" s="373"/>
      <c r="BA99" s="373"/>
      <c r="BB99" s="618"/>
      <c r="BC99" s="374"/>
      <c r="BD99" s="377">
        <f t="shared" si="9"/>
        <v>1279</v>
      </c>
      <c r="BE99" s="373">
        <f t="shared" si="10"/>
        <v>1104</v>
      </c>
      <c r="BF99" s="373">
        <f t="shared" si="11"/>
        <v>897</v>
      </c>
      <c r="BG99" s="373">
        <f t="shared" si="12"/>
        <v>1032</v>
      </c>
      <c r="BH99" s="373">
        <f t="shared" si="13"/>
        <v>994</v>
      </c>
      <c r="BI99" s="373">
        <f t="shared" si="14"/>
        <v>1012</v>
      </c>
      <c r="BJ99" s="373">
        <f t="shared" si="15"/>
        <v>909</v>
      </c>
      <c r="BK99" s="618">
        <f t="shared" si="16"/>
        <v>798</v>
      </c>
      <c r="BL99" s="374">
        <f t="shared" si="16"/>
        <v>0</v>
      </c>
    </row>
    <row r="100" spans="1:64" x14ac:dyDescent="0.2">
      <c r="A100" s="365" t="s">
        <v>701</v>
      </c>
      <c r="B100" s="377"/>
      <c r="C100" s="373"/>
      <c r="D100" s="373"/>
      <c r="E100" s="373"/>
      <c r="F100" s="373"/>
      <c r="G100" s="373"/>
      <c r="H100" s="373">
        <v>1</v>
      </c>
      <c r="I100" s="618"/>
      <c r="J100" s="374"/>
      <c r="K100" s="377">
        <v>42</v>
      </c>
      <c r="L100" s="373">
        <v>35</v>
      </c>
      <c r="M100" s="373">
        <v>26</v>
      </c>
      <c r="N100" s="373">
        <v>20</v>
      </c>
      <c r="O100" s="373">
        <v>42</v>
      </c>
      <c r="P100" s="373">
        <v>38</v>
      </c>
      <c r="Q100" s="373">
        <v>31</v>
      </c>
      <c r="R100" s="618">
        <v>29</v>
      </c>
      <c r="S100" s="374"/>
      <c r="T100" s="377">
        <v>72</v>
      </c>
      <c r="U100" s="373">
        <v>84</v>
      </c>
      <c r="V100" s="373">
        <v>49</v>
      </c>
      <c r="W100" s="373">
        <v>52</v>
      </c>
      <c r="X100" s="373">
        <v>110</v>
      </c>
      <c r="Y100" s="373">
        <v>92</v>
      </c>
      <c r="Z100" s="373">
        <v>59</v>
      </c>
      <c r="AA100" s="618">
        <v>88</v>
      </c>
      <c r="AB100" s="374"/>
      <c r="AC100" s="377">
        <v>238</v>
      </c>
      <c r="AD100" s="373">
        <v>234</v>
      </c>
      <c r="AE100" s="373">
        <v>172</v>
      </c>
      <c r="AF100" s="373">
        <v>181</v>
      </c>
      <c r="AG100" s="373">
        <v>273</v>
      </c>
      <c r="AH100" s="373">
        <v>258</v>
      </c>
      <c r="AI100" s="373">
        <v>221</v>
      </c>
      <c r="AJ100" s="618">
        <v>277</v>
      </c>
      <c r="AK100" s="374"/>
      <c r="AL100" s="377">
        <v>10</v>
      </c>
      <c r="AM100" s="373">
        <v>14</v>
      </c>
      <c r="AN100" s="373">
        <v>18</v>
      </c>
      <c r="AO100" s="373">
        <v>25</v>
      </c>
      <c r="AP100" s="373">
        <v>20</v>
      </c>
      <c r="AQ100" s="373">
        <v>15</v>
      </c>
      <c r="AR100" s="373">
        <v>14</v>
      </c>
      <c r="AS100" s="618">
        <v>22</v>
      </c>
      <c r="AT100" s="374"/>
      <c r="AU100" s="377"/>
      <c r="AV100" s="373"/>
      <c r="AW100" s="373"/>
      <c r="AX100" s="373"/>
      <c r="AY100" s="373">
        <v>2</v>
      </c>
      <c r="AZ100" s="373"/>
      <c r="BA100" s="373"/>
      <c r="BB100" s="618"/>
      <c r="BC100" s="374"/>
      <c r="BD100" s="377">
        <f t="shared" si="9"/>
        <v>362</v>
      </c>
      <c r="BE100" s="373">
        <f t="shared" si="10"/>
        <v>367</v>
      </c>
      <c r="BF100" s="373">
        <f t="shared" si="11"/>
        <v>265</v>
      </c>
      <c r="BG100" s="373">
        <f t="shared" si="12"/>
        <v>278</v>
      </c>
      <c r="BH100" s="373">
        <f t="shared" si="13"/>
        <v>447</v>
      </c>
      <c r="BI100" s="373">
        <f t="shared" si="14"/>
        <v>403</v>
      </c>
      <c r="BJ100" s="373">
        <f t="shared" si="15"/>
        <v>326</v>
      </c>
      <c r="BK100" s="618">
        <f t="shared" si="16"/>
        <v>416</v>
      </c>
      <c r="BL100" s="374">
        <f t="shared" si="16"/>
        <v>0</v>
      </c>
    </row>
    <row r="101" spans="1:64" x14ac:dyDescent="0.2">
      <c r="A101" s="365" t="s">
        <v>702</v>
      </c>
      <c r="B101" s="377"/>
      <c r="C101" s="373"/>
      <c r="D101" s="373"/>
      <c r="E101" s="373"/>
      <c r="F101" s="373"/>
      <c r="G101" s="373"/>
      <c r="H101" s="373"/>
      <c r="I101" s="618">
        <v>2</v>
      </c>
      <c r="J101" s="374"/>
      <c r="K101" s="377">
        <v>94</v>
      </c>
      <c r="L101" s="373">
        <v>77</v>
      </c>
      <c r="M101" s="373">
        <v>81</v>
      </c>
      <c r="N101" s="373">
        <v>79</v>
      </c>
      <c r="O101" s="373">
        <v>79</v>
      </c>
      <c r="P101" s="373">
        <v>68</v>
      </c>
      <c r="Q101" s="373">
        <v>57</v>
      </c>
      <c r="R101" s="618">
        <v>56</v>
      </c>
      <c r="S101" s="374"/>
      <c r="T101" s="377">
        <v>218</v>
      </c>
      <c r="U101" s="373">
        <v>138</v>
      </c>
      <c r="V101" s="373">
        <v>185</v>
      </c>
      <c r="W101" s="373">
        <v>134</v>
      </c>
      <c r="X101" s="373">
        <v>144</v>
      </c>
      <c r="Y101" s="373">
        <v>115</v>
      </c>
      <c r="Z101" s="373">
        <v>146</v>
      </c>
      <c r="AA101" s="618">
        <v>170</v>
      </c>
      <c r="AB101" s="374"/>
      <c r="AC101" s="377">
        <v>537</v>
      </c>
      <c r="AD101" s="373">
        <v>502</v>
      </c>
      <c r="AE101" s="373">
        <v>419</v>
      </c>
      <c r="AF101" s="373">
        <v>386</v>
      </c>
      <c r="AG101" s="373">
        <v>425</v>
      </c>
      <c r="AH101" s="373">
        <v>393</v>
      </c>
      <c r="AI101" s="373">
        <v>376</v>
      </c>
      <c r="AJ101" s="618">
        <v>488</v>
      </c>
      <c r="AK101" s="374"/>
      <c r="AL101" s="377">
        <v>33</v>
      </c>
      <c r="AM101" s="373">
        <v>28</v>
      </c>
      <c r="AN101" s="373">
        <v>41</v>
      </c>
      <c r="AO101" s="373">
        <v>22</v>
      </c>
      <c r="AP101" s="373">
        <v>39</v>
      </c>
      <c r="AQ101" s="373">
        <v>43</v>
      </c>
      <c r="AR101" s="373">
        <v>26</v>
      </c>
      <c r="AS101" s="618">
        <v>45</v>
      </c>
      <c r="AT101" s="374"/>
      <c r="AU101" s="377"/>
      <c r="AV101" s="373"/>
      <c r="AW101" s="373"/>
      <c r="AX101" s="373"/>
      <c r="AY101" s="373"/>
      <c r="AZ101" s="373"/>
      <c r="BA101" s="373"/>
      <c r="BB101" s="618"/>
      <c r="BC101" s="374"/>
      <c r="BD101" s="377">
        <f t="shared" si="9"/>
        <v>882</v>
      </c>
      <c r="BE101" s="373">
        <f t="shared" si="10"/>
        <v>745</v>
      </c>
      <c r="BF101" s="373">
        <f t="shared" si="11"/>
        <v>726</v>
      </c>
      <c r="BG101" s="373">
        <f t="shared" si="12"/>
        <v>621</v>
      </c>
      <c r="BH101" s="373">
        <f t="shared" si="13"/>
        <v>687</v>
      </c>
      <c r="BI101" s="373">
        <f t="shared" si="14"/>
        <v>619</v>
      </c>
      <c r="BJ101" s="373">
        <f t="shared" si="15"/>
        <v>605</v>
      </c>
      <c r="BK101" s="618">
        <f t="shared" si="16"/>
        <v>761</v>
      </c>
      <c r="BL101" s="374">
        <f t="shared" si="16"/>
        <v>0</v>
      </c>
    </row>
    <row r="102" spans="1:64" x14ac:dyDescent="0.2">
      <c r="A102" s="365" t="s">
        <v>703</v>
      </c>
      <c r="B102" s="377"/>
      <c r="C102" s="373"/>
      <c r="D102" s="373"/>
      <c r="E102" s="373"/>
      <c r="F102" s="373"/>
      <c r="G102" s="373">
        <v>1</v>
      </c>
      <c r="H102" s="373"/>
      <c r="I102" s="618"/>
      <c r="J102" s="374"/>
      <c r="K102" s="377">
        <v>67</v>
      </c>
      <c r="L102" s="373">
        <v>79</v>
      </c>
      <c r="M102" s="373">
        <v>42</v>
      </c>
      <c r="N102" s="373">
        <v>30</v>
      </c>
      <c r="O102" s="373">
        <v>25</v>
      </c>
      <c r="P102" s="373">
        <v>29</v>
      </c>
      <c r="Q102" s="373">
        <v>22</v>
      </c>
      <c r="R102" s="618">
        <v>16</v>
      </c>
      <c r="S102" s="374"/>
      <c r="T102" s="377">
        <v>125</v>
      </c>
      <c r="U102" s="373">
        <v>132</v>
      </c>
      <c r="V102" s="373">
        <v>85</v>
      </c>
      <c r="W102" s="373">
        <v>77</v>
      </c>
      <c r="X102" s="373">
        <v>75</v>
      </c>
      <c r="Y102" s="373">
        <v>73</v>
      </c>
      <c r="Z102" s="373">
        <v>74</v>
      </c>
      <c r="AA102" s="618">
        <v>71</v>
      </c>
      <c r="AB102" s="374"/>
      <c r="AC102" s="377">
        <v>357</v>
      </c>
      <c r="AD102" s="373">
        <v>290</v>
      </c>
      <c r="AE102" s="373">
        <v>251</v>
      </c>
      <c r="AF102" s="373">
        <v>247</v>
      </c>
      <c r="AG102" s="373">
        <v>308</v>
      </c>
      <c r="AH102" s="373">
        <v>218</v>
      </c>
      <c r="AI102" s="373">
        <v>203</v>
      </c>
      <c r="AJ102" s="618">
        <v>210</v>
      </c>
      <c r="AK102" s="374"/>
      <c r="AL102" s="377">
        <v>13</v>
      </c>
      <c r="AM102" s="373">
        <v>11</v>
      </c>
      <c r="AN102" s="373">
        <v>17</v>
      </c>
      <c r="AO102" s="373">
        <v>23</v>
      </c>
      <c r="AP102" s="373">
        <v>21</v>
      </c>
      <c r="AQ102" s="373">
        <v>25</v>
      </c>
      <c r="AR102" s="373">
        <v>17</v>
      </c>
      <c r="AS102" s="618">
        <v>33</v>
      </c>
      <c r="AT102" s="374"/>
      <c r="AU102" s="377"/>
      <c r="AV102" s="373"/>
      <c r="AW102" s="373"/>
      <c r="AX102" s="373"/>
      <c r="AY102" s="373">
        <v>4</v>
      </c>
      <c r="AZ102" s="373"/>
      <c r="BA102" s="373"/>
      <c r="BB102" s="618"/>
      <c r="BC102" s="374"/>
      <c r="BD102" s="377">
        <f t="shared" si="9"/>
        <v>562</v>
      </c>
      <c r="BE102" s="373">
        <f t="shared" si="10"/>
        <v>512</v>
      </c>
      <c r="BF102" s="373">
        <f t="shared" si="11"/>
        <v>395</v>
      </c>
      <c r="BG102" s="373">
        <f t="shared" si="12"/>
        <v>377</v>
      </c>
      <c r="BH102" s="373">
        <f t="shared" si="13"/>
        <v>433</v>
      </c>
      <c r="BI102" s="373">
        <f t="shared" si="14"/>
        <v>346</v>
      </c>
      <c r="BJ102" s="373">
        <f t="shared" si="15"/>
        <v>316</v>
      </c>
      <c r="BK102" s="618">
        <f t="shared" si="16"/>
        <v>330</v>
      </c>
      <c r="BL102" s="374">
        <f t="shared" si="16"/>
        <v>0</v>
      </c>
    </row>
    <row r="103" spans="1:64" x14ac:dyDescent="0.2">
      <c r="A103" s="365" t="s">
        <v>817</v>
      </c>
      <c r="B103" s="377"/>
      <c r="C103" s="373"/>
      <c r="D103" s="373"/>
      <c r="E103" s="373"/>
      <c r="F103" s="373"/>
      <c r="G103" s="373"/>
      <c r="H103" s="373"/>
      <c r="I103" s="618"/>
      <c r="J103" s="374"/>
      <c r="K103" s="377">
        <v>19</v>
      </c>
      <c r="L103" s="373">
        <v>21</v>
      </c>
      <c r="M103" s="373">
        <v>5</v>
      </c>
      <c r="N103" s="373">
        <v>11</v>
      </c>
      <c r="O103" s="373">
        <v>4</v>
      </c>
      <c r="P103" s="373">
        <v>3</v>
      </c>
      <c r="Q103" s="373">
        <v>9</v>
      </c>
      <c r="R103" s="618">
        <v>7</v>
      </c>
      <c r="S103" s="374"/>
      <c r="T103" s="377">
        <v>26</v>
      </c>
      <c r="U103" s="373">
        <v>16</v>
      </c>
      <c r="V103" s="373">
        <v>71</v>
      </c>
      <c r="W103" s="373">
        <v>7</v>
      </c>
      <c r="X103" s="373">
        <v>16</v>
      </c>
      <c r="Y103" s="373">
        <v>8</v>
      </c>
      <c r="Z103" s="373">
        <v>13</v>
      </c>
      <c r="AA103" s="618">
        <v>12</v>
      </c>
      <c r="AB103" s="374"/>
      <c r="AC103" s="377">
        <v>105</v>
      </c>
      <c r="AD103" s="373">
        <v>79</v>
      </c>
      <c r="AE103" s="373">
        <v>211</v>
      </c>
      <c r="AF103" s="373">
        <v>60</v>
      </c>
      <c r="AG103" s="373">
        <v>57</v>
      </c>
      <c r="AH103" s="373">
        <v>37</v>
      </c>
      <c r="AI103" s="373">
        <v>50</v>
      </c>
      <c r="AJ103" s="618">
        <v>50</v>
      </c>
      <c r="AK103" s="374"/>
      <c r="AL103" s="377">
        <v>3</v>
      </c>
      <c r="AM103" s="373">
        <v>3</v>
      </c>
      <c r="AN103" s="373">
        <v>24</v>
      </c>
      <c r="AO103" s="373">
        <v>1</v>
      </c>
      <c r="AP103" s="373">
        <v>4</v>
      </c>
      <c r="AQ103" s="373">
        <v>5</v>
      </c>
      <c r="AR103" s="373">
        <v>3</v>
      </c>
      <c r="AS103" s="618">
        <v>5</v>
      </c>
      <c r="AT103" s="374"/>
      <c r="AU103" s="377"/>
      <c r="AV103" s="373"/>
      <c r="AW103" s="373"/>
      <c r="AX103" s="373"/>
      <c r="AY103" s="373"/>
      <c r="AZ103" s="373"/>
      <c r="BA103" s="373"/>
      <c r="BB103" s="618"/>
      <c r="BC103" s="374"/>
      <c r="BD103" s="377">
        <f t="shared" si="9"/>
        <v>153</v>
      </c>
      <c r="BE103" s="373">
        <f t="shared" si="10"/>
        <v>119</v>
      </c>
      <c r="BF103" s="373">
        <f t="shared" si="11"/>
        <v>311</v>
      </c>
      <c r="BG103" s="373">
        <f t="shared" si="12"/>
        <v>79</v>
      </c>
      <c r="BH103" s="373">
        <f t="shared" si="13"/>
        <v>81</v>
      </c>
      <c r="BI103" s="373">
        <f t="shared" si="14"/>
        <v>53</v>
      </c>
      <c r="BJ103" s="373">
        <f t="shared" si="15"/>
        <v>75</v>
      </c>
      <c r="BK103" s="618">
        <f t="shared" si="16"/>
        <v>74</v>
      </c>
      <c r="BL103" s="374">
        <f t="shared" si="16"/>
        <v>0</v>
      </c>
    </row>
    <row r="104" spans="1:64" ht="13.5" thickBot="1" x14ac:dyDescent="0.25">
      <c r="A104" s="366" t="s">
        <v>704</v>
      </c>
      <c r="B104" s="378"/>
      <c r="C104" s="375"/>
      <c r="D104" s="375"/>
      <c r="E104" s="375"/>
      <c r="F104" s="375"/>
      <c r="G104" s="375">
        <v>1</v>
      </c>
      <c r="H104" s="375"/>
      <c r="I104" s="619"/>
      <c r="J104" s="376"/>
      <c r="K104" s="378">
        <v>76</v>
      </c>
      <c r="L104" s="375">
        <v>62</v>
      </c>
      <c r="M104" s="375">
        <v>56</v>
      </c>
      <c r="N104" s="375">
        <v>94</v>
      </c>
      <c r="O104" s="375">
        <v>84</v>
      </c>
      <c r="P104" s="375">
        <v>99</v>
      </c>
      <c r="Q104" s="375">
        <v>51</v>
      </c>
      <c r="R104" s="619">
        <v>48</v>
      </c>
      <c r="S104" s="376"/>
      <c r="T104" s="378">
        <v>139</v>
      </c>
      <c r="U104" s="375">
        <v>134</v>
      </c>
      <c r="V104" s="375">
        <v>102</v>
      </c>
      <c r="W104" s="375">
        <v>97</v>
      </c>
      <c r="X104" s="375">
        <v>139</v>
      </c>
      <c r="Y104" s="375">
        <v>149</v>
      </c>
      <c r="Z104" s="375">
        <v>139</v>
      </c>
      <c r="AA104" s="619">
        <v>156</v>
      </c>
      <c r="AB104" s="376"/>
      <c r="AC104" s="378">
        <v>297</v>
      </c>
      <c r="AD104" s="375">
        <v>297</v>
      </c>
      <c r="AE104" s="375">
        <v>225</v>
      </c>
      <c r="AF104" s="375">
        <v>236</v>
      </c>
      <c r="AG104" s="375">
        <v>237</v>
      </c>
      <c r="AH104" s="375">
        <v>280</v>
      </c>
      <c r="AI104" s="375">
        <v>261</v>
      </c>
      <c r="AJ104" s="619">
        <v>239</v>
      </c>
      <c r="AK104" s="376"/>
      <c r="AL104" s="378">
        <v>6</v>
      </c>
      <c r="AM104" s="375">
        <v>22</v>
      </c>
      <c r="AN104" s="375">
        <v>10</v>
      </c>
      <c r="AO104" s="375">
        <v>20</v>
      </c>
      <c r="AP104" s="375">
        <v>14</v>
      </c>
      <c r="AQ104" s="375">
        <v>16</v>
      </c>
      <c r="AR104" s="375">
        <v>18</v>
      </c>
      <c r="AS104" s="619">
        <v>10</v>
      </c>
      <c r="AT104" s="376"/>
      <c r="AU104" s="378"/>
      <c r="AV104" s="375"/>
      <c r="AW104" s="375"/>
      <c r="AX104" s="375"/>
      <c r="AY104" s="375"/>
      <c r="AZ104" s="375"/>
      <c r="BA104" s="375"/>
      <c r="BB104" s="619"/>
      <c r="BC104" s="376"/>
      <c r="BD104" s="378">
        <f t="shared" si="9"/>
        <v>518</v>
      </c>
      <c r="BE104" s="375">
        <f t="shared" si="10"/>
        <v>515</v>
      </c>
      <c r="BF104" s="375">
        <f t="shared" si="11"/>
        <v>393</v>
      </c>
      <c r="BG104" s="375">
        <f t="shared" si="12"/>
        <v>447</v>
      </c>
      <c r="BH104" s="375">
        <f t="shared" si="13"/>
        <v>474</v>
      </c>
      <c r="BI104" s="375">
        <f t="shared" si="14"/>
        <v>545</v>
      </c>
      <c r="BJ104" s="375">
        <f t="shared" si="15"/>
        <v>469</v>
      </c>
      <c r="BK104" s="619">
        <f t="shared" si="16"/>
        <v>453</v>
      </c>
      <c r="BL104" s="376">
        <f t="shared" si="16"/>
        <v>0</v>
      </c>
    </row>
    <row r="105" spans="1:64" s="264" customFormat="1" x14ac:dyDescent="0.2">
      <c r="A105" s="364" t="s">
        <v>776</v>
      </c>
      <c r="B105" s="379"/>
      <c r="C105" s="380"/>
      <c r="D105" s="380"/>
      <c r="E105" s="380"/>
      <c r="F105" s="380"/>
      <c r="G105" s="380"/>
      <c r="H105" s="380"/>
      <c r="I105" s="617"/>
      <c r="J105" s="381"/>
      <c r="K105" s="379">
        <v>326</v>
      </c>
      <c r="L105" s="380">
        <v>377</v>
      </c>
      <c r="M105" s="380">
        <v>299</v>
      </c>
      <c r="N105" s="380">
        <v>292</v>
      </c>
      <c r="O105" s="380">
        <v>137</v>
      </c>
      <c r="P105" s="380">
        <v>160</v>
      </c>
      <c r="Q105" s="380">
        <v>167</v>
      </c>
      <c r="R105" s="617">
        <v>155</v>
      </c>
      <c r="S105" s="381"/>
      <c r="T105" s="379">
        <v>772</v>
      </c>
      <c r="U105" s="380">
        <v>680</v>
      </c>
      <c r="V105" s="380">
        <v>632</v>
      </c>
      <c r="W105" s="380">
        <v>624</v>
      </c>
      <c r="X105" s="380">
        <v>489</v>
      </c>
      <c r="Y105" s="380">
        <v>482</v>
      </c>
      <c r="Z105" s="380">
        <v>483</v>
      </c>
      <c r="AA105" s="617">
        <v>449</v>
      </c>
      <c r="AB105" s="381"/>
      <c r="AC105" s="379">
        <v>2194</v>
      </c>
      <c r="AD105" s="380">
        <v>2094</v>
      </c>
      <c r="AE105" s="380">
        <v>1969</v>
      </c>
      <c r="AF105" s="380">
        <v>1604</v>
      </c>
      <c r="AG105" s="380">
        <v>1538</v>
      </c>
      <c r="AH105" s="380">
        <v>1571</v>
      </c>
      <c r="AI105" s="380">
        <v>1600</v>
      </c>
      <c r="AJ105" s="617">
        <v>1578</v>
      </c>
      <c r="AK105" s="381"/>
      <c r="AL105" s="379">
        <v>107</v>
      </c>
      <c r="AM105" s="380">
        <v>106</v>
      </c>
      <c r="AN105" s="380">
        <v>103</v>
      </c>
      <c r="AO105" s="380">
        <v>123</v>
      </c>
      <c r="AP105" s="380">
        <v>112</v>
      </c>
      <c r="AQ105" s="380">
        <v>118</v>
      </c>
      <c r="AR105" s="380">
        <v>145</v>
      </c>
      <c r="AS105" s="617">
        <v>180</v>
      </c>
      <c r="AT105" s="381"/>
      <c r="AU105" s="379"/>
      <c r="AV105" s="380"/>
      <c r="AW105" s="380"/>
      <c r="AX105" s="380"/>
      <c r="AY105" s="380">
        <v>3</v>
      </c>
      <c r="AZ105" s="380"/>
      <c r="BA105" s="380"/>
      <c r="BB105" s="617"/>
      <c r="BC105" s="381"/>
      <c r="BD105" s="379">
        <f t="shared" si="9"/>
        <v>3399</v>
      </c>
      <c r="BE105" s="380">
        <f t="shared" si="10"/>
        <v>3257</v>
      </c>
      <c r="BF105" s="380">
        <f t="shared" si="11"/>
        <v>3003</v>
      </c>
      <c r="BG105" s="380">
        <f t="shared" si="12"/>
        <v>2643</v>
      </c>
      <c r="BH105" s="380">
        <f t="shared" si="13"/>
        <v>2279</v>
      </c>
      <c r="BI105" s="380">
        <f t="shared" si="14"/>
        <v>2331</v>
      </c>
      <c r="BJ105" s="380">
        <f t="shared" si="15"/>
        <v>2395</v>
      </c>
      <c r="BK105" s="617">
        <f t="shared" si="16"/>
        <v>2362</v>
      </c>
      <c r="BL105" s="381">
        <f t="shared" si="16"/>
        <v>0</v>
      </c>
    </row>
    <row r="106" spans="1:64" x14ac:dyDescent="0.2">
      <c r="A106" s="365" t="s">
        <v>706</v>
      </c>
      <c r="B106" s="377"/>
      <c r="C106" s="373"/>
      <c r="D106" s="373"/>
      <c r="E106" s="373"/>
      <c r="F106" s="373"/>
      <c r="G106" s="373"/>
      <c r="H106" s="373"/>
      <c r="I106" s="618"/>
      <c r="J106" s="374"/>
      <c r="K106" s="377">
        <v>30</v>
      </c>
      <c r="L106" s="373">
        <v>32</v>
      </c>
      <c r="M106" s="373">
        <v>25</v>
      </c>
      <c r="N106" s="373">
        <v>50</v>
      </c>
      <c r="O106" s="373">
        <v>27</v>
      </c>
      <c r="P106" s="373">
        <v>24</v>
      </c>
      <c r="Q106" s="373">
        <v>23</v>
      </c>
      <c r="R106" s="618">
        <v>16</v>
      </c>
      <c r="S106" s="374"/>
      <c r="T106" s="377">
        <v>101</v>
      </c>
      <c r="U106" s="373">
        <v>62</v>
      </c>
      <c r="V106" s="373">
        <v>58</v>
      </c>
      <c r="W106" s="373">
        <v>48</v>
      </c>
      <c r="X106" s="373">
        <v>68</v>
      </c>
      <c r="Y106" s="373">
        <v>42</v>
      </c>
      <c r="Z106" s="373">
        <v>47</v>
      </c>
      <c r="AA106" s="618">
        <v>43</v>
      </c>
      <c r="AB106" s="374"/>
      <c r="AC106" s="377">
        <v>304</v>
      </c>
      <c r="AD106" s="373">
        <v>270</v>
      </c>
      <c r="AE106" s="373">
        <v>233</v>
      </c>
      <c r="AF106" s="373">
        <v>176</v>
      </c>
      <c r="AG106" s="373">
        <v>211</v>
      </c>
      <c r="AH106" s="373">
        <v>189</v>
      </c>
      <c r="AI106" s="373">
        <v>168</v>
      </c>
      <c r="AJ106" s="618">
        <v>181</v>
      </c>
      <c r="AK106" s="374"/>
      <c r="AL106" s="377">
        <v>13</v>
      </c>
      <c r="AM106" s="373">
        <v>10</v>
      </c>
      <c r="AN106" s="373">
        <v>11</v>
      </c>
      <c r="AO106" s="373">
        <v>14</v>
      </c>
      <c r="AP106" s="373">
        <v>21</v>
      </c>
      <c r="AQ106" s="373">
        <v>13</v>
      </c>
      <c r="AR106" s="373">
        <v>14</v>
      </c>
      <c r="AS106" s="618">
        <v>16</v>
      </c>
      <c r="AT106" s="374"/>
      <c r="AU106" s="377"/>
      <c r="AV106" s="373"/>
      <c r="AW106" s="373"/>
      <c r="AX106" s="373"/>
      <c r="AY106" s="373"/>
      <c r="AZ106" s="373"/>
      <c r="BA106" s="373"/>
      <c r="BB106" s="618"/>
      <c r="BC106" s="374"/>
      <c r="BD106" s="377">
        <f t="shared" si="9"/>
        <v>448</v>
      </c>
      <c r="BE106" s="373">
        <f t="shared" si="10"/>
        <v>374</v>
      </c>
      <c r="BF106" s="373">
        <f t="shared" si="11"/>
        <v>327</v>
      </c>
      <c r="BG106" s="373">
        <f t="shared" si="12"/>
        <v>288</v>
      </c>
      <c r="BH106" s="373">
        <f t="shared" si="13"/>
        <v>327</v>
      </c>
      <c r="BI106" s="373">
        <f t="shared" si="14"/>
        <v>268</v>
      </c>
      <c r="BJ106" s="373">
        <f t="shared" si="15"/>
        <v>252</v>
      </c>
      <c r="BK106" s="618">
        <f t="shared" si="16"/>
        <v>256</v>
      </c>
      <c r="BL106" s="374">
        <f t="shared" si="16"/>
        <v>0</v>
      </c>
    </row>
    <row r="107" spans="1:64" x14ac:dyDescent="0.2">
      <c r="A107" s="365" t="s">
        <v>710</v>
      </c>
      <c r="B107" s="377"/>
      <c r="C107" s="373"/>
      <c r="D107" s="373"/>
      <c r="E107" s="373"/>
      <c r="F107" s="373"/>
      <c r="G107" s="373"/>
      <c r="H107" s="373"/>
      <c r="I107" s="618"/>
      <c r="J107" s="374"/>
      <c r="K107" s="377">
        <v>82</v>
      </c>
      <c r="L107" s="373">
        <v>63</v>
      </c>
      <c r="M107" s="373">
        <v>46</v>
      </c>
      <c r="N107" s="373">
        <v>61</v>
      </c>
      <c r="O107" s="373">
        <v>28</v>
      </c>
      <c r="P107" s="373">
        <v>32</v>
      </c>
      <c r="Q107" s="373">
        <v>21</v>
      </c>
      <c r="R107" s="618">
        <v>17</v>
      </c>
      <c r="S107" s="374"/>
      <c r="T107" s="377">
        <v>165</v>
      </c>
      <c r="U107" s="373">
        <v>127</v>
      </c>
      <c r="V107" s="373">
        <v>104</v>
      </c>
      <c r="W107" s="373">
        <v>130</v>
      </c>
      <c r="X107" s="373">
        <v>97</v>
      </c>
      <c r="Y107" s="373">
        <v>81</v>
      </c>
      <c r="Z107" s="373">
        <v>103</v>
      </c>
      <c r="AA107" s="618">
        <v>82</v>
      </c>
      <c r="AB107" s="374"/>
      <c r="AC107" s="377">
        <v>507</v>
      </c>
      <c r="AD107" s="373">
        <v>428</v>
      </c>
      <c r="AE107" s="373">
        <v>357</v>
      </c>
      <c r="AF107" s="373">
        <v>299</v>
      </c>
      <c r="AG107" s="373">
        <v>324</v>
      </c>
      <c r="AH107" s="373">
        <v>350</v>
      </c>
      <c r="AI107" s="373">
        <v>362</v>
      </c>
      <c r="AJ107" s="618">
        <v>305</v>
      </c>
      <c r="AK107" s="374"/>
      <c r="AL107" s="377">
        <v>33</v>
      </c>
      <c r="AM107" s="373">
        <v>34</v>
      </c>
      <c r="AN107" s="373">
        <v>23</v>
      </c>
      <c r="AO107" s="373">
        <v>26</v>
      </c>
      <c r="AP107" s="373">
        <v>26</v>
      </c>
      <c r="AQ107" s="373">
        <v>30</v>
      </c>
      <c r="AR107" s="373">
        <v>42</v>
      </c>
      <c r="AS107" s="618">
        <v>40</v>
      </c>
      <c r="AT107" s="374"/>
      <c r="AU107" s="377"/>
      <c r="AV107" s="373"/>
      <c r="AW107" s="373"/>
      <c r="AX107" s="373"/>
      <c r="AY107" s="373"/>
      <c r="AZ107" s="373"/>
      <c r="BA107" s="373"/>
      <c r="BB107" s="618"/>
      <c r="BC107" s="374"/>
      <c r="BD107" s="377">
        <f t="shared" si="9"/>
        <v>787</v>
      </c>
      <c r="BE107" s="373">
        <f t="shared" si="10"/>
        <v>652</v>
      </c>
      <c r="BF107" s="373">
        <f t="shared" si="11"/>
        <v>530</v>
      </c>
      <c r="BG107" s="373">
        <f t="shared" si="12"/>
        <v>516</v>
      </c>
      <c r="BH107" s="373">
        <f t="shared" si="13"/>
        <v>475</v>
      </c>
      <c r="BI107" s="373">
        <f t="shared" si="14"/>
        <v>493</v>
      </c>
      <c r="BJ107" s="373">
        <f t="shared" si="15"/>
        <v>528</v>
      </c>
      <c r="BK107" s="618">
        <f t="shared" si="16"/>
        <v>444</v>
      </c>
      <c r="BL107" s="374">
        <f t="shared" si="16"/>
        <v>0</v>
      </c>
    </row>
    <row r="108" spans="1:64" x14ac:dyDescent="0.2">
      <c r="A108" s="365" t="s">
        <v>711</v>
      </c>
      <c r="B108" s="377"/>
      <c r="C108" s="373"/>
      <c r="D108" s="373"/>
      <c r="E108" s="373"/>
      <c r="F108" s="373"/>
      <c r="G108" s="373"/>
      <c r="H108" s="373"/>
      <c r="I108" s="618"/>
      <c r="J108" s="374"/>
      <c r="K108" s="377">
        <v>20</v>
      </c>
      <c r="L108" s="373">
        <v>6</v>
      </c>
      <c r="M108" s="373">
        <v>7</v>
      </c>
      <c r="N108" s="373">
        <v>11</v>
      </c>
      <c r="O108" s="373">
        <v>2</v>
      </c>
      <c r="P108" s="373">
        <v>4</v>
      </c>
      <c r="Q108" s="373">
        <v>9</v>
      </c>
      <c r="R108" s="618">
        <v>7</v>
      </c>
      <c r="S108" s="374"/>
      <c r="T108" s="377">
        <v>37</v>
      </c>
      <c r="U108" s="373">
        <v>37</v>
      </c>
      <c r="V108" s="373">
        <v>32</v>
      </c>
      <c r="W108" s="373">
        <v>48</v>
      </c>
      <c r="X108" s="373">
        <v>18</v>
      </c>
      <c r="Y108" s="373">
        <v>19</v>
      </c>
      <c r="Z108" s="373">
        <v>18</v>
      </c>
      <c r="AA108" s="618">
        <v>35</v>
      </c>
      <c r="AB108" s="374"/>
      <c r="AC108" s="377">
        <v>125</v>
      </c>
      <c r="AD108" s="373">
        <v>104</v>
      </c>
      <c r="AE108" s="373">
        <v>89</v>
      </c>
      <c r="AF108" s="373">
        <v>74</v>
      </c>
      <c r="AG108" s="373">
        <v>69</v>
      </c>
      <c r="AH108" s="373">
        <v>51</v>
      </c>
      <c r="AI108" s="373">
        <v>91</v>
      </c>
      <c r="AJ108" s="618">
        <v>83</v>
      </c>
      <c r="AK108" s="374"/>
      <c r="AL108" s="377">
        <v>6</v>
      </c>
      <c r="AM108" s="373">
        <v>4</v>
      </c>
      <c r="AN108" s="373">
        <v>3</v>
      </c>
      <c r="AO108" s="373">
        <v>5</v>
      </c>
      <c r="AP108" s="373">
        <v>4</v>
      </c>
      <c r="AQ108" s="373">
        <v>7</v>
      </c>
      <c r="AR108" s="373">
        <v>6</v>
      </c>
      <c r="AS108" s="618">
        <v>5</v>
      </c>
      <c r="AT108" s="374"/>
      <c r="AU108" s="377"/>
      <c r="AV108" s="373"/>
      <c r="AW108" s="373"/>
      <c r="AX108" s="373"/>
      <c r="AY108" s="373"/>
      <c r="AZ108" s="373"/>
      <c r="BA108" s="373"/>
      <c r="BB108" s="618"/>
      <c r="BC108" s="374"/>
      <c r="BD108" s="377">
        <f t="shared" si="9"/>
        <v>188</v>
      </c>
      <c r="BE108" s="373">
        <f t="shared" si="10"/>
        <v>151</v>
      </c>
      <c r="BF108" s="373">
        <f t="shared" si="11"/>
        <v>131</v>
      </c>
      <c r="BG108" s="373">
        <f t="shared" si="12"/>
        <v>138</v>
      </c>
      <c r="BH108" s="373">
        <f t="shared" si="13"/>
        <v>93</v>
      </c>
      <c r="BI108" s="373">
        <f t="shared" si="14"/>
        <v>81</v>
      </c>
      <c r="BJ108" s="373">
        <f t="shared" si="15"/>
        <v>124</v>
      </c>
      <c r="BK108" s="618">
        <f t="shared" si="16"/>
        <v>130</v>
      </c>
      <c r="BL108" s="374">
        <f t="shared" si="16"/>
        <v>0</v>
      </c>
    </row>
    <row r="109" spans="1:64" x14ac:dyDescent="0.2">
      <c r="A109" s="365" t="s">
        <v>818</v>
      </c>
      <c r="B109" s="377"/>
      <c r="C109" s="373"/>
      <c r="D109" s="373"/>
      <c r="E109" s="373"/>
      <c r="F109" s="373"/>
      <c r="G109" s="373"/>
      <c r="H109" s="373"/>
      <c r="I109" s="618"/>
      <c r="J109" s="374"/>
      <c r="K109" s="377"/>
      <c r="L109" s="373">
        <v>7</v>
      </c>
      <c r="M109" s="373">
        <v>4</v>
      </c>
      <c r="N109" s="373">
        <v>1</v>
      </c>
      <c r="O109" s="373">
        <v>1</v>
      </c>
      <c r="P109" s="373"/>
      <c r="Q109" s="373">
        <v>7</v>
      </c>
      <c r="R109" s="618">
        <v>3</v>
      </c>
      <c r="S109" s="374"/>
      <c r="T109" s="377">
        <v>7</v>
      </c>
      <c r="U109" s="373">
        <v>19</v>
      </c>
      <c r="V109" s="373">
        <v>23</v>
      </c>
      <c r="W109" s="373">
        <v>8</v>
      </c>
      <c r="X109" s="373">
        <v>11</v>
      </c>
      <c r="Y109" s="373">
        <v>16</v>
      </c>
      <c r="Z109" s="373">
        <v>4</v>
      </c>
      <c r="AA109" s="618">
        <v>5</v>
      </c>
      <c r="AB109" s="374"/>
      <c r="AC109" s="377">
        <v>51</v>
      </c>
      <c r="AD109" s="373">
        <v>97</v>
      </c>
      <c r="AE109" s="373">
        <v>101</v>
      </c>
      <c r="AF109" s="373">
        <v>56</v>
      </c>
      <c r="AG109" s="373">
        <v>61</v>
      </c>
      <c r="AH109" s="373">
        <v>90</v>
      </c>
      <c r="AI109" s="373">
        <v>62</v>
      </c>
      <c r="AJ109" s="618">
        <v>71</v>
      </c>
      <c r="AK109" s="374"/>
      <c r="AL109" s="377">
        <v>4</v>
      </c>
      <c r="AM109" s="373">
        <v>4</v>
      </c>
      <c r="AN109" s="373">
        <v>5</v>
      </c>
      <c r="AO109" s="373">
        <v>8</v>
      </c>
      <c r="AP109" s="373"/>
      <c r="AQ109" s="373">
        <v>3</v>
      </c>
      <c r="AR109" s="373">
        <v>6</v>
      </c>
      <c r="AS109" s="618">
        <v>9</v>
      </c>
      <c r="AT109" s="374"/>
      <c r="AU109" s="377"/>
      <c r="AV109" s="373"/>
      <c r="AW109" s="373"/>
      <c r="AX109" s="373"/>
      <c r="AY109" s="373"/>
      <c r="AZ109" s="373"/>
      <c r="BA109" s="373"/>
      <c r="BB109" s="618"/>
      <c r="BC109" s="374"/>
      <c r="BD109" s="377">
        <f t="shared" si="9"/>
        <v>62</v>
      </c>
      <c r="BE109" s="373">
        <f t="shared" si="10"/>
        <v>127</v>
      </c>
      <c r="BF109" s="373">
        <f t="shared" si="11"/>
        <v>133</v>
      </c>
      <c r="BG109" s="373">
        <f t="shared" si="12"/>
        <v>73</v>
      </c>
      <c r="BH109" s="373">
        <f t="shared" si="13"/>
        <v>73</v>
      </c>
      <c r="BI109" s="373">
        <f t="shared" si="14"/>
        <v>109</v>
      </c>
      <c r="BJ109" s="373">
        <f t="shared" si="15"/>
        <v>79</v>
      </c>
      <c r="BK109" s="618">
        <f t="shared" si="16"/>
        <v>88</v>
      </c>
      <c r="BL109" s="374">
        <f t="shared" si="16"/>
        <v>0</v>
      </c>
    </row>
    <row r="110" spans="1:64" x14ac:dyDescent="0.2">
      <c r="A110" s="365" t="s">
        <v>707</v>
      </c>
      <c r="B110" s="377"/>
      <c r="C110" s="373"/>
      <c r="D110" s="373"/>
      <c r="E110" s="373"/>
      <c r="F110" s="373"/>
      <c r="G110" s="373"/>
      <c r="H110" s="373"/>
      <c r="I110" s="618"/>
      <c r="J110" s="374"/>
      <c r="K110" s="377">
        <v>34</v>
      </c>
      <c r="L110" s="373">
        <v>65</v>
      </c>
      <c r="M110" s="373">
        <v>36</v>
      </c>
      <c r="N110" s="373">
        <v>46</v>
      </c>
      <c r="O110" s="373">
        <v>24</v>
      </c>
      <c r="P110" s="373">
        <v>22</v>
      </c>
      <c r="Q110" s="373">
        <v>23</v>
      </c>
      <c r="R110" s="618">
        <v>33</v>
      </c>
      <c r="S110" s="374"/>
      <c r="T110" s="377">
        <v>117</v>
      </c>
      <c r="U110" s="373">
        <v>105</v>
      </c>
      <c r="V110" s="373">
        <v>80</v>
      </c>
      <c r="W110" s="373">
        <v>82</v>
      </c>
      <c r="X110" s="373">
        <v>100</v>
      </c>
      <c r="Y110" s="373">
        <v>85</v>
      </c>
      <c r="Z110" s="373">
        <v>74</v>
      </c>
      <c r="AA110" s="618">
        <v>66</v>
      </c>
      <c r="AB110" s="374"/>
      <c r="AC110" s="377">
        <v>282</v>
      </c>
      <c r="AD110" s="373">
        <v>285</v>
      </c>
      <c r="AE110" s="373">
        <v>265</v>
      </c>
      <c r="AF110" s="373">
        <v>206</v>
      </c>
      <c r="AG110" s="373">
        <v>236</v>
      </c>
      <c r="AH110" s="373">
        <v>219</v>
      </c>
      <c r="AI110" s="373">
        <v>239</v>
      </c>
      <c r="AJ110" s="618">
        <v>234</v>
      </c>
      <c r="AK110" s="374"/>
      <c r="AL110" s="377">
        <v>17</v>
      </c>
      <c r="AM110" s="373">
        <v>14</v>
      </c>
      <c r="AN110" s="373">
        <v>16</v>
      </c>
      <c r="AO110" s="373">
        <v>21</v>
      </c>
      <c r="AP110" s="373">
        <v>16</v>
      </c>
      <c r="AQ110" s="373">
        <v>9</v>
      </c>
      <c r="AR110" s="373">
        <v>22</v>
      </c>
      <c r="AS110" s="618">
        <v>27</v>
      </c>
      <c r="AT110" s="374"/>
      <c r="AU110" s="377"/>
      <c r="AV110" s="373"/>
      <c r="AW110" s="373"/>
      <c r="AX110" s="373"/>
      <c r="AY110" s="373">
        <v>1</v>
      </c>
      <c r="AZ110" s="373"/>
      <c r="BA110" s="373"/>
      <c r="BB110" s="618"/>
      <c r="BC110" s="374"/>
      <c r="BD110" s="377">
        <f t="shared" si="9"/>
        <v>450</v>
      </c>
      <c r="BE110" s="373">
        <f t="shared" si="10"/>
        <v>469</v>
      </c>
      <c r="BF110" s="373">
        <f t="shared" si="11"/>
        <v>397</v>
      </c>
      <c r="BG110" s="373">
        <f t="shared" si="12"/>
        <v>355</v>
      </c>
      <c r="BH110" s="373">
        <f t="shared" si="13"/>
        <v>377</v>
      </c>
      <c r="BI110" s="373">
        <f t="shared" si="14"/>
        <v>335</v>
      </c>
      <c r="BJ110" s="373">
        <f t="shared" si="15"/>
        <v>358</v>
      </c>
      <c r="BK110" s="618">
        <f t="shared" si="16"/>
        <v>360</v>
      </c>
      <c r="BL110" s="374">
        <f t="shared" si="16"/>
        <v>0</v>
      </c>
    </row>
    <row r="111" spans="1:64" x14ac:dyDescent="0.2">
      <c r="A111" s="365" t="s">
        <v>708</v>
      </c>
      <c r="B111" s="377"/>
      <c r="C111" s="373"/>
      <c r="D111" s="373"/>
      <c r="E111" s="373"/>
      <c r="F111" s="373"/>
      <c r="G111" s="373"/>
      <c r="H111" s="373"/>
      <c r="I111" s="618"/>
      <c r="J111" s="374"/>
      <c r="K111" s="377">
        <v>19</v>
      </c>
      <c r="L111" s="373">
        <v>24</v>
      </c>
      <c r="M111" s="373">
        <v>32</v>
      </c>
      <c r="N111" s="373">
        <v>28</v>
      </c>
      <c r="O111" s="373">
        <v>15</v>
      </c>
      <c r="P111" s="373">
        <v>10</v>
      </c>
      <c r="Q111" s="373">
        <v>22</v>
      </c>
      <c r="R111" s="618">
        <v>19</v>
      </c>
      <c r="S111" s="374"/>
      <c r="T111" s="377">
        <v>62</v>
      </c>
      <c r="U111" s="373">
        <v>60</v>
      </c>
      <c r="V111" s="373">
        <v>54</v>
      </c>
      <c r="W111" s="373">
        <v>74</v>
      </c>
      <c r="X111" s="373">
        <v>32</v>
      </c>
      <c r="Y111" s="373">
        <v>47</v>
      </c>
      <c r="Z111" s="373">
        <v>39</v>
      </c>
      <c r="AA111" s="618">
        <v>30</v>
      </c>
      <c r="AB111" s="374"/>
      <c r="AC111" s="377">
        <v>134</v>
      </c>
      <c r="AD111" s="373">
        <v>171</v>
      </c>
      <c r="AE111" s="373">
        <v>145</v>
      </c>
      <c r="AF111" s="373">
        <v>143</v>
      </c>
      <c r="AG111" s="373">
        <v>133</v>
      </c>
      <c r="AH111" s="373">
        <v>148</v>
      </c>
      <c r="AI111" s="373">
        <v>137</v>
      </c>
      <c r="AJ111" s="618">
        <v>139</v>
      </c>
      <c r="AK111" s="374"/>
      <c r="AL111" s="377">
        <v>7</v>
      </c>
      <c r="AM111" s="373">
        <v>4</v>
      </c>
      <c r="AN111" s="373">
        <v>6</v>
      </c>
      <c r="AO111" s="373">
        <v>3</v>
      </c>
      <c r="AP111" s="373">
        <v>10</v>
      </c>
      <c r="AQ111" s="373">
        <v>14</v>
      </c>
      <c r="AR111" s="373">
        <v>16</v>
      </c>
      <c r="AS111" s="618">
        <v>25</v>
      </c>
      <c r="AT111" s="374"/>
      <c r="AU111" s="377"/>
      <c r="AV111" s="373"/>
      <c r="AW111" s="373"/>
      <c r="AX111" s="373"/>
      <c r="AY111" s="373"/>
      <c r="AZ111" s="373"/>
      <c r="BA111" s="373"/>
      <c r="BB111" s="618"/>
      <c r="BC111" s="374"/>
      <c r="BD111" s="377">
        <f t="shared" si="9"/>
        <v>222</v>
      </c>
      <c r="BE111" s="373">
        <f t="shared" si="10"/>
        <v>259</v>
      </c>
      <c r="BF111" s="373">
        <f t="shared" si="11"/>
        <v>237</v>
      </c>
      <c r="BG111" s="373">
        <f t="shared" si="12"/>
        <v>248</v>
      </c>
      <c r="BH111" s="373">
        <f t="shared" si="13"/>
        <v>190</v>
      </c>
      <c r="BI111" s="373">
        <f t="shared" si="14"/>
        <v>219</v>
      </c>
      <c r="BJ111" s="373">
        <f t="shared" si="15"/>
        <v>214</v>
      </c>
      <c r="BK111" s="618">
        <f t="shared" si="16"/>
        <v>213</v>
      </c>
      <c r="BL111" s="374">
        <f t="shared" si="16"/>
        <v>0</v>
      </c>
    </row>
    <row r="112" spans="1:64" x14ac:dyDescent="0.2">
      <c r="A112" s="365" t="s">
        <v>705</v>
      </c>
      <c r="B112" s="377"/>
      <c r="C112" s="373"/>
      <c r="D112" s="373"/>
      <c r="E112" s="373"/>
      <c r="F112" s="373"/>
      <c r="G112" s="373"/>
      <c r="H112" s="373"/>
      <c r="I112" s="618"/>
      <c r="J112" s="374"/>
      <c r="K112" s="377">
        <v>94</v>
      </c>
      <c r="L112" s="373">
        <v>125</v>
      </c>
      <c r="M112" s="373">
        <v>118</v>
      </c>
      <c r="N112" s="373">
        <v>80</v>
      </c>
      <c r="O112" s="373">
        <v>30</v>
      </c>
      <c r="P112" s="373">
        <v>49</v>
      </c>
      <c r="Q112" s="373">
        <v>51</v>
      </c>
      <c r="R112" s="618">
        <v>49</v>
      </c>
      <c r="S112" s="374"/>
      <c r="T112" s="377">
        <v>223</v>
      </c>
      <c r="U112" s="373">
        <v>231</v>
      </c>
      <c r="V112" s="373">
        <v>239</v>
      </c>
      <c r="W112" s="373">
        <v>181</v>
      </c>
      <c r="X112" s="373">
        <v>104</v>
      </c>
      <c r="Y112" s="373">
        <v>149</v>
      </c>
      <c r="Z112" s="373">
        <v>161</v>
      </c>
      <c r="AA112" s="618">
        <v>135</v>
      </c>
      <c r="AB112" s="374"/>
      <c r="AC112" s="377">
        <v>627</v>
      </c>
      <c r="AD112" s="373">
        <v>591</v>
      </c>
      <c r="AE112" s="373">
        <v>592</v>
      </c>
      <c r="AF112" s="373">
        <v>474</v>
      </c>
      <c r="AG112" s="373">
        <v>371</v>
      </c>
      <c r="AH112" s="373">
        <v>373</v>
      </c>
      <c r="AI112" s="373">
        <v>393</v>
      </c>
      <c r="AJ112" s="618">
        <v>430</v>
      </c>
      <c r="AK112" s="374"/>
      <c r="AL112" s="377">
        <v>21</v>
      </c>
      <c r="AM112" s="373">
        <v>27</v>
      </c>
      <c r="AN112" s="373">
        <v>33</v>
      </c>
      <c r="AO112" s="373">
        <v>32</v>
      </c>
      <c r="AP112" s="373">
        <v>28</v>
      </c>
      <c r="AQ112" s="373">
        <v>34</v>
      </c>
      <c r="AR112" s="373">
        <v>24</v>
      </c>
      <c r="AS112" s="618">
        <v>36</v>
      </c>
      <c r="AT112" s="374"/>
      <c r="AU112" s="377"/>
      <c r="AV112" s="373"/>
      <c r="AW112" s="373"/>
      <c r="AX112" s="373"/>
      <c r="AY112" s="373">
        <v>2</v>
      </c>
      <c r="AZ112" s="373"/>
      <c r="BA112" s="373"/>
      <c r="BB112" s="618"/>
      <c r="BC112" s="374"/>
      <c r="BD112" s="377">
        <f t="shared" si="9"/>
        <v>965</v>
      </c>
      <c r="BE112" s="373">
        <f t="shared" si="10"/>
        <v>974</v>
      </c>
      <c r="BF112" s="373">
        <f t="shared" si="11"/>
        <v>982</v>
      </c>
      <c r="BG112" s="373">
        <f t="shared" si="12"/>
        <v>767</v>
      </c>
      <c r="BH112" s="373">
        <f t="shared" si="13"/>
        <v>535</v>
      </c>
      <c r="BI112" s="373">
        <f t="shared" si="14"/>
        <v>605</v>
      </c>
      <c r="BJ112" s="373">
        <f t="shared" si="15"/>
        <v>629</v>
      </c>
      <c r="BK112" s="618">
        <f t="shared" si="16"/>
        <v>650</v>
      </c>
      <c r="BL112" s="374">
        <f t="shared" si="16"/>
        <v>0</v>
      </c>
    </row>
    <row r="113" spans="1:64" ht="13.5" thickBot="1" x14ac:dyDescent="0.25">
      <c r="A113" s="366" t="s">
        <v>709</v>
      </c>
      <c r="B113" s="378"/>
      <c r="C113" s="375"/>
      <c r="D113" s="375"/>
      <c r="E113" s="375"/>
      <c r="F113" s="375"/>
      <c r="G113" s="375"/>
      <c r="H113" s="375"/>
      <c r="I113" s="619"/>
      <c r="J113" s="376"/>
      <c r="K113" s="378">
        <v>47</v>
      </c>
      <c r="L113" s="375">
        <v>55</v>
      </c>
      <c r="M113" s="375">
        <v>31</v>
      </c>
      <c r="N113" s="375">
        <v>15</v>
      </c>
      <c r="O113" s="375">
        <v>10</v>
      </c>
      <c r="P113" s="375">
        <v>19</v>
      </c>
      <c r="Q113" s="375">
        <v>11</v>
      </c>
      <c r="R113" s="619">
        <v>11</v>
      </c>
      <c r="S113" s="376"/>
      <c r="T113" s="378">
        <v>60</v>
      </c>
      <c r="U113" s="375">
        <v>39</v>
      </c>
      <c r="V113" s="375">
        <v>42</v>
      </c>
      <c r="W113" s="375">
        <v>53</v>
      </c>
      <c r="X113" s="375">
        <v>59</v>
      </c>
      <c r="Y113" s="375">
        <v>43</v>
      </c>
      <c r="Z113" s="375">
        <v>37</v>
      </c>
      <c r="AA113" s="619">
        <v>53</v>
      </c>
      <c r="AB113" s="376"/>
      <c r="AC113" s="378">
        <v>164</v>
      </c>
      <c r="AD113" s="375">
        <v>148</v>
      </c>
      <c r="AE113" s="375">
        <v>187</v>
      </c>
      <c r="AF113" s="375">
        <v>176</v>
      </c>
      <c r="AG113" s="375">
        <v>133</v>
      </c>
      <c r="AH113" s="375">
        <v>151</v>
      </c>
      <c r="AI113" s="375">
        <v>148</v>
      </c>
      <c r="AJ113" s="619">
        <v>135</v>
      </c>
      <c r="AK113" s="376"/>
      <c r="AL113" s="378">
        <v>6</v>
      </c>
      <c r="AM113" s="375">
        <v>9</v>
      </c>
      <c r="AN113" s="375">
        <v>6</v>
      </c>
      <c r="AO113" s="375">
        <v>14</v>
      </c>
      <c r="AP113" s="375">
        <v>7</v>
      </c>
      <c r="AQ113" s="375">
        <v>8</v>
      </c>
      <c r="AR113" s="375">
        <v>15</v>
      </c>
      <c r="AS113" s="619">
        <v>22</v>
      </c>
      <c r="AT113" s="376"/>
      <c r="AU113" s="378"/>
      <c r="AV113" s="375"/>
      <c r="AW113" s="375"/>
      <c r="AX113" s="375"/>
      <c r="AY113" s="375"/>
      <c r="AZ113" s="375"/>
      <c r="BA113" s="375"/>
      <c r="BB113" s="619"/>
      <c r="BC113" s="376"/>
      <c r="BD113" s="378">
        <f t="shared" si="9"/>
        <v>277</v>
      </c>
      <c r="BE113" s="375">
        <f t="shared" si="10"/>
        <v>251</v>
      </c>
      <c r="BF113" s="375">
        <f t="shared" si="11"/>
        <v>266</v>
      </c>
      <c r="BG113" s="375">
        <f t="shared" si="12"/>
        <v>258</v>
      </c>
      <c r="BH113" s="375">
        <f t="shared" si="13"/>
        <v>209</v>
      </c>
      <c r="BI113" s="375">
        <f t="shared" si="14"/>
        <v>221</v>
      </c>
      <c r="BJ113" s="375">
        <f t="shared" si="15"/>
        <v>211</v>
      </c>
      <c r="BK113" s="619">
        <f t="shared" si="16"/>
        <v>221</v>
      </c>
      <c r="BL113" s="376">
        <f t="shared" si="16"/>
        <v>0</v>
      </c>
    </row>
    <row r="114" spans="1:64" s="264" customFormat="1" x14ac:dyDescent="0.2">
      <c r="A114" s="364" t="s">
        <v>787</v>
      </c>
      <c r="B114" s="379"/>
      <c r="C114" s="380"/>
      <c r="D114" s="380"/>
      <c r="E114" s="380"/>
      <c r="F114" s="380">
        <v>1</v>
      </c>
      <c r="G114" s="380">
        <v>2</v>
      </c>
      <c r="H114" s="380">
        <v>1</v>
      </c>
      <c r="I114" s="617">
        <v>1</v>
      </c>
      <c r="J114" s="381"/>
      <c r="K114" s="379">
        <v>267</v>
      </c>
      <c r="L114" s="380">
        <v>381</v>
      </c>
      <c r="M114" s="380">
        <v>276</v>
      </c>
      <c r="N114" s="380">
        <v>225</v>
      </c>
      <c r="O114" s="380">
        <v>254</v>
      </c>
      <c r="P114" s="380">
        <v>245</v>
      </c>
      <c r="Q114" s="380">
        <v>199</v>
      </c>
      <c r="R114" s="617">
        <v>165</v>
      </c>
      <c r="S114" s="381"/>
      <c r="T114" s="379">
        <v>561</v>
      </c>
      <c r="U114" s="380">
        <v>622</v>
      </c>
      <c r="V114" s="380">
        <v>606</v>
      </c>
      <c r="W114" s="380">
        <v>540</v>
      </c>
      <c r="X114" s="380">
        <v>593</v>
      </c>
      <c r="Y114" s="380">
        <v>511</v>
      </c>
      <c r="Z114" s="380">
        <v>388</v>
      </c>
      <c r="AA114" s="617">
        <v>369</v>
      </c>
      <c r="AB114" s="381"/>
      <c r="AC114" s="379">
        <v>1669</v>
      </c>
      <c r="AD114" s="380">
        <v>1686</v>
      </c>
      <c r="AE114" s="380">
        <v>1573</v>
      </c>
      <c r="AF114" s="380">
        <v>1449</v>
      </c>
      <c r="AG114" s="380">
        <v>1901</v>
      </c>
      <c r="AH114" s="380">
        <v>1551</v>
      </c>
      <c r="AI114" s="380">
        <v>1265</v>
      </c>
      <c r="AJ114" s="617">
        <v>1299</v>
      </c>
      <c r="AK114" s="381"/>
      <c r="AL114" s="379">
        <v>72</v>
      </c>
      <c r="AM114" s="380">
        <v>76</v>
      </c>
      <c r="AN114" s="380">
        <v>93</v>
      </c>
      <c r="AO114" s="380">
        <v>99</v>
      </c>
      <c r="AP114" s="380">
        <v>123</v>
      </c>
      <c r="AQ114" s="380">
        <v>112</v>
      </c>
      <c r="AR114" s="380">
        <v>132</v>
      </c>
      <c r="AS114" s="617">
        <v>127</v>
      </c>
      <c r="AT114" s="381"/>
      <c r="AU114" s="379"/>
      <c r="AV114" s="380"/>
      <c r="AW114" s="380"/>
      <c r="AX114" s="380"/>
      <c r="AY114" s="380"/>
      <c r="AZ114" s="380"/>
      <c r="BA114" s="380"/>
      <c r="BB114" s="617"/>
      <c r="BC114" s="381"/>
      <c r="BD114" s="379">
        <f t="shared" si="9"/>
        <v>2569</v>
      </c>
      <c r="BE114" s="380">
        <f t="shared" si="10"/>
        <v>2765</v>
      </c>
      <c r="BF114" s="380">
        <f t="shared" si="11"/>
        <v>2548</v>
      </c>
      <c r="BG114" s="380">
        <f t="shared" si="12"/>
        <v>2313</v>
      </c>
      <c r="BH114" s="380">
        <f t="shared" si="13"/>
        <v>2872</v>
      </c>
      <c r="BI114" s="380">
        <f t="shared" si="14"/>
        <v>2421</v>
      </c>
      <c r="BJ114" s="380">
        <f t="shared" si="15"/>
        <v>1985</v>
      </c>
      <c r="BK114" s="617">
        <f t="shared" si="16"/>
        <v>1961</v>
      </c>
      <c r="BL114" s="381">
        <f t="shared" si="16"/>
        <v>0</v>
      </c>
    </row>
    <row r="115" spans="1:64" x14ac:dyDescent="0.2">
      <c r="A115" s="365" t="s">
        <v>713</v>
      </c>
      <c r="B115" s="377"/>
      <c r="C115" s="373"/>
      <c r="D115" s="373"/>
      <c r="E115" s="373"/>
      <c r="F115" s="373"/>
      <c r="G115" s="373"/>
      <c r="H115" s="373"/>
      <c r="I115" s="618"/>
      <c r="J115" s="374"/>
      <c r="K115" s="377">
        <v>79</v>
      </c>
      <c r="L115" s="373">
        <v>79</v>
      </c>
      <c r="M115" s="373">
        <v>54</v>
      </c>
      <c r="N115" s="373">
        <v>30</v>
      </c>
      <c r="O115" s="373">
        <v>56</v>
      </c>
      <c r="P115" s="373">
        <v>72</v>
      </c>
      <c r="Q115" s="373">
        <v>38</v>
      </c>
      <c r="R115" s="618">
        <v>36</v>
      </c>
      <c r="S115" s="374"/>
      <c r="T115" s="377">
        <v>84</v>
      </c>
      <c r="U115" s="373">
        <v>92</v>
      </c>
      <c r="V115" s="373">
        <v>99</v>
      </c>
      <c r="W115" s="373">
        <v>89</v>
      </c>
      <c r="X115" s="373">
        <v>81</v>
      </c>
      <c r="Y115" s="373">
        <v>87</v>
      </c>
      <c r="Z115" s="373">
        <v>64</v>
      </c>
      <c r="AA115" s="618">
        <v>50</v>
      </c>
      <c r="AB115" s="374"/>
      <c r="AC115" s="377">
        <v>249</v>
      </c>
      <c r="AD115" s="373">
        <v>229</v>
      </c>
      <c r="AE115" s="373">
        <v>258</v>
      </c>
      <c r="AF115" s="373">
        <v>193</v>
      </c>
      <c r="AG115" s="373">
        <v>189</v>
      </c>
      <c r="AH115" s="373">
        <v>204</v>
      </c>
      <c r="AI115" s="373">
        <v>140</v>
      </c>
      <c r="AJ115" s="618">
        <v>175</v>
      </c>
      <c r="AK115" s="374"/>
      <c r="AL115" s="377">
        <v>9</v>
      </c>
      <c r="AM115" s="373">
        <v>16</v>
      </c>
      <c r="AN115" s="373">
        <v>18</v>
      </c>
      <c r="AO115" s="373">
        <v>5</v>
      </c>
      <c r="AP115" s="373">
        <v>6</v>
      </c>
      <c r="AQ115" s="373">
        <v>13</v>
      </c>
      <c r="AR115" s="373">
        <v>11</v>
      </c>
      <c r="AS115" s="618">
        <v>9</v>
      </c>
      <c r="AT115" s="374"/>
      <c r="AU115" s="377"/>
      <c r="AV115" s="373"/>
      <c r="AW115" s="373"/>
      <c r="AX115" s="373"/>
      <c r="AY115" s="373"/>
      <c r="AZ115" s="373"/>
      <c r="BA115" s="373"/>
      <c r="BB115" s="618"/>
      <c r="BC115" s="374"/>
      <c r="BD115" s="377">
        <f t="shared" si="9"/>
        <v>421</v>
      </c>
      <c r="BE115" s="373">
        <f t="shared" si="10"/>
        <v>416</v>
      </c>
      <c r="BF115" s="373">
        <f t="shared" si="11"/>
        <v>429</v>
      </c>
      <c r="BG115" s="373">
        <f t="shared" si="12"/>
        <v>317</v>
      </c>
      <c r="BH115" s="373">
        <f t="shared" si="13"/>
        <v>332</v>
      </c>
      <c r="BI115" s="373">
        <f t="shared" si="14"/>
        <v>376</v>
      </c>
      <c r="BJ115" s="373">
        <f t="shared" si="15"/>
        <v>253</v>
      </c>
      <c r="BK115" s="618">
        <f t="shared" si="16"/>
        <v>270</v>
      </c>
      <c r="BL115" s="374">
        <f t="shared" si="16"/>
        <v>0</v>
      </c>
    </row>
    <row r="116" spans="1:64" x14ac:dyDescent="0.2">
      <c r="A116" s="365" t="s">
        <v>717</v>
      </c>
      <c r="B116" s="377"/>
      <c r="C116" s="373"/>
      <c r="D116" s="373"/>
      <c r="E116" s="373"/>
      <c r="F116" s="373"/>
      <c r="G116" s="373"/>
      <c r="H116" s="373"/>
      <c r="I116" s="618"/>
      <c r="J116" s="374"/>
      <c r="K116" s="377">
        <v>23</v>
      </c>
      <c r="L116" s="373">
        <v>34</v>
      </c>
      <c r="M116" s="373">
        <v>35</v>
      </c>
      <c r="N116" s="373">
        <v>32</v>
      </c>
      <c r="O116" s="373">
        <v>31</v>
      </c>
      <c r="P116" s="373">
        <v>12</v>
      </c>
      <c r="Q116" s="373">
        <v>11</v>
      </c>
      <c r="R116" s="618">
        <v>12</v>
      </c>
      <c r="S116" s="374"/>
      <c r="T116" s="377">
        <v>62</v>
      </c>
      <c r="U116" s="373">
        <v>55</v>
      </c>
      <c r="V116" s="373">
        <v>54</v>
      </c>
      <c r="W116" s="373">
        <v>43</v>
      </c>
      <c r="X116" s="373">
        <v>66</v>
      </c>
      <c r="Y116" s="373">
        <v>65</v>
      </c>
      <c r="Z116" s="373">
        <v>49</v>
      </c>
      <c r="AA116" s="618">
        <v>45</v>
      </c>
      <c r="AB116" s="374"/>
      <c r="AC116" s="377">
        <v>184</v>
      </c>
      <c r="AD116" s="373">
        <v>155</v>
      </c>
      <c r="AE116" s="373">
        <v>138</v>
      </c>
      <c r="AF116" s="373">
        <v>150</v>
      </c>
      <c r="AG116" s="373">
        <v>174</v>
      </c>
      <c r="AH116" s="373">
        <v>172</v>
      </c>
      <c r="AI116" s="373">
        <v>158</v>
      </c>
      <c r="AJ116" s="618">
        <v>171</v>
      </c>
      <c r="AK116" s="374"/>
      <c r="AL116" s="377">
        <v>7</v>
      </c>
      <c r="AM116" s="373">
        <v>8</v>
      </c>
      <c r="AN116" s="373">
        <v>11</v>
      </c>
      <c r="AO116" s="373">
        <v>12</v>
      </c>
      <c r="AP116" s="373">
        <v>10</v>
      </c>
      <c r="AQ116" s="373">
        <v>14</v>
      </c>
      <c r="AR116" s="373">
        <v>12</v>
      </c>
      <c r="AS116" s="618">
        <v>14</v>
      </c>
      <c r="AT116" s="374"/>
      <c r="AU116" s="377"/>
      <c r="AV116" s="373"/>
      <c r="AW116" s="373"/>
      <c r="AX116" s="373"/>
      <c r="AY116" s="373"/>
      <c r="AZ116" s="373"/>
      <c r="BA116" s="373"/>
      <c r="BB116" s="618"/>
      <c r="BC116" s="374"/>
      <c r="BD116" s="377">
        <f t="shared" si="9"/>
        <v>276</v>
      </c>
      <c r="BE116" s="373">
        <f t="shared" si="10"/>
        <v>252</v>
      </c>
      <c r="BF116" s="373">
        <f t="shared" si="11"/>
        <v>238</v>
      </c>
      <c r="BG116" s="373">
        <f t="shared" si="12"/>
        <v>237</v>
      </c>
      <c r="BH116" s="373">
        <f t="shared" si="13"/>
        <v>281</v>
      </c>
      <c r="BI116" s="373">
        <f t="shared" si="14"/>
        <v>263</v>
      </c>
      <c r="BJ116" s="373">
        <f t="shared" si="15"/>
        <v>230</v>
      </c>
      <c r="BK116" s="618">
        <f t="shared" si="16"/>
        <v>242</v>
      </c>
      <c r="BL116" s="374">
        <f t="shared" si="16"/>
        <v>0</v>
      </c>
    </row>
    <row r="117" spans="1:64" x14ac:dyDescent="0.2">
      <c r="A117" s="365" t="s">
        <v>819</v>
      </c>
      <c r="B117" s="377"/>
      <c r="C117" s="373"/>
      <c r="D117" s="373"/>
      <c r="E117" s="373"/>
      <c r="F117" s="373"/>
      <c r="G117" s="373"/>
      <c r="H117" s="373"/>
      <c r="I117" s="618"/>
      <c r="J117" s="374"/>
      <c r="K117" s="377">
        <v>8</v>
      </c>
      <c r="L117" s="373">
        <v>16</v>
      </c>
      <c r="M117" s="373">
        <v>6</v>
      </c>
      <c r="N117" s="373">
        <v>6</v>
      </c>
      <c r="O117" s="373">
        <v>5</v>
      </c>
      <c r="P117" s="373">
        <v>8</v>
      </c>
      <c r="Q117" s="373">
        <v>7</v>
      </c>
      <c r="R117" s="618">
        <v>8</v>
      </c>
      <c r="S117" s="374"/>
      <c r="T117" s="377">
        <v>37</v>
      </c>
      <c r="U117" s="373">
        <v>47</v>
      </c>
      <c r="V117" s="373">
        <v>36</v>
      </c>
      <c r="W117" s="373">
        <v>28</v>
      </c>
      <c r="X117" s="373">
        <v>33</v>
      </c>
      <c r="Y117" s="373">
        <v>41</v>
      </c>
      <c r="Z117" s="373">
        <v>36</v>
      </c>
      <c r="AA117" s="618">
        <v>40</v>
      </c>
      <c r="AB117" s="374"/>
      <c r="AC117" s="377">
        <v>168</v>
      </c>
      <c r="AD117" s="373">
        <v>145</v>
      </c>
      <c r="AE117" s="373">
        <v>133</v>
      </c>
      <c r="AF117" s="373">
        <v>129</v>
      </c>
      <c r="AG117" s="373">
        <v>162</v>
      </c>
      <c r="AH117" s="373">
        <v>192</v>
      </c>
      <c r="AI117" s="373">
        <v>213</v>
      </c>
      <c r="AJ117" s="618">
        <v>198</v>
      </c>
      <c r="AK117" s="374"/>
      <c r="AL117" s="377">
        <v>14</v>
      </c>
      <c r="AM117" s="373">
        <v>9</v>
      </c>
      <c r="AN117" s="373">
        <v>14</v>
      </c>
      <c r="AO117" s="373">
        <v>11</v>
      </c>
      <c r="AP117" s="373">
        <v>18</v>
      </c>
      <c r="AQ117" s="373">
        <v>26</v>
      </c>
      <c r="AR117" s="373">
        <v>40</v>
      </c>
      <c r="AS117" s="618">
        <v>33</v>
      </c>
      <c r="AT117" s="374"/>
      <c r="AU117" s="377"/>
      <c r="AV117" s="373"/>
      <c r="AW117" s="373"/>
      <c r="AX117" s="373"/>
      <c r="AY117" s="373"/>
      <c r="AZ117" s="373"/>
      <c r="BA117" s="373"/>
      <c r="BB117" s="618"/>
      <c r="BC117" s="374"/>
      <c r="BD117" s="377">
        <f t="shared" si="9"/>
        <v>227</v>
      </c>
      <c r="BE117" s="373">
        <f t="shared" si="10"/>
        <v>217</v>
      </c>
      <c r="BF117" s="373">
        <f t="shared" si="11"/>
        <v>189</v>
      </c>
      <c r="BG117" s="373">
        <f t="shared" si="12"/>
        <v>174</v>
      </c>
      <c r="BH117" s="373">
        <f t="shared" si="13"/>
        <v>218</v>
      </c>
      <c r="BI117" s="373">
        <f t="shared" si="14"/>
        <v>267</v>
      </c>
      <c r="BJ117" s="373">
        <f t="shared" si="15"/>
        <v>296</v>
      </c>
      <c r="BK117" s="618">
        <f t="shared" si="16"/>
        <v>279</v>
      </c>
      <c r="BL117" s="374">
        <f t="shared" si="16"/>
        <v>0</v>
      </c>
    </row>
    <row r="118" spans="1:64" x14ac:dyDescent="0.2">
      <c r="A118" s="365" t="s">
        <v>714</v>
      </c>
      <c r="B118" s="377"/>
      <c r="C118" s="373"/>
      <c r="D118" s="373"/>
      <c r="E118" s="373"/>
      <c r="F118" s="373"/>
      <c r="G118" s="373">
        <v>1</v>
      </c>
      <c r="H118" s="373">
        <v>1</v>
      </c>
      <c r="I118" s="618">
        <v>1</v>
      </c>
      <c r="J118" s="374"/>
      <c r="K118" s="377">
        <v>24</v>
      </c>
      <c r="L118" s="373">
        <v>50</v>
      </c>
      <c r="M118" s="373">
        <v>25</v>
      </c>
      <c r="N118" s="373">
        <v>19</v>
      </c>
      <c r="O118" s="373">
        <v>34</v>
      </c>
      <c r="P118" s="373">
        <v>22</v>
      </c>
      <c r="Q118" s="373">
        <v>16</v>
      </c>
      <c r="R118" s="618">
        <v>17</v>
      </c>
      <c r="S118" s="374"/>
      <c r="T118" s="377">
        <v>75</v>
      </c>
      <c r="U118" s="373">
        <v>92</v>
      </c>
      <c r="V118" s="373">
        <v>72</v>
      </c>
      <c r="W118" s="373">
        <v>68</v>
      </c>
      <c r="X118" s="373">
        <v>85</v>
      </c>
      <c r="Y118" s="373">
        <v>31</v>
      </c>
      <c r="Z118" s="373">
        <v>46</v>
      </c>
      <c r="AA118" s="618">
        <v>42</v>
      </c>
      <c r="AB118" s="374"/>
      <c r="AC118" s="377">
        <v>217</v>
      </c>
      <c r="AD118" s="373">
        <v>247</v>
      </c>
      <c r="AE118" s="373">
        <v>244</v>
      </c>
      <c r="AF118" s="373">
        <v>230</v>
      </c>
      <c r="AG118" s="373">
        <v>216</v>
      </c>
      <c r="AH118" s="373">
        <v>201</v>
      </c>
      <c r="AI118" s="373">
        <v>170</v>
      </c>
      <c r="AJ118" s="618">
        <v>210</v>
      </c>
      <c r="AK118" s="374"/>
      <c r="AL118" s="377">
        <v>10</v>
      </c>
      <c r="AM118" s="373">
        <v>7</v>
      </c>
      <c r="AN118" s="373">
        <v>9</v>
      </c>
      <c r="AO118" s="373">
        <v>16</v>
      </c>
      <c r="AP118" s="373">
        <v>17</v>
      </c>
      <c r="AQ118" s="373">
        <v>9</v>
      </c>
      <c r="AR118" s="373">
        <v>13</v>
      </c>
      <c r="AS118" s="618">
        <v>16</v>
      </c>
      <c r="AT118" s="374"/>
      <c r="AU118" s="377"/>
      <c r="AV118" s="373"/>
      <c r="AW118" s="373"/>
      <c r="AX118" s="373"/>
      <c r="AY118" s="373"/>
      <c r="AZ118" s="373"/>
      <c r="BA118" s="373"/>
      <c r="BB118" s="618"/>
      <c r="BC118" s="374"/>
      <c r="BD118" s="377">
        <f t="shared" si="9"/>
        <v>326</v>
      </c>
      <c r="BE118" s="373">
        <f t="shared" si="10"/>
        <v>396</v>
      </c>
      <c r="BF118" s="373">
        <f t="shared" si="11"/>
        <v>350</v>
      </c>
      <c r="BG118" s="373">
        <f t="shared" si="12"/>
        <v>333</v>
      </c>
      <c r="BH118" s="373">
        <f t="shared" si="13"/>
        <v>352</v>
      </c>
      <c r="BI118" s="373">
        <f t="shared" si="14"/>
        <v>264</v>
      </c>
      <c r="BJ118" s="373">
        <f t="shared" si="15"/>
        <v>246</v>
      </c>
      <c r="BK118" s="618">
        <f t="shared" si="16"/>
        <v>286</v>
      </c>
      <c r="BL118" s="374">
        <f t="shared" si="16"/>
        <v>0</v>
      </c>
    </row>
    <row r="119" spans="1:64" x14ac:dyDescent="0.2">
      <c r="A119" s="365" t="s">
        <v>715</v>
      </c>
      <c r="B119" s="377"/>
      <c r="C119" s="373"/>
      <c r="D119" s="373"/>
      <c r="E119" s="373"/>
      <c r="F119" s="373"/>
      <c r="G119" s="373"/>
      <c r="H119" s="373"/>
      <c r="I119" s="618"/>
      <c r="J119" s="374"/>
      <c r="K119" s="377">
        <v>21</v>
      </c>
      <c r="L119" s="373">
        <v>19</v>
      </c>
      <c r="M119" s="373">
        <v>20</v>
      </c>
      <c r="N119" s="373">
        <v>10</v>
      </c>
      <c r="O119" s="373">
        <v>22</v>
      </c>
      <c r="P119" s="373">
        <v>7</v>
      </c>
      <c r="Q119" s="373">
        <v>18</v>
      </c>
      <c r="R119" s="618">
        <v>19</v>
      </c>
      <c r="S119" s="374"/>
      <c r="T119" s="377">
        <v>64</v>
      </c>
      <c r="U119" s="373">
        <v>50</v>
      </c>
      <c r="V119" s="373">
        <v>62</v>
      </c>
      <c r="W119" s="373">
        <v>61</v>
      </c>
      <c r="X119" s="373">
        <v>110</v>
      </c>
      <c r="Y119" s="373">
        <v>51</v>
      </c>
      <c r="Z119" s="373">
        <v>37</v>
      </c>
      <c r="AA119" s="618">
        <v>31</v>
      </c>
      <c r="AB119" s="374"/>
      <c r="AC119" s="377">
        <v>195</v>
      </c>
      <c r="AD119" s="373">
        <v>200</v>
      </c>
      <c r="AE119" s="373">
        <v>197</v>
      </c>
      <c r="AF119" s="373">
        <v>171</v>
      </c>
      <c r="AG119" s="373">
        <v>628</v>
      </c>
      <c r="AH119" s="373">
        <v>140</v>
      </c>
      <c r="AI119" s="373">
        <v>114</v>
      </c>
      <c r="AJ119" s="618">
        <v>103</v>
      </c>
      <c r="AK119" s="374"/>
      <c r="AL119" s="377">
        <v>4</v>
      </c>
      <c r="AM119" s="373">
        <v>6</v>
      </c>
      <c r="AN119" s="373">
        <v>10</v>
      </c>
      <c r="AO119" s="373">
        <v>14</v>
      </c>
      <c r="AP119" s="373">
        <v>42</v>
      </c>
      <c r="AQ119" s="373">
        <v>13</v>
      </c>
      <c r="AR119" s="373">
        <v>20</v>
      </c>
      <c r="AS119" s="618">
        <v>10</v>
      </c>
      <c r="AT119" s="374"/>
      <c r="AU119" s="377"/>
      <c r="AV119" s="373"/>
      <c r="AW119" s="373"/>
      <c r="AX119" s="373"/>
      <c r="AY119" s="373"/>
      <c r="AZ119" s="373"/>
      <c r="BA119" s="373"/>
      <c r="BB119" s="618"/>
      <c r="BC119" s="374"/>
      <c r="BD119" s="377">
        <f t="shared" si="9"/>
        <v>284</v>
      </c>
      <c r="BE119" s="373">
        <f t="shared" si="10"/>
        <v>275</v>
      </c>
      <c r="BF119" s="373">
        <f t="shared" si="11"/>
        <v>289</v>
      </c>
      <c r="BG119" s="373">
        <f t="shared" si="12"/>
        <v>256</v>
      </c>
      <c r="BH119" s="373">
        <f t="shared" si="13"/>
        <v>802</v>
      </c>
      <c r="BI119" s="373">
        <f t="shared" si="14"/>
        <v>211</v>
      </c>
      <c r="BJ119" s="373">
        <f t="shared" si="15"/>
        <v>189</v>
      </c>
      <c r="BK119" s="618">
        <f t="shared" si="16"/>
        <v>163</v>
      </c>
      <c r="BL119" s="374">
        <f t="shared" si="16"/>
        <v>0</v>
      </c>
    </row>
    <row r="120" spans="1:64" x14ac:dyDescent="0.2">
      <c r="A120" s="365" t="s">
        <v>712</v>
      </c>
      <c r="B120" s="377"/>
      <c r="C120" s="373"/>
      <c r="D120" s="373"/>
      <c r="E120" s="373"/>
      <c r="F120" s="373">
        <v>1</v>
      </c>
      <c r="G120" s="373">
        <v>1</v>
      </c>
      <c r="H120" s="373"/>
      <c r="I120" s="618"/>
      <c r="J120" s="374"/>
      <c r="K120" s="377">
        <v>101</v>
      </c>
      <c r="L120" s="373">
        <v>136</v>
      </c>
      <c r="M120" s="373">
        <v>102</v>
      </c>
      <c r="N120" s="373">
        <v>103</v>
      </c>
      <c r="O120" s="373">
        <v>86</v>
      </c>
      <c r="P120" s="373">
        <v>83</v>
      </c>
      <c r="Q120" s="373">
        <v>90</v>
      </c>
      <c r="R120" s="618">
        <v>62</v>
      </c>
      <c r="S120" s="374"/>
      <c r="T120" s="377">
        <v>174</v>
      </c>
      <c r="U120" s="373">
        <v>214</v>
      </c>
      <c r="V120" s="373">
        <v>202</v>
      </c>
      <c r="W120" s="373">
        <v>199</v>
      </c>
      <c r="X120" s="373">
        <v>155</v>
      </c>
      <c r="Y120" s="373">
        <v>183</v>
      </c>
      <c r="Z120" s="373">
        <v>110</v>
      </c>
      <c r="AA120" s="618">
        <v>129</v>
      </c>
      <c r="AB120" s="374"/>
      <c r="AC120" s="377">
        <v>514</v>
      </c>
      <c r="AD120" s="373">
        <v>550</v>
      </c>
      <c r="AE120" s="373">
        <v>439</v>
      </c>
      <c r="AF120" s="373">
        <v>432</v>
      </c>
      <c r="AG120" s="373">
        <v>375</v>
      </c>
      <c r="AH120" s="373">
        <v>451</v>
      </c>
      <c r="AI120" s="373">
        <v>353</v>
      </c>
      <c r="AJ120" s="618">
        <v>342</v>
      </c>
      <c r="AK120" s="374"/>
      <c r="AL120" s="377">
        <v>25</v>
      </c>
      <c r="AM120" s="373">
        <v>23</v>
      </c>
      <c r="AN120" s="373">
        <v>25</v>
      </c>
      <c r="AO120" s="373">
        <v>33</v>
      </c>
      <c r="AP120" s="373">
        <v>18</v>
      </c>
      <c r="AQ120" s="373">
        <v>28</v>
      </c>
      <c r="AR120" s="373">
        <v>25</v>
      </c>
      <c r="AS120" s="618">
        <v>34</v>
      </c>
      <c r="AT120" s="374"/>
      <c r="AU120" s="377"/>
      <c r="AV120" s="373"/>
      <c r="AW120" s="373"/>
      <c r="AX120" s="373"/>
      <c r="AY120" s="373"/>
      <c r="AZ120" s="373"/>
      <c r="BA120" s="373"/>
      <c r="BB120" s="618"/>
      <c r="BC120" s="374"/>
      <c r="BD120" s="377">
        <f t="shared" si="9"/>
        <v>814</v>
      </c>
      <c r="BE120" s="373">
        <f t="shared" si="10"/>
        <v>923</v>
      </c>
      <c r="BF120" s="373">
        <f t="shared" si="11"/>
        <v>768</v>
      </c>
      <c r="BG120" s="373">
        <f t="shared" si="12"/>
        <v>767</v>
      </c>
      <c r="BH120" s="373">
        <f t="shared" si="13"/>
        <v>635</v>
      </c>
      <c r="BI120" s="373">
        <f t="shared" si="14"/>
        <v>746</v>
      </c>
      <c r="BJ120" s="373">
        <f t="shared" si="15"/>
        <v>578</v>
      </c>
      <c r="BK120" s="618">
        <f t="shared" si="16"/>
        <v>567</v>
      </c>
      <c r="BL120" s="374">
        <f t="shared" si="16"/>
        <v>0</v>
      </c>
    </row>
    <row r="121" spans="1:64" ht="13.5" thickBot="1" x14ac:dyDescent="0.25">
      <c r="A121" s="366" t="s">
        <v>716</v>
      </c>
      <c r="B121" s="378"/>
      <c r="C121" s="375"/>
      <c r="D121" s="375"/>
      <c r="E121" s="375"/>
      <c r="F121" s="375"/>
      <c r="G121" s="375"/>
      <c r="H121" s="375"/>
      <c r="I121" s="619"/>
      <c r="J121" s="376"/>
      <c r="K121" s="378">
        <v>11</v>
      </c>
      <c r="L121" s="375">
        <v>47</v>
      </c>
      <c r="M121" s="375">
        <v>34</v>
      </c>
      <c r="N121" s="375">
        <v>25</v>
      </c>
      <c r="O121" s="375">
        <v>20</v>
      </c>
      <c r="P121" s="375">
        <v>41</v>
      </c>
      <c r="Q121" s="375">
        <v>19</v>
      </c>
      <c r="R121" s="619">
        <v>11</v>
      </c>
      <c r="S121" s="376"/>
      <c r="T121" s="378">
        <v>65</v>
      </c>
      <c r="U121" s="375">
        <v>72</v>
      </c>
      <c r="V121" s="375">
        <v>81</v>
      </c>
      <c r="W121" s="375">
        <v>52</v>
      </c>
      <c r="X121" s="375">
        <v>63</v>
      </c>
      <c r="Y121" s="375">
        <v>53</v>
      </c>
      <c r="Z121" s="375">
        <v>46</v>
      </c>
      <c r="AA121" s="619">
        <v>32</v>
      </c>
      <c r="AB121" s="376"/>
      <c r="AC121" s="378">
        <v>142</v>
      </c>
      <c r="AD121" s="375">
        <v>160</v>
      </c>
      <c r="AE121" s="375">
        <v>164</v>
      </c>
      <c r="AF121" s="375">
        <v>144</v>
      </c>
      <c r="AG121" s="375">
        <v>157</v>
      </c>
      <c r="AH121" s="375">
        <v>191</v>
      </c>
      <c r="AI121" s="375">
        <v>117</v>
      </c>
      <c r="AJ121" s="619">
        <v>100</v>
      </c>
      <c r="AK121" s="376"/>
      <c r="AL121" s="378">
        <v>3</v>
      </c>
      <c r="AM121" s="375">
        <v>7</v>
      </c>
      <c r="AN121" s="375">
        <v>6</v>
      </c>
      <c r="AO121" s="375">
        <v>8</v>
      </c>
      <c r="AP121" s="375">
        <v>12</v>
      </c>
      <c r="AQ121" s="375">
        <v>9</v>
      </c>
      <c r="AR121" s="375">
        <v>11</v>
      </c>
      <c r="AS121" s="619">
        <v>11</v>
      </c>
      <c r="AT121" s="376"/>
      <c r="AU121" s="378"/>
      <c r="AV121" s="375"/>
      <c r="AW121" s="375"/>
      <c r="AX121" s="375"/>
      <c r="AY121" s="375"/>
      <c r="AZ121" s="375"/>
      <c r="BA121" s="375"/>
      <c r="BB121" s="619"/>
      <c r="BC121" s="376"/>
      <c r="BD121" s="378">
        <f t="shared" si="9"/>
        <v>221</v>
      </c>
      <c r="BE121" s="375">
        <f t="shared" si="10"/>
        <v>286</v>
      </c>
      <c r="BF121" s="375">
        <f t="shared" si="11"/>
        <v>285</v>
      </c>
      <c r="BG121" s="375">
        <f t="shared" si="12"/>
        <v>229</v>
      </c>
      <c r="BH121" s="375">
        <f t="shared" si="13"/>
        <v>252</v>
      </c>
      <c r="BI121" s="375">
        <f t="shared" si="14"/>
        <v>294</v>
      </c>
      <c r="BJ121" s="375">
        <f t="shared" si="15"/>
        <v>193</v>
      </c>
      <c r="BK121" s="619">
        <f t="shared" si="16"/>
        <v>154</v>
      </c>
      <c r="BL121" s="376">
        <f t="shared" si="16"/>
        <v>0</v>
      </c>
    </row>
    <row r="122" spans="1:64" s="264" customFormat="1" x14ac:dyDescent="0.2">
      <c r="A122" s="364" t="s">
        <v>788</v>
      </c>
      <c r="B122" s="379"/>
      <c r="C122" s="380"/>
      <c r="D122" s="380"/>
      <c r="E122" s="380"/>
      <c r="F122" s="380">
        <v>3</v>
      </c>
      <c r="G122" s="380"/>
      <c r="H122" s="380">
        <v>2</v>
      </c>
      <c r="I122" s="617">
        <v>3</v>
      </c>
      <c r="J122" s="381"/>
      <c r="K122" s="379">
        <v>855</v>
      </c>
      <c r="L122" s="380">
        <v>712</v>
      </c>
      <c r="M122" s="380">
        <v>548</v>
      </c>
      <c r="N122" s="380">
        <v>693</v>
      </c>
      <c r="O122" s="380">
        <v>597</v>
      </c>
      <c r="P122" s="380">
        <v>512</v>
      </c>
      <c r="Q122" s="380">
        <v>446</v>
      </c>
      <c r="R122" s="617">
        <v>350</v>
      </c>
      <c r="S122" s="381"/>
      <c r="T122" s="379">
        <v>2123</v>
      </c>
      <c r="U122" s="380">
        <v>1708</v>
      </c>
      <c r="V122" s="380">
        <v>1515</v>
      </c>
      <c r="W122" s="380">
        <v>1921</v>
      </c>
      <c r="X122" s="380">
        <v>1852</v>
      </c>
      <c r="Y122" s="380">
        <v>1558</v>
      </c>
      <c r="Z122" s="380">
        <v>1390</v>
      </c>
      <c r="AA122" s="617">
        <v>1473</v>
      </c>
      <c r="AB122" s="381"/>
      <c r="AC122" s="379">
        <v>7106</v>
      </c>
      <c r="AD122" s="380">
        <v>5986</v>
      </c>
      <c r="AE122" s="380">
        <v>5476</v>
      </c>
      <c r="AF122" s="380">
        <v>6238</v>
      </c>
      <c r="AG122" s="380">
        <v>6123</v>
      </c>
      <c r="AH122" s="380">
        <v>5959</v>
      </c>
      <c r="AI122" s="380">
        <v>5780</v>
      </c>
      <c r="AJ122" s="617">
        <v>5923</v>
      </c>
      <c r="AK122" s="381"/>
      <c r="AL122" s="379">
        <v>352</v>
      </c>
      <c r="AM122" s="380">
        <v>346</v>
      </c>
      <c r="AN122" s="380">
        <v>358</v>
      </c>
      <c r="AO122" s="380">
        <v>418</v>
      </c>
      <c r="AP122" s="380">
        <v>494</v>
      </c>
      <c r="AQ122" s="380">
        <v>493</v>
      </c>
      <c r="AR122" s="380">
        <v>576</v>
      </c>
      <c r="AS122" s="617">
        <v>704</v>
      </c>
      <c r="AT122" s="381"/>
      <c r="AU122" s="379"/>
      <c r="AV122" s="380"/>
      <c r="AW122" s="380"/>
      <c r="AX122" s="380"/>
      <c r="AY122" s="380">
        <v>19</v>
      </c>
      <c r="AZ122" s="380">
        <v>2</v>
      </c>
      <c r="BA122" s="380"/>
      <c r="BB122" s="617"/>
      <c r="BC122" s="381"/>
      <c r="BD122" s="379">
        <f t="shared" si="9"/>
        <v>10436</v>
      </c>
      <c r="BE122" s="380">
        <f t="shared" si="10"/>
        <v>8752</v>
      </c>
      <c r="BF122" s="380">
        <f t="shared" si="11"/>
        <v>7897</v>
      </c>
      <c r="BG122" s="380">
        <f t="shared" si="12"/>
        <v>9270</v>
      </c>
      <c r="BH122" s="380">
        <f t="shared" si="13"/>
        <v>9088</v>
      </c>
      <c r="BI122" s="380">
        <f t="shared" si="14"/>
        <v>8524</v>
      </c>
      <c r="BJ122" s="380">
        <f t="shared" si="15"/>
        <v>8194</v>
      </c>
      <c r="BK122" s="617">
        <f t="shared" si="16"/>
        <v>8453</v>
      </c>
      <c r="BL122" s="381">
        <f t="shared" si="16"/>
        <v>0</v>
      </c>
    </row>
    <row r="123" spans="1:64" x14ac:dyDescent="0.2">
      <c r="A123" s="365" t="s">
        <v>718</v>
      </c>
      <c r="B123" s="377"/>
      <c r="C123" s="373"/>
      <c r="D123" s="373"/>
      <c r="E123" s="373"/>
      <c r="F123" s="373">
        <v>1</v>
      </c>
      <c r="G123" s="373"/>
      <c r="H123" s="373"/>
      <c r="I123" s="618"/>
      <c r="J123" s="374"/>
      <c r="K123" s="377">
        <v>53</v>
      </c>
      <c r="L123" s="373">
        <v>47</v>
      </c>
      <c r="M123" s="373">
        <v>33</v>
      </c>
      <c r="N123" s="373">
        <v>63</v>
      </c>
      <c r="O123" s="373">
        <v>53</v>
      </c>
      <c r="P123" s="373">
        <v>36</v>
      </c>
      <c r="Q123" s="373">
        <v>27</v>
      </c>
      <c r="R123" s="618">
        <v>20</v>
      </c>
      <c r="S123" s="374"/>
      <c r="T123" s="377">
        <v>201</v>
      </c>
      <c r="U123" s="373">
        <v>152</v>
      </c>
      <c r="V123" s="373">
        <v>111</v>
      </c>
      <c r="W123" s="373">
        <v>169</v>
      </c>
      <c r="X123" s="373">
        <v>181</v>
      </c>
      <c r="Y123" s="373">
        <v>131</v>
      </c>
      <c r="Z123" s="373">
        <v>95</v>
      </c>
      <c r="AA123" s="618">
        <v>68</v>
      </c>
      <c r="AB123" s="374"/>
      <c r="AC123" s="377">
        <v>784</v>
      </c>
      <c r="AD123" s="373">
        <v>622</v>
      </c>
      <c r="AE123" s="373">
        <v>534</v>
      </c>
      <c r="AF123" s="373">
        <v>629</v>
      </c>
      <c r="AG123" s="373">
        <v>641</v>
      </c>
      <c r="AH123" s="373">
        <v>570</v>
      </c>
      <c r="AI123" s="373">
        <v>485</v>
      </c>
      <c r="AJ123" s="618">
        <v>434</v>
      </c>
      <c r="AK123" s="374"/>
      <c r="AL123" s="377">
        <v>53</v>
      </c>
      <c r="AM123" s="373">
        <v>29</v>
      </c>
      <c r="AN123" s="373">
        <v>38</v>
      </c>
      <c r="AO123" s="373">
        <v>38</v>
      </c>
      <c r="AP123" s="373">
        <v>51</v>
      </c>
      <c r="AQ123" s="373">
        <v>46</v>
      </c>
      <c r="AR123" s="373">
        <v>52</v>
      </c>
      <c r="AS123" s="618">
        <v>69</v>
      </c>
      <c r="AT123" s="374"/>
      <c r="AU123" s="377"/>
      <c r="AV123" s="373"/>
      <c r="AW123" s="373"/>
      <c r="AX123" s="373"/>
      <c r="AY123" s="373">
        <v>2</v>
      </c>
      <c r="AZ123" s="373"/>
      <c r="BA123" s="373"/>
      <c r="BB123" s="618"/>
      <c r="BC123" s="374"/>
      <c r="BD123" s="377">
        <f t="shared" si="9"/>
        <v>1091</v>
      </c>
      <c r="BE123" s="373">
        <f t="shared" si="10"/>
        <v>850</v>
      </c>
      <c r="BF123" s="373">
        <f t="shared" si="11"/>
        <v>716</v>
      </c>
      <c r="BG123" s="373">
        <f t="shared" si="12"/>
        <v>899</v>
      </c>
      <c r="BH123" s="373">
        <f t="shared" si="13"/>
        <v>929</v>
      </c>
      <c r="BI123" s="373">
        <f t="shared" si="14"/>
        <v>783</v>
      </c>
      <c r="BJ123" s="373">
        <f t="shared" si="15"/>
        <v>659</v>
      </c>
      <c r="BK123" s="618">
        <f t="shared" si="16"/>
        <v>591</v>
      </c>
      <c r="BL123" s="374">
        <f t="shared" si="16"/>
        <v>0</v>
      </c>
    </row>
    <row r="124" spans="1:64" x14ac:dyDescent="0.2">
      <c r="A124" s="365" t="s">
        <v>719</v>
      </c>
      <c r="B124" s="377"/>
      <c r="C124" s="373"/>
      <c r="D124" s="373"/>
      <c r="E124" s="373"/>
      <c r="F124" s="373"/>
      <c r="G124" s="373"/>
      <c r="H124" s="373"/>
      <c r="I124" s="618"/>
      <c r="J124" s="374"/>
      <c r="K124" s="377">
        <v>74</v>
      </c>
      <c r="L124" s="373">
        <v>90</v>
      </c>
      <c r="M124" s="373">
        <v>60</v>
      </c>
      <c r="N124" s="373">
        <v>90</v>
      </c>
      <c r="O124" s="373">
        <v>81</v>
      </c>
      <c r="P124" s="373">
        <v>90</v>
      </c>
      <c r="Q124" s="373">
        <v>86</v>
      </c>
      <c r="R124" s="618">
        <v>51</v>
      </c>
      <c r="S124" s="374"/>
      <c r="T124" s="377">
        <v>187</v>
      </c>
      <c r="U124" s="373">
        <v>173</v>
      </c>
      <c r="V124" s="373">
        <v>137</v>
      </c>
      <c r="W124" s="373">
        <v>228</v>
      </c>
      <c r="X124" s="373">
        <v>230</v>
      </c>
      <c r="Y124" s="373">
        <v>196</v>
      </c>
      <c r="Z124" s="373">
        <v>156</v>
      </c>
      <c r="AA124" s="618">
        <v>142</v>
      </c>
      <c r="AB124" s="374"/>
      <c r="AC124" s="377">
        <v>598</v>
      </c>
      <c r="AD124" s="373">
        <v>549</v>
      </c>
      <c r="AE124" s="373">
        <v>490</v>
      </c>
      <c r="AF124" s="373">
        <v>597</v>
      </c>
      <c r="AG124" s="373">
        <v>732</v>
      </c>
      <c r="AH124" s="373">
        <v>716</v>
      </c>
      <c r="AI124" s="373">
        <v>511</v>
      </c>
      <c r="AJ124" s="618">
        <v>442</v>
      </c>
      <c r="AK124" s="374"/>
      <c r="AL124" s="377">
        <v>25</v>
      </c>
      <c r="AM124" s="373">
        <v>21</v>
      </c>
      <c r="AN124" s="373">
        <v>27</v>
      </c>
      <c r="AO124" s="373">
        <v>40</v>
      </c>
      <c r="AP124" s="373">
        <v>60</v>
      </c>
      <c r="AQ124" s="373">
        <v>64</v>
      </c>
      <c r="AR124" s="373">
        <v>46</v>
      </c>
      <c r="AS124" s="618">
        <v>59</v>
      </c>
      <c r="AT124" s="374"/>
      <c r="AU124" s="377"/>
      <c r="AV124" s="373"/>
      <c r="AW124" s="373"/>
      <c r="AX124" s="373"/>
      <c r="AY124" s="373">
        <v>5</v>
      </c>
      <c r="AZ124" s="373"/>
      <c r="BA124" s="373"/>
      <c r="BB124" s="618"/>
      <c r="BC124" s="374"/>
      <c r="BD124" s="377">
        <f t="shared" si="9"/>
        <v>884</v>
      </c>
      <c r="BE124" s="373">
        <f t="shared" si="10"/>
        <v>833</v>
      </c>
      <c r="BF124" s="373">
        <f t="shared" si="11"/>
        <v>714</v>
      </c>
      <c r="BG124" s="373">
        <f t="shared" si="12"/>
        <v>955</v>
      </c>
      <c r="BH124" s="373">
        <f t="shared" si="13"/>
        <v>1108</v>
      </c>
      <c r="BI124" s="373">
        <f t="shared" si="14"/>
        <v>1066</v>
      </c>
      <c r="BJ124" s="373">
        <f t="shared" si="15"/>
        <v>799</v>
      </c>
      <c r="BK124" s="618">
        <f t="shared" si="16"/>
        <v>694</v>
      </c>
      <c r="BL124" s="374">
        <f t="shared" si="16"/>
        <v>0</v>
      </c>
    </row>
    <row r="125" spans="1:64" x14ac:dyDescent="0.2">
      <c r="A125" s="365" t="s">
        <v>720</v>
      </c>
      <c r="B125" s="377"/>
      <c r="C125" s="373"/>
      <c r="D125" s="373"/>
      <c r="E125" s="373"/>
      <c r="F125" s="373"/>
      <c r="G125" s="373"/>
      <c r="H125" s="373"/>
      <c r="I125" s="618"/>
      <c r="J125" s="374"/>
      <c r="K125" s="377">
        <v>76</v>
      </c>
      <c r="L125" s="373">
        <v>76</v>
      </c>
      <c r="M125" s="373">
        <v>42</v>
      </c>
      <c r="N125" s="373">
        <v>59</v>
      </c>
      <c r="O125" s="373">
        <v>41</v>
      </c>
      <c r="P125" s="373">
        <v>35</v>
      </c>
      <c r="Q125" s="373">
        <v>30</v>
      </c>
      <c r="R125" s="618">
        <v>25</v>
      </c>
      <c r="S125" s="374"/>
      <c r="T125" s="377">
        <v>187</v>
      </c>
      <c r="U125" s="373">
        <v>121</v>
      </c>
      <c r="V125" s="373">
        <v>147</v>
      </c>
      <c r="W125" s="373">
        <v>142</v>
      </c>
      <c r="X125" s="373">
        <v>129</v>
      </c>
      <c r="Y125" s="373">
        <v>128</v>
      </c>
      <c r="Z125" s="373">
        <v>108</v>
      </c>
      <c r="AA125" s="618">
        <v>109</v>
      </c>
      <c r="AB125" s="374"/>
      <c r="AC125" s="377">
        <v>549</v>
      </c>
      <c r="AD125" s="373">
        <v>432</v>
      </c>
      <c r="AE125" s="373">
        <v>573</v>
      </c>
      <c r="AF125" s="373">
        <v>604</v>
      </c>
      <c r="AG125" s="373">
        <v>581</v>
      </c>
      <c r="AH125" s="373">
        <v>556</v>
      </c>
      <c r="AI125" s="373">
        <v>534</v>
      </c>
      <c r="AJ125" s="618">
        <v>492</v>
      </c>
      <c r="AK125" s="374"/>
      <c r="AL125" s="377">
        <v>25</v>
      </c>
      <c r="AM125" s="373">
        <v>34</v>
      </c>
      <c r="AN125" s="373">
        <v>34</v>
      </c>
      <c r="AO125" s="373">
        <v>32</v>
      </c>
      <c r="AP125" s="373">
        <v>39</v>
      </c>
      <c r="AQ125" s="373">
        <v>46</v>
      </c>
      <c r="AR125" s="373">
        <v>52</v>
      </c>
      <c r="AS125" s="618">
        <v>57</v>
      </c>
      <c r="AT125" s="374"/>
      <c r="AU125" s="377"/>
      <c r="AV125" s="373"/>
      <c r="AW125" s="373"/>
      <c r="AX125" s="373"/>
      <c r="AY125" s="373"/>
      <c r="AZ125" s="373"/>
      <c r="BA125" s="373"/>
      <c r="BB125" s="618"/>
      <c r="BC125" s="374"/>
      <c r="BD125" s="377">
        <f t="shared" si="9"/>
        <v>837</v>
      </c>
      <c r="BE125" s="373">
        <f t="shared" si="10"/>
        <v>663</v>
      </c>
      <c r="BF125" s="373">
        <f t="shared" si="11"/>
        <v>796</v>
      </c>
      <c r="BG125" s="373">
        <f t="shared" si="12"/>
        <v>837</v>
      </c>
      <c r="BH125" s="373">
        <f t="shared" si="13"/>
        <v>790</v>
      </c>
      <c r="BI125" s="373">
        <f t="shared" si="14"/>
        <v>765</v>
      </c>
      <c r="BJ125" s="373">
        <f t="shared" si="15"/>
        <v>724</v>
      </c>
      <c r="BK125" s="618">
        <f t="shared" si="16"/>
        <v>683</v>
      </c>
      <c r="BL125" s="374">
        <f t="shared" si="16"/>
        <v>0</v>
      </c>
    </row>
    <row r="126" spans="1:64" x14ac:dyDescent="0.2">
      <c r="A126" s="365" t="s">
        <v>623</v>
      </c>
      <c r="B126" s="377"/>
      <c r="C126" s="373"/>
      <c r="D126" s="373"/>
      <c r="E126" s="373"/>
      <c r="F126" s="373">
        <v>1</v>
      </c>
      <c r="G126" s="373"/>
      <c r="H126" s="373"/>
      <c r="I126" s="618"/>
      <c r="J126" s="374"/>
      <c r="K126" s="377">
        <v>46</v>
      </c>
      <c r="L126" s="373">
        <v>29</v>
      </c>
      <c r="M126" s="373">
        <v>23</v>
      </c>
      <c r="N126" s="373">
        <v>23</v>
      </c>
      <c r="O126" s="373">
        <v>29</v>
      </c>
      <c r="P126" s="373">
        <v>41</v>
      </c>
      <c r="Q126" s="373">
        <v>26</v>
      </c>
      <c r="R126" s="618">
        <v>21</v>
      </c>
      <c r="S126" s="374"/>
      <c r="T126" s="377">
        <v>132</v>
      </c>
      <c r="U126" s="373">
        <v>82</v>
      </c>
      <c r="V126" s="373">
        <v>84</v>
      </c>
      <c r="W126" s="373">
        <v>67</v>
      </c>
      <c r="X126" s="373">
        <v>84</v>
      </c>
      <c r="Y126" s="373">
        <v>80</v>
      </c>
      <c r="Z126" s="373">
        <v>82</v>
      </c>
      <c r="AA126" s="618">
        <v>83</v>
      </c>
      <c r="AB126" s="374"/>
      <c r="AC126" s="377">
        <v>467</v>
      </c>
      <c r="AD126" s="373">
        <v>366</v>
      </c>
      <c r="AE126" s="373">
        <v>325</v>
      </c>
      <c r="AF126" s="373">
        <v>336</v>
      </c>
      <c r="AG126" s="373">
        <v>354</v>
      </c>
      <c r="AH126" s="373">
        <v>350</v>
      </c>
      <c r="AI126" s="373">
        <v>387</v>
      </c>
      <c r="AJ126" s="618">
        <v>377</v>
      </c>
      <c r="AK126" s="374"/>
      <c r="AL126" s="377">
        <v>17</v>
      </c>
      <c r="AM126" s="373">
        <v>19</v>
      </c>
      <c r="AN126" s="373">
        <v>30</v>
      </c>
      <c r="AO126" s="373">
        <v>35</v>
      </c>
      <c r="AP126" s="373">
        <v>34</v>
      </c>
      <c r="AQ126" s="373">
        <v>29</v>
      </c>
      <c r="AR126" s="373">
        <v>35</v>
      </c>
      <c r="AS126" s="618">
        <v>43</v>
      </c>
      <c r="AT126" s="374"/>
      <c r="AU126" s="377"/>
      <c r="AV126" s="373"/>
      <c r="AW126" s="373"/>
      <c r="AX126" s="373"/>
      <c r="AY126" s="373">
        <v>1</v>
      </c>
      <c r="AZ126" s="373"/>
      <c r="BA126" s="373"/>
      <c r="BB126" s="618"/>
      <c r="BC126" s="374"/>
      <c r="BD126" s="377">
        <f t="shared" si="9"/>
        <v>662</v>
      </c>
      <c r="BE126" s="373">
        <f t="shared" si="10"/>
        <v>496</v>
      </c>
      <c r="BF126" s="373">
        <f t="shared" si="11"/>
        <v>462</v>
      </c>
      <c r="BG126" s="373">
        <f t="shared" si="12"/>
        <v>461</v>
      </c>
      <c r="BH126" s="373">
        <f t="shared" si="13"/>
        <v>503</v>
      </c>
      <c r="BI126" s="373">
        <f t="shared" si="14"/>
        <v>500</v>
      </c>
      <c r="BJ126" s="373">
        <f t="shared" si="15"/>
        <v>530</v>
      </c>
      <c r="BK126" s="618">
        <f t="shared" si="16"/>
        <v>524</v>
      </c>
      <c r="BL126" s="374">
        <f t="shared" si="16"/>
        <v>0</v>
      </c>
    </row>
    <row r="127" spans="1:64" x14ac:dyDescent="0.2">
      <c r="A127" s="365" t="s">
        <v>728</v>
      </c>
      <c r="B127" s="377"/>
      <c r="C127" s="373"/>
      <c r="D127" s="373"/>
      <c r="E127" s="373"/>
      <c r="F127" s="373"/>
      <c r="G127" s="373"/>
      <c r="H127" s="373"/>
      <c r="I127" s="618"/>
      <c r="J127" s="374"/>
      <c r="K127" s="377">
        <v>65</v>
      </c>
      <c r="L127" s="373">
        <v>40</v>
      </c>
      <c r="M127" s="373">
        <v>41</v>
      </c>
      <c r="N127" s="373">
        <v>28</v>
      </c>
      <c r="O127" s="373">
        <v>51</v>
      </c>
      <c r="P127" s="373">
        <v>29</v>
      </c>
      <c r="Q127" s="373">
        <v>25</v>
      </c>
      <c r="R127" s="618">
        <v>28</v>
      </c>
      <c r="S127" s="374"/>
      <c r="T127" s="377">
        <v>131</v>
      </c>
      <c r="U127" s="373">
        <v>99</v>
      </c>
      <c r="V127" s="373">
        <v>87</v>
      </c>
      <c r="W127" s="373">
        <v>121</v>
      </c>
      <c r="X127" s="373">
        <v>137</v>
      </c>
      <c r="Y127" s="373">
        <v>114</v>
      </c>
      <c r="Z127" s="373">
        <v>112</v>
      </c>
      <c r="AA127" s="618">
        <v>124</v>
      </c>
      <c r="AB127" s="374"/>
      <c r="AC127" s="377">
        <v>513</v>
      </c>
      <c r="AD127" s="373">
        <v>419</v>
      </c>
      <c r="AE127" s="373">
        <v>367</v>
      </c>
      <c r="AF127" s="373">
        <v>472</v>
      </c>
      <c r="AG127" s="373">
        <v>418</v>
      </c>
      <c r="AH127" s="373">
        <v>466</v>
      </c>
      <c r="AI127" s="373">
        <v>463</v>
      </c>
      <c r="AJ127" s="618">
        <v>458</v>
      </c>
      <c r="AK127" s="374"/>
      <c r="AL127" s="377">
        <v>25</v>
      </c>
      <c r="AM127" s="373">
        <v>20</v>
      </c>
      <c r="AN127" s="373">
        <v>24</v>
      </c>
      <c r="AO127" s="373">
        <v>36</v>
      </c>
      <c r="AP127" s="373">
        <v>25</v>
      </c>
      <c r="AQ127" s="373">
        <v>47</v>
      </c>
      <c r="AR127" s="373">
        <v>68</v>
      </c>
      <c r="AS127" s="618">
        <v>62</v>
      </c>
      <c r="AT127" s="374"/>
      <c r="AU127" s="377"/>
      <c r="AV127" s="373"/>
      <c r="AW127" s="373"/>
      <c r="AX127" s="373"/>
      <c r="AY127" s="373">
        <v>5</v>
      </c>
      <c r="AZ127" s="373">
        <v>2</v>
      </c>
      <c r="BA127" s="373"/>
      <c r="BB127" s="618"/>
      <c r="BC127" s="374"/>
      <c r="BD127" s="377">
        <f t="shared" si="9"/>
        <v>734</v>
      </c>
      <c r="BE127" s="373">
        <f t="shared" si="10"/>
        <v>578</v>
      </c>
      <c r="BF127" s="373">
        <f t="shared" si="11"/>
        <v>519</v>
      </c>
      <c r="BG127" s="373">
        <f t="shared" si="12"/>
        <v>657</v>
      </c>
      <c r="BH127" s="373">
        <f t="shared" si="13"/>
        <v>636</v>
      </c>
      <c r="BI127" s="373">
        <f t="shared" si="14"/>
        <v>658</v>
      </c>
      <c r="BJ127" s="373">
        <f t="shared" si="15"/>
        <v>668</v>
      </c>
      <c r="BK127" s="618">
        <f t="shared" si="16"/>
        <v>672</v>
      </c>
      <c r="BL127" s="374">
        <f t="shared" si="16"/>
        <v>0</v>
      </c>
    </row>
    <row r="128" spans="1:64" x14ac:dyDescent="0.2">
      <c r="A128" s="365" t="s">
        <v>721</v>
      </c>
      <c r="B128" s="377"/>
      <c r="C128" s="373"/>
      <c r="D128" s="373"/>
      <c r="E128" s="373"/>
      <c r="F128" s="373"/>
      <c r="G128" s="373"/>
      <c r="H128" s="373"/>
      <c r="I128" s="618">
        <v>1</v>
      </c>
      <c r="J128" s="374"/>
      <c r="K128" s="377">
        <v>100</v>
      </c>
      <c r="L128" s="373">
        <v>90</v>
      </c>
      <c r="M128" s="373">
        <v>74</v>
      </c>
      <c r="N128" s="373">
        <v>101</v>
      </c>
      <c r="O128" s="373">
        <v>67</v>
      </c>
      <c r="P128" s="373">
        <v>49</v>
      </c>
      <c r="Q128" s="373">
        <v>56</v>
      </c>
      <c r="R128" s="618">
        <v>35</v>
      </c>
      <c r="S128" s="374"/>
      <c r="T128" s="377">
        <v>247</v>
      </c>
      <c r="U128" s="373">
        <v>274</v>
      </c>
      <c r="V128" s="373">
        <v>212</v>
      </c>
      <c r="W128" s="373">
        <v>287</v>
      </c>
      <c r="X128" s="373">
        <v>261</v>
      </c>
      <c r="Y128" s="373">
        <v>179</v>
      </c>
      <c r="Z128" s="373">
        <v>185</v>
      </c>
      <c r="AA128" s="618">
        <v>213</v>
      </c>
      <c r="AB128" s="374"/>
      <c r="AC128" s="377">
        <v>781</v>
      </c>
      <c r="AD128" s="373">
        <v>854</v>
      </c>
      <c r="AE128" s="373">
        <v>657</v>
      </c>
      <c r="AF128" s="373">
        <v>781</v>
      </c>
      <c r="AG128" s="373">
        <v>712</v>
      </c>
      <c r="AH128" s="373">
        <v>722</v>
      </c>
      <c r="AI128" s="373">
        <v>772</v>
      </c>
      <c r="AJ128" s="618">
        <v>815</v>
      </c>
      <c r="AK128" s="374"/>
      <c r="AL128" s="377">
        <v>35</v>
      </c>
      <c r="AM128" s="373">
        <v>50</v>
      </c>
      <c r="AN128" s="373">
        <v>30</v>
      </c>
      <c r="AO128" s="373">
        <v>41</v>
      </c>
      <c r="AP128" s="373">
        <v>55</v>
      </c>
      <c r="AQ128" s="373">
        <v>37</v>
      </c>
      <c r="AR128" s="373">
        <v>47</v>
      </c>
      <c r="AS128" s="618">
        <v>70</v>
      </c>
      <c r="AT128" s="374"/>
      <c r="AU128" s="377"/>
      <c r="AV128" s="373"/>
      <c r="AW128" s="373"/>
      <c r="AX128" s="373"/>
      <c r="AY128" s="373">
        <v>1</v>
      </c>
      <c r="AZ128" s="373"/>
      <c r="BA128" s="373"/>
      <c r="BB128" s="618"/>
      <c r="BC128" s="374"/>
      <c r="BD128" s="377">
        <f t="shared" si="9"/>
        <v>1163</v>
      </c>
      <c r="BE128" s="373">
        <f t="shared" si="10"/>
        <v>1268</v>
      </c>
      <c r="BF128" s="373">
        <f t="shared" si="11"/>
        <v>973</v>
      </c>
      <c r="BG128" s="373">
        <f t="shared" si="12"/>
        <v>1210</v>
      </c>
      <c r="BH128" s="373">
        <f t="shared" si="13"/>
        <v>1096</v>
      </c>
      <c r="BI128" s="373">
        <f t="shared" si="14"/>
        <v>987</v>
      </c>
      <c r="BJ128" s="373">
        <f t="shared" si="15"/>
        <v>1060</v>
      </c>
      <c r="BK128" s="618">
        <f t="shared" si="16"/>
        <v>1134</v>
      </c>
      <c r="BL128" s="374">
        <f t="shared" si="16"/>
        <v>0</v>
      </c>
    </row>
    <row r="129" spans="1:64" x14ac:dyDescent="0.2">
      <c r="A129" s="365" t="s">
        <v>722</v>
      </c>
      <c r="B129" s="377"/>
      <c r="C129" s="373"/>
      <c r="D129" s="373"/>
      <c r="E129" s="373"/>
      <c r="F129" s="373"/>
      <c r="G129" s="373"/>
      <c r="H129" s="373"/>
      <c r="I129" s="618"/>
      <c r="J129" s="374"/>
      <c r="K129" s="377">
        <v>100</v>
      </c>
      <c r="L129" s="373">
        <v>84</v>
      </c>
      <c r="M129" s="373">
        <v>55</v>
      </c>
      <c r="N129" s="373">
        <v>72</v>
      </c>
      <c r="O129" s="373">
        <v>45</v>
      </c>
      <c r="P129" s="373">
        <v>35</v>
      </c>
      <c r="Q129" s="373">
        <v>30</v>
      </c>
      <c r="R129" s="618">
        <v>18</v>
      </c>
      <c r="S129" s="374"/>
      <c r="T129" s="377">
        <v>302</v>
      </c>
      <c r="U129" s="373">
        <v>218</v>
      </c>
      <c r="V129" s="373">
        <v>166</v>
      </c>
      <c r="W129" s="373">
        <v>215</v>
      </c>
      <c r="X129" s="373">
        <v>182</v>
      </c>
      <c r="Y129" s="373">
        <v>128</v>
      </c>
      <c r="Z129" s="373">
        <v>102</v>
      </c>
      <c r="AA129" s="618">
        <v>125</v>
      </c>
      <c r="AB129" s="374"/>
      <c r="AC129" s="377">
        <v>936</v>
      </c>
      <c r="AD129" s="373">
        <v>667</v>
      </c>
      <c r="AE129" s="373">
        <v>583</v>
      </c>
      <c r="AF129" s="373">
        <v>609</v>
      </c>
      <c r="AG129" s="373">
        <v>560</v>
      </c>
      <c r="AH129" s="373">
        <v>526</v>
      </c>
      <c r="AI129" s="373">
        <v>458</v>
      </c>
      <c r="AJ129" s="618">
        <v>480</v>
      </c>
      <c r="AK129" s="374"/>
      <c r="AL129" s="377">
        <v>51</v>
      </c>
      <c r="AM129" s="373">
        <v>34</v>
      </c>
      <c r="AN129" s="373">
        <v>45</v>
      </c>
      <c r="AO129" s="373">
        <v>30</v>
      </c>
      <c r="AP129" s="373">
        <v>43</v>
      </c>
      <c r="AQ129" s="373">
        <v>45</v>
      </c>
      <c r="AR129" s="373">
        <v>44</v>
      </c>
      <c r="AS129" s="618">
        <v>58</v>
      </c>
      <c r="AT129" s="374"/>
      <c r="AU129" s="377"/>
      <c r="AV129" s="373"/>
      <c r="AW129" s="373"/>
      <c r="AX129" s="373"/>
      <c r="AY129" s="373">
        <v>1</v>
      </c>
      <c r="AZ129" s="373"/>
      <c r="BA129" s="373"/>
      <c r="BB129" s="618"/>
      <c r="BC129" s="374"/>
      <c r="BD129" s="377">
        <f t="shared" si="9"/>
        <v>1389</v>
      </c>
      <c r="BE129" s="373">
        <f t="shared" si="10"/>
        <v>1003</v>
      </c>
      <c r="BF129" s="373">
        <f t="shared" si="11"/>
        <v>849</v>
      </c>
      <c r="BG129" s="373">
        <f t="shared" si="12"/>
        <v>926</v>
      </c>
      <c r="BH129" s="373">
        <f t="shared" si="13"/>
        <v>831</v>
      </c>
      <c r="BI129" s="373">
        <f t="shared" si="14"/>
        <v>734</v>
      </c>
      <c r="BJ129" s="373">
        <f t="shared" si="15"/>
        <v>634</v>
      </c>
      <c r="BK129" s="618">
        <f t="shared" si="16"/>
        <v>681</v>
      </c>
      <c r="BL129" s="374">
        <f t="shared" si="16"/>
        <v>0</v>
      </c>
    </row>
    <row r="130" spans="1:64" x14ac:dyDescent="0.2">
      <c r="A130" s="365" t="s">
        <v>723</v>
      </c>
      <c r="B130" s="377"/>
      <c r="C130" s="373"/>
      <c r="D130" s="373"/>
      <c r="E130" s="373"/>
      <c r="F130" s="373">
        <v>1</v>
      </c>
      <c r="G130" s="373"/>
      <c r="H130" s="373">
        <v>1</v>
      </c>
      <c r="I130" s="618">
        <v>1</v>
      </c>
      <c r="J130" s="374"/>
      <c r="K130" s="377">
        <v>76</v>
      </c>
      <c r="L130" s="373">
        <v>37</v>
      </c>
      <c r="M130" s="373">
        <v>48</v>
      </c>
      <c r="N130" s="373">
        <v>53</v>
      </c>
      <c r="O130" s="373">
        <v>44</v>
      </c>
      <c r="P130" s="373">
        <v>45</v>
      </c>
      <c r="Q130" s="373">
        <v>46</v>
      </c>
      <c r="R130" s="618">
        <v>36</v>
      </c>
      <c r="S130" s="374"/>
      <c r="T130" s="377">
        <v>110</v>
      </c>
      <c r="U130" s="373">
        <v>91</v>
      </c>
      <c r="V130" s="373">
        <v>93</v>
      </c>
      <c r="W130" s="373">
        <v>97</v>
      </c>
      <c r="X130" s="373">
        <v>123</v>
      </c>
      <c r="Y130" s="373">
        <v>118</v>
      </c>
      <c r="Z130" s="373">
        <v>107</v>
      </c>
      <c r="AA130" s="618">
        <v>111</v>
      </c>
      <c r="AB130" s="374"/>
      <c r="AC130" s="377">
        <v>316</v>
      </c>
      <c r="AD130" s="373">
        <v>277</v>
      </c>
      <c r="AE130" s="373">
        <v>289</v>
      </c>
      <c r="AF130" s="373">
        <v>253</v>
      </c>
      <c r="AG130" s="373">
        <v>349</v>
      </c>
      <c r="AH130" s="373">
        <v>374</v>
      </c>
      <c r="AI130" s="373">
        <v>345</v>
      </c>
      <c r="AJ130" s="618">
        <v>402</v>
      </c>
      <c r="AK130" s="374"/>
      <c r="AL130" s="377">
        <v>19</v>
      </c>
      <c r="AM130" s="373">
        <v>16</v>
      </c>
      <c r="AN130" s="373">
        <v>15</v>
      </c>
      <c r="AO130" s="373">
        <v>31</v>
      </c>
      <c r="AP130" s="373">
        <v>39</v>
      </c>
      <c r="AQ130" s="373">
        <v>35</v>
      </c>
      <c r="AR130" s="373">
        <v>34</v>
      </c>
      <c r="AS130" s="618">
        <v>46</v>
      </c>
      <c r="AT130" s="374"/>
      <c r="AU130" s="377"/>
      <c r="AV130" s="373"/>
      <c r="AW130" s="373"/>
      <c r="AX130" s="373"/>
      <c r="AY130" s="373">
        <v>1</v>
      </c>
      <c r="AZ130" s="373"/>
      <c r="BA130" s="373"/>
      <c r="BB130" s="618"/>
      <c r="BC130" s="374"/>
      <c r="BD130" s="377">
        <f t="shared" si="9"/>
        <v>521</v>
      </c>
      <c r="BE130" s="373">
        <f t="shared" si="10"/>
        <v>421</v>
      </c>
      <c r="BF130" s="373">
        <f t="shared" si="11"/>
        <v>445</v>
      </c>
      <c r="BG130" s="373">
        <f t="shared" si="12"/>
        <v>434</v>
      </c>
      <c r="BH130" s="373">
        <f t="shared" si="13"/>
        <v>557</v>
      </c>
      <c r="BI130" s="373">
        <f t="shared" si="14"/>
        <v>572</v>
      </c>
      <c r="BJ130" s="373">
        <f t="shared" si="15"/>
        <v>533</v>
      </c>
      <c r="BK130" s="618">
        <f t="shared" si="16"/>
        <v>596</v>
      </c>
      <c r="BL130" s="374">
        <f t="shared" si="16"/>
        <v>0</v>
      </c>
    </row>
    <row r="131" spans="1:64" x14ac:dyDescent="0.2">
      <c r="A131" s="365" t="s">
        <v>724</v>
      </c>
      <c r="B131" s="377"/>
      <c r="C131" s="373"/>
      <c r="D131" s="373"/>
      <c r="E131" s="373"/>
      <c r="F131" s="373"/>
      <c r="G131" s="373"/>
      <c r="H131" s="373">
        <v>1</v>
      </c>
      <c r="I131" s="618"/>
      <c r="J131" s="374"/>
      <c r="K131" s="377">
        <v>42</v>
      </c>
      <c r="L131" s="373">
        <v>48</v>
      </c>
      <c r="M131" s="373">
        <v>36</v>
      </c>
      <c r="N131" s="373">
        <v>36</v>
      </c>
      <c r="O131" s="373">
        <v>40</v>
      </c>
      <c r="P131" s="373">
        <v>46</v>
      </c>
      <c r="Q131" s="373">
        <v>42</v>
      </c>
      <c r="R131" s="618">
        <v>24</v>
      </c>
      <c r="S131" s="374"/>
      <c r="T131" s="377">
        <v>81</v>
      </c>
      <c r="U131" s="373">
        <v>50</v>
      </c>
      <c r="V131" s="373">
        <v>65</v>
      </c>
      <c r="W131" s="373">
        <v>95</v>
      </c>
      <c r="X131" s="373">
        <v>64</v>
      </c>
      <c r="Y131" s="373">
        <v>45</v>
      </c>
      <c r="Z131" s="373">
        <v>63</v>
      </c>
      <c r="AA131" s="618">
        <v>64</v>
      </c>
      <c r="AB131" s="374"/>
      <c r="AC131" s="377">
        <v>222</v>
      </c>
      <c r="AD131" s="373">
        <v>165</v>
      </c>
      <c r="AE131" s="373">
        <v>185</v>
      </c>
      <c r="AF131" s="373">
        <v>205</v>
      </c>
      <c r="AG131" s="373">
        <v>191</v>
      </c>
      <c r="AH131" s="373">
        <v>152</v>
      </c>
      <c r="AI131" s="373">
        <v>148</v>
      </c>
      <c r="AJ131" s="618">
        <v>165</v>
      </c>
      <c r="AK131" s="374"/>
      <c r="AL131" s="377">
        <v>6</v>
      </c>
      <c r="AM131" s="373">
        <v>12</v>
      </c>
      <c r="AN131" s="373">
        <v>7</v>
      </c>
      <c r="AO131" s="373">
        <v>12</v>
      </c>
      <c r="AP131" s="373">
        <v>8</v>
      </c>
      <c r="AQ131" s="373">
        <v>9</v>
      </c>
      <c r="AR131" s="373">
        <v>13</v>
      </c>
      <c r="AS131" s="618">
        <v>9</v>
      </c>
      <c r="AT131" s="374"/>
      <c r="AU131" s="377"/>
      <c r="AV131" s="373"/>
      <c r="AW131" s="373"/>
      <c r="AX131" s="373"/>
      <c r="AY131" s="373"/>
      <c r="AZ131" s="373"/>
      <c r="BA131" s="373"/>
      <c r="BB131" s="618"/>
      <c r="BC131" s="374"/>
      <c r="BD131" s="377">
        <f t="shared" si="9"/>
        <v>351</v>
      </c>
      <c r="BE131" s="373">
        <f t="shared" si="10"/>
        <v>275</v>
      </c>
      <c r="BF131" s="373">
        <f t="shared" si="11"/>
        <v>293</v>
      </c>
      <c r="BG131" s="373">
        <f t="shared" si="12"/>
        <v>348</v>
      </c>
      <c r="BH131" s="373">
        <f t="shared" si="13"/>
        <v>303</v>
      </c>
      <c r="BI131" s="373">
        <f t="shared" si="14"/>
        <v>252</v>
      </c>
      <c r="BJ131" s="373">
        <f t="shared" si="15"/>
        <v>267</v>
      </c>
      <c r="BK131" s="618">
        <f t="shared" si="16"/>
        <v>262</v>
      </c>
      <c r="BL131" s="374">
        <f t="shared" si="16"/>
        <v>0</v>
      </c>
    </row>
    <row r="132" spans="1:64" x14ac:dyDescent="0.2">
      <c r="A132" s="365" t="s">
        <v>820</v>
      </c>
      <c r="B132" s="377"/>
      <c r="C132" s="373"/>
      <c r="D132" s="373"/>
      <c r="E132" s="373"/>
      <c r="F132" s="373"/>
      <c r="G132" s="373"/>
      <c r="H132" s="373"/>
      <c r="I132" s="618">
        <v>1</v>
      </c>
      <c r="J132" s="374"/>
      <c r="K132" s="377">
        <v>6</v>
      </c>
      <c r="L132" s="373">
        <v>6</v>
      </c>
      <c r="M132" s="373">
        <v>4</v>
      </c>
      <c r="N132" s="373">
        <v>10</v>
      </c>
      <c r="O132" s="373">
        <v>15</v>
      </c>
      <c r="P132" s="373">
        <v>8</v>
      </c>
      <c r="Q132" s="373">
        <v>8</v>
      </c>
      <c r="R132" s="618">
        <v>13</v>
      </c>
      <c r="S132" s="374"/>
      <c r="T132" s="377">
        <v>78</v>
      </c>
      <c r="U132" s="373">
        <v>29</v>
      </c>
      <c r="V132" s="373">
        <v>37</v>
      </c>
      <c r="W132" s="373">
        <v>72</v>
      </c>
      <c r="X132" s="373">
        <v>42</v>
      </c>
      <c r="Y132" s="373">
        <v>50</v>
      </c>
      <c r="Z132" s="373">
        <v>36</v>
      </c>
      <c r="AA132" s="618">
        <v>40</v>
      </c>
      <c r="AB132" s="374"/>
      <c r="AC132" s="377">
        <v>277</v>
      </c>
      <c r="AD132" s="373">
        <v>158</v>
      </c>
      <c r="AE132" s="373">
        <v>169</v>
      </c>
      <c r="AF132" s="373">
        <v>239</v>
      </c>
      <c r="AG132" s="373">
        <v>143</v>
      </c>
      <c r="AH132" s="373">
        <v>168</v>
      </c>
      <c r="AI132" s="373">
        <v>186</v>
      </c>
      <c r="AJ132" s="618">
        <v>177</v>
      </c>
      <c r="AK132" s="374"/>
      <c r="AL132" s="377">
        <v>8</v>
      </c>
      <c r="AM132" s="373">
        <v>7</v>
      </c>
      <c r="AN132" s="373">
        <v>5</v>
      </c>
      <c r="AO132" s="373">
        <v>10</v>
      </c>
      <c r="AP132" s="373">
        <v>10</v>
      </c>
      <c r="AQ132" s="373">
        <v>9</v>
      </c>
      <c r="AR132" s="373">
        <v>16</v>
      </c>
      <c r="AS132" s="618">
        <v>9</v>
      </c>
      <c r="AT132" s="374"/>
      <c r="AU132" s="377"/>
      <c r="AV132" s="373"/>
      <c r="AW132" s="373"/>
      <c r="AX132" s="373"/>
      <c r="AY132" s="373"/>
      <c r="AZ132" s="373"/>
      <c r="BA132" s="373"/>
      <c r="BB132" s="618"/>
      <c r="BC132" s="374"/>
      <c r="BD132" s="377">
        <f t="shared" ref="BD132:BD195" si="17">SUM(B132,K132,T132,AC132,AL132,AU132)</f>
        <v>369</v>
      </c>
      <c r="BE132" s="373">
        <f t="shared" ref="BE132:BE195" si="18">SUM(C132,L132,U132,AD132,AM132,AV132)</f>
        <v>200</v>
      </c>
      <c r="BF132" s="373">
        <f t="shared" ref="BF132:BF195" si="19">SUM(D132,M132,V132,AE132,AN132,AW132)</f>
        <v>215</v>
      </c>
      <c r="BG132" s="373">
        <f t="shared" ref="BG132:BG195" si="20">SUM(E132,N132,W132,AF132,AO132,AX132)</f>
        <v>331</v>
      </c>
      <c r="BH132" s="373">
        <f t="shared" ref="BH132:BH195" si="21">SUM(F132,O132,X132,AG132,AP132,AY132)</f>
        <v>210</v>
      </c>
      <c r="BI132" s="373">
        <f t="shared" ref="BI132:BI195" si="22">SUM(G132,P132,Y132,AH132,AQ132,AZ132)</f>
        <v>235</v>
      </c>
      <c r="BJ132" s="373">
        <f t="shared" ref="BJ132:BJ195" si="23">SUM(H132,Q132,Z132,AI132,AR132,BA132)</f>
        <v>246</v>
      </c>
      <c r="BK132" s="618">
        <f t="shared" ref="BK132:BL195" si="24">SUM(I132,R132,AA132,AJ132,AS132,BB132)</f>
        <v>240</v>
      </c>
      <c r="BL132" s="374">
        <f t="shared" si="24"/>
        <v>0</v>
      </c>
    </row>
    <row r="133" spans="1:64" x14ac:dyDescent="0.2">
      <c r="A133" s="365" t="s">
        <v>725</v>
      </c>
      <c r="B133" s="377"/>
      <c r="C133" s="373"/>
      <c r="D133" s="373"/>
      <c r="E133" s="373"/>
      <c r="F133" s="373"/>
      <c r="G133" s="373"/>
      <c r="H133" s="373"/>
      <c r="I133" s="618"/>
      <c r="J133" s="374"/>
      <c r="K133" s="377">
        <v>51</v>
      </c>
      <c r="L133" s="373">
        <v>39</v>
      </c>
      <c r="M133" s="373">
        <v>31</v>
      </c>
      <c r="N133" s="373">
        <v>24</v>
      </c>
      <c r="O133" s="373">
        <v>18</v>
      </c>
      <c r="P133" s="373">
        <v>20</v>
      </c>
      <c r="Q133" s="373">
        <v>7</v>
      </c>
      <c r="R133" s="618">
        <v>12</v>
      </c>
      <c r="S133" s="374"/>
      <c r="T133" s="377">
        <v>78</v>
      </c>
      <c r="U133" s="373">
        <v>66</v>
      </c>
      <c r="V133" s="373">
        <v>68</v>
      </c>
      <c r="W133" s="373">
        <v>75</v>
      </c>
      <c r="X133" s="373">
        <v>82</v>
      </c>
      <c r="Y133" s="373">
        <v>45</v>
      </c>
      <c r="Z133" s="373">
        <v>43</v>
      </c>
      <c r="AA133" s="618">
        <v>51</v>
      </c>
      <c r="AB133" s="374"/>
      <c r="AC133" s="377">
        <v>269</v>
      </c>
      <c r="AD133" s="373">
        <v>267</v>
      </c>
      <c r="AE133" s="373">
        <v>177</v>
      </c>
      <c r="AF133" s="373">
        <v>233</v>
      </c>
      <c r="AG133" s="373">
        <v>267</v>
      </c>
      <c r="AH133" s="373">
        <v>212</v>
      </c>
      <c r="AI133" s="373">
        <v>221</v>
      </c>
      <c r="AJ133" s="618">
        <v>191</v>
      </c>
      <c r="AK133" s="374"/>
      <c r="AL133" s="377">
        <v>11</v>
      </c>
      <c r="AM133" s="373">
        <v>21</v>
      </c>
      <c r="AN133" s="373">
        <v>14</v>
      </c>
      <c r="AO133" s="373">
        <v>15</v>
      </c>
      <c r="AP133" s="373">
        <v>25</v>
      </c>
      <c r="AQ133" s="373">
        <v>22</v>
      </c>
      <c r="AR133" s="373">
        <v>32</v>
      </c>
      <c r="AS133" s="618">
        <v>36</v>
      </c>
      <c r="AT133" s="374"/>
      <c r="AU133" s="377"/>
      <c r="AV133" s="373"/>
      <c r="AW133" s="373"/>
      <c r="AX133" s="373"/>
      <c r="AY133" s="373"/>
      <c r="AZ133" s="373"/>
      <c r="BA133" s="373"/>
      <c r="BB133" s="618"/>
      <c r="BC133" s="374"/>
      <c r="BD133" s="377">
        <f t="shared" si="17"/>
        <v>409</v>
      </c>
      <c r="BE133" s="373">
        <f t="shared" si="18"/>
        <v>393</v>
      </c>
      <c r="BF133" s="373">
        <f t="shared" si="19"/>
        <v>290</v>
      </c>
      <c r="BG133" s="373">
        <f t="shared" si="20"/>
        <v>347</v>
      </c>
      <c r="BH133" s="373">
        <f t="shared" si="21"/>
        <v>392</v>
      </c>
      <c r="BI133" s="373">
        <f t="shared" si="22"/>
        <v>299</v>
      </c>
      <c r="BJ133" s="373">
        <f t="shared" si="23"/>
        <v>303</v>
      </c>
      <c r="BK133" s="618">
        <f t="shared" si="24"/>
        <v>290</v>
      </c>
      <c r="BL133" s="374">
        <f t="shared" si="24"/>
        <v>0</v>
      </c>
    </row>
    <row r="134" spans="1:64" x14ac:dyDescent="0.2">
      <c r="A134" s="365" t="s">
        <v>726</v>
      </c>
      <c r="B134" s="377"/>
      <c r="C134" s="373"/>
      <c r="D134" s="373"/>
      <c r="E134" s="373"/>
      <c r="F134" s="373"/>
      <c r="G134" s="373"/>
      <c r="H134" s="373"/>
      <c r="I134" s="618"/>
      <c r="J134" s="374"/>
      <c r="K134" s="377">
        <v>41</v>
      </c>
      <c r="L134" s="373">
        <v>38</v>
      </c>
      <c r="M134" s="373">
        <v>15</v>
      </c>
      <c r="N134" s="373">
        <v>30</v>
      </c>
      <c r="O134" s="373">
        <v>29</v>
      </c>
      <c r="P134" s="373">
        <v>11</v>
      </c>
      <c r="Q134" s="373">
        <v>12</v>
      </c>
      <c r="R134" s="618">
        <v>20</v>
      </c>
      <c r="S134" s="374"/>
      <c r="T134" s="377">
        <v>115</v>
      </c>
      <c r="U134" s="373">
        <v>76</v>
      </c>
      <c r="V134" s="373">
        <v>80</v>
      </c>
      <c r="W134" s="373">
        <v>94</v>
      </c>
      <c r="X134" s="373">
        <v>94</v>
      </c>
      <c r="Y134" s="373">
        <v>86</v>
      </c>
      <c r="Z134" s="373">
        <v>81</v>
      </c>
      <c r="AA134" s="618">
        <v>93</v>
      </c>
      <c r="AB134" s="374"/>
      <c r="AC134" s="377">
        <v>316</v>
      </c>
      <c r="AD134" s="373">
        <v>329</v>
      </c>
      <c r="AE134" s="373">
        <v>345</v>
      </c>
      <c r="AF134" s="373">
        <v>387</v>
      </c>
      <c r="AG134" s="373">
        <v>372</v>
      </c>
      <c r="AH134" s="373">
        <v>391</v>
      </c>
      <c r="AI134" s="373">
        <v>350</v>
      </c>
      <c r="AJ134" s="618">
        <v>443</v>
      </c>
      <c r="AK134" s="374"/>
      <c r="AL134" s="377">
        <v>18</v>
      </c>
      <c r="AM134" s="373">
        <v>27</v>
      </c>
      <c r="AN134" s="373">
        <v>36</v>
      </c>
      <c r="AO134" s="373">
        <v>32</v>
      </c>
      <c r="AP134" s="373">
        <v>39</v>
      </c>
      <c r="AQ134" s="373">
        <v>42</v>
      </c>
      <c r="AR134" s="373">
        <v>42</v>
      </c>
      <c r="AS134" s="618">
        <v>50</v>
      </c>
      <c r="AT134" s="374"/>
      <c r="AU134" s="377"/>
      <c r="AV134" s="373"/>
      <c r="AW134" s="373"/>
      <c r="AX134" s="373"/>
      <c r="AY134" s="373">
        <v>3</v>
      </c>
      <c r="AZ134" s="373"/>
      <c r="BA134" s="373"/>
      <c r="BB134" s="618"/>
      <c r="BC134" s="374"/>
      <c r="BD134" s="377">
        <f t="shared" si="17"/>
        <v>490</v>
      </c>
      <c r="BE134" s="373">
        <f t="shared" si="18"/>
        <v>470</v>
      </c>
      <c r="BF134" s="373">
        <f t="shared" si="19"/>
        <v>476</v>
      </c>
      <c r="BG134" s="373">
        <f t="shared" si="20"/>
        <v>543</v>
      </c>
      <c r="BH134" s="373">
        <f t="shared" si="21"/>
        <v>537</v>
      </c>
      <c r="BI134" s="373">
        <f t="shared" si="22"/>
        <v>530</v>
      </c>
      <c r="BJ134" s="373">
        <f t="shared" si="23"/>
        <v>485</v>
      </c>
      <c r="BK134" s="618">
        <f t="shared" si="24"/>
        <v>606</v>
      </c>
      <c r="BL134" s="374">
        <f t="shared" si="24"/>
        <v>0</v>
      </c>
    </row>
    <row r="135" spans="1:64" x14ac:dyDescent="0.2">
      <c r="A135" s="365" t="s">
        <v>729</v>
      </c>
      <c r="B135" s="377"/>
      <c r="C135" s="373"/>
      <c r="D135" s="373"/>
      <c r="E135" s="373"/>
      <c r="F135" s="373"/>
      <c r="G135" s="373"/>
      <c r="H135" s="373"/>
      <c r="I135" s="618"/>
      <c r="J135" s="374"/>
      <c r="K135" s="377">
        <v>71</v>
      </c>
      <c r="L135" s="373">
        <v>42</v>
      </c>
      <c r="M135" s="373">
        <v>32</v>
      </c>
      <c r="N135" s="373">
        <v>55</v>
      </c>
      <c r="O135" s="373">
        <v>41</v>
      </c>
      <c r="P135" s="373">
        <v>27</v>
      </c>
      <c r="Q135" s="373">
        <v>30</v>
      </c>
      <c r="R135" s="618">
        <v>21</v>
      </c>
      <c r="S135" s="374"/>
      <c r="T135" s="377">
        <v>152</v>
      </c>
      <c r="U135" s="373">
        <v>107</v>
      </c>
      <c r="V135" s="373">
        <v>117</v>
      </c>
      <c r="W135" s="373">
        <v>133</v>
      </c>
      <c r="X135" s="373">
        <v>130</v>
      </c>
      <c r="Y135" s="373">
        <v>133</v>
      </c>
      <c r="Z135" s="373">
        <v>99</v>
      </c>
      <c r="AA135" s="618">
        <v>131</v>
      </c>
      <c r="AB135" s="374"/>
      <c r="AC135" s="377">
        <v>565</v>
      </c>
      <c r="AD135" s="373">
        <v>424</v>
      </c>
      <c r="AE135" s="373">
        <v>406</v>
      </c>
      <c r="AF135" s="373">
        <v>518</v>
      </c>
      <c r="AG135" s="373">
        <v>437</v>
      </c>
      <c r="AH135" s="373">
        <v>381</v>
      </c>
      <c r="AI135" s="373">
        <v>515</v>
      </c>
      <c r="AJ135" s="618">
        <v>601</v>
      </c>
      <c r="AK135" s="374"/>
      <c r="AL135" s="377">
        <v>24</v>
      </c>
      <c r="AM135" s="373">
        <v>22</v>
      </c>
      <c r="AN135" s="373">
        <v>29</v>
      </c>
      <c r="AO135" s="373">
        <v>33</v>
      </c>
      <c r="AP135" s="373">
        <v>34</v>
      </c>
      <c r="AQ135" s="373">
        <v>29</v>
      </c>
      <c r="AR135" s="373">
        <v>53</v>
      </c>
      <c r="AS135" s="618">
        <v>73</v>
      </c>
      <c r="AT135" s="374"/>
      <c r="AU135" s="377"/>
      <c r="AV135" s="373"/>
      <c r="AW135" s="373"/>
      <c r="AX135" s="373"/>
      <c r="AY135" s="373"/>
      <c r="AZ135" s="373"/>
      <c r="BA135" s="373"/>
      <c r="BB135" s="618"/>
      <c r="BC135" s="374"/>
      <c r="BD135" s="377">
        <f t="shared" si="17"/>
        <v>812</v>
      </c>
      <c r="BE135" s="373">
        <f t="shared" si="18"/>
        <v>595</v>
      </c>
      <c r="BF135" s="373">
        <f t="shared" si="19"/>
        <v>584</v>
      </c>
      <c r="BG135" s="373">
        <f t="shared" si="20"/>
        <v>739</v>
      </c>
      <c r="BH135" s="373">
        <f t="shared" si="21"/>
        <v>642</v>
      </c>
      <c r="BI135" s="373">
        <f t="shared" si="22"/>
        <v>570</v>
      </c>
      <c r="BJ135" s="373">
        <f t="shared" si="23"/>
        <v>697</v>
      </c>
      <c r="BK135" s="618">
        <f t="shared" si="24"/>
        <v>826</v>
      </c>
      <c r="BL135" s="374">
        <f t="shared" si="24"/>
        <v>0</v>
      </c>
    </row>
    <row r="136" spans="1:64" ht="13.5" thickBot="1" x14ac:dyDescent="0.25">
      <c r="A136" s="366" t="s">
        <v>727</v>
      </c>
      <c r="B136" s="378"/>
      <c r="C136" s="375"/>
      <c r="D136" s="375"/>
      <c r="E136" s="375"/>
      <c r="F136" s="375"/>
      <c r="G136" s="375"/>
      <c r="H136" s="375"/>
      <c r="I136" s="619"/>
      <c r="J136" s="376"/>
      <c r="K136" s="378">
        <v>54</v>
      </c>
      <c r="L136" s="375">
        <v>46</v>
      </c>
      <c r="M136" s="375">
        <v>54</v>
      </c>
      <c r="N136" s="375">
        <v>49</v>
      </c>
      <c r="O136" s="375">
        <v>43</v>
      </c>
      <c r="P136" s="375">
        <v>40</v>
      </c>
      <c r="Q136" s="375">
        <v>21</v>
      </c>
      <c r="R136" s="619">
        <v>26</v>
      </c>
      <c r="S136" s="376"/>
      <c r="T136" s="378">
        <v>122</v>
      </c>
      <c r="U136" s="375">
        <v>170</v>
      </c>
      <c r="V136" s="375">
        <v>111</v>
      </c>
      <c r="W136" s="375">
        <v>126</v>
      </c>
      <c r="X136" s="375">
        <v>113</v>
      </c>
      <c r="Y136" s="375">
        <v>125</v>
      </c>
      <c r="Z136" s="375">
        <v>121</v>
      </c>
      <c r="AA136" s="619">
        <v>119</v>
      </c>
      <c r="AB136" s="376"/>
      <c r="AC136" s="378">
        <v>513</v>
      </c>
      <c r="AD136" s="375">
        <v>457</v>
      </c>
      <c r="AE136" s="375">
        <v>376</v>
      </c>
      <c r="AF136" s="375">
        <v>375</v>
      </c>
      <c r="AG136" s="375">
        <v>366</v>
      </c>
      <c r="AH136" s="375">
        <v>375</v>
      </c>
      <c r="AI136" s="375">
        <v>405</v>
      </c>
      <c r="AJ136" s="619">
        <v>446</v>
      </c>
      <c r="AK136" s="376"/>
      <c r="AL136" s="378">
        <v>35</v>
      </c>
      <c r="AM136" s="375">
        <v>34</v>
      </c>
      <c r="AN136" s="375">
        <v>24</v>
      </c>
      <c r="AO136" s="375">
        <v>33</v>
      </c>
      <c r="AP136" s="375">
        <v>32</v>
      </c>
      <c r="AQ136" s="375">
        <v>33</v>
      </c>
      <c r="AR136" s="375">
        <v>42</v>
      </c>
      <c r="AS136" s="619">
        <v>63</v>
      </c>
      <c r="AT136" s="376"/>
      <c r="AU136" s="378"/>
      <c r="AV136" s="375"/>
      <c r="AW136" s="375"/>
      <c r="AX136" s="375"/>
      <c r="AY136" s="375"/>
      <c r="AZ136" s="375"/>
      <c r="BA136" s="375"/>
      <c r="BB136" s="619"/>
      <c r="BC136" s="376"/>
      <c r="BD136" s="378">
        <f t="shared" si="17"/>
        <v>724</v>
      </c>
      <c r="BE136" s="375">
        <f t="shared" si="18"/>
        <v>707</v>
      </c>
      <c r="BF136" s="375">
        <f t="shared" si="19"/>
        <v>565</v>
      </c>
      <c r="BG136" s="375">
        <f t="shared" si="20"/>
        <v>583</v>
      </c>
      <c r="BH136" s="375">
        <f t="shared" si="21"/>
        <v>554</v>
      </c>
      <c r="BI136" s="375">
        <f t="shared" si="22"/>
        <v>573</v>
      </c>
      <c r="BJ136" s="375">
        <f t="shared" si="23"/>
        <v>589</v>
      </c>
      <c r="BK136" s="619">
        <f t="shared" si="24"/>
        <v>654</v>
      </c>
      <c r="BL136" s="376">
        <f t="shared" si="24"/>
        <v>0</v>
      </c>
    </row>
    <row r="137" spans="1:64" s="264" customFormat="1" x14ac:dyDescent="0.2">
      <c r="A137" s="364" t="s">
        <v>789</v>
      </c>
      <c r="B137" s="379"/>
      <c r="C137" s="380"/>
      <c r="D137" s="380"/>
      <c r="E137" s="380"/>
      <c r="F137" s="380"/>
      <c r="G137" s="380">
        <v>3</v>
      </c>
      <c r="H137" s="380"/>
      <c r="I137" s="617">
        <v>1</v>
      </c>
      <c r="J137" s="381"/>
      <c r="K137" s="379">
        <v>444</v>
      </c>
      <c r="L137" s="380">
        <v>445</v>
      </c>
      <c r="M137" s="380">
        <v>392</v>
      </c>
      <c r="N137" s="380">
        <v>415</v>
      </c>
      <c r="O137" s="380">
        <v>314</v>
      </c>
      <c r="P137" s="380">
        <v>258</v>
      </c>
      <c r="Q137" s="380">
        <v>243</v>
      </c>
      <c r="R137" s="617">
        <v>215</v>
      </c>
      <c r="S137" s="381"/>
      <c r="T137" s="379">
        <v>831</v>
      </c>
      <c r="U137" s="380">
        <v>799</v>
      </c>
      <c r="V137" s="380">
        <v>736</v>
      </c>
      <c r="W137" s="380">
        <v>765</v>
      </c>
      <c r="X137" s="380">
        <v>750</v>
      </c>
      <c r="Y137" s="380">
        <v>668</v>
      </c>
      <c r="Z137" s="380">
        <v>676</v>
      </c>
      <c r="AA137" s="617">
        <v>588</v>
      </c>
      <c r="AB137" s="381"/>
      <c r="AC137" s="379">
        <v>2324</v>
      </c>
      <c r="AD137" s="380">
        <v>2134</v>
      </c>
      <c r="AE137" s="380">
        <v>1928</v>
      </c>
      <c r="AF137" s="380">
        <v>1863</v>
      </c>
      <c r="AG137" s="380">
        <v>1871</v>
      </c>
      <c r="AH137" s="380">
        <v>1797</v>
      </c>
      <c r="AI137" s="380">
        <v>1889</v>
      </c>
      <c r="AJ137" s="617">
        <v>1838</v>
      </c>
      <c r="AK137" s="381"/>
      <c r="AL137" s="379">
        <v>131</v>
      </c>
      <c r="AM137" s="380">
        <v>146</v>
      </c>
      <c r="AN137" s="380">
        <v>121</v>
      </c>
      <c r="AO137" s="380">
        <v>142</v>
      </c>
      <c r="AP137" s="380">
        <v>165</v>
      </c>
      <c r="AQ137" s="380">
        <v>170</v>
      </c>
      <c r="AR137" s="380">
        <v>234</v>
      </c>
      <c r="AS137" s="617">
        <v>237</v>
      </c>
      <c r="AT137" s="381"/>
      <c r="AU137" s="379"/>
      <c r="AV137" s="380"/>
      <c r="AW137" s="380"/>
      <c r="AX137" s="380"/>
      <c r="AY137" s="380">
        <v>2</v>
      </c>
      <c r="AZ137" s="380"/>
      <c r="BA137" s="380"/>
      <c r="BB137" s="617"/>
      <c r="BC137" s="381"/>
      <c r="BD137" s="379">
        <f t="shared" si="17"/>
        <v>3730</v>
      </c>
      <c r="BE137" s="380">
        <f t="shared" si="18"/>
        <v>3524</v>
      </c>
      <c r="BF137" s="380">
        <f t="shared" si="19"/>
        <v>3177</v>
      </c>
      <c r="BG137" s="380">
        <f t="shared" si="20"/>
        <v>3185</v>
      </c>
      <c r="BH137" s="380">
        <f t="shared" si="21"/>
        <v>3102</v>
      </c>
      <c r="BI137" s="380">
        <f t="shared" si="22"/>
        <v>2896</v>
      </c>
      <c r="BJ137" s="380">
        <f t="shared" si="23"/>
        <v>3042</v>
      </c>
      <c r="BK137" s="617">
        <f t="shared" si="24"/>
        <v>2879</v>
      </c>
      <c r="BL137" s="381">
        <f t="shared" si="24"/>
        <v>0</v>
      </c>
    </row>
    <row r="138" spans="1:64" x14ac:dyDescent="0.2">
      <c r="A138" s="365" t="s">
        <v>731</v>
      </c>
      <c r="B138" s="377"/>
      <c r="C138" s="373"/>
      <c r="D138" s="373"/>
      <c r="E138" s="373"/>
      <c r="F138" s="373"/>
      <c r="G138" s="373"/>
      <c r="H138" s="373"/>
      <c r="I138" s="618"/>
      <c r="J138" s="374"/>
      <c r="K138" s="377">
        <v>44</v>
      </c>
      <c r="L138" s="373">
        <v>58</v>
      </c>
      <c r="M138" s="373">
        <v>42</v>
      </c>
      <c r="N138" s="373">
        <v>43</v>
      </c>
      <c r="O138" s="373">
        <v>35</v>
      </c>
      <c r="P138" s="373">
        <v>26</v>
      </c>
      <c r="Q138" s="373">
        <v>22</v>
      </c>
      <c r="R138" s="618">
        <v>32</v>
      </c>
      <c r="S138" s="374"/>
      <c r="T138" s="377">
        <v>78</v>
      </c>
      <c r="U138" s="373">
        <v>56</v>
      </c>
      <c r="V138" s="373">
        <v>63</v>
      </c>
      <c r="W138" s="373">
        <v>49</v>
      </c>
      <c r="X138" s="373">
        <v>76</v>
      </c>
      <c r="Y138" s="373">
        <v>56</v>
      </c>
      <c r="Z138" s="373">
        <v>50</v>
      </c>
      <c r="AA138" s="618">
        <v>39</v>
      </c>
      <c r="AB138" s="374"/>
      <c r="AC138" s="377">
        <v>212</v>
      </c>
      <c r="AD138" s="373">
        <v>251</v>
      </c>
      <c r="AE138" s="373">
        <v>195</v>
      </c>
      <c r="AF138" s="373">
        <v>133</v>
      </c>
      <c r="AG138" s="373">
        <v>156</v>
      </c>
      <c r="AH138" s="373">
        <v>128</v>
      </c>
      <c r="AI138" s="373">
        <v>136</v>
      </c>
      <c r="AJ138" s="618">
        <v>132</v>
      </c>
      <c r="AK138" s="374"/>
      <c r="AL138" s="377">
        <v>5</v>
      </c>
      <c r="AM138" s="373">
        <v>9</v>
      </c>
      <c r="AN138" s="373">
        <v>11</v>
      </c>
      <c r="AO138" s="373">
        <v>10</v>
      </c>
      <c r="AP138" s="373">
        <v>13</v>
      </c>
      <c r="AQ138" s="373">
        <v>7</v>
      </c>
      <c r="AR138" s="373">
        <v>18</v>
      </c>
      <c r="AS138" s="618">
        <v>23</v>
      </c>
      <c r="AT138" s="374"/>
      <c r="AU138" s="377"/>
      <c r="AV138" s="373"/>
      <c r="AW138" s="373"/>
      <c r="AX138" s="373"/>
      <c r="AY138" s="373">
        <v>1</v>
      </c>
      <c r="AZ138" s="373"/>
      <c r="BA138" s="373"/>
      <c r="BB138" s="618"/>
      <c r="BC138" s="374"/>
      <c r="BD138" s="377">
        <f t="shared" si="17"/>
        <v>339</v>
      </c>
      <c r="BE138" s="373">
        <f t="shared" si="18"/>
        <v>374</v>
      </c>
      <c r="BF138" s="373">
        <f t="shared" si="19"/>
        <v>311</v>
      </c>
      <c r="BG138" s="373">
        <f t="shared" si="20"/>
        <v>235</v>
      </c>
      <c r="BH138" s="373">
        <f t="shared" si="21"/>
        <v>281</v>
      </c>
      <c r="BI138" s="373">
        <f t="shared" si="22"/>
        <v>217</v>
      </c>
      <c r="BJ138" s="373">
        <f t="shared" si="23"/>
        <v>226</v>
      </c>
      <c r="BK138" s="618">
        <f t="shared" si="24"/>
        <v>226</v>
      </c>
      <c r="BL138" s="374">
        <f t="shared" si="24"/>
        <v>0</v>
      </c>
    </row>
    <row r="139" spans="1:64" x14ac:dyDescent="0.2">
      <c r="A139" s="365" t="s">
        <v>732</v>
      </c>
      <c r="B139" s="377"/>
      <c r="C139" s="373"/>
      <c r="D139" s="373"/>
      <c r="E139" s="373"/>
      <c r="F139" s="373"/>
      <c r="G139" s="373"/>
      <c r="H139" s="373"/>
      <c r="I139" s="618"/>
      <c r="J139" s="374"/>
      <c r="K139" s="377">
        <v>60</v>
      </c>
      <c r="L139" s="373">
        <v>42</v>
      </c>
      <c r="M139" s="373">
        <v>27</v>
      </c>
      <c r="N139" s="373">
        <v>49</v>
      </c>
      <c r="O139" s="373">
        <v>32</v>
      </c>
      <c r="P139" s="373">
        <v>18</v>
      </c>
      <c r="Q139" s="373">
        <v>36</v>
      </c>
      <c r="R139" s="618">
        <v>21</v>
      </c>
      <c r="S139" s="374"/>
      <c r="T139" s="377">
        <v>69</v>
      </c>
      <c r="U139" s="373">
        <v>56</v>
      </c>
      <c r="V139" s="373">
        <v>64</v>
      </c>
      <c r="W139" s="373">
        <v>69</v>
      </c>
      <c r="X139" s="373">
        <v>76</v>
      </c>
      <c r="Y139" s="373">
        <v>63</v>
      </c>
      <c r="Z139" s="373">
        <v>62</v>
      </c>
      <c r="AA139" s="618">
        <v>47</v>
      </c>
      <c r="AB139" s="374"/>
      <c r="AC139" s="377">
        <v>229</v>
      </c>
      <c r="AD139" s="373">
        <v>169</v>
      </c>
      <c r="AE139" s="373">
        <v>183</v>
      </c>
      <c r="AF139" s="373">
        <v>217</v>
      </c>
      <c r="AG139" s="373">
        <v>180</v>
      </c>
      <c r="AH139" s="373">
        <v>173</v>
      </c>
      <c r="AI139" s="373">
        <v>185</v>
      </c>
      <c r="AJ139" s="618">
        <v>184</v>
      </c>
      <c r="AK139" s="374"/>
      <c r="AL139" s="377">
        <v>11</v>
      </c>
      <c r="AM139" s="373">
        <v>9</v>
      </c>
      <c r="AN139" s="373">
        <v>13</v>
      </c>
      <c r="AO139" s="373">
        <v>18</v>
      </c>
      <c r="AP139" s="373">
        <v>21</v>
      </c>
      <c r="AQ139" s="373">
        <v>18</v>
      </c>
      <c r="AR139" s="373">
        <v>29</v>
      </c>
      <c r="AS139" s="618">
        <v>31</v>
      </c>
      <c r="AT139" s="374"/>
      <c r="AU139" s="377"/>
      <c r="AV139" s="373"/>
      <c r="AW139" s="373"/>
      <c r="AX139" s="373"/>
      <c r="AY139" s="373"/>
      <c r="AZ139" s="373"/>
      <c r="BA139" s="373"/>
      <c r="BB139" s="618"/>
      <c r="BC139" s="374"/>
      <c r="BD139" s="377">
        <f t="shared" si="17"/>
        <v>369</v>
      </c>
      <c r="BE139" s="373">
        <f t="shared" si="18"/>
        <v>276</v>
      </c>
      <c r="BF139" s="373">
        <f t="shared" si="19"/>
        <v>287</v>
      </c>
      <c r="BG139" s="373">
        <f t="shared" si="20"/>
        <v>353</v>
      </c>
      <c r="BH139" s="373">
        <f t="shared" si="21"/>
        <v>309</v>
      </c>
      <c r="BI139" s="373">
        <f t="shared" si="22"/>
        <v>272</v>
      </c>
      <c r="BJ139" s="373">
        <f t="shared" si="23"/>
        <v>312</v>
      </c>
      <c r="BK139" s="618">
        <f t="shared" si="24"/>
        <v>283</v>
      </c>
      <c r="BL139" s="374">
        <f t="shared" si="24"/>
        <v>0</v>
      </c>
    </row>
    <row r="140" spans="1:64" x14ac:dyDescent="0.2">
      <c r="A140" s="365" t="s">
        <v>730</v>
      </c>
      <c r="B140" s="377"/>
      <c r="C140" s="373"/>
      <c r="D140" s="373"/>
      <c r="E140" s="373"/>
      <c r="F140" s="373"/>
      <c r="G140" s="373">
        <v>2</v>
      </c>
      <c r="H140" s="373"/>
      <c r="I140" s="618">
        <v>1</v>
      </c>
      <c r="J140" s="374"/>
      <c r="K140" s="377">
        <v>167</v>
      </c>
      <c r="L140" s="373">
        <v>152</v>
      </c>
      <c r="M140" s="373">
        <v>119</v>
      </c>
      <c r="N140" s="373">
        <v>140</v>
      </c>
      <c r="O140" s="373">
        <v>99</v>
      </c>
      <c r="P140" s="373">
        <v>86</v>
      </c>
      <c r="Q140" s="373">
        <v>75</v>
      </c>
      <c r="R140" s="618">
        <v>84</v>
      </c>
      <c r="S140" s="374"/>
      <c r="T140" s="377">
        <v>290</v>
      </c>
      <c r="U140" s="373">
        <v>269</v>
      </c>
      <c r="V140" s="373">
        <v>211</v>
      </c>
      <c r="W140" s="373">
        <v>277</v>
      </c>
      <c r="X140" s="373">
        <v>218</v>
      </c>
      <c r="Y140" s="373">
        <v>164</v>
      </c>
      <c r="Z140" s="373">
        <v>169</v>
      </c>
      <c r="AA140" s="618">
        <v>189</v>
      </c>
      <c r="AB140" s="374"/>
      <c r="AC140" s="377">
        <v>752</v>
      </c>
      <c r="AD140" s="373">
        <v>643</v>
      </c>
      <c r="AE140" s="373">
        <v>654</v>
      </c>
      <c r="AF140" s="373">
        <v>601</v>
      </c>
      <c r="AG140" s="373">
        <v>542</v>
      </c>
      <c r="AH140" s="373">
        <v>492</v>
      </c>
      <c r="AI140" s="373">
        <v>512</v>
      </c>
      <c r="AJ140" s="618">
        <v>593</v>
      </c>
      <c r="AK140" s="374"/>
      <c r="AL140" s="377">
        <v>46</v>
      </c>
      <c r="AM140" s="373">
        <v>55</v>
      </c>
      <c r="AN140" s="373">
        <v>38</v>
      </c>
      <c r="AO140" s="373">
        <v>45</v>
      </c>
      <c r="AP140" s="373">
        <v>42</v>
      </c>
      <c r="AQ140" s="373">
        <v>51</v>
      </c>
      <c r="AR140" s="373">
        <v>66</v>
      </c>
      <c r="AS140" s="618">
        <v>69</v>
      </c>
      <c r="AT140" s="374"/>
      <c r="AU140" s="377"/>
      <c r="AV140" s="373"/>
      <c r="AW140" s="373"/>
      <c r="AX140" s="373"/>
      <c r="AY140" s="373"/>
      <c r="AZ140" s="373"/>
      <c r="BA140" s="373"/>
      <c r="BB140" s="618"/>
      <c r="BC140" s="374"/>
      <c r="BD140" s="377">
        <f t="shared" si="17"/>
        <v>1255</v>
      </c>
      <c r="BE140" s="373">
        <f t="shared" si="18"/>
        <v>1119</v>
      </c>
      <c r="BF140" s="373">
        <f t="shared" si="19"/>
        <v>1022</v>
      </c>
      <c r="BG140" s="373">
        <f t="shared" si="20"/>
        <v>1063</v>
      </c>
      <c r="BH140" s="373">
        <f t="shared" si="21"/>
        <v>901</v>
      </c>
      <c r="BI140" s="373">
        <f t="shared" si="22"/>
        <v>795</v>
      </c>
      <c r="BJ140" s="373">
        <f t="shared" si="23"/>
        <v>822</v>
      </c>
      <c r="BK140" s="618">
        <f t="shared" si="24"/>
        <v>936</v>
      </c>
      <c r="BL140" s="374">
        <f t="shared" si="24"/>
        <v>0</v>
      </c>
    </row>
    <row r="141" spans="1:64" x14ac:dyDescent="0.2">
      <c r="A141" s="365" t="s">
        <v>624</v>
      </c>
      <c r="B141" s="377"/>
      <c r="C141" s="373"/>
      <c r="D141" s="373"/>
      <c r="E141" s="373"/>
      <c r="F141" s="373"/>
      <c r="G141" s="373">
        <v>1</v>
      </c>
      <c r="H141" s="373"/>
      <c r="I141" s="618"/>
      <c r="J141" s="374"/>
      <c r="K141" s="377">
        <v>53</v>
      </c>
      <c r="L141" s="373">
        <v>46</v>
      </c>
      <c r="M141" s="373">
        <v>44</v>
      </c>
      <c r="N141" s="373">
        <v>57</v>
      </c>
      <c r="O141" s="373">
        <v>39</v>
      </c>
      <c r="P141" s="373">
        <v>39</v>
      </c>
      <c r="Q141" s="373">
        <v>41</v>
      </c>
      <c r="R141" s="618">
        <v>27</v>
      </c>
      <c r="S141" s="374"/>
      <c r="T141" s="377">
        <v>123</v>
      </c>
      <c r="U141" s="373">
        <v>114</v>
      </c>
      <c r="V141" s="373">
        <v>102</v>
      </c>
      <c r="W141" s="373">
        <v>92</v>
      </c>
      <c r="X141" s="373">
        <v>82</v>
      </c>
      <c r="Y141" s="373">
        <v>92</v>
      </c>
      <c r="Z141" s="373">
        <v>126</v>
      </c>
      <c r="AA141" s="618">
        <v>90</v>
      </c>
      <c r="AB141" s="374"/>
      <c r="AC141" s="377">
        <v>307</v>
      </c>
      <c r="AD141" s="373">
        <v>236</v>
      </c>
      <c r="AE141" s="373">
        <v>228</v>
      </c>
      <c r="AF141" s="373">
        <v>237</v>
      </c>
      <c r="AG141" s="373">
        <v>211</v>
      </c>
      <c r="AH141" s="373">
        <v>285</v>
      </c>
      <c r="AI141" s="373">
        <v>310</v>
      </c>
      <c r="AJ141" s="618">
        <v>285</v>
      </c>
      <c r="AK141" s="374"/>
      <c r="AL141" s="377">
        <v>18</v>
      </c>
      <c r="AM141" s="373">
        <v>16</v>
      </c>
      <c r="AN141" s="373">
        <v>12</v>
      </c>
      <c r="AO141" s="373">
        <v>20</v>
      </c>
      <c r="AP141" s="373">
        <v>26</v>
      </c>
      <c r="AQ141" s="373">
        <v>26</v>
      </c>
      <c r="AR141" s="373">
        <v>29</v>
      </c>
      <c r="AS141" s="618">
        <v>38</v>
      </c>
      <c r="AT141" s="374"/>
      <c r="AU141" s="377"/>
      <c r="AV141" s="373"/>
      <c r="AW141" s="373"/>
      <c r="AX141" s="373"/>
      <c r="AY141" s="373"/>
      <c r="AZ141" s="373"/>
      <c r="BA141" s="373"/>
      <c r="BB141" s="618"/>
      <c r="BC141" s="374"/>
      <c r="BD141" s="377">
        <f t="shared" si="17"/>
        <v>501</v>
      </c>
      <c r="BE141" s="373">
        <f t="shared" si="18"/>
        <v>412</v>
      </c>
      <c r="BF141" s="373">
        <f t="shared" si="19"/>
        <v>386</v>
      </c>
      <c r="BG141" s="373">
        <f t="shared" si="20"/>
        <v>406</v>
      </c>
      <c r="BH141" s="373">
        <f t="shared" si="21"/>
        <v>358</v>
      </c>
      <c r="BI141" s="373">
        <f t="shared" si="22"/>
        <v>443</v>
      </c>
      <c r="BJ141" s="373">
        <f t="shared" si="23"/>
        <v>506</v>
      </c>
      <c r="BK141" s="618">
        <f t="shared" si="24"/>
        <v>440</v>
      </c>
      <c r="BL141" s="374">
        <f t="shared" si="24"/>
        <v>0</v>
      </c>
    </row>
    <row r="142" spans="1:64" x14ac:dyDescent="0.2">
      <c r="A142" s="365" t="s">
        <v>733</v>
      </c>
      <c r="B142" s="377"/>
      <c r="C142" s="373"/>
      <c r="D142" s="373"/>
      <c r="E142" s="373"/>
      <c r="F142" s="373"/>
      <c r="G142" s="373"/>
      <c r="H142" s="373"/>
      <c r="I142" s="618"/>
      <c r="J142" s="374"/>
      <c r="K142" s="377">
        <v>54</v>
      </c>
      <c r="L142" s="373">
        <v>81</v>
      </c>
      <c r="M142" s="373">
        <v>88</v>
      </c>
      <c r="N142" s="373">
        <v>55</v>
      </c>
      <c r="O142" s="373">
        <v>37</v>
      </c>
      <c r="P142" s="373">
        <v>33</v>
      </c>
      <c r="Q142" s="373">
        <v>34</v>
      </c>
      <c r="R142" s="618">
        <v>19</v>
      </c>
      <c r="S142" s="374"/>
      <c r="T142" s="377">
        <v>120</v>
      </c>
      <c r="U142" s="373">
        <v>132</v>
      </c>
      <c r="V142" s="373">
        <v>125</v>
      </c>
      <c r="W142" s="373">
        <v>109</v>
      </c>
      <c r="X142" s="373">
        <v>95</v>
      </c>
      <c r="Y142" s="373">
        <v>112</v>
      </c>
      <c r="Z142" s="373">
        <v>83</v>
      </c>
      <c r="AA142" s="618">
        <v>69</v>
      </c>
      <c r="AB142" s="374"/>
      <c r="AC142" s="377">
        <v>368</v>
      </c>
      <c r="AD142" s="373">
        <v>338</v>
      </c>
      <c r="AE142" s="373">
        <v>298</v>
      </c>
      <c r="AF142" s="373">
        <v>258</v>
      </c>
      <c r="AG142" s="373">
        <v>318</v>
      </c>
      <c r="AH142" s="373">
        <v>244</v>
      </c>
      <c r="AI142" s="373">
        <v>231</v>
      </c>
      <c r="AJ142" s="618">
        <v>170</v>
      </c>
      <c r="AK142" s="374"/>
      <c r="AL142" s="377">
        <v>15</v>
      </c>
      <c r="AM142" s="373">
        <v>18</v>
      </c>
      <c r="AN142" s="373">
        <v>16</v>
      </c>
      <c r="AO142" s="373">
        <v>11</v>
      </c>
      <c r="AP142" s="373">
        <v>18</v>
      </c>
      <c r="AQ142" s="373">
        <v>23</v>
      </c>
      <c r="AR142" s="373">
        <v>20</v>
      </c>
      <c r="AS142" s="618">
        <v>15</v>
      </c>
      <c r="AT142" s="374"/>
      <c r="AU142" s="377"/>
      <c r="AV142" s="373"/>
      <c r="AW142" s="373"/>
      <c r="AX142" s="373"/>
      <c r="AY142" s="373"/>
      <c r="AZ142" s="373"/>
      <c r="BA142" s="373"/>
      <c r="BB142" s="618"/>
      <c r="BC142" s="374"/>
      <c r="BD142" s="377">
        <f t="shared" si="17"/>
        <v>557</v>
      </c>
      <c r="BE142" s="373">
        <f t="shared" si="18"/>
        <v>569</v>
      </c>
      <c r="BF142" s="373">
        <f t="shared" si="19"/>
        <v>527</v>
      </c>
      <c r="BG142" s="373">
        <f t="shared" si="20"/>
        <v>433</v>
      </c>
      <c r="BH142" s="373">
        <f t="shared" si="21"/>
        <v>468</v>
      </c>
      <c r="BI142" s="373">
        <f t="shared" si="22"/>
        <v>412</v>
      </c>
      <c r="BJ142" s="373">
        <f t="shared" si="23"/>
        <v>368</v>
      </c>
      <c r="BK142" s="618">
        <f t="shared" si="24"/>
        <v>273</v>
      </c>
      <c r="BL142" s="374">
        <f t="shared" si="24"/>
        <v>0</v>
      </c>
    </row>
    <row r="143" spans="1:64" x14ac:dyDescent="0.2">
      <c r="A143" s="365" t="s">
        <v>734</v>
      </c>
      <c r="B143" s="377"/>
      <c r="C143" s="373"/>
      <c r="D143" s="373"/>
      <c r="E143" s="373"/>
      <c r="F143" s="373"/>
      <c r="G143" s="373"/>
      <c r="H143" s="373"/>
      <c r="I143" s="618"/>
      <c r="J143" s="374"/>
      <c r="K143" s="377">
        <v>64</v>
      </c>
      <c r="L143" s="373">
        <v>62</v>
      </c>
      <c r="M143" s="373">
        <v>70</v>
      </c>
      <c r="N143" s="373">
        <v>67</v>
      </c>
      <c r="O143" s="373">
        <v>62</v>
      </c>
      <c r="P143" s="373">
        <v>50</v>
      </c>
      <c r="Q143" s="373">
        <v>32</v>
      </c>
      <c r="R143" s="618">
        <v>28</v>
      </c>
      <c r="S143" s="374"/>
      <c r="T143" s="377">
        <v>142</v>
      </c>
      <c r="U143" s="373">
        <v>127</v>
      </c>
      <c r="V143" s="373">
        <v>152</v>
      </c>
      <c r="W143" s="373">
        <v>157</v>
      </c>
      <c r="X143" s="373">
        <v>152</v>
      </c>
      <c r="Y143" s="373">
        <v>167</v>
      </c>
      <c r="Z143" s="373">
        <v>177</v>
      </c>
      <c r="AA143" s="618">
        <v>137</v>
      </c>
      <c r="AB143" s="374"/>
      <c r="AC143" s="377">
        <v>393</v>
      </c>
      <c r="AD143" s="373">
        <v>311</v>
      </c>
      <c r="AE143" s="373">
        <v>305</v>
      </c>
      <c r="AF143" s="373">
        <v>339</v>
      </c>
      <c r="AG143" s="373">
        <v>371</v>
      </c>
      <c r="AH143" s="373">
        <v>400</v>
      </c>
      <c r="AI143" s="373">
        <v>450</v>
      </c>
      <c r="AJ143" s="618">
        <v>396</v>
      </c>
      <c r="AK143" s="374"/>
      <c r="AL143" s="377">
        <v>25</v>
      </c>
      <c r="AM143" s="373">
        <v>29</v>
      </c>
      <c r="AN143" s="373">
        <v>26</v>
      </c>
      <c r="AO143" s="373">
        <v>31</v>
      </c>
      <c r="AP143" s="373">
        <v>40</v>
      </c>
      <c r="AQ143" s="373">
        <v>31</v>
      </c>
      <c r="AR143" s="373">
        <v>61</v>
      </c>
      <c r="AS143" s="618">
        <v>52</v>
      </c>
      <c r="AT143" s="374"/>
      <c r="AU143" s="377"/>
      <c r="AV143" s="373"/>
      <c r="AW143" s="373"/>
      <c r="AX143" s="373"/>
      <c r="AY143" s="373">
        <v>1</v>
      </c>
      <c r="AZ143" s="373"/>
      <c r="BA143" s="373"/>
      <c r="BB143" s="618"/>
      <c r="BC143" s="374"/>
      <c r="BD143" s="377">
        <f t="shared" si="17"/>
        <v>624</v>
      </c>
      <c r="BE143" s="373">
        <f t="shared" si="18"/>
        <v>529</v>
      </c>
      <c r="BF143" s="373">
        <f t="shared" si="19"/>
        <v>553</v>
      </c>
      <c r="BG143" s="373">
        <f t="shared" si="20"/>
        <v>594</v>
      </c>
      <c r="BH143" s="373">
        <f t="shared" si="21"/>
        <v>626</v>
      </c>
      <c r="BI143" s="373">
        <f t="shared" si="22"/>
        <v>648</v>
      </c>
      <c r="BJ143" s="373">
        <f t="shared" si="23"/>
        <v>720</v>
      </c>
      <c r="BK143" s="618">
        <f t="shared" si="24"/>
        <v>613</v>
      </c>
      <c r="BL143" s="374">
        <f t="shared" si="24"/>
        <v>0</v>
      </c>
    </row>
    <row r="144" spans="1:64" ht="13.5" thickBot="1" x14ac:dyDescent="0.25">
      <c r="A144" s="366" t="s">
        <v>821</v>
      </c>
      <c r="B144" s="378"/>
      <c r="C144" s="375"/>
      <c r="D144" s="375"/>
      <c r="E144" s="375"/>
      <c r="F144" s="375"/>
      <c r="G144" s="375"/>
      <c r="H144" s="375"/>
      <c r="I144" s="619"/>
      <c r="J144" s="376"/>
      <c r="K144" s="378">
        <v>2</v>
      </c>
      <c r="L144" s="375">
        <v>4</v>
      </c>
      <c r="M144" s="375">
        <v>2</v>
      </c>
      <c r="N144" s="375">
        <v>4</v>
      </c>
      <c r="O144" s="375">
        <v>10</v>
      </c>
      <c r="P144" s="375">
        <v>6</v>
      </c>
      <c r="Q144" s="375">
        <v>3</v>
      </c>
      <c r="R144" s="619">
        <v>4</v>
      </c>
      <c r="S144" s="376"/>
      <c r="T144" s="378">
        <v>9</v>
      </c>
      <c r="U144" s="375">
        <v>45</v>
      </c>
      <c r="V144" s="375">
        <v>19</v>
      </c>
      <c r="W144" s="375">
        <v>12</v>
      </c>
      <c r="X144" s="375">
        <v>51</v>
      </c>
      <c r="Y144" s="375">
        <v>14</v>
      </c>
      <c r="Z144" s="375">
        <v>9</v>
      </c>
      <c r="AA144" s="619">
        <v>17</v>
      </c>
      <c r="AB144" s="376"/>
      <c r="AC144" s="378">
        <v>63</v>
      </c>
      <c r="AD144" s="375">
        <v>186</v>
      </c>
      <c r="AE144" s="375">
        <v>65</v>
      </c>
      <c r="AF144" s="375">
        <v>78</v>
      </c>
      <c r="AG144" s="375">
        <v>93</v>
      </c>
      <c r="AH144" s="375">
        <v>75</v>
      </c>
      <c r="AI144" s="375">
        <v>65</v>
      </c>
      <c r="AJ144" s="619">
        <v>78</v>
      </c>
      <c r="AK144" s="376"/>
      <c r="AL144" s="378">
        <v>11</v>
      </c>
      <c r="AM144" s="375">
        <v>10</v>
      </c>
      <c r="AN144" s="375">
        <v>5</v>
      </c>
      <c r="AO144" s="375">
        <v>7</v>
      </c>
      <c r="AP144" s="375">
        <v>5</v>
      </c>
      <c r="AQ144" s="375">
        <v>14</v>
      </c>
      <c r="AR144" s="375">
        <v>11</v>
      </c>
      <c r="AS144" s="619">
        <v>9</v>
      </c>
      <c r="AT144" s="376"/>
      <c r="AU144" s="378"/>
      <c r="AV144" s="375"/>
      <c r="AW144" s="375"/>
      <c r="AX144" s="375"/>
      <c r="AY144" s="375"/>
      <c r="AZ144" s="375"/>
      <c r="BA144" s="375"/>
      <c r="BB144" s="619"/>
      <c r="BC144" s="376"/>
      <c r="BD144" s="378">
        <f t="shared" si="17"/>
        <v>85</v>
      </c>
      <c r="BE144" s="375">
        <f t="shared" si="18"/>
        <v>245</v>
      </c>
      <c r="BF144" s="375">
        <f t="shared" si="19"/>
        <v>91</v>
      </c>
      <c r="BG144" s="375">
        <f t="shared" si="20"/>
        <v>101</v>
      </c>
      <c r="BH144" s="375">
        <f t="shared" si="21"/>
        <v>159</v>
      </c>
      <c r="BI144" s="375">
        <f t="shared" si="22"/>
        <v>109</v>
      </c>
      <c r="BJ144" s="375">
        <f t="shared" si="23"/>
        <v>88</v>
      </c>
      <c r="BK144" s="619">
        <f t="shared" si="24"/>
        <v>108</v>
      </c>
      <c r="BL144" s="376">
        <f t="shared" si="24"/>
        <v>0</v>
      </c>
    </row>
    <row r="145" spans="1:64" s="264" customFormat="1" x14ac:dyDescent="0.2">
      <c r="A145" s="364" t="s">
        <v>790</v>
      </c>
      <c r="B145" s="379"/>
      <c r="C145" s="380"/>
      <c r="D145" s="380"/>
      <c r="E145" s="380"/>
      <c r="F145" s="380">
        <v>1</v>
      </c>
      <c r="G145" s="380">
        <v>2</v>
      </c>
      <c r="H145" s="380">
        <v>2</v>
      </c>
      <c r="I145" s="617">
        <v>1</v>
      </c>
      <c r="J145" s="381"/>
      <c r="K145" s="379">
        <v>824</v>
      </c>
      <c r="L145" s="380">
        <v>943</v>
      </c>
      <c r="M145" s="380">
        <v>933</v>
      </c>
      <c r="N145" s="380">
        <v>1058</v>
      </c>
      <c r="O145" s="380">
        <v>810</v>
      </c>
      <c r="P145" s="380">
        <v>751</v>
      </c>
      <c r="Q145" s="380">
        <v>688</v>
      </c>
      <c r="R145" s="617">
        <v>625</v>
      </c>
      <c r="S145" s="381"/>
      <c r="T145" s="379">
        <v>1851</v>
      </c>
      <c r="U145" s="380">
        <v>1722</v>
      </c>
      <c r="V145" s="380">
        <v>1576</v>
      </c>
      <c r="W145" s="380">
        <v>1781</v>
      </c>
      <c r="X145" s="380">
        <v>1415</v>
      </c>
      <c r="Y145" s="380">
        <v>1500</v>
      </c>
      <c r="Z145" s="380">
        <v>1253</v>
      </c>
      <c r="AA145" s="617">
        <v>1124</v>
      </c>
      <c r="AB145" s="381"/>
      <c r="AC145" s="379">
        <v>5437</v>
      </c>
      <c r="AD145" s="380">
        <v>4743</v>
      </c>
      <c r="AE145" s="380">
        <v>4637</v>
      </c>
      <c r="AF145" s="380">
        <v>4665</v>
      </c>
      <c r="AG145" s="380">
        <v>4391</v>
      </c>
      <c r="AH145" s="380">
        <v>4305</v>
      </c>
      <c r="AI145" s="380">
        <v>3751</v>
      </c>
      <c r="AJ145" s="617">
        <v>3400</v>
      </c>
      <c r="AK145" s="381"/>
      <c r="AL145" s="379">
        <v>239</v>
      </c>
      <c r="AM145" s="380">
        <v>239</v>
      </c>
      <c r="AN145" s="380">
        <v>252</v>
      </c>
      <c r="AO145" s="380">
        <v>293</v>
      </c>
      <c r="AP145" s="380">
        <v>277</v>
      </c>
      <c r="AQ145" s="380">
        <v>269</v>
      </c>
      <c r="AR145" s="380">
        <v>239</v>
      </c>
      <c r="AS145" s="617">
        <v>272</v>
      </c>
      <c r="AT145" s="381"/>
      <c r="AU145" s="379"/>
      <c r="AV145" s="380"/>
      <c r="AW145" s="380"/>
      <c r="AX145" s="380"/>
      <c r="AY145" s="380">
        <v>5</v>
      </c>
      <c r="AZ145" s="380"/>
      <c r="BA145" s="380"/>
      <c r="BB145" s="617"/>
      <c r="BC145" s="381"/>
      <c r="BD145" s="379">
        <f t="shared" si="17"/>
        <v>8351</v>
      </c>
      <c r="BE145" s="380">
        <f t="shared" si="18"/>
        <v>7647</v>
      </c>
      <c r="BF145" s="380">
        <f t="shared" si="19"/>
        <v>7398</v>
      </c>
      <c r="BG145" s="380">
        <f t="shared" si="20"/>
        <v>7797</v>
      </c>
      <c r="BH145" s="380">
        <f t="shared" si="21"/>
        <v>6899</v>
      </c>
      <c r="BI145" s="380">
        <f t="shared" si="22"/>
        <v>6827</v>
      </c>
      <c r="BJ145" s="380">
        <f t="shared" si="23"/>
        <v>5933</v>
      </c>
      <c r="BK145" s="617">
        <f t="shared" si="24"/>
        <v>5422</v>
      </c>
      <c r="BL145" s="381">
        <f t="shared" si="24"/>
        <v>0</v>
      </c>
    </row>
    <row r="146" spans="1:64" x14ac:dyDescent="0.2">
      <c r="A146" s="365" t="s">
        <v>736</v>
      </c>
      <c r="B146" s="377"/>
      <c r="C146" s="373"/>
      <c r="D146" s="373"/>
      <c r="E146" s="373"/>
      <c r="F146" s="373"/>
      <c r="G146" s="373"/>
      <c r="H146" s="373"/>
      <c r="I146" s="618"/>
      <c r="J146" s="374"/>
      <c r="K146" s="377">
        <v>69</v>
      </c>
      <c r="L146" s="373">
        <v>76</v>
      </c>
      <c r="M146" s="373">
        <v>79</v>
      </c>
      <c r="N146" s="373">
        <v>83</v>
      </c>
      <c r="O146" s="373">
        <v>59</v>
      </c>
      <c r="P146" s="373">
        <v>61</v>
      </c>
      <c r="Q146" s="373">
        <v>56</v>
      </c>
      <c r="R146" s="618">
        <v>46</v>
      </c>
      <c r="S146" s="374"/>
      <c r="T146" s="377">
        <v>137</v>
      </c>
      <c r="U146" s="373">
        <v>164</v>
      </c>
      <c r="V146" s="373">
        <v>103</v>
      </c>
      <c r="W146" s="373">
        <v>167</v>
      </c>
      <c r="X146" s="373">
        <v>107</v>
      </c>
      <c r="Y146" s="373">
        <v>137</v>
      </c>
      <c r="Z146" s="373">
        <v>99</v>
      </c>
      <c r="AA146" s="618">
        <v>87</v>
      </c>
      <c r="AB146" s="374"/>
      <c r="AC146" s="377">
        <v>419</v>
      </c>
      <c r="AD146" s="373">
        <v>321</v>
      </c>
      <c r="AE146" s="373">
        <v>275</v>
      </c>
      <c r="AF146" s="373">
        <v>357</v>
      </c>
      <c r="AG146" s="373">
        <v>255</v>
      </c>
      <c r="AH146" s="373">
        <v>263</v>
      </c>
      <c r="AI146" s="373">
        <v>271</v>
      </c>
      <c r="AJ146" s="618">
        <v>192</v>
      </c>
      <c r="AK146" s="374"/>
      <c r="AL146" s="377">
        <v>18</v>
      </c>
      <c r="AM146" s="373">
        <v>18</v>
      </c>
      <c r="AN146" s="373">
        <v>23</v>
      </c>
      <c r="AO146" s="373">
        <v>22</v>
      </c>
      <c r="AP146" s="373">
        <v>25</v>
      </c>
      <c r="AQ146" s="373">
        <v>16</v>
      </c>
      <c r="AR146" s="373">
        <v>17</v>
      </c>
      <c r="AS146" s="618">
        <v>23</v>
      </c>
      <c r="AT146" s="374"/>
      <c r="AU146" s="377"/>
      <c r="AV146" s="373"/>
      <c r="AW146" s="373"/>
      <c r="AX146" s="373"/>
      <c r="AY146" s="373"/>
      <c r="AZ146" s="373"/>
      <c r="BA146" s="373"/>
      <c r="BB146" s="618"/>
      <c r="BC146" s="374"/>
      <c r="BD146" s="377">
        <f t="shared" si="17"/>
        <v>643</v>
      </c>
      <c r="BE146" s="373">
        <f t="shared" si="18"/>
        <v>579</v>
      </c>
      <c r="BF146" s="373">
        <f t="shared" si="19"/>
        <v>480</v>
      </c>
      <c r="BG146" s="373">
        <f t="shared" si="20"/>
        <v>629</v>
      </c>
      <c r="BH146" s="373">
        <f t="shared" si="21"/>
        <v>446</v>
      </c>
      <c r="BI146" s="373">
        <f t="shared" si="22"/>
        <v>477</v>
      </c>
      <c r="BJ146" s="373">
        <f t="shared" si="23"/>
        <v>443</v>
      </c>
      <c r="BK146" s="618">
        <f t="shared" si="24"/>
        <v>348</v>
      </c>
      <c r="BL146" s="374">
        <f t="shared" si="24"/>
        <v>0</v>
      </c>
    </row>
    <row r="147" spans="1:64" x14ac:dyDescent="0.2">
      <c r="A147" s="365" t="s">
        <v>737</v>
      </c>
      <c r="B147" s="377"/>
      <c r="C147" s="373"/>
      <c r="D147" s="373"/>
      <c r="E147" s="373"/>
      <c r="F147" s="373"/>
      <c r="G147" s="373"/>
      <c r="H147" s="373"/>
      <c r="I147" s="618">
        <v>1</v>
      </c>
      <c r="J147" s="374"/>
      <c r="K147" s="377">
        <v>58</v>
      </c>
      <c r="L147" s="373">
        <v>71</v>
      </c>
      <c r="M147" s="373">
        <v>84</v>
      </c>
      <c r="N147" s="373">
        <v>74</v>
      </c>
      <c r="O147" s="373">
        <v>68</v>
      </c>
      <c r="P147" s="373">
        <v>55</v>
      </c>
      <c r="Q147" s="373">
        <v>41</v>
      </c>
      <c r="R147" s="618">
        <v>23</v>
      </c>
      <c r="S147" s="374"/>
      <c r="T147" s="377">
        <v>133</v>
      </c>
      <c r="U147" s="373">
        <v>126</v>
      </c>
      <c r="V147" s="373">
        <v>140</v>
      </c>
      <c r="W147" s="373">
        <v>142</v>
      </c>
      <c r="X147" s="373">
        <v>130</v>
      </c>
      <c r="Y147" s="373">
        <v>149</v>
      </c>
      <c r="Z147" s="373">
        <v>99</v>
      </c>
      <c r="AA147" s="618">
        <v>59</v>
      </c>
      <c r="AB147" s="374"/>
      <c r="AC147" s="377">
        <v>415</v>
      </c>
      <c r="AD147" s="373">
        <v>327</v>
      </c>
      <c r="AE147" s="373">
        <v>377</v>
      </c>
      <c r="AF147" s="373">
        <v>412</v>
      </c>
      <c r="AG147" s="373">
        <v>437</v>
      </c>
      <c r="AH147" s="373">
        <v>368</v>
      </c>
      <c r="AI147" s="373">
        <v>281</v>
      </c>
      <c r="AJ147" s="618">
        <v>256</v>
      </c>
      <c r="AK147" s="374"/>
      <c r="AL147" s="377">
        <v>20</v>
      </c>
      <c r="AM147" s="373">
        <v>13</v>
      </c>
      <c r="AN147" s="373">
        <v>13</v>
      </c>
      <c r="AO147" s="373">
        <v>33</v>
      </c>
      <c r="AP147" s="373">
        <v>29</v>
      </c>
      <c r="AQ147" s="373">
        <v>22</v>
      </c>
      <c r="AR147" s="373">
        <v>13</v>
      </c>
      <c r="AS147" s="618">
        <v>14</v>
      </c>
      <c r="AT147" s="374"/>
      <c r="AU147" s="377"/>
      <c r="AV147" s="373"/>
      <c r="AW147" s="373"/>
      <c r="AX147" s="373"/>
      <c r="AY147" s="373"/>
      <c r="AZ147" s="373"/>
      <c r="BA147" s="373"/>
      <c r="BB147" s="618"/>
      <c r="BC147" s="374"/>
      <c r="BD147" s="377">
        <f t="shared" si="17"/>
        <v>626</v>
      </c>
      <c r="BE147" s="373">
        <f t="shared" si="18"/>
        <v>537</v>
      </c>
      <c r="BF147" s="373">
        <f t="shared" si="19"/>
        <v>614</v>
      </c>
      <c r="BG147" s="373">
        <f t="shared" si="20"/>
        <v>661</v>
      </c>
      <c r="BH147" s="373">
        <f t="shared" si="21"/>
        <v>664</v>
      </c>
      <c r="BI147" s="373">
        <f t="shared" si="22"/>
        <v>594</v>
      </c>
      <c r="BJ147" s="373">
        <f t="shared" si="23"/>
        <v>434</v>
      </c>
      <c r="BK147" s="618">
        <f t="shared" si="24"/>
        <v>353</v>
      </c>
      <c r="BL147" s="374">
        <f t="shared" si="24"/>
        <v>0</v>
      </c>
    </row>
    <row r="148" spans="1:64" x14ac:dyDescent="0.2">
      <c r="A148" s="365" t="s">
        <v>738</v>
      </c>
      <c r="B148" s="377"/>
      <c r="C148" s="373"/>
      <c r="D148" s="373"/>
      <c r="E148" s="373"/>
      <c r="F148" s="373"/>
      <c r="G148" s="373">
        <v>2</v>
      </c>
      <c r="H148" s="373">
        <v>1</v>
      </c>
      <c r="I148" s="618"/>
      <c r="J148" s="374"/>
      <c r="K148" s="377">
        <v>173</v>
      </c>
      <c r="L148" s="373">
        <v>177</v>
      </c>
      <c r="M148" s="373">
        <v>174</v>
      </c>
      <c r="N148" s="373">
        <v>161</v>
      </c>
      <c r="O148" s="373">
        <v>109</v>
      </c>
      <c r="P148" s="373">
        <v>107</v>
      </c>
      <c r="Q148" s="373">
        <v>122</v>
      </c>
      <c r="R148" s="618">
        <v>104</v>
      </c>
      <c r="S148" s="374"/>
      <c r="T148" s="377">
        <v>291</v>
      </c>
      <c r="U148" s="373">
        <v>251</v>
      </c>
      <c r="V148" s="373">
        <v>241</v>
      </c>
      <c r="W148" s="373">
        <v>227</v>
      </c>
      <c r="X148" s="373">
        <v>239</v>
      </c>
      <c r="Y148" s="373">
        <v>229</v>
      </c>
      <c r="Z148" s="373">
        <v>209</v>
      </c>
      <c r="AA148" s="618">
        <v>173</v>
      </c>
      <c r="AB148" s="374"/>
      <c r="AC148" s="377">
        <v>737</v>
      </c>
      <c r="AD148" s="373">
        <v>584</v>
      </c>
      <c r="AE148" s="373">
        <v>545</v>
      </c>
      <c r="AF148" s="373">
        <v>572</v>
      </c>
      <c r="AG148" s="373">
        <v>527</v>
      </c>
      <c r="AH148" s="373">
        <v>532</v>
      </c>
      <c r="AI148" s="373">
        <v>502</v>
      </c>
      <c r="AJ148" s="618">
        <v>359</v>
      </c>
      <c r="AK148" s="374"/>
      <c r="AL148" s="377">
        <v>35</v>
      </c>
      <c r="AM148" s="373">
        <v>32</v>
      </c>
      <c r="AN148" s="373">
        <v>34</v>
      </c>
      <c r="AO148" s="373">
        <v>47</v>
      </c>
      <c r="AP148" s="373">
        <v>32</v>
      </c>
      <c r="AQ148" s="373">
        <v>30</v>
      </c>
      <c r="AR148" s="373">
        <v>30</v>
      </c>
      <c r="AS148" s="618">
        <v>30</v>
      </c>
      <c r="AT148" s="374"/>
      <c r="AU148" s="377"/>
      <c r="AV148" s="373"/>
      <c r="AW148" s="373"/>
      <c r="AX148" s="373"/>
      <c r="AY148" s="373">
        <v>2</v>
      </c>
      <c r="AZ148" s="373"/>
      <c r="BA148" s="373"/>
      <c r="BB148" s="618"/>
      <c r="BC148" s="374"/>
      <c r="BD148" s="377">
        <f t="shared" si="17"/>
        <v>1236</v>
      </c>
      <c r="BE148" s="373">
        <f t="shared" si="18"/>
        <v>1044</v>
      </c>
      <c r="BF148" s="373">
        <f t="shared" si="19"/>
        <v>994</v>
      </c>
      <c r="BG148" s="373">
        <f t="shared" si="20"/>
        <v>1007</v>
      </c>
      <c r="BH148" s="373">
        <f t="shared" si="21"/>
        <v>909</v>
      </c>
      <c r="BI148" s="373">
        <f t="shared" si="22"/>
        <v>900</v>
      </c>
      <c r="BJ148" s="373">
        <f t="shared" si="23"/>
        <v>864</v>
      </c>
      <c r="BK148" s="618">
        <f t="shared" si="24"/>
        <v>666</v>
      </c>
      <c r="BL148" s="374">
        <f t="shared" si="24"/>
        <v>0</v>
      </c>
    </row>
    <row r="149" spans="1:64" x14ac:dyDescent="0.2">
      <c r="A149" s="365" t="s">
        <v>739</v>
      </c>
      <c r="B149" s="377"/>
      <c r="C149" s="373"/>
      <c r="D149" s="373"/>
      <c r="E149" s="373"/>
      <c r="F149" s="373"/>
      <c r="G149" s="373"/>
      <c r="H149" s="373"/>
      <c r="I149" s="618"/>
      <c r="J149" s="374"/>
      <c r="K149" s="377">
        <v>92</v>
      </c>
      <c r="L149" s="373">
        <v>107</v>
      </c>
      <c r="M149" s="373">
        <v>108</v>
      </c>
      <c r="N149" s="373">
        <v>113</v>
      </c>
      <c r="O149" s="373">
        <v>106</v>
      </c>
      <c r="P149" s="373">
        <v>95</v>
      </c>
      <c r="Q149" s="373">
        <v>65</v>
      </c>
      <c r="R149" s="618">
        <v>72</v>
      </c>
      <c r="S149" s="374"/>
      <c r="T149" s="377">
        <v>221</v>
      </c>
      <c r="U149" s="373">
        <v>172</v>
      </c>
      <c r="V149" s="373">
        <v>165</v>
      </c>
      <c r="W149" s="373">
        <v>167</v>
      </c>
      <c r="X149" s="373">
        <v>161</v>
      </c>
      <c r="Y149" s="373">
        <v>148</v>
      </c>
      <c r="Z149" s="373">
        <v>113</v>
      </c>
      <c r="AA149" s="618">
        <v>117</v>
      </c>
      <c r="AB149" s="374"/>
      <c r="AC149" s="377">
        <v>696</v>
      </c>
      <c r="AD149" s="373">
        <v>505</v>
      </c>
      <c r="AE149" s="373">
        <v>461</v>
      </c>
      <c r="AF149" s="373">
        <v>444</v>
      </c>
      <c r="AG149" s="373">
        <v>448</v>
      </c>
      <c r="AH149" s="373">
        <v>384</v>
      </c>
      <c r="AI149" s="373">
        <v>314</v>
      </c>
      <c r="AJ149" s="618">
        <v>255</v>
      </c>
      <c r="AK149" s="374"/>
      <c r="AL149" s="377">
        <v>33</v>
      </c>
      <c r="AM149" s="373">
        <v>20</v>
      </c>
      <c r="AN149" s="373">
        <v>28</v>
      </c>
      <c r="AO149" s="373">
        <v>24</v>
      </c>
      <c r="AP149" s="373">
        <v>29</v>
      </c>
      <c r="AQ149" s="373">
        <v>23</v>
      </c>
      <c r="AR149" s="373">
        <v>15</v>
      </c>
      <c r="AS149" s="618">
        <v>20</v>
      </c>
      <c r="AT149" s="374"/>
      <c r="AU149" s="377"/>
      <c r="AV149" s="373"/>
      <c r="AW149" s="373"/>
      <c r="AX149" s="373"/>
      <c r="AY149" s="373"/>
      <c r="AZ149" s="373"/>
      <c r="BA149" s="373"/>
      <c r="BB149" s="618"/>
      <c r="BC149" s="374"/>
      <c r="BD149" s="377">
        <f t="shared" si="17"/>
        <v>1042</v>
      </c>
      <c r="BE149" s="373">
        <f t="shared" si="18"/>
        <v>804</v>
      </c>
      <c r="BF149" s="373">
        <f t="shared" si="19"/>
        <v>762</v>
      </c>
      <c r="BG149" s="373">
        <f t="shared" si="20"/>
        <v>748</v>
      </c>
      <c r="BH149" s="373">
        <f t="shared" si="21"/>
        <v>744</v>
      </c>
      <c r="BI149" s="373">
        <f t="shared" si="22"/>
        <v>650</v>
      </c>
      <c r="BJ149" s="373">
        <f t="shared" si="23"/>
        <v>507</v>
      </c>
      <c r="BK149" s="618">
        <f t="shared" si="24"/>
        <v>464</v>
      </c>
      <c r="BL149" s="374">
        <f t="shared" si="24"/>
        <v>0</v>
      </c>
    </row>
    <row r="150" spans="1:64" x14ac:dyDescent="0.2">
      <c r="A150" s="365" t="s">
        <v>775</v>
      </c>
      <c r="B150" s="377"/>
      <c r="C150" s="373"/>
      <c r="D150" s="373"/>
      <c r="E150" s="373"/>
      <c r="F150" s="373"/>
      <c r="G150" s="373"/>
      <c r="H150" s="373">
        <v>1</v>
      </c>
      <c r="I150" s="618"/>
      <c r="J150" s="374"/>
      <c r="K150" s="377">
        <v>271</v>
      </c>
      <c r="L150" s="373">
        <v>329</v>
      </c>
      <c r="M150" s="373">
        <v>312</v>
      </c>
      <c r="N150" s="373">
        <v>414</v>
      </c>
      <c r="O150" s="373">
        <v>294</v>
      </c>
      <c r="P150" s="373">
        <v>282</v>
      </c>
      <c r="Q150" s="373">
        <v>264</v>
      </c>
      <c r="R150" s="618">
        <v>228</v>
      </c>
      <c r="S150" s="374"/>
      <c r="T150" s="377">
        <v>694</v>
      </c>
      <c r="U150" s="373">
        <v>618</v>
      </c>
      <c r="V150" s="373">
        <v>502</v>
      </c>
      <c r="W150" s="373">
        <v>708</v>
      </c>
      <c r="X150" s="373">
        <v>486</v>
      </c>
      <c r="Y150" s="373">
        <v>466</v>
      </c>
      <c r="Z150" s="373">
        <v>441</v>
      </c>
      <c r="AA150" s="618">
        <v>403</v>
      </c>
      <c r="AB150" s="374"/>
      <c r="AC150" s="377">
        <v>2008</v>
      </c>
      <c r="AD150" s="373">
        <v>1756</v>
      </c>
      <c r="AE150" s="373">
        <v>1662</v>
      </c>
      <c r="AF150" s="373">
        <v>1740</v>
      </c>
      <c r="AG150" s="373">
        <v>1622</v>
      </c>
      <c r="AH150" s="373">
        <v>1453</v>
      </c>
      <c r="AI150" s="373">
        <v>1310</v>
      </c>
      <c r="AJ150" s="618">
        <v>1294</v>
      </c>
      <c r="AK150" s="374"/>
      <c r="AL150" s="377">
        <v>82</v>
      </c>
      <c r="AM150" s="373">
        <v>85</v>
      </c>
      <c r="AN150" s="373">
        <v>96</v>
      </c>
      <c r="AO150" s="373">
        <v>106</v>
      </c>
      <c r="AP150" s="373">
        <v>93</v>
      </c>
      <c r="AQ150" s="373">
        <v>92</v>
      </c>
      <c r="AR150" s="373">
        <v>102</v>
      </c>
      <c r="AS150" s="618">
        <v>120</v>
      </c>
      <c r="AT150" s="374"/>
      <c r="AU150" s="377"/>
      <c r="AV150" s="373"/>
      <c r="AW150" s="373"/>
      <c r="AX150" s="373"/>
      <c r="AY150" s="373"/>
      <c r="AZ150" s="373"/>
      <c r="BA150" s="373"/>
      <c r="BB150" s="618"/>
      <c r="BC150" s="374"/>
      <c r="BD150" s="377">
        <f t="shared" si="17"/>
        <v>3055</v>
      </c>
      <c r="BE150" s="373">
        <f t="shared" si="18"/>
        <v>2788</v>
      </c>
      <c r="BF150" s="373">
        <f t="shared" si="19"/>
        <v>2572</v>
      </c>
      <c r="BG150" s="373">
        <f t="shared" si="20"/>
        <v>2968</v>
      </c>
      <c r="BH150" s="373">
        <f t="shared" si="21"/>
        <v>2495</v>
      </c>
      <c r="BI150" s="373">
        <f t="shared" si="22"/>
        <v>2293</v>
      </c>
      <c r="BJ150" s="373">
        <f t="shared" si="23"/>
        <v>2118</v>
      </c>
      <c r="BK150" s="618">
        <f t="shared" si="24"/>
        <v>2045</v>
      </c>
      <c r="BL150" s="374">
        <f t="shared" si="24"/>
        <v>0</v>
      </c>
    </row>
    <row r="151" spans="1:64" x14ac:dyDescent="0.2">
      <c r="A151" s="365" t="s">
        <v>822</v>
      </c>
      <c r="B151" s="377"/>
      <c r="C151" s="373"/>
      <c r="D151" s="373"/>
      <c r="E151" s="373"/>
      <c r="F151" s="373"/>
      <c r="G151" s="373"/>
      <c r="H151" s="373"/>
      <c r="I151" s="618"/>
      <c r="J151" s="374"/>
      <c r="K151" s="377">
        <v>18</v>
      </c>
      <c r="L151" s="373">
        <v>17</v>
      </c>
      <c r="M151" s="373">
        <v>12</v>
      </c>
      <c r="N151" s="373">
        <v>6</v>
      </c>
      <c r="O151" s="373">
        <v>10</v>
      </c>
      <c r="P151" s="373">
        <v>11</v>
      </c>
      <c r="Q151" s="373">
        <v>4</v>
      </c>
      <c r="R151" s="618">
        <v>4</v>
      </c>
      <c r="S151" s="374"/>
      <c r="T151" s="377">
        <v>78</v>
      </c>
      <c r="U151" s="373">
        <v>56</v>
      </c>
      <c r="V151" s="373">
        <v>134</v>
      </c>
      <c r="W151" s="373">
        <v>26</v>
      </c>
      <c r="X151" s="373">
        <v>23</v>
      </c>
      <c r="Y151" s="373">
        <v>68</v>
      </c>
      <c r="Z151" s="373">
        <v>43</v>
      </c>
      <c r="AA151" s="618">
        <v>42</v>
      </c>
      <c r="AB151" s="374"/>
      <c r="AC151" s="377">
        <v>274</v>
      </c>
      <c r="AD151" s="373">
        <v>155</v>
      </c>
      <c r="AE151" s="373">
        <v>308</v>
      </c>
      <c r="AF151" s="373">
        <v>99</v>
      </c>
      <c r="AG151" s="373">
        <v>128</v>
      </c>
      <c r="AH151" s="373">
        <v>351</v>
      </c>
      <c r="AI151" s="373">
        <v>310</v>
      </c>
      <c r="AJ151" s="618">
        <v>273</v>
      </c>
      <c r="AK151" s="374"/>
      <c r="AL151" s="377">
        <v>7</v>
      </c>
      <c r="AM151" s="373">
        <v>7</v>
      </c>
      <c r="AN151" s="373">
        <v>14</v>
      </c>
      <c r="AO151" s="373">
        <v>9</v>
      </c>
      <c r="AP151" s="373">
        <v>8</v>
      </c>
      <c r="AQ151" s="373">
        <v>16</v>
      </c>
      <c r="AR151" s="373">
        <v>17</v>
      </c>
      <c r="AS151" s="618">
        <v>13</v>
      </c>
      <c r="AT151" s="374"/>
      <c r="AU151" s="377"/>
      <c r="AV151" s="373"/>
      <c r="AW151" s="373"/>
      <c r="AX151" s="373"/>
      <c r="AY151" s="373">
        <v>1</v>
      </c>
      <c r="AZ151" s="373"/>
      <c r="BA151" s="373"/>
      <c r="BB151" s="618"/>
      <c r="BC151" s="374"/>
      <c r="BD151" s="377">
        <f t="shared" si="17"/>
        <v>377</v>
      </c>
      <c r="BE151" s="373">
        <f t="shared" si="18"/>
        <v>235</v>
      </c>
      <c r="BF151" s="373">
        <f t="shared" si="19"/>
        <v>468</v>
      </c>
      <c r="BG151" s="373">
        <f t="shared" si="20"/>
        <v>140</v>
      </c>
      <c r="BH151" s="373">
        <f t="shared" si="21"/>
        <v>170</v>
      </c>
      <c r="BI151" s="373">
        <f t="shared" si="22"/>
        <v>446</v>
      </c>
      <c r="BJ151" s="373">
        <f t="shared" si="23"/>
        <v>374</v>
      </c>
      <c r="BK151" s="618">
        <f t="shared" si="24"/>
        <v>332</v>
      </c>
      <c r="BL151" s="374">
        <f t="shared" si="24"/>
        <v>0</v>
      </c>
    </row>
    <row r="152" spans="1:64" x14ac:dyDescent="0.2">
      <c r="A152" s="365" t="s">
        <v>625</v>
      </c>
      <c r="B152" s="377"/>
      <c r="C152" s="373"/>
      <c r="D152" s="373"/>
      <c r="E152" s="373"/>
      <c r="F152" s="373">
        <v>1</v>
      </c>
      <c r="G152" s="373"/>
      <c r="H152" s="373"/>
      <c r="I152" s="618"/>
      <c r="J152" s="374"/>
      <c r="K152" s="377">
        <v>42</v>
      </c>
      <c r="L152" s="373">
        <v>52</v>
      </c>
      <c r="M152" s="373">
        <v>69</v>
      </c>
      <c r="N152" s="373">
        <v>101</v>
      </c>
      <c r="O152" s="373">
        <v>76</v>
      </c>
      <c r="P152" s="373">
        <v>50</v>
      </c>
      <c r="Q152" s="373">
        <v>76</v>
      </c>
      <c r="R152" s="618">
        <v>88</v>
      </c>
      <c r="S152" s="374"/>
      <c r="T152" s="377">
        <v>91</v>
      </c>
      <c r="U152" s="373">
        <v>114</v>
      </c>
      <c r="V152" s="373">
        <v>108</v>
      </c>
      <c r="W152" s="373">
        <v>132</v>
      </c>
      <c r="X152" s="373">
        <v>96</v>
      </c>
      <c r="Y152" s="373">
        <v>86</v>
      </c>
      <c r="Z152" s="373">
        <v>90</v>
      </c>
      <c r="AA152" s="618">
        <v>85</v>
      </c>
      <c r="AB152" s="374"/>
      <c r="AC152" s="377">
        <v>283</v>
      </c>
      <c r="AD152" s="373">
        <v>271</v>
      </c>
      <c r="AE152" s="373">
        <v>298</v>
      </c>
      <c r="AF152" s="373">
        <v>298</v>
      </c>
      <c r="AG152" s="373">
        <v>347</v>
      </c>
      <c r="AH152" s="373">
        <v>214</v>
      </c>
      <c r="AI152" s="373">
        <v>232</v>
      </c>
      <c r="AJ152" s="618">
        <v>170</v>
      </c>
      <c r="AK152" s="374"/>
      <c r="AL152" s="377">
        <v>16</v>
      </c>
      <c r="AM152" s="373">
        <v>20</v>
      </c>
      <c r="AN152" s="373">
        <v>11</v>
      </c>
      <c r="AO152" s="373">
        <v>12</v>
      </c>
      <c r="AP152" s="373">
        <v>26</v>
      </c>
      <c r="AQ152" s="373">
        <v>21</v>
      </c>
      <c r="AR152" s="373">
        <v>10</v>
      </c>
      <c r="AS152" s="618">
        <v>9</v>
      </c>
      <c r="AT152" s="374"/>
      <c r="AU152" s="377"/>
      <c r="AV152" s="373"/>
      <c r="AW152" s="373"/>
      <c r="AX152" s="373"/>
      <c r="AY152" s="373"/>
      <c r="AZ152" s="373"/>
      <c r="BA152" s="373"/>
      <c r="BB152" s="618"/>
      <c r="BC152" s="374"/>
      <c r="BD152" s="377">
        <f t="shared" si="17"/>
        <v>432</v>
      </c>
      <c r="BE152" s="373">
        <f t="shared" si="18"/>
        <v>457</v>
      </c>
      <c r="BF152" s="373">
        <f t="shared" si="19"/>
        <v>486</v>
      </c>
      <c r="BG152" s="373">
        <f t="shared" si="20"/>
        <v>543</v>
      </c>
      <c r="BH152" s="373">
        <f t="shared" si="21"/>
        <v>546</v>
      </c>
      <c r="BI152" s="373">
        <f t="shared" si="22"/>
        <v>371</v>
      </c>
      <c r="BJ152" s="373">
        <f t="shared" si="23"/>
        <v>408</v>
      </c>
      <c r="BK152" s="618">
        <f t="shared" si="24"/>
        <v>352</v>
      </c>
      <c r="BL152" s="374">
        <f t="shared" si="24"/>
        <v>0</v>
      </c>
    </row>
    <row r="153" spans="1:64" x14ac:dyDescent="0.2">
      <c r="A153" s="365" t="s">
        <v>740</v>
      </c>
      <c r="B153" s="377"/>
      <c r="C153" s="373"/>
      <c r="D153" s="373"/>
      <c r="E153" s="373"/>
      <c r="F153" s="373"/>
      <c r="G153" s="373"/>
      <c r="H153" s="373"/>
      <c r="I153" s="618"/>
      <c r="J153" s="374"/>
      <c r="K153" s="377">
        <v>70</v>
      </c>
      <c r="L153" s="373">
        <v>82</v>
      </c>
      <c r="M153" s="373">
        <v>67</v>
      </c>
      <c r="N153" s="373">
        <v>77</v>
      </c>
      <c r="O153" s="373">
        <v>60</v>
      </c>
      <c r="P153" s="373">
        <v>66</v>
      </c>
      <c r="Q153" s="373">
        <v>46</v>
      </c>
      <c r="R153" s="618">
        <v>42</v>
      </c>
      <c r="S153" s="374"/>
      <c r="T153" s="377">
        <v>132</v>
      </c>
      <c r="U153" s="373">
        <v>124</v>
      </c>
      <c r="V153" s="373">
        <v>109</v>
      </c>
      <c r="W153" s="373">
        <v>134</v>
      </c>
      <c r="X153" s="373">
        <v>95</v>
      </c>
      <c r="Y153" s="373">
        <v>126</v>
      </c>
      <c r="Z153" s="373">
        <v>104</v>
      </c>
      <c r="AA153" s="618">
        <v>106</v>
      </c>
      <c r="AB153" s="374"/>
      <c r="AC153" s="377">
        <v>333</v>
      </c>
      <c r="AD153" s="373">
        <v>280</v>
      </c>
      <c r="AE153" s="373">
        <v>257</v>
      </c>
      <c r="AF153" s="373">
        <v>326</v>
      </c>
      <c r="AG153" s="373">
        <v>264</v>
      </c>
      <c r="AH153" s="373">
        <v>284</v>
      </c>
      <c r="AI153" s="373">
        <v>249</v>
      </c>
      <c r="AJ153" s="618">
        <v>248</v>
      </c>
      <c r="AK153" s="374"/>
      <c r="AL153" s="377">
        <v>10</v>
      </c>
      <c r="AM153" s="373">
        <v>25</v>
      </c>
      <c r="AN153" s="373">
        <v>14</v>
      </c>
      <c r="AO153" s="373">
        <v>8</v>
      </c>
      <c r="AP153" s="373">
        <v>8</v>
      </c>
      <c r="AQ153" s="373">
        <v>17</v>
      </c>
      <c r="AR153" s="373">
        <v>18</v>
      </c>
      <c r="AS153" s="618">
        <v>17</v>
      </c>
      <c r="AT153" s="374"/>
      <c r="AU153" s="377"/>
      <c r="AV153" s="373"/>
      <c r="AW153" s="373"/>
      <c r="AX153" s="373"/>
      <c r="AY153" s="373">
        <v>1</v>
      </c>
      <c r="AZ153" s="373"/>
      <c r="BA153" s="373"/>
      <c r="BB153" s="618"/>
      <c r="BC153" s="374"/>
      <c r="BD153" s="377">
        <f t="shared" si="17"/>
        <v>545</v>
      </c>
      <c r="BE153" s="373">
        <f t="shared" si="18"/>
        <v>511</v>
      </c>
      <c r="BF153" s="373">
        <f t="shared" si="19"/>
        <v>447</v>
      </c>
      <c r="BG153" s="373">
        <f t="shared" si="20"/>
        <v>545</v>
      </c>
      <c r="BH153" s="373">
        <f t="shared" si="21"/>
        <v>428</v>
      </c>
      <c r="BI153" s="373">
        <f t="shared" si="22"/>
        <v>493</v>
      </c>
      <c r="BJ153" s="373">
        <f t="shared" si="23"/>
        <v>417</v>
      </c>
      <c r="BK153" s="618">
        <f t="shared" si="24"/>
        <v>413</v>
      </c>
      <c r="BL153" s="374">
        <f t="shared" si="24"/>
        <v>0</v>
      </c>
    </row>
    <row r="154" spans="1:64" ht="13.5" thickBot="1" x14ac:dyDescent="0.25">
      <c r="A154" s="366" t="s">
        <v>741</v>
      </c>
      <c r="B154" s="378"/>
      <c r="C154" s="375"/>
      <c r="D154" s="375"/>
      <c r="E154" s="375"/>
      <c r="F154" s="375"/>
      <c r="G154" s="375"/>
      <c r="H154" s="375"/>
      <c r="I154" s="619"/>
      <c r="J154" s="376"/>
      <c r="K154" s="378">
        <v>31</v>
      </c>
      <c r="L154" s="375">
        <v>32</v>
      </c>
      <c r="M154" s="375">
        <v>28</v>
      </c>
      <c r="N154" s="375">
        <v>29</v>
      </c>
      <c r="O154" s="375">
        <v>28</v>
      </c>
      <c r="P154" s="375">
        <v>24</v>
      </c>
      <c r="Q154" s="375">
        <v>14</v>
      </c>
      <c r="R154" s="619">
        <v>18</v>
      </c>
      <c r="S154" s="376"/>
      <c r="T154" s="378">
        <v>74</v>
      </c>
      <c r="U154" s="375">
        <v>97</v>
      </c>
      <c r="V154" s="375">
        <v>74</v>
      </c>
      <c r="W154" s="375">
        <v>78</v>
      </c>
      <c r="X154" s="375">
        <v>78</v>
      </c>
      <c r="Y154" s="375">
        <v>91</v>
      </c>
      <c r="Z154" s="375">
        <v>55</v>
      </c>
      <c r="AA154" s="619">
        <v>52</v>
      </c>
      <c r="AB154" s="376"/>
      <c r="AC154" s="378">
        <v>272</v>
      </c>
      <c r="AD154" s="375">
        <v>544</v>
      </c>
      <c r="AE154" s="375">
        <v>454</v>
      </c>
      <c r="AF154" s="375">
        <v>417</v>
      </c>
      <c r="AG154" s="375">
        <v>363</v>
      </c>
      <c r="AH154" s="375">
        <v>456</v>
      </c>
      <c r="AI154" s="375">
        <v>282</v>
      </c>
      <c r="AJ154" s="619">
        <v>353</v>
      </c>
      <c r="AK154" s="376"/>
      <c r="AL154" s="378">
        <v>18</v>
      </c>
      <c r="AM154" s="375">
        <v>19</v>
      </c>
      <c r="AN154" s="375">
        <v>19</v>
      </c>
      <c r="AO154" s="375">
        <v>32</v>
      </c>
      <c r="AP154" s="375">
        <v>27</v>
      </c>
      <c r="AQ154" s="375">
        <v>32</v>
      </c>
      <c r="AR154" s="375">
        <v>17</v>
      </c>
      <c r="AS154" s="619">
        <v>26</v>
      </c>
      <c r="AT154" s="376"/>
      <c r="AU154" s="378"/>
      <c r="AV154" s="375"/>
      <c r="AW154" s="375"/>
      <c r="AX154" s="375"/>
      <c r="AY154" s="375">
        <v>1</v>
      </c>
      <c r="AZ154" s="375"/>
      <c r="BA154" s="375"/>
      <c r="BB154" s="619"/>
      <c r="BC154" s="376"/>
      <c r="BD154" s="378">
        <f t="shared" si="17"/>
        <v>395</v>
      </c>
      <c r="BE154" s="375">
        <f t="shared" si="18"/>
        <v>692</v>
      </c>
      <c r="BF154" s="375">
        <f t="shared" si="19"/>
        <v>575</v>
      </c>
      <c r="BG154" s="375">
        <f t="shared" si="20"/>
        <v>556</v>
      </c>
      <c r="BH154" s="375">
        <f t="shared" si="21"/>
        <v>497</v>
      </c>
      <c r="BI154" s="375">
        <f t="shared" si="22"/>
        <v>603</v>
      </c>
      <c r="BJ154" s="375">
        <f t="shared" si="23"/>
        <v>368</v>
      </c>
      <c r="BK154" s="619">
        <f t="shared" si="24"/>
        <v>449</v>
      </c>
      <c r="BL154" s="376">
        <f t="shared" si="24"/>
        <v>0</v>
      </c>
    </row>
    <row r="155" spans="1:64" s="780" customFormat="1" x14ac:dyDescent="0.2">
      <c r="A155" s="775" t="s">
        <v>791</v>
      </c>
      <c r="B155" s="776"/>
      <c r="C155" s="777"/>
      <c r="D155" s="777"/>
      <c r="E155" s="777"/>
      <c r="F155" s="777"/>
      <c r="G155" s="777"/>
      <c r="H155" s="777">
        <v>3</v>
      </c>
      <c r="I155" s="778">
        <v>2</v>
      </c>
      <c r="J155" s="779"/>
      <c r="K155" s="776">
        <v>540</v>
      </c>
      <c r="L155" s="777">
        <v>593</v>
      </c>
      <c r="M155" s="777">
        <v>565</v>
      </c>
      <c r="N155" s="777">
        <v>544</v>
      </c>
      <c r="O155" s="777">
        <v>400</v>
      </c>
      <c r="P155" s="777">
        <v>436</v>
      </c>
      <c r="Q155" s="777">
        <v>446</v>
      </c>
      <c r="R155" s="778">
        <v>324</v>
      </c>
      <c r="S155" s="779"/>
      <c r="T155" s="776">
        <v>1072</v>
      </c>
      <c r="U155" s="777">
        <v>1170</v>
      </c>
      <c r="V155" s="777">
        <v>951</v>
      </c>
      <c r="W155" s="777">
        <v>1101</v>
      </c>
      <c r="X155" s="777">
        <v>1029</v>
      </c>
      <c r="Y155" s="777">
        <v>1110</v>
      </c>
      <c r="Z155" s="777">
        <v>929</v>
      </c>
      <c r="AA155" s="778">
        <v>720</v>
      </c>
      <c r="AB155" s="779"/>
      <c r="AC155" s="776">
        <v>2842</v>
      </c>
      <c r="AD155" s="777">
        <v>3092</v>
      </c>
      <c r="AE155" s="777">
        <v>2416</v>
      </c>
      <c r="AF155" s="777">
        <v>2557</v>
      </c>
      <c r="AG155" s="777">
        <v>2852</v>
      </c>
      <c r="AH155" s="777">
        <v>2441</v>
      </c>
      <c r="AI155" s="777">
        <v>2425</v>
      </c>
      <c r="AJ155" s="778">
        <v>2020</v>
      </c>
      <c r="AK155" s="779"/>
      <c r="AL155" s="776">
        <v>149</v>
      </c>
      <c r="AM155" s="777">
        <v>178</v>
      </c>
      <c r="AN155" s="777">
        <v>144</v>
      </c>
      <c r="AO155" s="777">
        <v>151</v>
      </c>
      <c r="AP155" s="777">
        <v>177</v>
      </c>
      <c r="AQ155" s="777">
        <v>192</v>
      </c>
      <c r="AR155" s="777">
        <v>193</v>
      </c>
      <c r="AS155" s="778">
        <v>217</v>
      </c>
      <c r="AT155" s="779"/>
      <c r="AU155" s="776"/>
      <c r="AV155" s="777"/>
      <c r="AW155" s="777"/>
      <c r="AX155" s="777"/>
      <c r="AY155" s="777">
        <v>6</v>
      </c>
      <c r="AZ155" s="777">
        <v>2</v>
      </c>
      <c r="BA155" s="777"/>
      <c r="BB155" s="778"/>
      <c r="BC155" s="779"/>
      <c r="BD155" s="776">
        <f t="shared" si="17"/>
        <v>4603</v>
      </c>
      <c r="BE155" s="777">
        <f t="shared" si="18"/>
        <v>5033</v>
      </c>
      <c r="BF155" s="777">
        <f t="shared" si="19"/>
        <v>4076</v>
      </c>
      <c r="BG155" s="777">
        <f t="shared" si="20"/>
        <v>4353</v>
      </c>
      <c r="BH155" s="777">
        <f t="shared" si="21"/>
        <v>4464</v>
      </c>
      <c r="BI155" s="777">
        <f t="shared" si="22"/>
        <v>4181</v>
      </c>
      <c r="BJ155" s="777">
        <f t="shared" si="23"/>
        <v>3996</v>
      </c>
      <c r="BK155" s="778">
        <f t="shared" si="24"/>
        <v>3283</v>
      </c>
      <c r="BL155" s="779">
        <f t="shared" si="24"/>
        <v>0</v>
      </c>
    </row>
    <row r="156" spans="1:64" x14ac:dyDescent="0.2">
      <c r="A156" s="365" t="s">
        <v>743</v>
      </c>
      <c r="B156" s="377"/>
      <c r="C156" s="373"/>
      <c r="D156" s="373"/>
      <c r="E156" s="373"/>
      <c r="F156" s="373"/>
      <c r="G156" s="373"/>
      <c r="H156" s="373">
        <v>1</v>
      </c>
      <c r="I156" s="618">
        <v>1</v>
      </c>
      <c r="J156" s="374"/>
      <c r="K156" s="377">
        <v>101</v>
      </c>
      <c r="L156" s="373">
        <v>128</v>
      </c>
      <c r="M156" s="373">
        <v>86</v>
      </c>
      <c r="N156" s="373">
        <v>101</v>
      </c>
      <c r="O156" s="373">
        <v>100</v>
      </c>
      <c r="P156" s="373">
        <v>86</v>
      </c>
      <c r="Q156" s="373">
        <v>91</v>
      </c>
      <c r="R156" s="618">
        <v>57</v>
      </c>
      <c r="S156" s="374"/>
      <c r="T156" s="377">
        <v>210</v>
      </c>
      <c r="U156" s="373">
        <v>191</v>
      </c>
      <c r="V156" s="373">
        <v>191</v>
      </c>
      <c r="W156" s="373">
        <v>221</v>
      </c>
      <c r="X156" s="373">
        <v>280</v>
      </c>
      <c r="Y156" s="373">
        <v>344</v>
      </c>
      <c r="Z156" s="373">
        <v>260</v>
      </c>
      <c r="AA156" s="618">
        <v>183</v>
      </c>
      <c r="AB156" s="374"/>
      <c r="AC156" s="377">
        <v>673</v>
      </c>
      <c r="AD156" s="373">
        <v>639</v>
      </c>
      <c r="AE156" s="373">
        <v>518</v>
      </c>
      <c r="AF156" s="373">
        <v>532</v>
      </c>
      <c r="AG156" s="373">
        <v>873</v>
      </c>
      <c r="AH156" s="373">
        <v>615</v>
      </c>
      <c r="AI156" s="373">
        <v>578</v>
      </c>
      <c r="AJ156" s="618">
        <v>481</v>
      </c>
      <c r="AK156" s="374"/>
      <c r="AL156" s="377">
        <v>35</v>
      </c>
      <c r="AM156" s="373">
        <v>37</v>
      </c>
      <c r="AN156" s="373">
        <v>31</v>
      </c>
      <c r="AO156" s="373">
        <v>25</v>
      </c>
      <c r="AP156" s="373">
        <v>50</v>
      </c>
      <c r="AQ156" s="373">
        <v>48</v>
      </c>
      <c r="AR156" s="373">
        <v>32</v>
      </c>
      <c r="AS156" s="618">
        <v>48</v>
      </c>
      <c r="AT156" s="374"/>
      <c r="AU156" s="377"/>
      <c r="AV156" s="373"/>
      <c r="AW156" s="373"/>
      <c r="AX156" s="373"/>
      <c r="AY156" s="373">
        <v>1</v>
      </c>
      <c r="AZ156" s="373"/>
      <c r="BA156" s="373"/>
      <c r="BB156" s="618"/>
      <c r="BC156" s="374"/>
      <c r="BD156" s="377">
        <f t="shared" si="17"/>
        <v>1019</v>
      </c>
      <c r="BE156" s="373">
        <f t="shared" si="18"/>
        <v>995</v>
      </c>
      <c r="BF156" s="373">
        <f t="shared" si="19"/>
        <v>826</v>
      </c>
      <c r="BG156" s="373">
        <f t="shared" si="20"/>
        <v>879</v>
      </c>
      <c r="BH156" s="373">
        <f t="shared" si="21"/>
        <v>1304</v>
      </c>
      <c r="BI156" s="373">
        <f t="shared" si="22"/>
        <v>1093</v>
      </c>
      <c r="BJ156" s="373">
        <f t="shared" si="23"/>
        <v>962</v>
      </c>
      <c r="BK156" s="618">
        <f t="shared" si="24"/>
        <v>770</v>
      </c>
      <c r="BL156" s="374">
        <f t="shared" si="24"/>
        <v>0</v>
      </c>
    </row>
    <row r="157" spans="1:64" x14ac:dyDescent="0.2">
      <c r="A157" s="365" t="s">
        <v>823</v>
      </c>
      <c r="B157" s="377"/>
      <c r="C157" s="373"/>
      <c r="D157" s="373"/>
      <c r="E157" s="373"/>
      <c r="F157" s="373"/>
      <c r="G157" s="373"/>
      <c r="H157" s="373"/>
      <c r="I157" s="618"/>
      <c r="J157" s="374"/>
      <c r="K157" s="377">
        <v>12</v>
      </c>
      <c r="L157" s="373">
        <v>21</v>
      </c>
      <c r="M157" s="373">
        <v>5</v>
      </c>
      <c r="N157" s="373">
        <v>5</v>
      </c>
      <c r="O157" s="373">
        <v>9</v>
      </c>
      <c r="P157" s="373">
        <v>15</v>
      </c>
      <c r="Q157" s="373">
        <v>14</v>
      </c>
      <c r="R157" s="618">
        <v>16</v>
      </c>
      <c r="S157" s="374"/>
      <c r="T157" s="377">
        <v>39</v>
      </c>
      <c r="U157" s="373">
        <v>71</v>
      </c>
      <c r="V157" s="373">
        <v>47</v>
      </c>
      <c r="W157" s="373">
        <v>113</v>
      </c>
      <c r="X157" s="373">
        <v>39</v>
      </c>
      <c r="Y157" s="373">
        <v>23</v>
      </c>
      <c r="Z157" s="373">
        <v>21</v>
      </c>
      <c r="AA157" s="618">
        <v>23</v>
      </c>
      <c r="AB157" s="374"/>
      <c r="AC157" s="377">
        <v>150</v>
      </c>
      <c r="AD157" s="373">
        <v>239</v>
      </c>
      <c r="AE157" s="373">
        <v>141</v>
      </c>
      <c r="AF157" s="373">
        <v>338</v>
      </c>
      <c r="AG157" s="373">
        <v>193</v>
      </c>
      <c r="AH157" s="373">
        <v>137</v>
      </c>
      <c r="AI157" s="373">
        <v>128</v>
      </c>
      <c r="AJ157" s="618">
        <v>110</v>
      </c>
      <c r="AK157" s="374"/>
      <c r="AL157" s="377">
        <v>3</v>
      </c>
      <c r="AM157" s="373">
        <v>21</v>
      </c>
      <c r="AN157" s="373">
        <v>13</v>
      </c>
      <c r="AO157" s="373">
        <v>12</v>
      </c>
      <c r="AP157" s="373">
        <v>14</v>
      </c>
      <c r="AQ157" s="373">
        <v>13</v>
      </c>
      <c r="AR157" s="373">
        <v>18</v>
      </c>
      <c r="AS157" s="618">
        <v>23</v>
      </c>
      <c r="AT157" s="374"/>
      <c r="AU157" s="377"/>
      <c r="AV157" s="373"/>
      <c r="AW157" s="373"/>
      <c r="AX157" s="373"/>
      <c r="AY157" s="373">
        <v>1</v>
      </c>
      <c r="AZ157" s="373"/>
      <c r="BA157" s="373"/>
      <c r="BB157" s="618"/>
      <c r="BC157" s="374"/>
      <c r="BD157" s="377">
        <f t="shared" si="17"/>
        <v>204</v>
      </c>
      <c r="BE157" s="373">
        <f t="shared" si="18"/>
        <v>352</v>
      </c>
      <c r="BF157" s="373">
        <f t="shared" si="19"/>
        <v>206</v>
      </c>
      <c r="BG157" s="373">
        <f t="shared" si="20"/>
        <v>468</v>
      </c>
      <c r="BH157" s="373">
        <f t="shared" si="21"/>
        <v>256</v>
      </c>
      <c r="BI157" s="373">
        <f t="shared" si="22"/>
        <v>188</v>
      </c>
      <c r="BJ157" s="373">
        <f t="shared" si="23"/>
        <v>181</v>
      </c>
      <c r="BK157" s="618">
        <f t="shared" si="24"/>
        <v>172</v>
      </c>
      <c r="BL157" s="374">
        <f t="shared" si="24"/>
        <v>0</v>
      </c>
    </row>
    <row r="158" spans="1:64" x14ac:dyDescent="0.2">
      <c r="A158" s="365" t="s">
        <v>744</v>
      </c>
      <c r="B158" s="377"/>
      <c r="C158" s="373"/>
      <c r="D158" s="373"/>
      <c r="E158" s="373"/>
      <c r="F158" s="373"/>
      <c r="G158" s="373"/>
      <c r="H158" s="373"/>
      <c r="I158" s="618"/>
      <c r="J158" s="374"/>
      <c r="K158" s="377">
        <v>101</v>
      </c>
      <c r="L158" s="373">
        <v>106</v>
      </c>
      <c r="M158" s="373">
        <v>125</v>
      </c>
      <c r="N158" s="373">
        <v>133</v>
      </c>
      <c r="O158" s="373">
        <v>80</v>
      </c>
      <c r="P158" s="373">
        <v>117</v>
      </c>
      <c r="Q158" s="373">
        <v>142</v>
      </c>
      <c r="R158" s="618">
        <v>79</v>
      </c>
      <c r="S158" s="374"/>
      <c r="T158" s="377">
        <v>172</v>
      </c>
      <c r="U158" s="373">
        <v>190</v>
      </c>
      <c r="V158" s="373">
        <v>156</v>
      </c>
      <c r="W158" s="373">
        <v>178</v>
      </c>
      <c r="X158" s="373">
        <v>174</v>
      </c>
      <c r="Y158" s="373">
        <v>193</v>
      </c>
      <c r="Z158" s="373">
        <v>198</v>
      </c>
      <c r="AA158" s="618">
        <v>157</v>
      </c>
      <c r="AB158" s="374"/>
      <c r="AC158" s="377">
        <v>368</v>
      </c>
      <c r="AD158" s="373">
        <v>377</v>
      </c>
      <c r="AE158" s="373">
        <v>309</v>
      </c>
      <c r="AF158" s="373">
        <v>352</v>
      </c>
      <c r="AG158" s="373">
        <v>329</v>
      </c>
      <c r="AH158" s="373">
        <v>347</v>
      </c>
      <c r="AI158" s="373">
        <v>480</v>
      </c>
      <c r="AJ158" s="618">
        <v>368</v>
      </c>
      <c r="AK158" s="374"/>
      <c r="AL158" s="377">
        <v>15</v>
      </c>
      <c r="AM158" s="373">
        <v>22</v>
      </c>
      <c r="AN158" s="373">
        <v>16</v>
      </c>
      <c r="AO158" s="373">
        <v>10</v>
      </c>
      <c r="AP158" s="373">
        <v>24</v>
      </c>
      <c r="AQ158" s="373">
        <v>26</v>
      </c>
      <c r="AR158" s="373">
        <v>35</v>
      </c>
      <c r="AS158" s="618">
        <v>24</v>
      </c>
      <c r="AT158" s="374"/>
      <c r="AU158" s="377"/>
      <c r="AV158" s="373"/>
      <c r="AW158" s="373"/>
      <c r="AX158" s="373"/>
      <c r="AY158" s="373">
        <v>1</v>
      </c>
      <c r="AZ158" s="373"/>
      <c r="BA158" s="373"/>
      <c r="BB158" s="618"/>
      <c r="BC158" s="374"/>
      <c r="BD158" s="377">
        <f t="shared" si="17"/>
        <v>656</v>
      </c>
      <c r="BE158" s="373">
        <f t="shared" si="18"/>
        <v>695</v>
      </c>
      <c r="BF158" s="373">
        <f t="shared" si="19"/>
        <v>606</v>
      </c>
      <c r="BG158" s="373">
        <f t="shared" si="20"/>
        <v>673</v>
      </c>
      <c r="BH158" s="373">
        <f t="shared" si="21"/>
        <v>608</v>
      </c>
      <c r="BI158" s="373">
        <f t="shared" si="22"/>
        <v>683</v>
      </c>
      <c r="BJ158" s="373">
        <f t="shared" si="23"/>
        <v>855</v>
      </c>
      <c r="BK158" s="618">
        <f t="shared" si="24"/>
        <v>628</v>
      </c>
      <c r="BL158" s="374">
        <f t="shared" si="24"/>
        <v>0</v>
      </c>
    </row>
    <row r="159" spans="1:64" x14ac:dyDescent="0.2">
      <c r="A159" s="365" t="s">
        <v>745</v>
      </c>
      <c r="B159" s="377"/>
      <c r="C159" s="373"/>
      <c r="D159" s="373"/>
      <c r="E159" s="373"/>
      <c r="F159" s="373"/>
      <c r="G159" s="373"/>
      <c r="H159" s="373">
        <v>1</v>
      </c>
      <c r="I159" s="618"/>
      <c r="J159" s="374"/>
      <c r="K159" s="377">
        <v>32</v>
      </c>
      <c r="L159" s="373">
        <v>19</v>
      </c>
      <c r="M159" s="373">
        <v>28</v>
      </c>
      <c r="N159" s="373">
        <v>32</v>
      </c>
      <c r="O159" s="373">
        <v>21</v>
      </c>
      <c r="P159" s="373">
        <v>28</v>
      </c>
      <c r="Q159" s="373">
        <v>46</v>
      </c>
      <c r="R159" s="618">
        <v>32</v>
      </c>
      <c r="S159" s="374"/>
      <c r="T159" s="377">
        <v>58</v>
      </c>
      <c r="U159" s="373">
        <v>64</v>
      </c>
      <c r="V159" s="373">
        <v>64</v>
      </c>
      <c r="W159" s="373">
        <v>55</v>
      </c>
      <c r="X159" s="373">
        <v>73</v>
      </c>
      <c r="Y159" s="373">
        <v>58</v>
      </c>
      <c r="Z159" s="373">
        <v>76</v>
      </c>
      <c r="AA159" s="618">
        <v>69</v>
      </c>
      <c r="AB159" s="374"/>
      <c r="AC159" s="377">
        <v>215</v>
      </c>
      <c r="AD159" s="373">
        <v>236</v>
      </c>
      <c r="AE159" s="373">
        <v>197</v>
      </c>
      <c r="AF159" s="373">
        <v>174</v>
      </c>
      <c r="AG159" s="373">
        <v>195</v>
      </c>
      <c r="AH159" s="373">
        <v>222</v>
      </c>
      <c r="AI159" s="373">
        <v>214</v>
      </c>
      <c r="AJ159" s="618">
        <v>166</v>
      </c>
      <c r="AK159" s="374"/>
      <c r="AL159" s="377">
        <v>9</v>
      </c>
      <c r="AM159" s="373">
        <v>15</v>
      </c>
      <c r="AN159" s="373">
        <v>6</v>
      </c>
      <c r="AO159" s="373">
        <v>17</v>
      </c>
      <c r="AP159" s="373">
        <v>15</v>
      </c>
      <c r="AQ159" s="373">
        <v>20</v>
      </c>
      <c r="AR159" s="373">
        <v>21</v>
      </c>
      <c r="AS159" s="618">
        <v>24</v>
      </c>
      <c r="AT159" s="374"/>
      <c r="AU159" s="377"/>
      <c r="AV159" s="373"/>
      <c r="AW159" s="373"/>
      <c r="AX159" s="373"/>
      <c r="AY159" s="373"/>
      <c r="AZ159" s="373"/>
      <c r="BA159" s="373"/>
      <c r="BB159" s="618"/>
      <c r="BC159" s="374"/>
      <c r="BD159" s="377">
        <f t="shared" si="17"/>
        <v>314</v>
      </c>
      <c r="BE159" s="373">
        <f t="shared" si="18"/>
        <v>334</v>
      </c>
      <c r="BF159" s="373">
        <f t="shared" si="19"/>
        <v>295</v>
      </c>
      <c r="BG159" s="373">
        <f t="shared" si="20"/>
        <v>278</v>
      </c>
      <c r="BH159" s="373">
        <f t="shared" si="21"/>
        <v>304</v>
      </c>
      <c r="BI159" s="373">
        <f t="shared" si="22"/>
        <v>328</v>
      </c>
      <c r="BJ159" s="373">
        <f t="shared" si="23"/>
        <v>358</v>
      </c>
      <c r="BK159" s="618">
        <f t="shared" si="24"/>
        <v>291</v>
      </c>
      <c r="BL159" s="374">
        <f t="shared" si="24"/>
        <v>0</v>
      </c>
    </row>
    <row r="160" spans="1:64" x14ac:dyDescent="0.2">
      <c r="A160" s="365" t="s">
        <v>746</v>
      </c>
      <c r="B160" s="377"/>
      <c r="C160" s="373"/>
      <c r="D160" s="373"/>
      <c r="E160" s="373"/>
      <c r="F160" s="373"/>
      <c r="G160" s="373"/>
      <c r="H160" s="373"/>
      <c r="I160" s="618"/>
      <c r="J160" s="374"/>
      <c r="K160" s="377">
        <v>33</v>
      </c>
      <c r="L160" s="373">
        <v>34</v>
      </c>
      <c r="M160" s="373">
        <v>29</v>
      </c>
      <c r="N160" s="373">
        <v>34</v>
      </c>
      <c r="O160" s="373">
        <v>15</v>
      </c>
      <c r="P160" s="373">
        <v>17</v>
      </c>
      <c r="Q160" s="373">
        <v>14</v>
      </c>
      <c r="R160" s="618">
        <v>13</v>
      </c>
      <c r="S160" s="374"/>
      <c r="T160" s="377">
        <v>80</v>
      </c>
      <c r="U160" s="373">
        <v>92</v>
      </c>
      <c r="V160" s="373">
        <v>58</v>
      </c>
      <c r="W160" s="373">
        <v>71</v>
      </c>
      <c r="X160" s="373">
        <v>61</v>
      </c>
      <c r="Y160" s="373">
        <v>54</v>
      </c>
      <c r="Z160" s="373">
        <v>59</v>
      </c>
      <c r="AA160" s="618">
        <v>40</v>
      </c>
      <c r="AB160" s="374"/>
      <c r="AC160" s="377">
        <v>239</v>
      </c>
      <c r="AD160" s="373">
        <v>202</v>
      </c>
      <c r="AE160" s="373">
        <v>194</v>
      </c>
      <c r="AF160" s="373">
        <v>207</v>
      </c>
      <c r="AG160" s="373">
        <v>192</v>
      </c>
      <c r="AH160" s="373">
        <v>175</v>
      </c>
      <c r="AI160" s="373">
        <v>167</v>
      </c>
      <c r="AJ160" s="618">
        <v>114</v>
      </c>
      <c r="AK160" s="374"/>
      <c r="AL160" s="377">
        <v>17</v>
      </c>
      <c r="AM160" s="373">
        <v>13</v>
      </c>
      <c r="AN160" s="373">
        <v>12</v>
      </c>
      <c r="AO160" s="373">
        <v>13</v>
      </c>
      <c r="AP160" s="373">
        <v>10</v>
      </c>
      <c r="AQ160" s="373">
        <v>17</v>
      </c>
      <c r="AR160" s="373">
        <v>10</v>
      </c>
      <c r="AS160" s="618">
        <v>12</v>
      </c>
      <c r="AT160" s="374"/>
      <c r="AU160" s="377"/>
      <c r="AV160" s="373"/>
      <c r="AW160" s="373"/>
      <c r="AX160" s="373"/>
      <c r="AY160" s="373"/>
      <c r="AZ160" s="373"/>
      <c r="BA160" s="373"/>
      <c r="BB160" s="618"/>
      <c r="BC160" s="374"/>
      <c r="BD160" s="377">
        <f t="shared" si="17"/>
        <v>369</v>
      </c>
      <c r="BE160" s="373">
        <f t="shared" si="18"/>
        <v>341</v>
      </c>
      <c r="BF160" s="373">
        <f t="shared" si="19"/>
        <v>293</v>
      </c>
      <c r="BG160" s="373">
        <f t="shared" si="20"/>
        <v>325</v>
      </c>
      <c r="BH160" s="373">
        <f t="shared" si="21"/>
        <v>278</v>
      </c>
      <c r="BI160" s="373">
        <f t="shared" si="22"/>
        <v>263</v>
      </c>
      <c r="BJ160" s="373">
        <f t="shared" si="23"/>
        <v>250</v>
      </c>
      <c r="BK160" s="618">
        <f t="shared" si="24"/>
        <v>179</v>
      </c>
      <c r="BL160" s="374">
        <f t="shared" si="24"/>
        <v>0</v>
      </c>
    </row>
    <row r="161" spans="1:64" x14ac:dyDescent="0.2">
      <c r="A161" s="365" t="s">
        <v>742</v>
      </c>
      <c r="B161" s="377"/>
      <c r="C161" s="373"/>
      <c r="D161" s="373"/>
      <c r="E161" s="373"/>
      <c r="F161" s="373"/>
      <c r="G161" s="373"/>
      <c r="H161" s="373">
        <v>1</v>
      </c>
      <c r="I161" s="618">
        <v>1</v>
      </c>
      <c r="J161" s="374"/>
      <c r="K161" s="377">
        <v>147</v>
      </c>
      <c r="L161" s="373">
        <v>190</v>
      </c>
      <c r="M161" s="373">
        <v>180</v>
      </c>
      <c r="N161" s="373">
        <v>111</v>
      </c>
      <c r="O161" s="373">
        <v>95</v>
      </c>
      <c r="P161" s="373">
        <v>77</v>
      </c>
      <c r="Q161" s="373">
        <v>85</v>
      </c>
      <c r="R161" s="618">
        <v>75</v>
      </c>
      <c r="S161" s="374"/>
      <c r="T161" s="377">
        <v>321</v>
      </c>
      <c r="U161" s="373">
        <v>364</v>
      </c>
      <c r="V161" s="373">
        <v>249</v>
      </c>
      <c r="W161" s="373">
        <v>226</v>
      </c>
      <c r="X161" s="373">
        <v>202</v>
      </c>
      <c r="Y161" s="373">
        <v>212</v>
      </c>
      <c r="Z161" s="373">
        <v>165</v>
      </c>
      <c r="AA161" s="618">
        <v>138</v>
      </c>
      <c r="AB161" s="374"/>
      <c r="AC161" s="377">
        <v>777</v>
      </c>
      <c r="AD161" s="373">
        <v>838</v>
      </c>
      <c r="AE161" s="373">
        <v>656</v>
      </c>
      <c r="AF161" s="373">
        <v>553</v>
      </c>
      <c r="AG161" s="373">
        <v>617</v>
      </c>
      <c r="AH161" s="373">
        <v>530</v>
      </c>
      <c r="AI161" s="373">
        <v>532</v>
      </c>
      <c r="AJ161" s="618">
        <v>492</v>
      </c>
      <c r="AK161" s="374"/>
      <c r="AL161" s="377">
        <v>44</v>
      </c>
      <c r="AM161" s="373">
        <v>47</v>
      </c>
      <c r="AN161" s="373">
        <v>48</v>
      </c>
      <c r="AO161" s="373">
        <v>43</v>
      </c>
      <c r="AP161" s="373">
        <v>36</v>
      </c>
      <c r="AQ161" s="373">
        <v>31</v>
      </c>
      <c r="AR161" s="373">
        <v>40</v>
      </c>
      <c r="AS161" s="618">
        <v>57</v>
      </c>
      <c r="AT161" s="374"/>
      <c r="AU161" s="377"/>
      <c r="AV161" s="373"/>
      <c r="AW161" s="373"/>
      <c r="AX161" s="373"/>
      <c r="AY161" s="373">
        <v>2</v>
      </c>
      <c r="AZ161" s="373">
        <v>2</v>
      </c>
      <c r="BA161" s="373"/>
      <c r="BB161" s="618"/>
      <c r="BC161" s="374"/>
      <c r="BD161" s="377">
        <f t="shared" si="17"/>
        <v>1289</v>
      </c>
      <c r="BE161" s="373">
        <f t="shared" si="18"/>
        <v>1439</v>
      </c>
      <c r="BF161" s="373">
        <f t="shared" si="19"/>
        <v>1133</v>
      </c>
      <c r="BG161" s="373">
        <f t="shared" si="20"/>
        <v>933</v>
      </c>
      <c r="BH161" s="373">
        <f t="shared" si="21"/>
        <v>952</v>
      </c>
      <c r="BI161" s="373">
        <f t="shared" si="22"/>
        <v>852</v>
      </c>
      <c r="BJ161" s="373">
        <f t="shared" si="23"/>
        <v>823</v>
      </c>
      <c r="BK161" s="618">
        <f t="shared" si="24"/>
        <v>763</v>
      </c>
      <c r="BL161" s="374">
        <f t="shared" si="24"/>
        <v>0</v>
      </c>
    </row>
    <row r="162" spans="1:64" x14ac:dyDescent="0.2">
      <c r="A162" s="365" t="s">
        <v>747</v>
      </c>
      <c r="B162" s="377"/>
      <c r="C162" s="373"/>
      <c r="D162" s="373"/>
      <c r="E162" s="373"/>
      <c r="F162" s="373"/>
      <c r="G162" s="373"/>
      <c r="H162" s="373"/>
      <c r="I162" s="618"/>
      <c r="J162" s="374"/>
      <c r="K162" s="377">
        <v>58</v>
      </c>
      <c r="L162" s="373">
        <v>52</v>
      </c>
      <c r="M162" s="373">
        <v>42</v>
      </c>
      <c r="N162" s="373">
        <v>57</v>
      </c>
      <c r="O162" s="373">
        <v>39</v>
      </c>
      <c r="P162" s="373">
        <v>42</v>
      </c>
      <c r="Q162" s="373">
        <v>18</v>
      </c>
      <c r="R162" s="618">
        <v>13</v>
      </c>
      <c r="S162" s="374"/>
      <c r="T162" s="377">
        <v>95</v>
      </c>
      <c r="U162" s="373">
        <v>101</v>
      </c>
      <c r="V162" s="373">
        <v>84</v>
      </c>
      <c r="W162" s="373">
        <v>110</v>
      </c>
      <c r="X162" s="373">
        <v>98</v>
      </c>
      <c r="Y162" s="373">
        <v>92</v>
      </c>
      <c r="Z162" s="373">
        <v>43</v>
      </c>
      <c r="AA162" s="618">
        <v>26</v>
      </c>
      <c r="AB162" s="374"/>
      <c r="AC162" s="377">
        <v>187</v>
      </c>
      <c r="AD162" s="373">
        <v>280</v>
      </c>
      <c r="AE162" s="373">
        <v>159</v>
      </c>
      <c r="AF162" s="373">
        <v>178</v>
      </c>
      <c r="AG162" s="373">
        <v>200</v>
      </c>
      <c r="AH162" s="373">
        <v>181</v>
      </c>
      <c r="AI162" s="373">
        <v>99</v>
      </c>
      <c r="AJ162" s="618">
        <v>100</v>
      </c>
      <c r="AK162" s="374"/>
      <c r="AL162" s="377">
        <v>11</v>
      </c>
      <c r="AM162" s="373">
        <v>6</v>
      </c>
      <c r="AN162" s="373">
        <v>9</v>
      </c>
      <c r="AO162" s="373">
        <v>13</v>
      </c>
      <c r="AP162" s="373">
        <v>12</v>
      </c>
      <c r="AQ162" s="373">
        <v>13</v>
      </c>
      <c r="AR162" s="373">
        <v>17</v>
      </c>
      <c r="AS162" s="618">
        <v>7</v>
      </c>
      <c r="AT162" s="374"/>
      <c r="AU162" s="377"/>
      <c r="AV162" s="373"/>
      <c r="AW162" s="373"/>
      <c r="AX162" s="373"/>
      <c r="AY162" s="373"/>
      <c r="AZ162" s="373"/>
      <c r="BA162" s="373"/>
      <c r="BB162" s="618"/>
      <c r="BC162" s="374"/>
      <c r="BD162" s="377">
        <f t="shared" si="17"/>
        <v>351</v>
      </c>
      <c r="BE162" s="373">
        <f t="shared" si="18"/>
        <v>439</v>
      </c>
      <c r="BF162" s="373">
        <f t="shared" si="19"/>
        <v>294</v>
      </c>
      <c r="BG162" s="373">
        <f t="shared" si="20"/>
        <v>358</v>
      </c>
      <c r="BH162" s="373">
        <f t="shared" si="21"/>
        <v>349</v>
      </c>
      <c r="BI162" s="373">
        <f t="shared" si="22"/>
        <v>328</v>
      </c>
      <c r="BJ162" s="373">
        <f t="shared" si="23"/>
        <v>177</v>
      </c>
      <c r="BK162" s="618">
        <f t="shared" si="24"/>
        <v>146</v>
      </c>
      <c r="BL162" s="374">
        <f t="shared" si="24"/>
        <v>0</v>
      </c>
    </row>
    <row r="163" spans="1:64" ht="13.5" thickBot="1" x14ac:dyDescent="0.25">
      <c r="A163" s="366" t="s">
        <v>748</v>
      </c>
      <c r="B163" s="378"/>
      <c r="C163" s="375"/>
      <c r="D163" s="375"/>
      <c r="E163" s="375"/>
      <c r="F163" s="375"/>
      <c r="G163" s="375"/>
      <c r="H163" s="375"/>
      <c r="I163" s="619"/>
      <c r="J163" s="376"/>
      <c r="K163" s="378">
        <v>56</v>
      </c>
      <c r="L163" s="375">
        <v>43</v>
      </c>
      <c r="M163" s="375">
        <v>70</v>
      </c>
      <c r="N163" s="375">
        <v>71</v>
      </c>
      <c r="O163" s="375">
        <v>41</v>
      </c>
      <c r="P163" s="375">
        <v>54</v>
      </c>
      <c r="Q163" s="375">
        <v>36</v>
      </c>
      <c r="R163" s="619">
        <v>39</v>
      </c>
      <c r="S163" s="376"/>
      <c r="T163" s="378">
        <v>97</v>
      </c>
      <c r="U163" s="375">
        <v>97</v>
      </c>
      <c r="V163" s="375">
        <v>102</v>
      </c>
      <c r="W163" s="375">
        <v>127</v>
      </c>
      <c r="X163" s="375">
        <v>102</v>
      </c>
      <c r="Y163" s="375">
        <v>134</v>
      </c>
      <c r="Z163" s="375">
        <v>107</v>
      </c>
      <c r="AA163" s="619">
        <v>84</v>
      </c>
      <c r="AB163" s="376"/>
      <c r="AC163" s="378">
        <v>233</v>
      </c>
      <c r="AD163" s="375">
        <v>281</v>
      </c>
      <c r="AE163" s="375">
        <v>242</v>
      </c>
      <c r="AF163" s="375">
        <v>223</v>
      </c>
      <c r="AG163" s="375">
        <v>253</v>
      </c>
      <c r="AH163" s="375">
        <v>234</v>
      </c>
      <c r="AI163" s="375">
        <v>227</v>
      </c>
      <c r="AJ163" s="619">
        <v>189</v>
      </c>
      <c r="AK163" s="376"/>
      <c r="AL163" s="378">
        <v>15</v>
      </c>
      <c r="AM163" s="375">
        <v>17</v>
      </c>
      <c r="AN163" s="375">
        <v>9</v>
      </c>
      <c r="AO163" s="375">
        <v>18</v>
      </c>
      <c r="AP163" s="375">
        <v>16</v>
      </c>
      <c r="AQ163" s="375">
        <v>24</v>
      </c>
      <c r="AR163" s="375">
        <v>20</v>
      </c>
      <c r="AS163" s="619">
        <v>22</v>
      </c>
      <c r="AT163" s="376"/>
      <c r="AU163" s="378"/>
      <c r="AV163" s="375"/>
      <c r="AW163" s="375"/>
      <c r="AX163" s="375"/>
      <c r="AY163" s="375">
        <v>1</v>
      </c>
      <c r="AZ163" s="375"/>
      <c r="BA163" s="375"/>
      <c r="BB163" s="619"/>
      <c r="BC163" s="376"/>
      <c r="BD163" s="378">
        <f t="shared" si="17"/>
        <v>401</v>
      </c>
      <c r="BE163" s="375">
        <f t="shared" si="18"/>
        <v>438</v>
      </c>
      <c r="BF163" s="375">
        <f t="shared" si="19"/>
        <v>423</v>
      </c>
      <c r="BG163" s="375">
        <f t="shared" si="20"/>
        <v>439</v>
      </c>
      <c r="BH163" s="375">
        <f t="shared" si="21"/>
        <v>413</v>
      </c>
      <c r="BI163" s="375">
        <f t="shared" si="22"/>
        <v>446</v>
      </c>
      <c r="BJ163" s="375">
        <f t="shared" si="23"/>
        <v>390</v>
      </c>
      <c r="BK163" s="619">
        <f t="shared" si="24"/>
        <v>334</v>
      </c>
      <c r="BL163" s="376">
        <f t="shared" si="24"/>
        <v>0</v>
      </c>
    </row>
    <row r="164" spans="1:64" s="264" customFormat="1" x14ac:dyDescent="0.2">
      <c r="A164" s="364" t="s">
        <v>792</v>
      </c>
      <c r="B164" s="379"/>
      <c r="C164" s="380"/>
      <c r="D164" s="380"/>
      <c r="E164" s="380"/>
      <c r="F164" s="380"/>
      <c r="G164" s="380"/>
      <c r="H164" s="380"/>
      <c r="I164" s="617">
        <v>1</v>
      </c>
      <c r="J164" s="381"/>
      <c r="K164" s="379">
        <v>367</v>
      </c>
      <c r="L164" s="380">
        <v>318</v>
      </c>
      <c r="M164" s="380">
        <v>263</v>
      </c>
      <c r="N164" s="380">
        <v>259</v>
      </c>
      <c r="O164" s="380">
        <v>201</v>
      </c>
      <c r="P164" s="380">
        <v>195</v>
      </c>
      <c r="Q164" s="380">
        <v>175</v>
      </c>
      <c r="R164" s="617">
        <v>172</v>
      </c>
      <c r="S164" s="381"/>
      <c r="T164" s="379">
        <v>795</v>
      </c>
      <c r="U164" s="380">
        <v>572</v>
      </c>
      <c r="V164" s="380">
        <v>501</v>
      </c>
      <c r="W164" s="380">
        <v>539</v>
      </c>
      <c r="X164" s="380">
        <v>470</v>
      </c>
      <c r="Y164" s="380">
        <v>406</v>
      </c>
      <c r="Z164" s="380">
        <v>439</v>
      </c>
      <c r="AA164" s="617">
        <v>381</v>
      </c>
      <c r="AB164" s="381"/>
      <c r="AC164" s="379">
        <v>2090</v>
      </c>
      <c r="AD164" s="380">
        <v>1892</v>
      </c>
      <c r="AE164" s="380">
        <v>1487</v>
      </c>
      <c r="AF164" s="380">
        <v>1352</v>
      </c>
      <c r="AG164" s="380">
        <v>1361</v>
      </c>
      <c r="AH164" s="380">
        <v>1159</v>
      </c>
      <c r="AI164" s="380">
        <v>1121</v>
      </c>
      <c r="AJ164" s="617">
        <v>1126</v>
      </c>
      <c r="AK164" s="381"/>
      <c r="AL164" s="379">
        <v>104</v>
      </c>
      <c r="AM164" s="380">
        <v>75</v>
      </c>
      <c r="AN164" s="380">
        <v>116</v>
      </c>
      <c r="AO164" s="380">
        <v>89</v>
      </c>
      <c r="AP164" s="380">
        <v>146</v>
      </c>
      <c r="AQ164" s="380">
        <v>119</v>
      </c>
      <c r="AR164" s="380">
        <v>124</v>
      </c>
      <c r="AS164" s="617">
        <v>162</v>
      </c>
      <c r="AT164" s="381"/>
      <c r="AU164" s="379"/>
      <c r="AV164" s="380"/>
      <c r="AW164" s="380"/>
      <c r="AX164" s="380"/>
      <c r="AY164" s="380">
        <v>7</v>
      </c>
      <c r="AZ164" s="380"/>
      <c r="BA164" s="380"/>
      <c r="BB164" s="617"/>
      <c r="BC164" s="381"/>
      <c r="BD164" s="379">
        <f t="shared" si="17"/>
        <v>3356</v>
      </c>
      <c r="BE164" s="380">
        <f t="shared" si="18"/>
        <v>2857</v>
      </c>
      <c r="BF164" s="380">
        <f t="shared" si="19"/>
        <v>2367</v>
      </c>
      <c r="BG164" s="380">
        <f t="shared" si="20"/>
        <v>2239</v>
      </c>
      <c r="BH164" s="380">
        <f t="shared" si="21"/>
        <v>2185</v>
      </c>
      <c r="BI164" s="380">
        <f t="shared" si="22"/>
        <v>1879</v>
      </c>
      <c r="BJ164" s="380">
        <f t="shared" si="23"/>
        <v>1859</v>
      </c>
      <c r="BK164" s="617">
        <f t="shared" si="24"/>
        <v>1842</v>
      </c>
      <c r="BL164" s="381">
        <f t="shared" si="24"/>
        <v>0</v>
      </c>
    </row>
    <row r="165" spans="1:64" x14ac:dyDescent="0.2">
      <c r="A165" s="365" t="s">
        <v>751</v>
      </c>
      <c r="B165" s="377"/>
      <c r="C165" s="373"/>
      <c r="D165" s="373"/>
      <c r="E165" s="373"/>
      <c r="F165" s="373"/>
      <c r="G165" s="373"/>
      <c r="H165" s="373"/>
      <c r="I165" s="618"/>
      <c r="J165" s="374"/>
      <c r="K165" s="377">
        <v>54</v>
      </c>
      <c r="L165" s="373">
        <v>28</v>
      </c>
      <c r="M165" s="373">
        <v>29</v>
      </c>
      <c r="N165" s="373">
        <v>17</v>
      </c>
      <c r="O165" s="373">
        <v>19</v>
      </c>
      <c r="P165" s="373">
        <v>12</v>
      </c>
      <c r="Q165" s="373">
        <v>24</v>
      </c>
      <c r="R165" s="618">
        <v>20</v>
      </c>
      <c r="S165" s="374"/>
      <c r="T165" s="377">
        <v>89</v>
      </c>
      <c r="U165" s="373">
        <v>62</v>
      </c>
      <c r="V165" s="373">
        <v>56</v>
      </c>
      <c r="W165" s="373">
        <v>55</v>
      </c>
      <c r="X165" s="373">
        <v>57</v>
      </c>
      <c r="Y165" s="373">
        <v>22</v>
      </c>
      <c r="Z165" s="373">
        <v>32</v>
      </c>
      <c r="AA165" s="618">
        <v>28</v>
      </c>
      <c r="AB165" s="374"/>
      <c r="AC165" s="377">
        <v>251</v>
      </c>
      <c r="AD165" s="373">
        <v>146</v>
      </c>
      <c r="AE165" s="373">
        <v>167</v>
      </c>
      <c r="AF165" s="373">
        <v>156</v>
      </c>
      <c r="AG165" s="373">
        <v>175</v>
      </c>
      <c r="AH165" s="373">
        <v>122</v>
      </c>
      <c r="AI165" s="373">
        <v>131</v>
      </c>
      <c r="AJ165" s="618">
        <v>123</v>
      </c>
      <c r="AK165" s="374"/>
      <c r="AL165" s="377">
        <v>17</v>
      </c>
      <c r="AM165" s="373">
        <v>8</v>
      </c>
      <c r="AN165" s="373">
        <v>14</v>
      </c>
      <c r="AO165" s="373">
        <v>9</v>
      </c>
      <c r="AP165" s="373">
        <v>14</v>
      </c>
      <c r="AQ165" s="373">
        <v>15</v>
      </c>
      <c r="AR165" s="373">
        <v>17</v>
      </c>
      <c r="AS165" s="618">
        <v>23</v>
      </c>
      <c r="AT165" s="374"/>
      <c r="AU165" s="377"/>
      <c r="AV165" s="373"/>
      <c r="AW165" s="373"/>
      <c r="AX165" s="373"/>
      <c r="AY165" s="373">
        <v>2</v>
      </c>
      <c r="AZ165" s="373"/>
      <c r="BA165" s="373"/>
      <c r="BB165" s="618"/>
      <c r="BC165" s="374"/>
      <c r="BD165" s="377">
        <f t="shared" si="17"/>
        <v>411</v>
      </c>
      <c r="BE165" s="373">
        <f t="shared" si="18"/>
        <v>244</v>
      </c>
      <c r="BF165" s="373">
        <f t="shared" si="19"/>
        <v>266</v>
      </c>
      <c r="BG165" s="373">
        <f t="shared" si="20"/>
        <v>237</v>
      </c>
      <c r="BH165" s="373">
        <f t="shared" si="21"/>
        <v>267</v>
      </c>
      <c r="BI165" s="373">
        <f t="shared" si="22"/>
        <v>171</v>
      </c>
      <c r="BJ165" s="373">
        <f t="shared" si="23"/>
        <v>204</v>
      </c>
      <c r="BK165" s="618">
        <f t="shared" si="24"/>
        <v>194</v>
      </c>
      <c r="BL165" s="374">
        <f t="shared" si="24"/>
        <v>0</v>
      </c>
    </row>
    <row r="166" spans="1:64" x14ac:dyDescent="0.2">
      <c r="A166" s="365" t="s">
        <v>752</v>
      </c>
      <c r="B166" s="377"/>
      <c r="C166" s="373"/>
      <c r="D166" s="373"/>
      <c r="E166" s="373"/>
      <c r="F166" s="373"/>
      <c r="G166" s="373"/>
      <c r="H166" s="373"/>
      <c r="I166" s="618"/>
      <c r="J166" s="374"/>
      <c r="K166" s="377">
        <v>63</v>
      </c>
      <c r="L166" s="373">
        <v>62</v>
      </c>
      <c r="M166" s="373">
        <v>49</v>
      </c>
      <c r="N166" s="373">
        <v>49</v>
      </c>
      <c r="O166" s="373">
        <v>45</v>
      </c>
      <c r="P166" s="373">
        <v>31</v>
      </c>
      <c r="Q166" s="373">
        <v>26</v>
      </c>
      <c r="R166" s="618">
        <v>38</v>
      </c>
      <c r="S166" s="374"/>
      <c r="T166" s="377">
        <v>93</v>
      </c>
      <c r="U166" s="373">
        <v>109</v>
      </c>
      <c r="V166" s="373">
        <v>90</v>
      </c>
      <c r="W166" s="373">
        <v>100</v>
      </c>
      <c r="X166" s="373">
        <v>95</v>
      </c>
      <c r="Y166" s="373">
        <v>62</v>
      </c>
      <c r="Z166" s="373">
        <v>73</v>
      </c>
      <c r="AA166" s="618">
        <v>59</v>
      </c>
      <c r="AB166" s="374"/>
      <c r="AC166" s="377">
        <v>272</v>
      </c>
      <c r="AD166" s="373">
        <v>286</v>
      </c>
      <c r="AE166" s="373">
        <v>309</v>
      </c>
      <c r="AF166" s="373">
        <v>244</v>
      </c>
      <c r="AG166" s="373">
        <v>229</v>
      </c>
      <c r="AH166" s="373">
        <v>217</v>
      </c>
      <c r="AI166" s="373">
        <v>169</v>
      </c>
      <c r="AJ166" s="618">
        <v>191</v>
      </c>
      <c r="AK166" s="374"/>
      <c r="AL166" s="377">
        <v>19</v>
      </c>
      <c r="AM166" s="373">
        <v>16</v>
      </c>
      <c r="AN166" s="373">
        <v>24</v>
      </c>
      <c r="AO166" s="373">
        <v>17</v>
      </c>
      <c r="AP166" s="373">
        <v>13</v>
      </c>
      <c r="AQ166" s="373">
        <v>19</v>
      </c>
      <c r="AR166" s="373">
        <v>24</v>
      </c>
      <c r="AS166" s="618">
        <v>24</v>
      </c>
      <c r="AT166" s="374"/>
      <c r="AU166" s="377"/>
      <c r="AV166" s="373"/>
      <c r="AW166" s="373"/>
      <c r="AX166" s="373"/>
      <c r="AY166" s="373"/>
      <c r="AZ166" s="373"/>
      <c r="BA166" s="373"/>
      <c r="BB166" s="618"/>
      <c r="BC166" s="374"/>
      <c r="BD166" s="377">
        <f t="shared" si="17"/>
        <v>447</v>
      </c>
      <c r="BE166" s="373">
        <f t="shared" si="18"/>
        <v>473</v>
      </c>
      <c r="BF166" s="373">
        <f t="shared" si="19"/>
        <v>472</v>
      </c>
      <c r="BG166" s="373">
        <f t="shared" si="20"/>
        <v>410</v>
      </c>
      <c r="BH166" s="373">
        <f t="shared" si="21"/>
        <v>382</v>
      </c>
      <c r="BI166" s="373">
        <f t="shared" si="22"/>
        <v>329</v>
      </c>
      <c r="BJ166" s="373">
        <f t="shared" si="23"/>
        <v>292</v>
      </c>
      <c r="BK166" s="618">
        <f t="shared" si="24"/>
        <v>312</v>
      </c>
      <c r="BL166" s="374">
        <f t="shared" si="24"/>
        <v>0</v>
      </c>
    </row>
    <row r="167" spans="1:64" x14ac:dyDescent="0.2">
      <c r="A167" s="365" t="s">
        <v>753</v>
      </c>
      <c r="B167" s="377"/>
      <c r="C167" s="373"/>
      <c r="D167" s="373"/>
      <c r="E167" s="373"/>
      <c r="F167" s="373"/>
      <c r="G167" s="373"/>
      <c r="H167" s="373"/>
      <c r="I167" s="618"/>
      <c r="J167" s="374"/>
      <c r="K167" s="377">
        <v>69</v>
      </c>
      <c r="L167" s="373">
        <v>59</v>
      </c>
      <c r="M167" s="373">
        <v>37</v>
      </c>
      <c r="N167" s="373">
        <v>41</v>
      </c>
      <c r="O167" s="373">
        <v>33</v>
      </c>
      <c r="P167" s="373">
        <v>34</v>
      </c>
      <c r="Q167" s="373">
        <v>23</v>
      </c>
      <c r="R167" s="618">
        <v>26</v>
      </c>
      <c r="S167" s="374"/>
      <c r="T167" s="377">
        <v>129</v>
      </c>
      <c r="U167" s="373">
        <v>90</v>
      </c>
      <c r="V167" s="373">
        <v>101</v>
      </c>
      <c r="W167" s="373">
        <v>132</v>
      </c>
      <c r="X167" s="373">
        <v>76</v>
      </c>
      <c r="Y167" s="373">
        <v>76</v>
      </c>
      <c r="Z167" s="373">
        <v>64</v>
      </c>
      <c r="AA167" s="618">
        <v>69</v>
      </c>
      <c r="AB167" s="374"/>
      <c r="AC167" s="377">
        <v>395</v>
      </c>
      <c r="AD167" s="373">
        <v>326</v>
      </c>
      <c r="AE167" s="373">
        <v>250</v>
      </c>
      <c r="AF167" s="373">
        <v>269</v>
      </c>
      <c r="AG167" s="373">
        <v>205</v>
      </c>
      <c r="AH167" s="373">
        <v>221</v>
      </c>
      <c r="AI167" s="373">
        <v>182</v>
      </c>
      <c r="AJ167" s="618">
        <v>214</v>
      </c>
      <c r="AK167" s="374"/>
      <c r="AL167" s="377">
        <v>17</v>
      </c>
      <c r="AM167" s="373">
        <v>9</v>
      </c>
      <c r="AN167" s="373">
        <v>21</v>
      </c>
      <c r="AO167" s="373">
        <v>23</v>
      </c>
      <c r="AP167" s="373">
        <v>32</v>
      </c>
      <c r="AQ167" s="373">
        <v>21</v>
      </c>
      <c r="AR167" s="373">
        <v>28</v>
      </c>
      <c r="AS167" s="618">
        <v>28</v>
      </c>
      <c r="AT167" s="374"/>
      <c r="AU167" s="377"/>
      <c r="AV167" s="373"/>
      <c r="AW167" s="373"/>
      <c r="AX167" s="373"/>
      <c r="AY167" s="373">
        <v>2</v>
      </c>
      <c r="AZ167" s="373"/>
      <c r="BA167" s="373"/>
      <c r="BB167" s="618"/>
      <c r="BC167" s="374"/>
      <c r="BD167" s="377">
        <f t="shared" si="17"/>
        <v>610</v>
      </c>
      <c r="BE167" s="373">
        <f t="shared" si="18"/>
        <v>484</v>
      </c>
      <c r="BF167" s="373">
        <f t="shared" si="19"/>
        <v>409</v>
      </c>
      <c r="BG167" s="373">
        <f t="shared" si="20"/>
        <v>465</v>
      </c>
      <c r="BH167" s="373">
        <f t="shared" si="21"/>
        <v>348</v>
      </c>
      <c r="BI167" s="373">
        <f t="shared" si="22"/>
        <v>352</v>
      </c>
      <c r="BJ167" s="373">
        <f t="shared" si="23"/>
        <v>297</v>
      </c>
      <c r="BK167" s="618">
        <f t="shared" si="24"/>
        <v>337</v>
      </c>
      <c r="BL167" s="374">
        <f t="shared" si="24"/>
        <v>0</v>
      </c>
    </row>
    <row r="168" spans="1:64" x14ac:dyDescent="0.2">
      <c r="A168" s="365" t="s">
        <v>750</v>
      </c>
      <c r="B168" s="377"/>
      <c r="C168" s="373"/>
      <c r="D168" s="373"/>
      <c r="E168" s="373"/>
      <c r="F168" s="373"/>
      <c r="G168" s="373"/>
      <c r="H168" s="373"/>
      <c r="I168" s="618"/>
      <c r="J168" s="374"/>
      <c r="K168" s="377">
        <v>124</v>
      </c>
      <c r="L168" s="373">
        <v>123</v>
      </c>
      <c r="M168" s="373">
        <v>113</v>
      </c>
      <c r="N168" s="373">
        <v>116</v>
      </c>
      <c r="O168" s="373">
        <v>62</v>
      </c>
      <c r="P168" s="373">
        <v>78</v>
      </c>
      <c r="Q168" s="373">
        <v>61</v>
      </c>
      <c r="R168" s="618">
        <v>61</v>
      </c>
      <c r="S168" s="374"/>
      <c r="T168" s="377">
        <v>283</v>
      </c>
      <c r="U168" s="373">
        <v>220</v>
      </c>
      <c r="V168" s="373">
        <v>172</v>
      </c>
      <c r="W168" s="373">
        <v>160</v>
      </c>
      <c r="X168" s="373">
        <v>129</v>
      </c>
      <c r="Y168" s="373">
        <v>126</v>
      </c>
      <c r="Z168" s="373">
        <v>161</v>
      </c>
      <c r="AA168" s="618">
        <v>134</v>
      </c>
      <c r="AB168" s="374"/>
      <c r="AC168" s="377">
        <v>642</v>
      </c>
      <c r="AD168" s="373">
        <v>742</v>
      </c>
      <c r="AE168" s="373">
        <v>471</v>
      </c>
      <c r="AF168" s="373">
        <v>407</v>
      </c>
      <c r="AG168" s="373">
        <v>393</v>
      </c>
      <c r="AH168" s="373">
        <v>360</v>
      </c>
      <c r="AI168" s="373">
        <v>368</v>
      </c>
      <c r="AJ168" s="618">
        <v>333</v>
      </c>
      <c r="AK168" s="374"/>
      <c r="AL168" s="377">
        <v>28</v>
      </c>
      <c r="AM168" s="373">
        <v>24</v>
      </c>
      <c r="AN168" s="373">
        <v>33</v>
      </c>
      <c r="AO168" s="373">
        <v>23</v>
      </c>
      <c r="AP168" s="373">
        <v>46</v>
      </c>
      <c r="AQ168" s="373">
        <v>39</v>
      </c>
      <c r="AR168" s="373">
        <v>33</v>
      </c>
      <c r="AS168" s="618">
        <v>49</v>
      </c>
      <c r="AT168" s="374"/>
      <c r="AU168" s="377"/>
      <c r="AV168" s="373"/>
      <c r="AW168" s="373"/>
      <c r="AX168" s="373"/>
      <c r="AY168" s="373">
        <v>2</v>
      </c>
      <c r="AZ168" s="373"/>
      <c r="BA168" s="373"/>
      <c r="BB168" s="618"/>
      <c r="BC168" s="374"/>
      <c r="BD168" s="377">
        <f t="shared" si="17"/>
        <v>1077</v>
      </c>
      <c r="BE168" s="373">
        <f t="shared" si="18"/>
        <v>1109</v>
      </c>
      <c r="BF168" s="373">
        <f t="shared" si="19"/>
        <v>789</v>
      </c>
      <c r="BG168" s="373">
        <f t="shared" si="20"/>
        <v>706</v>
      </c>
      <c r="BH168" s="373">
        <f t="shared" si="21"/>
        <v>632</v>
      </c>
      <c r="BI168" s="373">
        <f t="shared" si="22"/>
        <v>603</v>
      </c>
      <c r="BJ168" s="373">
        <f t="shared" si="23"/>
        <v>623</v>
      </c>
      <c r="BK168" s="618">
        <f t="shared" si="24"/>
        <v>577</v>
      </c>
      <c r="BL168" s="374">
        <f t="shared" si="24"/>
        <v>0</v>
      </c>
    </row>
    <row r="169" spans="1:64" x14ac:dyDescent="0.2">
      <c r="A169" s="365" t="s">
        <v>626</v>
      </c>
      <c r="B169" s="377"/>
      <c r="C169" s="373"/>
      <c r="D169" s="373"/>
      <c r="E169" s="373"/>
      <c r="F169" s="373"/>
      <c r="G169" s="373"/>
      <c r="H169" s="373"/>
      <c r="I169" s="618"/>
      <c r="J169" s="374"/>
      <c r="K169" s="377">
        <v>49</v>
      </c>
      <c r="L169" s="373">
        <v>46</v>
      </c>
      <c r="M169" s="373">
        <v>34</v>
      </c>
      <c r="N169" s="373">
        <v>35</v>
      </c>
      <c r="O169" s="373">
        <v>41</v>
      </c>
      <c r="P169" s="373">
        <v>38</v>
      </c>
      <c r="Q169" s="373">
        <v>41</v>
      </c>
      <c r="R169" s="618">
        <v>27</v>
      </c>
      <c r="S169" s="374"/>
      <c r="T169" s="377">
        <v>146</v>
      </c>
      <c r="U169" s="373">
        <v>79</v>
      </c>
      <c r="V169" s="373">
        <v>67</v>
      </c>
      <c r="W169" s="373">
        <v>87</v>
      </c>
      <c r="X169" s="373">
        <v>102</v>
      </c>
      <c r="Y169" s="373">
        <v>112</v>
      </c>
      <c r="Z169" s="373">
        <v>101</v>
      </c>
      <c r="AA169" s="618">
        <v>78</v>
      </c>
      <c r="AB169" s="374"/>
      <c r="AC169" s="377">
        <v>369</v>
      </c>
      <c r="AD169" s="373">
        <v>342</v>
      </c>
      <c r="AE169" s="373">
        <v>241</v>
      </c>
      <c r="AF169" s="373">
        <v>234</v>
      </c>
      <c r="AG169" s="373">
        <v>268</v>
      </c>
      <c r="AH169" s="373">
        <v>200</v>
      </c>
      <c r="AI169" s="373">
        <v>239</v>
      </c>
      <c r="AJ169" s="618">
        <v>226</v>
      </c>
      <c r="AK169" s="374"/>
      <c r="AL169" s="377">
        <v>16</v>
      </c>
      <c r="AM169" s="373">
        <v>12</v>
      </c>
      <c r="AN169" s="373">
        <v>21</v>
      </c>
      <c r="AO169" s="373">
        <v>16</v>
      </c>
      <c r="AP169" s="373">
        <v>34</v>
      </c>
      <c r="AQ169" s="373">
        <v>20</v>
      </c>
      <c r="AR169" s="373">
        <v>16</v>
      </c>
      <c r="AS169" s="618">
        <v>31</v>
      </c>
      <c r="AT169" s="374"/>
      <c r="AU169" s="377"/>
      <c r="AV169" s="373"/>
      <c r="AW169" s="373"/>
      <c r="AX169" s="373"/>
      <c r="AY169" s="373">
        <v>1</v>
      </c>
      <c r="AZ169" s="373"/>
      <c r="BA169" s="373"/>
      <c r="BB169" s="618"/>
      <c r="BC169" s="374"/>
      <c r="BD169" s="377">
        <f t="shared" si="17"/>
        <v>580</v>
      </c>
      <c r="BE169" s="373">
        <f t="shared" si="18"/>
        <v>479</v>
      </c>
      <c r="BF169" s="373">
        <f t="shared" si="19"/>
        <v>363</v>
      </c>
      <c r="BG169" s="373">
        <f t="shared" si="20"/>
        <v>372</v>
      </c>
      <c r="BH169" s="373">
        <f t="shared" si="21"/>
        <v>446</v>
      </c>
      <c r="BI169" s="373">
        <f t="shared" si="22"/>
        <v>370</v>
      </c>
      <c r="BJ169" s="373">
        <f t="shared" si="23"/>
        <v>397</v>
      </c>
      <c r="BK169" s="618">
        <f t="shared" si="24"/>
        <v>362</v>
      </c>
      <c r="BL169" s="374">
        <f t="shared" si="24"/>
        <v>0</v>
      </c>
    </row>
    <row r="170" spans="1:64" ht="13.5" thickBot="1" x14ac:dyDescent="0.25">
      <c r="A170" s="366" t="s">
        <v>606</v>
      </c>
      <c r="B170" s="378"/>
      <c r="C170" s="375"/>
      <c r="D170" s="375"/>
      <c r="E170" s="375"/>
      <c r="F170" s="375"/>
      <c r="G170" s="375"/>
      <c r="H170" s="375"/>
      <c r="I170" s="619">
        <v>1</v>
      </c>
      <c r="J170" s="376"/>
      <c r="K170" s="378">
        <v>8</v>
      </c>
      <c r="L170" s="375"/>
      <c r="M170" s="375">
        <v>1</v>
      </c>
      <c r="N170" s="375">
        <v>1</v>
      </c>
      <c r="O170" s="375">
        <v>1</v>
      </c>
      <c r="P170" s="375">
        <v>2</v>
      </c>
      <c r="Q170" s="375"/>
      <c r="R170" s="619"/>
      <c r="S170" s="376"/>
      <c r="T170" s="378">
        <v>55</v>
      </c>
      <c r="U170" s="375">
        <v>12</v>
      </c>
      <c r="V170" s="375">
        <v>15</v>
      </c>
      <c r="W170" s="375">
        <v>5</v>
      </c>
      <c r="X170" s="375">
        <v>11</v>
      </c>
      <c r="Y170" s="375">
        <v>8</v>
      </c>
      <c r="Z170" s="375">
        <v>8</v>
      </c>
      <c r="AA170" s="619">
        <v>13</v>
      </c>
      <c r="AB170" s="376"/>
      <c r="AC170" s="378">
        <v>161</v>
      </c>
      <c r="AD170" s="375">
        <v>50</v>
      </c>
      <c r="AE170" s="375">
        <v>49</v>
      </c>
      <c r="AF170" s="375">
        <v>42</v>
      </c>
      <c r="AG170" s="375">
        <v>91</v>
      </c>
      <c r="AH170" s="375">
        <v>39</v>
      </c>
      <c r="AI170" s="375">
        <v>32</v>
      </c>
      <c r="AJ170" s="619">
        <v>39</v>
      </c>
      <c r="AK170" s="376"/>
      <c r="AL170" s="378">
        <v>7</v>
      </c>
      <c r="AM170" s="375">
        <v>6</v>
      </c>
      <c r="AN170" s="375">
        <v>3</v>
      </c>
      <c r="AO170" s="375">
        <v>1</v>
      </c>
      <c r="AP170" s="375">
        <v>7</v>
      </c>
      <c r="AQ170" s="375">
        <v>5</v>
      </c>
      <c r="AR170" s="375">
        <v>6</v>
      </c>
      <c r="AS170" s="619">
        <v>7</v>
      </c>
      <c r="AT170" s="376"/>
      <c r="AU170" s="378"/>
      <c r="AV170" s="375"/>
      <c r="AW170" s="375"/>
      <c r="AX170" s="375"/>
      <c r="AY170" s="375"/>
      <c r="AZ170" s="375"/>
      <c r="BA170" s="375"/>
      <c r="BB170" s="619"/>
      <c r="BC170" s="376"/>
      <c r="BD170" s="378">
        <f t="shared" si="17"/>
        <v>231</v>
      </c>
      <c r="BE170" s="375">
        <f t="shared" si="18"/>
        <v>68</v>
      </c>
      <c r="BF170" s="375">
        <f t="shared" si="19"/>
        <v>68</v>
      </c>
      <c r="BG170" s="375">
        <f t="shared" si="20"/>
        <v>49</v>
      </c>
      <c r="BH170" s="375">
        <f t="shared" si="21"/>
        <v>110</v>
      </c>
      <c r="BI170" s="375">
        <f t="shared" si="22"/>
        <v>54</v>
      </c>
      <c r="BJ170" s="375">
        <f t="shared" si="23"/>
        <v>46</v>
      </c>
      <c r="BK170" s="619">
        <f t="shared" si="24"/>
        <v>60</v>
      </c>
      <c r="BL170" s="376">
        <f t="shared" si="24"/>
        <v>0</v>
      </c>
    </row>
    <row r="171" spans="1:64" s="264" customFormat="1" x14ac:dyDescent="0.2">
      <c r="A171" s="364" t="s">
        <v>793</v>
      </c>
      <c r="B171" s="379"/>
      <c r="C171" s="380"/>
      <c r="D171" s="380"/>
      <c r="E171" s="380"/>
      <c r="F171" s="380"/>
      <c r="G171" s="380"/>
      <c r="H171" s="380"/>
      <c r="I171" s="617"/>
      <c r="J171" s="381"/>
      <c r="K171" s="379">
        <v>319</v>
      </c>
      <c r="L171" s="380">
        <v>273</v>
      </c>
      <c r="M171" s="380">
        <v>220</v>
      </c>
      <c r="N171" s="380">
        <v>198</v>
      </c>
      <c r="O171" s="380">
        <v>172</v>
      </c>
      <c r="P171" s="380">
        <v>143</v>
      </c>
      <c r="Q171" s="380">
        <v>112</v>
      </c>
      <c r="R171" s="617">
        <v>135</v>
      </c>
      <c r="S171" s="381"/>
      <c r="T171" s="379">
        <v>600</v>
      </c>
      <c r="U171" s="380">
        <v>605</v>
      </c>
      <c r="V171" s="380">
        <v>521</v>
      </c>
      <c r="W171" s="380">
        <v>507</v>
      </c>
      <c r="X171" s="380">
        <v>502</v>
      </c>
      <c r="Y171" s="380">
        <v>432</v>
      </c>
      <c r="Z171" s="380">
        <v>409</v>
      </c>
      <c r="AA171" s="617">
        <v>391</v>
      </c>
      <c r="AB171" s="381"/>
      <c r="AC171" s="379">
        <v>1730</v>
      </c>
      <c r="AD171" s="380">
        <v>1716</v>
      </c>
      <c r="AE171" s="380">
        <v>1423</v>
      </c>
      <c r="AF171" s="380">
        <v>1572</v>
      </c>
      <c r="AG171" s="380">
        <v>1605</v>
      </c>
      <c r="AH171" s="380">
        <v>1498</v>
      </c>
      <c r="AI171" s="380">
        <v>1250</v>
      </c>
      <c r="AJ171" s="617">
        <v>1281</v>
      </c>
      <c r="AK171" s="381"/>
      <c r="AL171" s="379">
        <v>103</v>
      </c>
      <c r="AM171" s="380">
        <v>90</v>
      </c>
      <c r="AN171" s="380">
        <v>92</v>
      </c>
      <c r="AO171" s="380">
        <v>107</v>
      </c>
      <c r="AP171" s="380">
        <v>116</v>
      </c>
      <c r="AQ171" s="380">
        <v>120</v>
      </c>
      <c r="AR171" s="380">
        <v>114</v>
      </c>
      <c r="AS171" s="617">
        <v>126</v>
      </c>
      <c r="AT171" s="381"/>
      <c r="AU171" s="379"/>
      <c r="AV171" s="380"/>
      <c r="AW171" s="380"/>
      <c r="AX171" s="380"/>
      <c r="AY171" s="380">
        <v>2</v>
      </c>
      <c r="AZ171" s="380">
        <v>1</v>
      </c>
      <c r="BA171" s="380"/>
      <c r="BB171" s="617"/>
      <c r="BC171" s="381"/>
      <c r="BD171" s="379">
        <f t="shared" si="17"/>
        <v>2752</v>
      </c>
      <c r="BE171" s="380">
        <f t="shared" si="18"/>
        <v>2684</v>
      </c>
      <c r="BF171" s="380">
        <f t="shared" si="19"/>
        <v>2256</v>
      </c>
      <c r="BG171" s="380">
        <f t="shared" si="20"/>
        <v>2384</v>
      </c>
      <c r="BH171" s="380">
        <f t="shared" si="21"/>
        <v>2397</v>
      </c>
      <c r="BI171" s="380">
        <f t="shared" si="22"/>
        <v>2194</v>
      </c>
      <c r="BJ171" s="380">
        <f t="shared" si="23"/>
        <v>1885</v>
      </c>
      <c r="BK171" s="617">
        <f t="shared" si="24"/>
        <v>1933</v>
      </c>
      <c r="BL171" s="381">
        <f t="shared" si="24"/>
        <v>0</v>
      </c>
    </row>
    <row r="172" spans="1:64" x14ac:dyDescent="0.2">
      <c r="A172" s="365" t="s">
        <v>755</v>
      </c>
      <c r="B172" s="377"/>
      <c r="C172" s="373"/>
      <c r="D172" s="373"/>
      <c r="E172" s="373"/>
      <c r="F172" s="373"/>
      <c r="G172" s="373"/>
      <c r="H172" s="373"/>
      <c r="I172" s="618"/>
      <c r="J172" s="374"/>
      <c r="K172" s="377">
        <v>20</v>
      </c>
      <c r="L172" s="373">
        <v>43</v>
      </c>
      <c r="M172" s="373">
        <v>15</v>
      </c>
      <c r="N172" s="373">
        <v>19</v>
      </c>
      <c r="O172" s="373">
        <v>16</v>
      </c>
      <c r="P172" s="373">
        <v>10</v>
      </c>
      <c r="Q172" s="373">
        <v>8</v>
      </c>
      <c r="R172" s="618">
        <v>14</v>
      </c>
      <c r="S172" s="374"/>
      <c r="T172" s="377">
        <v>33</v>
      </c>
      <c r="U172" s="373">
        <v>32</v>
      </c>
      <c r="V172" s="373">
        <v>32</v>
      </c>
      <c r="W172" s="373">
        <v>48</v>
      </c>
      <c r="X172" s="373">
        <v>35</v>
      </c>
      <c r="Y172" s="373">
        <v>35</v>
      </c>
      <c r="Z172" s="373">
        <v>26</v>
      </c>
      <c r="AA172" s="618">
        <v>25</v>
      </c>
      <c r="AB172" s="374"/>
      <c r="AC172" s="377">
        <v>97</v>
      </c>
      <c r="AD172" s="373">
        <v>130</v>
      </c>
      <c r="AE172" s="373">
        <v>93</v>
      </c>
      <c r="AF172" s="373">
        <v>120</v>
      </c>
      <c r="AG172" s="373">
        <v>121</v>
      </c>
      <c r="AH172" s="373">
        <v>95</v>
      </c>
      <c r="AI172" s="373">
        <v>85</v>
      </c>
      <c r="AJ172" s="618">
        <v>103</v>
      </c>
      <c r="AK172" s="374"/>
      <c r="AL172" s="377">
        <v>6</v>
      </c>
      <c r="AM172" s="373">
        <v>3</v>
      </c>
      <c r="AN172" s="373">
        <v>4</v>
      </c>
      <c r="AO172" s="373">
        <v>5</v>
      </c>
      <c r="AP172" s="373">
        <v>7</v>
      </c>
      <c r="AQ172" s="373">
        <v>11</v>
      </c>
      <c r="AR172" s="373">
        <v>7</v>
      </c>
      <c r="AS172" s="618">
        <v>13</v>
      </c>
      <c r="AT172" s="374"/>
      <c r="AU172" s="377"/>
      <c r="AV172" s="373"/>
      <c r="AW172" s="373"/>
      <c r="AX172" s="373"/>
      <c r="AY172" s="373"/>
      <c r="AZ172" s="373"/>
      <c r="BA172" s="373"/>
      <c r="BB172" s="618"/>
      <c r="BC172" s="374"/>
      <c r="BD172" s="377">
        <f t="shared" si="17"/>
        <v>156</v>
      </c>
      <c r="BE172" s="373">
        <f t="shared" si="18"/>
        <v>208</v>
      </c>
      <c r="BF172" s="373">
        <f t="shared" si="19"/>
        <v>144</v>
      </c>
      <c r="BG172" s="373">
        <f t="shared" si="20"/>
        <v>192</v>
      </c>
      <c r="BH172" s="373">
        <f t="shared" si="21"/>
        <v>179</v>
      </c>
      <c r="BI172" s="373">
        <f t="shared" si="22"/>
        <v>151</v>
      </c>
      <c r="BJ172" s="373">
        <f t="shared" si="23"/>
        <v>126</v>
      </c>
      <c r="BK172" s="618">
        <f t="shared" si="24"/>
        <v>155</v>
      </c>
      <c r="BL172" s="374">
        <f t="shared" si="24"/>
        <v>0</v>
      </c>
    </row>
    <row r="173" spans="1:64" x14ac:dyDescent="0.2">
      <c r="A173" s="365" t="s">
        <v>756</v>
      </c>
      <c r="B173" s="377"/>
      <c r="C173" s="373"/>
      <c r="D173" s="373"/>
      <c r="E173" s="373"/>
      <c r="F173" s="373"/>
      <c r="G173" s="373"/>
      <c r="H173" s="373"/>
      <c r="I173" s="618"/>
      <c r="J173" s="374"/>
      <c r="K173" s="377">
        <v>59</v>
      </c>
      <c r="L173" s="373">
        <v>41</v>
      </c>
      <c r="M173" s="373">
        <v>24</v>
      </c>
      <c r="N173" s="373">
        <v>18</v>
      </c>
      <c r="O173" s="373">
        <v>22</v>
      </c>
      <c r="P173" s="373">
        <v>13</v>
      </c>
      <c r="Q173" s="373">
        <v>18</v>
      </c>
      <c r="R173" s="618">
        <v>15</v>
      </c>
      <c r="S173" s="374"/>
      <c r="T173" s="377">
        <v>117</v>
      </c>
      <c r="U173" s="373">
        <v>121</v>
      </c>
      <c r="V173" s="373">
        <v>72</v>
      </c>
      <c r="W173" s="373">
        <v>61</v>
      </c>
      <c r="X173" s="373">
        <v>68</v>
      </c>
      <c r="Y173" s="373">
        <v>62</v>
      </c>
      <c r="Z173" s="373">
        <v>70</v>
      </c>
      <c r="AA173" s="618">
        <v>62</v>
      </c>
      <c r="AB173" s="374"/>
      <c r="AC173" s="377">
        <v>330</v>
      </c>
      <c r="AD173" s="373">
        <v>262</v>
      </c>
      <c r="AE173" s="373">
        <v>262</v>
      </c>
      <c r="AF173" s="373">
        <v>248</v>
      </c>
      <c r="AG173" s="373">
        <v>240</v>
      </c>
      <c r="AH173" s="373">
        <v>189</v>
      </c>
      <c r="AI173" s="373">
        <v>190</v>
      </c>
      <c r="AJ173" s="618">
        <v>184</v>
      </c>
      <c r="AK173" s="374"/>
      <c r="AL173" s="377">
        <v>14</v>
      </c>
      <c r="AM173" s="373">
        <v>19</v>
      </c>
      <c r="AN173" s="373">
        <v>9</v>
      </c>
      <c r="AO173" s="373">
        <v>23</v>
      </c>
      <c r="AP173" s="373">
        <v>15</v>
      </c>
      <c r="AQ173" s="373">
        <v>15</v>
      </c>
      <c r="AR173" s="373">
        <v>14</v>
      </c>
      <c r="AS173" s="618">
        <v>20</v>
      </c>
      <c r="AT173" s="374"/>
      <c r="AU173" s="377"/>
      <c r="AV173" s="373"/>
      <c r="AW173" s="373"/>
      <c r="AX173" s="373"/>
      <c r="AY173" s="373">
        <v>1</v>
      </c>
      <c r="AZ173" s="373"/>
      <c r="BA173" s="373"/>
      <c r="BB173" s="618"/>
      <c r="BC173" s="374"/>
      <c r="BD173" s="377">
        <f t="shared" si="17"/>
        <v>520</v>
      </c>
      <c r="BE173" s="373">
        <f t="shared" si="18"/>
        <v>443</v>
      </c>
      <c r="BF173" s="373">
        <f t="shared" si="19"/>
        <v>367</v>
      </c>
      <c r="BG173" s="373">
        <f t="shared" si="20"/>
        <v>350</v>
      </c>
      <c r="BH173" s="373">
        <f t="shared" si="21"/>
        <v>346</v>
      </c>
      <c r="BI173" s="373">
        <f t="shared" si="22"/>
        <v>279</v>
      </c>
      <c r="BJ173" s="373">
        <f t="shared" si="23"/>
        <v>292</v>
      </c>
      <c r="BK173" s="618">
        <f t="shared" si="24"/>
        <v>281</v>
      </c>
      <c r="BL173" s="374">
        <f t="shared" si="24"/>
        <v>0</v>
      </c>
    </row>
    <row r="174" spans="1:64" x14ac:dyDescent="0.2">
      <c r="A174" s="365" t="s">
        <v>758</v>
      </c>
      <c r="B174" s="377"/>
      <c r="C174" s="373"/>
      <c r="D174" s="373"/>
      <c r="E174" s="373"/>
      <c r="F174" s="373"/>
      <c r="G174" s="373"/>
      <c r="H174" s="373"/>
      <c r="I174" s="618"/>
      <c r="J174" s="374"/>
      <c r="K174" s="377">
        <v>35</v>
      </c>
      <c r="L174" s="373">
        <v>13</v>
      </c>
      <c r="M174" s="373">
        <v>12</v>
      </c>
      <c r="N174" s="373">
        <v>26</v>
      </c>
      <c r="O174" s="373">
        <v>14</v>
      </c>
      <c r="P174" s="373">
        <v>24</v>
      </c>
      <c r="Q174" s="373">
        <v>8</v>
      </c>
      <c r="R174" s="618">
        <v>4</v>
      </c>
      <c r="S174" s="374"/>
      <c r="T174" s="377">
        <v>64</v>
      </c>
      <c r="U174" s="373">
        <v>58</v>
      </c>
      <c r="V174" s="373">
        <v>31</v>
      </c>
      <c r="W174" s="373">
        <v>37</v>
      </c>
      <c r="X174" s="373">
        <v>29</v>
      </c>
      <c r="Y174" s="373">
        <v>32</v>
      </c>
      <c r="Z174" s="373">
        <v>24</v>
      </c>
      <c r="AA174" s="618">
        <v>23</v>
      </c>
      <c r="AB174" s="374"/>
      <c r="AC174" s="377">
        <v>127</v>
      </c>
      <c r="AD174" s="373">
        <v>149</v>
      </c>
      <c r="AE174" s="373">
        <v>94</v>
      </c>
      <c r="AF174" s="373">
        <v>173</v>
      </c>
      <c r="AG174" s="373">
        <v>116</v>
      </c>
      <c r="AH174" s="373">
        <v>104</v>
      </c>
      <c r="AI174" s="373">
        <v>103</v>
      </c>
      <c r="AJ174" s="618">
        <v>89</v>
      </c>
      <c r="AK174" s="374"/>
      <c r="AL174" s="377">
        <v>6</v>
      </c>
      <c r="AM174" s="373">
        <v>9</v>
      </c>
      <c r="AN174" s="373">
        <v>4</v>
      </c>
      <c r="AO174" s="373">
        <v>8</v>
      </c>
      <c r="AP174" s="373">
        <v>8</v>
      </c>
      <c r="AQ174" s="373">
        <v>8</v>
      </c>
      <c r="AR174" s="373">
        <v>8</v>
      </c>
      <c r="AS174" s="618">
        <v>4</v>
      </c>
      <c r="AT174" s="374"/>
      <c r="AU174" s="377"/>
      <c r="AV174" s="373"/>
      <c r="AW174" s="373"/>
      <c r="AX174" s="373"/>
      <c r="AY174" s="373"/>
      <c r="AZ174" s="373"/>
      <c r="BA174" s="373"/>
      <c r="BB174" s="618"/>
      <c r="BC174" s="374"/>
      <c r="BD174" s="377">
        <f t="shared" si="17"/>
        <v>232</v>
      </c>
      <c r="BE174" s="373">
        <f t="shared" si="18"/>
        <v>229</v>
      </c>
      <c r="BF174" s="373">
        <f t="shared" si="19"/>
        <v>141</v>
      </c>
      <c r="BG174" s="373">
        <f t="shared" si="20"/>
        <v>244</v>
      </c>
      <c r="BH174" s="373">
        <f t="shared" si="21"/>
        <v>167</v>
      </c>
      <c r="BI174" s="373">
        <f t="shared" si="22"/>
        <v>168</v>
      </c>
      <c r="BJ174" s="373">
        <f t="shared" si="23"/>
        <v>143</v>
      </c>
      <c r="BK174" s="618">
        <f t="shared" si="24"/>
        <v>120</v>
      </c>
      <c r="BL174" s="374">
        <f t="shared" si="24"/>
        <v>0</v>
      </c>
    </row>
    <row r="175" spans="1:64" x14ac:dyDescent="0.2">
      <c r="A175" s="365" t="s">
        <v>757</v>
      </c>
      <c r="B175" s="377"/>
      <c r="C175" s="373"/>
      <c r="D175" s="373"/>
      <c r="E175" s="373"/>
      <c r="F175" s="373"/>
      <c r="G175" s="373"/>
      <c r="H175" s="373"/>
      <c r="I175" s="618"/>
      <c r="J175" s="374"/>
      <c r="K175" s="377">
        <v>27</v>
      </c>
      <c r="L175" s="373">
        <v>39</v>
      </c>
      <c r="M175" s="373">
        <v>32</v>
      </c>
      <c r="N175" s="373">
        <v>19</v>
      </c>
      <c r="O175" s="373">
        <v>14</v>
      </c>
      <c r="P175" s="373">
        <v>26</v>
      </c>
      <c r="Q175" s="373">
        <v>12</v>
      </c>
      <c r="R175" s="618">
        <v>20</v>
      </c>
      <c r="S175" s="374"/>
      <c r="T175" s="377">
        <v>64</v>
      </c>
      <c r="U175" s="373">
        <v>86</v>
      </c>
      <c r="V175" s="373">
        <v>60</v>
      </c>
      <c r="W175" s="373">
        <v>48</v>
      </c>
      <c r="X175" s="373">
        <v>49</v>
      </c>
      <c r="Y175" s="373">
        <v>56</v>
      </c>
      <c r="Z175" s="373">
        <v>50</v>
      </c>
      <c r="AA175" s="618">
        <v>65</v>
      </c>
      <c r="AB175" s="374"/>
      <c r="AC175" s="377">
        <v>222</v>
      </c>
      <c r="AD175" s="373">
        <v>240</v>
      </c>
      <c r="AE175" s="373">
        <v>172</v>
      </c>
      <c r="AF175" s="373">
        <v>185</v>
      </c>
      <c r="AG175" s="373">
        <v>200</v>
      </c>
      <c r="AH175" s="373">
        <v>201</v>
      </c>
      <c r="AI175" s="373">
        <v>188</v>
      </c>
      <c r="AJ175" s="618">
        <v>178</v>
      </c>
      <c r="AK175" s="374"/>
      <c r="AL175" s="377">
        <v>14</v>
      </c>
      <c r="AM175" s="373">
        <v>16</v>
      </c>
      <c r="AN175" s="373">
        <v>15</v>
      </c>
      <c r="AO175" s="373">
        <v>16</v>
      </c>
      <c r="AP175" s="373">
        <v>14</v>
      </c>
      <c r="AQ175" s="373">
        <v>19</v>
      </c>
      <c r="AR175" s="373">
        <v>28</v>
      </c>
      <c r="AS175" s="618">
        <v>20</v>
      </c>
      <c r="AT175" s="374"/>
      <c r="AU175" s="377"/>
      <c r="AV175" s="373"/>
      <c r="AW175" s="373"/>
      <c r="AX175" s="373"/>
      <c r="AY175" s="373"/>
      <c r="AZ175" s="373"/>
      <c r="BA175" s="373"/>
      <c r="BB175" s="618"/>
      <c r="BC175" s="374"/>
      <c r="BD175" s="377">
        <f t="shared" si="17"/>
        <v>327</v>
      </c>
      <c r="BE175" s="373">
        <f t="shared" si="18"/>
        <v>381</v>
      </c>
      <c r="BF175" s="373">
        <f t="shared" si="19"/>
        <v>279</v>
      </c>
      <c r="BG175" s="373">
        <f t="shared" si="20"/>
        <v>268</v>
      </c>
      <c r="BH175" s="373">
        <f t="shared" si="21"/>
        <v>277</v>
      </c>
      <c r="BI175" s="373">
        <f t="shared" si="22"/>
        <v>302</v>
      </c>
      <c r="BJ175" s="373">
        <f t="shared" si="23"/>
        <v>278</v>
      </c>
      <c r="BK175" s="618">
        <f t="shared" si="24"/>
        <v>283</v>
      </c>
      <c r="BL175" s="374">
        <f t="shared" si="24"/>
        <v>0</v>
      </c>
    </row>
    <row r="176" spans="1:64" x14ac:dyDescent="0.2">
      <c r="A176" s="365" t="s">
        <v>754</v>
      </c>
      <c r="B176" s="377"/>
      <c r="C176" s="373"/>
      <c r="D176" s="373"/>
      <c r="E176" s="373"/>
      <c r="F176" s="373"/>
      <c r="G176" s="373"/>
      <c r="H176" s="373"/>
      <c r="I176" s="618"/>
      <c r="J176" s="374"/>
      <c r="K176" s="377">
        <v>138</v>
      </c>
      <c r="L176" s="373">
        <v>115</v>
      </c>
      <c r="M176" s="373">
        <v>106</v>
      </c>
      <c r="N176" s="373">
        <v>91</v>
      </c>
      <c r="O176" s="373">
        <v>83</v>
      </c>
      <c r="P176" s="373">
        <v>59</v>
      </c>
      <c r="Q176" s="373">
        <v>57</v>
      </c>
      <c r="R176" s="618">
        <v>65</v>
      </c>
      <c r="S176" s="374"/>
      <c r="T176" s="377">
        <v>262</v>
      </c>
      <c r="U176" s="373">
        <v>235</v>
      </c>
      <c r="V176" s="373">
        <v>266</v>
      </c>
      <c r="W176" s="373">
        <v>243</v>
      </c>
      <c r="X176" s="373">
        <v>263</v>
      </c>
      <c r="Y176" s="373">
        <v>206</v>
      </c>
      <c r="Z176" s="373">
        <v>174</v>
      </c>
      <c r="AA176" s="618">
        <v>171</v>
      </c>
      <c r="AB176" s="374"/>
      <c r="AC176" s="377">
        <v>729</v>
      </c>
      <c r="AD176" s="373">
        <v>737</v>
      </c>
      <c r="AE176" s="373">
        <v>635</v>
      </c>
      <c r="AF176" s="373">
        <v>708</v>
      </c>
      <c r="AG176" s="373">
        <v>763</v>
      </c>
      <c r="AH176" s="373">
        <v>775</v>
      </c>
      <c r="AI176" s="373">
        <v>527</v>
      </c>
      <c r="AJ176" s="618">
        <v>599</v>
      </c>
      <c r="AK176" s="374"/>
      <c r="AL176" s="377">
        <v>47</v>
      </c>
      <c r="AM176" s="373">
        <v>35</v>
      </c>
      <c r="AN176" s="373">
        <v>50</v>
      </c>
      <c r="AO176" s="373">
        <v>51</v>
      </c>
      <c r="AP176" s="373">
        <v>60</v>
      </c>
      <c r="AQ176" s="373">
        <v>56</v>
      </c>
      <c r="AR176" s="373">
        <v>43</v>
      </c>
      <c r="AS176" s="618">
        <v>59</v>
      </c>
      <c r="AT176" s="374"/>
      <c r="AU176" s="377"/>
      <c r="AV176" s="373"/>
      <c r="AW176" s="373"/>
      <c r="AX176" s="373"/>
      <c r="AY176" s="373">
        <v>1</v>
      </c>
      <c r="AZ176" s="373"/>
      <c r="BA176" s="373"/>
      <c r="BB176" s="618"/>
      <c r="BC176" s="374"/>
      <c r="BD176" s="377">
        <f t="shared" si="17"/>
        <v>1176</v>
      </c>
      <c r="BE176" s="373">
        <f t="shared" si="18"/>
        <v>1122</v>
      </c>
      <c r="BF176" s="373">
        <f t="shared" si="19"/>
        <v>1057</v>
      </c>
      <c r="BG176" s="373">
        <f t="shared" si="20"/>
        <v>1093</v>
      </c>
      <c r="BH176" s="373">
        <f t="shared" si="21"/>
        <v>1170</v>
      </c>
      <c r="BI176" s="373">
        <f t="shared" si="22"/>
        <v>1096</v>
      </c>
      <c r="BJ176" s="373">
        <f t="shared" si="23"/>
        <v>801</v>
      </c>
      <c r="BK176" s="618">
        <f t="shared" si="24"/>
        <v>894</v>
      </c>
      <c r="BL176" s="374">
        <f t="shared" si="24"/>
        <v>0</v>
      </c>
    </row>
    <row r="177" spans="1:64" x14ac:dyDescent="0.2">
      <c r="A177" s="365" t="s">
        <v>824</v>
      </c>
      <c r="B177" s="377"/>
      <c r="C177" s="373"/>
      <c r="D177" s="373"/>
      <c r="E177" s="373"/>
      <c r="F177" s="373"/>
      <c r="G177" s="373"/>
      <c r="H177" s="373"/>
      <c r="I177" s="618"/>
      <c r="J177" s="374"/>
      <c r="K177" s="377">
        <v>6</v>
      </c>
      <c r="L177" s="373">
        <v>5</v>
      </c>
      <c r="M177" s="373">
        <v>13</v>
      </c>
      <c r="N177" s="373">
        <v>5</v>
      </c>
      <c r="O177" s="373">
        <v>5</v>
      </c>
      <c r="P177" s="373">
        <v>2</v>
      </c>
      <c r="Q177" s="373"/>
      <c r="R177" s="618">
        <v>3</v>
      </c>
      <c r="S177" s="374"/>
      <c r="T177" s="377">
        <v>23</v>
      </c>
      <c r="U177" s="373">
        <v>21</v>
      </c>
      <c r="V177" s="373">
        <v>22</v>
      </c>
      <c r="W177" s="373">
        <v>36</v>
      </c>
      <c r="X177" s="373">
        <v>22</v>
      </c>
      <c r="Y177" s="373">
        <v>7</v>
      </c>
      <c r="Z177" s="373">
        <v>8</v>
      </c>
      <c r="AA177" s="618">
        <v>13</v>
      </c>
      <c r="AB177" s="374"/>
      <c r="AC177" s="377">
        <v>96</v>
      </c>
      <c r="AD177" s="373">
        <v>61</v>
      </c>
      <c r="AE177" s="373">
        <v>66</v>
      </c>
      <c r="AF177" s="373">
        <v>50</v>
      </c>
      <c r="AG177" s="373">
        <v>63</v>
      </c>
      <c r="AH177" s="373">
        <v>53</v>
      </c>
      <c r="AI177" s="373">
        <v>54</v>
      </c>
      <c r="AJ177" s="618">
        <v>43</v>
      </c>
      <c r="AK177" s="374"/>
      <c r="AL177" s="377">
        <v>10</v>
      </c>
      <c r="AM177" s="373">
        <v>4</v>
      </c>
      <c r="AN177" s="373">
        <v>5</v>
      </c>
      <c r="AO177" s="373">
        <v>1</v>
      </c>
      <c r="AP177" s="373">
        <v>5</v>
      </c>
      <c r="AQ177" s="373">
        <v>5</v>
      </c>
      <c r="AR177" s="373">
        <v>1</v>
      </c>
      <c r="AS177" s="618">
        <v>3</v>
      </c>
      <c r="AT177" s="374"/>
      <c r="AU177" s="377"/>
      <c r="AV177" s="373"/>
      <c r="AW177" s="373"/>
      <c r="AX177" s="373"/>
      <c r="AY177" s="373"/>
      <c r="AZ177" s="373">
        <v>1</v>
      </c>
      <c r="BA177" s="373"/>
      <c r="BB177" s="618"/>
      <c r="BC177" s="374"/>
      <c r="BD177" s="377">
        <f t="shared" si="17"/>
        <v>135</v>
      </c>
      <c r="BE177" s="373">
        <f t="shared" si="18"/>
        <v>91</v>
      </c>
      <c r="BF177" s="373">
        <f t="shared" si="19"/>
        <v>106</v>
      </c>
      <c r="BG177" s="373">
        <f t="shared" si="20"/>
        <v>92</v>
      </c>
      <c r="BH177" s="373">
        <f t="shared" si="21"/>
        <v>95</v>
      </c>
      <c r="BI177" s="373">
        <f t="shared" si="22"/>
        <v>68</v>
      </c>
      <c r="BJ177" s="373">
        <f t="shared" si="23"/>
        <v>63</v>
      </c>
      <c r="BK177" s="618">
        <f t="shared" si="24"/>
        <v>62</v>
      </c>
      <c r="BL177" s="374">
        <f t="shared" si="24"/>
        <v>0</v>
      </c>
    </row>
    <row r="178" spans="1:64" ht="13.5" thickBot="1" x14ac:dyDescent="0.25">
      <c r="A178" s="366" t="s">
        <v>759</v>
      </c>
      <c r="B178" s="378"/>
      <c r="C178" s="375"/>
      <c r="D178" s="375"/>
      <c r="E178" s="375"/>
      <c r="F178" s="375"/>
      <c r="G178" s="375"/>
      <c r="H178" s="375"/>
      <c r="I178" s="619"/>
      <c r="J178" s="376"/>
      <c r="K178" s="378">
        <v>34</v>
      </c>
      <c r="L178" s="375">
        <v>17</v>
      </c>
      <c r="M178" s="375">
        <v>18</v>
      </c>
      <c r="N178" s="375">
        <v>20</v>
      </c>
      <c r="O178" s="375">
        <v>18</v>
      </c>
      <c r="P178" s="375">
        <v>9</v>
      </c>
      <c r="Q178" s="375">
        <v>9</v>
      </c>
      <c r="R178" s="619">
        <v>14</v>
      </c>
      <c r="S178" s="376"/>
      <c r="T178" s="378">
        <v>37</v>
      </c>
      <c r="U178" s="375">
        <v>52</v>
      </c>
      <c r="V178" s="375">
        <v>38</v>
      </c>
      <c r="W178" s="375">
        <v>34</v>
      </c>
      <c r="X178" s="375">
        <v>36</v>
      </c>
      <c r="Y178" s="375">
        <v>34</v>
      </c>
      <c r="Z178" s="375">
        <v>57</v>
      </c>
      <c r="AA178" s="619">
        <v>32</v>
      </c>
      <c r="AB178" s="376"/>
      <c r="AC178" s="378">
        <v>129</v>
      </c>
      <c r="AD178" s="375">
        <v>137</v>
      </c>
      <c r="AE178" s="375">
        <v>101</v>
      </c>
      <c r="AF178" s="375">
        <v>88</v>
      </c>
      <c r="AG178" s="375">
        <v>102</v>
      </c>
      <c r="AH178" s="375">
        <v>81</v>
      </c>
      <c r="AI178" s="375">
        <v>103</v>
      </c>
      <c r="AJ178" s="619">
        <v>85</v>
      </c>
      <c r="AK178" s="376"/>
      <c r="AL178" s="378">
        <v>6</v>
      </c>
      <c r="AM178" s="375">
        <v>4</v>
      </c>
      <c r="AN178" s="375">
        <v>5</v>
      </c>
      <c r="AO178" s="375">
        <v>3</v>
      </c>
      <c r="AP178" s="375">
        <v>7</v>
      </c>
      <c r="AQ178" s="375">
        <v>6</v>
      </c>
      <c r="AR178" s="375">
        <v>13</v>
      </c>
      <c r="AS178" s="619">
        <v>7</v>
      </c>
      <c r="AT178" s="376"/>
      <c r="AU178" s="378"/>
      <c r="AV178" s="375"/>
      <c r="AW178" s="375"/>
      <c r="AX178" s="375"/>
      <c r="AY178" s="375"/>
      <c r="AZ178" s="375"/>
      <c r="BA178" s="375"/>
      <c r="BB178" s="619"/>
      <c r="BC178" s="376"/>
      <c r="BD178" s="378">
        <f t="shared" si="17"/>
        <v>206</v>
      </c>
      <c r="BE178" s="375">
        <f t="shared" si="18"/>
        <v>210</v>
      </c>
      <c r="BF178" s="375">
        <f t="shared" si="19"/>
        <v>162</v>
      </c>
      <c r="BG178" s="375">
        <f t="shared" si="20"/>
        <v>145</v>
      </c>
      <c r="BH178" s="375">
        <f t="shared" si="21"/>
        <v>163</v>
      </c>
      <c r="BI178" s="375">
        <f t="shared" si="22"/>
        <v>130</v>
      </c>
      <c r="BJ178" s="375">
        <f t="shared" si="23"/>
        <v>182</v>
      </c>
      <c r="BK178" s="619">
        <f t="shared" si="24"/>
        <v>138</v>
      </c>
      <c r="BL178" s="376">
        <f t="shared" si="24"/>
        <v>0</v>
      </c>
    </row>
    <row r="179" spans="1:64" s="264" customFormat="1" x14ac:dyDescent="0.2">
      <c r="A179" s="364" t="s">
        <v>794</v>
      </c>
      <c r="B179" s="379"/>
      <c r="C179" s="380"/>
      <c r="D179" s="380"/>
      <c r="E179" s="380"/>
      <c r="F179" s="380">
        <v>1</v>
      </c>
      <c r="G179" s="380"/>
      <c r="H179" s="380"/>
      <c r="I179" s="617"/>
      <c r="J179" s="381"/>
      <c r="K179" s="379">
        <v>365</v>
      </c>
      <c r="L179" s="380">
        <v>346</v>
      </c>
      <c r="M179" s="380">
        <v>321</v>
      </c>
      <c r="N179" s="380">
        <v>344</v>
      </c>
      <c r="O179" s="380">
        <v>284</v>
      </c>
      <c r="P179" s="380">
        <v>182</v>
      </c>
      <c r="Q179" s="380">
        <v>172</v>
      </c>
      <c r="R179" s="617">
        <v>178</v>
      </c>
      <c r="S179" s="381"/>
      <c r="T179" s="379">
        <v>733</v>
      </c>
      <c r="U179" s="380">
        <v>727</v>
      </c>
      <c r="V179" s="380">
        <v>707</v>
      </c>
      <c r="W179" s="380">
        <v>695</v>
      </c>
      <c r="X179" s="380">
        <v>663</v>
      </c>
      <c r="Y179" s="380">
        <v>561</v>
      </c>
      <c r="Z179" s="380">
        <v>568</v>
      </c>
      <c r="AA179" s="617">
        <v>604</v>
      </c>
      <c r="AB179" s="381"/>
      <c r="AC179" s="379">
        <v>2221</v>
      </c>
      <c r="AD179" s="380">
        <v>2177</v>
      </c>
      <c r="AE179" s="380">
        <v>2174</v>
      </c>
      <c r="AF179" s="380">
        <v>1930</v>
      </c>
      <c r="AG179" s="380">
        <v>1800</v>
      </c>
      <c r="AH179" s="380">
        <v>1841</v>
      </c>
      <c r="AI179" s="380">
        <v>1845</v>
      </c>
      <c r="AJ179" s="617">
        <v>1770</v>
      </c>
      <c r="AK179" s="381"/>
      <c r="AL179" s="379">
        <v>116</v>
      </c>
      <c r="AM179" s="380">
        <v>134</v>
      </c>
      <c r="AN179" s="380">
        <v>129</v>
      </c>
      <c r="AO179" s="380">
        <v>136</v>
      </c>
      <c r="AP179" s="380">
        <v>132</v>
      </c>
      <c r="AQ179" s="380">
        <v>172</v>
      </c>
      <c r="AR179" s="380">
        <v>207</v>
      </c>
      <c r="AS179" s="617">
        <v>204</v>
      </c>
      <c r="AT179" s="381"/>
      <c r="AU179" s="379"/>
      <c r="AV179" s="380"/>
      <c r="AW179" s="380"/>
      <c r="AX179" s="380"/>
      <c r="AY179" s="380">
        <v>1</v>
      </c>
      <c r="AZ179" s="380"/>
      <c r="BA179" s="380"/>
      <c r="BB179" s="617"/>
      <c r="BC179" s="381"/>
      <c r="BD179" s="379">
        <f t="shared" si="17"/>
        <v>3435</v>
      </c>
      <c r="BE179" s="380">
        <f t="shared" si="18"/>
        <v>3384</v>
      </c>
      <c r="BF179" s="380">
        <f t="shared" si="19"/>
        <v>3331</v>
      </c>
      <c r="BG179" s="380">
        <f t="shared" si="20"/>
        <v>3105</v>
      </c>
      <c r="BH179" s="380">
        <f t="shared" si="21"/>
        <v>2881</v>
      </c>
      <c r="BI179" s="380">
        <f t="shared" si="22"/>
        <v>2756</v>
      </c>
      <c r="BJ179" s="380">
        <f t="shared" si="23"/>
        <v>2792</v>
      </c>
      <c r="BK179" s="617">
        <f t="shared" si="24"/>
        <v>2756</v>
      </c>
      <c r="BL179" s="381">
        <f t="shared" si="24"/>
        <v>0</v>
      </c>
    </row>
    <row r="180" spans="1:64" x14ac:dyDescent="0.2">
      <c r="A180" s="365" t="s">
        <v>764</v>
      </c>
      <c r="B180" s="377"/>
      <c r="C180" s="373"/>
      <c r="D180" s="373"/>
      <c r="E180" s="373"/>
      <c r="F180" s="373"/>
      <c r="G180" s="373"/>
      <c r="H180" s="373"/>
      <c r="I180" s="618"/>
      <c r="J180" s="374"/>
      <c r="K180" s="377">
        <v>57</v>
      </c>
      <c r="L180" s="373">
        <v>69</v>
      </c>
      <c r="M180" s="373">
        <v>43</v>
      </c>
      <c r="N180" s="373">
        <v>55</v>
      </c>
      <c r="O180" s="373">
        <v>49</v>
      </c>
      <c r="P180" s="373">
        <v>33</v>
      </c>
      <c r="Q180" s="373">
        <v>26</v>
      </c>
      <c r="R180" s="618">
        <v>11</v>
      </c>
      <c r="S180" s="374"/>
      <c r="T180" s="377">
        <v>97</v>
      </c>
      <c r="U180" s="373">
        <v>112</v>
      </c>
      <c r="V180" s="373">
        <v>137</v>
      </c>
      <c r="W180" s="373">
        <v>110</v>
      </c>
      <c r="X180" s="373">
        <v>97</v>
      </c>
      <c r="Y180" s="373">
        <v>73</v>
      </c>
      <c r="Z180" s="373">
        <v>86</v>
      </c>
      <c r="AA180" s="618">
        <v>84</v>
      </c>
      <c r="AB180" s="374"/>
      <c r="AC180" s="377">
        <v>366</v>
      </c>
      <c r="AD180" s="373">
        <v>359</v>
      </c>
      <c r="AE180" s="373">
        <v>397</v>
      </c>
      <c r="AF180" s="373">
        <v>326</v>
      </c>
      <c r="AG180" s="373">
        <v>284</v>
      </c>
      <c r="AH180" s="373">
        <v>297</v>
      </c>
      <c r="AI180" s="373">
        <v>254</v>
      </c>
      <c r="AJ180" s="618">
        <v>213</v>
      </c>
      <c r="AK180" s="374"/>
      <c r="AL180" s="377">
        <v>19</v>
      </c>
      <c r="AM180" s="373">
        <v>18</v>
      </c>
      <c r="AN180" s="373">
        <v>13</v>
      </c>
      <c r="AO180" s="373">
        <v>24</v>
      </c>
      <c r="AP180" s="373">
        <v>20</v>
      </c>
      <c r="AQ180" s="373">
        <v>30</v>
      </c>
      <c r="AR180" s="373">
        <v>27</v>
      </c>
      <c r="AS180" s="618">
        <v>23</v>
      </c>
      <c r="AT180" s="374"/>
      <c r="AU180" s="377"/>
      <c r="AV180" s="373"/>
      <c r="AW180" s="373"/>
      <c r="AX180" s="373"/>
      <c r="AY180" s="373"/>
      <c r="AZ180" s="373"/>
      <c r="BA180" s="373"/>
      <c r="BB180" s="618"/>
      <c r="BC180" s="374"/>
      <c r="BD180" s="377">
        <f t="shared" si="17"/>
        <v>539</v>
      </c>
      <c r="BE180" s="373">
        <f t="shared" si="18"/>
        <v>558</v>
      </c>
      <c r="BF180" s="373">
        <f t="shared" si="19"/>
        <v>590</v>
      </c>
      <c r="BG180" s="373">
        <f t="shared" si="20"/>
        <v>515</v>
      </c>
      <c r="BH180" s="373">
        <f t="shared" si="21"/>
        <v>450</v>
      </c>
      <c r="BI180" s="373">
        <f t="shared" si="22"/>
        <v>433</v>
      </c>
      <c r="BJ180" s="373">
        <f t="shared" si="23"/>
        <v>393</v>
      </c>
      <c r="BK180" s="618">
        <f t="shared" si="24"/>
        <v>331</v>
      </c>
      <c r="BL180" s="374">
        <f t="shared" si="24"/>
        <v>0</v>
      </c>
    </row>
    <row r="181" spans="1:64" x14ac:dyDescent="0.2">
      <c r="A181" s="365" t="s">
        <v>627</v>
      </c>
      <c r="B181" s="377"/>
      <c r="C181" s="373"/>
      <c r="D181" s="373"/>
      <c r="E181" s="373"/>
      <c r="F181" s="373"/>
      <c r="G181" s="373"/>
      <c r="H181" s="373"/>
      <c r="I181" s="618"/>
      <c r="J181" s="374"/>
      <c r="K181" s="377">
        <v>37</v>
      </c>
      <c r="L181" s="373">
        <v>53</v>
      </c>
      <c r="M181" s="373">
        <v>42</v>
      </c>
      <c r="N181" s="373">
        <v>26</v>
      </c>
      <c r="O181" s="373">
        <v>15</v>
      </c>
      <c r="P181" s="373">
        <v>7</v>
      </c>
      <c r="Q181" s="373">
        <v>11</v>
      </c>
      <c r="R181" s="618">
        <v>19</v>
      </c>
      <c r="S181" s="374"/>
      <c r="T181" s="377">
        <v>90</v>
      </c>
      <c r="U181" s="373">
        <v>103</v>
      </c>
      <c r="V181" s="373">
        <v>62</v>
      </c>
      <c r="W181" s="373">
        <v>46</v>
      </c>
      <c r="X181" s="373">
        <v>33</v>
      </c>
      <c r="Y181" s="373">
        <v>34</v>
      </c>
      <c r="Z181" s="373">
        <v>41</v>
      </c>
      <c r="AA181" s="618">
        <v>86</v>
      </c>
      <c r="AB181" s="374"/>
      <c r="AC181" s="377">
        <v>174</v>
      </c>
      <c r="AD181" s="373">
        <v>186</v>
      </c>
      <c r="AE181" s="373">
        <v>152</v>
      </c>
      <c r="AF181" s="373">
        <v>152</v>
      </c>
      <c r="AG181" s="373">
        <v>129</v>
      </c>
      <c r="AH181" s="373">
        <v>159</v>
      </c>
      <c r="AI181" s="373">
        <v>178</v>
      </c>
      <c r="AJ181" s="618">
        <v>202</v>
      </c>
      <c r="AK181" s="374"/>
      <c r="AL181" s="377">
        <v>9</v>
      </c>
      <c r="AM181" s="373">
        <v>13</v>
      </c>
      <c r="AN181" s="373">
        <v>8</v>
      </c>
      <c r="AO181" s="373">
        <v>11</v>
      </c>
      <c r="AP181" s="373">
        <v>14</v>
      </c>
      <c r="AQ181" s="373">
        <v>18</v>
      </c>
      <c r="AR181" s="373">
        <v>26</v>
      </c>
      <c r="AS181" s="618">
        <v>28</v>
      </c>
      <c r="AT181" s="374"/>
      <c r="AU181" s="377"/>
      <c r="AV181" s="373"/>
      <c r="AW181" s="373"/>
      <c r="AX181" s="373"/>
      <c r="AY181" s="373"/>
      <c r="AZ181" s="373"/>
      <c r="BA181" s="373"/>
      <c r="BB181" s="618"/>
      <c r="BC181" s="374"/>
      <c r="BD181" s="377">
        <f t="shared" si="17"/>
        <v>310</v>
      </c>
      <c r="BE181" s="373">
        <f t="shared" si="18"/>
        <v>355</v>
      </c>
      <c r="BF181" s="373">
        <f t="shared" si="19"/>
        <v>264</v>
      </c>
      <c r="BG181" s="373">
        <f t="shared" si="20"/>
        <v>235</v>
      </c>
      <c r="BH181" s="373">
        <f t="shared" si="21"/>
        <v>191</v>
      </c>
      <c r="BI181" s="373">
        <f t="shared" si="22"/>
        <v>218</v>
      </c>
      <c r="BJ181" s="373">
        <f t="shared" si="23"/>
        <v>256</v>
      </c>
      <c r="BK181" s="618">
        <f t="shared" si="24"/>
        <v>335</v>
      </c>
      <c r="BL181" s="374">
        <f t="shared" si="24"/>
        <v>0</v>
      </c>
    </row>
    <row r="182" spans="1:64" x14ac:dyDescent="0.2">
      <c r="A182" s="365" t="s">
        <v>765</v>
      </c>
      <c r="B182" s="377"/>
      <c r="C182" s="373"/>
      <c r="D182" s="373"/>
      <c r="E182" s="373"/>
      <c r="F182" s="373"/>
      <c r="G182" s="373"/>
      <c r="H182" s="373"/>
      <c r="I182" s="618"/>
      <c r="J182" s="374"/>
      <c r="K182" s="377">
        <v>42</v>
      </c>
      <c r="L182" s="373">
        <v>21</v>
      </c>
      <c r="M182" s="373">
        <v>41</v>
      </c>
      <c r="N182" s="373">
        <v>20</v>
      </c>
      <c r="O182" s="373">
        <v>28</v>
      </c>
      <c r="P182" s="373">
        <v>9</v>
      </c>
      <c r="Q182" s="373">
        <v>14</v>
      </c>
      <c r="R182" s="618">
        <v>3</v>
      </c>
      <c r="S182" s="374"/>
      <c r="T182" s="377">
        <v>68</v>
      </c>
      <c r="U182" s="373">
        <v>71</v>
      </c>
      <c r="V182" s="373">
        <v>49</v>
      </c>
      <c r="W182" s="373">
        <v>61</v>
      </c>
      <c r="X182" s="373">
        <v>66</v>
      </c>
      <c r="Y182" s="373">
        <v>51</v>
      </c>
      <c r="Z182" s="373">
        <v>43</v>
      </c>
      <c r="AA182" s="618">
        <v>61</v>
      </c>
      <c r="AB182" s="374"/>
      <c r="AC182" s="377">
        <v>203</v>
      </c>
      <c r="AD182" s="373">
        <v>182</v>
      </c>
      <c r="AE182" s="373">
        <v>168</v>
      </c>
      <c r="AF182" s="373">
        <v>194</v>
      </c>
      <c r="AG182" s="373">
        <v>221</v>
      </c>
      <c r="AH182" s="373">
        <v>190</v>
      </c>
      <c r="AI182" s="373">
        <v>196</v>
      </c>
      <c r="AJ182" s="618">
        <v>236</v>
      </c>
      <c r="AK182" s="374"/>
      <c r="AL182" s="377">
        <v>14</v>
      </c>
      <c r="AM182" s="373">
        <v>20</v>
      </c>
      <c r="AN182" s="373">
        <v>23</v>
      </c>
      <c r="AO182" s="373">
        <v>20</v>
      </c>
      <c r="AP182" s="373">
        <v>27</v>
      </c>
      <c r="AQ182" s="373">
        <v>27</v>
      </c>
      <c r="AR182" s="373">
        <v>26</v>
      </c>
      <c r="AS182" s="618">
        <v>26</v>
      </c>
      <c r="AT182" s="374"/>
      <c r="AU182" s="377"/>
      <c r="AV182" s="373"/>
      <c r="AW182" s="373"/>
      <c r="AX182" s="373"/>
      <c r="AY182" s="373"/>
      <c r="AZ182" s="373"/>
      <c r="BA182" s="373"/>
      <c r="BB182" s="618"/>
      <c r="BC182" s="374"/>
      <c r="BD182" s="377">
        <f t="shared" si="17"/>
        <v>327</v>
      </c>
      <c r="BE182" s="373">
        <f t="shared" si="18"/>
        <v>294</v>
      </c>
      <c r="BF182" s="373">
        <f t="shared" si="19"/>
        <v>281</v>
      </c>
      <c r="BG182" s="373">
        <f t="shared" si="20"/>
        <v>295</v>
      </c>
      <c r="BH182" s="373">
        <f t="shared" si="21"/>
        <v>342</v>
      </c>
      <c r="BI182" s="373">
        <f t="shared" si="22"/>
        <v>277</v>
      </c>
      <c r="BJ182" s="373">
        <f t="shared" si="23"/>
        <v>279</v>
      </c>
      <c r="BK182" s="618">
        <f t="shared" si="24"/>
        <v>326</v>
      </c>
      <c r="BL182" s="374">
        <f t="shared" si="24"/>
        <v>0</v>
      </c>
    </row>
    <row r="183" spans="1:64" x14ac:dyDescent="0.2">
      <c r="A183" s="365" t="s">
        <v>761</v>
      </c>
      <c r="B183" s="377"/>
      <c r="C183" s="373"/>
      <c r="D183" s="373"/>
      <c r="E183" s="373"/>
      <c r="F183" s="373"/>
      <c r="G183" s="373"/>
      <c r="H183" s="373"/>
      <c r="I183" s="618"/>
      <c r="J183" s="374"/>
      <c r="K183" s="377">
        <v>63</v>
      </c>
      <c r="L183" s="373">
        <v>62</v>
      </c>
      <c r="M183" s="373">
        <v>73</v>
      </c>
      <c r="N183" s="373">
        <v>75</v>
      </c>
      <c r="O183" s="373">
        <v>77</v>
      </c>
      <c r="P183" s="373">
        <v>28</v>
      </c>
      <c r="Q183" s="373">
        <v>38</v>
      </c>
      <c r="R183" s="618">
        <v>50</v>
      </c>
      <c r="S183" s="374"/>
      <c r="T183" s="377">
        <v>95</v>
      </c>
      <c r="U183" s="373">
        <v>117</v>
      </c>
      <c r="V183" s="373">
        <v>119</v>
      </c>
      <c r="W183" s="373">
        <v>150</v>
      </c>
      <c r="X183" s="373">
        <v>120</v>
      </c>
      <c r="Y183" s="373">
        <v>85</v>
      </c>
      <c r="Z183" s="373">
        <v>95</v>
      </c>
      <c r="AA183" s="618">
        <v>82</v>
      </c>
      <c r="AB183" s="374"/>
      <c r="AC183" s="377">
        <v>381</v>
      </c>
      <c r="AD183" s="373">
        <v>394</v>
      </c>
      <c r="AE183" s="373">
        <v>362</v>
      </c>
      <c r="AF183" s="373">
        <v>329</v>
      </c>
      <c r="AG183" s="373">
        <v>292</v>
      </c>
      <c r="AH183" s="373">
        <v>265</v>
      </c>
      <c r="AI183" s="373">
        <v>255</v>
      </c>
      <c r="AJ183" s="618">
        <v>251</v>
      </c>
      <c r="AK183" s="374"/>
      <c r="AL183" s="377">
        <v>17</v>
      </c>
      <c r="AM183" s="373">
        <v>19</v>
      </c>
      <c r="AN183" s="373">
        <v>12</v>
      </c>
      <c r="AO183" s="373">
        <v>22</v>
      </c>
      <c r="AP183" s="373">
        <v>14</v>
      </c>
      <c r="AQ183" s="373">
        <v>11</v>
      </c>
      <c r="AR183" s="373">
        <v>23</v>
      </c>
      <c r="AS183" s="618">
        <v>18</v>
      </c>
      <c r="AT183" s="374"/>
      <c r="AU183" s="377"/>
      <c r="AV183" s="373"/>
      <c r="AW183" s="373"/>
      <c r="AX183" s="373"/>
      <c r="AY183" s="373"/>
      <c r="AZ183" s="373"/>
      <c r="BA183" s="373"/>
      <c r="BB183" s="618"/>
      <c r="BC183" s="374"/>
      <c r="BD183" s="377">
        <f t="shared" si="17"/>
        <v>556</v>
      </c>
      <c r="BE183" s="373">
        <f t="shared" si="18"/>
        <v>592</v>
      </c>
      <c r="BF183" s="373">
        <f t="shared" si="19"/>
        <v>566</v>
      </c>
      <c r="BG183" s="373">
        <f t="shared" si="20"/>
        <v>576</v>
      </c>
      <c r="BH183" s="373">
        <f t="shared" si="21"/>
        <v>503</v>
      </c>
      <c r="BI183" s="373">
        <f t="shared" si="22"/>
        <v>389</v>
      </c>
      <c r="BJ183" s="373">
        <f t="shared" si="23"/>
        <v>411</v>
      </c>
      <c r="BK183" s="618">
        <f t="shared" si="24"/>
        <v>401</v>
      </c>
      <c r="BL183" s="374">
        <f t="shared" si="24"/>
        <v>0</v>
      </c>
    </row>
    <row r="184" spans="1:64" x14ac:dyDescent="0.2">
      <c r="A184" s="365" t="s">
        <v>762</v>
      </c>
      <c r="B184" s="377"/>
      <c r="C184" s="373"/>
      <c r="D184" s="373"/>
      <c r="E184" s="373"/>
      <c r="F184" s="373"/>
      <c r="G184" s="373"/>
      <c r="H184" s="373"/>
      <c r="I184" s="618"/>
      <c r="J184" s="374"/>
      <c r="K184" s="377">
        <v>37</v>
      </c>
      <c r="L184" s="373">
        <v>40</v>
      </c>
      <c r="M184" s="373">
        <v>31</v>
      </c>
      <c r="N184" s="373">
        <v>39</v>
      </c>
      <c r="O184" s="373">
        <v>29</v>
      </c>
      <c r="P184" s="373">
        <v>20</v>
      </c>
      <c r="Q184" s="373">
        <v>12</v>
      </c>
      <c r="R184" s="618">
        <v>10</v>
      </c>
      <c r="S184" s="374"/>
      <c r="T184" s="377">
        <v>106</v>
      </c>
      <c r="U184" s="373">
        <v>97</v>
      </c>
      <c r="V184" s="373">
        <v>81</v>
      </c>
      <c r="W184" s="373">
        <v>69</v>
      </c>
      <c r="X184" s="373">
        <v>105</v>
      </c>
      <c r="Y184" s="373">
        <v>54</v>
      </c>
      <c r="Z184" s="373">
        <v>60</v>
      </c>
      <c r="AA184" s="618">
        <v>48</v>
      </c>
      <c r="AB184" s="374"/>
      <c r="AC184" s="377">
        <v>292</v>
      </c>
      <c r="AD184" s="373">
        <v>302</v>
      </c>
      <c r="AE184" s="373">
        <v>273</v>
      </c>
      <c r="AF184" s="373">
        <v>207</v>
      </c>
      <c r="AG184" s="373">
        <v>203</v>
      </c>
      <c r="AH184" s="373">
        <v>241</v>
      </c>
      <c r="AI184" s="373">
        <v>234</v>
      </c>
      <c r="AJ184" s="618">
        <v>253</v>
      </c>
      <c r="AK184" s="374"/>
      <c r="AL184" s="377">
        <v>17</v>
      </c>
      <c r="AM184" s="373">
        <v>18</v>
      </c>
      <c r="AN184" s="373">
        <v>22</v>
      </c>
      <c r="AO184" s="373">
        <v>17</v>
      </c>
      <c r="AP184" s="373">
        <v>16</v>
      </c>
      <c r="AQ184" s="373">
        <v>16</v>
      </c>
      <c r="AR184" s="373">
        <v>30</v>
      </c>
      <c r="AS184" s="618">
        <v>36</v>
      </c>
      <c r="AT184" s="374"/>
      <c r="AU184" s="377"/>
      <c r="AV184" s="373"/>
      <c r="AW184" s="373"/>
      <c r="AX184" s="373"/>
      <c r="AY184" s="373">
        <v>1</v>
      </c>
      <c r="AZ184" s="373"/>
      <c r="BA184" s="373"/>
      <c r="BB184" s="618"/>
      <c r="BC184" s="374"/>
      <c r="BD184" s="377">
        <f t="shared" si="17"/>
        <v>452</v>
      </c>
      <c r="BE184" s="373">
        <f t="shared" si="18"/>
        <v>457</v>
      </c>
      <c r="BF184" s="373">
        <f t="shared" si="19"/>
        <v>407</v>
      </c>
      <c r="BG184" s="373">
        <f t="shared" si="20"/>
        <v>332</v>
      </c>
      <c r="BH184" s="373">
        <f t="shared" si="21"/>
        <v>354</v>
      </c>
      <c r="BI184" s="373">
        <f t="shared" si="22"/>
        <v>331</v>
      </c>
      <c r="BJ184" s="373">
        <f t="shared" si="23"/>
        <v>336</v>
      </c>
      <c r="BK184" s="618">
        <f t="shared" si="24"/>
        <v>347</v>
      </c>
      <c r="BL184" s="374">
        <f t="shared" si="24"/>
        <v>0</v>
      </c>
    </row>
    <row r="185" spans="1:64" x14ac:dyDescent="0.2">
      <c r="A185" s="365" t="s">
        <v>763</v>
      </c>
      <c r="B185" s="377"/>
      <c r="C185" s="373"/>
      <c r="D185" s="373"/>
      <c r="E185" s="373"/>
      <c r="F185" s="373"/>
      <c r="G185" s="373"/>
      <c r="H185" s="373"/>
      <c r="I185" s="618"/>
      <c r="J185" s="374"/>
      <c r="K185" s="377">
        <v>52</v>
      </c>
      <c r="L185" s="373">
        <v>46</v>
      </c>
      <c r="M185" s="373">
        <v>36</v>
      </c>
      <c r="N185" s="373">
        <v>40</v>
      </c>
      <c r="O185" s="373">
        <v>25</v>
      </c>
      <c r="P185" s="373">
        <v>23</v>
      </c>
      <c r="Q185" s="373">
        <v>10</v>
      </c>
      <c r="R185" s="618">
        <v>19</v>
      </c>
      <c r="S185" s="374"/>
      <c r="T185" s="377">
        <v>82</v>
      </c>
      <c r="U185" s="373">
        <v>56</v>
      </c>
      <c r="V185" s="373">
        <v>90</v>
      </c>
      <c r="W185" s="373">
        <v>81</v>
      </c>
      <c r="X185" s="373">
        <v>67</v>
      </c>
      <c r="Y185" s="373">
        <v>86</v>
      </c>
      <c r="Z185" s="373">
        <v>71</v>
      </c>
      <c r="AA185" s="618">
        <v>59</v>
      </c>
      <c r="AB185" s="374"/>
      <c r="AC185" s="377">
        <v>224</v>
      </c>
      <c r="AD185" s="373">
        <v>182</v>
      </c>
      <c r="AE185" s="373">
        <v>302</v>
      </c>
      <c r="AF185" s="373">
        <v>235</v>
      </c>
      <c r="AG185" s="373">
        <v>164</v>
      </c>
      <c r="AH185" s="373">
        <v>162</v>
      </c>
      <c r="AI185" s="373">
        <v>180</v>
      </c>
      <c r="AJ185" s="618">
        <v>147</v>
      </c>
      <c r="AK185" s="374"/>
      <c r="AL185" s="377">
        <v>11</v>
      </c>
      <c r="AM185" s="373">
        <v>14</v>
      </c>
      <c r="AN185" s="373">
        <v>12</v>
      </c>
      <c r="AO185" s="373">
        <v>11</v>
      </c>
      <c r="AP185" s="373">
        <v>12</v>
      </c>
      <c r="AQ185" s="373">
        <v>20</v>
      </c>
      <c r="AR185" s="373">
        <v>17</v>
      </c>
      <c r="AS185" s="618">
        <v>18</v>
      </c>
      <c r="AT185" s="374"/>
      <c r="AU185" s="377"/>
      <c r="AV185" s="373"/>
      <c r="AW185" s="373"/>
      <c r="AX185" s="373"/>
      <c r="AY185" s="373"/>
      <c r="AZ185" s="373"/>
      <c r="BA185" s="373"/>
      <c r="BB185" s="618"/>
      <c r="BC185" s="374"/>
      <c r="BD185" s="377">
        <f t="shared" si="17"/>
        <v>369</v>
      </c>
      <c r="BE185" s="373">
        <f t="shared" si="18"/>
        <v>298</v>
      </c>
      <c r="BF185" s="373">
        <f t="shared" si="19"/>
        <v>440</v>
      </c>
      <c r="BG185" s="373">
        <f t="shared" si="20"/>
        <v>367</v>
      </c>
      <c r="BH185" s="373">
        <f t="shared" si="21"/>
        <v>268</v>
      </c>
      <c r="BI185" s="373">
        <f t="shared" si="22"/>
        <v>291</v>
      </c>
      <c r="BJ185" s="373">
        <f t="shared" si="23"/>
        <v>278</v>
      </c>
      <c r="BK185" s="618">
        <f t="shared" si="24"/>
        <v>243</v>
      </c>
      <c r="BL185" s="374">
        <f t="shared" si="24"/>
        <v>0</v>
      </c>
    </row>
    <row r="186" spans="1:64" x14ac:dyDescent="0.2">
      <c r="A186" s="365" t="s">
        <v>825</v>
      </c>
      <c r="B186" s="377"/>
      <c r="C186" s="373"/>
      <c r="D186" s="373"/>
      <c r="E186" s="373"/>
      <c r="F186" s="373"/>
      <c r="G186" s="373"/>
      <c r="H186" s="373"/>
      <c r="I186" s="618"/>
      <c r="J186" s="374"/>
      <c r="K186" s="377">
        <v>4</v>
      </c>
      <c r="L186" s="373">
        <v>6</v>
      </c>
      <c r="M186" s="373">
        <v>1</v>
      </c>
      <c r="N186" s="373">
        <v>7</v>
      </c>
      <c r="O186" s="373">
        <v>2</v>
      </c>
      <c r="P186" s="373">
        <v>8</v>
      </c>
      <c r="Q186" s="373">
        <v>2</v>
      </c>
      <c r="R186" s="618">
        <v>4</v>
      </c>
      <c r="S186" s="374"/>
      <c r="T186" s="377">
        <v>11</v>
      </c>
      <c r="U186" s="373">
        <v>10</v>
      </c>
      <c r="V186" s="373">
        <v>9</v>
      </c>
      <c r="W186" s="373">
        <v>22</v>
      </c>
      <c r="X186" s="373">
        <v>27</v>
      </c>
      <c r="Y186" s="373">
        <v>41</v>
      </c>
      <c r="Z186" s="373">
        <v>27</v>
      </c>
      <c r="AA186" s="618">
        <v>23</v>
      </c>
      <c r="AB186" s="374"/>
      <c r="AC186" s="377">
        <v>54</v>
      </c>
      <c r="AD186" s="373">
        <v>52</v>
      </c>
      <c r="AE186" s="373">
        <v>68</v>
      </c>
      <c r="AF186" s="373">
        <v>51</v>
      </c>
      <c r="AG186" s="373">
        <v>55</v>
      </c>
      <c r="AH186" s="373">
        <v>57</v>
      </c>
      <c r="AI186" s="373">
        <v>88</v>
      </c>
      <c r="AJ186" s="618">
        <v>34</v>
      </c>
      <c r="AK186" s="374"/>
      <c r="AL186" s="377">
        <v>2</v>
      </c>
      <c r="AM186" s="373">
        <v>3</v>
      </c>
      <c r="AN186" s="373">
        <v>7</v>
      </c>
      <c r="AO186" s="373">
        <v>5</v>
      </c>
      <c r="AP186" s="373">
        <v>2</v>
      </c>
      <c r="AQ186" s="373">
        <v>7</v>
      </c>
      <c r="AR186" s="373">
        <v>13</v>
      </c>
      <c r="AS186" s="618">
        <v>9</v>
      </c>
      <c r="AT186" s="374"/>
      <c r="AU186" s="377"/>
      <c r="AV186" s="373"/>
      <c r="AW186" s="373"/>
      <c r="AX186" s="373"/>
      <c r="AY186" s="373"/>
      <c r="AZ186" s="373"/>
      <c r="BA186" s="373"/>
      <c r="BB186" s="618"/>
      <c r="BC186" s="374"/>
      <c r="BD186" s="377">
        <f t="shared" si="17"/>
        <v>71</v>
      </c>
      <c r="BE186" s="373">
        <f t="shared" si="18"/>
        <v>71</v>
      </c>
      <c r="BF186" s="373">
        <f t="shared" si="19"/>
        <v>85</v>
      </c>
      <c r="BG186" s="373">
        <f t="shared" si="20"/>
        <v>85</v>
      </c>
      <c r="BH186" s="373">
        <f t="shared" si="21"/>
        <v>86</v>
      </c>
      <c r="BI186" s="373">
        <f t="shared" si="22"/>
        <v>113</v>
      </c>
      <c r="BJ186" s="373">
        <f t="shared" si="23"/>
        <v>130</v>
      </c>
      <c r="BK186" s="618">
        <f t="shared" si="24"/>
        <v>70</v>
      </c>
      <c r="BL186" s="374">
        <f t="shared" si="24"/>
        <v>0</v>
      </c>
    </row>
    <row r="187" spans="1:64" ht="13.5" thickBot="1" x14ac:dyDescent="0.25">
      <c r="A187" s="366" t="s">
        <v>760</v>
      </c>
      <c r="B187" s="378"/>
      <c r="C187" s="375"/>
      <c r="D187" s="375"/>
      <c r="E187" s="375"/>
      <c r="F187" s="375">
        <v>1</v>
      </c>
      <c r="G187" s="375"/>
      <c r="H187" s="375"/>
      <c r="I187" s="619"/>
      <c r="J187" s="376"/>
      <c r="K187" s="378">
        <v>73</v>
      </c>
      <c r="L187" s="375">
        <v>49</v>
      </c>
      <c r="M187" s="375">
        <v>54</v>
      </c>
      <c r="N187" s="375">
        <v>82</v>
      </c>
      <c r="O187" s="375">
        <v>59</v>
      </c>
      <c r="P187" s="375">
        <v>54</v>
      </c>
      <c r="Q187" s="375">
        <v>59</v>
      </c>
      <c r="R187" s="619">
        <v>62</v>
      </c>
      <c r="S187" s="376"/>
      <c r="T187" s="378">
        <v>184</v>
      </c>
      <c r="U187" s="375">
        <v>161</v>
      </c>
      <c r="V187" s="375">
        <v>160</v>
      </c>
      <c r="W187" s="375">
        <v>156</v>
      </c>
      <c r="X187" s="375">
        <v>148</v>
      </c>
      <c r="Y187" s="375">
        <v>137</v>
      </c>
      <c r="Z187" s="375">
        <v>145</v>
      </c>
      <c r="AA187" s="619">
        <v>161</v>
      </c>
      <c r="AB187" s="376"/>
      <c r="AC187" s="378">
        <v>527</v>
      </c>
      <c r="AD187" s="375">
        <v>520</v>
      </c>
      <c r="AE187" s="375">
        <v>452</v>
      </c>
      <c r="AF187" s="375">
        <v>436</v>
      </c>
      <c r="AG187" s="375">
        <v>452</v>
      </c>
      <c r="AH187" s="375">
        <v>470</v>
      </c>
      <c r="AI187" s="375">
        <v>460</v>
      </c>
      <c r="AJ187" s="619">
        <v>434</v>
      </c>
      <c r="AK187" s="376"/>
      <c r="AL187" s="378">
        <v>27</v>
      </c>
      <c r="AM187" s="375">
        <v>29</v>
      </c>
      <c r="AN187" s="375">
        <v>32</v>
      </c>
      <c r="AO187" s="375">
        <v>26</v>
      </c>
      <c r="AP187" s="375">
        <v>27</v>
      </c>
      <c r="AQ187" s="375">
        <v>43</v>
      </c>
      <c r="AR187" s="375">
        <v>45</v>
      </c>
      <c r="AS187" s="619">
        <v>46</v>
      </c>
      <c r="AT187" s="376"/>
      <c r="AU187" s="378"/>
      <c r="AV187" s="375"/>
      <c r="AW187" s="375"/>
      <c r="AX187" s="375"/>
      <c r="AY187" s="375"/>
      <c r="AZ187" s="375"/>
      <c r="BA187" s="375"/>
      <c r="BB187" s="619"/>
      <c r="BC187" s="376"/>
      <c r="BD187" s="378">
        <f t="shared" si="17"/>
        <v>811</v>
      </c>
      <c r="BE187" s="375">
        <f t="shared" si="18"/>
        <v>759</v>
      </c>
      <c r="BF187" s="375">
        <f t="shared" si="19"/>
        <v>698</v>
      </c>
      <c r="BG187" s="375">
        <f t="shared" si="20"/>
        <v>700</v>
      </c>
      <c r="BH187" s="375">
        <f t="shared" si="21"/>
        <v>687</v>
      </c>
      <c r="BI187" s="375">
        <f t="shared" si="22"/>
        <v>704</v>
      </c>
      <c r="BJ187" s="375">
        <f t="shared" si="23"/>
        <v>709</v>
      </c>
      <c r="BK187" s="619">
        <f t="shared" si="24"/>
        <v>703</v>
      </c>
      <c r="BL187" s="376">
        <f t="shared" si="24"/>
        <v>0</v>
      </c>
    </row>
    <row r="188" spans="1:64" s="264" customFormat="1" x14ac:dyDescent="0.2">
      <c r="A188" s="364" t="s">
        <v>795</v>
      </c>
      <c r="B188" s="379"/>
      <c r="C188" s="380"/>
      <c r="D188" s="380"/>
      <c r="E188" s="380"/>
      <c r="F188" s="380">
        <v>1</v>
      </c>
      <c r="G188" s="380">
        <v>2</v>
      </c>
      <c r="H188" s="380"/>
      <c r="I188" s="617"/>
      <c r="J188" s="381"/>
      <c r="K188" s="379">
        <v>309</v>
      </c>
      <c r="L188" s="380">
        <v>263</v>
      </c>
      <c r="M188" s="380">
        <v>288</v>
      </c>
      <c r="N188" s="380">
        <v>252</v>
      </c>
      <c r="O188" s="380">
        <v>225</v>
      </c>
      <c r="P188" s="380">
        <v>181</v>
      </c>
      <c r="Q188" s="380">
        <v>155</v>
      </c>
      <c r="R188" s="617">
        <v>132</v>
      </c>
      <c r="S188" s="381"/>
      <c r="T188" s="379">
        <v>596</v>
      </c>
      <c r="U188" s="380">
        <v>634</v>
      </c>
      <c r="V188" s="380">
        <v>544</v>
      </c>
      <c r="W188" s="380">
        <v>489</v>
      </c>
      <c r="X188" s="380">
        <v>472</v>
      </c>
      <c r="Y188" s="380">
        <v>420</v>
      </c>
      <c r="Z188" s="380">
        <v>391</v>
      </c>
      <c r="AA188" s="617">
        <v>370</v>
      </c>
      <c r="AB188" s="381"/>
      <c r="AC188" s="379">
        <v>1730</v>
      </c>
      <c r="AD188" s="380">
        <v>1810</v>
      </c>
      <c r="AE188" s="380">
        <v>1653</v>
      </c>
      <c r="AF188" s="380">
        <v>1809</v>
      </c>
      <c r="AG188" s="380">
        <v>1564</v>
      </c>
      <c r="AH188" s="380">
        <v>1357</v>
      </c>
      <c r="AI188" s="380">
        <v>1307</v>
      </c>
      <c r="AJ188" s="617">
        <v>1197</v>
      </c>
      <c r="AK188" s="381"/>
      <c r="AL188" s="379">
        <v>99</v>
      </c>
      <c r="AM188" s="380">
        <v>99</v>
      </c>
      <c r="AN188" s="380">
        <v>112</v>
      </c>
      <c r="AO188" s="380">
        <v>118</v>
      </c>
      <c r="AP188" s="380">
        <v>119</v>
      </c>
      <c r="AQ188" s="380">
        <v>124</v>
      </c>
      <c r="AR188" s="380">
        <v>149</v>
      </c>
      <c r="AS188" s="617">
        <v>154</v>
      </c>
      <c r="AT188" s="381"/>
      <c r="AU188" s="379"/>
      <c r="AV188" s="380"/>
      <c r="AW188" s="380"/>
      <c r="AX188" s="380"/>
      <c r="AY188" s="380">
        <v>2</v>
      </c>
      <c r="AZ188" s="380"/>
      <c r="BA188" s="380"/>
      <c r="BB188" s="617"/>
      <c r="BC188" s="381"/>
      <c r="BD188" s="379">
        <f t="shared" si="17"/>
        <v>2734</v>
      </c>
      <c r="BE188" s="380">
        <f t="shared" si="18"/>
        <v>2806</v>
      </c>
      <c r="BF188" s="380">
        <f t="shared" si="19"/>
        <v>2597</v>
      </c>
      <c r="BG188" s="380">
        <f t="shared" si="20"/>
        <v>2668</v>
      </c>
      <c r="BH188" s="380">
        <f t="shared" si="21"/>
        <v>2383</v>
      </c>
      <c r="BI188" s="380">
        <f t="shared" si="22"/>
        <v>2084</v>
      </c>
      <c r="BJ188" s="380">
        <f t="shared" si="23"/>
        <v>2002</v>
      </c>
      <c r="BK188" s="617">
        <f t="shared" si="24"/>
        <v>1853</v>
      </c>
      <c r="BL188" s="381">
        <f t="shared" si="24"/>
        <v>0</v>
      </c>
    </row>
    <row r="189" spans="1:64" x14ac:dyDescent="0.2">
      <c r="A189" s="365" t="s">
        <v>768</v>
      </c>
      <c r="B189" s="377"/>
      <c r="C189" s="373"/>
      <c r="D189" s="373"/>
      <c r="E189" s="373"/>
      <c r="F189" s="373"/>
      <c r="G189" s="373"/>
      <c r="H189" s="373"/>
      <c r="I189" s="618"/>
      <c r="J189" s="374"/>
      <c r="K189" s="377">
        <v>64</v>
      </c>
      <c r="L189" s="373">
        <v>47</v>
      </c>
      <c r="M189" s="373">
        <v>48</v>
      </c>
      <c r="N189" s="373">
        <v>66</v>
      </c>
      <c r="O189" s="373">
        <v>60</v>
      </c>
      <c r="P189" s="373">
        <v>24</v>
      </c>
      <c r="Q189" s="373">
        <v>29</v>
      </c>
      <c r="R189" s="618">
        <v>25</v>
      </c>
      <c r="S189" s="374"/>
      <c r="T189" s="377">
        <v>98</v>
      </c>
      <c r="U189" s="373">
        <v>122</v>
      </c>
      <c r="V189" s="373">
        <v>96</v>
      </c>
      <c r="W189" s="373">
        <v>82</v>
      </c>
      <c r="X189" s="373">
        <v>96</v>
      </c>
      <c r="Y189" s="373">
        <v>88</v>
      </c>
      <c r="Z189" s="373">
        <v>87</v>
      </c>
      <c r="AA189" s="618">
        <v>81</v>
      </c>
      <c r="AB189" s="374"/>
      <c r="AC189" s="377">
        <v>317</v>
      </c>
      <c r="AD189" s="373">
        <v>325</v>
      </c>
      <c r="AE189" s="373">
        <v>302</v>
      </c>
      <c r="AF189" s="373">
        <v>401</v>
      </c>
      <c r="AG189" s="373">
        <v>300</v>
      </c>
      <c r="AH189" s="373">
        <v>304</v>
      </c>
      <c r="AI189" s="373">
        <v>283</v>
      </c>
      <c r="AJ189" s="618">
        <v>268</v>
      </c>
      <c r="AK189" s="374"/>
      <c r="AL189" s="377">
        <v>12</v>
      </c>
      <c r="AM189" s="373">
        <v>29</v>
      </c>
      <c r="AN189" s="373">
        <v>29</v>
      </c>
      <c r="AO189" s="373">
        <v>28</v>
      </c>
      <c r="AP189" s="373">
        <v>34</v>
      </c>
      <c r="AQ189" s="373">
        <v>43</v>
      </c>
      <c r="AR189" s="373">
        <v>47</v>
      </c>
      <c r="AS189" s="618">
        <v>42</v>
      </c>
      <c r="AT189" s="374"/>
      <c r="AU189" s="377"/>
      <c r="AV189" s="373"/>
      <c r="AW189" s="373"/>
      <c r="AX189" s="373"/>
      <c r="AY189" s="373">
        <v>1</v>
      </c>
      <c r="AZ189" s="373"/>
      <c r="BA189" s="373"/>
      <c r="BB189" s="618"/>
      <c r="BC189" s="374"/>
      <c r="BD189" s="377">
        <f t="shared" si="17"/>
        <v>491</v>
      </c>
      <c r="BE189" s="373">
        <f t="shared" si="18"/>
        <v>523</v>
      </c>
      <c r="BF189" s="373">
        <f t="shared" si="19"/>
        <v>475</v>
      </c>
      <c r="BG189" s="373">
        <f t="shared" si="20"/>
        <v>577</v>
      </c>
      <c r="BH189" s="373">
        <f t="shared" si="21"/>
        <v>491</v>
      </c>
      <c r="BI189" s="373">
        <f t="shared" si="22"/>
        <v>459</v>
      </c>
      <c r="BJ189" s="373">
        <f t="shared" si="23"/>
        <v>446</v>
      </c>
      <c r="BK189" s="618">
        <f t="shared" si="24"/>
        <v>416</v>
      </c>
      <c r="BL189" s="374">
        <f t="shared" si="24"/>
        <v>0</v>
      </c>
    </row>
    <row r="190" spans="1:64" x14ac:dyDescent="0.2">
      <c r="A190" s="365" t="s">
        <v>628</v>
      </c>
      <c r="B190" s="377"/>
      <c r="C190" s="373"/>
      <c r="D190" s="373"/>
      <c r="E190" s="373"/>
      <c r="F190" s="373"/>
      <c r="G190" s="373"/>
      <c r="H190" s="373"/>
      <c r="I190" s="618"/>
      <c r="J190" s="374"/>
      <c r="K190" s="377">
        <v>35</v>
      </c>
      <c r="L190" s="373">
        <v>39</v>
      </c>
      <c r="M190" s="373">
        <v>12</v>
      </c>
      <c r="N190" s="373">
        <v>15</v>
      </c>
      <c r="O190" s="373">
        <v>17</v>
      </c>
      <c r="P190" s="373">
        <v>25</v>
      </c>
      <c r="Q190" s="373">
        <v>21</v>
      </c>
      <c r="R190" s="618">
        <v>7</v>
      </c>
      <c r="S190" s="374"/>
      <c r="T190" s="377">
        <v>72</v>
      </c>
      <c r="U190" s="373">
        <v>49</v>
      </c>
      <c r="V190" s="373">
        <v>54</v>
      </c>
      <c r="W190" s="373">
        <v>51</v>
      </c>
      <c r="X190" s="373">
        <v>55</v>
      </c>
      <c r="Y190" s="373">
        <v>40</v>
      </c>
      <c r="Z190" s="373">
        <v>37</v>
      </c>
      <c r="AA190" s="618">
        <v>20</v>
      </c>
      <c r="AB190" s="374"/>
      <c r="AC190" s="377">
        <v>195</v>
      </c>
      <c r="AD190" s="373">
        <v>198</v>
      </c>
      <c r="AE190" s="373">
        <v>180</v>
      </c>
      <c r="AF190" s="373">
        <v>162</v>
      </c>
      <c r="AG190" s="373">
        <v>154</v>
      </c>
      <c r="AH190" s="373">
        <v>136</v>
      </c>
      <c r="AI190" s="373">
        <v>124</v>
      </c>
      <c r="AJ190" s="618">
        <v>98</v>
      </c>
      <c r="AK190" s="374"/>
      <c r="AL190" s="377">
        <v>16</v>
      </c>
      <c r="AM190" s="373">
        <v>18</v>
      </c>
      <c r="AN190" s="373">
        <v>9</v>
      </c>
      <c r="AO190" s="373">
        <v>15</v>
      </c>
      <c r="AP190" s="373">
        <v>11</v>
      </c>
      <c r="AQ190" s="373">
        <v>9</v>
      </c>
      <c r="AR190" s="373">
        <v>18</v>
      </c>
      <c r="AS190" s="618">
        <v>19</v>
      </c>
      <c r="AT190" s="374"/>
      <c r="AU190" s="377"/>
      <c r="AV190" s="373"/>
      <c r="AW190" s="373"/>
      <c r="AX190" s="373"/>
      <c r="AY190" s="373"/>
      <c r="AZ190" s="373"/>
      <c r="BA190" s="373"/>
      <c r="BB190" s="618"/>
      <c r="BC190" s="374"/>
      <c r="BD190" s="377">
        <f t="shared" si="17"/>
        <v>318</v>
      </c>
      <c r="BE190" s="373">
        <f t="shared" si="18"/>
        <v>304</v>
      </c>
      <c r="BF190" s="373">
        <f t="shared" si="19"/>
        <v>255</v>
      </c>
      <c r="BG190" s="373">
        <f t="shared" si="20"/>
        <v>243</v>
      </c>
      <c r="BH190" s="373">
        <f t="shared" si="21"/>
        <v>237</v>
      </c>
      <c r="BI190" s="373">
        <f t="shared" si="22"/>
        <v>210</v>
      </c>
      <c r="BJ190" s="373">
        <f t="shared" si="23"/>
        <v>200</v>
      </c>
      <c r="BK190" s="618">
        <f t="shared" si="24"/>
        <v>144</v>
      </c>
      <c r="BL190" s="374">
        <f t="shared" si="24"/>
        <v>0</v>
      </c>
    </row>
    <row r="191" spans="1:64" x14ac:dyDescent="0.2">
      <c r="A191" s="365" t="s">
        <v>767</v>
      </c>
      <c r="B191" s="377"/>
      <c r="C191" s="373"/>
      <c r="D191" s="373"/>
      <c r="E191" s="373"/>
      <c r="F191" s="373">
        <v>1</v>
      </c>
      <c r="G191" s="373"/>
      <c r="H191" s="373"/>
      <c r="I191" s="618"/>
      <c r="J191" s="374"/>
      <c r="K191" s="377">
        <v>88</v>
      </c>
      <c r="L191" s="373">
        <v>88</v>
      </c>
      <c r="M191" s="373">
        <v>112</v>
      </c>
      <c r="N191" s="373">
        <v>68</v>
      </c>
      <c r="O191" s="373">
        <v>80</v>
      </c>
      <c r="P191" s="373">
        <v>64</v>
      </c>
      <c r="Q191" s="373">
        <v>54</v>
      </c>
      <c r="R191" s="618">
        <v>60</v>
      </c>
      <c r="S191" s="374"/>
      <c r="T191" s="377">
        <v>202</v>
      </c>
      <c r="U191" s="373">
        <v>216</v>
      </c>
      <c r="V191" s="373">
        <v>180</v>
      </c>
      <c r="W191" s="373">
        <v>173</v>
      </c>
      <c r="X191" s="373">
        <v>159</v>
      </c>
      <c r="Y191" s="373">
        <v>133</v>
      </c>
      <c r="Z191" s="373">
        <v>115</v>
      </c>
      <c r="AA191" s="618">
        <v>121</v>
      </c>
      <c r="AB191" s="374"/>
      <c r="AC191" s="377">
        <v>520</v>
      </c>
      <c r="AD191" s="373">
        <v>536</v>
      </c>
      <c r="AE191" s="373">
        <v>535</v>
      </c>
      <c r="AF191" s="373">
        <v>592</v>
      </c>
      <c r="AG191" s="373">
        <v>530</v>
      </c>
      <c r="AH191" s="373">
        <v>382</v>
      </c>
      <c r="AI191" s="373">
        <v>431</v>
      </c>
      <c r="AJ191" s="618">
        <v>372</v>
      </c>
      <c r="AK191" s="374"/>
      <c r="AL191" s="377">
        <v>32</v>
      </c>
      <c r="AM191" s="373">
        <v>20</v>
      </c>
      <c r="AN191" s="373">
        <v>29</v>
      </c>
      <c r="AO191" s="373">
        <v>34</v>
      </c>
      <c r="AP191" s="373">
        <v>34</v>
      </c>
      <c r="AQ191" s="373">
        <v>38</v>
      </c>
      <c r="AR191" s="373">
        <v>34</v>
      </c>
      <c r="AS191" s="618">
        <v>44</v>
      </c>
      <c r="AT191" s="374"/>
      <c r="AU191" s="377"/>
      <c r="AV191" s="373"/>
      <c r="AW191" s="373"/>
      <c r="AX191" s="373"/>
      <c r="AY191" s="373"/>
      <c r="AZ191" s="373"/>
      <c r="BA191" s="373"/>
      <c r="BB191" s="618"/>
      <c r="BC191" s="374"/>
      <c r="BD191" s="377">
        <f t="shared" si="17"/>
        <v>842</v>
      </c>
      <c r="BE191" s="373">
        <f t="shared" si="18"/>
        <v>860</v>
      </c>
      <c r="BF191" s="373">
        <f t="shared" si="19"/>
        <v>856</v>
      </c>
      <c r="BG191" s="373">
        <f t="shared" si="20"/>
        <v>867</v>
      </c>
      <c r="BH191" s="373">
        <f t="shared" si="21"/>
        <v>804</v>
      </c>
      <c r="BI191" s="373">
        <f t="shared" si="22"/>
        <v>617</v>
      </c>
      <c r="BJ191" s="373">
        <f t="shared" si="23"/>
        <v>634</v>
      </c>
      <c r="BK191" s="618">
        <f t="shared" si="24"/>
        <v>597</v>
      </c>
      <c r="BL191" s="374">
        <f t="shared" si="24"/>
        <v>0</v>
      </c>
    </row>
    <row r="192" spans="1:64" x14ac:dyDescent="0.2">
      <c r="A192" s="365" t="s">
        <v>826</v>
      </c>
      <c r="B192" s="377"/>
      <c r="C192" s="373"/>
      <c r="D192" s="373"/>
      <c r="E192" s="373"/>
      <c r="F192" s="373"/>
      <c r="G192" s="373"/>
      <c r="H192" s="373"/>
      <c r="I192" s="618"/>
      <c r="J192" s="374"/>
      <c r="K192" s="377">
        <v>10</v>
      </c>
      <c r="L192" s="373">
        <v>4</v>
      </c>
      <c r="M192" s="373">
        <v>12</v>
      </c>
      <c r="N192" s="373">
        <v>12</v>
      </c>
      <c r="O192" s="373">
        <v>2</v>
      </c>
      <c r="P192" s="373">
        <v>2</v>
      </c>
      <c r="Q192" s="373">
        <v>6</v>
      </c>
      <c r="R192" s="618">
        <v>2</v>
      </c>
      <c r="S192" s="374"/>
      <c r="T192" s="377">
        <v>21</v>
      </c>
      <c r="U192" s="373">
        <v>20</v>
      </c>
      <c r="V192" s="373">
        <v>19</v>
      </c>
      <c r="W192" s="373">
        <v>12</v>
      </c>
      <c r="X192" s="373">
        <v>9</v>
      </c>
      <c r="Y192" s="373">
        <v>23</v>
      </c>
      <c r="Z192" s="373">
        <v>12</v>
      </c>
      <c r="AA192" s="618">
        <v>10</v>
      </c>
      <c r="AB192" s="374"/>
      <c r="AC192" s="377">
        <v>77</v>
      </c>
      <c r="AD192" s="373">
        <v>110</v>
      </c>
      <c r="AE192" s="373">
        <v>43</v>
      </c>
      <c r="AF192" s="373">
        <v>82</v>
      </c>
      <c r="AG192" s="373">
        <v>64</v>
      </c>
      <c r="AH192" s="373">
        <v>88</v>
      </c>
      <c r="AI192" s="373">
        <v>57</v>
      </c>
      <c r="AJ192" s="618">
        <v>59</v>
      </c>
      <c r="AK192" s="374"/>
      <c r="AL192" s="377">
        <v>6</v>
      </c>
      <c r="AM192" s="373">
        <v>4</v>
      </c>
      <c r="AN192" s="373">
        <v>3</v>
      </c>
      <c r="AO192" s="373">
        <v>11</v>
      </c>
      <c r="AP192" s="373">
        <v>2</v>
      </c>
      <c r="AQ192" s="373">
        <v>8</v>
      </c>
      <c r="AR192" s="373">
        <v>6</v>
      </c>
      <c r="AS192" s="618">
        <v>4</v>
      </c>
      <c r="AT192" s="374"/>
      <c r="AU192" s="377"/>
      <c r="AV192" s="373"/>
      <c r="AW192" s="373"/>
      <c r="AX192" s="373"/>
      <c r="AY192" s="373"/>
      <c r="AZ192" s="373"/>
      <c r="BA192" s="373"/>
      <c r="BB192" s="618"/>
      <c r="BC192" s="374"/>
      <c r="BD192" s="377">
        <f t="shared" si="17"/>
        <v>114</v>
      </c>
      <c r="BE192" s="373">
        <f t="shared" si="18"/>
        <v>138</v>
      </c>
      <c r="BF192" s="373">
        <f t="shared" si="19"/>
        <v>77</v>
      </c>
      <c r="BG192" s="373">
        <f t="shared" si="20"/>
        <v>117</v>
      </c>
      <c r="BH192" s="373">
        <f t="shared" si="21"/>
        <v>77</v>
      </c>
      <c r="BI192" s="373">
        <f t="shared" si="22"/>
        <v>121</v>
      </c>
      <c r="BJ192" s="373">
        <f t="shared" si="23"/>
        <v>81</v>
      </c>
      <c r="BK192" s="618">
        <f t="shared" si="24"/>
        <v>75</v>
      </c>
      <c r="BL192" s="374">
        <f t="shared" si="24"/>
        <v>0</v>
      </c>
    </row>
    <row r="193" spans="1:64" ht="13.5" thickBot="1" x14ac:dyDescent="0.25">
      <c r="A193" s="366" t="s">
        <v>766</v>
      </c>
      <c r="B193" s="378"/>
      <c r="C193" s="375"/>
      <c r="D193" s="375"/>
      <c r="E193" s="375"/>
      <c r="F193" s="375"/>
      <c r="G193" s="375">
        <v>2</v>
      </c>
      <c r="H193" s="375"/>
      <c r="I193" s="619"/>
      <c r="J193" s="376"/>
      <c r="K193" s="378">
        <v>112</v>
      </c>
      <c r="L193" s="375">
        <v>85</v>
      </c>
      <c r="M193" s="375">
        <v>104</v>
      </c>
      <c r="N193" s="375">
        <v>91</v>
      </c>
      <c r="O193" s="375">
        <v>66</v>
      </c>
      <c r="P193" s="375">
        <v>66</v>
      </c>
      <c r="Q193" s="375">
        <v>45</v>
      </c>
      <c r="R193" s="619">
        <v>38</v>
      </c>
      <c r="S193" s="376"/>
      <c r="T193" s="378">
        <v>203</v>
      </c>
      <c r="U193" s="375">
        <v>227</v>
      </c>
      <c r="V193" s="375">
        <v>195</v>
      </c>
      <c r="W193" s="375">
        <v>171</v>
      </c>
      <c r="X193" s="375">
        <v>153</v>
      </c>
      <c r="Y193" s="375">
        <v>136</v>
      </c>
      <c r="Z193" s="375">
        <v>140</v>
      </c>
      <c r="AA193" s="619">
        <v>138</v>
      </c>
      <c r="AB193" s="376"/>
      <c r="AC193" s="378">
        <v>621</v>
      </c>
      <c r="AD193" s="375">
        <v>641</v>
      </c>
      <c r="AE193" s="375">
        <v>593</v>
      </c>
      <c r="AF193" s="375">
        <v>572</v>
      </c>
      <c r="AG193" s="375">
        <v>516</v>
      </c>
      <c r="AH193" s="375">
        <v>447</v>
      </c>
      <c r="AI193" s="375">
        <v>412</v>
      </c>
      <c r="AJ193" s="619">
        <v>400</v>
      </c>
      <c r="AK193" s="376"/>
      <c r="AL193" s="378">
        <v>33</v>
      </c>
      <c r="AM193" s="375">
        <v>28</v>
      </c>
      <c r="AN193" s="375">
        <v>42</v>
      </c>
      <c r="AO193" s="375">
        <v>30</v>
      </c>
      <c r="AP193" s="375">
        <v>38</v>
      </c>
      <c r="AQ193" s="375">
        <v>26</v>
      </c>
      <c r="AR193" s="375">
        <v>44</v>
      </c>
      <c r="AS193" s="619">
        <v>45</v>
      </c>
      <c r="AT193" s="376"/>
      <c r="AU193" s="378"/>
      <c r="AV193" s="375"/>
      <c r="AW193" s="375"/>
      <c r="AX193" s="375"/>
      <c r="AY193" s="375">
        <v>1</v>
      </c>
      <c r="AZ193" s="375"/>
      <c r="BA193" s="375"/>
      <c r="BB193" s="619"/>
      <c r="BC193" s="376"/>
      <c r="BD193" s="378">
        <f t="shared" si="17"/>
        <v>969</v>
      </c>
      <c r="BE193" s="375">
        <f t="shared" si="18"/>
        <v>981</v>
      </c>
      <c r="BF193" s="375">
        <f t="shared" si="19"/>
        <v>934</v>
      </c>
      <c r="BG193" s="375">
        <f t="shared" si="20"/>
        <v>864</v>
      </c>
      <c r="BH193" s="375">
        <f t="shared" si="21"/>
        <v>774</v>
      </c>
      <c r="BI193" s="375">
        <f t="shared" si="22"/>
        <v>677</v>
      </c>
      <c r="BJ193" s="375">
        <f t="shared" si="23"/>
        <v>641</v>
      </c>
      <c r="BK193" s="619">
        <f t="shared" si="24"/>
        <v>621</v>
      </c>
      <c r="BL193" s="376">
        <f t="shared" si="24"/>
        <v>0</v>
      </c>
    </row>
    <row r="194" spans="1:64" x14ac:dyDescent="0.2">
      <c r="A194" s="802" t="s">
        <v>808</v>
      </c>
      <c r="B194" s="445"/>
      <c r="C194" s="446"/>
      <c r="D194" s="446"/>
      <c r="E194" s="446"/>
      <c r="F194" s="446"/>
      <c r="G194" s="446"/>
      <c r="H194" s="446"/>
      <c r="I194" s="803"/>
      <c r="J194" s="804"/>
      <c r="K194" s="445">
        <v>3</v>
      </c>
      <c r="L194" s="446">
        <v>5</v>
      </c>
      <c r="M194" s="446">
        <v>1</v>
      </c>
      <c r="N194" s="446">
        <v>10</v>
      </c>
      <c r="O194" s="446">
        <v>10</v>
      </c>
      <c r="P194" s="446">
        <v>10</v>
      </c>
      <c r="Q194" s="446">
        <v>5</v>
      </c>
      <c r="R194" s="803">
        <v>2</v>
      </c>
      <c r="S194" s="804"/>
      <c r="T194" s="445">
        <v>61</v>
      </c>
      <c r="U194" s="446">
        <v>36</v>
      </c>
      <c r="V194" s="446">
        <v>41</v>
      </c>
      <c r="W194" s="446">
        <v>57</v>
      </c>
      <c r="X194" s="446">
        <v>76</v>
      </c>
      <c r="Y194" s="446">
        <v>98</v>
      </c>
      <c r="Z194" s="446">
        <v>160</v>
      </c>
      <c r="AA194" s="803">
        <v>113</v>
      </c>
      <c r="AB194" s="804"/>
      <c r="AC194" s="445">
        <v>408</v>
      </c>
      <c r="AD194" s="446">
        <v>242</v>
      </c>
      <c r="AE194" s="446">
        <v>248</v>
      </c>
      <c r="AF194" s="446">
        <v>296</v>
      </c>
      <c r="AG194" s="446">
        <v>455</v>
      </c>
      <c r="AH194" s="446">
        <v>440</v>
      </c>
      <c r="AI194" s="446">
        <v>588</v>
      </c>
      <c r="AJ194" s="803">
        <v>535</v>
      </c>
      <c r="AK194" s="804"/>
      <c r="AL194" s="445">
        <v>13</v>
      </c>
      <c r="AM194" s="446">
        <v>4</v>
      </c>
      <c r="AN194" s="446">
        <v>7</v>
      </c>
      <c r="AO194" s="446">
        <v>7</v>
      </c>
      <c r="AP194" s="446">
        <v>20</v>
      </c>
      <c r="AQ194" s="446">
        <v>10</v>
      </c>
      <c r="AR194" s="446">
        <v>20</v>
      </c>
      <c r="AS194" s="803">
        <v>29</v>
      </c>
      <c r="AT194" s="804"/>
      <c r="AU194" s="445"/>
      <c r="AV194" s="446"/>
      <c r="AW194" s="446"/>
      <c r="AX194" s="446"/>
      <c r="AY194" s="446"/>
      <c r="AZ194" s="446"/>
      <c r="BA194" s="446"/>
      <c r="BB194" s="803"/>
      <c r="BC194" s="804"/>
      <c r="BD194" s="445">
        <f t="shared" si="17"/>
        <v>485</v>
      </c>
      <c r="BE194" s="446">
        <f t="shared" si="18"/>
        <v>287</v>
      </c>
      <c r="BF194" s="446">
        <f t="shared" si="19"/>
        <v>297</v>
      </c>
      <c r="BG194" s="446">
        <f t="shared" si="20"/>
        <v>370</v>
      </c>
      <c r="BH194" s="446">
        <f t="shared" si="21"/>
        <v>561</v>
      </c>
      <c r="BI194" s="446">
        <f t="shared" si="22"/>
        <v>558</v>
      </c>
      <c r="BJ194" s="446">
        <f t="shared" si="23"/>
        <v>773</v>
      </c>
      <c r="BK194" s="803">
        <f t="shared" si="24"/>
        <v>679</v>
      </c>
      <c r="BL194" s="804">
        <f t="shared" si="24"/>
        <v>0</v>
      </c>
    </row>
    <row r="195" spans="1:64" s="264" customFormat="1" x14ac:dyDescent="0.2">
      <c r="A195" s="805" t="s">
        <v>614</v>
      </c>
      <c r="B195" s="806"/>
      <c r="C195" s="807"/>
      <c r="D195" s="807"/>
      <c r="E195" s="807"/>
      <c r="F195" s="807"/>
      <c r="G195" s="807"/>
      <c r="H195" s="807"/>
      <c r="I195" s="808"/>
      <c r="J195" s="809"/>
      <c r="K195" s="806">
        <v>2</v>
      </c>
      <c r="L195" s="807">
        <v>3</v>
      </c>
      <c r="M195" s="807">
        <v>1</v>
      </c>
      <c r="N195" s="807">
        <v>5</v>
      </c>
      <c r="O195" s="807">
        <v>7</v>
      </c>
      <c r="P195" s="807">
        <v>7</v>
      </c>
      <c r="Q195" s="807">
        <v>3</v>
      </c>
      <c r="R195" s="808">
        <v>2</v>
      </c>
      <c r="S195" s="809"/>
      <c r="T195" s="806">
        <v>25</v>
      </c>
      <c r="U195" s="807">
        <v>22</v>
      </c>
      <c r="V195" s="807">
        <v>7</v>
      </c>
      <c r="W195" s="807">
        <v>35</v>
      </c>
      <c r="X195" s="807">
        <v>59</v>
      </c>
      <c r="Y195" s="807">
        <v>63</v>
      </c>
      <c r="Z195" s="807">
        <v>130</v>
      </c>
      <c r="AA195" s="808">
        <v>84</v>
      </c>
      <c r="AB195" s="809"/>
      <c r="AC195" s="806">
        <v>279</v>
      </c>
      <c r="AD195" s="807">
        <v>175</v>
      </c>
      <c r="AE195" s="807">
        <v>144</v>
      </c>
      <c r="AF195" s="807">
        <v>196</v>
      </c>
      <c r="AG195" s="807">
        <v>363</v>
      </c>
      <c r="AH195" s="807">
        <v>325</v>
      </c>
      <c r="AI195" s="807">
        <v>466</v>
      </c>
      <c r="AJ195" s="808">
        <v>413</v>
      </c>
      <c r="AK195" s="809"/>
      <c r="AL195" s="806">
        <v>6</v>
      </c>
      <c r="AM195" s="807">
        <v>3</v>
      </c>
      <c r="AN195" s="807">
        <v>3</v>
      </c>
      <c r="AO195" s="807">
        <v>5</v>
      </c>
      <c r="AP195" s="807">
        <v>11</v>
      </c>
      <c r="AQ195" s="807">
        <v>5</v>
      </c>
      <c r="AR195" s="807">
        <v>13</v>
      </c>
      <c r="AS195" s="808">
        <v>16</v>
      </c>
      <c r="AT195" s="809"/>
      <c r="AU195" s="806"/>
      <c r="AV195" s="807"/>
      <c r="AW195" s="807"/>
      <c r="AX195" s="807"/>
      <c r="AY195" s="807"/>
      <c r="AZ195" s="807"/>
      <c r="BA195" s="807"/>
      <c r="BB195" s="808"/>
      <c r="BC195" s="809"/>
      <c r="BD195" s="806">
        <f t="shared" si="17"/>
        <v>312</v>
      </c>
      <c r="BE195" s="807">
        <f t="shared" si="18"/>
        <v>203</v>
      </c>
      <c r="BF195" s="807">
        <f t="shared" si="19"/>
        <v>155</v>
      </c>
      <c r="BG195" s="807">
        <f t="shared" si="20"/>
        <v>241</v>
      </c>
      <c r="BH195" s="807">
        <f t="shared" si="21"/>
        <v>440</v>
      </c>
      <c r="BI195" s="807">
        <f t="shared" si="22"/>
        <v>400</v>
      </c>
      <c r="BJ195" s="807">
        <f t="shared" si="23"/>
        <v>612</v>
      </c>
      <c r="BK195" s="808">
        <f t="shared" si="24"/>
        <v>515</v>
      </c>
      <c r="BL195" s="809">
        <f t="shared" si="24"/>
        <v>0</v>
      </c>
    </row>
    <row r="196" spans="1:64" s="264" customFormat="1" x14ac:dyDescent="0.2">
      <c r="A196" s="805" t="s">
        <v>613</v>
      </c>
      <c r="B196" s="806"/>
      <c r="C196" s="807"/>
      <c r="D196" s="807"/>
      <c r="E196" s="807"/>
      <c r="F196" s="807"/>
      <c r="G196" s="807"/>
      <c r="H196" s="807"/>
      <c r="I196" s="808"/>
      <c r="J196" s="809"/>
      <c r="K196" s="806"/>
      <c r="L196" s="807"/>
      <c r="M196" s="807"/>
      <c r="N196" s="807"/>
      <c r="O196" s="807"/>
      <c r="P196" s="807"/>
      <c r="Q196" s="807"/>
      <c r="R196" s="808"/>
      <c r="S196" s="809"/>
      <c r="T196" s="806"/>
      <c r="U196" s="807"/>
      <c r="V196" s="807"/>
      <c r="W196" s="807"/>
      <c r="X196" s="807"/>
      <c r="Y196" s="807"/>
      <c r="Z196" s="807"/>
      <c r="AA196" s="808"/>
      <c r="AB196" s="809"/>
      <c r="AC196" s="806"/>
      <c r="AD196" s="807"/>
      <c r="AE196" s="807"/>
      <c r="AF196" s="807"/>
      <c r="AG196" s="807"/>
      <c r="AH196" s="807">
        <v>1</v>
      </c>
      <c r="AI196" s="807"/>
      <c r="AJ196" s="808"/>
      <c r="AK196" s="809"/>
      <c r="AL196" s="806"/>
      <c r="AM196" s="807"/>
      <c r="AN196" s="807"/>
      <c r="AO196" s="807"/>
      <c r="AP196" s="807"/>
      <c r="AQ196" s="807"/>
      <c r="AR196" s="807"/>
      <c r="AS196" s="808"/>
      <c r="AT196" s="809"/>
      <c r="AU196" s="806"/>
      <c r="AV196" s="807"/>
      <c r="AW196" s="807"/>
      <c r="AX196" s="807"/>
      <c r="AY196" s="807"/>
      <c r="AZ196" s="807"/>
      <c r="BA196" s="807"/>
      <c r="BB196" s="808"/>
      <c r="BC196" s="809"/>
      <c r="BD196" s="806">
        <f t="shared" ref="BD196:BI199" si="25">SUM(B196,K196,T196,AC196,AL196,AU196)</f>
        <v>0</v>
      </c>
      <c r="BE196" s="807">
        <f t="shared" si="25"/>
        <v>0</v>
      </c>
      <c r="BF196" s="807">
        <f t="shared" si="25"/>
        <v>0</v>
      </c>
      <c r="BG196" s="807">
        <f t="shared" si="25"/>
        <v>0</v>
      </c>
      <c r="BH196" s="807">
        <f t="shared" si="25"/>
        <v>0</v>
      </c>
      <c r="BI196" s="807">
        <f t="shared" si="25"/>
        <v>1</v>
      </c>
      <c r="BJ196" s="807">
        <f t="shared" ref="BJ196:BJ199" si="26">SUM(H196,Q196,Z196,AI196,AR196,BA196)</f>
        <v>0</v>
      </c>
      <c r="BK196" s="808">
        <f t="shared" ref="BK196:BL199" si="27">SUM(I196,R196,AA196,AJ196,AS196,BB196)</f>
        <v>0</v>
      </c>
      <c r="BL196" s="809">
        <f t="shared" si="27"/>
        <v>0</v>
      </c>
    </row>
    <row r="197" spans="1:64" s="264" customFormat="1" x14ac:dyDescent="0.2">
      <c r="A197" s="805" t="s">
        <v>615</v>
      </c>
      <c r="B197" s="806"/>
      <c r="C197" s="807"/>
      <c r="D197" s="807"/>
      <c r="E197" s="807"/>
      <c r="F197" s="807"/>
      <c r="G197" s="807"/>
      <c r="H197" s="807"/>
      <c r="I197" s="808"/>
      <c r="J197" s="809"/>
      <c r="K197" s="806"/>
      <c r="L197" s="807"/>
      <c r="M197" s="807"/>
      <c r="N197" s="807"/>
      <c r="O197" s="807"/>
      <c r="P197" s="807"/>
      <c r="Q197" s="807"/>
      <c r="R197" s="808"/>
      <c r="S197" s="809"/>
      <c r="T197" s="806"/>
      <c r="U197" s="807"/>
      <c r="V197" s="807"/>
      <c r="W197" s="807">
        <v>1</v>
      </c>
      <c r="X197" s="807"/>
      <c r="Y197" s="807">
        <v>4</v>
      </c>
      <c r="Z197" s="807"/>
      <c r="AA197" s="808"/>
      <c r="AB197" s="809"/>
      <c r="AC197" s="806"/>
      <c r="AD197" s="807"/>
      <c r="AE197" s="807"/>
      <c r="AF197" s="807">
        <v>18</v>
      </c>
      <c r="AG197" s="807"/>
      <c r="AH197" s="807">
        <v>4</v>
      </c>
      <c r="AI197" s="807"/>
      <c r="AJ197" s="808"/>
      <c r="AK197" s="809"/>
      <c r="AL197" s="806"/>
      <c r="AM197" s="807"/>
      <c r="AN197" s="807"/>
      <c r="AO197" s="807"/>
      <c r="AP197" s="807"/>
      <c r="AQ197" s="807"/>
      <c r="AR197" s="807"/>
      <c r="AS197" s="808"/>
      <c r="AT197" s="809"/>
      <c r="AU197" s="806"/>
      <c r="AV197" s="807"/>
      <c r="AW197" s="807"/>
      <c r="AX197" s="807"/>
      <c r="AY197" s="807"/>
      <c r="AZ197" s="807"/>
      <c r="BA197" s="807"/>
      <c r="BB197" s="808"/>
      <c r="BC197" s="809"/>
      <c r="BD197" s="806">
        <f t="shared" si="25"/>
        <v>0</v>
      </c>
      <c r="BE197" s="807">
        <f t="shared" si="25"/>
        <v>0</v>
      </c>
      <c r="BF197" s="807">
        <f t="shared" si="25"/>
        <v>0</v>
      </c>
      <c r="BG197" s="807">
        <f t="shared" si="25"/>
        <v>19</v>
      </c>
      <c r="BH197" s="807">
        <f t="shared" si="25"/>
        <v>0</v>
      </c>
      <c r="BI197" s="807">
        <f t="shared" si="25"/>
        <v>8</v>
      </c>
      <c r="BJ197" s="807">
        <f t="shared" si="26"/>
        <v>0</v>
      </c>
      <c r="BK197" s="808">
        <f t="shared" si="27"/>
        <v>0</v>
      </c>
      <c r="BL197" s="809">
        <f t="shared" si="27"/>
        <v>0</v>
      </c>
    </row>
    <row r="198" spans="1:64" s="264" customFormat="1" ht="13.5" thickBot="1" x14ac:dyDescent="0.25">
      <c r="A198" s="810" t="s">
        <v>830</v>
      </c>
      <c r="B198" s="811"/>
      <c r="C198" s="812"/>
      <c r="D198" s="812"/>
      <c r="E198" s="812"/>
      <c r="F198" s="812"/>
      <c r="G198" s="812"/>
      <c r="H198" s="812"/>
      <c r="I198" s="813"/>
      <c r="J198" s="814"/>
      <c r="K198" s="811">
        <v>1</v>
      </c>
      <c r="L198" s="812">
        <v>2</v>
      </c>
      <c r="M198" s="812"/>
      <c r="N198" s="812">
        <v>5</v>
      </c>
      <c r="O198" s="812">
        <v>3</v>
      </c>
      <c r="P198" s="812">
        <v>3</v>
      </c>
      <c r="Q198" s="812">
        <v>2</v>
      </c>
      <c r="R198" s="813"/>
      <c r="S198" s="814"/>
      <c r="T198" s="811">
        <v>36</v>
      </c>
      <c r="U198" s="812">
        <v>14</v>
      </c>
      <c r="V198" s="812">
        <v>34</v>
      </c>
      <c r="W198" s="812">
        <v>21</v>
      </c>
      <c r="X198" s="812">
        <v>17</v>
      </c>
      <c r="Y198" s="812">
        <v>31</v>
      </c>
      <c r="Z198" s="812">
        <v>30</v>
      </c>
      <c r="AA198" s="813">
        <v>29</v>
      </c>
      <c r="AB198" s="814"/>
      <c r="AC198" s="811">
        <v>129</v>
      </c>
      <c r="AD198" s="812">
        <v>67</v>
      </c>
      <c r="AE198" s="812">
        <v>104</v>
      </c>
      <c r="AF198" s="812">
        <v>82</v>
      </c>
      <c r="AG198" s="812">
        <v>92</v>
      </c>
      <c r="AH198" s="812">
        <v>110</v>
      </c>
      <c r="AI198" s="812">
        <v>122</v>
      </c>
      <c r="AJ198" s="813">
        <v>122</v>
      </c>
      <c r="AK198" s="814"/>
      <c r="AL198" s="811">
        <v>7</v>
      </c>
      <c r="AM198" s="812">
        <v>1</v>
      </c>
      <c r="AN198" s="812">
        <v>4</v>
      </c>
      <c r="AO198" s="812">
        <v>2</v>
      </c>
      <c r="AP198" s="812">
        <v>9</v>
      </c>
      <c r="AQ198" s="812">
        <v>5</v>
      </c>
      <c r="AR198" s="812">
        <v>7</v>
      </c>
      <c r="AS198" s="813">
        <v>13</v>
      </c>
      <c r="AT198" s="814"/>
      <c r="AU198" s="811"/>
      <c r="AV198" s="812"/>
      <c r="AW198" s="812"/>
      <c r="AX198" s="812"/>
      <c r="AY198" s="812"/>
      <c r="AZ198" s="812"/>
      <c r="BA198" s="812"/>
      <c r="BB198" s="813"/>
      <c r="BC198" s="814"/>
      <c r="BD198" s="811">
        <f t="shared" si="25"/>
        <v>173</v>
      </c>
      <c r="BE198" s="812">
        <f t="shared" si="25"/>
        <v>84</v>
      </c>
      <c r="BF198" s="812">
        <f t="shared" si="25"/>
        <v>142</v>
      </c>
      <c r="BG198" s="812">
        <f t="shared" si="25"/>
        <v>110</v>
      </c>
      <c r="BH198" s="812">
        <f t="shared" si="25"/>
        <v>121</v>
      </c>
      <c r="BI198" s="812">
        <f t="shared" si="25"/>
        <v>149</v>
      </c>
      <c r="BJ198" s="812">
        <f t="shared" si="26"/>
        <v>161</v>
      </c>
      <c r="BK198" s="813">
        <f t="shared" si="27"/>
        <v>164</v>
      </c>
      <c r="BL198" s="814">
        <f t="shared" si="27"/>
        <v>0</v>
      </c>
    </row>
    <row r="199" spans="1:64" ht="13.5" thickBot="1" x14ac:dyDescent="0.25">
      <c r="A199" s="383" t="s">
        <v>1072</v>
      </c>
      <c r="B199" s="384"/>
      <c r="C199" s="385"/>
      <c r="D199" s="385"/>
      <c r="E199" s="385"/>
      <c r="F199" s="385">
        <v>17</v>
      </c>
      <c r="G199" s="385">
        <v>27</v>
      </c>
      <c r="H199" s="385">
        <v>24</v>
      </c>
      <c r="I199" s="620">
        <v>25</v>
      </c>
      <c r="J199" s="386"/>
      <c r="K199" s="384">
        <v>11019</v>
      </c>
      <c r="L199" s="385">
        <v>10823</v>
      </c>
      <c r="M199" s="385">
        <v>9849</v>
      </c>
      <c r="N199" s="385">
        <v>9999</v>
      </c>
      <c r="O199" s="385">
        <v>8427</v>
      </c>
      <c r="P199" s="385">
        <v>7603</v>
      </c>
      <c r="Q199" s="385">
        <v>7426</v>
      </c>
      <c r="R199" s="620">
        <v>6280</v>
      </c>
      <c r="S199" s="386"/>
      <c r="T199" s="384">
        <v>24518</v>
      </c>
      <c r="U199" s="385">
        <v>22623</v>
      </c>
      <c r="V199" s="385">
        <v>20252</v>
      </c>
      <c r="W199" s="385">
        <v>21305</v>
      </c>
      <c r="X199" s="385">
        <v>20830</v>
      </c>
      <c r="Y199" s="385">
        <v>19378</v>
      </c>
      <c r="Z199" s="385">
        <v>19304</v>
      </c>
      <c r="AA199" s="620">
        <v>16918</v>
      </c>
      <c r="AB199" s="386"/>
      <c r="AC199" s="384">
        <v>73445</v>
      </c>
      <c r="AD199" s="385">
        <v>66920</v>
      </c>
      <c r="AE199" s="385">
        <v>60311</v>
      </c>
      <c r="AF199" s="385">
        <v>61012</v>
      </c>
      <c r="AG199" s="385">
        <v>62475</v>
      </c>
      <c r="AH199" s="385">
        <v>60318</v>
      </c>
      <c r="AI199" s="385">
        <v>58951</v>
      </c>
      <c r="AJ199" s="620">
        <v>55747</v>
      </c>
      <c r="AK199" s="386"/>
      <c r="AL199" s="384">
        <v>3525</v>
      </c>
      <c r="AM199" s="385">
        <v>3565</v>
      </c>
      <c r="AN199" s="385">
        <v>3563</v>
      </c>
      <c r="AO199" s="385">
        <v>3791</v>
      </c>
      <c r="AP199" s="385">
        <v>4416</v>
      </c>
      <c r="AQ199" s="385">
        <v>4512</v>
      </c>
      <c r="AR199" s="385">
        <v>5041</v>
      </c>
      <c r="AS199" s="620">
        <v>5364</v>
      </c>
      <c r="AT199" s="386"/>
      <c r="AU199" s="384"/>
      <c r="AV199" s="385"/>
      <c r="AW199" s="385"/>
      <c r="AX199" s="385"/>
      <c r="AY199" s="385">
        <v>152</v>
      </c>
      <c r="AZ199" s="385">
        <v>11</v>
      </c>
      <c r="BA199" s="385"/>
      <c r="BB199" s="620"/>
      <c r="BC199" s="386"/>
      <c r="BD199" s="384">
        <f t="shared" si="25"/>
        <v>112507</v>
      </c>
      <c r="BE199" s="385">
        <f t="shared" si="25"/>
        <v>103931</v>
      </c>
      <c r="BF199" s="385">
        <f t="shared" si="25"/>
        <v>93975</v>
      </c>
      <c r="BG199" s="385">
        <f t="shared" si="25"/>
        <v>96107</v>
      </c>
      <c r="BH199" s="385">
        <f t="shared" si="25"/>
        <v>96317</v>
      </c>
      <c r="BI199" s="385">
        <f t="shared" si="25"/>
        <v>91849</v>
      </c>
      <c r="BJ199" s="385">
        <f t="shared" si="26"/>
        <v>90746</v>
      </c>
      <c r="BK199" s="620">
        <f t="shared" si="27"/>
        <v>84334</v>
      </c>
      <c r="BL199" s="386">
        <f t="shared" si="27"/>
        <v>0</v>
      </c>
    </row>
  </sheetData>
  <mergeCells count="8">
    <mergeCell ref="A1:A2"/>
    <mergeCell ref="BD1:BL1"/>
    <mergeCell ref="B1:J1"/>
    <mergeCell ref="K1:S1"/>
    <mergeCell ref="T1:AB1"/>
    <mergeCell ref="AC1:AK1"/>
    <mergeCell ref="AL1:AT1"/>
    <mergeCell ref="AU1:BC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"/>
  <dimension ref="A1:AU200"/>
  <sheetViews>
    <sheetView topLeftCell="O1" zoomScale="77" zoomScaleNormal="77" zoomScaleSheetLayoutView="76" workbookViewId="0">
      <selection activeCell="A36" sqref="A36:XFD60"/>
    </sheetView>
  </sheetViews>
  <sheetFormatPr defaultColWidth="9.140625" defaultRowHeight="15.75" x14ac:dyDescent="0.25"/>
  <cols>
    <col min="1" max="1" width="45.5703125" style="2" customWidth="1"/>
    <col min="2" max="10" width="14" style="2" customWidth="1"/>
    <col min="11" max="11" width="2" style="2" customWidth="1"/>
    <col min="12" max="12" width="15.28515625" style="2" customWidth="1"/>
    <col min="13" max="13" width="16" style="2" customWidth="1"/>
    <col min="14" max="14" width="18.28515625" style="2" customWidth="1"/>
    <col min="15" max="15" width="18.85546875" style="2" customWidth="1"/>
    <col min="16" max="16" width="5.85546875" style="2" customWidth="1"/>
    <col min="17" max="17" width="57.28515625" style="2" customWidth="1"/>
    <col min="18" max="25" width="10.5703125" style="2" customWidth="1"/>
    <col min="26" max="26" width="11.140625" style="2" customWidth="1"/>
    <col min="27" max="27" width="2.42578125" style="2" customWidth="1"/>
    <col min="28" max="29" width="17" style="2" customWidth="1"/>
    <col min="30" max="32" width="16.5703125" style="2" customWidth="1"/>
    <col min="33" max="37" width="2" style="2" customWidth="1"/>
    <col min="38" max="40" width="13.7109375" style="2" customWidth="1"/>
    <col min="41" max="41" width="12.28515625" style="2" customWidth="1"/>
    <col min="42" max="42" width="1.85546875" style="2" customWidth="1"/>
    <col min="43" max="43" width="13.5703125" style="347" customWidth="1"/>
    <col min="44" max="44" width="13.5703125" style="2" customWidth="1"/>
    <col min="45" max="16384" width="9.140625" style="2"/>
  </cols>
  <sheetData>
    <row r="1" spans="1:47" ht="72.75" customHeight="1" thickBot="1" x14ac:dyDescent="0.3">
      <c r="A1" s="884" t="str">
        <f>alap!A1</f>
        <v>Vas Megyei Rendőr-főkapitányság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6"/>
      <c r="P1" s="1"/>
      <c r="Q1" s="884" t="str">
        <f>alap!A1</f>
        <v>Vas Megyei Rendőr-főkapitányság</v>
      </c>
      <c r="R1" s="885"/>
      <c r="S1" s="885"/>
      <c r="T1" s="885"/>
      <c r="U1" s="885"/>
      <c r="V1" s="885"/>
      <c r="W1" s="885"/>
      <c r="X1" s="885"/>
      <c r="Y1" s="885"/>
      <c r="Z1" s="885"/>
      <c r="AA1" s="885"/>
      <c r="AB1" s="885"/>
      <c r="AC1" s="885"/>
      <c r="AD1" s="885"/>
      <c r="AE1" s="885"/>
      <c r="AF1" s="885"/>
      <c r="AG1" s="885"/>
      <c r="AH1" s="885"/>
      <c r="AI1" s="885"/>
      <c r="AJ1" s="885"/>
      <c r="AK1" s="885"/>
      <c r="AL1" s="885"/>
      <c r="AM1" s="885"/>
      <c r="AN1" s="885"/>
      <c r="AO1" s="885"/>
      <c r="AP1" s="885"/>
      <c r="AQ1" s="885"/>
      <c r="AR1" s="886"/>
    </row>
    <row r="2" spans="1:47" ht="48.75" customHeight="1" thickBot="1" x14ac:dyDescent="0.3">
      <c r="A2" s="3" t="s">
        <v>1160</v>
      </c>
      <c r="B2" s="888" t="s">
        <v>1</v>
      </c>
      <c r="C2" s="889"/>
      <c r="D2" s="889"/>
      <c r="E2" s="889"/>
      <c r="F2" s="889"/>
      <c r="G2" s="889"/>
      <c r="H2" s="889"/>
      <c r="I2" s="889"/>
      <c r="J2" s="889"/>
      <c r="K2" s="4"/>
      <c r="L2" s="890" t="s">
        <v>2</v>
      </c>
      <c r="M2" s="889"/>
      <c r="N2" s="889"/>
      <c r="O2" s="891"/>
      <c r="P2" s="5"/>
      <c r="Q2" s="84" t="s">
        <v>829</v>
      </c>
      <c r="R2" s="892" t="s">
        <v>1104</v>
      </c>
      <c r="S2" s="893"/>
      <c r="T2" s="893"/>
      <c r="U2" s="893"/>
      <c r="V2" s="893"/>
      <c r="W2" s="893"/>
      <c r="X2" s="893"/>
      <c r="Y2" s="893"/>
      <c r="Z2" s="894"/>
      <c r="AA2" s="5"/>
      <c r="AB2" s="895" t="s">
        <v>828</v>
      </c>
      <c r="AC2" s="896"/>
      <c r="AD2" s="897"/>
      <c r="AE2" s="897"/>
      <c r="AF2" s="897"/>
      <c r="AG2" s="26"/>
      <c r="AH2" s="27"/>
      <c r="AI2" s="27"/>
      <c r="AJ2" s="27"/>
      <c r="AK2" s="28"/>
      <c r="AL2" s="900" t="s">
        <v>3</v>
      </c>
      <c r="AM2" s="896"/>
      <c r="AN2" s="896"/>
      <c r="AO2" s="896"/>
      <c r="AP2" s="896"/>
      <c r="AQ2" s="896"/>
      <c r="AR2" s="901"/>
    </row>
    <row r="3" spans="1:47" ht="65.25" customHeight="1" thickBot="1" x14ac:dyDescent="0.3">
      <c r="A3" s="276" t="str">
        <f>bírelé_vádem!A1</f>
        <v>az ENyÜBS 2010-2018. évi adatai alapján</v>
      </c>
      <c r="B3" s="313" t="str">
        <f>RK_bcs!C2</f>
        <v>2010. év</v>
      </c>
      <c r="C3" s="314" t="str">
        <f>RK_bcs!D2</f>
        <v>2011. év</v>
      </c>
      <c r="D3" s="314" t="str">
        <f>RK_bcs!E2</f>
        <v>2012. év</v>
      </c>
      <c r="E3" s="314" t="str">
        <f>RK_bcs!F2</f>
        <v>2013. év</v>
      </c>
      <c r="F3" s="314" t="str">
        <f>RK_bcs!G2</f>
        <v>2014. év</v>
      </c>
      <c r="G3" s="314" t="str">
        <f>RK_bcs!H2</f>
        <v>2015. év</v>
      </c>
      <c r="H3" s="315" t="str">
        <f>RK_bcs!I2</f>
        <v>2016. év</v>
      </c>
      <c r="I3" s="315" t="str">
        <f>RK_bcs!J2</f>
        <v>2017. év</v>
      </c>
      <c r="J3" s="316" t="str">
        <f>RK_bcs!K2</f>
        <v>2018. év</v>
      </c>
      <c r="K3" s="20"/>
      <c r="L3" s="353" t="s">
        <v>1155</v>
      </c>
      <c r="M3" s="350" t="s">
        <v>1156</v>
      </c>
      <c r="N3" s="351" t="s">
        <v>4</v>
      </c>
      <c r="O3" s="352" t="s">
        <v>1157</v>
      </c>
      <c r="P3" s="22"/>
      <c r="Q3" s="410" t="str">
        <f>bírelé_vádem!A1</f>
        <v>az ENyÜBS 2010-2018. évi adatai alapján</v>
      </c>
      <c r="R3" s="313" t="str">
        <f>RK_bcs!C2</f>
        <v>2010. év</v>
      </c>
      <c r="S3" s="314" t="str">
        <f>RK_bcs!D2</f>
        <v>2011. év</v>
      </c>
      <c r="T3" s="314" t="str">
        <f>RK_bcs!E2</f>
        <v>2012. év</v>
      </c>
      <c r="U3" s="314" t="str">
        <f>RK_bcs!F2</f>
        <v>2013. év</v>
      </c>
      <c r="V3" s="314" t="str">
        <f>RK_bcs!G2</f>
        <v>2014. év</v>
      </c>
      <c r="W3" s="314" t="str">
        <f>RK_bcs!H2</f>
        <v>2015. év</v>
      </c>
      <c r="X3" s="315" t="str">
        <f>RK_bcs!I2</f>
        <v>2016. év</v>
      </c>
      <c r="Y3" s="314" t="str">
        <f>RK_bcs!J2</f>
        <v>2017. év</v>
      </c>
      <c r="Z3" s="663" t="str">
        <f>RK_bcs!K2</f>
        <v>2018. év</v>
      </c>
      <c r="AA3" s="11"/>
      <c r="AB3" s="410" t="s">
        <v>1155</v>
      </c>
      <c r="AC3" s="346" t="s">
        <v>1153</v>
      </c>
      <c r="AD3" s="662" t="s">
        <v>1156</v>
      </c>
      <c r="AE3" s="15" t="s">
        <v>4</v>
      </c>
      <c r="AF3" s="16" t="s">
        <v>1157</v>
      </c>
      <c r="AG3" s="17"/>
      <c r="AH3" s="18"/>
      <c r="AI3" s="18"/>
      <c r="AJ3" s="18"/>
      <c r="AK3" s="18"/>
      <c r="AL3" s="313" t="str">
        <f>RK_bcs!H2</f>
        <v>2015. év</v>
      </c>
      <c r="AM3" s="314" t="str">
        <f>RK_bcs!I2</f>
        <v>2016. év</v>
      </c>
      <c r="AN3" s="314" t="str">
        <f>RK_bcs!J2</f>
        <v>2017. év</v>
      </c>
      <c r="AO3" s="316" t="str">
        <f>RK_bcs!K2</f>
        <v>2018. év</v>
      </c>
      <c r="AP3" s="6"/>
      <c r="AQ3" s="823" t="s">
        <v>1153</v>
      </c>
      <c r="AR3" s="3" t="s">
        <v>1156</v>
      </c>
    </row>
    <row r="4" spans="1:47" x14ac:dyDescent="0.25">
      <c r="A4" s="19" t="s">
        <v>5</v>
      </c>
      <c r="B4" s="90">
        <f>VLOOKUP(alap!$A$1,RK_bcs!$B:$IK,2,FALSE)</f>
        <v>3</v>
      </c>
      <c r="C4" s="91">
        <f>VLOOKUP(alap!$A$1,RK_bcs!$B:$IK,3,FALSE)</f>
        <v>6</v>
      </c>
      <c r="D4" s="91">
        <f>VLOOKUP(alap!$A$1,RK_bcs!$B:$IK,4,FALSE)</f>
        <v>5</v>
      </c>
      <c r="E4" s="91">
        <f>VLOOKUP(alap!$A$1,RK_bcs!$B:$IK,5,FALSE)</f>
        <v>6</v>
      </c>
      <c r="F4" s="91">
        <f>VLOOKUP(alap!$A$1,RK_bcs!$B:$IK,6,FALSE)</f>
        <v>2</v>
      </c>
      <c r="G4" s="91">
        <f>VLOOKUP(alap!$A$1,RK_bcs!$B:$IK,7,FALSE)</f>
        <v>2</v>
      </c>
      <c r="H4" s="91">
        <f>VLOOKUP(alap!$A$1,RK_bcs!$B:$IK,8,FALSE)</f>
        <v>6</v>
      </c>
      <c r="I4" s="91">
        <f>VLOOKUP(alap!$A$1,RK_bcs!$B:$IK,9,FALSE)</f>
        <v>2</v>
      </c>
      <c r="J4" s="91">
        <f>VLOOKUP(alap!$A$1,RK_bcs!$B:$IK,10,FALSE)</f>
        <v>0</v>
      </c>
      <c r="K4" s="20"/>
      <c r="L4" s="642">
        <f>AVERAGE(F4:J4)</f>
        <v>2.4</v>
      </c>
      <c r="M4" s="21" t="str">
        <f>IF(J4&lt;50,"-",(J4/I4*100)-100)</f>
        <v>-</v>
      </c>
      <c r="N4" s="21" t="str">
        <f>IF(J4&lt;50,"-",(J4/L4*100)-100)</f>
        <v>-</v>
      </c>
      <c r="O4" s="21" t="str">
        <f>IF(J4&lt;50,"-",(J4/B4*100)-100)</f>
        <v>-</v>
      </c>
      <c r="P4" s="22"/>
      <c r="Q4" s="19" t="s">
        <v>5</v>
      </c>
      <c r="R4" s="23">
        <f>ROUND(VLOOKUP(alap!$A$1,'RK nyomered emb-káb'!$C:$KN,4,FALSE),1)</f>
        <v>100</v>
      </c>
      <c r="S4" s="24">
        <f>ROUND(VLOOKUP(alap!$A$1,'RK nyomered emb-káb'!$C:$KN,7,FALSE),1)</f>
        <v>100</v>
      </c>
      <c r="T4" s="24">
        <f>ROUND(VLOOKUP(alap!$A$1,'RK nyomered emb-káb'!$C:$KN,10,FALSE),1)</f>
        <v>100</v>
      </c>
      <c r="U4" s="24">
        <f>ROUND(VLOOKUP(alap!$A$1,'RK nyomered emb-káb'!$C:$KN,13,FALSE),1)</f>
        <v>100</v>
      </c>
      <c r="V4" s="24">
        <f>ROUND(VLOOKUP(alap!$A$1,'RK nyomered emb-káb'!$C:$KN,16,FALSE),1)</f>
        <v>100</v>
      </c>
      <c r="W4" s="24">
        <f>ROUND(VLOOKUP(alap!$A$1,'RK nyomered emb-káb'!$C:$KN,19,FALSE),1)</f>
        <v>100</v>
      </c>
      <c r="X4" s="24">
        <f>ROUND(VLOOKUP(alap!$A$1,'RK nyomered emb-káb'!$C:$KN,22,FALSE),1)</f>
        <v>100</v>
      </c>
      <c r="Y4" s="24">
        <f>ROUND(VLOOKUP(alap!$A$1,'RK nyomered emb-káb'!$C:$KN,25,FALSE),1)</f>
        <v>100</v>
      </c>
      <c r="Z4" s="24">
        <f>ROUND(VLOOKUP(alap!$A$1,'RK nyomered emb-káb'!$C:$KN,28,FALSE),1)</f>
        <v>100</v>
      </c>
      <c r="AA4" s="328"/>
      <c r="AB4" s="25">
        <f>VLOOKUP(alap!$A$1,'RK nyomered emb-káb'!$C:$LU,301,FALSE)</f>
        <v>100</v>
      </c>
      <c r="AC4" s="23" t="e">
        <f>'országos átlag'!G2</f>
        <v>#N/A</v>
      </c>
      <c r="AD4" s="24">
        <f>Z4-Y4</f>
        <v>0</v>
      </c>
      <c r="AE4" s="24">
        <f>Z4-AB4</f>
        <v>0</v>
      </c>
      <c r="AF4" s="60">
        <f>Z4-R4</f>
        <v>0</v>
      </c>
      <c r="AG4" s="27"/>
      <c r="AH4" s="27"/>
      <c r="AI4" s="27"/>
      <c r="AJ4" s="27"/>
      <c r="AK4" s="27"/>
      <c r="AL4" s="23">
        <f>ROUND(VLOOKUP(alap!$A$1,feldered_RK!$C:$LO,4,FALSE),1)</f>
        <v>100</v>
      </c>
      <c r="AM4" s="24">
        <f>ROUND(VLOOKUP(alap!$A$1,feldered_RK!$C:$LO,7,FALSE),1)</f>
        <v>100</v>
      </c>
      <c r="AN4" s="24">
        <f>ROUND(VLOOKUP(alap!$A$1,feldered_RK!$C:$LO,10,FALSE),1)</f>
        <v>100</v>
      </c>
      <c r="AO4" s="342">
        <f>ROUND(VLOOKUP(alap!$A$1,feldered_RK!$C:$LO,13,FALSE),1)</f>
        <v>0</v>
      </c>
      <c r="AP4" s="85"/>
      <c r="AQ4" s="824" t="e">
        <f>'országos átlag'!H2</f>
        <v>#N/A</v>
      </c>
      <c r="AR4" s="829">
        <f>AO4-AN4</f>
        <v>-100</v>
      </c>
      <c r="AS4" s="29"/>
      <c r="AT4" s="29"/>
      <c r="AU4" s="29"/>
    </row>
    <row r="5" spans="1:47" x14ac:dyDescent="0.25">
      <c r="A5" s="30" t="s">
        <v>7</v>
      </c>
      <c r="B5" s="92">
        <f>VLOOKUP(alap!$A$1,RK_bcs!$B:$IK,11,FALSE)</f>
        <v>3</v>
      </c>
      <c r="C5" s="637">
        <f>VLOOKUP(alap!$A$1,RK_bcs!$B:$IK,12,FALSE)</f>
        <v>4</v>
      </c>
      <c r="D5" s="637">
        <f>VLOOKUP(alap!$A$1,RK_bcs!$B:$IK,13,FALSE)</f>
        <v>1</v>
      </c>
      <c r="E5" s="637">
        <f>VLOOKUP(alap!$A$1,RK_bcs!$B:$IK,14,FALSE)</f>
        <v>4</v>
      </c>
      <c r="F5" s="637">
        <f>VLOOKUP(alap!$A$1,RK_bcs!$B:$IK,15,FALSE)</f>
        <v>1</v>
      </c>
      <c r="G5" s="637">
        <f>VLOOKUP(alap!$A$1,RK_bcs!$B:$IK,16,FALSE)</f>
        <v>2</v>
      </c>
      <c r="H5" s="637">
        <f>VLOOKUP(alap!$A$1,RK_bcs!$B:$IK,17,FALSE)</f>
        <v>2</v>
      </c>
      <c r="I5" s="637">
        <f>VLOOKUP(alap!$A$1,RK_bcs!$B:$IK,18,FALSE)</f>
        <v>1</v>
      </c>
      <c r="J5" s="637">
        <f>VLOOKUP(alap!$A$1,RK_bcs!$B:$IK,19,FALSE)</f>
        <v>0</v>
      </c>
      <c r="K5" s="31"/>
      <c r="L5" s="641">
        <f t="shared" ref="L5:L32" si="0">AVERAGE(F5:J5)</f>
        <v>1.2</v>
      </c>
      <c r="M5" s="648" t="str">
        <f>IF(J5&lt;50,"-",(J5/I5*100)-100)</f>
        <v>-</v>
      </c>
      <c r="N5" s="648" t="str">
        <f t="shared" ref="N5:N31" si="1">IF(J5&lt;50,"-",(J5/L5*100)-100)</f>
        <v>-</v>
      </c>
      <c r="O5" s="648" t="str">
        <f t="shared" ref="O5:O31" si="2">IF(J5&lt;50,"-",(J5/B5*100)-100)</f>
        <v>-</v>
      </c>
      <c r="P5" s="22"/>
      <c r="Q5" s="30" t="s">
        <v>7</v>
      </c>
      <c r="R5" s="33">
        <f>ROUND(VLOOKUP(alap!$A$1,'RK nyomered emb-káb'!$C:$KN,31,FALSE),1)</f>
        <v>100</v>
      </c>
      <c r="S5" s="649">
        <f>ROUND(VLOOKUP(alap!$A$1,'RK nyomered emb-káb'!$C:$KN,34,FALSE),1)</f>
        <v>100</v>
      </c>
      <c r="T5" s="649">
        <f>ROUND(VLOOKUP(alap!$A$1,'RK nyomered emb-káb'!$C:$KN,37,FALSE),1)</f>
        <v>100</v>
      </c>
      <c r="U5" s="649">
        <f>ROUND(VLOOKUP(alap!$A$1,'RK nyomered emb-káb'!$C:$KN,40,FALSE),1)</f>
        <v>100</v>
      </c>
      <c r="V5" s="649">
        <f>ROUND(VLOOKUP(alap!$A$1,'RK nyomered emb-káb'!$C:$KN,43,FALSE),1)</f>
        <v>100</v>
      </c>
      <c r="W5" s="649">
        <f>ROUND(VLOOKUP(alap!$A$1,'RK nyomered emb-káb'!$C:$KN,46,FALSE),1)</f>
        <v>100</v>
      </c>
      <c r="X5" s="649">
        <f>ROUND(VLOOKUP(alap!$A$1,'RK nyomered emb-káb'!$C:$KN,49,FALSE),1)</f>
        <v>100</v>
      </c>
      <c r="Y5" s="649">
        <f>ROUND(VLOOKUP(alap!$A$1,'RK nyomered emb-káb'!$C:$KN,52,FALSE),1)</f>
        <v>100</v>
      </c>
      <c r="Z5" s="649">
        <f>ROUND(VLOOKUP(alap!$A$1,'RK nyomered emb-káb'!$C:$KN,55,FALSE),1)</f>
        <v>100</v>
      </c>
      <c r="AA5" s="328"/>
      <c r="AB5" s="650">
        <f>VLOOKUP(alap!$A$1,'RK nyomered emb-káb'!$C:$LU,304,FALSE)</f>
        <v>100</v>
      </c>
      <c r="AC5" s="33" t="e">
        <f>'országos átlag'!G3</f>
        <v>#N/A</v>
      </c>
      <c r="AD5" s="649">
        <f t="shared" ref="AD5:AD30" si="3">Z5-Y5</f>
        <v>0</v>
      </c>
      <c r="AE5" s="649">
        <f t="shared" ref="AE5:AE11" si="4">Z5-AB5</f>
        <v>0</v>
      </c>
      <c r="AF5" s="651">
        <f t="shared" ref="AF5:AF30" si="5">Z5-R5</f>
        <v>0</v>
      </c>
      <c r="AG5" s="27"/>
      <c r="AH5" s="27"/>
      <c r="AI5" s="27"/>
      <c r="AJ5" s="27"/>
      <c r="AK5" s="27"/>
      <c r="AL5" s="33">
        <f>ROUND(VLOOKUP(alap!$A$1,feldered_RK!$C:$LO,16,FALSE),1)</f>
        <v>100</v>
      </c>
      <c r="AM5" s="649">
        <f>ROUND(VLOOKUP(alap!$A$1,feldered_RK!$C:$LO,19,FALSE),1)</f>
        <v>100</v>
      </c>
      <c r="AN5" s="649" t="e">
        <f>ROUND(VLOOKUP(alap!$A$1,feldered_RK!$C:$LO,22,FALSE),1)</f>
        <v>#VALUE!</v>
      </c>
      <c r="AO5" s="652">
        <f>ROUND(VLOOKUP(alap!$A$1,feldered_RK!$C:$LO,25,FALSE),1)</f>
        <v>0</v>
      </c>
      <c r="AP5" s="85"/>
      <c r="AQ5" s="825" t="e">
        <f>'országos átlag'!H3</f>
        <v>#N/A</v>
      </c>
      <c r="AR5" s="830" t="e">
        <f t="shared" ref="AR5:AR29" si="6">AO5-AN5</f>
        <v>#VALUE!</v>
      </c>
      <c r="AS5" s="29"/>
      <c r="AT5" s="29"/>
      <c r="AU5" s="29"/>
    </row>
    <row r="6" spans="1:47" x14ac:dyDescent="0.25">
      <c r="A6" s="30" t="s">
        <v>564</v>
      </c>
      <c r="B6" s="92">
        <f>VLOOKUP(alap!$A$1,RK_bcs!$B:$IK,20,FALSE)</f>
        <v>0</v>
      </c>
      <c r="C6" s="637">
        <f>VLOOKUP(alap!$A$1,RK_bcs!$B:$IK,21,FALSE)</f>
        <v>1</v>
      </c>
      <c r="D6" s="637">
        <f>VLOOKUP(alap!$A$1,RK_bcs!$B:$IK,22,FALSE)</f>
        <v>4</v>
      </c>
      <c r="E6" s="637">
        <f>VLOOKUP(alap!$A$1,RK_bcs!$B:$IK,23,FALSE)</f>
        <v>1</v>
      </c>
      <c r="F6" s="637">
        <f>VLOOKUP(alap!$A$1,RK_bcs!$B:$IK,24,FALSE)</f>
        <v>1</v>
      </c>
      <c r="G6" s="637">
        <f>VLOOKUP(alap!$A$1,RK_bcs!$B:$IK,25,FALSE)</f>
        <v>0</v>
      </c>
      <c r="H6" s="637">
        <f>VLOOKUP(alap!$A$1,RK_bcs!$B:$IK,26,FALSE)</f>
        <v>1</v>
      </c>
      <c r="I6" s="637">
        <f>VLOOKUP(alap!$A$1,RK_bcs!$B:$IK,27,FALSE)</f>
        <v>1</v>
      </c>
      <c r="J6" s="637">
        <f>VLOOKUP(alap!$A$1,RK_bcs!$B:$IK,28,FALSE)</f>
        <v>0</v>
      </c>
      <c r="K6" s="31"/>
      <c r="L6" s="641">
        <f t="shared" si="0"/>
        <v>0.6</v>
      </c>
      <c r="M6" s="648" t="str">
        <f>IF(J6&lt;50,"-",(J6/I6*100)-100)</f>
        <v>-</v>
      </c>
      <c r="N6" s="648" t="str">
        <f t="shared" si="1"/>
        <v>-</v>
      </c>
      <c r="O6" s="648" t="str">
        <f t="shared" si="2"/>
        <v>-</v>
      </c>
      <c r="P6" s="22"/>
      <c r="Q6" s="30" t="s">
        <v>564</v>
      </c>
      <c r="R6" s="33" t="e">
        <f>ROUND(VLOOKUP(alap!$A$1,'RK nyomered emb-káb'!$C:$KN,58,FALSE),1)</f>
        <v>#VALUE!</v>
      </c>
      <c r="S6" s="649">
        <f>ROUND(VLOOKUP(alap!$A$1,'RK nyomered emb-káb'!$C:$KN,61,FALSE),1)</f>
        <v>100</v>
      </c>
      <c r="T6" s="649">
        <f>ROUND(VLOOKUP(alap!$A$1,'RK nyomered emb-káb'!$C:$KN,64,FALSE),1)</f>
        <v>100</v>
      </c>
      <c r="U6" s="649">
        <f>ROUND(VLOOKUP(alap!$A$1,'RK nyomered emb-káb'!$C:$KN,67,FALSE),1)</f>
        <v>100</v>
      </c>
      <c r="V6" s="649">
        <f>ROUND(VLOOKUP(alap!$A$1,'RK nyomered emb-káb'!$C:$KN,70,FALSE),1)</f>
        <v>100</v>
      </c>
      <c r="W6" s="649" t="e">
        <f>ROUND(VLOOKUP(alap!$A$1,'RK nyomered emb-káb'!$C:$KN,73,FALSE),1)</f>
        <v>#VALUE!</v>
      </c>
      <c r="X6" s="649">
        <f>ROUND(VLOOKUP(alap!$A$1,'RK nyomered emb-káb'!$C:$KN,76,FALSE),1)</f>
        <v>100</v>
      </c>
      <c r="Y6" s="649">
        <f>ROUND(VLOOKUP(alap!$A$1,'RK nyomered emb-káb'!$C:$KN,79,FALSE),1)</f>
        <v>100</v>
      </c>
      <c r="Z6" s="649">
        <f>ROUND(VLOOKUP(alap!$A$1,'RK nyomered emb-káb'!$C:$KN,82,FALSE),1)</f>
        <v>100</v>
      </c>
      <c r="AA6" s="328"/>
      <c r="AB6" s="650">
        <f>VLOOKUP(alap!$A$1,'RK nyomered emb-káb'!$C:$LU,307,FALSE)</f>
        <v>100</v>
      </c>
      <c r="AC6" s="33" t="e">
        <f>'országos átlag'!G4</f>
        <v>#N/A</v>
      </c>
      <c r="AD6" s="649">
        <f t="shared" si="3"/>
        <v>0</v>
      </c>
      <c r="AE6" s="649">
        <f t="shared" si="4"/>
        <v>0</v>
      </c>
      <c r="AF6" s="651" t="e">
        <f t="shared" si="5"/>
        <v>#VALUE!</v>
      </c>
      <c r="AG6" s="27"/>
      <c r="AH6" s="27"/>
      <c r="AI6" s="27"/>
      <c r="AJ6" s="27"/>
      <c r="AK6" s="27"/>
      <c r="AL6" s="33" t="e">
        <f>ROUND(VLOOKUP(alap!$A$1,feldered_RK!$C:$LO,28,FALSE),1)</f>
        <v>#VALUE!</v>
      </c>
      <c r="AM6" s="649">
        <f>ROUND(VLOOKUP(alap!$A$1,feldered_RK!$C:$LO,31,FALSE),1)</f>
        <v>100</v>
      </c>
      <c r="AN6" s="649">
        <f>ROUND(VLOOKUP(alap!$A$1,feldered_RK!$C:$LO,34,FALSE),1)</f>
        <v>100</v>
      </c>
      <c r="AO6" s="652">
        <f>ROUND(VLOOKUP(alap!$A$1,feldered_RK!$C:$LO,37,FALSE),1)</f>
        <v>0</v>
      </c>
      <c r="AP6" s="85"/>
      <c r="AQ6" s="825" t="e">
        <f>'országos átlag'!H4</f>
        <v>#N/A</v>
      </c>
      <c r="AR6" s="830">
        <f t="shared" si="6"/>
        <v>-100</v>
      </c>
      <c r="AS6" s="29"/>
      <c r="AT6" s="29"/>
      <c r="AU6" s="29"/>
    </row>
    <row r="7" spans="1:47" x14ac:dyDescent="0.25">
      <c r="A7" s="36" t="s">
        <v>8</v>
      </c>
      <c r="B7" s="89">
        <f>VLOOKUP(alap!$A$1,RK_bcs!$B:$IK,29,FALSE)</f>
        <v>298</v>
      </c>
      <c r="C7" s="91">
        <f>VLOOKUP(alap!$A$1,RK_bcs!$B:$IK,30,FALSE)</f>
        <v>306</v>
      </c>
      <c r="D7" s="91">
        <f>VLOOKUP(alap!$A$1,RK_bcs!$B:$IK,31,FALSE)</f>
        <v>274</v>
      </c>
      <c r="E7" s="91">
        <f>VLOOKUP(alap!$A$1,RK_bcs!$B:$IK,32,FALSE)</f>
        <v>261</v>
      </c>
      <c r="F7" s="91">
        <f>VLOOKUP(alap!$A$1,RK_bcs!$B:$IK,33,FALSE)</f>
        <v>272</v>
      </c>
      <c r="G7" s="91">
        <f>VLOOKUP(alap!$A$1,RK_bcs!$B:$IK,34,FALSE)</f>
        <v>268</v>
      </c>
      <c r="H7" s="91">
        <f>VLOOKUP(alap!$A$1,RK_bcs!$B:$IK,35,FALSE)</f>
        <v>248</v>
      </c>
      <c r="I7" s="91">
        <f>VLOOKUP(alap!$A$1,RK_bcs!$B:$IK,36,FALSE)</f>
        <v>263</v>
      </c>
      <c r="J7" s="91">
        <f>VLOOKUP(alap!$A$1,RK_bcs!$B:$IK,37,FALSE)</f>
        <v>0</v>
      </c>
      <c r="K7" s="20"/>
      <c r="L7" s="643">
        <f t="shared" si="0"/>
        <v>210.2</v>
      </c>
      <c r="M7" s="21" t="str">
        <f t="shared" ref="M7:M32" si="7">IF(J7&lt;50,"-",(J7/I7*100)-100)</f>
        <v>-</v>
      </c>
      <c r="N7" s="21" t="str">
        <f>IF(J7&lt;50,"-",(J7/L7*100)-100)</f>
        <v>-</v>
      </c>
      <c r="O7" s="21" t="str">
        <f>IF(J7&lt;50,"-",(J7/B7*100)-100)</f>
        <v>-</v>
      </c>
      <c r="P7" s="22"/>
      <c r="Q7" s="36" t="s">
        <v>8</v>
      </c>
      <c r="R7" s="37">
        <f>ROUND(VLOOKUP(alap!$A$1,'RK nyomered emb-káb'!$C:$KN,85,FALSE),1)</f>
        <v>90</v>
      </c>
      <c r="S7" s="34">
        <f>ROUND(VLOOKUP(alap!$A$1,'RK nyomered emb-káb'!$C:$KN,88,FALSE),1)</f>
        <v>89.1</v>
      </c>
      <c r="T7" s="34">
        <f>ROUND(VLOOKUP(alap!$A$1,'RK nyomered emb-káb'!$C:$KN,91,FALSE),1)</f>
        <v>89.4</v>
      </c>
      <c r="U7" s="34">
        <f>ROUND(VLOOKUP(alap!$A$1,'RK nyomered emb-káb'!$C:$KN,94,FALSE),1)</f>
        <v>87.7</v>
      </c>
      <c r="V7" s="34">
        <f>ROUND(VLOOKUP(alap!$A$1,'RK nyomered emb-káb'!$C:$KN,97,FALSE),1)</f>
        <v>88.6</v>
      </c>
      <c r="W7" s="34">
        <f>ROUND(VLOOKUP(alap!$A$1,'RK nyomered emb-káb'!$C:$KN,100,FALSE),1)</f>
        <v>91.2</v>
      </c>
      <c r="X7" s="34">
        <f>ROUND(VLOOKUP(alap!$A$1,'RK nyomered emb-káb'!$C:$KN,103,FALSE),1)</f>
        <v>88.9</v>
      </c>
      <c r="Y7" s="34">
        <f>ROUND(VLOOKUP(alap!$A$1,'RK nyomered emb-káb'!$C:$KN,106,FALSE),1)</f>
        <v>86.7</v>
      </c>
      <c r="Z7" s="34">
        <f>ROUND(VLOOKUP(alap!$A$1,'RK nyomered emb-káb'!$C:$KN,109,FALSE),1)</f>
        <v>96.1</v>
      </c>
      <c r="AA7" s="328"/>
      <c r="AB7" s="35">
        <f>VLOOKUP(alap!$A$1,'RK nyomered emb-káb'!$C:$LU,310,FALSE)</f>
        <v>89.85507246376811</v>
      </c>
      <c r="AC7" s="37" t="e">
        <f>'országos átlag'!G5</f>
        <v>#N/A</v>
      </c>
      <c r="AD7" s="34">
        <f t="shared" si="3"/>
        <v>9.3999999999999915</v>
      </c>
      <c r="AE7" s="34">
        <f t="shared" si="4"/>
        <v>6.2449275362318843</v>
      </c>
      <c r="AF7" s="32">
        <f t="shared" si="5"/>
        <v>6.0999999999999943</v>
      </c>
      <c r="AG7" s="27"/>
      <c r="AH7" s="27"/>
      <c r="AI7" s="27"/>
      <c r="AJ7" s="27"/>
      <c r="AK7" s="27"/>
      <c r="AL7" s="37">
        <f>ROUND(VLOOKUP(alap!$A$1,feldered_RK!$C:$LO,40,FALSE),1)</f>
        <v>86.4</v>
      </c>
      <c r="AM7" s="34">
        <f>ROUND(VLOOKUP(alap!$A$1,feldered_RK!$C:$LO,43,FALSE),1)</f>
        <v>89.4</v>
      </c>
      <c r="AN7" s="34">
        <f>ROUND(VLOOKUP(alap!$A$1,feldered_RK!$C:$LO,46,FALSE),1)</f>
        <v>85</v>
      </c>
      <c r="AO7" s="653">
        <f>ROUND(VLOOKUP(alap!$A$1,feldered_RK!$C:$LO,49,FALSE),1)</f>
        <v>0</v>
      </c>
      <c r="AP7" s="85"/>
      <c r="AQ7" s="826" t="e">
        <f>'országos átlag'!H5</f>
        <v>#N/A</v>
      </c>
      <c r="AR7" s="831">
        <f>AO7-AN7</f>
        <v>-85</v>
      </c>
      <c r="AS7" s="29"/>
      <c r="AT7" s="269"/>
      <c r="AU7" s="29"/>
    </row>
    <row r="8" spans="1:47" x14ac:dyDescent="0.25">
      <c r="A8" s="30" t="s">
        <v>565</v>
      </c>
      <c r="B8" s="92">
        <f>VLOOKUP(alap!$A$1,RK_bcs!$B:$IK,38,FALSE)</f>
        <v>114</v>
      </c>
      <c r="C8" s="637">
        <f>VLOOKUP(alap!$A$1,RK_bcs!$B:$IK,39,FALSE)</f>
        <v>107</v>
      </c>
      <c r="D8" s="637">
        <f>VLOOKUP(alap!$A$1,RK_bcs!$B:$IK,40,FALSE)</f>
        <v>83</v>
      </c>
      <c r="E8" s="637">
        <f>VLOOKUP(alap!$A$1,RK_bcs!$B:$IK,41,FALSE)</f>
        <v>104</v>
      </c>
      <c r="F8" s="637">
        <f>VLOOKUP(alap!$A$1,RK_bcs!$B:$IK,42,FALSE)</f>
        <v>95</v>
      </c>
      <c r="G8" s="637">
        <f>VLOOKUP(alap!$A$1,RK_bcs!$B:$IK,43,FALSE)</f>
        <v>94</v>
      </c>
      <c r="H8" s="637">
        <f>VLOOKUP(alap!$A$1,RK_bcs!$B:$IK,44,FALSE)</f>
        <v>66</v>
      </c>
      <c r="I8" s="637">
        <f>VLOOKUP(alap!$A$1,RK_bcs!$B:$IK,45,FALSE)</f>
        <v>72</v>
      </c>
      <c r="J8" s="637">
        <f>VLOOKUP(alap!$A$1,RK_bcs!$B:$IK,46,FALSE)</f>
        <v>0</v>
      </c>
      <c r="K8" s="31"/>
      <c r="L8" s="641">
        <f t="shared" si="0"/>
        <v>65.400000000000006</v>
      </c>
      <c r="M8" s="648" t="str">
        <f t="shared" si="7"/>
        <v>-</v>
      </c>
      <c r="N8" s="648" t="str">
        <f>IF(J8&lt;50,"-",(J8/L8*100)-100)</f>
        <v>-</v>
      </c>
      <c r="O8" s="648" t="str">
        <f t="shared" si="2"/>
        <v>-</v>
      </c>
      <c r="P8" s="22"/>
      <c r="Q8" s="30" t="s">
        <v>565</v>
      </c>
      <c r="R8" s="33">
        <f>ROUND(VLOOKUP(alap!$A$1,'RK nyomered emb-káb'!$C:$KN,112,FALSE),1)</f>
        <v>82.6</v>
      </c>
      <c r="S8" s="649">
        <f>ROUND(VLOOKUP(alap!$A$1,'RK nyomered emb-káb'!$C:$KN,115,FALSE),1)</f>
        <v>76.7</v>
      </c>
      <c r="T8" s="649">
        <f>ROUND(VLOOKUP(alap!$A$1,'RK nyomered emb-káb'!$C:$KN,118,FALSE),1)</f>
        <v>76.400000000000006</v>
      </c>
      <c r="U8" s="649">
        <f>ROUND(VLOOKUP(alap!$A$1,'RK nyomered emb-káb'!$C:$KN,121,FALSE),1)</f>
        <v>77.8</v>
      </c>
      <c r="V8" s="649">
        <f>ROUND(VLOOKUP(alap!$A$1,'RK nyomered emb-káb'!$C:$KN,124,FALSE),1)</f>
        <v>81.2</v>
      </c>
      <c r="W8" s="649">
        <f>ROUND(VLOOKUP(alap!$A$1,'RK nyomered emb-káb'!$C:$KN,127,FALSE),1)</f>
        <v>81.3</v>
      </c>
      <c r="X8" s="649">
        <f>ROUND(VLOOKUP(alap!$A$1,'RK nyomered emb-káb'!$C:$KN,130,FALSE),1)</f>
        <v>76</v>
      </c>
      <c r="Y8" s="649">
        <f>ROUND(VLOOKUP(alap!$A$1,'RK nyomered emb-káb'!$C:$KN,133,FALSE),1)</f>
        <v>75</v>
      </c>
      <c r="Z8" s="649">
        <f>ROUND(VLOOKUP(alap!$A$1,'RK nyomered emb-káb'!$C:$KN,136,FALSE),1)</f>
        <v>90.6</v>
      </c>
      <c r="AA8" s="328"/>
      <c r="AB8" s="650">
        <f>VLOOKUP(alap!$A$1,'RK nyomered emb-káb'!$C:$LU,313,FALSE)</f>
        <v>80.246913580246911</v>
      </c>
      <c r="AC8" s="33" t="e">
        <f>'országos átlag'!G6</f>
        <v>#N/A</v>
      </c>
      <c r="AD8" s="649">
        <f t="shared" si="3"/>
        <v>15.599999999999994</v>
      </c>
      <c r="AE8" s="649">
        <f t="shared" si="4"/>
        <v>10.353086419753083</v>
      </c>
      <c r="AF8" s="651">
        <f t="shared" si="5"/>
        <v>8</v>
      </c>
      <c r="AG8" s="27"/>
      <c r="AH8" s="27"/>
      <c r="AI8" s="27"/>
      <c r="AJ8" s="27"/>
      <c r="AK8" s="27"/>
      <c r="AL8" s="33">
        <f>ROUND(VLOOKUP(alap!$A$1,feldered_RK!$C:$LO,52,FALSE),1)</f>
        <v>74.2</v>
      </c>
      <c r="AM8" s="649">
        <f>ROUND(VLOOKUP(alap!$A$1,feldered_RK!$C:$LO,55,FALSE),1)</f>
        <v>76.2</v>
      </c>
      <c r="AN8" s="649">
        <f>ROUND(VLOOKUP(alap!$A$1,feldered_RK!$C:$LO,58,FALSE),1)</f>
        <v>76.900000000000006</v>
      </c>
      <c r="AO8" s="652">
        <f>ROUND(VLOOKUP(alap!$A$1,feldered_RK!$C:$LO,61,FALSE),1)</f>
        <v>0</v>
      </c>
      <c r="AP8" s="85"/>
      <c r="AQ8" s="825" t="e">
        <f>'országos átlag'!H6</f>
        <v>#N/A</v>
      </c>
      <c r="AR8" s="830">
        <f t="shared" si="6"/>
        <v>-76.900000000000006</v>
      </c>
      <c r="AS8" s="29"/>
      <c r="AT8" s="29"/>
      <c r="AU8" s="29"/>
    </row>
    <row r="9" spans="1:47" x14ac:dyDescent="0.25">
      <c r="A9" s="30" t="s">
        <v>566</v>
      </c>
      <c r="B9" s="92">
        <f>VLOOKUP(alap!$A$1,RK_bcs!$B:$IK,47,FALSE)</f>
        <v>2</v>
      </c>
      <c r="C9" s="637">
        <f>VLOOKUP(alap!$A$1,RK_bcs!$B:$IK,48,FALSE)</f>
        <v>0</v>
      </c>
      <c r="D9" s="637">
        <f>VLOOKUP(alap!$A$1,RK_bcs!$B:$IK,49,FALSE)</f>
        <v>1</v>
      </c>
      <c r="E9" s="637">
        <f>VLOOKUP(alap!$A$1,RK_bcs!$B:$IK,50,FALSE)</f>
        <v>0</v>
      </c>
      <c r="F9" s="637">
        <f>VLOOKUP(alap!$A$1,RK_bcs!$B:$IK,51,FALSE)</f>
        <v>1</v>
      </c>
      <c r="G9" s="637">
        <f>VLOOKUP(alap!$A$1,RK_bcs!$B:$IK,52,FALSE)</f>
        <v>1</v>
      </c>
      <c r="H9" s="637">
        <f>VLOOKUP(alap!$A$1,RK_bcs!$B:$IK,53,FALSE)</f>
        <v>0</v>
      </c>
      <c r="I9" s="637">
        <f>VLOOKUP(alap!$A$1,RK_bcs!$B:$IK,54,FALSE)</f>
        <v>0</v>
      </c>
      <c r="J9" s="637">
        <f>VLOOKUP(alap!$A$1,RK_bcs!$B:$IK,55,FALSE)</f>
        <v>0</v>
      </c>
      <c r="K9" s="31"/>
      <c r="L9" s="641">
        <f t="shared" si="0"/>
        <v>0.4</v>
      </c>
      <c r="M9" s="648" t="str">
        <f t="shared" si="7"/>
        <v>-</v>
      </c>
      <c r="N9" s="648" t="str">
        <f t="shared" si="1"/>
        <v>-</v>
      </c>
      <c r="O9" s="648" t="str">
        <f t="shared" si="2"/>
        <v>-</v>
      </c>
      <c r="P9" s="22"/>
      <c r="Q9" s="30" t="s">
        <v>566</v>
      </c>
      <c r="R9" s="33">
        <f>ROUND(VLOOKUP(alap!$A$1,'RK nyomered emb-káb'!$C:$KN,139,FALSE),1)</f>
        <v>100</v>
      </c>
      <c r="S9" s="649" t="e">
        <f>ROUND(VLOOKUP(alap!$A$1,'RK nyomered emb-káb'!$C:$KN,142,FALSE),1)</f>
        <v>#VALUE!</v>
      </c>
      <c r="T9" s="649">
        <f>ROUND(VLOOKUP(alap!$A$1,'RK nyomered emb-káb'!$C:$KN,145,FALSE),1)</f>
        <v>100</v>
      </c>
      <c r="U9" s="649" t="e">
        <f>ROUND(VLOOKUP(alap!$A$1,'RK nyomered emb-káb'!$C:$KN,148,FALSE),1)</f>
        <v>#VALUE!</v>
      </c>
      <c r="V9" s="649">
        <f>ROUND(VLOOKUP(alap!$A$1,'RK nyomered emb-káb'!$C:$KN,151,FALSE),1)</f>
        <v>100</v>
      </c>
      <c r="W9" s="649">
        <f>ROUND(VLOOKUP(alap!$A$1,'RK nyomered emb-káb'!$C:$KN,154,FALSE),1)</f>
        <v>100</v>
      </c>
      <c r="X9" s="649" t="e">
        <f>ROUND(VLOOKUP(alap!$A$1,'RK nyomered emb-káb'!$C:$KN,157,FALSE),1)</f>
        <v>#VALUE!</v>
      </c>
      <c r="Y9" s="649" t="e">
        <f>ROUND(VLOOKUP(alap!$A$1,'RK nyomered emb-káb'!$C:$KN,160,FALSE),1)</f>
        <v>#VALUE!</v>
      </c>
      <c r="Z9" s="649">
        <f>ROUND(VLOOKUP(alap!$A$1,'RK nyomered emb-káb'!$C:$KN,163,FALSE),1)</f>
        <v>100</v>
      </c>
      <c r="AA9" s="328"/>
      <c r="AB9" s="650">
        <f>VLOOKUP(alap!$A$1,'RK nyomered emb-káb'!$C:$LU,316,FALSE)</f>
        <v>100</v>
      </c>
      <c r="AC9" s="33" t="e">
        <f>'országos átlag'!G7</f>
        <v>#N/A</v>
      </c>
      <c r="AD9" s="649" t="e">
        <f t="shared" si="3"/>
        <v>#VALUE!</v>
      </c>
      <c r="AE9" s="649">
        <f t="shared" si="4"/>
        <v>0</v>
      </c>
      <c r="AF9" s="651">
        <f t="shared" si="5"/>
        <v>0</v>
      </c>
      <c r="AG9" s="27"/>
      <c r="AH9" s="27"/>
      <c r="AI9" s="27"/>
      <c r="AJ9" s="27"/>
      <c r="AK9" s="27"/>
      <c r="AL9" s="33">
        <f>ROUND(VLOOKUP(alap!$A$1,feldered_RK!$C:$LO,64,FALSE),1)</f>
        <v>100</v>
      </c>
      <c r="AM9" s="649" t="e">
        <f>ROUND(VLOOKUP(alap!$A$1,feldered_RK!$C:$LO,67,FALSE),1)</f>
        <v>#VALUE!</v>
      </c>
      <c r="AN9" s="649" t="e">
        <f>ROUND(VLOOKUP(alap!$A$1,feldered_RK!$C:$LO,70,FALSE),1)</f>
        <v>#VALUE!</v>
      </c>
      <c r="AO9" s="652">
        <f>ROUND(VLOOKUP(alap!$A$1,feldered_RK!$C:$LO,73,FALSE),1)</f>
        <v>0</v>
      </c>
      <c r="AP9" s="85"/>
      <c r="AQ9" s="825" t="e">
        <f>'országos átlag'!H7</f>
        <v>#N/A</v>
      </c>
      <c r="AR9" s="830" t="e">
        <f t="shared" si="6"/>
        <v>#VALUE!</v>
      </c>
      <c r="AS9" s="29"/>
      <c r="AT9" s="29"/>
      <c r="AU9" s="29"/>
    </row>
    <row r="10" spans="1:47" x14ac:dyDescent="0.25">
      <c r="A10" s="36" t="s">
        <v>9</v>
      </c>
      <c r="B10" s="89">
        <f>VLOOKUP(alap!$A$1,RK_bcs!$B:$IK,56,FALSE)</f>
        <v>46</v>
      </c>
      <c r="C10" s="91">
        <f>VLOOKUP(alap!$A$1,RK_bcs!$B:$IK,57,FALSE)</f>
        <v>52</v>
      </c>
      <c r="D10" s="91">
        <f>VLOOKUP(alap!$A$1,RK_bcs!$B:$IK,58,FALSE)</f>
        <v>34</v>
      </c>
      <c r="E10" s="91">
        <f>VLOOKUP(alap!$A$1,RK_bcs!$B:$IK,59,FALSE)</f>
        <v>32</v>
      </c>
      <c r="F10" s="91">
        <f>VLOOKUP(alap!$A$1,RK_bcs!$B:$IK,60,FALSE)</f>
        <v>16</v>
      </c>
      <c r="G10" s="91">
        <f>VLOOKUP(alap!$A$1,RK_bcs!$B:$IK,61,FALSE)</f>
        <v>19</v>
      </c>
      <c r="H10" s="91">
        <f>VLOOKUP(alap!$A$1,RK_bcs!$B:$IK,62,FALSE)</f>
        <v>27</v>
      </c>
      <c r="I10" s="91">
        <f>VLOOKUP(alap!$A$1,RK_bcs!$B:$IK,63,FALSE)</f>
        <v>41</v>
      </c>
      <c r="J10" s="91">
        <f>VLOOKUP(alap!$A$1,RK_bcs!$B:$IK,64,FALSE)</f>
        <v>0</v>
      </c>
      <c r="K10" s="20"/>
      <c r="L10" s="643">
        <f t="shared" si="0"/>
        <v>20.6</v>
      </c>
      <c r="M10" s="21" t="str">
        <f t="shared" si="7"/>
        <v>-</v>
      </c>
      <c r="N10" s="21" t="str">
        <f t="shared" si="1"/>
        <v>-</v>
      </c>
      <c r="O10" s="21" t="str">
        <f t="shared" si="2"/>
        <v>-</v>
      </c>
      <c r="P10" s="22"/>
      <c r="Q10" s="36" t="s">
        <v>9</v>
      </c>
      <c r="R10" s="37">
        <f>ROUND(VLOOKUP(alap!$A$1,'RK nyomered emb-káb'!$C:$KN,166,FALSE),1)</f>
        <v>75.400000000000006</v>
      </c>
      <c r="S10" s="34">
        <f>ROUND(VLOOKUP(alap!$A$1,'RK nyomered emb-káb'!$C:$KN,169,FALSE),1)</f>
        <v>80</v>
      </c>
      <c r="T10" s="34">
        <f>ROUND(VLOOKUP(alap!$A$1,'RK nyomered emb-káb'!$C:$KN,172,FALSE),1)</f>
        <v>60.7</v>
      </c>
      <c r="U10" s="34">
        <f>ROUND(VLOOKUP(alap!$A$1,'RK nyomered emb-káb'!$C:$KN,175,FALSE),1)</f>
        <v>75.599999999999994</v>
      </c>
      <c r="V10" s="34">
        <f>ROUND(VLOOKUP(alap!$A$1,'RK nyomered emb-káb'!$C:$KN,178,FALSE),1)</f>
        <v>61.5</v>
      </c>
      <c r="W10" s="34">
        <f>ROUND(VLOOKUP(alap!$A$1,'RK nyomered emb-káb'!$C:$KN,181,FALSE),1)</f>
        <v>73.099999999999994</v>
      </c>
      <c r="X10" s="34">
        <f>ROUND(VLOOKUP(alap!$A$1,'RK nyomered emb-káb'!$C:$KN,184,FALSE),1)</f>
        <v>77.099999999999994</v>
      </c>
      <c r="Y10" s="34">
        <f>ROUND(VLOOKUP(alap!$A$1,'RK nyomered emb-káb'!$C:$KN,187,FALSE),1)</f>
        <v>80.400000000000006</v>
      </c>
      <c r="Z10" s="34">
        <f>ROUND(VLOOKUP(alap!$A$1,'RK nyomered emb-káb'!$C:$KN,190,FALSE),1)</f>
        <v>100</v>
      </c>
      <c r="AA10" s="328"/>
      <c r="AB10" s="35">
        <f>VLOOKUP(alap!$A$1,'RK nyomered emb-káb'!$C:$LU,319,FALSE)</f>
        <v>79.041916167664667</v>
      </c>
      <c r="AC10" s="37" t="e">
        <f>'országos átlag'!G8</f>
        <v>#N/A</v>
      </c>
      <c r="AD10" s="34">
        <f t="shared" si="3"/>
        <v>19.599999999999994</v>
      </c>
      <c r="AE10" s="34">
        <f t="shared" si="4"/>
        <v>20.958083832335333</v>
      </c>
      <c r="AF10" s="32">
        <f t="shared" si="5"/>
        <v>24.599999999999994</v>
      </c>
      <c r="AG10" s="27"/>
      <c r="AH10" s="27"/>
      <c r="AI10" s="27"/>
      <c r="AJ10" s="27"/>
      <c r="AK10" s="27"/>
      <c r="AL10" s="37" t="e">
        <f>ROUND(VLOOKUP(alap!$A$1,feldered_RK!$C:$LO,76,FALSE),1)</f>
        <v>#VALUE!</v>
      </c>
      <c r="AM10" s="34" t="e">
        <f>ROUND(VLOOKUP(alap!$A$1,feldered_RK!$C:$LO,79,FALSE),1)</f>
        <v>#VALUE!</v>
      </c>
      <c r="AN10" s="34">
        <f>ROUND(VLOOKUP(alap!$A$1,feldered_RK!$C:$LO,82,FALSE),1)</f>
        <v>100</v>
      </c>
      <c r="AO10" s="653">
        <f>ROUND(VLOOKUP(alap!$A$1,feldered_RK!$C:$LO,85,FALSE),1)</f>
        <v>0</v>
      </c>
      <c r="AP10" s="85"/>
      <c r="AQ10" s="826" t="e">
        <f>'országos átlag'!H8</f>
        <v>#N/A</v>
      </c>
      <c r="AR10" s="831">
        <f t="shared" si="6"/>
        <v>-100</v>
      </c>
      <c r="AS10" s="29"/>
      <c r="AT10" s="29"/>
      <c r="AU10" s="29"/>
    </row>
    <row r="11" spans="1:47" x14ac:dyDescent="0.25">
      <c r="A11" s="36" t="s">
        <v>10</v>
      </c>
      <c r="B11" s="89">
        <f>VLOOKUP(alap!$A$1,RK_bcs!$B:$IK,65,FALSE)</f>
        <v>1</v>
      </c>
      <c r="C11" s="91">
        <f>VLOOKUP(alap!$A$1,RK_bcs!$B:$IK,66,FALSE)</f>
        <v>4</v>
      </c>
      <c r="D11" s="91">
        <f>VLOOKUP(alap!$A$1,RK_bcs!$B:$IK,67,FALSE)</f>
        <v>5</v>
      </c>
      <c r="E11" s="91">
        <f>VLOOKUP(alap!$A$1,RK_bcs!$B:$IK,68,FALSE)</f>
        <v>13</v>
      </c>
      <c r="F11" s="91">
        <f>VLOOKUP(alap!$A$1,RK_bcs!$B:$IK,69,FALSE)</f>
        <v>9</v>
      </c>
      <c r="G11" s="91">
        <f>VLOOKUP(alap!$A$1,RK_bcs!$B:$IK,70,FALSE)</f>
        <v>6</v>
      </c>
      <c r="H11" s="91">
        <f>VLOOKUP(alap!$A$1,RK_bcs!$B:$IK,71,FALSE)</f>
        <v>5</v>
      </c>
      <c r="I11" s="91">
        <f>VLOOKUP(alap!$A$1,RK_bcs!$B:$IK,72,FALSE)</f>
        <v>1</v>
      </c>
      <c r="J11" s="91">
        <f>VLOOKUP(alap!$A$1,RK_bcs!$B:$IK,73,FALSE)</f>
        <v>0</v>
      </c>
      <c r="K11" s="20"/>
      <c r="L11" s="643">
        <f t="shared" si="0"/>
        <v>4.2</v>
      </c>
      <c r="M11" s="21" t="str">
        <f t="shared" si="7"/>
        <v>-</v>
      </c>
      <c r="N11" s="21" t="str">
        <f>IF(J11&lt;50,"-",(J11/L11*100)-100)</f>
        <v>-</v>
      </c>
      <c r="O11" s="21" t="str">
        <f t="shared" si="2"/>
        <v>-</v>
      </c>
      <c r="P11" s="22"/>
      <c r="Q11" s="36" t="s">
        <v>10</v>
      </c>
      <c r="R11" s="37">
        <f>ROUND(VLOOKUP(alap!$A$1,'RK nyomered emb-káb'!$C:$KN,193,FALSE),1)</f>
        <v>100</v>
      </c>
      <c r="S11" s="34">
        <f>ROUND(VLOOKUP(alap!$A$1,'RK nyomered emb-káb'!$C:$KN,196,FALSE),1)</f>
        <v>100</v>
      </c>
      <c r="T11" s="34">
        <f>ROUND(VLOOKUP(alap!$A$1,'RK nyomered emb-káb'!$C:$KN,199,FALSE),1)</f>
        <v>40</v>
      </c>
      <c r="U11" s="34">
        <f>ROUND(VLOOKUP(alap!$A$1,'RK nyomered emb-káb'!$C:$KN,202,FALSE),1)</f>
        <v>100</v>
      </c>
      <c r="V11" s="34">
        <f>ROUND(VLOOKUP(alap!$A$1,'RK nyomered emb-káb'!$C:$KN,205,FALSE),1)</f>
        <v>100</v>
      </c>
      <c r="W11" s="34">
        <f>ROUND(VLOOKUP(alap!$A$1,'RK nyomered emb-káb'!$C:$KN,208,FALSE),1)</f>
        <v>100</v>
      </c>
      <c r="X11" s="34">
        <f>ROUND(VLOOKUP(alap!$A$1,'RK nyomered emb-káb'!$C:$KN,211,FALSE),1)</f>
        <v>80</v>
      </c>
      <c r="Y11" s="34">
        <f>ROUND(VLOOKUP(alap!$A$1,'RK nyomered emb-káb'!$C:$KN,214,FALSE),1)</f>
        <v>100</v>
      </c>
      <c r="Z11" s="34">
        <f>ROUND(VLOOKUP(alap!$A$1,'RK nyomered emb-káb'!$C:$KN,217,FALSE),1)</f>
        <v>100</v>
      </c>
      <c r="AA11" s="328"/>
      <c r="AB11" s="35">
        <f>VLOOKUP(alap!$A$1,'RK nyomered emb-káb'!$C:$LU,322,FALSE)</f>
        <v>95.454545454545453</v>
      </c>
      <c r="AC11" s="37" t="e">
        <f>'országos átlag'!G9</f>
        <v>#N/A</v>
      </c>
      <c r="AD11" s="34">
        <f t="shared" si="3"/>
        <v>0</v>
      </c>
      <c r="AE11" s="34">
        <f t="shared" si="4"/>
        <v>4.5454545454545467</v>
      </c>
      <c r="AF11" s="32">
        <f t="shared" si="5"/>
        <v>0</v>
      </c>
      <c r="AG11" s="27"/>
      <c r="AH11" s="27"/>
      <c r="AI11" s="27"/>
      <c r="AJ11" s="27"/>
      <c r="AK11" s="27"/>
      <c r="AL11" s="37">
        <f>ROUND(VLOOKUP(alap!$A$1,feldered_RK!$C:$LO,88,FALSE),1)</f>
        <v>100</v>
      </c>
      <c r="AM11" s="34">
        <f>ROUND(VLOOKUP(alap!$A$1,feldered_RK!$C:$LO,91,FALSE),1)</f>
        <v>75</v>
      </c>
      <c r="AN11" s="34">
        <f>ROUND(VLOOKUP(alap!$A$1,feldered_RK!$C:$LO,94,FALSE),1)</f>
        <v>100</v>
      </c>
      <c r="AO11" s="653">
        <f>ROUND(VLOOKUP(alap!$A$1,feldered_RK!$C:$LO,97,FALSE),1)</f>
        <v>0</v>
      </c>
      <c r="AP11" s="85"/>
      <c r="AQ11" s="826" t="e">
        <f>'országos átlag'!H9</f>
        <v>#N/A</v>
      </c>
      <c r="AR11" s="831">
        <f t="shared" si="6"/>
        <v>-100</v>
      </c>
      <c r="AS11" s="29"/>
      <c r="AT11" s="29"/>
      <c r="AU11" s="29"/>
    </row>
    <row r="12" spans="1:47" x14ac:dyDescent="0.25">
      <c r="A12" s="36" t="s">
        <v>11</v>
      </c>
      <c r="B12" s="89">
        <f>VLOOKUP(alap!$A$1,RK_bcs!$B:$IK,74,FALSE)</f>
        <v>528</v>
      </c>
      <c r="C12" s="91">
        <f>VLOOKUP(alap!$A$1,RK_bcs!$B:$IK,75,FALSE)</f>
        <v>508</v>
      </c>
      <c r="D12" s="91">
        <f>VLOOKUP(alap!$A$1,RK_bcs!$B:$IK,76,FALSE)</f>
        <v>481</v>
      </c>
      <c r="E12" s="91">
        <f>VLOOKUP(alap!$A$1,RK_bcs!$B:$IK,77,FALSE)</f>
        <v>446</v>
      </c>
      <c r="F12" s="91">
        <f>VLOOKUP(alap!$A$1,RK_bcs!$B:$IK,78,FALSE)</f>
        <v>449</v>
      </c>
      <c r="G12" s="91">
        <f>VLOOKUP(alap!$A$1,RK_bcs!$B:$IK,79,FALSE)</f>
        <v>395</v>
      </c>
      <c r="H12" s="91">
        <f>VLOOKUP(alap!$A$1,RK_bcs!$B:$IK,80,FALSE)</f>
        <v>336</v>
      </c>
      <c r="I12" s="91">
        <f>VLOOKUP(alap!$A$1,RK_bcs!$B:$IK,81,FALSE)</f>
        <v>311</v>
      </c>
      <c r="J12" s="91">
        <f>VLOOKUP(alap!$A$1,RK_bcs!$B:$IK,82,FALSE)</f>
        <v>0</v>
      </c>
      <c r="K12" s="20"/>
      <c r="L12" s="643">
        <f t="shared" si="0"/>
        <v>298.2</v>
      </c>
      <c r="M12" s="21" t="str">
        <f t="shared" si="7"/>
        <v>-</v>
      </c>
      <c r="N12" s="21" t="str">
        <f t="shared" si="1"/>
        <v>-</v>
      </c>
      <c r="O12" s="21" t="str">
        <f t="shared" si="2"/>
        <v>-</v>
      </c>
      <c r="P12" s="22"/>
      <c r="Q12" s="36" t="s">
        <v>11</v>
      </c>
      <c r="R12" s="37">
        <f>ROUND(VLOOKUP(alap!$A$1,'RK nyomered emb-káb'!$C:$KN,220,FALSE),1)</f>
        <v>79.2</v>
      </c>
      <c r="S12" s="34">
        <f>ROUND(VLOOKUP(alap!$A$1,'RK nyomered emb-káb'!$C:$KN,223,FALSE),1)</f>
        <v>76.7</v>
      </c>
      <c r="T12" s="34">
        <f>ROUND(VLOOKUP(alap!$A$1,'RK nyomered emb-káb'!$C:$KN,226,FALSE),1)</f>
        <v>75.900000000000006</v>
      </c>
      <c r="U12" s="34">
        <f>ROUND(VLOOKUP(alap!$A$1,'RK nyomered emb-káb'!$C:$KN,229,FALSE),1)</f>
        <v>76.3</v>
      </c>
      <c r="V12" s="34">
        <f>ROUND(VLOOKUP(alap!$A$1,'RK nyomered emb-káb'!$C:$KN,232,FALSE),1)</f>
        <v>77.599999999999994</v>
      </c>
      <c r="W12" s="34">
        <f>ROUND(VLOOKUP(alap!$A$1,'RK nyomered emb-káb'!$C:$KN,235,FALSE),1)</f>
        <v>82.8</v>
      </c>
      <c r="X12" s="34">
        <f>ROUND(VLOOKUP(alap!$A$1,'RK nyomered emb-káb'!$C:$KN,238,FALSE),1)</f>
        <v>76</v>
      </c>
      <c r="Y12" s="34">
        <f>ROUND(VLOOKUP(alap!$A$1,'RK nyomered emb-káb'!$C:$KN,241,FALSE),1)</f>
        <v>77.599999999999994</v>
      </c>
      <c r="Z12" s="34">
        <f>ROUND(VLOOKUP(alap!$A$1,'RK nyomered emb-káb'!$C:$KN,244,FALSE),1)</f>
        <v>87.9</v>
      </c>
      <c r="AA12" s="328"/>
      <c r="AB12" s="35">
        <f>VLOOKUP(alap!$A$1,'RK nyomered emb-káb'!$C:$LU,325,FALSE)</f>
        <v>79.826933477555443</v>
      </c>
      <c r="AC12" s="37" t="e">
        <f>'országos átlag'!G10</f>
        <v>#N/A</v>
      </c>
      <c r="AD12" s="34">
        <f t="shared" si="3"/>
        <v>10.300000000000011</v>
      </c>
      <c r="AE12" s="34">
        <f t="shared" ref="AE12:AE30" si="8">Z12-AB12</f>
        <v>8.073066522444563</v>
      </c>
      <c r="AF12" s="32">
        <f t="shared" si="5"/>
        <v>8.7000000000000028</v>
      </c>
      <c r="AG12" s="27"/>
      <c r="AH12" s="27"/>
      <c r="AI12" s="27"/>
      <c r="AJ12" s="27"/>
      <c r="AK12" s="27"/>
      <c r="AL12" s="37">
        <f>ROUND(VLOOKUP(alap!$A$1,feldered_RK!$C:$LO,100,FALSE),1)</f>
        <v>80</v>
      </c>
      <c r="AM12" s="34">
        <f>ROUND(VLOOKUP(alap!$A$1,feldered_RK!$C:$LO,103,FALSE),1)</f>
        <v>73.900000000000006</v>
      </c>
      <c r="AN12" s="34">
        <f>ROUND(VLOOKUP(alap!$A$1,feldered_RK!$C:$LO,106,FALSE),1)</f>
        <v>77.2</v>
      </c>
      <c r="AO12" s="653">
        <f>ROUND(VLOOKUP(alap!$A$1,feldered_RK!$C:$LO,109,FALSE),1)</f>
        <v>0</v>
      </c>
      <c r="AP12" s="85"/>
      <c r="AQ12" s="826" t="e">
        <f>'országos átlag'!H10</f>
        <v>#N/A</v>
      </c>
      <c r="AR12" s="831">
        <f t="shared" si="6"/>
        <v>-77.2</v>
      </c>
      <c r="AS12" s="29"/>
      <c r="AT12" s="29"/>
      <c r="AU12" s="29"/>
    </row>
    <row r="13" spans="1:47" x14ac:dyDescent="0.25">
      <c r="A13" s="36" t="s">
        <v>12</v>
      </c>
      <c r="B13" s="89">
        <f>VLOOKUP(alap!$A$1,RK_bcs!$B:$IK,83,FALSE)</f>
        <v>14</v>
      </c>
      <c r="C13" s="91">
        <f>VLOOKUP(alap!$A$1,RK_bcs!$B:$IK,84,FALSE)</f>
        <v>8</v>
      </c>
      <c r="D13" s="91">
        <f>VLOOKUP(alap!$A$1,RK_bcs!$B:$IK,85,FALSE)</f>
        <v>8</v>
      </c>
      <c r="E13" s="91">
        <f>VLOOKUP(alap!$A$1,RK_bcs!$B:$IK,86,FALSE)</f>
        <v>9</v>
      </c>
      <c r="F13" s="91">
        <f>VLOOKUP(alap!$A$1,RK_bcs!$B:$IK,87,FALSE)</f>
        <v>5</v>
      </c>
      <c r="G13" s="91">
        <f>VLOOKUP(alap!$A$1,RK_bcs!$B:$IK,88,FALSE)</f>
        <v>2</v>
      </c>
      <c r="H13" s="91">
        <f>VLOOKUP(alap!$A$1,RK_bcs!$B:$IK,89,FALSE)</f>
        <v>12</v>
      </c>
      <c r="I13" s="91">
        <f>VLOOKUP(alap!$A$1,RK_bcs!$B:$IK,90,FALSE)</f>
        <v>4</v>
      </c>
      <c r="J13" s="91">
        <f>VLOOKUP(alap!$A$1,RK_bcs!$B:$IK,91,FALSE)</f>
        <v>0</v>
      </c>
      <c r="K13" s="20"/>
      <c r="L13" s="643">
        <f>AVERAGE(F13:J13)</f>
        <v>4.5999999999999996</v>
      </c>
      <c r="M13" s="21" t="str">
        <f t="shared" si="7"/>
        <v>-</v>
      </c>
      <c r="N13" s="21" t="str">
        <f t="shared" si="1"/>
        <v>-</v>
      </c>
      <c r="O13" s="21" t="str">
        <f t="shared" si="2"/>
        <v>-</v>
      </c>
      <c r="P13" s="22"/>
      <c r="Q13" s="36" t="s">
        <v>12</v>
      </c>
      <c r="R13" s="37">
        <f>ROUND(VLOOKUP(alap!$A$1,'RK nyomered emb-káb'!$C:$KN,247,FALSE),1)</f>
        <v>57.1</v>
      </c>
      <c r="S13" s="34">
        <f>ROUND(VLOOKUP(alap!$A$1,'RK nyomered emb-káb'!$C:$KN,250,FALSE),1)</f>
        <v>58.3</v>
      </c>
      <c r="T13" s="34">
        <f>ROUND(VLOOKUP(alap!$A$1,'RK nyomered emb-káb'!$C:$KN,253,FALSE),1)</f>
        <v>54.5</v>
      </c>
      <c r="U13" s="34">
        <f>ROUND(VLOOKUP(alap!$A$1,'RK nyomered emb-káb'!$C:$KN,256,FALSE),1)</f>
        <v>81.8</v>
      </c>
      <c r="V13" s="34">
        <f>ROUND(VLOOKUP(alap!$A$1,'RK nyomered emb-káb'!$C:$KN,259,FALSE),1)</f>
        <v>83.3</v>
      </c>
      <c r="W13" s="34">
        <f>ROUND(VLOOKUP(alap!$A$1,'RK nyomered emb-káb'!$C:$KN,262,FALSE),1)</f>
        <v>66.7</v>
      </c>
      <c r="X13" s="34">
        <f>ROUND(VLOOKUP(alap!$A$1,'RK nyomered emb-káb'!$C:$KN,265,FALSE),1)</f>
        <v>75</v>
      </c>
      <c r="Y13" s="34">
        <f>ROUND(VLOOKUP(alap!$A$1,'RK nyomered emb-káb'!$C:$KN,268,FALSE),1)</f>
        <v>71.400000000000006</v>
      </c>
      <c r="Z13" s="34">
        <f>ROUND(VLOOKUP(alap!$A$1,'RK nyomered emb-káb'!$C:$KN,271,FALSE),1)</f>
        <v>100</v>
      </c>
      <c r="AA13" s="328"/>
      <c r="AB13" s="35">
        <f>VLOOKUP(alap!$A$1,'RK nyomered emb-káb'!$C:$LU,328,FALSE)</f>
        <v>76.470588235294116</v>
      </c>
      <c r="AC13" s="37" t="e">
        <f>'országos átlag'!G11</f>
        <v>#N/A</v>
      </c>
      <c r="AD13" s="34">
        <f t="shared" si="3"/>
        <v>28.599999999999994</v>
      </c>
      <c r="AE13" s="34">
        <f t="shared" si="8"/>
        <v>23.529411764705884</v>
      </c>
      <c r="AF13" s="32">
        <f t="shared" si="5"/>
        <v>42.9</v>
      </c>
      <c r="AG13" s="27"/>
      <c r="AH13" s="27"/>
      <c r="AI13" s="27"/>
      <c r="AJ13" s="27"/>
      <c r="AK13" s="27"/>
      <c r="AL13" s="37">
        <f>ROUND(VLOOKUP(alap!$A$1,feldered_RK!$C:$LO,112,FALSE),1)</f>
        <v>100</v>
      </c>
      <c r="AM13" s="34">
        <f>ROUND(VLOOKUP(alap!$A$1,feldered_RK!$C:$LO,115,FALSE),1)</f>
        <v>100</v>
      </c>
      <c r="AN13" s="34">
        <f>ROUND(VLOOKUP(alap!$A$1,feldered_RK!$C:$LO,118,FALSE),1)</f>
        <v>100</v>
      </c>
      <c r="AO13" s="653">
        <f>ROUND(VLOOKUP(alap!$A$1,feldered_RK!$C:$LO,121,FALSE),1)</f>
        <v>0</v>
      </c>
      <c r="AP13" s="85"/>
      <c r="AQ13" s="826" t="e">
        <f>'országos átlag'!H11</f>
        <v>#N/A</v>
      </c>
      <c r="AR13" s="831">
        <f t="shared" si="6"/>
        <v>-100</v>
      </c>
      <c r="AS13" s="29"/>
      <c r="AT13" s="29"/>
      <c r="AU13" s="29"/>
    </row>
    <row r="14" spans="1:47" s="41" customFormat="1" ht="78.75" x14ac:dyDescent="0.25">
      <c r="A14" s="36" t="s">
        <v>13</v>
      </c>
      <c r="B14" s="89">
        <f>VLOOKUP(alap!$A$1,RK_bcs!$B:$IK,92,FALSE)</f>
        <v>28</v>
      </c>
      <c r="C14" s="91">
        <f>VLOOKUP(alap!$A$1,RK_bcs!$B:$IK,93,FALSE)</f>
        <v>42</v>
      </c>
      <c r="D14" s="91">
        <f>VLOOKUP(alap!$A$1,RK_bcs!$B:$IK,94,FALSE)</f>
        <v>23</v>
      </c>
      <c r="E14" s="91">
        <f>VLOOKUP(alap!$A$1,RK_bcs!$B:$IK,95,FALSE)</f>
        <v>26</v>
      </c>
      <c r="F14" s="91">
        <f>VLOOKUP(alap!$A$1,RK_bcs!$B:$IK,96,FALSE)</f>
        <v>23</v>
      </c>
      <c r="G14" s="91">
        <f>VLOOKUP(alap!$A$1,RK_bcs!$B:$IK,97,FALSE)</f>
        <v>19</v>
      </c>
      <c r="H14" s="91">
        <f>VLOOKUP(alap!$A$1,RK_bcs!$B:$IK,98,FALSE)</f>
        <v>20</v>
      </c>
      <c r="I14" s="91">
        <f>VLOOKUP(alap!$A$1,RK_bcs!$B:$IK,99,FALSE)</f>
        <v>24</v>
      </c>
      <c r="J14" s="91">
        <f>VLOOKUP(alap!$A$1,RK_bcs!$B:$IK,100,FALSE)</f>
        <v>0</v>
      </c>
      <c r="K14" s="20"/>
      <c r="L14" s="643">
        <f t="shared" si="0"/>
        <v>17.2</v>
      </c>
      <c r="M14" s="21" t="str">
        <f t="shared" si="7"/>
        <v>-</v>
      </c>
      <c r="N14" s="21" t="str">
        <f t="shared" si="1"/>
        <v>-</v>
      </c>
      <c r="O14" s="21" t="str">
        <f t="shared" si="2"/>
        <v>-</v>
      </c>
      <c r="P14" s="22"/>
      <c r="Q14" s="36" t="s">
        <v>13</v>
      </c>
      <c r="R14" s="37">
        <f>ROUND(VLOOKUP(alap!$A$1,'RK nyomered emb-káb'!$C:$KN,274,FALSE),1)</f>
        <v>87.1</v>
      </c>
      <c r="S14" s="34">
        <f>ROUND(VLOOKUP(alap!$A$1,'RK nyomered emb-káb'!$C:$KN,277,FALSE),1)</f>
        <v>85.1</v>
      </c>
      <c r="T14" s="34">
        <f>ROUND(VLOOKUP(alap!$A$1,'RK nyomered emb-káb'!$C:$KN,280,FALSE),1)</f>
        <v>84.6</v>
      </c>
      <c r="U14" s="34">
        <f>ROUND(VLOOKUP(alap!$A$1,'RK nyomered emb-káb'!$C:$KN,283,FALSE),1)</f>
        <v>86.8</v>
      </c>
      <c r="V14" s="34">
        <f>ROUND(VLOOKUP(alap!$A$1,'RK nyomered emb-káb'!$C:$KN,286,FALSE),1)</f>
        <v>92</v>
      </c>
      <c r="W14" s="34">
        <f>ROUND(VLOOKUP(alap!$A$1,'RK nyomered emb-káb'!$C:$KN,289,FALSE),1)</f>
        <v>89.5</v>
      </c>
      <c r="X14" s="34">
        <f>ROUND(VLOOKUP(alap!$A$1,'RK nyomered emb-káb'!$C:$KN,292,FALSE),1)</f>
        <v>81.8</v>
      </c>
      <c r="Y14" s="34">
        <f>ROUND(VLOOKUP(alap!$A$1,'RK nyomered emb-káb'!$C:$KN,295,FALSE),1)</f>
        <v>80</v>
      </c>
      <c r="Z14" s="34">
        <f>ROUND(VLOOKUP(alap!$A$1,'RK nyomered emb-káb'!$C:$KN,298,FALSE),1)</f>
        <v>83.8</v>
      </c>
      <c r="AA14" s="328"/>
      <c r="AB14" s="38">
        <f>VLOOKUP(alap!$A$1,'RK nyomered emb-káb'!$C:$LU,331,FALSE)</f>
        <v>85.15625</v>
      </c>
      <c r="AC14" s="37" t="e">
        <f>'országos átlag'!G12</f>
        <v>#N/A</v>
      </c>
      <c r="AD14" s="34">
        <f t="shared" si="3"/>
        <v>3.7999999999999972</v>
      </c>
      <c r="AE14" s="34">
        <f t="shared" si="8"/>
        <v>-1.3562500000000028</v>
      </c>
      <c r="AF14" s="32">
        <f t="shared" si="5"/>
        <v>-3.2999999999999972</v>
      </c>
      <c r="AG14" s="39"/>
      <c r="AH14" s="39"/>
      <c r="AI14" s="39"/>
      <c r="AJ14" s="39"/>
      <c r="AK14" s="39"/>
      <c r="AL14" s="37">
        <f>ROUND(VLOOKUP(alap!$A$1,feldered_RK!$C:$LO,124,FALSE),1)</f>
        <v>77.8</v>
      </c>
      <c r="AM14" s="34">
        <f>ROUND(VLOOKUP(alap!$A$1,feldered_RK!$C:$LO,127,FALSE),1)</f>
        <v>86.7</v>
      </c>
      <c r="AN14" s="34">
        <f>ROUND(VLOOKUP(alap!$A$1,feldered_RK!$C:$LO,130,FALSE),1)</f>
        <v>81.8</v>
      </c>
      <c r="AO14" s="653">
        <f>ROUND(VLOOKUP(alap!$A$1,feldered_RK!$C:$LO,133,FALSE),1)</f>
        <v>0</v>
      </c>
      <c r="AP14" s="86"/>
      <c r="AQ14" s="826" t="e">
        <f>'országos átlag'!H12</f>
        <v>#N/A</v>
      </c>
      <c r="AR14" s="831">
        <f t="shared" si="6"/>
        <v>-81.8</v>
      </c>
      <c r="AS14" s="40"/>
      <c r="AT14" s="40"/>
      <c r="AU14" s="40"/>
    </row>
    <row r="15" spans="1:47" x14ac:dyDescent="0.25">
      <c r="A15" s="36" t="s">
        <v>14</v>
      </c>
      <c r="B15" s="89">
        <f>VLOOKUP(alap!$A$1,RK_bcs!$B:$IK,101,FALSE)</f>
        <v>3657</v>
      </c>
      <c r="C15" s="91">
        <f>VLOOKUP(alap!$A$1,RK_bcs!$B:$IK,102,FALSE)</f>
        <v>3031</v>
      </c>
      <c r="D15" s="91">
        <f>VLOOKUP(alap!$A$1,RK_bcs!$B:$IK,103,FALSE)</f>
        <v>2879</v>
      </c>
      <c r="E15" s="91">
        <f>VLOOKUP(alap!$A$1,RK_bcs!$B:$IK,104,FALSE)</f>
        <v>2261</v>
      </c>
      <c r="F15" s="91">
        <f>VLOOKUP(alap!$A$1,RK_bcs!$B:$IK,105,FALSE)</f>
        <v>2249</v>
      </c>
      <c r="G15" s="91">
        <f>VLOOKUP(alap!$A$1,RK_bcs!$B:$IK,106,FALSE)</f>
        <v>1855</v>
      </c>
      <c r="H15" s="91">
        <f>VLOOKUP(alap!$A$1,RK_bcs!$B:$IK,107,FALSE)</f>
        <v>1385</v>
      </c>
      <c r="I15" s="91">
        <f>VLOOKUP(alap!$A$1,RK_bcs!$B:$IK,108,FALSE)</f>
        <v>1363</v>
      </c>
      <c r="J15" s="91">
        <f>VLOOKUP(alap!$A$1,RK_bcs!$B:$IK,109,FALSE)</f>
        <v>0</v>
      </c>
      <c r="K15" s="20"/>
      <c r="L15" s="643">
        <f t="shared" si="0"/>
        <v>1370.4</v>
      </c>
      <c r="M15" s="21" t="str">
        <f t="shared" si="7"/>
        <v>-</v>
      </c>
      <c r="N15" s="21" t="str">
        <f t="shared" si="1"/>
        <v>-</v>
      </c>
      <c r="O15" s="21" t="str">
        <f t="shared" si="2"/>
        <v>-</v>
      </c>
      <c r="P15" s="22"/>
      <c r="Q15" s="36" t="s">
        <v>14</v>
      </c>
      <c r="R15" s="37">
        <f>ROUND(VLOOKUP(alap!$A$1,'RK nyomered lop-össz'!$C:$PS,4,FALSE),1)</f>
        <v>33.1</v>
      </c>
      <c r="S15" s="34">
        <f>ROUND(VLOOKUP(alap!$A$1,'RK nyomered lop-össz'!$C:$PS,7,FALSE),1)</f>
        <v>26.3</v>
      </c>
      <c r="T15" s="34">
        <f>ROUND(VLOOKUP(alap!$A$1,'RK nyomered lop-össz'!$C:$PS,10,FALSE),1)</f>
        <v>29.7</v>
      </c>
      <c r="U15" s="34">
        <f>ROUND(VLOOKUP(alap!$A$1,'RK nyomered lop-össz'!$C:$PS,13,FALSE),1)</f>
        <v>33.799999999999997</v>
      </c>
      <c r="V15" s="34">
        <f>ROUND(VLOOKUP(alap!$A$1,'RK nyomered lop-össz'!$C:$PS,16,FALSE),1)</f>
        <v>33.700000000000003</v>
      </c>
      <c r="W15" s="34">
        <f>ROUND(VLOOKUP(alap!$A$1,'RK nyomered lop-össz'!$C:$PS,19,FALSE),1)</f>
        <v>38.200000000000003</v>
      </c>
      <c r="X15" s="34">
        <f>ROUND(VLOOKUP(alap!$A$1,'RK nyomered lop-össz'!$C:$PS,22,FALSE),1)</f>
        <v>41</v>
      </c>
      <c r="Y15" s="34">
        <f>ROUND(VLOOKUP(alap!$A$1,'RK nyomered lop-össz'!$C:$PS,25,FALSE),1)</f>
        <v>45.8</v>
      </c>
      <c r="Z15" s="34">
        <f>ROUND(VLOOKUP(alap!$A$1,'RK nyomered lop-össz'!$C:$PS,28,FALSE),1)</f>
        <v>44.9</v>
      </c>
      <c r="AA15" s="328"/>
      <c r="AB15" s="35">
        <f>ROUND(VLOOKUP(alap!$A$1,'RK nyomered lop-össz'!$C:$RO,436,FALSE),1)</f>
        <v>39.5</v>
      </c>
      <c r="AC15" s="37" t="e">
        <f>'országos átlag'!G13</f>
        <v>#N/A</v>
      </c>
      <c r="AD15" s="34">
        <f t="shared" si="3"/>
        <v>-0.89999999999999858</v>
      </c>
      <c r="AE15" s="34">
        <f t="shared" si="8"/>
        <v>5.3999999999999986</v>
      </c>
      <c r="AF15" s="32">
        <f t="shared" si="5"/>
        <v>11.799999999999997</v>
      </c>
      <c r="AG15" s="27"/>
      <c r="AH15" s="27"/>
      <c r="AI15" s="27"/>
      <c r="AJ15" s="27"/>
      <c r="AK15" s="27"/>
      <c r="AL15" s="37">
        <f>ROUND(VLOOKUP(alap!$A$1,feldered_RK!$C:$LO,136,FALSE),1)</f>
        <v>32.700000000000003</v>
      </c>
      <c r="AM15" s="34">
        <f>ROUND(VLOOKUP(alap!$A$1,feldered_RK!$C:$LO,139,FALSE),1)</f>
        <v>37.700000000000003</v>
      </c>
      <c r="AN15" s="34">
        <f>ROUND(VLOOKUP(alap!$A$1,feldered_RK!$C:$LO,142,FALSE),1)</f>
        <v>42.3</v>
      </c>
      <c r="AO15" s="653">
        <f>ROUND(VLOOKUP(alap!$A$1,feldered_RK!$C:$LO,145,FALSE),1)</f>
        <v>0</v>
      </c>
      <c r="AP15" s="85"/>
      <c r="AQ15" s="826" t="e">
        <f>'országos átlag'!H13</f>
        <v>#N/A</v>
      </c>
      <c r="AR15" s="831">
        <f t="shared" si="6"/>
        <v>-42.3</v>
      </c>
      <c r="AS15" s="29"/>
      <c r="AT15" s="29"/>
      <c r="AU15" s="29"/>
    </row>
    <row r="16" spans="1:47" x14ac:dyDescent="0.25">
      <c r="A16" s="30" t="s">
        <v>15</v>
      </c>
      <c r="B16" s="92">
        <f>VLOOKUP(alap!$A$1,RK_bcs!$B:$IK,110,FALSE)</f>
        <v>10</v>
      </c>
      <c r="C16" s="637">
        <f>VLOOKUP(alap!$A$1,RK_bcs!$B:$IK,111,FALSE)</f>
        <v>18</v>
      </c>
      <c r="D16" s="637">
        <f>VLOOKUP(alap!$A$1,RK_bcs!$B:$IK,112,FALSE)</f>
        <v>15</v>
      </c>
      <c r="E16" s="637">
        <f>VLOOKUP(alap!$A$1,RK_bcs!$B:$IK,113,FALSE)</f>
        <v>8</v>
      </c>
      <c r="F16" s="637">
        <f>VLOOKUP(alap!$A$1,RK_bcs!$B:$IK,114,FALSE)</f>
        <v>10</v>
      </c>
      <c r="G16" s="637">
        <f>VLOOKUP(alap!$A$1,RK_bcs!$B:$IK,115,FALSE)</f>
        <v>12</v>
      </c>
      <c r="H16" s="637">
        <f>VLOOKUP(alap!$A$1,RK_bcs!$B:$IK,116,FALSE)</f>
        <v>5</v>
      </c>
      <c r="I16" s="637">
        <f>VLOOKUP(alap!$A$1,RK_bcs!$B:$IK,117,FALSE)</f>
        <v>11</v>
      </c>
      <c r="J16" s="637">
        <f>VLOOKUP(alap!$A$1,RK_bcs!$B:$IK,118,FALSE)</f>
        <v>0</v>
      </c>
      <c r="K16" s="31"/>
      <c r="L16" s="641">
        <f t="shared" si="0"/>
        <v>7.6</v>
      </c>
      <c r="M16" s="648" t="str">
        <f t="shared" si="7"/>
        <v>-</v>
      </c>
      <c r="N16" s="648" t="str">
        <f t="shared" si="1"/>
        <v>-</v>
      </c>
      <c r="O16" s="648" t="str">
        <f t="shared" si="2"/>
        <v>-</v>
      </c>
      <c r="P16" s="22"/>
      <c r="Q16" s="30" t="s">
        <v>15</v>
      </c>
      <c r="R16" s="33">
        <f>ROUND(VLOOKUP(alap!$A$1,'RK nyomered lop-össz'!$C:$PS,31,FALSE),1)</f>
        <v>30</v>
      </c>
      <c r="S16" s="649">
        <f>ROUND(VLOOKUP(alap!$A$1,'RK nyomered lop-össz'!$C:$PS,34,FALSE),1)</f>
        <v>69.400000000000006</v>
      </c>
      <c r="T16" s="649">
        <f>ROUND(VLOOKUP(alap!$A$1,'RK nyomered lop-össz'!$C:$PS,37,FALSE),1)</f>
        <v>70.599999999999994</v>
      </c>
      <c r="U16" s="649">
        <f>ROUND(VLOOKUP(alap!$A$1,'RK nyomered lop-össz'!$C:$PS,40,FALSE),1)</f>
        <v>14.3</v>
      </c>
      <c r="V16" s="649">
        <f>ROUND(VLOOKUP(alap!$A$1,'RK nyomered lop-össz'!$C:$PS,43,FALSE),1)</f>
        <v>70</v>
      </c>
      <c r="W16" s="649">
        <f>ROUND(VLOOKUP(alap!$A$1,'RK nyomered lop-össz'!$C:$PS,46,FALSE),1)</f>
        <v>41.7</v>
      </c>
      <c r="X16" s="649">
        <f>ROUND(VLOOKUP(alap!$A$1,'RK nyomered lop-össz'!$C:$PS,49,FALSE),1)</f>
        <v>75</v>
      </c>
      <c r="Y16" s="649">
        <f>ROUND(VLOOKUP(alap!$A$1,'RK nyomered lop-össz'!$C:$PS,52,FALSE),1)</f>
        <v>100</v>
      </c>
      <c r="Z16" s="649">
        <f>ROUND(VLOOKUP(alap!$A$1,'RK nyomered lop-össz'!$C:$PS,55,FALSE),1)</f>
        <v>100</v>
      </c>
      <c r="AA16" s="328"/>
      <c r="AB16" s="650">
        <f>ROUND(VLOOKUP(alap!$A$1,'RK nyomered lop-össz'!$C:$RO,439,FALSE),1)</f>
        <v>72.5</v>
      </c>
      <c r="AC16" s="33" t="e">
        <f>'országos átlag'!G14</f>
        <v>#N/A</v>
      </c>
      <c r="AD16" s="649">
        <f t="shared" si="3"/>
        <v>0</v>
      </c>
      <c r="AE16" s="649">
        <f t="shared" si="8"/>
        <v>27.5</v>
      </c>
      <c r="AF16" s="651">
        <f t="shared" si="5"/>
        <v>70</v>
      </c>
      <c r="AG16" s="27"/>
      <c r="AH16" s="27"/>
      <c r="AI16" s="27"/>
      <c r="AJ16" s="27"/>
      <c r="AK16" s="27"/>
      <c r="AL16" s="33">
        <f>ROUND(VLOOKUP(alap!$A$1,feldered_RK!$C:$LO,148,FALSE),1)</f>
        <v>41.7</v>
      </c>
      <c r="AM16" s="649">
        <f>ROUND(VLOOKUP(alap!$A$1,feldered_RK!$C:$LO,151,FALSE),1)</f>
        <v>75</v>
      </c>
      <c r="AN16" s="649">
        <f>ROUND(VLOOKUP(alap!$A$1,feldered_RK!$C:$LO,154,FALSE),1)</f>
        <v>100</v>
      </c>
      <c r="AO16" s="652">
        <f>ROUND(VLOOKUP(alap!$A$1,feldered_RK!$C:$LO,157,FALSE),1)</f>
        <v>0</v>
      </c>
      <c r="AP16" s="85"/>
      <c r="AQ16" s="825" t="e">
        <f>'országos átlag'!H14</f>
        <v>#N/A</v>
      </c>
      <c r="AR16" s="830">
        <f t="shared" si="6"/>
        <v>-100</v>
      </c>
      <c r="AS16" s="29"/>
      <c r="AT16" s="29"/>
      <c r="AU16" s="29"/>
    </row>
    <row r="17" spans="1:47" x14ac:dyDescent="0.25">
      <c r="A17" s="30" t="s">
        <v>16</v>
      </c>
      <c r="B17" s="92">
        <f>VLOOKUP(alap!$A$1,RK_bcs!$B:$IK,119,FALSE)</f>
        <v>210</v>
      </c>
      <c r="C17" s="637">
        <f>VLOOKUP(alap!$A$1,RK_bcs!$B:$IK,120,FALSE)</f>
        <v>92</v>
      </c>
      <c r="D17" s="637">
        <f>VLOOKUP(alap!$A$1,RK_bcs!$B:$IK,121,FALSE)</f>
        <v>91</v>
      </c>
      <c r="E17" s="637">
        <f>VLOOKUP(alap!$A$1,RK_bcs!$B:$IK,122,FALSE)</f>
        <v>47</v>
      </c>
      <c r="F17" s="637">
        <f>VLOOKUP(alap!$A$1,RK_bcs!$B:$IK,123,FALSE)</f>
        <v>72</v>
      </c>
      <c r="G17" s="637">
        <f>VLOOKUP(alap!$A$1,RK_bcs!$B:$IK,124,FALSE)</f>
        <v>45</v>
      </c>
      <c r="H17" s="637">
        <f>VLOOKUP(alap!$A$1,RK_bcs!$B:$IK,125,FALSE)</f>
        <v>17</v>
      </c>
      <c r="I17" s="637">
        <f>VLOOKUP(alap!$A$1,RK_bcs!$B:$IK,126,FALSE)</f>
        <v>20</v>
      </c>
      <c r="J17" s="637">
        <f>VLOOKUP(alap!$A$1,RK_bcs!$B:$IK,127,FALSE)</f>
        <v>0</v>
      </c>
      <c r="K17" s="31"/>
      <c r="L17" s="641">
        <f t="shared" si="0"/>
        <v>30.8</v>
      </c>
      <c r="M17" s="648" t="str">
        <f t="shared" si="7"/>
        <v>-</v>
      </c>
      <c r="N17" s="648" t="str">
        <f t="shared" si="1"/>
        <v>-</v>
      </c>
      <c r="O17" s="648" t="str">
        <f t="shared" si="2"/>
        <v>-</v>
      </c>
      <c r="P17" s="22"/>
      <c r="Q17" s="30" t="s">
        <v>16</v>
      </c>
      <c r="R17" s="33">
        <f>ROUND(VLOOKUP(alap!$A$1,'RK nyomered lop-össz'!$C:$PS,58,FALSE),1)</f>
        <v>47.4</v>
      </c>
      <c r="S17" s="649">
        <f>ROUND(VLOOKUP(alap!$A$1,'RK nyomered lop-össz'!$C:$PS,61,FALSE),1)</f>
        <v>9.8000000000000007</v>
      </c>
      <c r="T17" s="649">
        <f>ROUND(VLOOKUP(alap!$A$1,'RK nyomered lop-össz'!$C:$PS,64,FALSE),1)</f>
        <v>31.9</v>
      </c>
      <c r="U17" s="649">
        <f>ROUND(VLOOKUP(alap!$A$1,'RK nyomered lop-össz'!$C:$PS,67,FALSE),1)</f>
        <v>8.5</v>
      </c>
      <c r="V17" s="649">
        <f>ROUND(VLOOKUP(alap!$A$1,'RK nyomered lop-össz'!$C:$PS,70,FALSE),1)</f>
        <v>52.8</v>
      </c>
      <c r="W17" s="649">
        <f>ROUND(VLOOKUP(alap!$A$1,'RK nyomered lop-össz'!$C:$PS,73,FALSE),1)</f>
        <v>33.299999999999997</v>
      </c>
      <c r="X17" s="649">
        <f>ROUND(VLOOKUP(alap!$A$1,'RK nyomered lop-össz'!$C:$PS,76,FALSE),1)</f>
        <v>11.8</v>
      </c>
      <c r="Y17" s="649">
        <f>ROUND(VLOOKUP(alap!$A$1,'RK nyomered lop-össz'!$C:$PS,79,FALSE),1)</f>
        <v>35</v>
      </c>
      <c r="Z17" s="649">
        <f>ROUND(VLOOKUP(alap!$A$1,'RK nyomered lop-össz'!$C:$PS,82,FALSE),1)</f>
        <v>18.8</v>
      </c>
      <c r="AA17" s="328"/>
      <c r="AB17" s="650">
        <f>ROUND(VLOOKUP(alap!$A$1,'RK nyomered lop-össz'!$C:$RO,442,FALSE),1)</f>
        <v>38.200000000000003</v>
      </c>
      <c r="AC17" s="33" t="e">
        <f>'országos átlag'!G15</f>
        <v>#N/A</v>
      </c>
      <c r="AD17" s="649">
        <f t="shared" si="3"/>
        <v>-16.2</v>
      </c>
      <c r="AE17" s="649">
        <f t="shared" si="8"/>
        <v>-19.400000000000002</v>
      </c>
      <c r="AF17" s="651">
        <f t="shared" si="5"/>
        <v>-28.599999999999998</v>
      </c>
      <c r="AG17" s="27"/>
      <c r="AH17" s="27"/>
      <c r="AI17" s="27"/>
      <c r="AJ17" s="27"/>
      <c r="AK17" s="27"/>
      <c r="AL17" s="33">
        <f>ROUND(VLOOKUP(alap!$A$1,feldered_RK!$C:$LO,160,FALSE),1)</f>
        <v>28.6</v>
      </c>
      <c r="AM17" s="649">
        <f>ROUND(VLOOKUP(alap!$A$1,feldered_RK!$C:$LO,163,FALSE),1)</f>
        <v>11.8</v>
      </c>
      <c r="AN17" s="649">
        <f>ROUND(VLOOKUP(alap!$A$1,feldered_RK!$C:$LO,166,FALSE),1)</f>
        <v>35</v>
      </c>
      <c r="AO17" s="652">
        <f>ROUND(VLOOKUP(alap!$A$1,feldered_RK!$C:$LO,169,FALSE),1)</f>
        <v>0</v>
      </c>
      <c r="AP17" s="85"/>
      <c r="AQ17" s="825" t="e">
        <f>'országos átlag'!H15</f>
        <v>#N/A</v>
      </c>
      <c r="AR17" s="830">
        <f t="shared" si="6"/>
        <v>-35</v>
      </c>
      <c r="AS17" s="29"/>
      <c r="AT17" s="29"/>
      <c r="AU17" s="29"/>
    </row>
    <row r="18" spans="1:47" x14ac:dyDescent="0.25">
      <c r="A18" s="30" t="s">
        <v>568</v>
      </c>
      <c r="B18" s="92">
        <f>VLOOKUP(alap!$A$1,RK_bcs!$B:$IK,128,FALSE)</f>
        <v>374</v>
      </c>
      <c r="C18" s="637">
        <f>VLOOKUP(alap!$A$1,RK_bcs!$B:$IK,129,FALSE)</f>
        <v>275</v>
      </c>
      <c r="D18" s="637">
        <f>VLOOKUP(alap!$A$1,RK_bcs!$B:$IK,130,FALSE)</f>
        <v>322</v>
      </c>
      <c r="E18" s="637">
        <f>VLOOKUP(alap!$A$1,RK_bcs!$B:$IK,131,FALSE)</f>
        <v>254</v>
      </c>
      <c r="F18" s="637">
        <f>VLOOKUP(alap!$A$1,RK_bcs!$B:$IK,132,FALSE)</f>
        <v>234</v>
      </c>
      <c r="G18" s="637">
        <f>VLOOKUP(alap!$A$1,RK_bcs!$B:$IK,133,FALSE)</f>
        <v>272</v>
      </c>
      <c r="H18" s="637">
        <f>VLOOKUP(alap!$A$1,RK_bcs!$B:$IK,134,FALSE)</f>
        <v>239</v>
      </c>
      <c r="I18" s="637">
        <f>VLOOKUP(alap!$A$1,RK_bcs!$B:$IK,135,FALSE)</f>
        <v>172</v>
      </c>
      <c r="J18" s="637">
        <f>VLOOKUP(alap!$A$1,RK_bcs!$B:$IK,136,FALSE)</f>
        <v>0</v>
      </c>
      <c r="K18" s="31"/>
      <c r="L18" s="641">
        <f t="shared" si="0"/>
        <v>183.4</v>
      </c>
      <c r="M18" s="648" t="str">
        <f t="shared" si="7"/>
        <v>-</v>
      </c>
      <c r="N18" s="648" t="str">
        <f t="shared" si="1"/>
        <v>-</v>
      </c>
      <c r="O18" s="648" t="str">
        <f t="shared" si="2"/>
        <v>-</v>
      </c>
      <c r="P18" s="22"/>
      <c r="Q18" s="30" t="s">
        <v>568</v>
      </c>
      <c r="R18" s="33">
        <f>ROUND(VLOOKUP(alap!$A$1,'RK nyomered lop-össz'!$C:$PS,85,FALSE),1)</f>
        <v>22</v>
      </c>
      <c r="S18" s="649">
        <f>ROUND(VLOOKUP(alap!$A$1,'RK nyomered lop-össz'!$C:$PS,88,FALSE),1)</f>
        <v>13.7</v>
      </c>
      <c r="T18" s="649">
        <f>ROUND(VLOOKUP(alap!$A$1,'RK nyomered lop-össz'!$C:$PS,91,FALSE),1)</f>
        <v>27.6</v>
      </c>
      <c r="U18" s="649">
        <f>ROUND(VLOOKUP(alap!$A$1,'RK nyomered lop-össz'!$C:$PS,94,FALSE),1)</f>
        <v>35.6</v>
      </c>
      <c r="V18" s="649">
        <f>ROUND(VLOOKUP(alap!$A$1,'RK nyomered lop-össz'!$C:$PS,97,FALSE),1)</f>
        <v>25.3</v>
      </c>
      <c r="W18" s="649">
        <f>ROUND(VLOOKUP(alap!$A$1,'RK nyomered lop-össz'!$C:$PS,100,FALSE),1)</f>
        <v>31.6</v>
      </c>
      <c r="X18" s="649">
        <f>ROUND(VLOOKUP(alap!$A$1,'RK nyomered lop-össz'!$C:$PS,103,FALSE),1)</f>
        <v>39.700000000000003</v>
      </c>
      <c r="Y18" s="649">
        <f>ROUND(VLOOKUP(alap!$A$1,'RK nyomered lop-össz'!$C:$PS,106,FALSE),1)</f>
        <v>49.4</v>
      </c>
      <c r="Z18" s="649">
        <f>ROUND(VLOOKUP(alap!$A$1,'RK nyomered lop-össz'!$C:$PS,109,FALSE),1)</f>
        <v>48.7</v>
      </c>
      <c r="AA18" s="328"/>
      <c r="AB18" s="650">
        <f>ROUND(VLOOKUP(alap!$A$1,'RK nyomered lop-össz'!$C:$RO,445,FALSE),1)</f>
        <v>37</v>
      </c>
      <c r="AC18" s="33" t="e">
        <f>'országos átlag'!G16</f>
        <v>#N/A</v>
      </c>
      <c r="AD18" s="649">
        <f t="shared" si="3"/>
        <v>-0.69999999999999574</v>
      </c>
      <c r="AE18" s="649">
        <f t="shared" si="8"/>
        <v>11.700000000000003</v>
      </c>
      <c r="AF18" s="651">
        <f t="shared" si="5"/>
        <v>26.700000000000003</v>
      </c>
      <c r="AG18" s="27"/>
      <c r="AH18" s="27"/>
      <c r="AI18" s="27"/>
      <c r="AJ18" s="27"/>
      <c r="AK18" s="27"/>
      <c r="AL18" s="33">
        <f>ROUND(VLOOKUP(alap!$A$1,feldered_RK!$C:$LO,172,FALSE),1)</f>
        <v>30.5</v>
      </c>
      <c r="AM18" s="649">
        <f>ROUND(VLOOKUP(alap!$A$1,feldered_RK!$C:$LO,175,FALSE),1)</f>
        <v>39.200000000000003</v>
      </c>
      <c r="AN18" s="649">
        <f>ROUND(VLOOKUP(alap!$A$1,feldered_RK!$C:$LO,178,FALSE),1)</f>
        <v>48.2</v>
      </c>
      <c r="AO18" s="652">
        <f>ROUND(VLOOKUP(alap!$A$1,feldered_RK!$C:$LO,181,FALSE),1)</f>
        <v>0</v>
      </c>
      <c r="AP18" s="85"/>
      <c r="AQ18" s="825" t="e">
        <f>'országos átlag'!H16</f>
        <v>#N/A</v>
      </c>
      <c r="AR18" s="830">
        <f t="shared" si="6"/>
        <v>-48.2</v>
      </c>
      <c r="AS18" s="29"/>
      <c r="AT18" s="29"/>
      <c r="AU18" s="29"/>
    </row>
    <row r="19" spans="1:47" x14ac:dyDescent="0.25">
      <c r="A19" s="36" t="s">
        <v>17</v>
      </c>
      <c r="B19" s="89">
        <f>VLOOKUP(alap!$A$1,RK_bcs!$B:$IK,137,FALSE)</f>
        <v>62</v>
      </c>
      <c r="C19" s="91">
        <f>VLOOKUP(alap!$A$1,RK_bcs!$B:$IK,138,FALSE)</f>
        <v>40</v>
      </c>
      <c r="D19" s="91">
        <f>VLOOKUP(alap!$A$1,RK_bcs!$B:$IK,139,FALSE)</f>
        <v>31</v>
      </c>
      <c r="E19" s="91">
        <f>VLOOKUP(alap!$A$1,RK_bcs!$B:$IK,140,FALSE)</f>
        <v>19</v>
      </c>
      <c r="F19" s="91">
        <f>VLOOKUP(alap!$A$1,RK_bcs!$B:$IK,141,FALSE)</f>
        <v>23</v>
      </c>
      <c r="G19" s="91">
        <f>VLOOKUP(alap!$A$1,RK_bcs!$B:$IK,142,FALSE)</f>
        <v>10</v>
      </c>
      <c r="H19" s="91">
        <f>VLOOKUP(alap!$A$1,RK_bcs!$B:$IK,143,FALSE)</f>
        <v>9</v>
      </c>
      <c r="I19" s="91">
        <f>VLOOKUP(alap!$A$1,RK_bcs!$B:$IK,144,FALSE)</f>
        <v>5</v>
      </c>
      <c r="J19" s="91">
        <f>VLOOKUP(alap!$A$1,RK_bcs!$B:$IK,145,FALSE)</f>
        <v>0</v>
      </c>
      <c r="K19" s="20"/>
      <c r="L19" s="643">
        <f t="shared" si="0"/>
        <v>9.4</v>
      </c>
      <c r="M19" s="21" t="str">
        <f t="shared" si="7"/>
        <v>-</v>
      </c>
      <c r="N19" s="21" t="str">
        <f t="shared" si="1"/>
        <v>-</v>
      </c>
      <c r="O19" s="21" t="str">
        <f t="shared" si="2"/>
        <v>-</v>
      </c>
      <c r="P19" s="22"/>
      <c r="Q19" s="36" t="s">
        <v>17</v>
      </c>
      <c r="R19" s="37">
        <f>ROUND(VLOOKUP(alap!$A$1,'RK nyomered lop-össz'!$C:$PS,112,FALSE),1)</f>
        <v>69.8</v>
      </c>
      <c r="S19" s="34">
        <f>ROUND(VLOOKUP(alap!$A$1,'RK nyomered lop-össz'!$C:$PS,115,FALSE),1)</f>
        <v>73.8</v>
      </c>
      <c r="T19" s="34">
        <f>ROUND(VLOOKUP(alap!$A$1,'RK nyomered lop-össz'!$C:$PS,118,FALSE),1)</f>
        <v>53.1</v>
      </c>
      <c r="U19" s="34">
        <f>ROUND(VLOOKUP(alap!$A$1,'RK nyomered lop-össz'!$C:$PS,121,FALSE),1)</f>
        <v>73.7</v>
      </c>
      <c r="V19" s="34">
        <f>ROUND(VLOOKUP(alap!$A$1,'RK nyomered lop-össz'!$C:$PS,124,FALSE),1)</f>
        <v>60.9</v>
      </c>
      <c r="W19" s="34">
        <f>ROUND(VLOOKUP(alap!$A$1,'RK nyomered lop-össz'!$C:$PS,127,FALSE),1)</f>
        <v>75</v>
      </c>
      <c r="X19" s="34">
        <f>ROUND(VLOOKUP(alap!$A$1,'RK nyomered lop-össz'!$C:$PS,130,FALSE),1)</f>
        <v>100</v>
      </c>
      <c r="Y19" s="34">
        <f>ROUND(VLOOKUP(alap!$A$1,'RK nyomered lop-össz'!$C:$PS,133,FALSE),1)</f>
        <v>100</v>
      </c>
      <c r="Z19" s="34" t="e">
        <f>ROUND(VLOOKUP(alap!$A$1,'RK nyomered lop-össz'!$C:$PS,136,FALSE),1)</f>
        <v>#VALUE!</v>
      </c>
      <c r="AA19" s="328"/>
      <c r="AB19" s="35">
        <f>ROUND(VLOOKUP(alap!$A$1,'RK nyomered lop-össz'!$C:$RO,448,FALSE),1)</f>
        <v>75.5</v>
      </c>
      <c r="AC19" s="37" t="e">
        <f>'országos átlag'!G17</f>
        <v>#N/A</v>
      </c>
      <c r="AD19" s="34" t="e">
        <f t="shared" si="3"/>
        <v>#VALUE!</v>
      </c>
      <c r="AE19" s="34" t="e">
        <f t="shared" si="8"/>
        <v>#VALUE!</v>
      </c>
      <c r="AF19" s="32" t="e">
        <f t="shared" si="5"/>
        <v>#VALUE!</v>
      </c>
      <c r="AG19" s="27"/>
      <c r="AH19" s="27"/>
      <c r="AI19" s="27"/>
      <c r="AJ19" s="27"/>
      <c r="AK19" s="27"/>
      <c r="AL19" s="37">
        <f>ROUND(VLOOKUP(alap!$A$1,feldered_RK!$C:$LO,184,FALSE),1)</f>
        <v>87.5</v>
      </c>
      <c r="AM19" s="34">
        <f>ROUND(VLOOKUP(alap!$A$1,feldered_RK!$C:$LO,187,FALSE),1)</f>
        <v>100</v>
      </c>
      <c r="AN19" s="34">
        <f>ROUND(VLOOKUP(alap!$A$1,feldered_RK!$C:$LO,190,FALSE),1)</f>
        <v>100</v>
      </c>
      <c r="AO19" s="653">
        <f>ROUND(VLOOKUP(alap!$A$1,feldered_RK!$C:$LO,193,FALSE),1)</f>
        <v>0</v>
      </c>
      <c r="AP19" s="85"/>
      <c r="AQ19" s="826" t="e">
        <f>'országos átlag'!H17</f>
        <v>#N/A</v>
      </c>
      <c r="AR19" s="831">
        <f t="shared" si="6"/>
        <v>-100</v>
      </c>
      <c r="AS19" s="29"/>
      <c r="AT19" s="29"/>
      <c r="AU19" s="29"/>
    </row>
    <row r="20" spans="1:47" x14ac:dyDescent="0.25">
      <c r="A20" s="36" t="s">
        <v>18</v>
      </c>
      <c r="B20" s="89">
        <f>VLOOKUP(alap!$A$1,RK_bcs!$B:$IK,146,FALSE)</f>
        <v>3</v>
      </c>
      <c r="C20" s="91">
        <f>VLOOKUP(alap!$A$1,RK_bcs!$B:$IK,147,FALSE)</f>
        <v>10</v>
      </c>
      <c r="D20" s="91">
        <f>VLOOKUP(alap!$A$1,RK_bcs!$B:$IK,148,FALSE)</f>
        <v>9</v>
      </c>
      <c r="E20" s="91">
        <f>VLOOKUP(alap!$A$1,RK_bcs!$B:$IK,149,FALSE)</f>
        <v>6</v>
      </c>
      <c r="F20" s="91">
        <f>VLOOKUP(alap!$A$1,RK_bcs!$B:$IK,150,FALSE)</f>
        <v>9</v>
      </c>
      <c r="G20" s="91">
        <f>VLOOKUP(alap!$A$1,RK_bcs!$B:$IK,151,FALSE)</f>
        <v>4</v>
      </c>
      <c r="H20" s="91">
        <f>VLOOKUP(alap!$A$1,RK_bcs!$B:$IK,152,FALSE)</f>
        <v>33</v>
      </c>
      <c r="I20" s="91">
        <f>VLOOKUP(alap!$A$1,RK_bcs!$B:$IK,153,FALSE)</f>
        <v>25</v>
      </c>
      <c r="J20" s="91">
        <f>VLOOKUP(alap!$A$1,RK_bcs!$B:$IK,154,FALSE)</f>
        <v>0</v>
      </c>
      <c r="K20" s="20"/>
      <c r="L20" s="643">
        <f t="shared" si="0"/>
        <v>14.2</v>
      </c>
      <c r="M20" s="21" t="str">
        <f t="shared" si="7"/>
        <v>-</v>
      </c>
      <c r="N20" s="21" t="str">
        <f t="shared" si="1"/>
        <v>-</v>
      </c>
      <c r="O20" s="21" t="str">
        <f t="shared" si="2"/>
        <v>-</v>
      </c>
      <c r="P20" s="22"/>
      <c r="Q20" s="36" t="s">
        <v>18</v>
      </c>
      <c r="R20" s="37">
        <f>ROUND(VLOOKUP(alap!$A$1,'RK nyomered lop-össz'!$C:$PS,139,FALSE),1)</f>
        <v>75</v>
      </c>
      <c r="S20" s="34">
        <f>ROUND(VLOOKUP(alap!$A$1,'RK nyomered lop-össz'!$C:$PS,142,FALSE),1)</f>
        <v>54.5</v>
      </c>
      <c r="T20" s="34">
        <f>ROUND(VLOOKUP(alap!$A$1,'RK nyomered lop-össz'!$C:$PS,145,FALSE),1)</f>
        <v>66.7</v>
      </c>
      <c r="U20" s="34">
        <f>ROUND(VLOOKUP(alap!$A$1,'RK nyomered lop-össz'!$C:$PS,148,FALSE),1)</f>
        <v>66.7</v>
      </c>
      <c r="V20" s="34">
        <f>ROUND(VLOOKUP(alap!$A$1,'RK nyomered lop-össz'!$C:$PS,151,FALSE),1)</f>
        <v>66.7</v>
      </c>
      <c r="W20" s="34">
        <f>ROUND(VLOOKUP(alap!$A$1,'RK nyomered lop-össz'!$C:$PS,154,FALSE),1)</f>
        <v>75</v>
      </c>
      <c r="X20" s="34">
        <f>ROUND(VLOOKUP(alap!$A$1,'RK nyomered lop-össz'!$C:$PS,157,FALSE),1)</f>
        <v>86.1</v>
      </c>
      <c r="Y20" s="34">
        <f>ROUND(VLOOKUP(alap!$A$1,'RK nyomered lop-össz'!$C:$PS,160,FALSE),1)</f>
        <v>88</v>
      </c>
      <c r="Z20" s="34">
        <f>ROUND(VLOOKUP(alap!$A$1,'RK nyomered lop-össz'!$C:$PS,163,FALSE),1)</f>
        <v>75</v>
      </c>
      <c r="AA20" s="328"/>
      <c r="AB20" s="35">
        <f>ROUND(VLOOKUP(alap!$A$1,'RK nyomered lop-össz'!$C:$RO,451,FALSE),1)</f>
        <v>83.3</v>
      </c>
      <c r="AC20" s="37" t="e">
        <f>'országos átlag'!G18</f>
        <v>#N/A</v>
      </c>
      <c r="AD20" s="34">
        <f t="shared" si="3"/>
        <v>-13</v>
      </c>
      <c r="AE20" s="34">
        <f>Z20-AB20</f>
        <v>-8.2999999999999972</v>
      </c>
      <c r="AF20" s="32">
        <f t="shared" si="5"/>
        <v>0</v>
      </c>
      <c r="AG20" s="27"/>
      <c r="AH20" s="27"/>
      <c r="AI20" s="27"/>
      <c r="AJ20" s="27"/>
      <c r="AK20" s="27"/>
      <c r="AL20" s="37">
        <f>ROUND(VLOOKUP(alap!$A$1,feldered_RK!$C:$LO,196,FALSE),1)</f>
        <v>66.7</v>
      </c>
      <c r="AM20" s="34">
        <f>ROUND(VLOOKUP(alap!$A$1,feldered_RK!$C:$LO,199,FALSE),1)</f>
        <v>91.2</v>
      </c>
      <c r="AN20" s="34">
        <f>ROUND(VLOOKUP(alap!$A$1,feldered_RK!$C:$LO,202,FALSE),1)</f>
        <v>87</v>
      </c>
      <c r="AO20" s="653">
        <f>ROUND(VLOOKUP(alap!$A$1,feldered_RK!$C:$LO,205,FALSE),1)</f>
        <v>0</v>
      </c>
      <c r="AP20" s="85"/>
      <c r="AQ20" s="826" t="e">
        <f>'országos átlag'!H18</f>
        <v>#N/A</v>
      </c>
      <c r="AR20" s="831">
        <f t="shared" si="6"/>
        <v>-87</v>
      </c>
      <c r="AS20" s="29"/>
      <c r="AT20" s="29"/>
      <c r="AU20" s="29"/>
    </row>
    <row r="21" spans="1:47" x14ac:dyDescent="0.25">
      <c r="A21" s="36" t="s">
        <v>19</v>
      </c>
      <c r="B21" s="89">
        <f>VLOOKUP(alap!$A$1,RK_bcs!$B:$IK,155,FALSE)</f>
        <v>15</v>
      </c>
      <c r="C21" s="91">
        <f>VLOOKUP(alap!$A$1,RK_bcs!$B:$IK,156,FALSE)</f>
        <v>11</v>
      </c>
      <c r="D21" s="91">
        <f>VLOOKUP(alap!$A$1,RK_bcs!$B:$IK,157,FALSE)</f>
        <v>13</v>
      </c>
      <c r="E21" s="91">
        <f>VLOOKUP(alap!$A$1,RK_bcs!$B:$IK,158,FALSE)</f>
        <v>4</v>
      </c>
      <c r="F21" s="91">
        <f>VLOOKUP(alap!$A$1,RK_bcs!$B:$IK,159,FALSE)</f>
        <v>9</v>
      </c>
      <c r="G21" s="91">
        <f>VLOOKUP(alap!$A$1,RK_bcs!$B:$IK,160,FALSE)</f>
        <v>6</v>
      </c>
      <c r="H21" s="91">
        <f>VLOOKUP(alap!$A$1,RK_bcs!$B:$IK,161,FALSE)</f>
        <v>4</v>
      </c>
      <c r="I21" s="91">
        <f>VLOOKUP(alap!$A$1,RK_bcs!$B:$IK,162,FALSE)</f>
        <v>6</v>
      </c>
      <c r="J21" s="91">
        <f>VLOOKUP(alap!$A$1,RK_bcs!$B:$IK,163,FALSE)</f>
        <v>0</v>
      </c>
      <c r="K21" s="20"/>
      <c r="L21" s="643">
        <f t="shared" si="0"/>
        <v>5</v>
      </c>
      <c r="M21" s="21" t="str">
        <f t="shared" si="7"/>
        <v>-</v>
      </c>
      <c r="N21" s="21" t="str">
        <f t="shared" si="1"/>
        <v>-</v>
      </c>
      <c r="O21" s="21" t="str">
        <f t="shared" si="2"/>
        <v>-</v>
      </c>
      <c r="P21" s="22"/>
      <c r="Q21" s="36" t="s">
        <v>19</v>
      </c>
      <c r="R21" s="37">
        <f>ROUND(VLOOKUP(alap!$A$1,'RK nyomered lop-össz'!$C:$PS,166,FALSE),1)</f>
        <v>59.1</v>
      </c>
      <c r="S21" s="34">
        <f>ROUND(VLOOKUP(alap!$A$1,'RK nyomered lop-össz'!$C:$PS,169,FALSE),1)</f>
        <v>58.8</v>
      </c>
      <c r="T21" s="34">
        <f>ROUND(VLOOKUP(alap!$A$1,'RK nyomered lop-össz'!$C:$PS,172,FALSE),1)</f>
        <v>66.7</v>
      </c>
      <c r="U21" s="34">
        <f>ROUND(VLOOKUP(alap!$A$1,'RK nyomered lop-össz'!$C:$PS,175,FALSE),1)</f>
        <v>40</v>
      </c>
      <c r="V21" s="34">
        <f>ROUND(VLOOKUP(alap!$A$1,'RK nyomered lop-össz'!$C:$PS,178,FALSE),1)</f>
        <v>64.3</v>
      </c>
      <c r="W21" s="34">
        <f>ROUND(VLOOKUP(alap!$A$1,'RK nyomered lop-össz'!$C:$PS,181,FALSE),1)</f>
        <v>44.4</v>
      </c>
      <c r="X21" s="34">
        <f>ROUND(VLOOKUP(alap!$A$1,'RK nyomered lop-össz'!$C:$PS,184,FALSE),1)</f>
        <v>55.6</v>
      </c>
      <c r="Y21" s="34">
        <f>ROUND(VLOOKUP(alap!$A$1,'RK nyomered lop-össz'!$C:$PS,187,FALSE),1)</f>
        <v>62.5</v>
      </c>
      <c r="Z21" s="34">
        <f>ROUND(VLOOKUP(alap!$A$1,'RK nyomered lop-össz'!$C:$PS,190,FALSE),1)</f>
        <v>100</v>
      </c>
      <c r="AA21" s="328"/>
      <c r="AB21" s="35">
        <f>ROUND(VLOOKUP(alap!$A$1,'RK nyomered lop-össz'!$C:$RO,454,FALSE),1)</f>
        <v>69.599999999999994</v>
      </c>
      <c r="AC21" s="37" t="e">
        <f>'országos átlag'!G19</f>
        <v>#N/A</v>
      </c>
      <c r="AD21" s="34">
        <f t="shared" si="3"/>
        <v>37.5</v>
      </c>
      <c r="AE21" s="34">
        <f>Z21-AB21</f>
        <v>30.400000000000006</v>
      </c>
      <c r="AF21" s="32">
        <f t="shared" si="5"/>
        <v>40.9</v>
      </c>
      <c r="AG21" s="27"/>
      <c r="AH21" s="27"/>
      <c r="AI21" s="27"/>
      <c r="AJ21" s="27"/>
      <c r="AK21" s="27"/>
      <c r="AL21" s="37">
        <f>ROUND(VLOOKUP(alap!$A$1,feldered_RK!$C:$LO,208,FALSE),1)</f>
        <v>66.7</v>
      </c>
      <c r="AM21" s="34">
        <f>ROUND(VLOOKUP(alap!$A$1,feldered_RK!$C:$LO,211,FALSE),1)</f>
        <v>100</v>
      </c>
      <c r="AN21" s="34">
        <f>ROUND(VLOOKUP(alap!$A$1,feldered_RK!$C:$LO,214,FALSE),1)</f>
        <v>75</v>
      </c>
      <c r="AO21" s="653">
        <f>ROUND(VLOOKUP(alap!$A$1,feldered_RK!$C:$LO,217,FALSE),1)</f>
        <v>0</v>
      </c>
      <c r="AP21" s="85"/>
      <c r="AQ21" s="826" t="e">
        <f>'országos átlag'!H19</f>
        <v>#N/A</v>
      </c>
      <c r="AR21" s="831">
        <f t="shared" si="6"/>
        <v>-75</v>
      </c>
      <c r="AS21" s="29"/>
      <c r="AT21" s="29"/>
      <c r="AU21" s="29"/>
    </row>
    <row r="22" spans="1:47" x14ac:dyDescent="0.25">
      <c r="A22" s="36" t="s">
        <v>20</v>
      </c>
      <c r="B22" s="89">
        <f>VLOOKUP(alap!$A$1,RK_bcs!$B:$IK,164,FALSE)</f>
        <v>305</v>
      </c>
      <c r="C22" s="91">
        <f>VLOOKUP(alap!$A$1,RK_bcs!$B:$IK,165,FALSE)</f>
        <v>295</v>
      </c>
      <c r="D22" s="91">
        <f>VLOOKUP(alap!$A$1,RK_bcs!$B:$IK,166,FALSE)</f>
        <v>205</v>
      </c>
      <c r="E22" s="91">
        <f>VLOOKUP(alap!$A$1,RK_bcs!$B:$IK,167,FALSE)</f>
        <v>169</v>
      </c>
      <c r="F22" s="91">
        <f>VLOOKUP(alap!$A$1,RK_bcs!$B:$IK,168,FALSE)</f>
        <v>159</v>
      </c>
      <c r="G22" s="91">
        <f>VLOOKUP(alap!$A$1,RK_bcs!$B:$IK,169,FALSE)</f>
        <v>150</v>
      </c>
      <c r="H22" s="91">
        <f>VLOOKUP(alap!$A$1,RK_bcs!$B:$IK,170,FALSE)</f>
        <v>113</v>
      </c>
      <c r="I22" s="91">
        <f>VLOOKUP(alap!$A$1,RK_bcs!$B:$IK,171,FALSE)</f>
        <v>134</v>
      </c>
      <c r="J22" s="91">
        <f>VLOOKUP(alap!$A$1,RK_bcs!$B:$IK,172,FALSE)</f>
        <v>0</v>
      </c>
      <c r="K22" s="20"/>
      <c r="L22" s="643">
        <f t="shared" si="0"/>
        <v>111.2</v>
      </c>
      <c r="M22" s="21" t="str">
        <f t="shared" si="7"/>
        <v>-</v>
      </c>
      <c r="N22" s="21" t="str">
        <f t="shared" si="1"/>
        <v>-</v>
      </c>
      <c r="O22" s="21" t="str">
        <f t="shared" si="2"/>
        <v>-</v>
      </c>
      <c r="P22" s="22"/>
      <c r="Q22" s="36" t="s">
        <v>20</v>
      </c>
      <c r="R22" s="37">
        <f>ROUND(VLOOKUP(alap!$A$1,'RK nyomered lop-össz'!$C:$PS,193,FALSE),1)</f>
        <v>26.8</v>
      </c>
      <c r="S22" s="34">
        <f>ROUND(VLOOKUP(alap!$A$1,'RK nyomered lop-össz'!$C:$PS,196,FALSE),1)</f>
        <v>30.2</v>
      </c>
      <c r="T22" s="34">
        <f>ROUND(VLOOKUP(alap!$A$1,'RK nyomered lop-össz'!$C:$PS,199,FALSE),1)</f>
        <v>27.6</v>
      </c>
      <c r="U22" s="34">
        <f>ROUND(VLOOKUP(alap!$A$1,'RK nyomered lop-össz'!$C:$PS,202,FALSE),1)</f>
        <v>35.700000000000003</v>
      </c>
      <c r="V22" s="34">
        <f>ROUND(VLOOKUP(alap!$A$1,'RK nyomered lop-össz'!$C:$PS,205,FALSE),1)</f>
        <v>25.7</v>
      </c>
      <c r="W22" s="34">
        <f>ROUND(VLOOKUP(alap!$A$1,'RK nyomered lop-össz'!$C:$PS,208,FALSE),1)</f>
        <v>41.3</v>
      </c>
      <c r="X22" s="34">
        <f>ROUND(VLOOKUP(alap!$A$1,'RK nyomered lop-össz'!$C:$PS,211,FALSE),1)</f>
        <v>31.6</v>
      </c>
      <c r="Y22" s="34">
        <f>ROUND(VLOOKUP(alap!$A$1,'RK nyomered lop-össz'!$C:$PS,214,FALSE),1)</f>
        <v>34.799999999999997</v>
      </c>
      <c r="Z22" s="34">
        <f>ROUND(VLOOKUP(alap!$A$1,'RK nyomered lop-össz'!$C:$PS,217,FALSE),1)</f>
        <v>24.8</v>
      </c>
      <c r="AA22" s="328"/>
      <c r="AB22" s="35">
        <f>ROUND(VLOOKUP(alap!$A$1,'RK nyomered lop-össz'!$C:$RO,457,FALSE),1)</f>
        <v>31.8</v>
      </c>
      <c r="AC22" s="37" t="e">
        <f>'országos átlag'!G20</f>
        <v>#N/A</v>
      </c>
      <c r="AD22" s="34">
        <f t="shared" si="3"/>
        <v>-9.9999999999999964</v>
      </c>
      <c r="AE22" s="34">
        <f t="shared" si="8"/>
        <v>-7</v>
      </c>
      <c r="AF22" s="32">
        <f t="shared" si="5"/>
        <v>-2</v>
      </c>
      <c r="AG22" s="27"/>
      <c r="AH22" s="27"/>
      <c r="AI22" s="27"/>
      <c r="AJ22" s="27"/>
      <c r="AK22" s="27"/>
      <c r="AL22" s="37">
        <f>ROUND(VLOOKUP(alap!$A$1,feldered_RK!$C:$LO,220,FALSE),1)</f>
        <v>38.6</v>
      </c>
      <c r="AM22" s="34">
        <f>ROUND(VLOOKUP(alap!$A$1,feldered_RK!$C:$LO,223,FALSE),1)</f>
        <v>26.7</v>
      </c>
      <c r="AN22" s="34">
        <f>ROUND(VLOOKUP(alap!$A$1,feldered_RK!$C:$LO,226,FALSE),1)</f>
        <v>31.7</v>
      </c>
      <c r="AO22" s="653">
        <f>ROUND(VLOOKUP(alap!$A$1,feldered_RK!$C:$LO,229,FALSE),1)</f>
        <v>0</v>
      </c>
      <c r="AP22" s="85"/>
      <c r="AQ22" s="826" t="e">
        <f>'országos átlag'!H20</f>
        <v>#N/A</v>
      </c>
      <c r="AR22" s="831">
        <f t="shared" si="6"/>
        <v>-31.7</v>
      </c>
      <c r="AS22" s="29"/>
      <c r="AT22" s="29"/>
      <c r="AU22" s="29"/>
    </row>
    <row r="23" spans="1:47" x14ac:dyDescent="0.25">
      <c r="A23" s="36" t="s">
        <v>21</v>
      </c>
      <c r="B23" s="89">
        <f>VLOOKUP(alap!$A$1,RK_bcs!$B:$IK,173,FALSE)</f>
        <v>25</v>
      </c>
      <c r="C23" s="91">
        <f>VLOOKUP(alap!$A$1,RK_bcs!$B:$IK,174,FALSE)</f>
        <v>29</v>
      </c>
      <c r="D23" s="91">
        <f>VLOOKUP(alap!$A$1,RK_bcs!$B:$IK,175,FALSE)</f>
        <v>30</v>
      </c>
      <c r="E23" s="91">
        <f>VLOOKUP(alap!$A$1,RK_bcs!$B:$IK,176,FALSE)</f>
        <v>25</v>
      </c>
      <c r="F23" s="91">
        <f>VLOOKUP(alap!$A$1,RK_bcs!$B:$IK,177,FALSE)</f>
        <v>29</v>
      </c>
      <c r="G23" s="91">
        <f>VLOOKUP(alap!$A$1,RK_bcs!$B:$IK,178,FALSE)</f>
        <v>31</v>
      </c>
      <c r="H23" s="91">
        <f>VLOOKUP(alap!$A$1,RK_bcs!$B:$IK,179,FALSE)</f>
        <v>8</v>
      </c>
      <c r="I23" s="91">
        <f>VLOOKUP(alap!$A$1,RK_bcs!$B:$IK,180,FALSE)</f>
        <v>11</v>
      </c>
      <c r="J23" s="91">
        <f>VLOOKUP(alap!$A$1,RK_bcs!$B:$IK,181,FALSE)</f>
        <v>0</v>
      </c>
      <c r="K23" s="20"/>
      <c r="L23" s="643">
        <f t="shared" si="0"/>
        <v>15.8</v>
      </c>
      <c r="M23" s="21" t="str">
        <f t="shared" si="7"/>
        <v>-</v>
      </c>
      <c r="N23" s="21" t="str">
        <f t="shared" si="1"/>
        <v>-</v>
      </c>
      <c r="O23" s="21" t="str">
        <f t="shared" si="2"/>
        <v>-</v>
      </c>
      <c r="P23" s="22"/>
      <c r="Q23" s="36" t="s">
        <v>21</v>
      </c>
      <c r="R23" s="37">
        <f>ROUND(VLOOKUP(alap!$A$1,'RK nyomered lop-össz'!$C:$PS,220,FALSE),1)</f>
        <v>85.7</v>
      </c>
      <c r="S23" s="34">
        <f>ROUND(VLOOKUP(alap!$A$1,'RK nyomered lop-össz'!$C:$PS,223,FALSE),1)</f>
        <v>87.5</v>
      </c>
      <c r="T23" s="34">
        <f>ROUND(VLOOKUP(alap!$A$1,'RK nyomered lop-össz'!$C:$PS,226,FALSE),1)</f>
        <v>78.400000000000006</v>
      </c>
      <c r="U23" s="34">
        <f>ROUND(VLOOKUP(alap!$A$1,'RK nyomered lop-össz'!$C:$PS,229,FALSE),1)</f>
        <v>79.400000000000006</v>
      </c>
      <c r="V23" s="34">
        <f>ROUND(VLOOKUP(alap!$A$1,'RK nyomered lop-össz'!$C:$PS,232,FALSE),1)</f>
        <v>84.8</v>
      </c>
      <c r="W23" s="34">
        <f>ROUND(VLOOKUP(alap!$A$1,'RK nyomered lop-össz'!$C:$PS,235,FALSE),1)</f>
        <v>90.6</v>
      </c>
      <c r="X23" s="34">
        <f>ROUND(VLOOKUP(alap!$A$1,'RK nyomered lop-össz'!$C:$PS,238,FALSE),1)</f>
        <v>81.8</v>
      </c>
      <c r="Y23" s="34">
        <f>ROUND(VLOOKUP(alap!$A$1,'RK nyomered lop-össz'!$C:$PS,241,FALSE),1)</f>
        <v>91.7</v>
      </c>
      <c r="Z23" s="34">
        <f>ROUND(VLOOKUP(alap!$A$1,'RK nyomered lop-össz'!$C:$PS,244,FALSE),1)</f>
        <v>100</v>
      </c>
      <c r="AA23" s="328"/>
      <c r="AB23" s="35">
        <f>ROUND(VLOOKUP(alap!$A$1,'RK nyomered lop-össz'!$C:$RO,460,FALSE),1)</f>
        <v>87.8</v>
      </c>
      <c r="AC23" s="37" t="e">
        <f>'országos átlag'!G21</f>
        <v>#N/A</v>
      </c>
      <c r="AD23" s="34">
        <f t="shared" si="3"/>
        <v>8.2999999999999972</v>
      </c>
      <c r="AE23" s="34">
        <f t="shared" si="8"/>
        <v>12.200000000000003</v>
      </c>
      <c r="AF23" s="32">
        <f t="shared" si="5"/>
        <v>14.299999999999997</v>
      </c>
      <c r="AG23" s="27"/>
      <c r="AH23" s="27"/>
      <c r="AI23" s="27"/>
      <c r="AJ23" s="27"/>
      <c r="AK23" s="27"/>
      <c r="AL23" s="37">
        <f>ROUND(VLOOKUP(alap!$A$1,feldered_RK!$C:$LO,232,FALSE),1)</f>
        <v>92.6</v>
      </c>
      <c r="AM23" s="34">
        <f>ROUND(VLOOKUP(alap!$A$1,feldered_RK!$C:$LO,235,FALSE),1)</f>
        <v>100</v>
      </c>
      <c r="AN23" s="34">
        <f>ROUND(VLOOKUP(alap!$A$1,feldered_RK!$C:$LO,238,FALSE),1)</f>
        <v>100</v>
      </c>
      <c r="AO23" s="653">
        <f>ROUND(VLOOKUP(alap!$A$1,feldered_RK!$C:$LO,241,FALSE),1)</f>
        <v>0</v>
      </c>
      <c r="AP23" s="85"/>
      <c r="AQ23" s="826" t="e">
        <f>'országos átlag'!H21</f>
        <v>#N/A</v>
      </c>
      <c r="AR23" s="831">
        <f t="shared" si="6"/>
        <v>-100</v>
      </c>
      <c r="AS23" s="29"/>
      <c r="AT23" s="29"/>
      <c r="AU23" s="29"/>
    </row>
    <row r="24" spans="1:47" x14ac:dyDescent="0.25">
      <c r="A24" s="36" t="s">
        <v>22</v>
      </c>
      <c r="B24" s="89">
        <f>VLOOKUP(alap!$A$1,RK_bcs!$B:$IK,182,FALSE)</f>
        <v>20</v>
      </c>
      <c r="C24" s="91">
        <f>VLOOKUP(alap!$A$1,RK_bcs!$B:$IK,183,FALSE)</f>
        <v>25</v>
      </c>
      <c r="D24" s="91">
        <f>VLOOKUP(alap!$A$1,RK_bcs!$B:$IK,184,FALSE)</f>
        <v>15</v>
      </c>
      <c r="E24" s="91">
        <f>VLOOKUP(alap!$A$1,RK_bcs!$B:$IK,185,FALSE)</f>
        <v>19</v>
      </c>
      <c r="F24" s="91">
        <f>VLOOKUP(alap!$A$1,RK_bcs!$B:$IK,186,FALSE)</f>
        <v>30</v>
      </c>
      <c r="G24" s="91">
        <f>VLOOKUP(alap!$A$1,RK_bcs!$B:$IK,187,FALSE)</f>
        <v>22</v>
      </c>
      <c r="H24" s="91">
        <f>VLOOKUP(alap!$A$1,RK_bcs!$B:$IK,188,FALSE)</f>
        <v>25</v>
      </c>
      <c r="I24" s="91">
        <f>VLOOKUP(alap!$A$1,RK_bcs!$B:$IK,189,FALSE)</f>
        <v>45</v>
      </c>
      <c r="J24" s="91">
        <f>VLOOKUP(alap!$A$1,RK_bcs!$B:$IK,190,FALSE)</f>
        <v>0</v>
      </c>
      <c r="K24" s="20"/>
      <c r="L24" s="643">
        <f t="shared" si="0"/>
        <v>24.4</v>
      </c>
      <c r="M24" s="21" t="str">
        <f t="shared" si="7"/>
        <v>-</v>
      </c>
      <c r="N24" s="21" t="str">
        <f t="shared" si="1"/>
        <v>-</v>
      </c>
      <c r="O24" s="21" t="str">
        <f t="shared" si="2"/>
        <v>-</v>
      </c>
      <c r="P24" s="22"/>
      <c r="Q24" s="36" t="s">
        <v>22</v>
      </c>
      <c r="R24" s="37">
        <f>ROUND(VLOOKUP(alap!$A$1,'RK nyomered lop-össz'!$C:$PS,247,FALSE),1)</f>
        <v>71.400000000000006</v>
      </c>
      <c r="S24" s="34">
        <f>ROUND(VLOOKUP(alap!$A$1,'RK nyomered lop-össz'!$C:$PS,250,FALSE),1)</f>
        <v>92.3</v>
      </c>
      <c r="T24" s="34">
        <f>ROUND(VLOOKUP(alap!$A$1,'RK nyomered lop-össz'!$C:$PS,253,FALSE),1)</f>
        <v>82.4</v>
      </c>
      <c r="U24" s="34">
        <f>ROUND(VLOOKUP(alap!$A$1,'RK nyomered lop-össz'!$C:$PS,256,FALSE),1)</f>
        <v>68.400000000000006</v>
      </c>
      <c r="V24" s="34">
        <f>ROUND(VLOOKUP(alap!$A$1,'RK nyomered lop-össz'!$C:$PS,259,FALSE),1)</f>
        <v>78.8</v>
      </c>
      <c r="W24" s="34">
        <f>ROUND(VLOOKUP(alap!$A$1,'RK nyomered lop-össz'!$C:$PS,262,FALSE),1)</f>
        <v>95.2</v>
      </c>
      <c r="X24" s="34">
        <f>ROUND(VLOOKUP(alap!$A$1,'RK nyomered lop-össz'!$C:$PS,265,FALSE),1)</f>
        <v>88.5</v>
      </c>
      <c r="Y24" s="34">
        <f>ROUND(VLOOKUP(alap!$A$1,'RK nyomered lop-össz'!$C:$PS,268,FALSE),1)</f>
        <v>93.3</v>
      </c>
      <c r="Z24" s="34">
        <f>ROUND(VLOOKUP(alap!$A$1,'RK nyomered lop-össz'!$C:$PS,271,FALSE),1)</f>
        <v>78.900000000000006</v>
      </c>
      <c r="AA24" s="328"/>
      <c r="AB24" s="35">
        <f>ROUND(VLOOKUP(alap!$A$1,'RK nyomered lop-össz'!$C:$RO,463,FALSE),1)</f>
        <v>87.5</v>
      </c>
      <c r="AC24" s="37" t="e">
        <f>'országos átlag'!G22</f>
        <v>#N/A</v>
      </c>
      <c r="AD24" s="34">
        <f t="shared" si="3"/>
        <v>-14.399999999999991</v>
      </c>
      <c r="AE24" s="34">
        <f t="shared" si="8"/>
        <v>-8.5999999999999943</v>
      </c>
      <c r="AF24" s="32">
        <f t="shared" si="5"/>
        <v>7.5</v>
      </c>
      <c r="AG24" s="27"/>
      <c r="AH24" s="27"/>
      <c r="AI24" s="27"/>
      <c r="AJ24" s="27"/>
      <c r="AK24" s="27"/>
      <c r="AL24" s="37">
        <f>ROUND(VLOOKUP(alap!$A$1,feldered_RK!$C:$LO,244,FALSE),1)</f>
        <v>92.9</v>
      </c>
      <c r="AM24" s="34">
        <f>ROUND(VLOOKUP(alap!$A$1,feldered_RK!$C:$LO,247,FALSE),1)</f>
        <v>94.1</v>
      </c>
      <c r="AN24" s="34">
        <f>ROUND(VLOOKUP(alap!$A$1,feldered_RK!$C:$LO,250,FALSE),1)</f>
        <v>93.3</v>
      </c>
      <c r="AO24" s="653">
        <f>ROUND(VLOOKUP(alap!$A$1,feldered_RK!$C:$LO,253,FALSE),1)</f>
        <v>0</v>
      </c>
      <c r="AP24" s="85"/>
      <c r="AQ24" s="826" t="e">
        <f>'országos átlag'!H22</f>
        <v>#N/A</v>
      </c>
      <c r="AR24" s="831">
        <f t="shared" si="6"/>
        <v>-93.3</v>
      </c>
      <c r="AS24" s="29"/>
      <c r="AT24" s="29"/>
      <c r="AU24" s="29"/>
    </row>
    <row r="25" spans="1:47" x14ac:dyDescent="0.25">
      <c r="A25" s="36" t="s">
        <v>23</v>
      </c>
      <c r="B25" s="89">
        <f>VLOOKUP(alap!$A$1,RK_bcs!$B:$IK,191,FALSE)</f>
        <v>5005</v>
      </c>
      <c r="C25" s="91">
        <f>VLOOKUP(alap!$A$1,RK_bcs!$B:$IK,192,FALSE)</f>
        <v>4367</v>
      </c>
      <c r="D25" s="91">
        <f>VLOOKUP(alap!$A$1,RK_bcs!$B:$IK,193,FALSE)</f>
        <v>4012</v>
      </c>
      <c r="E25" s="91">
        <f>VLOOKUP(alap!$A$1,RK_bcs!$B:$IK,194,FALSE)</f>
        <v>3296</v>
      </c>
      <c r="F25" s="91">
        <f>VLOOKUP(alap!$A$1,RK_bcs!$B:$IK,195,FALSE)</f>
        <v>3284</v>
      </c>
      <c r="G25" s="91">
        <f>VLOOKUP(alap!$A$1,RK_bcs!$B:$IK,196,FALSE)</f>
        <v>2789</v>
      </c>
      <c r="H25" s="91">
        <f>VLOOKUP(alap!$A$1,RK_bcs!$B:$IK,197,FALSE)</f>
        <v>2231</v>
      </c>
      <c r="I25" s="91">
        <f>VLOOKUP(alap!$A$1,RK_bcs!$B:$IK,198,FALSE)</f>
        <v>2235</v>
      </c>
      <c r="J25" s="91">
        <f>VLOOKUP(alap!$A$1,RK_bcs!$B:$IK,199,FALSE)</f>
        <v>0</v>
      </c>
      <c r="K25" s="20"/>
      <c r="L25" s="643">
        <f t="shared" si="0"/>
        <v>2107.8000000000002</v>
      </c>
      <c r="M25" s="21" t="str">
        <f t="shared" si="7"/>
        <v>-</v>
      </c>
      <c r="N25" s="21" t="str">
        <f t="shared" si="1"/>
        <v>-</v>
      </c>
      <c r="O25" s="21" t="str">
        <f t="shared" si="2"/>
        <v>-</v>
      </c>
      <c r="P25" s="22"/>
      <c r="Q25" s="36" t="s">
        <v>23</v>
      </c>
      <c r="R25" s="37">
        <f>ROUND(VLOOKUP(alap!$A$1,'RK nyomered lop-össz'!$C:$PS,274,FALSE),1)</f>
        <v>43.1</v>
      </c>
      <c r="S25" s="34">
        <f>ROUND(VLOOKUP(alap!$A$1,'RK nyomered lop-össz'!$C:$PS,277,FALSE),1)</f>
        <v>40</v>
      </c>
      <c r="T25" s="34">
        <f>ROUND(VLOOKUP(alap!$A$1,'RK nyomered lop-össz'!$C:$PS,280,FALSE),1)</f>
        <v>41.2</v>
      </c>
      <c r="U25" s="34">
        <f>ROUND(VLOOKUP(alap!$A$1,'RK nyomered lop-össz'!$C:$PS,283,FALSE),1)</f>
        <v>46.5</v>
      </c>
      <c r="V25" s="34">
        <f>ROUND(VLOOKUP(alap!$A$1,'RK nyomered lop-össz'!$C:$PS,286,FALSE),1)</f>
        <v>45.9</v>
      </c>
      <c r="W25" s="34">
        <f>ROUND(VLOOKUP(alap!$A$1,'RK nyomered lop-össz'!$C:$PS,289,FALSE),1)</f>
        <v>51.2</v>
      </c>
      <c r="X25" s="34">
        <f>ROUND(VLOOKUP(alap!$A$1,'RK nyomered lop-össz'!$C:$PS,292,FALSE),1)</f>
        <v>53.4</v>
      </c>
      <c r="Y25" s="34">
        <f>ROUND(VLOOKUP(alap!$A$1,'RK nyomered lop-össz'!$C:$PS,295,FALSE),1)</f>
        <v>56.6</v>
      </c>
      <c r="Z25" s="34">
        <f>ROUND(VLOOKUP(alap!$A$1,'RK nyomered lop-össz'!$C:$PS,298,FALSE),1)</f>
        <v>58</v>
      </c>
      <c r="AA25" s="328"/>
      <c r="AB25" s="35">
        <f>ROUND(VLOOKUP(alap!$A$1,'RK nyomered lop-össz'!$C:$RO,466,FALSE),1)</f>
        <v>52</v>
      </c>
      <c r="AC25" s="37" t="e">
        <f>'országos átlag'!G23</f>
        <v>#N/A</v>
      </c>
      <c r="AD25" s="34">
        <f t="shared" si="3"/>
        <v>1.3999999999999986</v>
      </c>
      <c r="AE25" s="34">
        <f t="shared" si="8"/>
        <v>6</v>
      </c>
      <c r="AF25" s="32">
        <f t="shared" si="5"/>
        <v>14.899999999999999</v>
      </c>
      <c r="AG25" s="27"/>
      <c r="AH25" s="27"/>
      <c r="AI25" s="27"/>
      <c r="AJ25" s="27"/>
      <c r="AK25" s="27"/>
      <c r="AL25" s="37">
        <f>ROUND(VLOOKUP(alap!$A$1,feldered_RK!$C:$LO,256,FALSE),1)</f>
        <v>42.7</v>
      </c>
      <c r="AM25" s="34">
        <f>ROUND(VLOOKUP(alap!$A$1,feldered_RK!$C:$LO,259,FALSE),1)</f>
        <v>47.1</v>
      </c>
      <c r="AN25" s="34">
        <f>ROUND(VLOOKUP(alap!$A$1,feldered_RK!$C:$LO,262,FALSE),1)</f>
        <v>50.8</v>
      </c>
      <c r="AO25" s="653">
        <f>ROUND(VLOOKUP(alap!$A$1,feldered_RK!$C:$LO,265,FALSE),1)</f>
        <v>0</v>
      </c>
      <c r="AP25" s="85"/>
      <c r="AQ25" s="826" t="e">
        <f>'országos átlag'!H23</f>
        <v>#N/A</v>
      </c>
      <c r="AR25" s="831">
        <f t="shared" si="6"/>
        <v>-50.8</v>
      </c>
      <c r="AS25" s="29"/>
      <c r="AT25" s="29"/>
      <c r="AU25" s="29"/>
    </row>
    <row r="26" spans="1:47" ht="31.5" x14ac:dyDescent="0.25">
      <c r="A26" s="43" t="s">
        <v>24</v>
      </c>
      <c r="B26" s="93">
        <f>VLOOKUP(alap!$A$1,RK_bcs!$B:$IK,200,FALSE)</f>
        <v>1590</v>
      </c>
      <c r="C26" s="91">
        <f>VLOOKUP(alap!$A$1,RK_bcs!$B:$IK,201,FALSE)</f>
        <v>1387</v>
      </c>
      <c r="D26" s="91">
        <f>VLOOKUP(alap!$A$1,RK_bcs!$B:$IK,202,FALSE)</f>
        <v>1335</v>
      </c>
      <c r="E26" s="91">
        <f>VLOOKUP(alap!$A$1,RK_bcs!$B:$IK,203,FALSE)</f>
        <v>920</v>
      </c>
      <c r="F26" s="91">
        <f>VLOOKUP(alap!$A$1,RK_bcs!$B:$IK,204,FALSE)</f>
        <v>611</v>
      </c>
      <c r="G26" s="91">
        <f>VLOOKUP(alap!$A$1,RK_bcs!$B:$IK,205,FALSE)</f>
        <v>590</v>
      </c>
      <c r="H26" s="91">
        <f>VLOOKUP(alap!$A$1,RK_bcs!$B:$IK,206,FALSE)</f>
        <v>526</v>
      </c>
      <c r="I26" s="91">
        <f>VLOOKUP(alap!$A$1,RK_bcs!$B:$IK,207,FALSE)</f>
        <v>506</v>
      </c>
      <c r="J26" s="91">
        <f>VLOOKUP(alap!$A$1,RK_bcs!$B:$IK,208,FALSE)</f>
        <v>0</v>
      </c>
      <c r="K26" s="20"/>
      <c r="L26" s="643">
        <f t="shared" si="0"/>
        <v>446.6</v>
      </c>
      <c r="M26" s="21" t="str">
        <f t="shared" si="7"/>
        <v>-</v>
      </c>
      <c r="N26" s="21" t="str">
        <f t="shared" si="1"/>
        <v>-</v>
      </c>
      <c r="O26" s="21" t="str">
        <f t="shared" si="2"/>
        <v>-</v>
      </c>
      <c r="P26" s="22"/>
      <c r="Q26" s="43" t="s">
        <v>24</v>
      </c>
      <c r="R26" s="44">
        <f>ROUND(VLOOKUP(alap!$A$1,'RK nyomered lop-össz'!$C:$PS,301,FALSE),1)</f>
        <v>51.5</v>
      </c>
      <c r="S26" s="34">
        <f>ROUND(VLOOKUP(alap!$A$1,'RK nyomered lop-össz'!$C:$PS,304,FALSE),1)</f>
        <v>45.3</v>
      </c>
      <c r="T26" s="34">
        <f>ROUND(VLOOKUP(alap!$A$1,'RK nyomered lop-össz'!$C:$PS,307,FALSE),1)</f>
        <v>43.6</v>
      </c>
      <c r="U26" s="34">
        <f>ROUND(VLOOKUP(alap!$A$1,'RK nyomered lop-össz'!$C:$PS,310,FALSE),1)</f>
        <v>50.8</v>
      </c>
      <c r="V26" s="34">
        <f>ROUND(VLOOKUP(alap!$A$1,'RK nyomered lop-össz'!$C:$PS,313,FALSE),1)</f>
        <v>56.4</v>
      </c>
      <c r="W26" s="34">
        <f>ROUND(VLOOKUP(alap!$A$1,'RK nyomered lop-össz'!$C:$PS,316,FALSE),1)</f>
        <v>62.9</v>
      </c>
      <c r="X26" s="34">
        <f>ROUND(VLOOKUP(alap!$A$1,'RK nyomered lop-össz'!$C:$PS,319,FALSE),1)</f>
        <v>69.400000000000006</v>
      </c>
      <c r="Y26" s="34">
        <f>ROUND(VLOOKUP(alap!$A$1,'RK nyomered lop-össz'!$C:$PS,322,FALSE),1)</f>
        <v>83.2</v>
      </c>
      <c r="Z26" s="34">
        <f>ROUND(VLOOKUP(alap!$A$1,'RK nyomered lop-össz'!$C:$PS,325,FALSE),1)</f>
        <v>63.2</v>
      </c>
      <c r="AA26" s="328"/>
      <c r="AB26" s="35">
        <f>ROUND(VLOOKUP(alap!$A$1,'RK nyomered lop-össz'!$C:$RO,469,FALSE),1)</f>
        <v>66.400000000000006</v>
      </c>
      <c r="AC26" s="37" t="e">
        <f>'országos átlag'!G24</f>
        <v>#N/A</v>
      </c>
      <c r="AD26" s="34">
        <f t="shared" si="3"/>
        <v>-20</v>
      </c>
      <c r="AE26" s="34">
        <f t="shared" si="8"/>
        <v>-3.2000000000000028</v>
      </c>
      <c r="AF26" s="32">
        <f>Z26-R26</f>
        <v>11.700000000000003</v>
      </c>
      <c r="AG26" s="27"/>
      <c r="AH26" s="27"/>
      <c r="AI26" s="27"/>
      <c r="AJ26" s="27"/>
      <c r="AK26" s="27"/>
      <c r="AL26" s="37">
        <f>ROUND(VLOOKUP(alap!$A$1,feldered_RK!$C:$LO,268,FALSE),1)</f>
        <v>55.1</v>
      </c>
      <c r="AM26" s="34">
        <f>ROUND(VLOOKUP(alap!$A$1,feldered_RK!$C:$LO,271,FALSE),1)</f>
        <v>63.3</v>
      </c>
      <c r="AN26" s="34">
        <f>ROUND(VLOOKUP(alap!$A$1,feldered_RK!$C:$LO,274,FALSE),1)</f>
        <v>79.7</v>
      </c>
      <c r="AO26" s="653">
        <f>ROUND(VLOOKUP(alap!$A$1,feldered_RK!$C:$LO,277,FALSE),1)</f>
        <v>0</v>
      </c>
      <c r="AP26" s="85"/>
      <c r="AQ26" s="826" t="e">
        <f>'országos átlag'!H24</f>
        <v>#N/A</v>
      </c>
      <c r="AR26" s="831">
        <f t="shared" si="6"/>
        <v>-79.7</v>
      </c>
      <c r="AS26" s="29"/>
      <c r="AT26" s="29"/>
      <c r="AU26" s="29"/>
    </row>
    <row r="27" spans="1:47" x14ac:dyDescent="0.25">
      <c r="A27" s="43" t="s">
        <v>25</v>
      </c>
      <c r="B27" s="93">
        <f>VLOOKUP(alap!$A$1,RK_bcs!$B:$IK,209,FALSE)</f>
        <v>18</v>
      </c>
      <c r="C27" s="91">
        <f>VLOOKUP(alap!$A$1,RK_bcs!$B:$IK,210,FALSE)</f>
        <v>20</v>
      </c>
      <c r="D27" s="91">
        <f>VLOOKUP(alap!$A$1,RK_bcs!$B:$IK,211,FALSE)</f>
        <v>21</v>
      </c>
      <c r="E27" s="91">
        <f>VLOOKUP(alap!$A$1,RK_bcs!$B:$IK,212,FALSE)</f>
        <v>11</v>
      </c>
      <c r="F27" s="91">
        <f>VLOOKUP(alap!$A$1,RK_bcs!$B:$IK,213,FALSE)</f>
        <v>9</v>
      </c>
      <c r="G27" s="91">
        <f>VLOOKUP(alap!$A$1,RK_bcs!$B:$IK,214,FALSE)</f>
        <v>20</v>
      </c>
      <c r="H27" s="91">
        <f>VLOOKUP(alap!$A$1,RK_bcs!$B:$IK,215,FALSE)</f>
        <v>13</v>
      </c>
      <c r="I27" s="91">
        <f>VLOOKUP(alap!$A$1,RK_bcs!$B:$IK,216,FALSE)</f>
        <v>8</v>
      </c>
      <c r="J27" s="91">
        <f>VLOOKUP(alap!$A$1,RK_bcs!$B:$IK,217,FALSE)</f>
        <v>0</v>
      </c>
      <c r="K27" s="20"/>
      <c r="L27" s="643">
        <f t="shared" si="0"/>
        <v>10</v>
      </c>
      <c r="M27" s="21" t="str">
        <f t="shared" si="7"/>
        <v>-</v>
      </c>
      <c r="N27" s="21" t="str">
        <f t="shared" si="1"/>
        <v>-</v>
      </c>
      <c r="O27" s="21" t="str">
        <f t="shared" si="2"/>
        <v>-</v>
      </c>
      <c r="P27" s="22"/>
      <c r="Q27" s="43" t="s">
        <v>25</v>
      </c>
      <c r="R27" s="44">
        <f>ROUND(VLOOKUP(alap!$A$1,'RK nyomered lop-össz'!$C:$PS,328,FALSE),1)</f>
        <v>38.1</v>
      </c>
      <c r="S27" s="34">
        <f>ROUND(VLOOKUP(alap!$A$1,'RK nyomered lop-össz'!$C:$PS,331,FALSE),1)</f>
        <v>19</v>
      </c>
      <c r="T27" s="34">
        <f>ROUND(VLOOKUP(alap!$A$1,'RK nyomered lop-össz'!$C:$PS,334,FALSE),1)</f>
        <v>20.8</v>
      </c>
      <c r="U27" s="34">
        <f>ROUND(VLOOKUP(alap!$A$1,'RK nyomered lop-össz'!$C:$PS,337,FALSE),1)</f>
        <v>46.7</v>
      </c>
      <c r="V27" s="34">
        <f>ROUND(VLOOKUP(alap!$A$1,'RK nyomered lop-össz'!$C:$PS,340,FALSE),1)</f>
        <v>37.5</v>
      </c>
      <c r="W27" s="34">
        <f>ROUND(VLOOKUP(alap!$A$1,'RK nyomered lop-össz'!$C:$PS,343,FALSE),1)</f>
        <v>72.7</v>
      </c>
      <c r="X27" s="34">
        <f>ROUND(VLOOKUP(alap!$A$1,'RK nyomered lop-össz'!$C:$PS,346,FALSE),1)</f>
        <v>62.5</v>
      </c>
      <c r="Y27" s="34">
        <f>ROUND(VLOOKUP(alap!$A$1,'RK nyomered lop-össz'!$C:$PS,349,FALSE),1)</f>
        <v>75</v>
      </c>
      <c r="Z27" s="34">
        <f>ROUND(VLOOKUP(alap!$A$1,'RK nyomered lop-össz'!$C:$PS,352,FALSE),1)</f>
        <v>80</v>
      </c>
      <c r="AA27" s="328"/>
      <c r="AB27" s="35">
        <f>ROUND(VLOOKUP(alap!$A$1,'RK nyomered lop-össz'!$C:$RO,472,FALSE),1)</f>
        <v>62.7</v>
      </c>
      <c r="AC27" s="37" t="e">
        <f>'országos átlag'!G25</f>
        <v>#N/A</v>
      </c>
      <c r="AD27" s="34">
        <f t="shared" si="3"/>
        <v>5</v>
      </c>
      <c r="AE27" s="34">
        <f t="shared" si="8"/>
        <v>17.299999999999997</v>
      </c>
      <c r="AF27" s="32">
        <f t="shared" si="5"/>
        <v>41.9</v>
      </c>
      <c r="AG27" s="27"/>
      <c r="AH27" s="27"/>
      <c r="AI27" s="27"/>
      <c r="AJ27" s="27"/>
      <c r="AK27" s="27"/>
      <c r="AL27" s="37">
        <f>ROUND(VLOOKUP(alap!$A$1,feldered_RK!$C:$LO,280,FALSE),1)</f>
        <v>77.8</v>
      </c>
      <c r="AM27" s="34">
        <f>ROUND(VLOOKUP(alap!$A$1,feldered_RK!$C:$LO,283,FALSE),1)</f>
        <v>63.6</v>
      </c>
      <c r="AN27" s="34">
        <f>ROUND(VLOOKUP(alap!$A$1,feldered_RK!$C:$LO,286,FALSE),1)</f>
        <v>75</v>
      </c>
      <c r="AO27" s="653">
        <f>ROUND(VLOOKUP(alap!$A$1,feldered_RK!$C:$LO,289,FALSE),1)</f>
        <v>0</v>
      </c>
      <c r="AP27" s="85"/>
      <c r="AQ27" s="826" t="e">
        <f>'országos átlag'!H25</f>
        <v>#N/A</v>
      </c>
      <c r="AR27" s="831">
        <f t="shared" si="6"/>
        <v>-75</v>
      </c>
      <c r="AS27" s="29"/>
      <c r="AT27" s="29"/>
      <c r="AU27" s="29"/>
    </row>
    <row r="28" spans="1:47" x14ac:dyDescent="0.25">
      <c r="A28" s="43" t="s">
        <v>26</v>
      </c>
      <c r="B28" s="93">
        <f>VLOOKUP(alap!$A$1,RK_bcs!$B:$IK,218,FALSE)</f>
        <v>5</v>
      </c>
      <c r="C28" s="91">
        <f>VLOOKUP(alap!$A$1,RK_bcs!$B:$IK,219,FALSE)</f>
        <v>20</v>
      </c>
      <c r="D28" s="91">
        <f>VLOOKUP(alap!$A$1,RK_bcs!$B:$IK,220,FALSE)</f>
        <v>7</v>
      </c>
      <c r="E28" s="91">
        <f>VLOOKUP(alap!$A$1,RK_bcs!$B:$IK,221,FALSE)</f>
        <v>7</v>
      </c>
      <c r="F28" s="91">
        <f>VLOOKUP(alap!$A$1,RK_bcs!$B:$IK,222,FALSE)</f>
        <v>5</v>
      </c>
      <c r="G28" s="91">
        <f>VLOOKUP(alap!$A$1,RK_bcs!$B:$IK,223,FALSE)</f>
        <v>5</v>
      </c>
      <c r="H28" s="91">
        <f>VLOOKUP(alap!$A$1,RK_bcs!$B:$IK,224,FALSE)</f>
        <v>6</v>
      </c>
      <c r="I28" s="91">
        <f>VLOOKUP(alap!$A$1,RK_bcs!$B:$IK,225,FALSE)</f>
        <v>7</v>
      </c>
      <c r="J28" s="91">
        <f>VLOOKUP(alap!$A$1,RK_bcs!$B:$IK,226,FALSE)</f>
        <v>0</v>
      </c>
      <c r="K28" s="20"/>
      <c r="L28" s="643">
        <f t="shared" si="0"/>
        <v>4.5999999999999996</v>
      </c>
      <c r="M28" s="21" t="str">
        <f t="shared" si="7"/>
        <v>-</v>
      </c>
      <c r="N28" s="21" t="str">
        <f>IF(J28&lt;50,"-",(J28/L28*100)-100)</f>
        <v>-</v>
      </c>
      <c r="O28" s="21" t="str">
        <f t="shared" si="2"/>
        <v>-</v>
      </c>
      <c r="P28" s="22"/>
      <c r="Q28" s="43" t="s">
        <v>26</v>
      </c>
      <c r="R28" s="44">
        <f>ROUND(VLOOKUP(alap!$A$1,'RK nyomered lop-össz'!$C:$PS,355,FALSE),1)</f>
        <v>20</v>
      </c>
      <c r="S28" s="34">
        <f>ROUND(VLOOKUP(alap!$A$1,'RK nyomered lop-össz'!$C:$PS,358,FALSE),1)</f>
        <v>28.6</v>
      </c>
      <c r="T28" s="34">
        <f>ROUND(VLOOKUP(alap!$A$1,'RK nyomered lop-össz'!$C:$PS,361,FALSE),1)</f>
        <v>37.5</v>
      </c>
      <c r="U28" s="34">
        <f>ROUND(VLOOKUP(alap!$A$1,'RK nyomered lop-össz'!$C:$PS,364,FALSE),1)</f>
        <v>44.4</v>
      </c>
      <c r="V28" s="34">
        <f>ROUND(VLOOKUP(alap!$A$1,'RK nyomered lop-össz'!$C:$PS,367,FALSE),1)</f>
        <v>57.1</v>
      </c>
      <c r="W28" s="34">
        <f>ROUND(VLOOKUP(alap!$A$1,'RK nyomered lop-össz'!$C:$PS,370,FALSE),1)</f>
        <v>66.7</v>
      </c>
      <c r="X28" s="34">
        <f>ROUND(VLOOKUP(alap!$A$1,'RK nyomered lop-össz'!$C:$PS,373,FALSE),1)</f>
        <v>83.3</v>
      </c>
      <c r="Y28" s="34">
        <f>ROUND(VLOOKUP(alap!$A$1,'RK nyomered lop-össz'!$C:$PS,376,FALSE),1)</f>
        <v>85.7</v>
      </c>
      <c r="Z28" s="34">
        <f>ROUND(VLOOKUP(alap!$A$1,'RK nyomered lop-össz'!$C:$PS,379,FALSE),1)</f>
        <v>87.5</v>
      </c>
      <c r="AA28" s="328"/>
      <c r="AB28" s="35">
        <f>ROUND(VLOOKUP(alap!$A$1,'RK nyomered lop-össz'!$C:$RO,475,FALSE),1)</f>
        <v>76.5</v>
      </c>
      <c r="AC28" s="37" t="e">
        <f>'országos átlag'!G26</f>
        <v>#N/A</v>
      </c>
      <c r="AD28" s="34">
        <f t="shared" si="3"/>
        <v>1.7999999999999972</v>
      </c>
      <c r="AE28" s="34">
        <f>Z28-AB28</f>
        <v>11</v>
      </c>
      <c r="AF28" s="32">
        <f t="shared" si="5"/>
        <v>67.5</v>
      </c>
      <c r="AG28" s="27"/>
      <c r="AH28" s="27"/>
      <c r="AI28" s="27"/>
      <c r="AJ28" s="27"/>
      <c r="AK28" s="27"/>
      <c r="AL28" s="37">
        <f>ROUND(VLOOKUP(alap!$A$1,feldered_RK!$C:$LO,292,FALSE),1)</f>
        <v>80</v>
      </c>
      <c r="AM28" s="34">
        <f>ROUND(VLOOKUP(alap!$A$1,feldered_RK!$C:$LO,295,FALSE),1)</f>
        <v>83.3</v>
      </c>
      <c r="AN28" s="34">
        <f>ROUND(VLOOKUP(alap!$A$1,feldered_RK!$C:$LO,298,FALSE),1)</f>
        <v>83.3</v>
      </c>
      <c r="AO28" s="653">
        <f>ROUND(VLOOKUP(alap!$A$1,feldered_RK!$C:$LO,301,FALSE),1)</f>
        <v>0</v>
      </c>
      <c r="AP28" s="85"/>
      <c r="AQ28" s="826" t="e">
        <f>'országos átlag'!H26</f>
        <v>#N/A</v>
      </c>
      <c r="AR28" s="831">
        <f t="shared" si="6"/>
        <v>-83.3</v>
      </c>
      <c r="AS28" s="29"/>
      <c r="AT28" s="29"/>
      <c r="AU28" s="29"/>
    </row>
    <row r="29" spans="1:47" ht="16.5" thickBot="1" x14ac:dyDescent="0.3">
      <c r="A29" s="43" t="s">
        <v>27</v>
      </c>
      <c r="B29" s="93">
        <f>VLOOKUP(alap!$A$1,RK_bcs!$B:$IK,227,FALSE)</f>
        <v>2183</v>
      </c>
      <c r="C29" s="635">
        <f>VLOOKUP(alap!$A$1,RK_bcs!$B:$IK,228,FALSE)</f>
        <v>2010</v>
      </c>
      <c r="D29" s="635">
        <f>VLOOKUP(alap!$A$1,RK_bcs!$B:$IK,229,FALSE)</f>
        <v>1896</v>
      </c>
      <c r="E29" s="635">
        <f>VLOOKUP(alap!$A$1,RK_bcs!$B:$IK,230,FALSE)</f>
        <v>1587</v>
      </c>
      <c r="F29" s="635">
        <f>VLOOKUP(alap!$A$1,RK_bcs!$B:$IK,231,FALSE)</f>
        <v>1205</v>
      </c>
      <c r="G29" s="635">
        <f>VLOOKUP(alap!$A$1,RK_bcs!$B:$IK,232,FALSE)</f>
        <v>1168</v>
      </c>
      <c r="H29" s="635">
        <f>VLOOKUP(alap!$A$1,RK_bcs!$B:$IK,233,FALSE)</f>
        <v>1083</v>
      </c>
      <c r="I29" s="635">
        <f>VLOOKUP(alap!$A$1,RK_bcs!$B:$IK,234,FALSE)</f>
        <v>1197</v>
      </c>
      <c r="J29" s="635">
        <f>VLOOKUP(alap!$A$1,RK_bcs!$B:$IK,235,FALSE)</f>
        <v>0</v>
      </c>
      <c r="K29" s="20"/>
      <c r="L29" s="644">
        <f t="shared" si="0"/>
        <v>930.6</v>
      </c>
      <c r="M29" s="62" t="str">
        <f t="shared" si="7"/>
        <v>-</v>
      </c>
      <c r="N29" s="63" t="str">
        <f t="shared" si="1"/>
        <v>-</v>
      </c>
      <c r="O29" s="64" t="str">
        <f t="shared" si="2"/>
        <v>-</v>
      </c>
      <c r="P29" s="22"/>
      <c r="Q29" s="43" t="s">
        <v>27</v>
      </c>
      <c r="R29" s="44">
        <f>ROUND(VLOOKUP(alap!$A$1,'RK nyomered lop-össz'!$C:$PS,382,FALSE),1)</f>
        <v>59.8</v>
      </c>
      <c r="S29" s="45">
        <f>ROUND(VLOOKUP(alap!$A$1,'RK nyomered lop-össz'!$C:$PS,385,FALSE),1)</f>
        <v>56.2</v>
      </c>
      <c r="T29" s="45">
        <f>ROUND(VLOOKUP(alap!$A$1,'RK nyomered lop-össz'!$C:$PS,388,FALSE),1)</f>
        <v>51.6</v>
      </c>
      <c r="U29" s="45">
        <f>ROUND(VLOOKUP(alap!$A$1,'RK nyomered lop-össz'!$C:$PS,391,FALSE),1)</f>
        <v>64.2</v>
      </c>
      <c r="V29" s="45">
        <f>ROUND(VLOOKUP(alap!$A$1,'RK nyomered lop-össz'!$C:$PS,394,FALSE),1)</f>
        <v>72.2</v>
      </c>
      <c r="W29" s="45">
        <f>ROUND(VLOOKUP(alap!$A$1,'RK nyomered lop-össz'!$C:$PS,397,FALSE),1)</f>
        <v>76.099999999999994</v>
      </c>
      <c r="X29" s="45">
        <f>ROUND(VLOOKUP(alap!$A$1,'RK nyomered lop-össz'!$C:$PS,400,FALSE),1)</f>
        <v>80.400000000000006</v>
      </c>
      <c r="Y29" s="45">
        <f>ROUND(VLOOKUP(alap!$A$1,'RK nyomered lop-össz'!$C:$PS,403,FALSE),1)</f>
        <v>85.8</v>
      </c>
      <c r="Z29" s="45">
        <f>ROUND(VLOOKUP(alap!$A$1,'RK nyomered lop-össz'!$C:$PS,406,FALSE),1)</f>
        <v>78.5</v>
      </c>
      <c r="AA29" s="328"/>
      <c r="AB29" s="42">
        <f>ROUND(VLOOKUP(alap!$A$1,'RK nyomered lop-össz'!$C:$RO,478,FALSE),1)</f>
        <v>78.599999999999994</v>
      </c>
      <c r="AC29" s="44">
        <f>'országos átlag'!G27</f>
        <v>0</v>
      </c>
      <c r="AD29" s="45">
        <f t="shared" si="3"/>
        <v>-7.2999999999999972</v>
      </c>
      <c r="AE29" s="45">
        <f t="shared" si="8"/>
        <v>-9.9999999999994316E-2</v>
      </c>
      <c r="AF29" s="46">
        <f t="shared" si="5"/>
        <v>18.700000000000003</v>
      </c>
      <c r="AG29" s="27"/>
      <c r="AH29" s="27"/>
      <c r="AI29" s="27"/>
      <c r="AJ29" s="27"/>
      <c r="AK29" s="27"/>
      <c r="AL29" s="44">
        <f>ROUND(VLOOKUP(alap!$A$1,feldered_RK!$C:$LO,304,FALSE),1)</f>
        <v>54</v>
      </c>
      <c r="AM29" s="45">
        <f>ROUND(VLOOKUP(alap!$A$1,feldered_RK!$C:$LO,307,FALSE),1)</f>
        <v>61.9</v>
      </c>
      <c r="AN29" s="45">
        <f>ROUND(VLOOKUP(alap!$A$1,feldered_RK!$C:$LO,310,FALSE),1)</f>
        <v>71</v>
      </c>
      <c r="AO29" s="654">
        <f>ROUND(VLOOKUP(alap!$A$1,feldered_RK!$C:$LO,313,FALSE),1)</f>
        <v>0</v>
      </c>
      <c r="AP29" s="85"/>
      <c r="AQ29" s="827">
        <f>'országos átlag'!H27</f>
        <v>0</v>
      </c>
      <c r="AR29" s="832">
        <f t="shared" si="6"/>
        <v>-71</v>
      </c>
      <c r="AS29" s="29"/>
      <c r="AT29" s="29"/>
      <c r="AU29" s="29"/>
    </row>
    <row r="30" spans="1:47" ht="16.5" thickBot="1" x14ac:dyDescent="0.3">
      <c r="A30" s="47" t="s">
        <v>28</v>
      </c>
      <c r="B30" s="656">
        <f>VLOOKUP(alap!$A$1,RK_bcs!$B:$IK,236,FALSE)</f>
        <v>7819</v>
      </c>
      <c r="C30" s="635">
        <f>VLOOKUP(alap!$A$1,RK_bcs!$B:$IK,237,FALSE)</f>
        <v>8159</v>
      </c>
      <c r="D30" s="635">
        <f>VLOOKUP(alap!$A$1,RK_bcs!$B:$IK,238,FALSE)</f>
        <v>7147</v>
      </c>
      <c r="E30" s="635">
        <f>VLOOKUP(alap!$A$1,RK_bcs!$B:$IK,239,FALSE)</f>
        <v>5666</v>
      </c>
      <c r="F30" s="635">
        <f>VLOOKUP(alap!$A$1,RK_bcs!$B:$IK,240,FALSE)</f>
        <v>5445</v>
      </c>
      <c r="G30" s="635">
        <f>VLOOKUP(alap!$A$1,RK_bcs!$B:$IK,241,FALSE)</f>
        <v>5461</v>
      </c>
      <c r="H30" s="635">
        <f>VLOOKUP(alap!$A$1,RK_bcs!$B:$IK,242,FALSE)</f>
        <v>4487</v>
      </c>
      <c r="I30" s="635">
        <f>VLOOKUP(alap!$A$1,RK_bcs!$B:$IK,243,FALSE)</f>
        <v>4827</v>
      </c>
      <c r="J30" s="635">
        <f>VLOOKUP(alap!$A$1,RK_bcs!$B:$IK,244,FALSE)</f>
        <v>0</v>
      </c>
      <c r="K30" s="20"/>
      <c r="L30" s="645">
        <f t="shared" si="0"/>
        <v>4044</v>
      </c>
      <c r="M30" s="341" t="str">
        <f t="shared" si="7"/>
        <v>-</v>
      </c>
      <c r="N30" s="646" t="str">
        <f t="shared" si="1"/>
        <v>-</v>
      </c>
      <c r="O30" s="647" t="str">
        <f t="shared" si="2"/>
        <v>-</v>
      </c>
      <c r="P30" s="22"/>
      <c r="Q30" s="47" t="s">
        <v>28</v>
      </c>
      <c r="R30" s="49">
        <f>ROUND(VLOOKUP(alap!$A$1,'RK nyomered lop-össz'!$C:$PS,409,FALSE),1)</f>
        <v>54.4</v>
      </c>
      <c r="S30" s="50">
        <f>ROUND(VLOOKUP(alap!$A$1,'RK nyomered lop-össz'!$C:$PS,412,FALSE),1)</f>
        <v>47.4</v>
      </c>
      <c r="T30" s="50">
        <f>ROUND(VLOOKUP(alap!$A$1,'RK nyomered lop-össz'!$C:$PS,415,FALSE),1)</f>
        <v>46.1</v>
      </c>
      <c r="U30" s="50">
        <f>ROUND(VLOOKUP(alap!$A$1,'RK nyomered lop-össz'!$C:$PS,418,FALSE),1)</f>
        <v>59</v>
      </c>
      <c r="V30" s="50">
        <f>ROUND(VLOOKUP(alap!$A$1,'RK nyomered lop-össz'!$C:$PS,421,FALSE),1)</f>
        <v>59.1</v>
      </c>
      <c r="W30" s="50">
        <f>ROUND(VLOOKUP(alap!$A$1,'RK nyomered lop-össz'!$C:$PS,424,FALSE),1)</f>
        <v>68.5</v>
      </c>
      <c r="X30" s="50">
        <f>ROUND(VLOOKUP(alap!$A$1,'RK nyomered lop-össz'!$C:$PS,427,FALSE),1)</f>
        <v>67.5</v>
      </c>
      <c r="Y30" s="50">
        <f>ROUND(VLOOKUP(alap!$A$1,'RK nyomered lop-össz'!$C:$PS,430,FALSE),1)</f>
        <v>71.2</v>
      </c>
      <c r="Z30" s="50">
        <f>ROUND(VLOOKUP(alap!$A$1,'RK nyomered lop-össz'!$C:$PS,433,FALSE),1)</f>
        <v>74.7</v>
      </c>
      <c r="AA30" s="328"/>
      <c r="AB30" s="51">
        <f>ROUND(VLOOKUP(alap!$A$1,'RK nyomered lop-össz'!$C:$RO,481,FALSE),1)</f>
        <v>67.7</v>
      </c>
      <c r="AC30" s="83" t="e">
        <f>'országos átlag'!G28</f>
        <v>#N/A</v>
      </c>
      <c r="AD30" s="50">
        <f t="shared" si="3"/>
        <v>3.5</v>
      </c>
      <c r="AE30" s="50">
        <f t="shared" si="8"/>
        <v>7</v>
      </c>
      <c r="AF30" s="48">
        <f t="shared" si="5"/>
        <v>20.300000000000004</v>
      </c>
      <c r="AG30" s="27"/>
      <c r="AH30" s="27"/>
      <c r="AI30" s="27"/>
      <c r="AJ30" s="27"/>
      <c r="AK30" s="27"/>
      <c r="AL30" s="83">
        <f>ROUND(VLOOKUP(alap!$A$1,feldered_RK!$C:$LO,316,FALSE),1)</f>
        <v>60.5</v>
      </c>
      <c r="AM30" s="50">
        <f>ROUND(VLOOKUP(alap!$A$1,feldered_RK!$C:$LO,319,FALSE),1)</f>
        <v>60.6</v>
      </c>
      <c r="AN30" s="50">
        <f>ROUND(VLOOKUP(alap!$A$1,feldered_RK!$C:$LO,322,FALSE),1)</f>
        <v>64.5</v>
      </c>
      <c r="AO30" s="52">
        <f>ROUND(VLOOKUP(alap!$A$1,feldered_RK!$C:$LO,325,FALSE),1)</f>
        <v>0</v>
      </c>
      <c r="AP30" s="85"/>
      <c r="AQ30" s="828" t="e">
        <f>'országos átlag'!H28</f>
        <v>#N/A</v>
      </c>
      <c r="AR30" s="833">
        <f>AO30-AN30</f>
        <v>-64.5</v>
      </c>
      <c r="AS30" s="29"/>
      <c r="AT30" s="29"/>
      <c r="AU30" s="29"/>
    </row>
    <row r="31" spans="1:47" ht="16.5" thickBot="1" x14ac:dyDescent="0.3">
      <c r="A31" s="53" t="s">
        <v>29</v>
      </c>
      <c r="B31" s="658">
        <f>VLOOKUP(alap!$A$1,ügyidő!$A:$J,2,FALSE)</f>
        <v>85.125039469529526</v>
      </c>
      <c r="C31" s="634">
        <f>VLOOKUP(alap!$A$1,ügyidő!$A:$J,3,FALSE)</f>
        <v>90.913272877164061</v>
      </c>
      <c r="D31" s="634">
        <f>VLOOKUP(alap!$A$1,ügyidő!$A:$J,4,FALSE)</f>
        <v>96.012478336221832</v>
      </c>
      <c r="E31" s="634">
        <f>VLOOKUP(alap!$A$1,ügyidő!$A:$J,5,FALSE)</f>
        <v>99.976302389345861</v>
      </c>
      <c r="F31" s="634">
        <f>VLOOKUP(alap!$A$1,ügyidő!$A:$J,6,FALSE)</f>
        <v>103.88130504403523</v>
      </c>
      <c r="G31" s="634">
        <f>VLOOKUP(alap!$A$1,ügyidő!$A:$J,7,FALSE)</f>
        <v>105.67323943661972</v>
      </c>
      <c r="H31" s="634">
        <f>VLOOKUP(alap!$A$1,ügyidő!$A:$J,8,FALSE)</f>
        <v>107.46680999731255</v>
      </c>
      <c r="I31" s="634">
        <f>VLOOKUP(alap!$A$1,ügyidő!$A:$J,9,FALSE)</f>
        <v>105.11502590673575</v>
      </c>
      <c r="J31" s="634">
        <f>VLOOKUP(alap!$A$1,ügyidő!$A:$J,10,FALSE)</f>
        <v>0</v>
      </c>
      <c r="K31" s="54"/>
      <c r="L31" s="645">
        <f t="shared" si="0"/>
        <v>84.427276076940657</v>
      </c>
      <c r="M31" s="341" t="str">
        <f t="shared" si="7"/>
        <v>-</v>
      </c>
      <c r="N31" s="646" t="str">
        <f t="shared" si="1"/>
        <v>-</v>
      </c>
      <c r="O31" s="647" t="str">
        <f t="shared" si="2"/>
        <v>-</v>
      </c>
      <c r="P31" s="22"/>
      <c r="Q31" s="53" t="s">
        <v>29</v>
      </c>
      <c r="R31" s="55"/>
      <c r="S31" s="320"/>
      <c r="T31" s="56"/>
      <c r="U31" s="56"/>
      <c r="V31" s="56"/>
      <c r="W31" s="58"/>
      <c r="X31" s="58"/>
      <c r="Y31" s="58"/>
      <c r="Z31" s="57"/>
      <c r="AA31" s="22"/>
      <c r="AB31" s="81"/>
      <c r="AC31" s="631"/>
      <c r="AD31" s="320"/>
      <c r="AE31" s="320"/>
      <c r="AF31" s="321"/>
      <c r="AG31" s="26"/>
      <c r="AH31" s="27"/>
      <c r="AI31" s="27"/>
      <c r="AJ31" s="27"/>
      <c r="AK31" s="27"/>
      <c r="AL31" s="81"/>
      <c r="AM31" s="332"/>
      <c r="AN31" s="332"/>
      <c r="AO31" s="82"/>
      <c r="AP31" s="85"/>
      <c r="AQ31" s="82"/>
      <c r="AR31" s="82"/>
      <c r="AS31" s="29"/>
      <c r="AT31" s="29"/>
      <c r="AU31" s="29"/>
    </row>
    <row r="32" spans="1:47" ht="16.5" thickBot="1" x14ac:dyDescent="0.3">
      <c r="A32" s="660" t="s">
        <v>30</v>
      </c>
      <c r="B32" s="638">
        <f>VLOOKUP(alap!$A$1,bírelé_vádem!$A:$T,12,FALSE)</f>
        <v>3541</v>
      </c>
      <c r="C32" s="635">
        <f>VLOOKUP(alap!$A$1,bírelé_vádem!$A:$T,13,FALSE)</f>
        <v>3199</v>
      </c>
      <c r="D32" s="635">
        <f>VLOOKUP(alap!$A$1,bírelé_vádem!$A:$T,14,FALSE)</f>
        <v>2638</v>
      </c>
      <c r="E32" s="635">
        <f>VLOOKUP(alap!$A$1,bírelé_vádem!$A:$T,15,FALSE)</f>
        <v>2811</v>
      </c>
      <c r="F32" s="635">
        <f>VLOOKUP(alap!$A$1,bírelé_vádem!$A:$T,16,FALSE)</f>
        <v>2712</v>
      </c>
      <c r="G32" s="635">
        <f>VLOOKUP(alap!$A$1,bírelé_vádem!$A:$T,17,FALSE)</f>
        <v>3220</v>
      </c>
      <c r="H32" s="635">
        <f>VLOOKUP(alap!$A$1,bírelé_vádem!$A:$T,18,FALSE)</f>
        <v>2547</v>
      </c>
      <c r="I32" s="635">
        <f>VLOOKUP(alap!$A$1,bírelé_vádem!$A:$T,19,FALSE)</f>
        <v>2805</v>
      </c>
      <c r="J32" s="635">
        <f>VLOOKUP(alap!$A$1,bírelé_vádem!$A:$T,20,FALSE)</f>
        <v>0</v>
      </c>
      <c r="K32" s="54"/>
      <c r="L32" s="657">
        <f t="shared" si="0"/>
        <v>2256.8000000000002</v>
      </c>
      <c r="M32" s="83" t="str">
        <f t="shared" si="7"/>
        <v>-</v>
      </c>
      <c r="N32" s="50" t="str">
        <f>IF(J32&lt;50,"-",(J32/L32*100)-100)</f>
        <v>-</v>
      </c>
      <c r="O32" s="48" t="str">
        <f>IF(J32&lt;50,"-",(J32/B32*100)-100)</f>
        <v>-</v>
      </c>
      <c r="P32" s="22"/>
      <c r="Q32" s="59" t="s">
        <v>30</v>
      </c>
      <c r="R32" s="55"/>
      <c r="S32" s="56"/>
      <c r="T32" s="56"/>
      <c r="U32" s="56"/>
      <c r="V32" s="56"/>
      <c r="W32" s="58"/>
      <c r="X32" s="58"/>
      <c r="Y32" s="58"/>
      <c r="Z32" s="57"/>
      <c r="AA32" s="22"/>
      <c r="AB32" s="55"/>
      <c r="AC32" s="632"/>
      <c r="AD32" s="56"/>
      <c r="AE32" s="56"/>
      <c r="AF32" s="58"/>
      <c r="AG32" s="26"/>
      <c r="AH32" s="27"/>
      <c r="AI32" s="27"/>
      <c r="AJ32" s="27"/>
      <c r="AK32" s="27"/>
      <c r="AL32" s="55"/>
      <c r="AM32" s="318"/>
      <c r="AN32" s="318"/>
      <c r="AO32" s="57"/>
      <c r="AP32" s="85"/>
      <c r="AQ32" s="57"/>
      <c r="AR32" s="57"/>
      <c r="AS32" s="29"/>
      <c r="AT32" s="29"/>
      <c r="AU32" s="29"/>
    </row>
    <row r="33" spans="1:47" ht="16.5" thickBot="1" x14ac:dyDescent="0.3">
      <c r="A33" s="659" t="s">
        <v>31</v>
      </c>
      <c r="B33" s="639">
        <f>VLOOKUP(alap!$A$1,bírelé_vádem!$A:$T,3,FALSE)</f>
        <v>213</v>
      </c>
      <c r="C33" s="635">
        <f>VLOOKUP(alap!$A$1,bírelé_vádem!$A:$T,4,FALSE)</f>
        <v>231</v>
      </c>
      <c r="D33" s="635">
        <f>VLOOKUP(alap!$A$1,bírelé_vádem!$A:$T,5,FALSE)</f>
        <v>236</v>
      </c>
      <c r="E33" s="635">
        <f>VLOOKUP(alap!$A$1,bírelé_vádem!$A:$T,6,FALSE)</f>
        <v>319</v>
      </c>
      <c r="F33" s="635">
        <f>VLOOKUP(alap!$A$1,bírelé_vádem!$A:$T,7,FALSE)</f>
        <v>378</v>
      </c>
      <c r="G33" s="635">
        <f>VLOOKUP(alap!$A$1,bírelé_vádem!$A:$T,8,FALSE)</f>
        <v>243</v>
      </c>
      <c r="H33" s="635">
        <f>VLOOKUP(alap!$A$1,bírelé_vádem!$A:$T,9,FALSE)</f>
        <v>208</v>
      </c>
      <c r="I33" s="635">
        <f>VLOOKUP(alap!$A$1,bírelé_vádem!$A:$T,10,FALSE)</f>
        <v>247</v>
      </c>
      <c r="J33" s="635">
        <f>VLOOKUP(alap!$A$1,bírelé_vádem!$A:$T,11,FALSE)</f>
        <v>0</v>
      </c>
      <c r="K33" s="54"/>
      <c r="L33" s="661">
        <f>AVERAGE(F33:J33)</f>
        <v>215.2</v>
      </c>
      <c r="M33" s="341" t="str">
        <f>IF(J33&lt;50,"-",(J33/I33*100)-100)</f>
        <v>-</v>
      </c>
      <c r="N33" s="646" t="str">
        <f>IF(J33&lt;50,"-",(J33/L33*100)-100)</f>
        <v>-</v>
      </c>
      <c r="O33" s="647" t="str">
        <f>IF(J33&lt;50,"-",(J33/B33*100)-100)</f>
        <v>-</v>
      </c>
      <c r="P33" s="22"/>
      <c r="Q33" s="61" t="s">
        <v>31</v>
      </c>
      <c r="R33" s="55"/>
      <c r="S33" s="56"/>
      <c r="T33" s="56"/>
      <c r="U33" s="56"/>
      <c r="V33" s="56"/>
      <c r="W33" s="58"/>
      <c r="X33" s="58"/>
      <c r="Y33" s="58"/>
      <c r="Z33" s="57"/>
      <c r="AA33" s="22"/>
      <c r="AB33" s="55"/>
      <c r="AC33" s="632"/>
      <c r="AD33" s="56"/>
      <c r="AE33" s="56"/>
      <c r="AF33" s="58"/>
      <c r="AG33" s="26"/>
      <c r="AH33" s="27"/>
      <c r="AI33" s="27"/>
      <c r="AJ33" s="27"/>
      <c r="AK33" s="27"/>
      <c r="AL33" s="55"/>
      <c r="AM33" s="318"/>
      <c r="AN33" s="318"/>
      <c r="AO33" s="57"/>
      <c r="AP33" s="85"/>
      <c r="AQ33" s="57"/>
      <c r="AR33" s="57"/>
      <c r="AS33" s="29"/>
      <c r="AT33" s="29"/>
      <c r="AU33" s="29"/>
    </row>
    <row r="34" spans="1:47" ht="32.25" thickBot="1" x14ac:dyDescent="0.3">
      <c r="A34" s="65" t="s">
        <v>40</v>
      </c>
      <c r="B34" s="640">
        <f t="shared" ref="B34:H34" si="9">ROUND(B33/B32*100,1)</f>
        <v>6</v>
      </c>
      <c r="C34" s="636">
        <f t="shared" si="9"/>
        <v>7.2</v>
      </c>
      <c r="D34" s="636">
        <f t="shared" si="9"/>
        <v>8.9</v>
      </c>
      <c r="E34" s="636">
        <f t="shared" si="9"/>
        <v>11.3</v>
      </c>
      <c r="F34" s="636">
        <f t="shared" si="9"/>
        <v>13.9</v>
      </c>
      <c r="G34" s="636">
        <f t="shared" si="9"/>
        <v>7.5</v>
      </c>
      <c r="H34" s="636">
        <f t="shared" si="9"/>
        <v>8.1999999999999993</v>
      </c>
      <c r="I34" s="636">
        <v>19.7</v>
      </c>
      <c r="J34" s="636" t="e">
        <f>ROUND(J33/J32*100,1)</f>
        <v>#DIV/0!</v>
      </c>
      <c r="K34" s="66"/>
      <c r="L34" s="88"/>
      <c r="M34" s="834"/>
      <c r="N34" s="835"/>
      <c r="O34" s="836"/>
      <c r="P34" s="67"/>
      <c r="Q34" s="65" t="s">
        <v>40</v>
      </c>
      <c r="R34" s="68"/>
      <c r="S34" s="69"/>
      <c r="T34" s="69"/>
      <c r="U34" s="69"/>
      <c r="V34" s="69"/>
      <c r="W34" s="71"/>
      <c r="X34" s="71"/>
      <c r="Y34" s="71"/>
      <c r="Z34" s="70"/>
      <c r="AA34" s="67"/>
      <c r="AB34" s="68"/>
      <c r="AC34" s="633"/>
      <c r="AD34" s="69"/>
      <c r="AE34" s="69"/>
      <c r="AF34" s="71"/>
      <c r="AG34" s="72"/>
      <c r="AH34" s="73"/>
      <c r="AI34" s="73"/>
      <c r="AJ34" s="73"/>
      <c r="AK34" s="73"/>
      <c r="AL34" s="68"/>
      <c r="AM34" s="319"/>
      <c r="AN34" s="319"/>
      <c r="AO34" s="70"/>
      <c r="AP34" s="87"/>
      <c r="AQ34" s="70"/>
      <c r="AR34" s="70"/>
      <c r="AS34" s="29"/>
      <c r="AT34" s="29"/>
      <c r="AU34" s="29"/>
    </row>
    <row r="35" spans="1:47" ht="40.5" customHeight="1" x14ac:dyDescent="0.25">
      <c r="A35" s="899" t="s">
        <v>38</v>
      </c>
      <c r="B35" s="899"/>
      <c r="C35" s="899"/>
      <c r="D35" s="899"/>
      <c r="E35" s="899"/>
      <c r="F35" s="899"/>
      <c r="G35" s="899"/>
      <c r="H35" s="899"/>
      <c r="I35" s="899"/>
      <c r="J35" s="899"/>
      <c r="K35" s="74"/>
      <c r="L35" s="887" t="s">
        <v>827</v>
      </c>
      <c r="M35" s="887"/>
      <c r="N35" s="887"/>
      <c r="Q35" s="75"/>
      <c r="R35" s="75"/>
      <c r="S35" s="75"/>
      <c r="T35" s="75"/>
      <c r="U35" s="75"/>
      <c r="V35" s="75"/>
      <c r="W35" s="75"/>
      <c r="X35" s="75"/>
      <c r="Y35" s="75"/>
      <c r="Z35" s="75"/>
      <c r="AB35" s="898"/>
      <c r="AC35" s="898"/>
      <c r="AD35" s="898"/>
      <c r="AE35" s="898"/>
      <c r="AF35" s="898"/>
      <c r="AK35" s="29"/>
      <c r="AL35" s="29"/>
      <c r="AM35" s="29"/>
      <c r="AN35" s="29"/>
      <c r="AO35" s="29"/>
      <c r="AP35" s="29"/>
      <c r="AQ35" s="609"/>
      <c r="AR35" s="29"/>
      <c r="AS35" s="29"/>
      <c r="AT35" s="29"/>
    </row>
    <row r="36" spans="1:47" s="664" customFormat="1" x14ac:dyDescent="0.25">
      <c r="L36" s="850"/>
      <c r="M36" s="851"/>
      <c r="N36" s="851"/>
      <c r="O36" s="851"/>
      <c r="P36" s="851"/>
      <c r="AQ36" s="852"/>
    </row>
    <row r="37" spans="1:47" s="664" customFormat="1" x14ac:dyDescent="0.25">
      <c r="B37" s="853"/>
      <c r="C37" s="853"/>
      <c r="D37" s="853"/>
      <c r="E37" s="853"/>
      <c r="F37" s="853"/>
      <c r="G37" s="853"/>
      <c r="H37" s="853"/>
      <c r="I37" s="853"/>
      <c r="J37" s="853"/>
      <c r="L37" s="854"/>
      <c r="M37" s="851"/>
      <c r="N37" s="851"/>
      <c r="O37" s="851"/>
      <c r="P37" s="851"/>
      <c r="AQ37" s="852"/>
    </row>
    <row r="38" spans="1:47" s="664" customFormat="1" x14ac:dyDescent="0.25">
      <c r="AQ38" s="852"/>
    </row>
    <row r="39" spans="1:47" s="664" customFormat="1" x14ac:dyDescent="0.25">
      <c r="AQ39" s="852"/>
    </row>
    <row r="40" spans="1:47" s="664" customFormat="1" x14ac:dyDescent="0.25">
      <c r="AQ40" s="852"/>
    </row>
    <row r="41" spans="1:47" s="664" customFormat="1" x14ac:dyDescent="0.25">
      <c r="AQ41" s="852"/>
    </row>
    <row r="42" spans="1:47" s="664" customFormat="1" x14ac:dyDescent="0.25">
      <c r="AQ42" s="852"/>
    </row>
    <row r="43" spans="1:47" s="664" customFormat="1" x14ac:dyDescent="0.25">
      <c r="AQ43" s="852"/>
    </row>
    <row r="44" spans="1:47" s="664" customFormat="1" x14ac:dyDescent="0.25">
      <c r="AQ44" s="852"/>
    </row>
    <row r="45" spans="1:47" s="664" customFormat="1" x14ac:dyDescent="0.25">
      <c r="AQ45" s="852"/>
    </row>
    <row r="46" spans="1:47" s="664" customFormat="1" x14ac:dyDescent="0.25">
      <c r="AQ46" s="852"/>
    </row>
    <row r="47" spans="1:47" s="664" customFormat="1" x14ac:dyDescent="0.25">
      <c r="AQ47" s="852"/>
    </row>
    <row r="48" spans="1:47" s="664" customFormat="1" x14ac:dyDescent="0.25">
      <c r="AQ48" s="852"/>
    </row>
    <row r="49" spans="43:43" s="664" customFormat="1" x14ac:dyDescent="0.25">
      <c r="AQ49" s="852"/>
    </row>
    <row r="50" spans="43:43" s="664" customFormat="1" x14ac:dyDescent="0.25">
      <c r="AQ50" s="852"/>
    </row>
    <row r="51" spans="43:43" s="664" customFormat="1" x14ac:dyDescent="0.25">
      <c r="AQ51" s="852"/>
    </row>
    <row r="52" spans="43:43" s="664" customFormat="1" x14ac:dyDescent="0.25">
      <c r="AQ52" s="852"/>
    </row>
    <row r="53" spans="43:43" s="664" customFormat="1" x14ac:dyDescent="0.25">
      <c r="AQ53" s="852"/>
    </row>
    <row r="54" spans="43:43" s="664" customFormat="1" x14ac:dyDescent="0.25">
      <c r="AQ54" s="852"/>
    </row>
    <row r="55" spans="43:43" s="664" customFormat="1" x14ac:dyDescent="0.25">
      <c r="AQ55" s="852"/>
    </row>
    <row r="56" spans="43:43" s="664" customFormat="1" x14ac:dyDescent="0.25">
      <c r="AQ56" s="852"/>
    </row>
    <row r="57" spans="43:43" s="664" customFormat="1" x14ac:dyDescent="0.25">
      <c r="AQ57" s="852"/>
    </row>
    <row r="58" spans="43:43" s="664" customFormat="1" x14ac:dyDescent="0.25">
      <c r="AQ58" s="852"/>
    </row>
    <row r="59" spans="43:43" s="664" customFormat="1" x14ac:dyDescent="0.25">
      <c r="AQ59" s="852"/>
    </row>
    <row r="60" spans="43:43" s="664" customFormat="1" x14ac:dyDescent="0.25">
      <c r="AQ60" s="852"/>
    </row>
    <row r="200" spans="1:3" x14ac:dyDescent="0.25">
      <c r="A200" s="2" t="s">
        <v>1072</v>
      </c>
      <c r="B200" s="2" t="s">
        <v>1072</v>
      </c>
      <c r="C200" s="2" t="s">
        <v>1072</v>
      </c>
    </row>
  </sheetData>
  <mergeCells count="10">
    <mergeCell ref="Q1:AR1"/>
    <mergeCell ref="L35:N35"/>
    <mergeCell ref="B2:J2"/>
    <mergeCell ref="L2:O2"/>
    <mergeCell ref="R2:Z2"/>
    <mergeCell ref="AB2:AF2"/>
    <mergeCell ref="AB35:AF35"/>
    <mergeCell ref="A35:J35"/>
    <mergeCell ref="A1:O1"/>
    <mergeCell ref="AL2:AR2"/>
  </mergeCells>
  <conditionalFormatting sqref="C4">
    <cfRule type="expression" dxfId="8956" priority="3729">
      <formula>B4="-"</formula>
    </cfRule>
    <cfRule type="cellIs" dxfId="8955" priority="3730" operator="equal">
      <formula>"-"</formula>
    </cfRule>
    <cfRule type="cellIs" dxfId="8954" priority="3731" operator="equal">
      <formula>B4</formula>
    </cfRule>
    <cfRule type="cellIs" dxfId="8953" priority="3732" operator="greaterThan">
      <formula>B4</formula>
    </cfRule>
    <cfRule type="cellIs" dxfId="8952" priority="3733" operator="lessThan">
      <formula>B4</formula>
    </cfRule>
  </conditionalFormatting>
  <conditionalFormatting sqref="C5">
    <cfRule type="expression" dxfId="8951" priority="3724">
      <formula>B5="-"</formula>
    </cfRule>
    <cfRule type="cellIs" dxfId="8950" priority="3725" operator="equal">
      <formula>"-"</formula>
    </cfRule>
    <cfRule type="cellIs" dxfId="8949" priority="3726" operator="equal">
      <formula>B5</formula>
    </cfRule>
    <cfRule type="cellIs" dxfId="8948" priority="3727" operator="greaterThan">
      <formula>B5</formula>
    </cfRule>
    <cfRule type="cellIs" dxfId="8947" priority="3728" operator="lessThan">
      <formula>B5</formula>
    </cfRule>
  </conditionalFormatting>
  <conditionalFormatting sqref="C6">
    <cfRule type="expression" dxfId="8946" priority="3719">
      <formula>B6="-"</formula>
    </cfRule>
    <cfRule type="cellIs" dxfId="8945" priority="3720" operator="equal">
      <formula>"-"</formula>
    </cfRule>
    <cfRule type="cellIs" dxfId="8944" priority="3721" operator="equal">
      <formula>B6</formula>
    </cfRule>
    <cfRule type="cellIs" dxfId="8943" priority="3722" operator="greaterThan">
      <formula>B6</formula>
    </cfRule>
    <cfRule type="cellIs" dxfId="8942" priority="3723" operator="lessThan">
      <formula>B6</formula>
    </cfRule>
  </conditionalFormatting>
  <conditionalFormatting sqref="C7">
    <cfRule type="expression" dxfId="8941" priority="3714">
      <formula>B7="-"</formula>
    </cfRule>
    <cfRule type="cellIs" dxfId="8940" priority="3715" operator="equal">
      <formula>"-"</formula>
    </cfRule>
    <cfRule type="cellIs" dxfId="8939" priority="3716" operator="equal">
      <formula>B7</formula>
    </cfRule>
    <cfRule type="cellIs" dxfId="8938" priority="3717" operator="greaterThan">
      <formula>B7</formula>
    </cfRule>
    <cfRule type="cellIs" dxfId="8937" priority="3718" operator="lessThan">
      <formula>B7</formula>
    </cfRule>
  </conditionalFormatting>
  <conditionalFormatting sqref="C8">
    <cfRule type="expression" dxfId="8936" priority="3709">
      <formula>B8="-"</formula>
    </cfRule>
    <cfRule type="cellIs" dxfId="8935" priority="3710" operator="equal">
      <formula>"-"</formula>
    </cfRule>
    <cfRule type="cellIs" dxfId="8934" priority="3711" operator="equal">
      <formula>B8</formula>
    </cfRule>
    <cfRule type="cellIs" dxfId="8933" priority="3712" operator="greaterThan">
      <formula>B8</formula>
    </cfRule>
    <cfRule type="cellIs" dxfId="8932" priority="3713" operator="lessThan">
      <formula>B8</formula>
    </cfRule>
  </conditionalFormatting>
  <conditionalFormatting sqref="C9">
    <cfRule type="expression" dxfId="8931" priority="3704">
      <formula>B9="-"</formula>
    </cfRule>
    <cfRule type="cellIs" dxfId="8930" priority="3705" operator="equal">
      <formula>"-"</formula>
    </cfRule>
    <cfRule type="cellIs" dxfId="8929" priority="3706" operator="equal">
      <formula>B9</formula>
    </cfRule>
    <cfRule type="cellIs" dxfId="8928" priority="3707" operator="greaterThan">
      <formula>B9</formula>
    </cfRule>
    <cfRule type="cellIs" dxfId="8927" priority="3708" operator="lessThan">
      <formula>B9</formula>
    </cfRule>
  </conditionalFormatting>
  <conditionalFormatting sqref="C10">
    <cfRule type="expression" dxfId="8926" priority="3699">
      <formula>B10="-"</formula>
    </cfRule>
    <cfRule type="cellIs" dxfId="8925" priority="3700" operator="equal">
      <formula>"-"</formula>
    </cfRule>
    <cfRule type="cellIs" dxfId="8924" priority="3701" operator="equal">
      <formula>B10</formula>
    </cfRule>
    <cfRule type="cellIs" dxfId="8923" priority="3702" operator="greaterThan">
      <formula>B10</formula>
    </cfRule>
    <cfRule type="cellIs" dxfId="8922" priority="3703" operator="lessThan">
      <formula>B10</formula>
    </cfRule>
  </conditionalFormatting>
  <conditionalFormatting sqref="C11">
    <cfRule type="expression" dxfId="8921" priority="3694">
      <formula>B11="-"</formula>
    </cfRule>
    <cfRule type="cellIs" dxfId="8920" priority="3695" operator="equal">
      <formula>"-"</formula>
    </cfRule>
    <cfRule type="cellIs" dxfId="8919" priority="3696" operator="equal">
      <formula>B11</formula>
    </cfRule>
    <cfRule type="cellIs" dxfId="8918" priority="3697" operator="greaterThan">
      <formula>B11</formula>
    </cfRule>
    <cfRule type="cellIs" dxfId="8917" priority="3698" operator="lessThan">
      <formula>B11</formula>
    </cfRule>
  </conditionalFormatting>
  <conditionalFormatting sqref="C12">
    <cfRule type="expression" dxfId="8916" priority="3689">
      <formula>B12="-"</formula>
    </cfRule>
    <cfRule type="cellIs" dxfId="8915" priority="3690" operator="equal">
      <formula>"-"</formula>
    </cfRule>
    <cfRule type="cellIs" dxfId="8914" priority="3691" operator="equal">
      <formula>B12</formula>
    </cfRule>
    <cfRule type="cellIs" dxfId="8913" priority="3692" operator="greaterThan">
      <formula>B12</formula>
    </cfRule>
    <cfRule type="cellIs" dxfId="8912" priority="3693" operator="lessThan">
      <formula>B12</formula>
    </cfRule>
  </conditionalFormatting>
  <conditionalFormatting sqref="C13">
    <cfRule type="expression" dxfId="8911" priority="3684">
      <formula>B13="-"</formula>
    </cfRule>
    <cfRule type="cellIs" dxfId="8910" priority="3685" operator="equal">
      <formula>"-"</formula>
    </cfRule>
    <cfRule type="cellIs" dxfId="8909" priority="3686" operator="equal">
      <formula>B13</formula>
    </cfRule>
    <cfRule type="cellIs" dxfId="8908" priority="3687" operator="greaterThan">
      <formula>B13</formula>
    </cfRule>
    <cfRule type="cellIs" dxfId="8907" priority="3688" operator="lessThan">
      <formula>B13</formula>
    </cfRule>
  </conditionalFormatting>
  <conditionalFormatting sqref="C14">
    <cfRule type="expression" dxfId="8906" priority="3679">
      <formula>B14="-"</formula>
    </cfRule>
    <cfRule type="cellIs" dxfId="8905" priority="3680" operator="equal">
      <formula>"-"</formula>
    </cfRule>
    <cfRule type="cellIs" dxfId="8904" priority="3681" operator="equal">
      <formula>B14</formula>
    </cfRule>
    <cfRule type="cellIs" dxfId="8903" priority="3682" operator="greaterThan">
      <formula>B14</formula>
    </cfRule>
    <cfRule type="cellIs" dxfId="8902" priority="3683" operator="lessThan">
      <formula>B14</formula>
    </cfRule>
  </conditionalFormatting>
  <conditionalFormatting sqref="C15">
    <cfRule type="expression" dxfId="8901" priority="3674">
      <formula>B15="-"</formula>
    </cfRule>
    <cfRule type="cellIs" dxfId="8900" priority="3675" operator="equal">
      <formula>"-"</formula>
    </cfRule>
    <cfRule type="cellIs" dxfId="8899" priority="3676" operator="equal">
      <formula>B15</formula>
    </cfRule>
    <cfRule type="cellIs" dxfId="8898" priority="3677" operator="greaterThan">
      <formula>B15</formula>
    </cfRule>
    <cfRule type="cellIs" dxfId="8897" priority="3678" operator="lessThan">
      <formula>B15</formula>
    </cfRule>
  </conditionalFormatting>
  <conditionalFormatting sqref="C16">
    <cfRule type="expression" dxfId="8896" priority="3669">
      <formula>B16="-"</formula>
    </cfRule>
    <cfRule type="cellIs" dxfId="8895" priority="3670" operator="equal">
      <formula>"-"</formula>
    </cfRule>
    <cfRule type="cellIs" dxfId="8894" priority="3671" operator="equal">
      <formula>B16</formula>
    </cfRule>
    <cfRule type="cellIs" dxfId="8893" priority="3672" operator="greaterThan">
      <formula>B16</formula>
    </cfRule>
    <cfRule type="cellIs" dxfId="8892" priority="3673" operator="lessThan">
      <formula>B16</formula>
    </cfRule>
  </conditionalFormatting>
  <conditionalFormatting sqref="C17">
    <cfRule type="expression" dxfId="8891" priority="3664">
      <formula>B17="-"</formula>
    </cfRule>
    <cfRule type="cellIs" dxfId="8890" priority="3665" operator="equal">
      <formula>"-"</formula>
    </cfRule>
    <cfRule type="cellIs" dxfId="8889" priority="3666" operator="equal">
      <formula>B17</formula>
    </cfRule>
    <cfRule type="cellIs" dxfId="8888" priority="3667" operator="greaterThan">
      <formula>B17</formula>
    </cfRule>
    <cfRule type="cellIs" dxfId="8887" priority="3668" operator="lessThan">
      <formula>B17</formula>
    </cfRule>
  </conditionalFormatting>
  <conditionalFormatting sqref="C18">
    <cfRule type="expression" dxfId="8886" priority="3659">
      <formula>B18="-"</formula>
    </cfRule>
    <cfRule type="cellIs" dxfId="8885" priority="3660" operator="equal">
      <formula>"-"</formula>
    </cfRule>
    <cfRule type="cellIs" dxfId="8884" priority="3661" operator="equal">
      <formula>B18</formula>
    </cfRule>
    <cfRule type="cellIs" dxfId="8883" priority="3662" operator="greaterThan">
      <formula>B18</formula>
    </cfRule>
    <cfRule type="cellIs" dxfId="8882" priority="3663" operator="lessThan">
      <formula>B18</formula>
    </cfRule>
  </conditionalFormatting>
  <conditionalFormatting sqref="C19">
    <cfRule type="expression" dxfId="8881" priority="3654">
      <formula>B19="-"</formula>
    </cfRule>
    <cfRule type="cellIs" dxfId="8880" priority="3655" operator="equal">
      <formula>"-"</formula>
    </cfRule>
    <cfRule type="cellIs" dxfId="8879" priority="3656" operator="equal">
      <formula>B19</formula>
    </cfRule>
    <cfRule type="cellIs" dxfId="8878" priority="3657" operator="greaterThan">
      <formula>B19</formula>
    </cfRule>
    <cfRule type="cellIs" dxfId="8877" priority="3658" operator="lessThan">
      <formula>B19</formula>
    </cfRule>
  </conditionalFormatting>
  <conditionalFormatting sqref="C20">
    <cfRule type="expression" dxfId="8876" priority="3649">
      <formula>B20="-"</formula>
    </cfRule>
    <cfRule type="cellIs" dxfId="8875" priority="3650" operator="equal">
      <formula>"-"</formula>
    </cfRule>
    <cfRule type="cellIs" dxfId="8874" priority="3651" operator="equal">
      <formula>B20</formula>
    </cfRule>
    <cfRule type="cellIs" dxfId="8873" priority="3652" operator="greaterThan">
      <formula>B20</formula>
    </cfRule>
    <cfRule type="cellIs" dxfId="8872" priority="3653" operator="lessThan">
      <formula>B20</formula>
    </cfRule>
  </conditionalFormatting>
  <conditionalFormatting sqref="C21">
    <cfRule type="expression" dxfId="8871" priority="3644">
      <formula>B21="-"</formula>
    </cfRule>
    <cfRule type="cellIs" dxfId="8870" priority="3645" operator="equal">
      <formula>"-"</formula>
    </cfRule>
    <cfRule type="cellIs" dxfId="8869" priority="3646" operator="equal">
      <formula>B21</formula>
    </cfRule>
    <cfRule type="cellIs" dxfId="8868" priority="3647" operator="greaterThan">
      <formula>B21</formula>
    </cfRule>
    <cfRule type="cellIs" dxfId="8867" priority="3648" operator="lessThan">
      <formula>B21</formula>
    </cfRule>
  </conditionalFormatting>
  <conditionalFormatting sqref="C22">
    <cfRule type="expression" dxfId="8866" priority="3639">
      <formula>B22="-"</formula>
    </cfRule>
    <cfRule type="cellIs" dxfId="8865" priority="3640" operator="equal">
      <formula>"-"</formula>
    </cfRule>
    <cfRule type="cellIs" dxfId="8864" priority="3641" operator="equal">
      <formula>B22</formula>
    </cfRule>
    <cfRule type="cellIs" dxfId="8863" priority="3642" operator="greaterThan">
      <formula>B22</formula>
    </cfRule>
    <cfRule type="cellIs" dxfId="8862" priority="3643" operator="lessThan">
      <formula>B22</formula>
    </cfRule>
  </conditionalFormatting>
  <conditionalFormatting sqref="C23">
    <cfRule type="expression" dxfId="8861" priority="3634">
      <formula>B23="-"</formula>
    </cfRule>
    <cfRule type="cellIs" dxfId="8860" priority="3635" operator="equal">
      <formula>"-"</formula>
    </cfRule>
    <cfRule type="cellIs" dxfId="8859" priority="3636" operator="equal">
      <formula>B23</formula>
    </cfRule>
    <cfRule type="cellIs" dxfId="8858" priority="3637" operator="greaterThan">
      <formula>B23</formula>
    </cfRule>
    <cfRule type="cellIs" dxfId="8857" priority="3638" operator="lessThan">
      <formula>B23</formula>
    </cfRule>
  </conditionalFormatting>
  <conditionalFormatting sqref="C24">
    <cfRule type="expression" dxfId="8856" priority="3629">
      <formula>B24="-"</formula>
    </cfRule>
    <cfRule type="cellIs" dxfId="8855" priority="3630" operator="equal">
      <formula>"-"</formula>
    </cfRule>
    <cfRule type="cellIs" dxfId="8854" priority="3631" operator="equal">
      <formula>B24</formula>
    </cfRule>
    <cfRule type="cellIs" dxfId="8853" priority="3632" operator="greaterThan">
      <formula>B24</formula>
    </cfRule>
    <cfRule type="cellIs" dxfId="8852" priority="3633" operator="lessThan">
      <formula>B24</formula>
    </cfRule>
  </conditionalFormatting>
  <conditionalFormatting sqref="C25">
    <cfRule type="expression" dxfId="8851" priority="3624">
      <formula>B25="-"</formula>
    </cfRule>
    <cfRule type="cellIs" dxfId="8850" priority="3625" operator="equal">
      <formula>"-"</formula>
    </cfRule>
    <cfRule type="cellIs" dxfId="8849" priority="3626" operator="equal">
      <formula>B25</formula>
    </cfRule>
    <cfRule type="cellIs" dxfId="8848" priority="3627" operator="greaterThan">
      <formula>B25</formula>
    </cfRule>
    <cfRule type="cellIs" dxfId="8847" priority="3628" operator="lessThan">
      <formula>B25</formula>
    </cfRule>
  </conditionalFormatting>
  <conditionalFormatting sqref="C26">
    <cfRule type="expression" dxfId="8846" priority="3619">
      <formula>B26="-"</formula>
    </cfRule>
    <cfRule type="cellIs" dxfId="8845" priority="3620" operator="equal">
      <formula>"-"</formula>
    </cfRule>
    <cfRule type="cellIs" dxfId="8844" priority="3621" operator="equal">
      <formula>B26</formula>
    </cfRule>
    <cfRule type="cellIs" dxfId="8843" priority="3622" operator="greaterThan">
      <formula>B26</formula>
    </cfRule>
    <cfRule type="cellIs" dxfId="8842" priority="3623" operator="lessThan">
      <formula>B26</formula>
    </cfRule>
  </conditionalFormatting>
  <conditionalFormatting sqref="C27">
    <cfRule type="expression" dxfId="8841" priority="3614">
      <formula>B27="-"</formula>
    </cfRule>
    <cfRule type="cellIs" dxfId="8840" priority="3615" operator="equal">
      <formula>"-"</formula>
    </cfRule>
    <cfRule type="cellIs" dxfId="8839" priority="3616" operator="equal">
      <formula>B27</formula>
    </cfRule>
    <cfRule type="cellIs" dxfId="8838" priority="3617" operator="greaterThan">
      <formula>B27</formula>
    </cfRule>
    <cfRule type="cellIs" dxfId="8837" priority="3618" operator="lessThan">
      <formula>B27</formula>
    </cfRule>
  </conditionalFormatting>
  <conditionalFormatting sqref="C28">
    <cfRule type="expression" dxfId="8836" priority="3609">
      <formula>B28="-"</formula>
    </cfRule>
    <cfRule type="cellIs" dxfId="8835" priority="3610" operator="equal">
      <formula>"-"</formula>
    </cfRule>
    <cfRule type="cellIs" dxfId="8834" priority="3611" operator="equal">
      <formula>B28</formula>
    </cfRule>
    <cfRule type="cellIs" dxfId="8833" priority="3612" operator="greaterThan">
      <formula>B28</formula>
    </cfRule>
    <cfRule type="cellIs" dxfId="8832" priority="3613" operator="lessThan">
      <formula>B28</formula>
    </cfRule>
  </conditionalFormatting>
  <conditionalFormatting sqref="D4">
    <cfRule type="expression" dxfId="8831" priority="3604">
      <formula>C4="-"</formula>
    </cfRule>
    <cfRule type="cellIs" dxfId="8830" priority="3605" operator="equal">
      <formula>"-"</formula>
    </cfRule>
    <cfRule type="cellIs" dxfId="8829" priority="3606" operator="equal">
      <formula>C4</formula>
    </cfRule>
    <cfRule type="cellIs" dxfId="8828" priority="3607" operator="greaterThan">
      <formula>C4</formula>
    </cfRule>
    <cfRule type="cellIs" dxfId="8827" priority="3608" operator="lessThan">
      <formula>C4</formula>
    </cfRule>
  </conditionalFormatting>
  <conditionalFormatting sqref="D5">
    <cfRule type="expression" dxfId="8826" priority="3599">
      <formula>C5="-"</formula>
    </cfRule>
    <cfRule type="cellIs" dxfId="8825" priority="3600" operator="equal">
      <formula>"-"</formula>
    </cfRule>
    <cfRule type="cellIs" dxfId="8824" priority="3601" operator="equal">
      <formula>C5</formula>
    </cfRule>
    <cfRule type="cellIs" dxfId="8823" priority="3602" operator="greaterThan">
      <formula>C5</formula>
    </cfRule>
    <cfRule type="cellIs" dxfId="8822" priority="3603" operator="lessThan">
      <formula>C5</formula>
    </cfRule>
  </conditionalFormatting>
  <conditionalFormatting sqref="D6">
    <cfRule type="expression" dxfId="8821" priority="3594">
      <formula>C6="-"</formula>
    </cfRule>
    <cfRule type="cellIs" dxfId="8820" priority="3595" operator="equal">
      <formula>"-"</formula>
    </cfRule>
    <cfRule type="cellIs" dxfId="8819" priority="3596" operator="equal">
      <formula>C6</formula>
    </cfRule>
    <cfRule type="cellIs" dxfId="8818" priority="3597" operator="greaterThan">
      <formula>C6</formula>
    </cfRule>
    <cfRule type="cellIs" dxfId="8817" priority="3598" operator="lessThan">
      <formula>C6</formula>
    </cfRule>
  </conditionalFormatting>
  <conditionalFormatting sqref="D7">
    <cfRule type="expression" dxfId="8816" priority="3589">
      <formula>C7="-"</formula>
    </cfRule>
    <cfRule type="cellIs" dxfId="8815" priority="3590" operator="equal">
      <formula>"-"</formula>
    </cfRule>
    <cfRule type="cellIs" dxfId="8814" priority="3591" operator="equal">
      <formula>C7</formula>
    </cfRule>
    <cfRule type="cellIs" dxfId="8813" priority="3592" operator="greaterThan">
      <formula>C7</formula>
    </cfRule>
    <cfRule type="cellIs" dxfId="8812" priority="3593" operator="lessThan">
      <formula>C7</formula>
    </cfRule>
  </conditionalFormatting>
  <conditionalFormatting sqref="D8">
    <cfRule type="expression" dxfId="8811" priority="3584">
      <formula>C8="-"</formula>
    </cfRule>
    <cfRule type="cellIs" dxfId="8810" priority="3585" operator="equal">
      <formula>"-"</formula>
    </cfRule>
    <cfRule type="cellIs" dxfId="8809" priority="3586" operator="equal">
      <formula>C8</formula>
    </cfRule>
    <cfRule type="cellIs" dxfId="8808" priority="3587" operator="greaterThan">
      <formula>C8</formula>
    </cfRule>
    <cfRule type="cellIs" dxfId="8807" priority="3588" operator="lessThan">
      <formula>C8</formula>
    </cfRule>
  </conditionalFormatting>
  <conditionalFormatting sqref="D9">
    <cfRule type="expression" dxfId="8806" priority="3579">
      <formula>C9="-"</formula>
    </cfRule>
    <cfRule type="cellIs" dxfId="8805" priority="3580" operator="equal">
      <formula>"-"</formula>
    </cfRule>
    <cfRule type="cellIs" dxfId="8804" priority="3581" operator="equal">
      <formula>C9</formula>
    </cfRule>
    <cfRule type="cellIs" dxfId="8803" priority="3582" operator="greaterThan">
      <formula>C9</formula>
    </cfRule>
    <cfRule type="cellIs" dxfId="8802" priority="3583" operator="lessThan">
      <formula>C9</formula>
    </cfRule>
  </conditionalFormatting>
  <conditionalFormatting sqref="D10">
    <cfRule type="expression" dxfId="8801" priority="3574">
      <formula>C10="-"</formula>
    </cfRule>
    <cfRule type="cellIs" dxfId="8800" priority="3575" operator="equal">
      <formula>"-"</formula>
    </cfRule>
    <cfRule type="cellIs" dxfId="8799" priority="3576" operator="equal">
      <formula>C10</formula>
    </cfRule>
    <cfRule type="cellIs" dxfId="8798" priority="3577" operator="greaterThan">
      <formula>C10</formula>
    </cfRule>
    <cfRule type="cellIs" dxfId="8797" priority="3578" operator="lessThan">
      <formula>C10</formula>
    </cfRule>
  </conditionalFormatting>
  <conditionalFormatting sqref="D11">
    <cfRule type="expression" dxfId="8796" priority="3569">
      <formula>C11="-"</formula>
    </cfRule>
    <cfRule type="cellIs" dxfId="8795" priority="3570" operator="equal">
      <formula>"-"</formula>
    </cfRule>
    <cfRule type="cellIs" dxfId="8794" priority="3571" operator="equal">
      <formula>C11</formula>
    </cfRule>
    <cfRule type="cellIs" dxfId="8793" priority="3572" operator="greaterThan">
      <formula>C11</formula>
    </cfRule>
    <cfRule type="cellIs" dxfId="8792" priority="3573" operator="lessThan">
      <formula>C11</formula>
    </cfRule>
  </conditionalFormatting>
  <conditionalFormatting sqref="D12">
    <cfRule type="expression" dxfId="8791" priority="3564">
      <formula>C12="-"</formula>
    </cfRule>
    <cfRule type="cellIs" dxfId="8790" priority="3565" operator="equal">
      <formula>"-"</formula>
    </cfRule>
    <cfRule type="cellIs" dxfId="8789" priority="3566" operator="equal">
      <formula>C12</formula>
    </cfRule>
    <cfRule type="cellIs" dxfId="8788" priority="3567" operator="greaterThan">
      <formula>C12</formula>
    </cfRule>
    <cfRule type="cellIs" dxfId="8787" priority="3568" operator="lessThan">
      <formula>C12</formula>
    </cfRule>
  </conditionalFormatting>
  <conditionalFormatting sqref="D13">
    <cfRule type="expression" dxfId="8786" priority="3559">
      <formula>C13="-"</formula>
    </cfRule>
    <cfRule type="cellIs" dxfId="8785" priority="3560" operator="equal">
      <formula>"-"</formula>
    </cfRule>
    <cfRule type="cellIs" dxfId="8784" priority="3561" operator="equal">
      <formula>C13</formula>
    </cfRule>
    <cfRule type="cellIs" dxfId="8783" priority="3562" operator="greaterThan">
      <formula>C13</formula>
    </cfRule>
    <cfRule type="cellIs" dxfId="8782" priority="3563" operator="lessThan">
      <formula>C13</formula>
    </cfRule>
  </conditionalFormatting>
  <conditionalFormatting sqref="D14">
    <cfRule type="expression" dxfId="8781" priority="3554">
      <formula>C14="-"</formula>
    </cfRule>
    <cfRule type="cellIs" dxfId="8780" priority="3555" operator="equal">
      <formula>"-"</formula>
    </cfRule>
    <cfRule type="cellIs" dxfId="8779" priority="3556" operator="equal">
      <formula>C14</formula>
    </cfRule>
    <cfRule type="cellIs" dxfId="8778" priority="3557" operator="greaterThan">
      <formula>C14</formula>
    </cfRule>
    <cfRule type="cellIs" dxfId="8777" priority="3558" operator="lessThan">
      <formula>C14</formula>
    </cfRule>
  </conditionalFormatting>
  <conditionalFormatting sqref="D15">
    <cfRule type="expression" dxfId="8776" priority="3549">
      <formula>C15="-"</formula>
    </cfRule>
    <cfRule type="cellIs" dxfId="8775" priority="3550" operator="equal">
      <formula>"-"</formula>
    </cfRule>
    <cfRule type="cellIs" dxfId="8774" priority="3551" operator="equal">
      <formula>C15</formula>
    </cfRule>
    <cfRule type="cellIs" dxfId="8773" priority="3552" operator="greaterThan">
      <formula>C15</formula>
    </cfRule>
    <cfRule type="cellIs" dxfId="8772" priority="3553" operator="lessThan">
      <formula>C15</formula>
    </cfRule>
  </conditionalFormatting>
  <conditionalFormatting sqref="D16">
    <cfRule type="expression" dxfId="8771" priority="3544">
      <formula>C16="-"</formula>
    </cfRule>
    <cfRule type="cellIs" dxfId="8770" priority="3545" operator="equal">
      <formula>"-"</formula>
    </cfRule>
    <cfRule type="cellIs" dxfId="8769" priority="3546" operator="equal">
      <formula>C16</formula>
    </cfRule>
    <cfRule type="cellIs" dxfId="8768" priority="3547" operator="greaterThan">
      <formula>C16</formula>
    </cfRule>
    <cfRule type="cellIs" dxfId="8767" priority="3548" operator="lessThan">
      <formula>C16</formula>
    </cfRule>
  </conditionalFormatting>
  <conditionalFormatting sqref="D17">
    <cfRule type="expression" dxfId="8766" priority="3539">
      <formula>C17="-"</formula>
    </cfRule>
    <cfRule type="cellIs" dxfId="8765" priority="3540" operator="equal">
      <formula>"-"</formula>
    </cfRule>
    <cfRule type="cellIs" dxfId="8764" priority="3541" operator="equal">
      <formula>C17</formula>
    </cfRule>
    <cfRule type="cellIs" dxfId="8763" priority="3542" operator="greaterThan">
      <formula>C17</formula>
    </cfRule>
    <cfRule type="cellIs" dxfId="8762" priority="3543" operator="lessThan">
      <formula>C17</formula>
    </cfRule>
  </conditionalFormatting>
  <conditionalFormatting sqref="D18">
    <cfRule type="expression" dxfId="8761" priority="3534">
      <formula>C18="-"</formula>
    </cfRule>
    <cfRule type="cellIs" dxfId="8760" priority="3535" operator="equal">
      <formula>"-"</formula>
    </cfRule>
    <cfRule type="cellIs" dxfId="8759" priority="3536" operator="equal">
      <formula>C18</formula>
    </cfRule>
    <cfRule type="cellIs" dxfId="8758" priority="3537" operator="greaterThan">
      <formula>C18</formula>
    </cfRule>
    <cfRule type="cellIs" dxfId="8757" priority="3538" operator="lessThan">
      <formula>C18</formula>
    </cfRule>
  </conditionalFormatting>
  <conditionalFormatting sqref="D19">
    <cfRule type="expression" dxfId="8756" priority="3529">
      <formula>C19="-"</formula>
    </cfRule>
    <cfRule type="cellIs" dxfId="8755" priority="3530" operator="equal">
      <formula>"-"</formula>
    </cfRule>
    <cfRule type="cellIs" dxfId="8754" priority="3531" operator="equal">
      <formula>C19</formula>
    </cfRule>
    <cfRule type="cellIs" dxfId="8753" priority="3532" operator="greaterThan">
      <formula>C19</formula>
    </cfRule>
    <cfRule type="cellIs" dxfId="8752" priority="3533" operator="lessThan">
      <formula>C19</formula>
    </cfRule>
  </conditionalFormatting>
  <conditionalFormatting sqref="D20">
    <cfRule type="expression" dxfId="8751" priority="3524">
      <formula>C20="-"</formula>
    </cfRule>
    <cfRule type="cellIs" dxfId="8750" priority="3525" operator="equal">
      <formula>"-"</formula>
    </cfRule>
    <cfRule type="cellIs" dxfId="8749" priority="3526" operator="equal">
      <formula>C20</formula>
    </cfRule>
    <cfRule type="cellIs" dxfId="8748" priority="3527" operator="greaterThan">
      <formula>C20</formula>
    </cfRule>
    <cfRule type="cellIs" dxfId="8747" priority="3528" operator="lessThan">
      <formula>C20</formula>
    </cfRule>
  </conditionalFormatting>
  <conditionalFormatting sqref="D21">
    <cfRule type="expression" dxfId="8746" priority="3519">
      <formula>C21="-"</formula>
    </cfRule>
    <cfRule type="cellIs" dxfId="8745" priority="3520" operator="equal">
      <formula>"-"</formula>
    </cfRule>
    <cfRule type="cellIs" dxfId="8744" priority="3521" operator="equal">
      <formula>C21</formula>
    </cfRule>
    <cfRule type="cellIs" dxfId="8743" priority="3522" operator="greaterThan">
      <formula>C21</formula>
    </cfRule>
    <cfRule type="cellIs" dxfId="8742" priority="3523" operator="lessThan">
      <formula>C21</formula>
    </cfRule>
  </conditionalFormatting>
  <conditionalFormatting sqref="D22">
    <cfRule type="expression" dxfId="8741" priority="3514">
      <formula>C22="-"</formula>
    </cfRule>
    <cfRule type="cellIs" dxfId="8740" priority="3515" operator="equal">
      <formula>"-"</formula>
    </cfRule>
    <cfRule type="cellIs" dxfId="8739" priority="3516" operator="equal">
      <formula>C22</formula>
    </cfRule>
    <cfRule type="cellIs" dxfId="8738" priority="3517" operator="greaterThan">
      <formula>C22</formula>
    </cfRule>
    <cfRule type="cellIs" dxfId="8737" priority="3518" operator="lessThan">
      <formula>C22</formula>
    </cfRule>
  </conditionalFormatting>
  <conditionalFormatting sqref="D23">
    <cfRule type="expression" dxfId="8736" priority="3509">
      <formula>C23="-"</formula>
    </cfRule>
    <cfRule type="cellIs" dxfId="8735" priority="3510" operator="equal">
      <formula>"-"</formula>
    </cfRule>
    <cfRule type="cellIs" dxfId="8734" priority="3511" operator="equal">
      <formula>C23</formula>
    </cfRule>
    <cfRule type="cellIs" dxfId="8733" priority="3512" operator="greaterThan">
      <formula>C23</formula>
    </cfRule>
    <cfRule type="cellIs" dxfId="8732" priority="3513" operator="lessThan">
      <formula>C23</formula>
    </cfRule>
  </conditionalFormatting>
  <conditionalFormatting sqref="D24">
    <cfRule type="expression" dxfId="8731" priority="3504">
      <formula>C24="-"</formula>
    </cfRule>
    <cfRule type="cellIs" dxfId="8730" priority="3505" operator="equal">
      <formula>"-"</formula>
    </cfRule>
    <cfRule type="cellIs" dxfId="8729" priority="3506" operator="equal">
      <formula>C24</formula>
    </cfRule>
    <cfRule type="cellIs" dxfId="8728" priority="3507" operator="greaterThan">
      <formula>C24</formula>
    </cfRule>
    <cfRule type="cellIs" dxfId="8727" priority="3508" operator="lessThan">
      <formula>C24</formula>
    </cfRule>
  </conditionalFormatting>
  <conditionalFormatting sqref="D25">
    <cfRule type="expression" dxfId="8726" priority="3499">
      <formula>C25="-"</formula>
    </cfRule>
    <cfRule type="cellIs" dxfId="8725" priority="3500" operator="equal">
      <formula>"-"</formula>
    </cfRule>
    <cfRule type="cellIs" dxfId="8724" priority="3501" operator="equal">
      <formula>C25</formula>
    </cfRule>
    <cfRule type="cellIs" dxfId="8723" priority="3502" operator="greaterThan">
      <formula>C25</formula>
    </cfRule>
    <cfRule type="cellIs" dxfId="8722" priority="3503" operator="lessThan">
      <formula>C25</formula>
    </cfRule>
  </conditionalFormatting>
  <conditionalFormatting sqref="D26">
    <cfRule type="expression" dxfId="8721" priority="3494">
      <formula>C26="-"</formula>
    </cfRule>
    <cfRule type="cellIs" dxfId="8720" priority="3495" operator="equal">
      <formula>"-"</formula>
    </cfRule>
    <cfRule type="cellIs" dxfId="8719" priority="3496" operator="equal">
      <formula>C26</formula>
    </cfRule>
    <cfRule type="cellIs" dxfId="8718" priority="3497" operator="greaterThan">
      <formula>C26</formula>
    </cfRule>
    <cfRule type="cellIs" dxfId="8717" priority="3498" operator="lessThan">
      <formula>C26</formula>
    </cfRule>
  </conditionalFormatting>
  <conditionalFormatting sqref="D27">
    <cfRule type="expression" dxfId="8716" priority="3489">
      <formula>C27="-"</formula>
    </cfRule>
    <cfRule type="cellIs" dxfId="8715" priority="3490" operator="equal">
      <formula>"-"</formula>
    </cfRule>
    <cfRule type="cellIs" dxfId="8714" priority="3491" operator="equal">
      <formula>C27</formula>
    </cfRule>
    <cfRule type="cellIs" dxfId="8713" priority="3492" operator="greaterThan">
      <formula>C27</formula>
    </cfRule>
    <cfRule type="cellIs" dxfId="8712" priority="3493" operator="lessThan">
      <formula>C27</formula>
    </cfRule>
  </conditionalFormatting>
  <conditionalFormatting sqref="D28">
    <cfRule type="expression" dxfId="8711" priority="3484">
      <formula>C28="-"</formula>
    </cfRule>
    <cfRule type="cellIs" dxfId="8710" priority="3485" operator="equal">
      <formula>"-"</formula>
    </cfRule>
    <cfRule type="cellIs" dxfId="8709" priority="3486" operator="equal">
      <formula>C28</formula>
    </cfRule>
    <cfRule type="cellIs" dxfId="8708" priority="3487" operator="greaterThan">
      <formula>C28</formula>
    </cfRule>
    <cfRule type="cellIs" dxfId="8707" priority="3488" operator="lessThan">
      <formula>C28</formula>
    </cfRule>
  </conditionalFormatting>
  <conditionalFormatting sqref="E4">
    <cfRule type="expression" dxfId="8706" priority="3479">
      <formula>D4="-"</formula>
    </cfRule>
    <cfRule type="cellIs" dxfId="8705" priority="3480" operator="equal">
      <formula>"-"</formula>
    </cfRule>
    <cfRule type="cellIs" dxfId="8704" priority="3481" operator="equal">
      <formula>D4</formula>
    </cfRule>
    <cfRule type="cellIs" dxfId="8703" priority="3482" operator="greaterThan">
      <formula>D4</formula>
    </cfRule>
    <cfRule type="cellIs" dxfId="8702" priority="3483" operator="lessThan">
      <formula>D4</formula>
    </cfRule>
  </conditionalFormatting>
  <conditionalFormatting sqref="E5">
    <cfRule type="expression" dxfId="8701" priority="3474">
      <formula>D5="-"</formula>
    </cfRule>
    <cfRule type="cellIs" dxfId="8700" priority="3475" operator="equal">
      <formula>"-"</formula>
    </cfRule>
    <cfRule type="cellIs" dxfId="8699" priority="3476" operator="equal">
      <formula>D5</formula>
    </cfRule>
    <cfRule type="cellIs" dxfId="8698" priority="3477" operator="greaterThan">
      <formula>D5</formula>
    </cfRule>
    <cfRule type="cellIs" dxfId="8697" priority="3478" operator="lessThan">
      <formula>D5</formula>
    </cfRule>
  </conditionalFormatting>
  <conditionalFormatting sqref="E6">
    <cfRule type="expression" dxfId="8696" priority="3469">
      <formula>D6="-"</formula>
    </cfRule>
    <cfRule type="cellIs" dxfId="8695" priority="3470" operator="equal">
      <formula>"-"</formula>
    </cfRule>
    <cfRule type="cellIs" dxfId="8694" priority="3471" operator="equal">
      <formula>D6</formula>
    </cfRule>
    <cfRule type="cellIs" dxfId="8693" priority="3472" operator="greaterThan">
      <formula>D6</formula>
    </cfRule>
    <cfRule type="cellIs" dxfId="8692" priority="3473" operator="lessThan">
      <formula>D6</formula>
    </cfRule>
  </conditionalFormatting>
  <conditionalFormatting sqref="E7">
    <cfRule type="expression" dxfId="8691" priority="3464">
      <formula>D7="-"</formula>
    </cfRule>
    <cfRule type="cellIs" dxfId="8690" priority="3465" operator="equal">
      <formula>"-"</formula>
    </cfRule>
    <cfRule type="cellIs" dxfId="8689" priority="3466" operator="equal">
      <formula>D7</formula>
    </cfRule>
    <cfRule type="cellIs" dxfId="8688" priority="3467" operator="greaterThan">
      <formula>D7</formula>
    </cfRule>
    <cfRule type="cellIs" dxfId="8687" priority="3468" operator="lessThan">
      <formula>D7</formula>
    </cfRule>
  </conditionalFormatting>
  <conditionalFormatting sqref="E8">
    <cfRule type="expression" dxfId="8686" priority="3459">
      <formula>D8="-"</formula>
    </cfRule>
    <cfRule type="cellIs" dxfId="8685" priority="3460" operator="equal">
      <formula>"-"</formula>
    </cfRule>
    <cfRule type="cellIs" dxfId="8684" priority="3461" operator="equal">
      <formula>D8</formula>
    </cfRule>
    <cfRule type="cellIs" dxfId="8683" priority="3462" operator="greaterThan">
      <formula>D8</formula>
    </cfRule>
    <cfRule type="cellIs" dxfId="8682" priority="3463" operator="lessThan">
      <formula>D8</formula>
    </cfRule>
  </conditionalFormatting>
  <conditionalFormatting sqref="E9">
    <cfRule type="expression" dxfId="8681" priority="3454">
      <formula>D9="-"</formula>
    </cfRule>
    <cfRule type="cellIs" dxfId="8680" priority="3455" operator="equal">
      <formula>"-"</formula>
    </cfRule>
    <cfRule type="cellIs" dxfId="8679" priority="3456" operator="equal">
      <formula>D9</formula>
    </cfRule>
    <cfRule type="cellIs" dxfId="8678" priority="3457" operator="greaterThan">
      <formula>D9</formula>
    </cfRule>
    <cfRule type="cellIs" dxfId="8677" priority="3458" operator="lessThan">
      <formula>D9</formula>
    </cfRule>
  </conditionalFormatting>
  <conditionalFormatting sqref="E10">
    <cfRule type="expression" dxfId="8676" priority="3449">
      <formula>D10="-"</formula>
    </cfRule>
    <cfRule type="cellIs" dxfId="8675" priority="3450" operator="equal">
      <formula>"-"</formula>
    </cfRule>
    <cfRule type="cellIs" dxfId="8674" priority="3451" operator="equal">
      <formula>D10</formula>
    </cfRule>
    <cfRule type="cellIs" dxfId="8673" priority="3452" operator="greaterThan">
      <formula>D10</formula>
    </cfRule>
    <cfRule type="cellIs" dxfId="8672" priority="3453" operator="lessThan">
      <formula>D10</formula>
    </cfRule>
  </conditionalFormatting>
  <conditionalFormatting sqref="E11">
    <cfRule type="expression" dxfId="8671" priority="3444">
      <formula>D11="-"</formula>
    </cfRule>
    <cfRule type="cellIs" dxfId="8670" priority="3445" operator="equal">
      <formula>"-"</formula>
    </cfRule>
    <cfRule type="cellIs" dxfId="8669" priority="3446" operator="equal">
      <formula>D11</formula>
    </cfRule>
    <cfRule type="cellIs" dxfId="8668" priority="3447" operator="greaterThan">
      <formula>D11</formula>
    </cfRule>
    <cfRule type="cellIs" dxfId="8667" priority="3448" operator="lessThan">
      <formula>D11</formula>
    </cfRule>
  </conditionalFormatting>
  <conditionalFormatting sqref="E12">
    <cfRule type="expression" dxfId="8666" priority="3439">
      <formula>D12="-"</formula>
    </cfRule>
    <cfRule type="cellIs" dxfId="8665" priority="3440" operator="equal">
      <formula>"-"</formula>
    </cfRule>
    <cfRule type="cellIs" dxfId="8664" priority="3441" operator="equal">
      <formula>D12</formula>
    </cfRule>
    <cfRule type="cellIs" dxfId="8663" priority="3442" operator="greaterThan">
      <formula>D12</formula>
    </cfRule>
    <cfRule type="cellIs" dxfId="8662" priority="3443" operator="lessThan">
      <formula>D12</formula>
    </cfRule>
  </conditionalFormatting>
  <conditionalFormatting sqref="E13">
    <cfRule type="expression" dxfId="8661" priority="3434">
      <formula>D13="-"</formula>
    </cfRule>
    <cfRule type="cellIs" dxfId="8660" priority="3435" operator="equal">
      <formula>"-"</formula>
    </cfRule>
    <cfRule type="cellIs" dxfId="8659" priority="3436" operator="equal">
      <formula>D13</formula>
    </cfRule>
    <cfRule type="cellIs" dxfId="8658" priority="3437" operator="greaterThan">
      <formula>D13</formula>
    </cfRule>
    <cfRule type="cellIs" dxfId="8657" priority="3438" operator="lessThan">
      <formula>D13</formula>
    </cfRule>
  </conditionalFormatting>
  <conditionalFormatting sqref="E14">
    <cfRule type="expression" dxfId="8656" priority="3429">
      <formula>D14="-"</formula>
    </cfRule>
    <cfRule type="cellIs" dxfId="8655" priority="3430" operator="equal">
      <formula>"-"</formula>
    </cfRule>
    <cfRule type="cellIs" dxfId="8654" priority="3431" operator="equal">
      <formula>D14</formula>
    </cfRule>
    <cfRule type="cellIs" dxfId="8653" priority="3432" operator="greaterThan">
      <formula>D14</formula>
    </cfRule>
    <cfRule type="cellIs" dxfId="8652" priority="3433" operator="lessThan">
      <formula>D14</formula>
    </cfRule>
  </conditionalFormatting>
  <conditionalFormatting sqref="E15">
    <cfRule type="expression" dxfId="8651" priority="3424">
      <formula>D15="-"</formula>
    </cfRule>
    <cfRule type="cellIs" dxfId="8650" priority="3425" operator="equal">
      <formula>"-"</formula>
    </cfRule>
    <cfRule type="cellIs" dxfId="8649" priority="3426" operator="equal">
      <formula>D15</formula>
    </cfRule>
    <cfRule type="cellIs" dxfId="8648" priority="3427" operator="greaterThan">
      <formula>D15</formula>
    </cfRule>
    <cfRule type="cellIs" dxfId="8647" priority="3428" operator="lessThan">
      <formula>D15</formula>
    </cfRule>
  </conditionalFormatting>
  <conditionalFormatting sqref="E16">
    <cfRule type="expression" dxfId="8646" priority="3419">
      <formula>D16="-"</formula>
    </cfRule>
    <cfRule type="cellIs" dxfId="8645" priority="3420" operator="equal">
      <formula>"-"</formula>
    </cfRule>
    <cfRule type="cellIs" dxfId="8644" priority="3421" operator="equal">
      <formula>D16</formula>
    </cfRule>
    <cfRule type="cellIs" dxfId="8643" priority="3422" operator="greaterThan">
      <formula>D16</formula>
    </cfRule>
    <cfRule type="cellIs" dxfId="8642" priority="3423" operator="lessThan">
      <formula>D16</formula>
    </cfRule>
  </conditionalFormatting>
  <conditionalFormatting sqref="E17">
    <cfRule type="expression" dxfId="8641" priority="3414">
      <formula>D17="-"</formula>
    </cfRule>
    <cfRule type="cellIs" dxfId="8640" priority="3415" operator="equal">
      <formula>"-"</formula>
    </cfRule>
    <cfRule type="cellIs" dxfId="8639" priority="3416" operator="equal">
      <formula>D17</formula>
    </cfRule>
    <cfRule type="cellIs" dxfId="8638" priority="3417" operator="greaterThan">
      <formula>D17</formula>
    </cfRule>
    <cfRule type="cellIs" dxfId="8637" priority="3418" operator="lessThan">
      <formula>D17</formula>
    </cfRule>
  </conditionalFormatting>
  <conditionalFormatting sqref="E18">
    <cfRule type="expression" dxfId="8636" priority="3409">
      <formula>D18="-"</formula>
    </cfRule>
    <cfRule type="cellIs" dxfId="8635" priority="3410" operator="equal">
      <formula>"-"</formula>
    </cfRule>
    <cfRule type="cellIs" dxfId="8634" priority="3411" operator="equal">
      <formula>D18</formula>
    </cfRule>
    <cfRule type="cellIs" dxfId="8633" priority="3412" operator="greaterThan">
      <formula>D18</formula>
    </cfRule>
    <cfRule type="cellIs" dxfId="8632" priority="3413" operator="lessThan">
      <formula>D18</formula>
    </cfRule>
  </conditionalFormatting>
  <conditionalFormatting sqref="E19">
    <cfRule type="expression" dxfId="8631" priority="3404">
      <formula>D19="-"</formula>
    </cfRule>
    <cfRule type="cellIs" dxfId="8630" priority="3405" operator="equal">
      <formula>"-"</formula>
    </cfRule>
    <cfRule type="cellIs" dxfId="8629" priority="3406" operator="equal">
      <formula>D19</formula>
    </cfRule>
    <cfRule type="cellIs" dxfId="8628" priority="3407" operator="greaterThan">
      <formula>D19</formula>
    </cfRule>
    <cfRule type="cellIs" dxfId="8627" priority="3408" operator="lessThan">
      <formula>D19</formula>
    </cfRule>
  </conditionalFormatting>
  <conditionalFormatting sqref="E20">
    <cfRule type="expression" dxfId="8626" priority="3399">
      <formula>D20="-"</formula>
    </cfRule>
    <cfRule type="cellIs" dxfId="8625" priority="3400" operator="equal">
      <formula>"-"</formula>
    </cfRule>
    <cfRule type="cellIs" dxfId="8624" priority="3401" operator="equal">
      <formula>D20</formula>
    </cfRule>
    <cfRule type="cellIs" dxfId="8623" priority="3402" operator="greaterThan">
      <formula>D20</formula>
    </cfRule>
    <cfRule type="cellIs" dxfId="8622" priority="3403" operator="lessThan">
      <formula>D20</formula>
    </cfRule>
  </conditionalFormatting>
  <conditionalFormatting sqref="E21">
    <cfRule type="expression" dxfId="8621" priority="3394">
      <formula>D21="-"</formula>
    </cfRule>
    <cfRule type="cellIs" dxfId="8620" priority="3395" operator="equal">
      <formula>"-"</formula>
    </cfRule>
    <cfRule type="cellIs" dxfId="8619" priority="3396" operator="equal">
      <formula>D21</formula>
    </cfRule>
    <cfRule type="cellIs" dxfId="8618" priority="3397" operator="greaterThan">
      <formula>D21</formula>
    </cfRule>
    <cfRule type="cellIs" dxfId="8617" priority="3398" operator="lessThan">
      <formula>D21</formula>
    </cfRule>
  </conditionalFormatting>
  <conditionalFormatting sqref="E22">
    <cfRule type="expression" dxfId="8616" priority="3389">
      <formula>D22="-"</formula>
    </cfRule>
    <cfRule type="cellIs" dxfId="8615" priority="3390" operator="equal">
      <formula>"-"</formula>
    </cfRule>
    <cfRule type="cellIs" dxfId="8614" priority="3391" operator="equal">
      <formula>D22</formula>
    </cfRule>
    <cfRule type="cellIs" dxfId="8613" priority="3392" operator="greaterThan">
      <formula>D22</formula>
    </cfRule>
    <cfRule type="cellIs" dxfId="8612" priority="3393" operator="lessThan">
      <formula>D22</formula>
    </cfRule>
  </conditionalFormatting>
  <conditionalFormatting sqref="E23">
    <cfRule type="expression" dxfId="8611" priority="3384">
      <formula>D23="-"</formula>
    </cfRule>
    <cfRule type="cellIs" dxfId="8610" priority="3385" operator="equal">
      <formula>"-"</formula>
    </cfRule>
    <cfRule type="cellIs" dxfId="8609" priority="3386" operator="equal">
      <formula>D23</formula>
    </cfRule>
    <cfRule type="cellIs" dxfId="8608" priority="3387" operator="greaterThan">
      <formula>D23</formula>
    </cfRule>
    <cfRule type="cellIs" dxfId="8607" priority="3388" operator="lessThan">
      <formula>D23</formula>
    </cfRule>
  </conditionalFormatting>
  <conditionalFormatting sqref="E24">
    <cfRule type="expression" dxfId="8606" priority="3379">
      <formula>D24="-"</formula>
    </cfRule>
    <cfRule type="cellIs" dxfId="8605" priority="3380" operator="equal">
      <formula>"-"</formula>
    </cfRule>
    <cfRule type="cellIs" dxfId="8604" priority="3381" operator="equal">
      <formula>D24</formula>
    </cfRule>
    <cfRule type="cellIs" dxfId="8603" priority="3382" operator="greaterThan">
      <formula>D24</formula>
    </cfRule>
    <cfRule type="cellIs" dxfId="8602" priority="3383" operator="lessThan">
      <formula>D24</formula>
    </cfRule>
  </conditionalFormatting>
  <conditionalFormatting sqref="E25">
    <cfRule type="expression" dxfId="8601" priority="3374">
      <formula>D25="-"</formula>
    </cfRule>
    <cfRule type="cellIs" dxfId="8600" priority="3375" operator="equal">
      <formula>"-"</formula>
    </cfRule>
    <cfRule type="cellIs" dxfId="8599" priority="3376" operator="equal">
      <formula>D25</formula>
    </cfRule>
    <cfRule type="cellIs" dxfId="8598" priority="3377" operator="greaterThan">
      <formula>D25</formula>
    </cfRule>
    <cfRule type="cellIs" dxfId="8597" priority="3378" operator="lessThan">
      <formula>D25</formula>
    </cfRule>
  </conditionalFormatting>
  <conditionalFormatting sqref="E26">
    <cfRule type="expression" dxfId="8596" priority="3369">
      <formula>D26="-"</formula>
    </cfRule>
    <cfRule type="cellIs" dxfId="8595" priority="3370" operator="equal">
      <formula>"-"</formula>
    </cfRule>
    <cfRule type="cellIs" dxfId="8594" priority="3371" operator="equal">
      <formula>D26</formula>
    </cfRule>
    <cfRule type="cellIs" dxfId="8593" priority="3372" operator="greaterThan">
      <formula>D26</formula>
    </cfRule>
    <cfRule type="cellIs" dxfId="8592" priority="3373" operator="lessThan">
      <formula>D26</formula>
    </cfRule>
  </conditionalFormatting>
  <conditionalFormatting sqref="E27">
    <cfRule type="expression" dxfId="8591" priority="3364">
      <formula>D27="-"</formula>
    </cfRule>
    <cfRule type="cellIs" dxfId="8590" priority="3365" operator="equal">
      <formula>"-"</formula>
    </cfRule>
    <cfRule type="cellIs" dxfId="8589" priority="3366" operator="equal">
      <formula>D27</formula>
    </cfRule>
    <cfRule type="cellIs" dxfId="8588" priority="3367" operator="greaterThan">
      <formula>D27</formula>
    </cfRule>
    <cfRule type="cellIs" dxfId="8587" priority="3368" operator="lessThan">
      <formula>D27</formula>
    </cfRule>
  </conditionalFormatting>
  <conditionalFormatting sqref="E28">
    <cfRule type="expression" dxfId="8586" priority="3359">
      <formula>D28="-"</formula>
    </cfRule>
    <cfRule type="cellIs" dxfId="8585" priority="3360" operator="equal">
      <formula>"-"</formula>
    </cfRule>
    <cfRule type="cellIs" dxfId="8584" priority="3361" operator="equal">
      <formula>D28</formula>
    </cfRule>
    <cfRule type="cellIs" dxfId="8583" priority="3362" operator="greaterThan">
      <formula>D28</formula>
    </cfRule>
    <cfRule type="cellIs" dxfId="8582" priority="3363" operator="lessThan">
      <formula>D28</formula>
    </cfRule>
  </conditionalFormatting>
  <conditionalFormatting sqref="F4">
    <cfRule type="expression" dxfId="8581" priority="3354">
      <formula>E4="-"</formula>
    </cfRule>
    <cfRule type="cellIs" dxfId="8580" priority="3355" operator="equal">
      <formula>"-"</formula>
    </cfRule>
    <cfRule type="cellIs" dxfId="8579" priority="3356" operator="equal">
      <formula>E4</formula>
    </cfRule>
    <cfRule type="cellIs" dxfId="8578" priority="3357" operator="greaterThan">
      <formula>E4</formula>
    </cfRule>
    <cfRule type="cellIs" dxfId="8577" priority="3358" operator="lessThan">
      <formula>E4</formula>
    </cfRule>
  </conditionalFormatting>
  <conditionalFormatting sqref="F5">
    <cfRule type="expression" dxfId="8576" priority="3349">
      <formula>E5="-"</formula>
    </cfRule>
    <cfRule type="cellIs" dxfId="8575" priority="3350" operator="equal">
      <formula>"-"</formula>
    </cfRule>
    <cfRule type="cellIs" dxfId="8574" priority="3351" operator="equal">
      <formula>E5</formula>
    </cfRule>
    <cfRule type="cellIs" dxfId="8573" priority="3352" operator="greaterThan">
      <formula>E5</formula>
    </cfRule>
    <cfRule type="cellIs" dxfId="8572" priority="3353" operator="lessThan">
      <formula>E5</formula>
    </cfRule>
  </conditionalFormatting>
  <conditionalFormatting sqref="F6">
    <cfRule type="expression" dxfId="8571" priority="3344">
      <formula>E6="-"</formula>
    </cfRule>
    <cfRule type="cellIs" dxfId="8570" priority="3345" operator="equal">
      <formula>"-"</formula>
    </cfRule>
    <cfRule type="cellIs" dxfId="8569" priority="3346" operator="equal">
      <formula>E6</formula>
    </cfRule>
    <cfRule type="cellIs" dxfId="8568" priority="3347" operator="greaterThan">
      <formula>E6</formula>
    </cfRule>
    <cfRule type="cellIs" dxfId="8567" priority="3348" operator="lessThan">
      <formula>E6</formula>
    </cfRule>
  </conditionalFormatting>
  <conditionalFormatting sqref="F7">
    <cfRule type="expression" dxfId="8566" priority="3339">
      <formula>E7="-"</formula>
    </cfRule>
    <cfRule type="cellIs" dxfId="8565" priority="3340" operator="equal">
      <formula>"-"</formula>
    </cfRule>
    <cfRule type="cellIs" dxfId="8564" priority="3341" operator="equal">
      <formula>E7</formula>
    </cfRule>
    <cfRule type="cellIs" dxfId="8563" priority="3342" operator="greaterThan">
      <formula>E7</formula>
    </cfRule>
    <cfRule type="cellIs" dxfId="8562" priority="3343" operator="lessThan">
      <formula>E7</formula>
    </cfRule>
  </conditionalFormatting>
  <conditionalFormatting sqref="F8">
    <cfRule type="expression" dxfId="8561" priority="3334">
      <formula>E8="-"</formula>
    </cfRule>
    <cfRule type="cellIs" dxfId="8560" priority="3335" operator="equal">
      <formula>"-"</formula>
    </cfRule>
    <cfRule type="cellIs" dxfId="8559" priority="3336" operator="equal">
      <formula>E8</formula>
    </cfRule>
    <cfRule type="cellIs" dxfId="8558" priority="3337" operator="greaterThan">
      <formula>E8</formula>
    </cfRule>
    <cfRule type="cellIs" dxfId="8557" priority="3338" operator="lessThan">
      <formula>E8</formula>
    </cfRule>
  </conditionalFormatting>
  <conditionalFormatting sqref="F9">
    <cfRule type="expression" dxfId="8556" priority="3329">
      <formula>E9="-"</formula>
    </cfRule>
    <cfRule type="cellIs" dxfId="8555" priority="3330" operator="equal">
      <formula>"-"</formula>
    </cfRule>
    <cfRule type="cellIs" dxfId="8554" priority="3331" operator="equal">
      <formula>E9</formula>
    </cfRule>
    <cfRule type="cellIs" dxfId="8553" priority="3332" operator="greaterThan">
      <formula>E9</formula>
    </cfRule>
    <cfRule type="cellIs" dxfId="8552" priority="3333" operator="lessThan">
      <formula>E9</formula>
    </cfRule>
  </conditionalFormatting>
  <conditionalFormatting sqref="F10">
    <cfRule type="expression" dxfId="8551" priority="3324">
      <formula>E10="-"</formula>
    </cfRule>
    <cfRule type="cellIs" dxfId="8550" priority="3325" operator="equal">
      <formula>"-"</formula>
    </cfRule>
    <cfRule type="cellIs" dxfId="8549" priority="3326" operator="equal">
      <formula>E10</formula>
    </cfRule>
    <cfRule type="cellIs" dxfId="8548" priority="3327" operator="greaterThan">
      <formula>E10</formula>
    </cfRule>
    <cfRule type="cellIs" dxfId="8547" priority="3328" operator="lessThan">
      <formula>E10</formula>
    </cfRule>
  </conditionalFormatting>
  <conditionalFormatting sqref="F11">
    <cfRule type="expression" dxfId="8546" priority="3319">
      <formula>E11="-"</formula>
    </cfRule>
    <cfRule type="cellIs" dxfId="8545" priority="3320" operator="equal">
      <formula>"-"</formula>
    </cfRule>
    <cfRule type="cellIs" dxfId="8544" priority="3321" operator="equal">
      <formula>E11</formula>
    </cfRule>
    <cfRule type="cellIs" dxfId="8543" priority="3322" operator="greaterThan">
      <formula>E11</formula>
    </cfRule>
    <cfRule type="cellIs" dxfId="8542" priority="3323" operator="lessThan">
      <formula>E11</formula>
    </cfRule>
  </conditionalFormatting>
  <conditionalFormatting sqref="F12">
    <cfRule type="expression" dxfId="8541" priority="3314">
      <formula>E12="-"</formula>
    </cfRule>
    <cfRule type="cellIs" dxfId="8540" priority="3315" operator="equal">
      <formula>"-"</formula>
    </cfRule>
    <cfRule type="cellIs" dxfId="8539" priority="3316" operator="equal">
      <formula>E12</formula>
    </cfRule>
    <cfRule type="cellIs" dxfId="8538" priority="3317" operator="greaterThan">
      <formula>E12</formula>
    </cfRule>
    <cfRule type="cellIs" dxfId="8537" priority="3318" operator="lessThan">
      <formula>E12</formula>
    </cfRule>
  </conditionalFormatting>
  <conditionalFormatting sqref="F13">
    <cfRule type="expression" dxfId="8536" priority="3309">
      <formula>E13="-"</formula>
    </cfRule>
    <cfRule type="cellIs" dxfId="8535" priority="3310" operator="equal">
      <formula>"-"</formula>
    </cfRule>
    <cfRule type="cellIs" dxfId="8534" priority="3311" operator="equal">
      <formula>E13</formula>
    </cfRule>
    <cfRule type="cellIs" dxfId="8533" priority="3312" operator="greaterThan">
      <formula>E13</formula>
    </cfRule>
    <cfRule type="cellIs" dxfId="8532" priority="3313" operator="lessThan">
      <formula>E13</formula>
    </cfRule>
  </conditionalFormatting>
  <conditionalFormatting sqref="F14">
    <cfRule type="expression" dxfId="8531" priority="3304">
      <formula>E14="-"</formula>
    </cfRule>
    <cfRule type="cellIs" dxfId="8530" priority="3305" operator="equal">
      <formula>"-"</formula>
    </cfRule>
    <cfRule type="cellIs" dxfId="8529" priority="3306" operator="equal">
      <formula>E14</formula>
    </cfRule>
    <cfRule type="cellIs" dxfId="8528" priority="3307" operator="greaterThan">
      <formula>E14</formula>
    </cfRule>
    <cfRule type="cellIs" dxfId="8527" priority="3308" operator="lessThan">
      <formula>E14</formula>
    </cfRule>
  </conditionalFormatting>
  <conditionalFormatting sqref="F15">
    <cfRule type="expression" dxfId="8526" priority="3299">
      <formula>E15="-"</formula>
    </cfRule>
    <cfRule type="cellIs" dxfId="8525" priority="3300" operator="equal">
      <formula>"-"</formula>
    </cfRule>
    <cfRule type="cellIs" dxfId="8524" priority="3301" operator="equal">
      <formula>E15</formula>
    </cfRule>
    <cfRule type="cellIs" dxfId="8523" priority="3302" operator="greaterThan">
      <formula>E15</formula>
    </cfRule>
    <cfRule type="cellIs" dxfId="8522" priority="3303" operator="lessThan">
      <formula>E15</formula>
    </cfRule>
  </conditionalFormatting>
  <conditionalFormatting sqref="F16">
    <cfRule type="expression" dxfId="8521" priority="3294">
      <formula>E16="-"</formula>
    </cfRule>
    <cfRule type="cellIs" dxfId="8520" priority="3295" operator="equal">
      <formula>"-"</formula>
    </cfRule>
    <cfRule type="cellIs" dxfId="8519" priority="3296" operator="equal">
      <formula>E16</formula>
    </cfRule>
    <cfRule type="cellIs" dxfId="8518" priority="3297" operator="greaterThan">
      <formula>E16</formula>
    </cfRule>
    <cfRule type="cellIs" dxfId="8517" priority="3298" operator="lessThan">
      <formula>E16</formula>
    </cfRule>
  </conditionalFormatting>
  <conditionalFormatting sqref="F17">
    <cfRule type="expression" dxfId="8516" priority="3289">
      <formula>E17="-"</formula>
    </cfRule>
    <cfRule type="cellIs" dxfId="8515" priority="3290" operator="equal">
      <formula>"-"</formula>
    </cfRule>
    <cfRule type="cellIs" dxfId="8514" priority="3291" operator="equal">
      <formula>E17</formula>
    </cfRule>
    <cfRule type="cellIs" dxfId="8513" priority="3292" operator="greaterThan">
      <formula>E17</formula>
    </cfRule>
    <cfRule type="cellIs" dxfId="8512" priority="3293" operator="lessThan">
      <formula>E17</formula>
    </cfRule>
  </conditionalFormatting>
  <conditionalFormatting sqref="F18">
    <cfRule type="expression" dxfId="8511" priority="3284">
      <formula>E18="-"</formula>
    </cfRule>
    <cfRule type="cellIs" dxfId="8510" priority="3285" operator="equal">
      <formula>"-"</formula>
    </cfRule>
    <cfRule type="cellIs" dxfId="8509" priority="3286" operator="equal">
      <formula>E18</formula>
    </cfRule>
    <cfRule type="cellIs" dxfId="8508" priority="3287" operator="greaterThan">
      <formula>E18</formula>
    </cfRule>
    <cfRule type="cellIs" dxfId="8507" priority="3288" operator="lessThan">
      <formula>E18</formula>
    </cfRule>
  </conditionalFormatting>
  <conditionalFormatting sqref="F19">
    <cfRule type="expression" dxfId="8506" priority="3279">
      <formula>E19="-"</formula>
    </cfRule>
    <cfRule type="cellIs" dxfId="8505" priority="3280" operator="equal">
      <formula>"-"</formula>
    </cfRule>
    <cfRule type="cellIs" dxfId="8504" priority="3281" operator="equal">
      <formula>E19</formula>
    </cfRule>
    <cfRule type="cellIs" dxfId="8503" priority="3282" operator="greaterThan">
      <formula>E19</formula>
    </cfRule>
    <cfRule type="cellIs" dxfId="8502" priority="3283" operator="lessThan">
      <formula>E19</formula>
    </cfRule>
  </conditionalFormatting>
  <conditionalFormatting sqref="F20">
    <cfRule type="expression" dxfId="8501" priority="3274">
      <formula>E20="-"</formula>
    </cfRule>
    <cfRule type="cellIs" dxfId="8500" priority="3275" operator="equal">
      <formula>"-"</formula>
    </cfRule>
    <cfRule type="cellIs" dxfId="8499" priority="3276" operator="equal">
      <formula>E20</formula>
    </cfRule>
    <cfRule type="cellIs" dxfId="8498" priority="3277" operator="greaterThan">
      <formula>E20</formula>
    </cfRule>
    <cfRule type="cellIs" dxfId="8497" priority="3278" operator="lessThan">
      <formula>E20</formula>
    </cfRule>
  </conditionalFormatting>
  <conditionalFormatting sqref="F21">
    <cfRule type="expression" dxfId="8496" priority="3269">
      <formula>E21="-"</formula>
    </cfRule>
    <cfRule type="cellIs" dxfId="8495" priority="3270" operator="equal">
      <formula>"-"</formula>
    </cfRule>
    <cfRule type="cellIs" dxfId="8494" priority="3271" operator="equal">
      <formula>E21</formula>
    </cfRule>
    <cfRule type="cellIs" dxfId="8493" priority="3272" operator="greaterThan">
      <formula>E21</formula>
    </cfRule>
    <cfRule type="cellIs" dxfId="8492" priority="3273" operator="lessThan">
      <formula>E21</formula>
    </cfRule>
  </conditionalFormatting>
  <conditionalFormatting sqref="F22">
    <cfRule type="expression" dxfId="8491" priority="3264">
      <formula>E22="-"</formula>
    </cfRule>
    <cfRule type="cellIs" dxfId="8490" priority="3265" operator="equal">
      <formula>"-"</formula>
    </cfRule>
    <cfRule type="cellIs" dxfId="8489" priority="3266" operator="equal">
      <formula>E22</formula>
    </cfRule>
    <cfRule type="cellIs" dxfId="8488" priority="3267" operator="greaterThan">
      <formula>E22</formula>
    </cfRule>
    <cfRule type="cellIs" dxfId="8487" priority="3268" operator="lessThan">
      <formula>E22</formula>
    </cfRule>
  </conditionalFormatting>
  <conditionalFormatting sqref="F23">
    <cfRule type="expression" dxfId="8486" priority="3259">
      <formula>E23="-"</formula>
    </cfRule>
    <cfRule type="cellIs" dxfId="8485" priority="3260" operator="equal">
      <formula>"-"</formula>
    </cfRule>
    <cfRule type="cellIs" dxfId="8484" priority="3261" operator="equal">
      <formula>E23</formula>
    </cfRule>
    <cfRule type="cellIs" dxfId="8483" priority="3262" operator="greaterThan">
      <formula>E23</formula>
    </cfRule>
    <cfRule type="cellIs" dxfId="8482" priority="3263" operator="lessThan">
      <formula>E23</formula>
    </cfRule>
  </conditionalFormatting>
  <conditionalFormatting sqref="F24">
    <cfRule type="expression" dxfId="8481" priority="3254">
      <formula>E24="-"</formula>
    </cfRule>
    <cfRule type="cellIs" dxfId="8480" priority="3255" operator="equal">
      <formula>"-"</formula>
    </cfRule>
    <cfRule type="cellIs" dxfId="8479" priority="3256" operator="equal">
      <formula>E24</formula>
    </cfRule>
    <cfRule type="cellIs" dxfId="8478" priority="3257" operator="greaterThan">
      <formula>E24</formula>
    </cfRule>
    <cfRule type="cellIs" dxfId="8477" priority="3258" operator="lessThan">
      <formula>E24</formula>
    </cfRule>
  </conditionalFormatting>
  <conditionalFormatting sqref="F25">
    <cfRule type="expression" dxfId="8476" priority="3249">
      <formula>E25="-"</formula>
    </cfRule>
    <cfRule type="cellIs" dxfId="8475" priority="3250" operator="equal">
      <formula>"-"</formula>
    </cfRule>
    <cfRule type="cellIs" dxfId="8474" priority="3251" operator="equal">
      <formula>E25</formula>
    </cfRule>
    <cfRule type="cellIs" dxfId="8473" priority="3252" operator="greaterThan">
      <formula>E25</formula>
    </cfRule>
    <cfRule type="cellIs" dxfId="8472" priority="3253" operator="lessThan">
      <formula>E25</formula>
    </cfRule>
  </conditionalFormatting>
  <conditionalFormatting sqref="F26">
    <cfRule type="expression" dxfId="8471" priority="3244">
      <formula>E26="-"</formula>
    </cfRule>
    <cfRule type="cellIs" dxfId="8470" priority="3245" operator="equal">
      <formula>"-"</formula>
    </cfRule>
    <cfRule type="cellIs" dxfId="8469" priority="3246" operator="equal">
      <formula>E26</formula>
    </cfRule>
    <cfRule type="cellIs" dxfId="8468" priority="3247" operator="greaterThan">
      <formula>E26</formula>
    </cfRule>
    <cfRule type="cellIs" dxfId="8467" priority="3248" operator="lessThan">
      <formula>E26</formula>
    </cfRule>
  </conditionalFormatting>
  <conditionalFormatting sqref="F27">
    <cfRule type="expression" dxfId="8466" priority="3239">
      <formula>E27="-"</formula>
    </cfRule>
    <cfRule type="cellIs" dxfId="8465" priority="3240" operator="equal">
      <formula>"-"</formula>
    </cfRule>
    <cfRule type="cellIs" dxfId="8464" priority="3241" operator="equal">
      <formula>E27</formula>
    </cfRule>
    <cfRule type="cellIs" dxfId="8463" priority="3242" operator="greaterThan">
      <formula>E27</formula>
    </cfRule>
    <cfRule type="cellIs" dxfId="8462" priority="3243" operator="lessThan">
      <formula>E27</formula>
    </cfRule>
  </conditionalFormatting>
  <conditionalFormatting sqref="F28">
    <cfRule type="expression" dxfId="8461" priority="3234">
      <formula>E28="-"</formula>
    </cfRule>
    <cfRule type="cellIs" dxfId="8460" priority="3235" operator="equal">
      <formula>"-"</formula>
    </cfRule>
    <cfRule type="cellIs" dxfId="8459" priority="3236" operator="equal">
      <formula>E28</formula>
    </cfRule>
    <cfRule type="cellIs" dxfId="8458" priority="3237" operator="greaterThan">
      <formula>E28</formula>
    </cfRule>
    <cfRule type="cellIs" dxfId="8457" priority="3238" operator="lessThan">
      <formula>E28</formula>
    </cfRule>
  </conditionalFormatting>
  <conditionalFormatting sqref="G4">
    <cfRule type="expression" dxfId="8456" priority="3229">
      <formula>F4="-"</formula>
    </cfRule>
    <cfRule type="cellIs" dxfId="8455" priority="3230" operator="equal">
      <formula>"-"</formula>
    </cfRule>
    <cfRule type="cellIs" dxfId="8454" priority="3231" operator="equal">
      <formula>F4</formula>
    </cfRule>
    <cfRule type="cellIs" dxfId="8453" priority="3232" operator="greaterThan">
      <formula>F4</formula>
    </cfRule>
    <cfRule type="cellIs" dxfId="8452" priority="3233" operator="lessThan">
      <formula>F4</formula>
    </cfRule>
  </conditionalFormatting>
  <conditionalFormatting sqref="G5">
    <cfRule type="expression" dxfId="8451" priority="3224">
      <formula>F5="-"</formula>
    </cfRule>
    <cfRule type="cellIs" dxfId="8450" priority="3225" operator="equal">
      <formula>"-"</formula>
    </cfRule>
    <cfRule type="cellIs" dxfId="8449" priority="3226" operator="equal">
      <formula>F5</formula>
    </cfRule>
    <cfRule type="cellIs" dxfId="8448" priority="3227" operator="greaterThan">
      <formula>F5</formula>
    </cfRule>
    <cfRule type="cellIs" dxfId="8447" priority="3228" operator="lessThan">
      <formula>F5</formula>
    </cfRule>
  </conditionalFormatting>
  <conditionalFormatting sqref="G6">
    <cfRule type="expression" dxfId="8446" priority="3219">
      <formula>F6="-"</formula>
    </cfRule>
    <cfRule type="cellIs" dxfId="8445" priority="3220" operator="equal">
      <formula>"-"</formula>
    </cfRule>
    <cfRule type="cellIs" dxfId="8444" priority="3221" operator="equal">
      <formula>F6</formula>
    </cfRule>
    <cfRule type="cellIs" dxfId="8443" priority="3222" operator="greaterThan">
      <formula>F6</formula>
    </cfRule>
    <cfRule type="cellIs" dxfId="8442" priority="3223" operator="lessThan">
      <formula>F6</formula>
    </cfRule>
  </conditionalFormatting>
  <conditionalFormatting sqref="G7">
    <cfRule type="expression" dxfId="8441" priority="3214">
      <formula>F7="-"</formula>
    </cfRule>
    <cfRule type="cellIs" dxfId="8440" priority="3215" operator="equal">
      <formula>"-"</formula>
    </cfRule>
    <cfRule type="cellIs" dxfId="8439" priority="3216" operator="equal">
      <formula>F7</formula>
    </cfRule>
    <cfRule type="cellIs" dxfId="8438" priority="3217" operator="greaterThan">
      <formula>F7</formula>
    </cfRule>
    <cfRule type="cellIs" dxfId="8437" priority="3218" operator="lessThan">
      <formula>F7</formula>
    </cfRule>
  </conditionalFormatting>
  <conditionalFormatting sqref="G8">
    <cfRule type="expression" dxfId="8436" priority="3209">
      <formula>F8="-"</formula>
    </cfRule>
    <cfRule type="cellIs" dxfId="8435" priority="3210" operator="equal">
      <formula>"-"</formula>
    </cfRule>
    <cfRule type="cellIs" dxfId="8434" priority="3211" operator="equal">
      <formula>F8</formula>
    </cfRule>
    <cfRule type="cellIs" dxfId="8433" priority="3212" operator="greaterThan">
      <formula>F8</formula>
    </cfRule>
    <cfRule type="cellIs" dxfId="8432" priority="3213" operator="lessThan">
      <formula>F8</formula>
    </cfRule>
  </conditionalFormatting>
  <conditionalFormatting sqref="G9">
    <cfRule type="expression" dxfId="8431" priority="3204">
      <formula>F9="-"</formula>
    </cfRule>
    <cfRule type="cellIs" dxfId="8430" priority="3205" operator="equal">
      <formula>"-"</formula>
    </cfRule>
    <cfRule type="cellIs" dxfId="8429" priority="3206" operator="equal">
      <formula>F9</formula>
    </cfRule>
    <cfRule type="cellIs" dxfId="8428" priority="3207" operator="greaterThan">
      <formula>F9</formula>
    </cfRule>
    <cfRule type="cellIs" dxfId="8427" priority="3208" operator="lessThan">
      <formula>F9</formula>
    </cfRule>
  </conditionalFormatting>
  <conditionalFormatting sqref="G10">
    <cfRule type="expression" dxfId="8426" priority="3199">
      <formula>F10="-"</formula>
    </cfRule>
    <cfRule type="cellIs" dxfId="8425" priority="3200" operator="equal">
      <formula>"-"</formula>
    </cfRule>
    <cfRule type="cellIs" dxfId="8424" priority="3201" operator="equal">
      <formula>F10</formula>
    </cfRule>
    <cfRule type="cellIs" dxfId="8423" priority="3202" operator="greaterThan">
      <formula>F10</formula>
    </cfRule>
    <cfRule type="cellIs" dxfId="8422" priority="3203" operator="lessThan">
      <formula>F10</formula>
    </cfRule>
  </conditionalFormatting>
  <conditionalFormatting sqref="G11">
    <cfRule type="expression" dxfId="8421" priority="3194">
      <formula>F11="-"</formula>
    </cfRule>
    <cfRule type="cellIs" dxfId="8420" priority="3195" operator="equal">
      <formula>"-"</formula>
    </cfRule>
    <cfRule type="cellIs" dxfId="8419" priority="3196" operator="equal">
      <formula>F11</formula>
    </cfRule>
    <cfRule type="cellIs" dxfId="8418" priority="3197" operator="greaterThan">
      <formula>F11</formula>
    </cfRule>
    <cfRule type="cellIs" dxfId="8417" priority="3198" operator="lessThan">
      <formula>F11</formula>
    </cfRule>
  </conditionalFormatting>
  <conditionalFormatting sqref="G12">
    <cfRule type="expression" dxfId="8416" priority="3189">
      <formula>F12="-"</formula>
    </cfRule>
    <cfRule type="cellIs" dxfId="8415" priority="3190" operator="equal">
      <formula>"-"</formula>
    </cfRule>
    <cfRule type="cellIs" dxfId="8414" priority="3191" operator="equal">
      <formula>F12</formula>
    </cfRule>
    <cfRule type="cellIs" dxfId="8413" priority="3192" operator="greaterThan">
      <formula>F12</formula>
    </cfRule>
    <cfRule type="cellIs" dxfId="8412" priority="3193" operator="lessThan">
      <formula>F12</formula>
    </cfRule>
  </conditionalFormatting>
  <conditionalFormatting sqref="G13">
    <cfRule type="expression" dxfId="8411" priority="3184">
      <formula>F13="-"</formula>
    </cfRule>
    <cfRule type="cellIs" dxfId="8410" priority="3185" operator="equal">
      <formula>"-"</formula>
    </cfRule>
    <cfRule type="cellIs" dxfId="8409" priority="3186" operator="equal">
      <formula>F13</formula>
    </cfRule>
    <cfRule type="cellIs" dxfId="8408" priority="3187" operator="greaterThan">
      <formula>F13</formula>
    </cfRule>
    <cfRule type="cellIs" dxfId="8407" priority="3188" operator="lessThan">
      <formula>F13</formula>
    </cfRule>
  </conditionalFormatting>
  <conditionalFormatting sqref="G14">
    <cfRule type="expression" dxfId="8406" priority="3179">
      <formula>F14="-"</formula>
    </cfRule>
    <cfRule type="cellIs" dxfId="8405" priority="3180" operator="equal">
      <formula>"-"</formula>
    </cfRule>
    <cfRule type="cellIs" dxfId="8404" priority="3181" operator="equal">
      <formula>F14</formula>
    </cfRule>
    <cfRule type="cellIs" dxfId="8403" priority="3182" operator="greaterThan">
      <formula>F14</formula>
    </cfRule>
    <cfRule type="cellIs" dxfId="8402" priority="3183" operator="lessThan">
      <formula>F14</formula>
    </cfRule>
  </conditionalFormatting>
  <conditionalFormatting sqref="G15">
    <cfRule type="expression" dxfId="8401" priority="3174">
      <formula>F15="-"</formula>
    </cfRule>
    <cfRule type="cellIs" dxfId="8400" priority="3175" operator="equal">
      <formula>"-"</formula>
    </cfRule>
    <cfRule type="cellIs" dxfId="8399" priority="3176" operator="equal">
      <formula>F15</formula>
    </cfRule>
    <cfRule type="cellIs" dxfId="8398" priority="3177" operator="greaterThan">
      <formula>F15</formula>
    </cfRule>
    <cfRule type="cellIs" dxfId="8397" priority="3178" operator="lessThan">
      <formula>F15</formula>
    </cfRule>
  </conditionalFormatting>
  <conditionalFormatting sqref="G16">
    <cfRule type="expression" dxfId="8396" priority="3169">
      <formula>F16="-"</formula>
    </cfRule>
    <cfRule type="cellIs" dxfId="8395" priority="3170" operator="equal">
      <formula>"-"</formula>
    </cfRule>
    <cfRule type="cellIs" dxfId="8394" priority="3171" operator="equal">
      <formula>F16</formula>
    </cfRule>
    <cfRule type="cellIs" dxfId="8393" priority="3172" operator="greaterThan">
      <formula>F16</formula>
    </cfRule>
    <cfRule type="cellIs" dxfId="8392" priority="3173" operator="lessThan">
      <formula>F16</formula>
    </cfRule>
  </conditionalFormatting>
  <conditionalFormatting sqref="G17">
    <cfRule type="expression" dxfId="8391" priority="3164">
      <formula>F17="-"</formula>
    </cfRule>
    <cfRule type="cellIs" dxfId="8390" priority="3165" operator="equal">
      <formula>"-"</formula>
    </cfRule>
    <cfRule type="cellIs" dxfId="8389" priority="3166" operator="equal">
      <formula>F17</formula>
    </cfRule>
    <cfRule type="cellIs" dxfId="8388" priority="3167" operator="greaterThan">
      <formula>F17</formula>
    </cfRule>
    <cfRule type="cellIs" dxfId="8387" priority="3168" operator="lessThan">
      <formula>F17</formula>
    </cfRule>
  </conditionalFormatting>
  <conditionalFormatting sqref="G18">
    <cfRule type="expression" dxfId="8386" priority="3159">
      <formula>F18="-"</formula>
    </cfRule>
    <cfRule type="cellIs" dxfId="8385" priority="3160" operator="equal">
      <formula>"-"</formula>
    </cfRule>
    <cfRule type="cellIs" dxfId="8384" priority="3161" operator="equal">
      <formula>F18</formula>
    </cfRule>
    <cfRule type="cellIs" dxfId="8383" priority="3162" operator="greaterThan">
      <formula>F18</formula>
    </cfRule>
    <cfRule type="cellIs" dxfId="8382" priority="3163" operator="lessThan">
      <formula>F18</formula>
    </cfRule>
  </conditionalFormatting>
  <conditionalFormatting sqref="G19">
    <cfRule type="expression" dxfId="8381" priority="3154">
      <formula>F19="-"</formula>
    </cfRule>
    <cfRule type="cellIs" dxfId="8380" priority="3155" operator="equal">
      <formula>"-"</formula>
    </cfRule>
    <cfRule type="cellIs" dxfId="8379" priority="3156" operator="equal">
      <formula>F19</formula>
    </cfRule>
    <cfRule type="cellIs" dxfId="8378" priority="3157" operator="greaterThan">
      <formula>F19</formula>
    </cfRule>
    <cfRule type="cellIs" dxfId="8377" priority="3158" operator="lessThan">
      <formula>F19</formula>
    </cfRule>
  </conditionalFormatting>
  <conditionalFormatting sqref="G20">
    <cfRule type="expression" dxfId="8376" priority="3149">
      <formula>F20="-"</formula>
    </cfRule>
    <cfRule type="cellIs" dxfId="8375" priority="3150" operator="equal">
      <formula>"-"</formula>
    </cfRule>
    <cfRule type="cellIs" dxfId="8374" priority="3151" operator="equal">
      <formula>F20</formula>
    </cfRule>
    <cfRule type="cellIs" dxfId="8373" priority="3152" operator="greaterThan">
      <formula>F20</formula>
    </cfRule>
    <cfRule type="cellIs" dxfId="8372" priority="3153" operator="lessThan">
      <formula>F20</formula>
    </cfRule>
  </conditionalFormatting>
  <conditionalFormatting sqref="G21">
    <cfRule type="expression" dxfId="8371" priority="3144">
      <formula>F21="-"</formula>
    </cfRule>
    <cfRule type="cellIs" dxfId="8370" priority="3145" operator="equal">
      <formula>"-"</formula>
    </cfRule>
    <cfRule type="cellIs" dxfId="8369" priority="3146" operator="equal">
      <formula>F21</formula>
    </cfRule>
    <cfRule type="cellIs" dxfId="8368" priority="3147" operator="greaterThan">
      <formula>F21</formula>
    </cfRule>
    <cfRule type="cellIs" dxfId="8367" priority="3148" operator="lessThan">
      <formula>F21</formula>
    </cfRule>
  </conditionalFormatting>
  <conditionalFormatting sqref="G22">
    <cfRule type="expression" dxfId="8366" priority="3139">
      <formula>F22="-"</formula>
    </cfRule>
    <cfRule type="cellIs" dxfId="8365" priority="3140" operator="equal">
      <formula>"-"</formula>
    </cfRule>
    <cfRule type="cellIs" dxfId="8364" priority="3141" operator="equal">
      <formula>F22</formula>
    </cfRule>
    <cfRule type="cellIs" dxfId="8363" priority="3142" operator="greaterThan">
      <formula>F22</formula>
    </cfRule>
    <cfRule type="cellIs" dxfId="8362" priority="3143" operator="lessThan">
      <formula>F22</formula>
    </cfRule>
  </conditionalFormatting>
  <conditionalFormatting sqref="G23">
    <cfRule type="expression" dxfId="8361" priority="3134">
      <formula>F23="-"</formula>
    </cfRule>
    <cfRule type="cellIs" dxfId="8360" priority="3135" operator="equal">
      <formula>"-"</formula>
    </cfRule>
    <cfRule type="cellIs" dxfId="8359" priority="3136" operator="equal">
      <formula>F23</formula>
    </cfRule>
    <cfRule type="cellIs" dxfId="8358" priority="3137" operator="greaterThan">
      <formula>F23</formula>
    </cfRule>
    <cfRule type="cellIs" dxfId="8357" priority="3138" operator="lessThan">
      <formula>F23</formula>
    </cfRule>
  </conditionalFormatting>
  <conditionalFormatting sqref="G24">
    <cfRule type="expression" dxfId="8356" priority="3129">
      <formula>F24="-"</formula>
    </cfRule>
    <cfRule type="cellIs" dxfId="8355" priority="3130" operator="equal">
      <formula>"-"</formula>
    </cfRule>
    <cfRule type="cellIs" dxfId="8354" priority="3131" operator="equal">
      <formula>F24</formula>
    </cfRule>
    <cfRule type="cellIs" dxfId="8353" priority="3132" operator="greaterThan">
      <formula>F24</formula>
    </cfRule>
    <cfRule type="cellIs" dxfId="8352" priority="3133" operator="lessThan">
      <formula>F24</formula>
    </cfRule>
  </conditionalFormatting>
  <conditionalFormatting sqref="G25">
    <cfRule type="expression" dxfId="8351" priority="3124">
      <formula>F25="-"</formula>
    </cfRule>
    <cfRule type="cellIs" dxfId="8350" priority="3125" operator="equal">
      <formula>"-"</formula>
    </cfRule>
    <cfRule type="cellIs" dxfId="8349" priority="3126" operator="equal">
      <formula>F25</formula>
    </cfRule>
    <cfRule type="cellIs" dxfId="8348" priority="3127" operator="greaterThan">
      <formula>F25</formula>
    </cfRule>
    <cfRule type="cellIs" dxfId="8347" priority="3128" operator="lessThan">
      <formula>F25</formula>
    </cfRule>
  </conditionalFormatting>
  <conditionalFormatting sqref="G26">
    <cfRule type="expression" dxfId="8346" priority="3119">
      <formula>F26="-"</formula>
    </cfRule>
    <cfRule type="cellIs" dxfId="8345" priority="3120" operator="equal">
      <formula>"-"</formula>
    </cfRule>
    <cfRule type="cellIs" dxfId="8344" priority="3121" operator="equal">
      <formula>F26</formula>
    </cfRule>
    <cfRule type="cellIs" dxfId="8343" priority="3122" operator="greaterThan">
      <formula>F26</formula>
    </cfRule>
    <cfRule type="cellIs" dxfId="8342" priority="3123" operator="lessThan">
      <formula>F26</formula>
    </cfRule>
  </conditionalFormatting>
  <conditionalFormatting sqref="G27">
    <cfRule type="expression" dxfId="8341" priority="3114">
      <formula>F27="-"</formula>
    </cfRule>
    <cfRule type="cellIs" dxfId="8340" priority="3115" operator="equal">
      <formula>"-"</formula>
    </cfRule>
    <cfRule type="cellIs" dxfId="8339" priority="3116" operator="equal">
      <formula>F27</formula>
    </cfRule>
    <cfRule type="cellIs" dxfId="8338" priority="3117" operator="greaterThan">
      <formula>F27</formula>
    </cfRule>
    <cfRule type="cellIs" dxfId="8337" priority="3118" operator="lessThan">
      <formula>F27</formula>
    </cfRule>
  </conditionalFormatting>
  <conditionalFormatting sqref="G28">
    <cfRule type="expression" dxfId="8336" priority="3109">
      <formula>F28="-"</formula>
    </cfRule>
    <cfRule type="cellIs" dxfId="8335" priority="3110" operator="equal">
      <formula>"-"</formula>
    </cfRule>
    <cfRule type="cellIs" dxfId="8334" priority="3111" operator="equal">
      <formula>F28</formula>
    </cfRule>
    <cfRule type="cellIs" dxfId="8333" priority="3112" operator="greaterThan">
      <formula>F28</formula>
    </cfRule>
    <cfRule type="cellIs" dxfId="8332" priority="3113" operator="lessThan">
      <formula>F28</formula>
    </cfRule>
  </conditionalFormatting>
  <conditionalFormatting sqref="H4">
    <cfRule type="expression" dxfId="8331" priority="3104">
      <formula>G4="-"</formula>
    </cfRule>
    <cfRule type="cellIs" dxfId="8330" priority="3105" operator="equal">
      <formula>"-"</formula>
    </cfRule>
    <cfRule type="cellIs" dxfId="8329" priority="3106" operator="equal">
      <formula>G4</formula>
    </cfRule>
    <cfRule type="cellIs" dxfId="8328" priority="3107" operator="greaterThan">
      <formula>G4</formula>
    </cfRule>
    <cfRule type="cellIs" dxfId="8327" priority="3108" operator="lessThan">
      <formula>G4</formula>
    </cfRule>
  </conditionalFormatting>
  <conditionalFormatting sqref="H5">
    <cfRule type="expression" dxfId="8326" priority="3099">
      <formula>G5="-"</formula>
    </cfRule>
    <cfRule type="cellIs" dxfId="8325" priority="3100" operator="equal">
      <formula>"-"</formula>
    </cfRule>
    <cfRule type="cellIs" dxfId="8324" priority="3101" operator="equal">
      <formula>G5</formula>
    </cfRule>
    <cfRule type="cellIs" dxfId="8323" priority="3102" operator="greaterThan">
      <formula>G5</formula>
    </cfRule>
    <cfRule type="cellIs" dxfId="8322" priority="3103" operator="lessThan">
      <formula>G5</formula>
    </cfRule>
  </conditionalFormatting>
  <conditionalFormatting sqref="H6">
    <cfRule type="expression" dxfId="8321" priority="3094">
      <formula>G6="-"</formula>
    </cfRule>
    <cfRule type="cellIs" dxfId="8320" priority="3095" operator="equal">
      <formula>"-"</formula>
    </cfRule>
    <cfRule type="cellIs" dxfId="8319" priority="3096" operator="equal">
      <formula>G6</formula>
    </cfRule>
    <cfRule type="cellIs" dxfId="8318" priority="3097" operator="greaterThan">
      <formula>G6</formula>
    </cfRule>
    <cfRule type="cellIs" dxfId="8317" priority="3098" operator="lessThan">
      <formula>G6</formula>
    </cfRule>
  </conditionalFormatting>
  <conditionalFormatting sqref="H7">
    <cfRule type="expression" dxfId="8316" priority="3089">
      <formula>G7="-"</formula>
    </cfRule>
    <cfRule type="cellIs" dxfId="8315" priority="3090" operator="equal">
      <formula>"-"</formula>
    </cfRule>
    <cfRule type="cellIs" dxfId="8314" priority="3091" operator="equal">
      <formula>G7</formula>
    </cfRule>
    <cfRule type="cellIs" dxfId="8313" priority="3092" operator="greaterThan">
      <formula>G7</formula>
    </cfRule>
    <cfRule type="cellIs" dxfId="8312" priority="3093" operator="lessThan">
      <formula>G7</formula>
    </cfRule>
  </conditionalFormatting>
  <conditionalFormatting sqref="H8">
    <cfRule type="expression" dxfId="8311" priority="3084">
      <formula>G8="-"</formula>
    </cfRule>
    <cfRule type="cellIs" dxfId="8310" priority="3085" operator="equal">
      <formula>"-"</formula>
    </cfRule>
    <cfRule type="cellIs" dxfId="8309" priority="3086" operator="equal">
      <formula>G8</formula>
    </cfRule>
    <cfRule type="cellIs" dxfId="8308" priority="3087" operator="greaterThan">
      <formula>G8</formula>
    </cfRule>
    <cfRule type="cellIs" dxfId="8307" priority="3088" operator="lessThan">
      <formula>G8</formula>
    </cfRule>
  </conditionalFormatting>
  <conditionalFormatting sqref="H9">
    <cfRule type="expression" dxfId="8306" priority="3079">
      <formula>G9="-"</formula>
    </cfRule>
    <cfRule type="cellIs" dxfId="8305" priority="3080" operator="equal">
      <formula>"-"</formula>
    </cfRule>
    <cfRule type="cellIs" dxfId="8304" priority="3081" operator="equal">
      <formula>G9</formula>
    </cfRule>
    <cfRule type="cellIs" dxfId="8303" priority="3082" operator="greaterThan">
      <formula>G9</formula>
    </cfRule>
    <cfRule type="cellIs" dxfId="8302" priority="3083" operator="lessThan">
      <formula>G9</formula>
    </cfRule>
  </conditionalFormatting>
  <conditionalFormatting sqref="H10">
    <cfRule type="expression" dxfId="8301" priority="3074">
      <formula>G10="-"</formula>
    </cfRule>
    <cfRule type="cellIs" dxfId="8300" priority="3075" operator="equal">
      <formula>"-"</formula>
    </cfRule>
    <cfRule type="cellIs" dxfId="8299" priority="3076" operator="equal">
      <formula>G10</formula>
    </cfRule>
    <cfRule type="cellIs" dxfId="8298" priority="3077" operator="greaterThan">
      <formula>G10</formula>
    </cfRule>
    <cfRule type="cellIs" dxfId="8297" priority="3078" operator="lessThan">
      <formula>G10</formula>
    </cfRule>
  </conditionalFormatting>
  <conditionalFormatting sqref="H11">
    <cfRule type="expression" dxfId="8296" priority="3069">
      <formula>G11="-"</formula>
    </cfRule>
    <cfRule type="cellIs" dxfId="8295" priority="3070" operator="equal">
      <formula>"-"</formula>
    </cfRule>
    <cfRule type="cellIs" dxfId="8294" priority="3071" operator="equal">
      <formula>G11</formula>
    </cfRule>
    <cfRule type="cellIs" dxfId="8293" priority="3072" operator="greaterThan">
      <formula>G11</formula>
    </cfRule>
    <cfRule type="cellIs" dxfId="8292" priority="3073" operator="lessThan">
      <formula>G11</formula>
    </cfRule>
  </conditionalFormatting>
  <conditionalFormatting sqref="H12">
    <cfRule type="expression" dxfId="8291" priority="3064">
      <formula>G12="-"</formula>
    </cfRule>
    <cfRule type="cellIs" dxfId="8290" priority="3065" operator="equal">
      <formula>"-"</formula>
    </cfRule>
    <cfRule type="cellIs" dxfId="8289" priority="3066" operator="equal">
      <formula>G12</formula>
    </cfRule>
    <cfRule type="cellIs" dxfId="8288" priority="3067" operator="greaterThan">
      <formula>G12</formula>
    </cfRule>
    <cfRule type="cellIs" dxfId="8287" priority="3068" operator="lessThan">
      <formula>G12</formula>
    </cfRule>
  </conditionalFormatting>
  <conditionalFormatting sqref="H13">
    <cfRule type="expression" dxfId="8286" priority="3059">
      <formula>G13="-"</formula>
    </cfRule>
    <cfRule type="cellIs" dxfId="8285" priority="3060" operator="equal">
      <formula>"-"</formula>
    </cfRule>
    <cfRule type="cellIs" dxfId="8284" priority="3061" operator="equal">
      <formula>G13</formula>
    </cfRule>
    <cfRule type="cellIs" dxfId="8283" priority="3062" operator="greaterThan">
      <formula>G13</formula>
    </cfRule>
    <cfRule type="cellIs" dxfId="8282" priority="3063" operator="lessThan">
      <formula>G13</formula>
    </cfRule>
  </conditionalFormatting>
  <conditionalFormatting sqref="H14">
    <cfRule type="expression" dxfId="8281" priority="3054">
      <formula>G14="-"</formula>
    </cfRule>
    <cfRule type="cellIs" dxfId="8280" priority="3055" operator="equal">
      <formula>"-"</formula>
    </cfRule>
    <cfRule type="cellIs" dxfId="8279" priority="3056" operator="equal">
      <formula>G14</formula>
    </cfRule>
    <cfRule type="cellIs" dxfId="8278" priority="3057" operator="greaterThan">
      <formula>G14</formula>
    </cfRule>
    <cfRule type="cellIs" dxfId="8277" priority="3058" operator="lessThan">
      <formula>G14</formula>
    </cfRule>
  </conditionalFormatting>
  <conditionalFormatting sqref="H15">
    <cfRule type="expression" dxfId="8276" priority="3049">
      <formula>G15="-"</formula>
    </cfRule>
    <cfRule type="cellIs" dxfId="8275" priority="3050" operator="equal">
      <formula>"-"</formula>
    </cfRule>
    <cfRule type="cellIs" dxfId="8274" priority="3051" operator="equal">
      <formula>G15</formula>
    </cfRule>
    <cfRule type="cellIs" dxfId="8273" priority="3052" operator="greaterThan">
      <formula>G15</formula>
    </cfRule>
    <cfRule type="cellIs" dxfId="8272" priority="3053" operator="lessThan">
      <formula>G15</formula>
    </cfRule>
  </conditionalFormatting>
  <conditionalFormatting sqref="H16">
    <cfRule type="expression" dxfId="8271" priority="3044">
      <formula>G16="-"</formula>
    </cfRule>
    <cfRule type="cellIs" dxfId="8270" priority="3045" operator="equal">
      <formula>"-"</formula>
    </cfRule>
    <cfRule type="cellIs" dxfId="8269" priority="3046" operator="equal">
      <formula>G16</formula>
    </cfRule>
    <cfRule type="cellIs" dxfId="8268" priority="3047" operator="greaterThan">
      <formula>G16</formula>
    </cfRule>
    <cfRule type="cellIs" dxfId="8267" priority="3048" operator="lessThan">
      <formula>G16</formula>
    </cfRule>
  </conditionalFormatting>
  <conditionalFormatting sqref="H17">
    <cfRule type="expression" dxfId="8266" priority="3039">
      <formula>G17="-"</formula>
    </cfRule>
    <cfRule type="cellIs" dxfId="8265" priority="3040" operator="equal">
      <formula>"-"</formula>
    </cfRule>
    <cfRule type="cellIs" dxfId="8264" priority="3041" operator="equal">
      <formula>G17</formula>
    </cfRule>
    <cfRule type="cellIs" dxfId="8263" priority="3042" operator="greaterThan">
      <formula>G17</formula>
    </cfRule>
    <cfRule type="cellIs" dxfId="8262" priority="3043" operator="lessThan">
      <formula>G17</formula>
    </cfRule>
  </conditionalFormatting>
  <conditionalFormatting sqref="H18">
    <cfRule type="expression" dxfId="8261" priority="3034">
      <formula>G18="-"</formula>
    </cfRule>
    <cfRule type="cellIs" dxfId="8260" priority="3035" operator="equal">
      <formula>"-"</formula>
    </cfRule>
    <cfRule type="cellIs" dxfId="8259" priority="3036" operator="equal">
      <formula>G18</formula>
    </cfRule>
    <cfRule type="cellIs" dxfId="8258" priority="3037" operator="greaterThan">
      <formula>G18</formula>
    </cfRule>
    <cfRule type="cellIs" dxfId="8257" priority="3038" operator="lessThan">
      <formula>G18</formula>
    </cfRule>
  </conditionalFormatting>
  <conditionalFormatting sqref="H19">
    <cfRule type="expression" dxfId="8256" priority="3029">
      <formula>G19="-"</formula>
    </cfRule>
    <cfRule type="cellIs" dxfId="8255" priority="3030" operator="equal">
      <formula>"-"</formula>
    </cfRule>
    <cfRule type="cellIs" dxfId="8254" priority="3031" operator="equal">
      <formula>G19</formula>
    </cfRule>
    <cfRule type="cellIs" dxfId="8253" priority="3032" operator="greaterThan">
      <formula>G19</formula>
    </cfRule>
    <cfRule type="cellIs" dxfId="8252" priority="3033" operator="lessThan">
      <formula>G19</formula>
    </cfRule>
  </conditionalFormatting>
  <conditionalFormatting sqref="H20">
    <cfRule type="expression" dxfId="8251" priority="3024">
      <formula>G20="-"</formula>
    </cfRule>
    <cfRule type="cellIs" dxfId="8250" priority="3025" operator="equal">
      <formula>"-"</formula>
    </cfRule>
    <cfRule type="cellIs" dxfId="8249" priority="3026" operator="equal">
      <formula>G20</formula>
    </cfRule>
    <cfRule type="cellIs" dxfId="8248" priority="3027" operator="greaterThan">
      <formula>G20</formula>
    </cfRule>
    <cfRule type="cellIs" dxfId="8247" priority="3028" operator="lessThan">
      <formula>G20</formula>
    </cfRule>
  </conditionalFormatting>
  <conditionalFormatting sqref="H21">
    <cfRule type="expression" dxfId="8246" priority="3019">
      <formula>G21="-"</formula>
    </cfRule>
    <cfRule type="cellIs" dxfId="8245" priority="3020" operator="equal">
      <formula>"-"</formula>
    </cfRule>
    <cfRule type="cellIs" dxfId="8244" priority="3021" operator="equal">
      <formula>G21</formula>
    </cfRule>
    <cfRule type="cellIs" dxfId="8243" priority="3022" operator="greaterThan">
      <formula>G21</formula>
    </cfRule>
    <cfRule type="cellIs" dxfId="8242" priority="3023" operator="lessThan">
      <formula>G21</formula>
    </cfRule>
  </conditionalFormatting>
  <conditionalFormatting sqref="H22">
    <cfRule type="expression" dxfId="8241" priority="3014">
      <formula>G22="-"</formula>
    </cfRule>
    <cfRule type="cellIs" dxfId="8240" priority="3015" operator="equal">
      <formula>"-"</formula>
    </cfRule>
    <cfRule type="cellIs" dxfId="8239" priority="3016" operator="equal">
      <formula>G22</formula>
    </cfRule>
    <cfRule type="cellIs" dxfId="8238" priority="3017" operator="greaterThan">
      <formula>G22</formula>
    </cfRule>
    <cfRule type="cellIs" dxfId="8237" priority="3018" operator="lessThan">
      <formula>G22</formula>
    </cfRule>
  </conditionalFormatting>
  <conditionalFormatting sqref="H23">
    <cfRule type="expression" dxfId="8236" priority="3009">
      <formula>G23="-"</formula>
    </cfRule>
    <cfRule type="cellIs" dxfId="8235" priority="3010" operator="equal">
      <formula>"-"</formula>
    </cfRule>
    <cfRule type="cellIs" dxfId="8234" priority="3011" operator="equal">
      <formula>G23</formula>
    </cfRule>
    <cfRule type="cellIs" dxfId="8233" priority="3012" operator="greaterThan">
      <formula>G23</formula>
    </cfRule>
    <cfRule type="cellIs" dxfId="8232" priority="3013" operator="lessThan">
      <formula>G23</formula>
    </cfRule>
  </conditionalFormatting>
  <conditionalFormatting sqref="H24">
    <cfRule type="expression" dxfId="8231" priority="3004">
      <formula>G24="-"</formula>
    </cfRule>
    <cfRule type="cellIs" dxfId="8230" priority="3005" operator="equal">
      <formula>"-"</formula>
    </cfRule>
    <cfRule type="cellIs" dxfId="8229" priority="3006" operator="equal">
      <formula>G24</formula>
    </cfRule>
    <cfRule type="cellIs" dxfId="8228" priority="3007" operator="greaterThan">
      <formula>G24</formula>
    </cfRule>
    <cfRule type="cellIs" dxfId="8227" priority="3008" operator="lessThan">
      <formula>G24</formula>
    </cfRule>
  </conditionalFormatting>
  <conditionalFormatting sqref="H25">
    <cfRule type="expression" dxfId="8226" priority="2999">
      <formula>G25="-"</formula>
    </cfRule>
    <cfRule type="cellIs" dxfId="8225" priority="3000" operator="equal">
      <formula>"-"</formula>
    </cfRule>
    <cfRule type="cellIs" dxfId="8224" priority="3001" operator="equal">
      <formula>G25</formula>
    </cfRule>
    <cfRule type="cellIs" dxfId="8223" priority="3002" operator="greaterThan">
      <formula>G25</formula>
    </cfRule>
    <cfRule type="cellIs" dxfId="8222" priority="3003" operator="lessThan">
      <formula>G25</formula>
    </cfRule>
  </conditionalFormatting>
  <conditionalFormatting sqref="H26">
    <cfRule type="expression" dxfId="8221" priority="2994">
      <formula>G26="-"</formula>
    </cfRule>
    <cfRule type="cellIs" dxfId="8220" priority="2995" operator="equal">
      <formula>"-"</formula>
    </cfRule>
    <cfRule type="cellIs" dxfId="8219" priority="2996" operator="equal">
      <formula>G26</formula>
    </cfRule>
    <cfRule type="cellIs" dxfId="8218" priority="2997" operator="greaterThan">
      <formula>G26</formula>
    </cfRule>
    <cfRule type="cellIs" dxfId="8217" priority="2998" operator="lessThan">
      <formula>G26</formula>
    </cfRule>
  </conditionalFormatting>
  <conditionalFormatting sqref="H27">
    <cfRule type="expression" dxfId="8216" priority="2989">
      <formula>G27="-"</formula>
    </cfRule>
    <cfRule type="cellIs" dxfId="8215" priority="2990" operator="equal">
      <formula>"-"</formula>
    </cfRule>
    <cfRule type="cellIs" dxfId="8214" priority="2991" operator="equal">
      <formula>G27</formula>
    </cfRule>
    <cfRule type="cellIs" dxfId="8213" priority="2992" operator="greaterThan">
      <formula>G27</formula>
    </cfRule>
    <cfRule type="cellIs" dxfId="8212" priority="2993" operator="lessThan">
      <formula>G27</formula>
    </cfRule>
  </conditionalFormatting>
  <conditionalFormatting sqref="H28">
    <cfRule type="expression" dxfId="8211" priority="2984">
      <formula>G28="-"</formula>
    </cfRule>
    <cfRule type="cellIs" dxfId="8210" priority="2985" operator="equal">
      <formula>"-"</formula>
    </cfRule>
    <cfRule type="cellIs" dxfId="8209" priority="2986" operator="equal">
      <formula>G28</formula>
    </cfRule>
    <cfRule type="cellIs" dxfId="8208" priority="2987" operator="greaterThan">
      <formula>G28</formula>
    </cfRule>
    <cfRule type="cellIs" dxfId="8207" priority="2988" operator="lessThan">
      <formula>G28</formula>
    </cfRule>
  </conditionalFormatting>
  <conditionalFormatting sqref="I4">
    <cfRule type="expression" dxfId="8206" priority="2979">
      <formula>H4="-"</formula>
    </cfRule>
    <cfRule type="cellIs" dxfId="8205" priority="2980" operator="equal">
      <formula>"-"</formula>
    </cfRule>
    <cfRule type="cellIs" dxfId="8204" priority="2981" operator="equal">
      <formula>H4</formula>
    </cfRule>
    <cfRule type="cellIs" dxfId="8203" priority="2982" operator="greaterThan">
      <formula>H4</formula>
    </cfRule>
    <cfRule type="cellIs" dxfId="8202" priority="2983" operator="lessThan">
      <formula>H4</formula>
    </cfRule>
  </conditionalFormatting>
  <conditionalFormatting sqref="I5">
    <cfRule type="expression" dxfId="8201" priority="2974">
      <formula>H5="-"</formula>
    </cfRule>
    <cfRule type="cellIs" dxfId="8200" priority="2975" operator="equal">
      <formula>"-"</formula>
    </cfRule>
    <cfRule type="cellIs" dxfId="8199" priority="2976" operator="equal">
      <formula>H5</formula>
    </cfRule>
    <cfRule type="cellIs" dxfId="8198" priority="2977" operator="greaterThan">
      <formula>H5</formula>
    </cfRule>
    <cfRule type="cellIs" dxfId="8197" priority="2978" operator="lessThan">
      <formula>H5</formula>
    </cfRule>
  </conditionalFormatting>
  <conditionalFormatting sqref="I6">
    <cfRule type="expression" dxfId="8196" priority="2969">
      <formula>H6="-"</formula>
    </cfRule>
    <cfRule type="cellIs" dxfId="8195" priority="2970" operator="equal">
      <formula>"-"</formula>
    </cfRule>
    <cfRule type="cellIs" dxfId="8194" priority="2971" operator="equal">
      <formula>H6</formula>
    </cfRule>
    <cfRule type="cellIs" dxfId="8193" priority="2972" operator="greaterThan">
      <formula>H6</formula>
    </cfRule>
    <cfRule type="cellIs" dxfId="8192" priority="2973" operator="lessThan">
      <formula>H6</formula>
    </cfRule>
  </conditionalFormatting>
  <conditionalFormatting sqref="I7">
    <cfRule type="expression" dxfId="8191" priority="2964">
      <formula>H7="-"</formula>
    </cfRule>
    <cfRule type="cellIs" dxfId="8190" priority="2965" operator="equal">
      <formula>"-"</formula>
    </cfRule>
    <cfRule type="cellIs" dxfId="8189" priority="2966" operator="equal">
      <formula>H7</formula>
    </cfRule>
    <cfRule type="cellIs" dxfId="8188" priority="2967" operator="greaterThan">
      <formula>H7</formula>
    </cfRule>
    <cfRule type="cellIs" dxfId="8187" priority="2968" operator="lessThan">
      <formula>H7</formula>
    </cfRule>
  </conditionalFormatting>
  <conditionalFormatting sqref="I8">
    <cfRule type="expression" dxfId="8186" priority="2959">
      <formula>H8="-"</formula>
    </cfRule>
    <cfRule type="cellIs" dxfId="8185" priority="2960" operator="equal">
      <formula>"-"</formula>
    </cfRule>
    <cfRule type="cellIs" dxfId="8184" priority="2961" operator="equal">
      <formula>H8</formula>
    </cfRule>
    <cfRule type="cellIs" dxfId="8183" priority="2962" operator="greaterThan">
      <formula>H8</formula>
    </cfRule>
    <cfRule type="cellIs" dxfId="8182" priority="2963" operator="lessThan">
      <formula>H8</formula>
    </cfRule>
  </conditionalFormatting>
  <conditionalFormatting sqref="I9">
    <cfRule type="expression" dxfId="8181" priority="2954">
      <formula>H9="-"</formula>
    </cfRule>
    <cfRule type="cellIs" dxfId="8180" priority="2955" operator="equal">
      <formula>"-"</formula>
    </cfRule>
    <cfRule type="cellIs" dxfId="8179" priority="2956" operator="equal">
      <formula>H9</formula>
    </cfRule>
    <cfRule type="cellIs" dxfId="8178" priority="2957" operator="greaterThan">
      <formula>H9</formula>
    </cfRule>
    <cfRule type="cellIs" dxfId="8177" priority="2958" operator="lessThan">
      <formula>H9</formula>
    </cfRule>
  </conditionalFormatting>
  <conditionalFormatting sqref="I10">
    <cfRule type="expression" dxfId="8176" priority="2949">
      <formula>H10="-"</formula>
    </cfRule>
    <cfRule type="cellIs" dxfId="8175" priority="2950" operator="equal">
      <formula>"-"</formula>
    </cfRule>
    <cfRule type="cellIs" dxfId="8174" priority="2951" operator="equal">
      <formula>H10</formula>
    </cfRule>
    <cfRule type="cellIs" dxfId="8173" priority="2952" operator="greaterThan">
      <formula>H10</formula>
    </cfRule>
    <cfRule type="cellIs" dxfId="8172" priority="2953" operator="lessThan">
      <formula>H10</formula>
    </cfRule>
  </conditionalFormatting>
  <conditionalFormatting sqref="I11">
    <cfRule type="expression" dxfId="8171" priority="2944">
      <formula>H11="-"</formula>
    </cfRule>
    <cfRule type="cellIs" dxfId="8170" priority="2945" operator="equal">
      <formula>"-"</formula>
    </cfRule>
    <cfRule type="cellIs" dxfId="8169" priority="2946" operator="equal">
      <formula>H11</formula>
    </cfRule>
    <cfRule type="cellIs" dxfId="8168" priority="2947" operator="greaterThan">
      <formula>H11</formula>
    </cfRule>
    <cfRule type="cellIs" dxfId="8167" priority="2948" operator="lessThan">
      <formula>H11</formula>
    </cfRule>
  </conditionalFormatting>
  <conditionalFormatting sqref="I12">
    <cfRule type="expression" dxfId="8166" priority="2939">
      <formula>H12="-"</formula>
    </cfRule>
    <cfRule type="cellIs" dxfId="8165" priority="2940" operator="equal">
      <formula>"-"</formula>
    </cfRule>
    <cfRule type="cellIs" dxfId="8164" priority="2941" operator="equal">
      <formula>H12</formula>
    </cfRule>
    <cfRule type="cellIs" dxfId="8163" priority="2942" operator="greaterThan">
      <formula>H12</formula>
    </cfRule>
    <cfRule type="cellIs" dxfId="8162" priority="2943" operator="lessThan">
      <formula>H12</formula>
    </cfRule>
  </conditionalFormatting>
  <conditionalFormatting sqref="I13">
    <cfRule type="expression" dxfId="8161" priority="2934">
      <formula>H13="-"</formula>
    </cfRule>
    <cfRule type="cellIs" dxfId="8160" priority="2935" operator="equal">
      <formula>"-"</formula>
    </cfRule>
    <cfRule type="cellIs" dxfId="8159" priority="2936" operator="equal">
      <formula>H13</formula>
    </cfRule>
    <cfRule type="cellIs" dxfId="8158" priority="2937" operator="greaterThan">
      <formula>H13</formula>
    </cfRule>
    <cfRule type="cellIs" dxfId="8157" priority="2938" operator="lessThan">
      <formula>H13</formula>
    </cfRule>
  </conditionalFormatting>
  <conditionalFormatting sqref="I14">
    <cfRule type="expression" dxfId="8156" priority="2929">
      <formula>H14="-"</formula>
    </cfRule>
    <cfRule type="cellIs" dxfId="8155" priority="2930" operator="equal">
      <formula>"-"</formula>
    </cfRule>
    <cfRule type="cellIs" dxfId="8154" priority="2931" operator="equal">
      <formula>H14</formula>
    </cfRule>
    <cfRule type="cellIs" dxfId="8153" priority="2932" operator="greaterThan">
      <formula>H14</formula>
    </cfRule>
    <cfRule type="cellIs" dxfId="8152" priority="2933" operator="lessThan">
      <formula>H14</formula>
    </cfRule>
  </conditionalFormatting>
  <conditionalFormatting sqref="I15">
    <cfRule type="expression" dxfId="8151" priority="2924">
      <formula>H15="-"</formula>
    </cfRule>
    <cfRule type="cellIs" dxfId="8150" priority="2925" operator="equal">
      <formula>"-"</formula>
    </cfRule>
    <cfRule type="cellIs" dxfId="8149" priority="2926" operator="equal">
      <formula>H15</formula>
    </cfRule>
    <cfRule type="cellIs" dxfId="8148" priority="2927" operator="greaterThan">
      <formula>H15</formula>
    </cfRule>
    <cfRule type="cellIs" dxfId="8147" priority="2928" operator="lessThan">
      <formula>H15</formula>
    </cfRule>
  </conditionalFormatting>
  <conditionalFormatting sqref="I16">
    <cfRule type="expression" dxfId="8146" priority="2919">
      <formula>H16="-"</formula>
    </cfRule>
    <cfRule type="cellIs" dxfId="8145" priority="2920" operator="equal">
      <formula>"-"</formula>
    </cfRule>
    <cfRule type="cellIs" dxfId="8144" priority="2921" operator="equal">
      <formula>H16</formula>
    </cfRule>
    <cfRule type="cellIs" dxfId="8143" priority="2922" operator="greaterThan">
      <formula>H16</formula>
    </cfRule>
    <cfRule type="cellIs" dxfId="8142" priority="2923" operator="lessThan">
      <formula>H16</formula>
    </cfRule>
  </conditionalFormatting>
  <conditionalFormatting sqref="I17">
    <cfRule type="expression" dxfId="8141" priority="2914">
      <formula>H17="-"</formula>
    </cfRule>
    <cfRule type="cellIs" dxfId="8140" priority="2915" operator="equal">
      <formula>"-"</formula>
    </cfRule>
    <cfRule type="cellIs" dxfId="8139" priority="2916" operator="equal">
      <formula>H17</formula>
    </cfRule>
    <cfRule type="cellIs" dxfId="8138" priority="2917" operator="greaterThan">
      <formula>H17</formula>
    </cfRule>
    <cfRule type="cellIs" dxfId="8137" priority="2918" operator="lessThan">
      <formula>H17</formula>
    </cfRule>
  </conditionalFormatting>
  <conditionalFormatting sqref="I18">
    <cfRule type="expression" dxfId="8136" priority="2909">
      <formula>H18="-"</formula>
    </cfRule>
    <cfRule type="cellIs" dxfId="8135" priority="2910" operator="equal">
      <formula>"-"</formula>
    </cfRule>
    <cfRule type="cellIs" dxfId="8134" priority="2911" operator="equal">
      <formula>H18</formula>
    </cfRule>
    <cfRule type="cellIs" dxfId="8133" priority="2912" operator="greaterThan">
      <formula>H18</formula>
    </cfRule>
    <cfRule type="cellIs" dxfId="8132" priority="2913" operator="lessThan">
      <formula>H18</formula>
    </cfRule>
  </conditionalFormatting>
  <conditionalFormatting sqref="I19">
    <cfRule type="expression" dxfId="8131" priority="2904">
      <formula>H19="-"</formula>
    </cfRule>
    <cfRule type="cellIs" dxfId="8130" priority="2905" operator="equal">
      <formula>"-"</formula>
    </cfRule>
    <cfRule type="cellIs" dxfId="8129" priority="2906" operator="equal">
      <formula>H19</formula>
    </cfRule>
    <cfRule type="cellIs" dxfId="8128" priority="2907" operator="greaterThan">
      <formula>H19</formula>
    </cfRule>
    <cfRule type="cellIs" dxfId="8127" priority="2908" operator="lessThan">
      <formula>H19</formula>
    </cfRule>
  </conditionalFormatting>
  <conditionalFormatting sqref="I20">
    <cfRule type="expression" dxfId="8126" priority="2899">
      <formula>H20="-"</formula>
    </cfRule>
    <cfRule type="cellIs" dxfId="8125" priority="2900" operator="equal">
      <formula>"-"</formula>
    </cfRule>
    <cfRule type="cellIs" dxfId="8124" priority="2901" operator="equal">
      <formula>H20</formula>
    </cfRule>
    <cfRule type="cellIs" dxfId="8123" priority="2902" operator="greaterThan">
      <formula>H20</formula>
    </cfRule>
    <cfRule type="cellIs" dxfId="8122" priority="2903" operator="lessThan">
      <formula>H20</formula>
    </cfRule>
  </conditionalFormatting>
  <conditionalFormatting sqref="I21">
    <cfRule type="expression" dxfId="8121" priority="2894">
      <formula>H21="-"</formula>
    </cfRule>
    <cfRule type="cellIs" dxfId="8120" priority="2895" operator="equal">
      <formula>"-"</formula>
    </cfRule>
    <cfRule type="cellIs" dxfId="8119" priority="2896" operator="equal">
      <formula>H21</formula>
    </cfRule>
    <cfRule type="cellIs" dxfId="8118" priority="2897" operator="greaterThan">
      <formula>H21</formula>
    </cfRule>
    <cfRule type="cellIs" dxfId="8117" priority="2898" operator="lessThan">
      <formula>H21</formula>
    </cfRule>
  </conditionalFormatting>
  <conditionalFormatting sqref="I22">
    <cfRule type="expression" dxfId="8116" priority="2889">
      <formula>H22="-"</formula>
    </cfRule>
    <cfRule type="cellIs" dxfId="8115" priority="2890" operator="equal">
      <formula>"-"</formula>
    </cfRule>
    <cfRule type="cellIs" dxfId="8114" priority="2891" operator="equal">
      <formula>H22</formula>
    </cfRule>
    <cfRule type="cellIs" dxfId="8113" priority="2892" operator="greaterThan">
      <formula>H22</formula>
    </cfRule>
    <cfRule type="cellIs" dxfId="8112" priority="2893" operator="lessThan">
      <formula>H22</formula>
    </cfRule>
  </conditionalFormatting>
  <conditionalFormatting sqref="I23">
    <cfRule type="expression" dxfId="8111" priority="2884">
      <formula>H23="-"</formula>
    </cfRule>
    <cfRule type="cellIs" dxfId="8110" priority="2885" operator="equal">
      <formula>"-"</formula>
    </cfRule>
    <cfRule type="cellIs" dxfId="8109" priority="2886" operator="equal">
      <formula>H23</formula>
    </cfRule>
    <cfRule type="cellIs" dxfId="8108" priority="2887" operator="greaterThan">
      <formula>H23</formula>
    </cfRule>
    <cfRule type="cellIs" dxfId="8107" priority="2888" operator="lessThan">
      <formula>H23</formula>
    </cfRule>
  </conditionalFormatting>
  <conditionalFormatting sqref="I24">
    <cfRule type="expression" dxfId="8106" priority="2879">
      <formula>H24="-"</formula>
    </cfRule>
    <cfRule type="cellIs" dxfId="8105" priority="2880" operator="equal">
      <formula>"-"</formula>
    </cfRule>
    <cfRule type="cellIs" dxfId="8104" priority="2881" operator="equal">
      <formula>H24</formula>
    </cfRule>
    <cfRule type="cellIs" dxfId="8103" priority="2882" operator="greaterThan">
      <formula>H24</formula>
    </cfRule>
    <cfRule type="cellIs" dxfId="8102" priority="2883" operator="lessThan">
      <formula>H24</formula>
    </cfRule>
  </conditionalFormatting>
  <conditionalFormatting sqref="I25">
    <cfRule type="expression" dxfId="8101" priority="2874">
      <formula>H25="-"</formula>
    </cfRule>
    <cfRule type="cellIs" dxfId="8100" priority="2875" operator="equal">
      <formula>"-"</formula>
    </cfRule>
    <cfRule type="cellIs" dxfId="8099" priority="2876" operator="equal">
      <formula>H25</formula>
    </cfRule>
    <cfRule type="cellIs" dxfId="8098" priority="2877" operator="greaterThan">
      <formula>H25</formula>
    </cfRule>
    <cfRule type="cellIs" dxfId="8097" priority="2878" operator="lessThan">
      <formula>H25</formula>
    </cfRule>
  </conditionalFormatting>
  <conditionalFormatting sqref="I26">
    <cfRule type="expression" dxfId="8096" priority="2869">
      <formula>H26="-"</formula>
    </cfRule>
    <cfRule type="cellIs" dxfId="8095" priority="2870" operator="equal">
      <formula>"-"</formula>
    </cfRule>
    <cfRule type="cellIs" dxfId="8094" priority="2871" operator="equal">
      <formula>H26</formula>
    </cfRule>
    <cfRule type="cellIs" dxfId="8093" priority="2872" operator="greaterThan">
      <formula>H26</formula>
    </cfRule>
    <cfRule type="cellIs" dxfId="8092" priority="2873" operator="lessThan">
      <formula>H26</formula>
    </cfRule>
  </conditionalFormatting>
  <conditionalFormatting sqref="I27">
    <cfRule type="expression" dxfId="8091" priority="2864">
      <formula>H27="-"</formula>
    </cfRule>
    <cfRule type="cellIs" dxfId="8090" priority="2865" operator="equal">
      <formula>"-"</formula>
    </cfRule>
    <cfRule type="cellIs" dxfId="8089" priority="2866" operator="equal">
      <formula>H27</formula>
    </cfRule>
    <cfRule type="cellIs" dxfId="8088" priority="2867" operator="greaterThan">
      <formula>H27</formula>
    </cfRule>
    <cfRule type="cellIs" dxfId="8087" priority="2868" operator="lessThan">
      <formula>H27</formula>
    </cfRule>
  </conditionalFormatting>
  <conditionalFormatting sqref="I28">
    <cfRule type="expression" dxfId="8086" priority="2859">
      <formula>H28="-"</formula>
    </cfRule>
    <cfRule type="cellIs" dxfId="8085" priority="2860" operator="equal">
      <formula>"-"</formula>
    </cfRule>
    <cfRule type="cellIs" dxfId="8084" priority="2861" operator="equal">
      <formula>H28</formula>
    </cfRule>
    <cfRule type="cellIs" dxfId="8083" priority="2862" operator="greaterThan">
      <formula>H28</formula>
    </cfRule>
    <cfRule type="cellIs" dxfId="8082" priority="2863" operator="lessThan">
      <formula>H28</formula>
    </cfRule>
  </conditionalFormatting>
  <conditionalFormatting sqref="J4">
    <cfRule type="expression" dxfId="8081" priority="2854">
      <formula>I4="-"</formula>
    </cfRule>
    <cfRule type="cellIs" dxfId="8080" priority="2855" operator="equal">
      <formula>"-"</formula>
    </cfRule>
    <cfRule type="cellIs" dxfId="8079" priority="2856" operator="equal">
      <formula>I4</formula>
    </cfRule>
    <cfRule type="cellIs" dxfId="8078" priority="2857" operator="greaterThan">
      <formula>I4</formula>
    </cfRule>
    <cfRule type="cellIs" dxfId="8077" priority="2858" operator="lessThan">
      <formula>I4</formula>
    </cfRule>
  </conditionalFormatting>
  <conditionalFormatting sqref="J5">
    <cfRule type="expression" dxfId="8076" priority="2849">
      <formula>I5="-"</formula>
    </cfRule>
    <cfRule type="cellIs" dxfId="8075" priority="2850" operator="equal">
      <formula>"-"</formula>
    </cfRule>
    <cfRule type="cellIs" dxfId="8074" priority="2851" operator="equal">
      <formula>I5</formula>
    </cfRule>
    <cfRule type="cellIs" dxfId="8073" priority="2852" operator="greaterThan">
      <formula>I5</formula>
    </cfRule>
    <cfRule type="cellIs" dxfId="8072" priority="2853" operator="lessThan">
      <formula>I5</formula>
    </cfRule>
  </conditionalFormatting>
  <conditionalFormatting sqref="J6">
    <cfRule type="expression" dxfId="8071" priority="2844">
      <formula>I6="-"</formula>
    </cfRule>
    <cfRule type="cellIs" dxfId="8070" priority="2845" operator="equal">
      <formula>"-"</formula>
    </cfRule>
    <cfRule type="cellIs" dxfId="8069" priority="2846" operator="equal">
      <formula>I6</formula>
    </cfRule>
    <cfRule type="cellIs" dxfId="8068" priority="2847" operator="greaterThan">
      <formula>I6</formula>
    </cfRule>
    <cfRule type="cellIs" dxfId="8067" priority="2848" operator="lessThan">
      <formula>I6</formula>
    </cfRule>
  </conditionalFormatting>
  <conditionalFormatting sqref="J7">
    <cfRule type="expression" dxfId="8066" priority="2839">
      <formula>I7="-"</formula>
    </cfRule>
    <cfRule type="cellIs" dxfId="8065" priority="2840" operator="equal">
      <formula>"-"</formula>
    </cfRule>
    <cfRule type="cellIs" dxfId="8064" priority="2841" operator="equal">
      <formula>I7</formula>
    </cfRule>
    <cfRule type="cellIs" dxfId="8063" priority="2842" operator="greaterThan">
      <formula>I7</formula>
    </cfRule>
    <cfRule type="cellIs" dxfId="8062" priority="2843" operator="lessThan">
      <formula>I7</formula>
    </cfRule>
  </conditionalFormatting>
  <conditionalFormatting sqref="J8">
    <cfRule type="expression" dxfId="8061" priority="2834">
      <formula>I8="-"</formula>
    </cfRule>
    <cfRule type="cellIs" dxfId="8060" priority="2835" operator="equal">
      <formula>"-"</formula>
    </cfRule>
    <cfRule type="cellIs" dxfId="8059" priority="2836" operator="equal">
      <formula>I8</formula>
    </cfRule>
    <cfRule type="cellIs" dxfId="8058" priority="2837" operator="greaterThan">
      <formula>I8</formula>
    </cfRule>
    <cfRule type="cellIs" dxfId="8057" priority="2838" operator="lessThan">
      <formula>I8</formula>
    </cfRule>
  </conditionalFormatting>
  <conditionalFormatting sqref="J9">
    <cfRule type="expression" dxfId="8056" priority="2829">
      <formula>I9="-"</formula>
    </cfRule>
    <cfRule type="cellIs" dxfId="8055" priority="2830" operator="equal">
      <formula>"-"</formula>
    </cfRule>
    <cfRule type="cellIs" dxfId="8054" priority="2831" operator="equal">
      <formula>I9</formula>
    </cfRule>
    <cfRule type="cellIs" dxfId="8053" priority="2832" operator="greaterThan">
      <formula>I9</formula>
    </cfRule>
    <cfRule type="cellIs" dxfId="8052" priority="2833" operator="lessThan">
      <formula>I9</formula>
    </cfRule>
  </conditionalFormatting>
  <conditionalFormatting sqref="J10">
    <cfRule type="expression" dxfId="8051" priority="2824">
      <formula>I10="-"</formula>
    </cfRule>
    <cfRule type="cellIs" dxfId="8050" priority="2825" operator="equal">
      <formula>"-"</formula>
    </cfRule>
    <cfRule type="cellIs" dxfId="8049" priority="2826" operator="equal">
      <formula>I10</formula>
    </cfRule>
    <cfRule type="cellIs" dxfId="8048" priority="2827" operator="greaterThan">
      <formula>I10</formula>
    </cfRule>
    <cfRule type="cellIs" dxfId="8047" priority="2828" operator="lessThan">
      <formula>I10</formula>
    </cfRule>
  </conditionalFormatting>
  <conditionalFormatting sqref="J11">
    <cfRule type="expression" dxfId="8046" priority="2819">
      <formula>I11="-"</formula>
    </cfRule>
    <cfRule type="cellIs" dxfId="8045" priority="2820" operator="equal">
      <formula>"-"</formula>
    </cfRule>
    <cfRule type="cellIs" dxfId="8044" priority="2821" operator="equal">
      <formula>I11</formula>
    </cfRule>
    <cfRule type="cellIs" dxfId="8043" priority="2822" operator="greaterThan">
      <formula>I11</formula>
    </cfRule>
    <cfRule type="cellIs" dxfId="8042" priority="2823" operator="lessThan">
      <formula>I11</formula>
    </cfRule>
  </conditionalFormatting>
  <conditionalFormatting sqref="J12">
    <cfRule type="expression" dxfId="8041" priority="2814">
      <formula>I12="-"</formula>
    </cfRule>
    <cfRule type="cellIs" dxfId="8040" priority="2815" operator="equal">
      <formula>"-"</formula>
    </cfRule>
    <cfRule type="cellIs" dxfId="8039" priority="2816" operator="equal">
      <formula>I12</formula>
    </cfRule>
    <cfRule type="cellIs" dxfId="8038" priority="2817" operator="greaterThan">
      <formula>I12</formula>
    </cfRule>
    <cfRule type="cellIs" dxfId="8037" priority="2818" operator="lessThan">
      <formula>I12</formula>
    </cfRule>
  </conditionalFormatting>
  <conditionalFormatting sqref="J13">
    <cfRule type="expression" dxfId="8036" priority="2809">
      <formula>I13="-"</formula>
    </cfRule>
    <cfRule type="cellIs" dxfId="8035" priority="2810" operator="equal">
      <formula>"-"</formula>
    </cfRule>
    <cfRule type="cellIs" dxfId="8034" priority="2811" operator="equal">
      <formula>I13</formula>
    </cfRule>
    <cfRule type="cellIs" dxfId="8033" priority="2812" operator="greaterThan">
      <formula>I13</formula>
    </cfRule>
    <cfRule type="cellIs" dxfId="8032" priority="2813" operator="lessThan">
      <formula>I13</formula>
    </cfRule>
  </conditionalFormatting>
  <conditionalFormatting sqref="J14">
    <cfRule type="expression" dxfId="8031" priority="2804">
      <formula>I14="-"</formula>
    </cfRule>
    <cfRule type="cellIs" dxfId="8030" priority="2805" operator="equal">
      <formula>"-"</formula>
    </cfRule>
    <cfRule type="cellIs" dxfId="8029" priority="2806" operator="equal">
      <formula>I14</formula>
    </cfRule>
    <cfRule type="cellIs" dxfId="8028" priority="2807" operator="greaterThan">
      <formula>I14</formula>
    </cfRule>
    <cfRule type="cellIs" dxfId="8027" priority="2808" operator="lessThan">
      <formula>I14</formula>
    </cfRule>
  </conditionalFormatting>
  <conditionalFormatting sqref="J15">
    <cfRule type="expression" dxfId="8026" priority="2799">
      <formula>I15="-"</formula>
    </cfRule>
    <cfRule type="cellIs" dxfId="8025" priority="2800" operator="equal">
      <formula>"-"</formula>
    </cfRule>
    <cfRule type="cellIs" dxfId="8024" priority="2801" operator="equal">
      <formula>I15</formula>
    </cfRule>
    <cfRule type="cellIs" dxfId="8023" priority="2802" operator="greaterThan">
      <formula>I15</formula>
    </cfRule>
    <cfRule type="cellIs" dxfId="8022" priority="2803" operator="lessThan">
      <formula>I15</formula>
    </cfRule>
  </conditionalFormatting>
  <conditionalFormatting sqref="J16">
    <cfRule type="expression" dxfId="8021" priority="2794">
      <formula>I16="-"</formula>
    </cfRule>
    <cfRule type="cellIs" dxfId="8020" priority="2795" operator="equal">
      <formula>"-"</formula>
    </cfRule>
    <cfRule type="cellIs" dxfId="8019" priority="2796" operator="equal">
      <formula>I16</formula>
    </cfRule>
    <cfRule type="cellIs" dxfId="8018" priority="2797" operator="greaterThan">
      <formula>I16</formula>
    </cfRule>
    <cfRule type="cellIs" dxfId="8017" priority="2798" operator="lessThan">
      <formula>I16</formula>
    </cfRule>
  </conditionalFormatting>
  <conditionalFormatting sqref="J17">
    <cfRule type="expression" dxfId="8016" priority="2789">
      <formula>I17="-"</formula>
    </cfRule>
    <cfRule type="cellIs" dxfId="8015" priority="2790" operator="equal">
      <formula>"-"</formula>
    </cfRule>
    <cfRule type="cellIs" dxfId="8014" priority="2791" operator="equal">
      <formula>I17</formula>
    </cfRule>
    <cfRule type="cellIs" dxfId="8013" priority="2792" operator="greaterThan">
      <formula>I17</formula>
    </cfRule>
    <cfRule type="cellIs" dxfId="8012" priority="2793" operator="lessThan">
      <formula>I17</formula>
    </cfRule>
  </conditionalFormatting>
  <conditionalFormatting sqref="J18">
    <cfRule type="expression" dxfId="8011" priority="2784">
      <formula>I18="-"</formula>
    </cfRule>
    <cfRule type="cellIs" dxfId="8010" priority="2785" operator="equal">
      <formula>"-"</formula>
    </cfRule>
    <cfRule type="cellIs" dxfId="8009" priority="2786" operator="equal">
      <formula>I18</formula>
    </cfRule>
    <cfRule type="cellIs" dxfId="8008" priority="2787" operator="greaterThan">
      <formula>I18</formula>
    </cfRule>
    <cfRule type="cellIs" dxfId="8007" priority="2788" operator="lessThan">
      <formula>I18</formula>
    </cfRule>
  </conditionalFormatting>
  <conditionalFormatting sqref="J19">
    <cfRule type="expression" dxfId="8006" priority="2779">
      <formula>I19="-"</formula>
    </cfRule>
    <cfRule type="cellIs" dxfId="8005" priority="2780" operator="equal">
      <formula>"-"</formula>
    </cfRule>
    <cfRule type="cellIs" dxfId="8004" priority="2781" operator="equal">
      <formula>I19</formula>
    </cfRule>
    <cfRule type="cellIs" dxfId="8003" priority="2782" operator="greaterThan">
      <formula>I19</formula>
    </cfRule>
    <cfRule type="cellIs" dxfId="8002" priority="2783" operator="lessThan">
      <formula>I19</formula>
    </cfRule>
  </conditionalFormatting>
  <conditionalFormatting sqref="J20">
    <cfRule type="expression" dxfId="8001" priority="2774">
      <formula>I20="-"</formula>
    </cfRule>
    <cfRule type="cellIs" dxfId="8000" priority="2775" operator="equal">
      <formula>"-"</formula>
    </cfRule>
    <cfRule type="cellIs" dxfId="7999" priority="2776" operator="equal">
      <formula>I20</formula>
    </cfRule>
    <cfRule type="cellIs" dxfId="7998" priority="2777" operator="greaterThan">
      <formula>I20</formula>
    </cfRule>
    <cfRule type="cellIs" dxfId="7997" priority="2778" operator="lessThan">
      <formula>I20</formula>
    </cfRule>
  </conditionalFormatting>
  <conditionalFormatting sqref="J21">
    <cfRule type="expression" dxfId="7996" priority="2769">
      <formula>I21="-"</formula>
    </cfRule>
    <cfRule type="cellIs" dxfId="7995" priority="2770" operator="equal">
      <formula>"-"</formula>
    </cfRule>
    <cfRule type="cellIs" dxfId="7994" priority="2771" operator="equal">
      <formula>I21</formula>
    </cfRule>
    <cfRule type="cellIs" dxfId="7993" priority="2772" operator="greaterThan">
      <formula>I21</formula>
    </cfRule>
    <cfRule type="cellIs" dxfId="7992" priority="2773" operator="lessThan">
      <formula>I21</formula>
    </cfRule>
  </conditionalFormatting>
  <conditionalFormatting sqref="J22">
    <cfRule type="expression" dxfId="7991" priority="2764">
      <formula>I22="-"</formula>
    </cfRule>
    <cfRule type="cellIs" dxfId="7990" priority="2765" operator="equal">
      <formula>"-"</formula>
    </cfRule>
    <cfRule type="cellIs" dxfId="7989" priority="2766" operator="equal">
      <formula>I22</formula>
    </cfRule>
    <cfRule type="cellIs" dxfId="7988" priority="2767" operator="greaterThan">
      <formula>I22</formula>
    </cfRule>
    <cfRule type="cellIs" dxfId="7987" priority="2768" operator="lessThan">
      <formula>I22</formula>
    </cfRule>
  </conditionalFormatting>
  <conditionalFormatting sqref="J23">
    <cfRule type="expression" dxfId="7986" priority="2759">
      <formula>I23="-"</formula>
    </cfRule>
    <cfRule type="cellIs" dxfId="7985" priority="2760" operator="equal">
      <formula>"-"</formula>
    </cfRule>
    <cfRule type="cellIs" dxfId="7984" priority="2761" operator="equal">
      <formula>I23</formula>
    </cfRule>
    <cfRule type="cellIs" dxfId="7983" priority="2762" operator="greaterThan">
      <formula>I23</formula>
    </cfRule>
    <cfRule type="cellIs" dxfId="7982" priority="2763" operator="lessThan">
      <formula>I23</formula>
    </cfRule>
  </conditionalFormatting>
  <conditionalFormatting sqref="J24">
    <cfRule type="expression" dxfId="7981" priority="2754">
      <formula>I24="-"</formula>
    </cfRule>
    <cfRule type="cellIs" dxfId="7980" priority="2755" operator="equal">
      <formula>"-"</formula>
    </cfRule>
    <cfRule type="cellIs" dxfId="7979" priority="2756" operator="equal">
      <formula>I24</formula>
    </cfRule>
    <cfRule type="cellIs" dxfId="7978" priority="2757" operator="greaterThan">
      <formula>I24</formula>
    </cfRule>
    <cfRule type="cellIs" dxfId="7977" priority="2758" operator="lessThan">
      <formula>I24</formula>
    </cfRule>
  </conditionalFormatting>
  <conditionalFormatting sqref="J25">
    <cfRule type="expression" dxfId="7976" priority="2749">
      <formula>I25="-"</formula>
    </cfRule>
    <cfRule type="cellIs" dxfId="7975" priority="2750" operator="equal">
      <formula>"-"</formula>
    </cfRule>
    <cfRule type="cellIs" dxfId="7974" priority="2751" operator="equal">
      <formula>I25</formula>
    </cfRule>
    <cfRule type="cellIs" dxfId="7973" priority="2752" operator="greaterThan">
      <formula>I25</formula>
    </cfRule>
    <cfRule type="cellIs" dxfId="7972" priority="2753" operator="lessThan">
      <formula>I25</formula>
    </cfRule>
  </conditionalFormatting>
  <conditionalFormatting sqref="J26">
    <cfRule type="expression" dxfId="7971" priority="2744">
      <formula>I26="-"</formula>
    </cfRule>
    <cfRule type="cellIs" dxfId="7970" priority="2745" operator="equal">
      <formula>"-"</formula>
    </cfRule>
    <cfRule type="cellIs" dxfId="7969" priority="2746" operator="equal">
      <formula>I26</formula>
    </cfRule>
    <cfRule type="cellIs" dxfId="7968" priority="2747" operator="greaterThan">
      <formula>I26</formula>
    </cfRule>
    <cfRule type="cellIs" dxfId="7967" priority="2748" operator="lessThan">
      <formula>I26</formula>
    </cfRule>
  </conditionalFormatting>
  <conditionalFormatting sqref="J27">
    <cfRule type="expression" dxfId="7966" priority="2739">
      <formula>I27="-"</formula>
    </cfRule>
    <cfRule type="cellIs" dxfId="7965" priority="2740" operator="equal">
      <formula>"-"</formula>
    </cfRule>
    <cfRule type="cellIs" dxfId="7964" priority="2741" operator="equal">
      <formula>I27</formula>
    </cfRule>
    <cfRule type="cellIs" dxfId="7963" priority="2742" operator="greaterThan">
      <formula>I27</formula>
    </cfRule>
    <cfRule type="cellIs" dxfId="7962" priority="2743" operator="lessThan">
      <formula>I27</formula>
    </cfRule>
  </conditionalFormatting>
  <conditionalFormatting sqref="J28">
    <cfRule type="expression" dxfId="7961" priority="2734">
      <formula>I28="-"</formula>
    </cfRule>
    <cfRule type="cellIs" dxfId="7960" priority="2735" operator="equal">
      <formula>"-"</formula>
    </cfRule>
    <cfRule type="cellIs" dxfId="7959" priority="2736" operator="equal">
      <formula>I28</formula>
    </cfRule>
    <cfRule type="cellIs" dxfId="7958" priority="2737" operator="greaterThan">
      <formula>I28</formula>
    </cfRule>
    <cfRule type="cellIs" dxfId="7957" priority="2738" operator="lessThan">
      <formula>I28</formula>
    </cfRule>
  </conditionalFormatting>
  <conditionalFormatting sqref="C29">
    <cfRule type="expression" dxfId="7956" priority="2729">
      <formula>B29="-"</formula>
    </cfRule>
    <cfRule type="cellIs" dxfId="7955" priority="2730" operator="equal">
      <formula>"-"</formula>
    </cfRule>
    <cfRule type="cellIs" dxfId="7954" priority="2731" operator="equal">
      <formula>B29</formula>
    </cfRule>
    <cfRule type="cellIs" dxfId="7953" priority="2732" operator="greaterThan">
      <formula>B29</formula>
    </cfRule>
    <cfRule type="cellIs" dxfId="7952" priority="2733" operator="lessThan">
      <formula>B29</formula>
    </cfRule>
  </conditionalFormatting>
  <conditionalFormatting sqref="C30">
    <cfRule type="expression" dxfId="7951" priority="2724">
      <formula>B30="-"</formula>
    </cfRule>
    <cfRule type="cellIs" dxfId="7950" priority="2725" operator="equal">
      <formula>"-"</formula>
    </cfRule>
    <cfRule type="cellIs" dxfId="7949" priority="2726" operator="equal">
      <formula>B30</formula>
    </cfRule>
    <cfRule type="cellIs" dxfId="7948" priority="2727" operator="greaterThan">
      <formula>B30</formula>
    </cfRule>
    <cfRule type="cellIs" dxfId="7947" priority="2728" operator="lessThan">
      <formula>B30</formula>
    </cfRule>
  </conditionalFormatting>
  <conditionalFormatting sqref="D29">
    <cfRule type="expression" dxfId="7946" priority="2719">
      <formula>C29="-"</formula>
    </cfRule>
    <cfRule type="cellIs" dxfId="7945" priority="2720" operator="equal">
      <formula>"-"</formula>
    </cfRule>
    <cfRule type="cellIs" dxfId="7944" priority="2721" operator="equal">
      <formula>C29</formula>
    </cfRule>
    <cfRule type="cellIs" dxfId="7943" priority="2722" operator="greaterThan">
      <formula>C29</formula>
    </cfRule>
    <cfRule type="cellIs" dxfId="7942" priority="2723" operator="lessThan">
      <formula>C29</formula>
    </cfRule>
  </conditionalFormatting>
  <conditionalFormatting sqref="D30">
    <cfRule type="expression" dxfId="7941" priority="2714">
      <formula>C30="-"</formula>
    </cfRule>
    <cfRule type="cellIs" dxfId="7940" priority="2715" operator="equal">
      <formula>"-"</formula>
    </cfRule>
    <cfRule type="cellIs" dxfId="7939" priority="2716" operator="equal">
      <formula>C30</formula>
    </cfRule>
    <cfRule type="cellIs" dxfId="7938" priority="2717" operator="greaterThan">
      <formula>C30</formula>
    </cfRule>
    <cfRule type="cellIs" dxfId="7937" priority="2718" operator="lessThan">
      <formula>C30</formula>
    </cfRule>
  </conditionalFormatting>
  <conditionalFormatting sqref="E29">
    <cfRule type="expression" dxfId="7936" priority="2709">
      <formula>D29="-"</formula>
    </cfRule>
    <cfRule type="cellIs" dxfId="7935" priority="2710" operator="equal">
      <formula>"-"</formula>
    </cfRule>
    <cfRule type="cellIs" dxfId="7934" priority="2711" operator="equal">
      <formula>D29</formula>
    </cfRule>
    <cfRule type="cellIs" dxfId="7933" priority="2712" operator="greaterThan">
      <formula>D29</formula>
    </cfRule>
    <cfRule type="cellIs" dxfId="7932" priority="2713" operator="lessThan">
      <formula>D29</formula>
    </cfRule>
  </conditionalFormatting>
  <conditionalFormatting sqref="E30">
    <cfRule type="expression" dxfId="7931" priority="2704">
      <formula>D30="-"</formula>
    </cfRule>
    <cfRule type="cellIs" dxfId="7930" priority="2705" operator="equal">
      <formula>"-"</formula>
    </cfRule>
    <cfRule type="cellIs" dxfId="7929" priority="2706" operator="equal">
      <formula>D30</formula>
    </cfRule>
    <cfRule type="cellIs" dxfId="7928" priority="2707" operator="greaterThan">
      <formula>D30</formula>
    </cfRule>
    <cfRule type="cellIs" dxfId="7927" priority="2708" operator="lessThan">
      <formula>D30</formula>
    </cfRule>
  </conditionalFormatting>
  <conditionalFormatting sqref="F29">
    <cfRule type="expression" dxfId="7926" priority="2699">
      <formula>E29="-"</formula>
    </cfRule>
    <cfRule type="cellIs" dxfId="7925" priority="2700" operator="equal">
      <formula>"-"</formula>
    </cfRule>
    <cfRule type="cellIs" dxfId="7924" priority="2701" operator="equal">
      <formula>E29</formula>
    </cfRule>
    <cfRule type="cellIs" dxfId="7923" priority="2702" operator="greaterThan">
      <formula>E29</formula>
    </cfRule>
    <cfRule type="cellIs" dxfId="7922" priority="2703" operator="lessThan">
      <formula>E29</formula>
    </cfRule>
  </conditionalFormatting>
  <conditionalFormatting sqref="F30">
    <cfRule type="expression" dxfId="7921" priority="2694">
      <formula>E30="-"</formula>
    </cfRule>
    <cfRule type="cellIs" dxfId="7920" priority="2695" operator="equal">
      <formula>"-"</formula>
    </cfRule>
    <cfRule type="cellIs" dxfId="7919" priority="2696" operator="equal">
      <formula>E30</formula>
    </cfRule>
    <cfRule type="cellIs" dxfId="7918" priority="2697" operator="greaterThan">
      <formula>E30</formula>
    </cfRule>
    <cfRule type="cellIs" dxfId="7917" priority="2698" operator="lessThan">
      <formula>E30</formula>
    </cfRule>
  </conditionalFormatting>
  <conditionalFormatting sqref="G29">
    <cfRule type="expression" dxfId="7916" priority="2689">
      <formula>F29="-"</formula>
    </cfRule>
    <cfRule type="cellIs" dxfId="7915" priority="2690" operator="equal">
      <formula>"-"</formula>
    </cfRule>
    <cfRule type="cellIs" dxfId="7914" priority="2691" operator="equal">
      <formula>F29</formula>
    </cfRule>
    <cfRule type="cellIs" dxfId="7913" priority="2692" operator="greaterThan">
      <formula>F29</formula>
    </cfRule>
    <cfRule type="cellIs" dxfId="7912" priority="2693" operator="lessThan">
      <formula>F29</formula>
    </cfRule>
  </conditionalFormatting>
  <conditionalFormatting sqref="G30">
    <cfRule type="expression" dxfId="7911" priority="2684">
      <formula>F30="-"</formula>
    </cfRule>
    <cfRule type="cellIs" dxfId="7910" priority="2685" operator="equal">
      <formula>"-"</formula>
    </cfRule>
    <cfRule type="cellIs" dxfId="7909" priority="2686" operator="equal">
      <formula>F30</formula>
    </cfRule>
    <cfRule type="cellIs" dxfId="7908" priority="2687" operator="greaterThan">
      <formula>F30</formula>
    </cfRule>
    <cfRule type="cellIs" dxfId="7907" priority="2688" operator="lessThan">
      <formula>F30</formula>
    </cfRule>
  </conditionalFormatting>
  <conditionalFormatting sqref="H29">
    <cfRule type="expression" dxfId="7906" priority="2679">
      <formula>G29="-"</formula>
    </cfRule>
    <cfRule type="cellIs" dxfId="7905" priority="2680" operator="equal">
      <formula>"-"</formula>
    </cfRule>
    <cfRule type="cellIs" dxfId="7904" priority="2681" operator="equal">
      <formula>G29</formula>
    </cfRule>
    <cfRule type="cellIs" dxfId="7903" priority="2682" operator="greaterThan">
      <formula>G29</formula>
    </cfRule>
    <cfRule type="cellIs" dxfId="7902" priority="2683" operator="lessThan">
      <formula>G29</formula>
    </cfRule>
  </conditionalFormatting>
  <conditionalFormatting sqref="H30">
    <cfRule type="expression" dxfId="7901" priority="2674">
      <formula>G30="-"</formula>
    </cfRule>
    <cfRule type="cellIs" dxfId="7900" priority="2675" operator="equal">
      <formula>"-"</formula>
    </cfRule>
    <cfRule type="cellIs" dxfId="7899" priority="2676" operator="equal">
      <formula>G30</formula>
    </cfRule>
    <cfRule type="cellIs" dxfId="7898" priority="2677" operator="greaterThan">
      <formula>G30</formula>
    </cfRule>
    <cfRule type="cellIs" dxfId="7897" priority="2678" operator="lessThan">
      <formula>G30</formula>
    </cfRule>
  </conditionalFormatting>
  <conditionalFormatting sqref="I29">
    <cfRule type="expression" dxfId="7896" priority="2669">
      <formula>H29="-"</formula>
    </cfRule>
    <cfRule type="cellIs" dxfId="7895" priority="2670" operator="equal">
      <formula>"-"</formula>
    </cfRule>
    <cfRule type="cellIs" dxfId="7894" priority="2671" operator="equal">
      <formula>H29</formula>
    </cfRule>
    <cfRule type="cellIs" dxfId="7893" priority="2672" operator="greaterThan">
      <formula>H29</formula>
    </cfRule>
    <cfRule type="cellIs" dxfId="7892" priority="2673" operator="lessThan">
      <formula>H29</formula>
    </cfRule>
  </conditionalFormatting>
  <conditionalFormatting sqref="I30">
    <cfRule type="expression" dxfId="7891" priority="2664">
      <formula>H30="-"</formula>
    </cfRule>
    <cfRule type="cellIs" dxfId="7890" priority="2665" operator="equal">
      <formula>"-"</formula>
    </cfRule>
    <cfRule type="cellIs" dxfId="7889" priority="2666" operator="equal">
      <formula>H30</formula>
    </cfRule>
    <cfRule type="cellIs" dxfId="7888" priority="2667" operator="greaterThan">
      <formula>H30</formula>
    </cfRule>
    <cfRule type="cellIs" dxfId="7887" priority="2668" operator="lessThan">
      <formula>H30</formula>
    </cfRule>
  </conditionalFormatting>
  <conditionalFormatting sqref="J29">
    <cfRule type="expression" dxfId="7886" priority="2659">
      <formula>I29="-"</formula>
    </cfRule>
    <cfRule type="cellIs" dxfId="7885" priority="2660" operator="equal">
      <formula>"-"</formula>
    </cfRule>
    <cfRule type="cellIs" dxfId="7884" priority="2661" operator="equal">
      <formula>I29</formula>
    </cfRule>
    <cfRule type="cellIs" dxfId="7883" priority="2662" operator="greaterThan">
      <formula>I29</formula>
    </cfRule>
    <cfRule type="cellIs" dxfId="7882" priority="2663" operator="lessThan">
      <formula>I29</formula>
    </cfRule>
  </conditionalFormatting>
  <conditionalFormatting sqref="J30">
    <cfRule type="expression" dxfId="7881" priority="2654">
      <formula>I30="-"</formula>
    </cfRule>
    <cfRule type="cellIs" dxfId="7880" priority="2655" operator="equal">
      <formula>"-"</formula>
    </cfRule>
    <cfRule type="cellIs" dxfId="7879" priority="2656" operator="equal">
      <formula>I30</formula>
    </cfRule>
    <cfRule type="cellIs" dxfId="7878" priority="2657" operator="greaterThan">
      <formula>I30</formula>
    </cfRule>
    <cfRule type="cellIs" dxfId="7877" priority="2658" operator="lessThan">
      <formula>I30</formula>
    </cfRule>
  </conditionalFormatting>
  <conditionalFormatting sqref="C31">
    <cfRule type="expression" dxfId="7876" priority="2649">
      <formula>B31="-"</formula>
    </cfRule>
    <cfRule type="cellIs" dxfId="7875" priority="2650" operator="equal">
      <formula>"-"</formula>
    </cfRule>
    <cfRule type="cellIs" dxfId="7874" priority="2651" operator="equal">
      <formula>B31</formula>
    </cfRule>
    <cfRule type="cellIs" dxfId="7873" priority="2652" operator="greaterThan">
      <formula>B31</formula>
    </cfRule>
    <cfRule type="cellIs" dxfId="7872" priority="2653" operator="lessThan">
      <formula>B31</formula>
    </cfRule>
  </conditionalFormatting>
  <conditionalFormatting sqref="C32">
    <cfRule type="expression" dxfId="7871" priority="2644">
      <formula>B32="-"</formula>
    </cfRule>
    <cfRule type="cellIs" dxfId="7870" priority="2645" operator="equal">
      <formula>"-"</formula>
    </cfRule>
    <cfRule type="cellIs" dxfId="7869" priority="2646" operator="equal">
      <formula>B32</formula>
    </cfRule>
    <cfRule type="cellIs" dxfId="7868" priority="2647" operator="greaterThan">
      <formula>B32</formula>
    </cfRule>
    <cfRule type="cellIs" dxfId="7867" priority="2648" operator="lessThan">
      <formula>B32</formula>
    </cfRule>
  </conditionalFormatting>
  <conditionalFormatting sqref="C33">
    <cfRule type="expression" dxfId="7866" priority="2639">
      <formula>B33="-"</formula>
    </cfRule>
    <cfRule type="cellIs" dxfId="7865" priority="2640" operator="equal">
      <formula>"-"</formula>
    </cfRule>
    <cfRule type="cellIs" dxfId="7864" priority="2641" operator="equal">
      <formula>B33</formula>
    </cfRule>
    <cfRule type="cellIs" dxfId="7863" priority="2642" operator="greaterThan">
      <formula>B33</formula>
    </cfRule>
    <cfRule type="cellIs" dxfId="7862" priority="2643" operator="lessThan">
      <formula>B33</formula>
    </cfRule>
  </conditionalFormatting>
  <conditionalFormatting sqref="C34">
    <cfRule type="expression" dxfId="7861" priority="2634">
      <formula>B34="-"</formula>
    </cfRule>
    <cfRule type="cellIs" dxfId="7860" priority="2635" operator="equal">
      <formula>"-"</formula>
    </cfRule>
    <cfRule type="cellIs" dxfId="7859" priority="2636" operator="equal">
      <formula>B34</formula>
    </cfRule>
    <cfRule type="cellIs" dxfId="7858" priority="2637" operator="greaterThan">
      <formula>B34</formula>
    </cfRule>
    <cfRule type="cellIs" dxfId="7857" priority="2638" operator="lessThan">
      <formula>B34</formula>
    </cfRule>
  </conditionalFormatting>
  <conditionalFormatting sqref="D31">
    <cfRule type="expression" dxfId="7856" priority="2629">
      <formula>C31="-"</formula>
    </cfRule>
    <cfRule type="cellIs" dxfId="7855" priority="2630" operator="equal">
      <formula>"-"</formula>
    </cfRule>
    <cfRule type="cellIs" dxfId="7854" priority="2631" operator="equal">
      <formula>C31</formula>
    </cfRule>
    <cfRule type="cellIs" dxfId="7853" priority="2632" operator="greaterThan">
      <formula>C31</formula>
    </cfRule>
    <cfRule type="cellIs" dxfId="7852" priority="2633" operator="lessThan">
      <formula>C31</formula>
    </cfRule>
  </conditionalFormatting>
  <conditionalFormatting sqref="D32">
    <cfRule type="expression" dxfId="7851" priority="2624">
      <formula>C32="-"</formula>
    </cfRule>
    <cfRule type="cellIs" dxfId="7850" priority="2625" operator="equal">
      <formula>"-"</formula>
    </cfRule>
    <cfRule type="cellIs" dxfId="7849" priority="2626" operator="equal">
      <formula>C32</formula>
    </cfRule>
    <cfRule type="cellIs" dxfId="7848" priority="2627" operator="greaterThan">
      <formula>C32</formula>
    </cfRule>
    <cfRule type="cellIs" dxfId="7847" priority="2628" operator="lessThan">
      <formula>C32</formula>
    </cfRule>
  </conditionalFormatting>
  <conditionalFormatting sqref="D33">
    <cfRule type="expression" dxfId="7846" priority="2619">
      <formula>C33="-"</formula>
    </cfRule>
    <cfRule type="cellIs" dxfId="7845" priority="2620" operator="equal">
      <formula>"-"</formula>
    </cfRule>
    <cfRule type="cellIs" dxfId="7844" priority="2621" operator="equal">
      <formula>C33</formula>
    </cfRule>
    <cfRule type="cellIs" dxfId="7843" priority="2622" operator="greaterThan">
      <formula>C33</formula>
    </cfRule>
    <cfRule type="cellIs" dxfId="7842" priority="2623" operator="lessThan">
      <formula>C33</formula>
    </cfRule>
  </conditionalFormatting>
  <conditionalFormatting sqref="D34">
    <cfRule type="expression" dxfId="7841" priority="2614">
      <formula>C34="-"</formula>
    </cfRule>
    <cfRule type="cellIs" dxfId="7840" priority="2615" operator="equal">
      <formula>"-"</formula>
    </cfRule>
    <cfRule type="cellIs" dxfId="7839" priority="2616" operator="equal">
      <formula>C34</formula>
    </cfRule>
    <cfRule type="cellIs" dxfId="7838" priority="2617" operator="greaterThan">
      <formula>C34</formula>
    </cfRule>
    <cfRule type="cellIs" dxfId="7837" priority="2618" operator="lessThan">
      <formula>C34</formula>
    </cfRule>
  </conditionalFormatting>
  <conditionalFormatting sqref="E31">
    <cfRule type="expression" dxfId="7836" priority="2609">
      <formula>D31="-"</formula>
    </cfRule>
    <cfRule type="cellIs" dxfId="7835" priority="2610" operator="equal">
      <formula>"-"</formula>
    </cfRule>
    <cfRule type="cellIs" dxfId="7834" priority="2611" operator="equal">
      <formula>D31</formula>
    </cfRule>
    <cfRule type="cellIs" dxfId="7833" priority="2612" operator="greaterThan">
      <formula>D31</formula>
    </cfRule>
    <cfRule type="cellIs" dxfId="7832" priority="2613" operator="lessThan">
      <formula>D31</formula>
    </cfRule>
  </conditionalFormatting>
  <conditionalFormatting sqref="E32">
    <cfRule type="expression" dxfId="7831" priority="2604">
      <formula>D32="-"</formula>
    </cfRule>
    <cfRule type="cellIs" dxfId="7830" priority="2605" operator="equal">
      <formula>"-"</formula>
    </cfRule>
    <cfRule type="cellIs" dxfId="7829" priority="2606" operator="equal">
      <formula>D32</formula>
    </cfRule>
    <cfRule type="cellIs" dxfId="7828" priority="2607" operator="greaterThan">
      <formula>D32</formula>
    </cfRule>
    <cfRule type="cellIs" dxfId="7827" priority="2608" operator="lessThan">
      <formula>D32</formula>
    </cfRule>
  </conditionalFormatting>
  <conditionalFormatting sqref="E33">
    <cfRule type="expression" dxfId="7826" priority="2599">
      <formula>D33="-"</formula>
    </cfRule>
    <cfRule type="cellIs" dxfId="7825" priority="2600" operator="equal">
      <formula>"-"</formula>
    </cfRule>
    <cfRule type="cellIs" dxfId="7824" priority="2601" operator="equal">
      <formula>D33</formula>
    </cfRule>
    <cfRule type="cellIs" dxfId="7823" priority="2602" operator="greaterThan">
      <formula>D33</formula>
    </cfRule>
    <cfRule type="cellIs" dxfId="7822" priority="2603" operator="lessThan">
      <formula>D33</formula>
    </cfRule>
  </conditionalFormatting>
  <conditionalFormatting sqref="E34">
    <cfRule type="expression" dxfId="7821" priority="2594">
      <formula>D34="-"</formula>
    </cfRule>
    <cfRule type="cellIs" dxfId="7820" priority="2595" operator="equal">
      <formula>"-"</formula>
    </cfRule>
    <cfRule type="cellIs" dxfId="7819" priority="2596" operator="equal">
      <formula>D34</formula>
    </cfRule>
    <cfRule type="cellIs" dxfId="7818" priority="2597" operator="greaterThan">
      <formula>D34</formula>
    </cfRule>
    <cfRule type="cellIs" dxfId="7817" priority="2598" operator="lessThan">
      <formula>D34</formula>
    </cfRule>
  </conditionalFormatting>
  <conditionalFormatting sqref="F31">
    <cfRule type="expression" dxfId="7816" priority="2589">
      <formula>E31="-"</formula>
    </cfRule>
    <cfRule type="cellIs" dxfId="7815" priority="2590" operator="equal">
      <formula>"-"</formula>
    </cfRule>
    <cfRule type="cellIs" dxfId="7814" priority="2591" operator="equal">
      <formula>E31</formula>
    </cfRule>
    <cfRule type="cellIs" dxfId="7813" priority="2592" operator="greaterThan">
      <formula>E31</formula>
    </cfRule>
    <cfRule type="cellIs" dxfId="7812" priority="2593" operator="lessThan">
      <formula>E31</formula>
    </cfRule>
  </conditionalFormatting>
  <conditionalFormatting sqref="F32">
    <cfRule type="expression" dxfId="7811" priority="2584">
      <formula>E32="-"</formula>
    </cfRule>
    <cfRule type="cellIs" dxfId="7810" priority="2585" operator="equal">
      <formula>"-"</formula>
    </cfRule>
    <cfRule type="cellIs" dxfId="7809" priority="2586" operator="equal">
      <formula>E32</formula>
    </cfRule>
    <cfRule type="cellIs" dxfId="7808" priority="2587" operator="greaterThan">
      <formula>E32</formula>
    </cfRule>
    <cfRule type="cellIs" dxfId="7807" priority="2588" operator="lessThan">
      <formula>E32</formula>
    </cfRule>
  </conditionalFormatting>
  <conditionalFormatting sqref="F33">
    <cfRule type="expression" dxfId="7806" priority="2579">
      <formula>E33="-"</formula>
    </cfRule>
    <cfRule type="cellIs" dxfId="7805" priority="2580" operator="equal">
      <formula>"-"</formula>
    </cfRule>
    <cfRule type="cellIs" dxfId="7804" priority="2581" operator="equal">
      <formula>E33</formula>
    </cfRule>
    <cfRule type="cellIs" dxfId="7803" priority="2582" operator="greaterThan">
      <formula>E33</formula>
    </cfRule>
    <cfRule type="cellIs" dxfId="7802" priority="2583" operator="lessThan">
      <formula>E33</formula>
    </cfRule>
  </conditionalFormatting>
  <conditionalFormatting sqref="F34">
    <cfRule type="expression" dxfId="7801" priority="2574">
      <formula>E34="-"</formula>
    </cfRule>
    <cfRule type="cellIs" dxfId="7800" priority="2575" operator="equal">
      <formula>"-"</formula>
    </cfRule>
    <cfRule type="cellIs" dxfId="7799" priority="2576" operator="equal">
      <formula>E34</formula>
    </cfRule>
    <cfRule type="cellIs" dxfId="7798" priority="2577" operator="greaterThan">
      <formula>E34</formula>
    </cfRule>
    <cfRule type="cellIs" dxfId="7797" priority="2578" operator="lessThan">
      <formula>E34</formula>
    </cfRule>
  </conditionalFormatting>
  <conditionalFormatting sqref="G31">
    <cfRule type="expression" dxfId="7796" priority="2569">
      <formula>F31="-"</formula>
    </cfRule>
    <cfRule type="cellIs" dxfId="7795" priority="2570" operator="equal">
      <formula>"-"</formula>
    </cfRule>
    <cfRule type="cellIs" dxfId="7794" priority="2571" operator="equal">
      <formula>F31</formula>
    </cfRule>
    <cfRule type="cellIs" dxfId="7793" priority="2572" operator="greaterThan">
      <formula>F31</formula>
    </cfRule>
    <cfRule type="cellIs" dxfId="7792" priority="2573" operator="lessThan">
      <formula>F31</formula>
    </cfRule>
  </conditionalFormatting>
  <conditionalFormatting sqref="G32">
    <cfRule type="expression" dxfId="7791" priority="2564">
      <formula>F32="-"</formula>
    </cfRule>
    <cfRule type="cellIs" dxfId="7790" priority="2565" operator="equal">
      <formula>"-"</formula>
    </cfRule>
    <cfRule type="cellIs" dxfId="7789" priority="2566" operator="equal">
      <formula>F32</formula>
    </cfRule>
    <cfRule type="cellIs" dxfId="7788" priority="2567" operator="greaterThan">
      <formula>F32</formula>
    </cfRule>
    <cfRule type="cellIs" dxfId="7787" priority="2568" operator="lessThan">
      <formula>F32</formula>
    </cfRule>
  </conditionalFormatting>
  <conditionalFormatting sqref="G33">
    <cfRule type="expression" dxfId="7786" priority="2559">
      <formula>F33="-"</formula>
    </cfRule>
    <cfRule type="cellIs" dxfId="7785" priority="2560" operator="equal">
      <formula>"-"</formula>
    </cfRule>
    <cfRule type="cellIs" dxfId="7784" priority="2561" operator="equal">
      <formula>F33</formula>
    </cfRule>
    <cfRule type="cellIs" dxfId="7783" priority="2562" operator="greaterThan">
      <formula>F33</formula>
    </cfRule>
    <cfRule type="cellIs" dxfId="7782" priority="2563" operator="lessThan">
      <formula>F33</formula>
    </cfRule>
  </conditionalFormatting>
  <conditionalFormatting sqref="G34">
    <cfRule type="expression" dxfId="7781" priority="2554">
      <formula>F34="-"</formula>
    </cfRule>
    <cfRule type="cellIs" dxfId="7780" priority="2555" operator="equal">
      <formula>"-"</formula>
    </cfRule>
    <cfRule type="cellIs" dxfId="7779" priority="2556" operator="equal">
      <formula>F34</formula>
    </cfRule>
    <cfRule type="cellIs" dxfId="7778" priority="2557" operator="greaterThan">
      <formula>F34</formula>
    </cfRule>
    <cfRule type="cellIs" dxfId="7777" priority="2558" operator="lessThan">
      <formula>F34</formula>
    </cfRule>
  </conditionalFormatting>
  <conditionalFormatting sqref="H31">
    <cfRule type="expression" dxfId="7776" priority="2549">
      <formula>G31="-"</formula>
    </cfRule>
    <cfRule type="cellIs" dxfId="7775" priority="2550" operator="equal">
      <formula>"-"</formula>
    </cfRule>
    <cfRule type="cellIs" dxfId="7774" priority="2551" operator="equal">
      <formula>G31</formula>
    </cfRule>
    <cfRule type="cellIs" dxfId="7773" priority="2552" operator="greaterThan">
      <formula>G31</formula>
    </cfRule>
    <cfRule type="cellIs" dxfId="7772" priority="2553" operator="lessThan">
      <formula>G31</formula>
    </cfRule>
  </conditionalFormatting>
  <conditionalFormatting sqref="H32">
    <cfRule type="expression" dxfId="7771" priority="2544">
      <formula>G32="-"</formula>
    </cfRule>
    <cfRule type="cellIs" dxfId="7770" priority="2545" operator="equal">
      <formula>"-"</formula>
    </cfRule>
    <cfRule type="cellIs" dxfId="7769" priority="2546" operator="equal">
      <formula>G32</formula>
    </cfRule>
    <cfRule type="cellIs" dxfId="7768" priority="2547" operator="greaterThan">
      <formula>G32</formula>
    </cfRule>
    <cfRule type="cellIs" dxfId="7767" priority="2548" operator="lessThan">
      <formula>G32</formula>
    </cfRule>
  </conditionalFormatting>
  <conditionalFormatting sqref="H33">
    <cfRule type="expression" dxfId="7766" priority="2539">
      <formula>G33="-"</formula>
    </cfRule>
    <cfRule type="cellIs" dxfId="7765" priority="2540" operator="equal">
      <formula>"-"</formula>
    </cfRule>
    <cfRule type="cellIs" dxfId="7764" priority="2541" operator="equal">
      <formula>G33</formula>
    </cfRule>
    <cfRule type="cellIs" dxfId="7763" priority="2542" operator="greaterThan">
      <formula>G33</formula>
    </cfRule>
    <cfRule type="cellIs" dxfId="7762" priority="2543" operator="lessThan">
      <formula>G33</formula>
    </cfRule>
  </conditionalFormatting>
  <conditionalFormatting sqref="H34">
    <cfRule type="expression" dxfId="7761" priority="2534">
      <formula>G34="-"</formula>
    </cfRule>
    <cfRule type="cellIs" dxfId="7760" priority="2535" operator="equal">
      <formula>"-"</formula>
    </cfRule>
    <cfRule type="cellIs" dxfId="7759" priority="2536" operator="equal">
      <formula>G34</formula>
    </cfRule>
    <cfRule type="cellIs" dxfId="7758" priority="2537" operator="greaterThan">
      <formula>G34</formula>
    </cfRule>
    <cfRule type="cellIs" dxfId="7757" priority="2538" operator="lessThan">
      <formula>G34</formula>
    </cfRule>
  </conditionalFormatting>
  <conditionalFormatting sqref="I31">
    <cfRule type="expression" dxfId="7756" priority="2529">
      <formula>H31="-"</formula>
    </cfRule>
    <cfRule type="cellIs" dxfId="7755" priority="2530" operator="equal">
      <formula>"-"</formula>
    </cfRule>
    <cfRule type="cellIs" dxfId="7754" priority="2531" operator="equal">
      <formula>H31</formula>
    </cfRule>
    <cfRule type="cellIs" dxfId="7753" priority="2532" operator="greaterThan">
      <formula>H31</formula>
    </cfRule>
    <cfRule type="cellIs" dxfId="7752" priority="2533" operator="lessThan">
      <formula>H31</formula>
    </cfRule>
  </conditionalFormatting>
  <conditionalFormatting sqref="I32">
    <cfRule type="expression" dxfId="7751" priority="2524">
      <formula>H32="-"</formula>
    </cfRule>
    <cfRule type="cellIs" dxfId="7750" priority="2525" operator="equal">
      <formula>"-"</formula>
    </cfRule>
    <cfRule type="cellIs" dxfId="7749" priority="2526" operator="equal">
      <formula>H32</formula>
    </cfRule>
    <cfRule type="cellIs" dxfId="7748" priority="2527" operator="greaterThan">
      <formula>H32</formula>
    </cfRule>
    <cfRule type="cellIs" dxfId="7747" priority="2528" operator="lessThan">
      <formula>H32</formula>
    </cfRule>
  </conditionalFormatting>
  <conditionalFormatting sqref="I33">
    <cfRule type="expression" dxfId="7746" priority="2519">
      <formula>H33="-"</formula>
    </cfRule>
    <cfRule type="cellIs" dxfId="7745" priority="2520" operator="equal">
      <formula>"-"</formula>
    </cfRule>
    <cfRule type="cellIs" dxfId="7744" priority="2521" operator="equal">
      <formula>H33</formula>
    </cfRule>
    <cfRule type="cellIs" dxfId="7743" priority="2522" operator="greaterThan">
      <formula>H33</formula>
    </cfRule>
    <cfRule type="cellIs" dxfId="7742" priority="2523" operator="lessThan">
      <formula>H33</formula>
    </cfRule>
  </conditionalFormatting>
  <conditionalFormatting sqref="I34">
    <cfRule type="expression" dxfId="7741" priority="2514">
      <formula>H34="-"</formula>
    </cfRule>
    <cfRule type="cellIs" dxfId="7740" priority="2515" operator="equal">
      <formula>"-"</formula>
    </cfRule>
    <cfRule type="cellIs" dxfId="7739" priority="2516" operator="equal">
      <formula>H34</formula>
    </cfRule>
    <cfRule type="cellIs" dxfId="7738" priority="2517" operator="greaterThan">
      <formula>H34</formula>
    </cfRule>
    <cfRule type="cellIs" dxfId="7737" priority="2518" operator="lessThan">
      <formula>H34</formula>
    </cfRule>
  </conditionalFormatting>
  <conditionalFormatting sqref="J31">
    <cfRule type="expression" dxfId="7736" priority="2509">
      <formula>I31="-"</formula>
    </cfRule>
    <cfRule type="cellIs" dxfId="7735" priority="2510" operator="equal">
      <formula>"-"</formula>
    </cfRule>
    <cfRule type="cellIs" dxfId="7734" priority="2511" operator="equal">
      <formula>I31</formula>
    </cfRule>
    <cfRule type="cellIs" dxfId="7733" priority="2512" operator="greaterThan">
      <formula>I31</formula>
    </cfRule>
    <cfRule type="cellIs" dxfId="7732" priority="2513" operator="lessThan">
      <formula>I31</formula>
    </cfRule>
  </conditionalFormatting>
  <conditionalFormatting sqref="J32">
    <cfRule type="expression" dxfId="7731" priority="2504">
      <formula>I32="-"</formula>
    </cfRule>
    <cfRule type="cellIs" dxfId="7730" priority="2505" operator="equal">
      <formula>"-"</formula>
    </cfRule>
    <cfRule type="cellIs" dxfId="7729" priority="2506" operator="equal">
      <formula>I32</formula>
    </cfRule>
    <cfRule type="cellIs" dxfId="7728" priority="2507" operator="greaterThan">
      <formula>I32</formula>
    </cfRule>
    <cfRule type="cellIs" dxfId="7727" priority="2508" operator="lessThan">
      <formula>I32</formula>
    </cfRule>
  </conditionalFormatting>
  <conditionalFormatting sqref="J33">
    <cfRule type="expression" dxfId="7726" priority="2499">
      <formula>I33="-"</formula>
    </cfRule>
    <cfRule type="cellIs" dxfId="7725" priority="2500" operator="equal">
      <formula>"-"</formula>
    </cfRule>
    <cfRule type="cellIs" dxfId="7724" priority="2501" operator="equal">
      <formula>I33</formula>
    </cfRule>
    <cfRule type="cellIs" dxfId="7723" priority="2502" operator="greaterThan">
      <formula>I33</formula>
    </cfRule>
    <cfRule type="cellIs" dxfId="7722" priority="2503" operator="lessThan">
      <formula>I33</formula>
    </cfRule>
  </conditionalFormatting>
  <conditionalFormatting sqref="J34">
    <cfRule type="expression" dxfId="7721" priority="2494">
      <formula>I34="-"</formula>
    </cfRule>
    <cfRule type="cellIs" dxfId="7720" priority="2495" operator="equal">
      <formula>"-"</formula>
    </cfRule>
    <cfRule type="cellIs" dxfId="7719" priority="2496" operator="equal">
      <formula>I34</formula>
    </cfRule>
    <cfRule type="cellIs" dxfId="7718" priority="2497" operator="greaterThan">
      <formula>I34</formula>
    </cfRule>
    <cfRule type="cellIs" dxfId="7717" priority="2498" operator="lessThan">
      <formula>I34</formula>
    </cfRule>
  </conditionalFormatting>
  <conditionalFormatting sqref="M4">
    <cfRule type="cellIs" dxfId="7716" priority="2490" operator="equal">
      <formula>"-"</formula>
    </cfRule>
    <cfRule type="cellIs" dxfId="7715" priority="2491" operator="equal">
      <formula>0</formula>
    </cfRule>
    <cfRule type="cellIs" dxfId="7714" priority="2492" operator="greaterThan">
      <formula>0</formula>
    </cfRule>
    <cfRule type="cellIs" dxfId="7713" priority="2493" operator="lessThan">
      <formula>0</formula>
    </cfRule>
  </conditionalFormatting>
  <conditionalFormatting sqref="M5">
    <cfRule type="cellIs" dxfId="7712" priority="2486" operator="equal">
      <formula>"-"</formula>
    </cfRule>
    <cfRule type="cellIs" dxfId="7711" priority="2487" operator="equal">
      <formula>0</formula>
    </cfRule>
    <cfRule type="cellIs" dxfId="7710" priority="2488" operator="greaterThan">
      <formula>0</formula>
    </cfRule>
    <cfRule type="cellIs" dxfId="7709" priority="2489" operator="lessThan">
      <formula>0</formula>
    </cfRule>
  </conditionalFormatting>
  <conditionalFormatting sqref="M6">
    <cfRule type="cellIs" dxfId="7708" priority="2482" operator="equal">
      <formula>"-"</formula>
    </cfRule>
    <cfRule type="cellIs" dxfId="7707" priority="2483" operator="equal">
      <formula>0</formula>
    </cfRule>
    <cfRule type="cellIs" dxfId="7706" priority="2484" operator="greaterThan">
      <formula>0</formula>
    </cfRule>
    <cfRule type="cellIs" dxfId="7705" priority="2485" operator="lessThan">
      <formula>0</formula>
    </cfRule>
  </conditionalFormatting>
  <conditionalFormatting sqref="M7">
    <cfRule type="cellIs" dxfId="7704" priority="2478" operator="equal">
      <formula>"-"</formula>
    </cfRule>
    <cfRule type="cellIs" dxfId="7703" priority="2479" operator="equal">
      <formula>0</formula>
    </cfRule>
    <cfRule type="cellIs" dxfId="7702" priority="2480" operator="greaterThan">
      <formula>0</formula>
    </cfRule>
    <cfRule type="cellIs" dxfId="7701" priority="2481" operator="lessThan">
      <formula>0</formula>
    </cfRule>
  </conditionalFormatting>
  <conditionalFormatting sqref="M8">
    <cfRule type="cellIs" dxfId="7700" priority="2474" operator="equal">
      <formula>"-"</formula>
    </cfRule>
    <cfRule type="cellIs" dxfId="7699" priority="2475" operator="equal">
      <formula>0</formula>
    </cfRule>
    <cfRule type="cellIs" dxfId="7698" priority="2476" operator="greaterThan">
      <formula>0</formula>
    </cfRule>
    <cfRule type="cellIs" dxfId="7697" priority="2477" operator="lessThan">
      <formula>0</formula>
    </cfRule>
  </conditionalFormatting>
  <conditionalFormatting sqref="M9">
    <cfRule type="cellIs" dxfId="7696" priority="2470" operator="equal">
      <formula>"-"</formula>
    </cfRule>
    <cfRule type="cellIs" dxfId="7695" priority="2471" operator="equal">
      <formula>0</formula>
    </cfRule>
    <cfRule type="cellIs" dxfId="7694" priority="2472" operator="greaterThan">
      <formula>0</formula>
    </cfRule>
    <cfRule type="cellIs" dxfId="7693" priority="2473" operator="lessThan">
      <formula>0</formula>
    </cfRule>
  </conditionalFormatting>
  <conditionalFormatting sqref="M10">
    <cfRule type="cellIs" dxfId="7692" priority="2466" operator="equal">
      <formula>"-"</formula>
    </cfRule>
    <cfRule type="cellIs" dxfId="7691" priority="2467" operator="equal">
      <formula>0</formula>
    </cfRule>
    <cfRule type="cellIs" dxfId="7690" priority="2468" operator="greaterThan">
      <formula>0</formula>
    </cfRule>
    <cfRule type="cellIs" dxfId="7689" priority="2469" operator="lessThan">
      <formula>0</formula>
    </cfRule>
  </conditionalFormatting>
  <conditionalFormatting sqref="M11">
    <cfRule type="cellIs" dxfId="7688" priority="2462" operator="equal">
      <formula>"-"</formula>
    </cfRule>
    <cfRule type="cellIs" dxfId="7687" priority="2463" operator="equal">
      <formula>0</formula>
    </cfRule>
    <cfRule type="cellIs" dxfId="7686" priority="2464" operator="greaterThan">
      <formula>0</formula>
    </cfRule>
    <cfRule type="cellIs" dxfId="7685" priority="2465" operator="lessThan">
      <formula>0</formula>
    </cfRule>
  </conditionalFormatting>
  <conditionalFormatting sqref="M12">
    <cfRule type="cellIs" dxfId="7684" priority="2458" operator="equal">
      <formula>"-"</formula>
    </cfRule>
    <cfRule type="cellIs" dxfId="7683" priority="2459" operator="equal">
      <formula>0</formula>
    </cfRule>
    <cfRule type="cellIs" dxfId="7682" priority="2460" operator="greaterThan">
      <formula>0</formula>
    </cfRule>
    <cfRule type="cellIs" dxfId="7681" priority="2461" operator="lessThan">
      <formula>0</formula>
    </cfRule>
  </conditionalFormatting>
  <conditionalFormatting sqref="M13">
    <cfRule type="cellIs" dxfId="7680" priority="2454" operator="equal">
      <formula>"-"</formula>
    </cfRule>
    <cfRule type="cellIs" dxfId="7679" priority="2455" operator="equal">
      <formula>0</formula>
    </cfRule>
    <cfRule type="cellIs" dxfId="7678" priority="2456" operator="greaterThan">
      <formula>0</formula>
    </cfRule>
    <cfRule type="cellIs" dxfId="7677" priority="2457" operator="lessThan">
      <formula>0</formula>
    </cfRule>
  </conditionalFormatting>
  <conditionalFormatting sqref="M14">
    <cfRule type="cellIs" dxfId="7676" priority="2450" operator="equal">
      <formula>"-"</formula>
    </cfRule>
    <cfRule type="cellIs" dxfId="7675" priority="2451" operator="equal">
      <formula>0</formula>
    </cfRule>
    <cfRule type="cellIs" dxfId="7674" priority="2452" operator="greaterThan">
      <formula>0</formula>
    </cfRule>
    <cfRule type="cellIs" dxfId="7673" priority="2453" operator="lessThan">
      <formula>0</formula>
    </cfRule>
  </conditionalFormatting>
  <conditionalFormatting sqref="M15">
    <cfRule type="cellIs" dxfId="7672" priority="2446" operator="equal">
      <formula>"-"</formula>
    </cfRule>
    <cfRule type="cellIs" dxfId="7671" priority="2447" operator="equal">
      <formula>0</formula>
    </cfRule>
    <cfRule type="cellIs" dxfId="7670" priority="2448" operator="greaterThan">
      <formula>0</formula>
    </cfRule>
    <cfRule type="cellIs" dxfId="7669" priority="2449" operator="lessThan">
      <formula>0</formula>
    </cfRule>
  </conditionalFormatting>
  <conditionalFormatting sqref="M16">
    <cfRule type="cellIs" dxfId="7668" priority="2442" operator="equal">
      <formula>"-"</formula>
    </cfRule>
    <cfRule type="cellIs" dxfId="7667" priority="2443" operator="equal">
      <formula>0</formula>
    </cfRule>
    <cfRule type="cellIs" dxfId="7666" priority="2444" operator="greaterThan">
      <formula>0</formula>
    </cfRule>
    <cfRule type="cellIs" dxfId="7665" priority="2445" operator="lessThan">
      <formula>0</formula>
    </cfRule>
  </conditionalFormatting>
  <conditionalFormatting sqref="M17">
    <cfRule type="cellIs" dxfId="7664" priority="2438" operator="equal">
      <formula>"-"</formula>
    </cfRule>
    <cfRule type="cellIs" dxfId="7663" priority="2439" operator="equal">
      <formula>0</formula>
    </cfRule>
    <cfRule type="cellIs" dxfId="7662" priority="2440" operator="greaterThan">
      <formula>0</formula>
    </cfRule>
    <cfRule type="cellIs" dxfId="7661" priority="2441" operator="lessThan">
      <formula>0</formula>
    </cfRule>
  </conditionalFormatting>
  <conditionalFormatting sqref="M18">
    <cfRule type="cellIs" dxfId="7660" priority="2434" operator="equal">
      <formula>"-"</formula>
    </cfRule>
    <cfRule type="cellIs" dxfId="7659" priority="2435" operator="equal">
      <formula>0</formula>
    </cfRule>
    <cfRule type="cellIs" dxfId="7658" priority="2436" operator="greaterThan">
      <formula>0</formula>
    </cfRule>
    <cfRule type="cellIs" dxfId="7657" priority="2437" operator="lessThan">
      <formula>0</formula>
    </cfRule>
  </conditionalFormatting>
  <conditionalFormatting sqref="M19">
    <cfRule type="cellIs" dxfId="7656" priority="2430" operator="equal">
      <formula>"-"</formula>
    </cfRule>
    <cfRule type="cellIs" dxfId="7655" priority="2431" operator="equal">
      <formula>0</formula>
    </cfRule>
    <cfRule type="cellIs" dxfId="7654" priority="2432" operator="greaterThan">
      <formula>0</formula>
    </cfRule>
    <cfRule type="cellIs" dxfId="7653" priority="2433" operator="lessThan">
      <formula>0</formula>
    </cfRule>
  </conditionalFormatting>
  <conditionalFormatting sqref="M20">
    <cfRule type="cellIs" dxfId="7652" priority="2426" operator="equal">
      <formula>"-"</formula>
    </cfRule>
    <cfRule type="cellIs" dxfId="7651" priority="2427" operator="equal">
      <formula>0</formula>
    </cfRule>
    <cfRule type="cellIs" dxfId="7650" priority="2428" operator="greaterThan">
      <formula>0</formula>
    </cfRule>
    <cfRule type="cellIs" dxfId="7649" priority="2429" operator="lessThan">
      <formula>0</formula>
    </cfRule>
  </conditionalFormatting>
  <conditionalFormatting sqref="M21">
    <cfRule type="cellIs" dxfId="7648" priority="2422" operator="equal">
      <formula>"-"</formula>
    </cfRule>
    <cfRule type="cellIs" dxfId="7647" priority="2423" operator="equal">
      <formula>0</formula>
    </cfRule>
    <cfRule type="cellIs" dxfId="7646" priority="2424" operator="greaterThan">
      <formula>0</formula>
    </cfRule>
    <cfRule type="cellIs" dxfId="7645" priority="2425" operator="lessThan">
      <formula>0</formula>
    </cfRule>
  </conditionalFormatting>
  <conditionalFormatting sqref="M22">
    <cfRule type="cellIs" dxfId="7644" priority="2418" operator="equal">
      <formula>"-"</formula>
    </cfRule>
    <cfRule type="cellIs" dxfId="7643" priority="2419" operator="equal">
      <formula>0</formula>
    </cfRule>
    <cfRule type="cellIs" dxfId="7642" priority="2420" operator="greaterThan">
      <formula>0</formula>
    </cfRule>
    <cfRule type="cellIs" dxfId="7641" priority="2421" operator="lessThan">
      <formula>0</formula>
    </cfRule>
  </conditionalFormatting>
  <conditionalFormatting sqref="M23">
    <cfRule type="cellIs" dxfId="7640" priority="2414" operator="equal">
      <formula>"-"</formula>
    </cfRule>
    <cfRule type="cellIs" dxfId="7639" priority="2415" operator="equal">
      <formula>0</formula>
    </cfRule>
    <cfRule type="cellIs" dxfId="7638" priority="2416" operator="greaterThan">
      <formula>0</formula>
    </cfRule>
    <cfRule type="cellIs" dxfId="7637" priority="2417" operator="lessThan">
      <formula>0</formula>
    </cfRule>
  </conditionalFormatting>
  <conditionalFormatting sqref="M24">
    <cfRule type="cellIs" dxfId="7636" priority="2410" operator="equal">
      <formula>"-"</formula>
    </cfRule>
    <cfRule type="cellIs" dxfId="7635" priority="2411" operator="equal">
      <formula>0</formula>
    </cfRule>
    <cfRule type="cellIs" dxfId="7634" priority="2412" operator="greaterThan">
      <formula>0</formula>
    </cfRule>
    <cfRule type="cellIs" dxfId="7633" priority="2413" operator="lessThan">
      <formula>0</formula>
    </cfRule>
  </conditionalFormatting>
  <conditionalFormatting sqref="M25">
    <cfRule type="cellIs" dxfId="7632" priority="2406" operator="equal">
      <formula>"-"</formula>
    </cfRule>
    <cfRule type="cellIs" dxfId="7631" priority="2407" operator="equal">
      <formula>0</formula>
    </cfRule>
    <cfRule type="cellIs" dxfId="7630" priority="2408" operator="greaterThan">
      <formula>0</formula>
    </cfRule>
    <cfRule type="cellIs" dxfId="7629" priority="2409" operator="lessThan">
      <formula>0</formula>
    </cfRule>
  </conditionalFormatting>
  <conditionalFormatting sqref="M26">
    <cfRule type="cellIs" dxfId="7628" priority="2402" operator="equal">
      <formula>"-"</formula>
    </cfRule>
    <cfRule type="cellIs" dxfId="7627" priority="2403" operator="equal">
      <formula>0</formula>
    </cfRule>
    <cfRule type="cellIs" dxfId="7626" priority="2404" operator="greaterThan">
      <formula>0</formula>
    </cfRule>
    <cfRule type="cellIs" dxfId="7625" priority="2405" operator="lessThan">
      <formula>0</formula>
    </cfRule>
  </conditionalFormatting>
  <conditionalFormatting sqref="M27">
    <cfRule type="cellIs" dxfId="7624" priority="2398" operator="equal">
      <formula>"-"</formula>
    </cfRule>
    <cfRule type="cellIs" dxfId="7623" priority="2399" operator="equal">
      <formula>0</formula>
    </cfRule>
    <cfRule type="cellIs" dxfId="7622" priority="2400" operator="greaterThan">
      <formula>0</formula>
    </cfRule>
    <cfRule type="cellIs" dxfId="7621" priority="2401" operator="lessThan">
      <formula>0</formula>
    </cfRule>
  </conditionalFormatting>
  <conditionalFormatting sqref="M28">
    <cfRule type="cellIs" dxfId="7620" priority="2394" operator="equal">
      <formula>"-"</formula>
    </cfRule>
    <cfRule type="cellIs" dxfId="7619" priority="2395" operator="equal">
      <formula>0</formula>
    </cfRule>
    <cfRule type="cellIs" dxfId="7618" priority="2396" operator="greaterThan">
      <formula>0</formula>
    </cfRule>
    <cfRule type="cellIs" dxfId="7617" priority="2397" operator="lessThan">
      <formula>0</formula>
    </cfRule>
  </conditionalFormatting>
  <conditionalFormatting sqref="N4">
    <cfRule type="cellIs" dxfId="7616" priority="2390" operator="equal">
      <formula>"-"</formula>
    </cfRule>
    <cfRule type="cellIs" dxfId="7615" priority="2391" operator="equal">
      <formula>0</formula>
    </cfRule>
    <cfRule type="cellIs" dxfId="7614" priority="2392" operator="greaterThan">
      <formula>0</formula>
    </cfRule>
    <cfRule type="cellIs" dxfId="7613" priority="2393" operator="lessThan">
      <formula>0</formula>
    </cfRule>
  </conditionalFormatting>
  <conditionalFormatting sqref="N5">
    <cfRule type="cellIs" dxfId="7612" priority="2386" operator="equal">
      <formula>"-"</formula>
    </cfRule>
    <cfRule type="cellIs" dxfId="7611" priority="2387" operator="equal">
      <formula>0</formula>
    </cfRule>
    <cfRule type="cellIs" dxfId="7610" priority="2388" operator="greaterThan">
      <formula>0</formula>
    </cfRule>
    <cfRule type="cellIs" dxfId="7609" priority="2389" operator="lessThan">
      <formula>0</formula>
    </cfRule>
  </conditionalFormatting>
  <conditionalFormatting sqref="N6">
    <cfRule type="cellIs" dxfId="7608" priority="2382" operator="equal">
      <formula>"-"</formula>
    </cfRule>
    <cfRule type="cellIs" dxfId="7607" priority="2383" operator="equal">
      <formula>0</formula>
    </cfRule>
    <cfRule type="cellIs" dxfId="7606" priority="2384" operator="greaterThan">
      <formula>0</formula>
    </cfRule>
    <cfRule type="cellIs" dxfId="7605" priority="2385" operator="lessThan">
      <formula>0</formula>
    </cfRule>
  </conditionalFormatting>
  <conditionalFormatting sqref="N7">
    <cfRule type="cellIs" dxfId="7604" priority="2378" operator="equal">
      <formula>"-"</formula>
    </cfRule>
    <cfRule type="cellIs" dxfId="7603" priority="2379" operator="equal">
      <formula>0</formula>
    </cfRule>
    <cfRule type="cellIs" dxfId="7602" priority="2380" operator="greaterThan">
      <formula>0</formula>
    </cfRule>
    <cfRule type="cellIs" dxfId="7601" priority="2381" operator="lessThan">
      <formula>0</formula>
    </cfRule>
  </conditionalFormatting>
  <conditionalFormatting sqref="N8">
    <cfRule type="cellIs" dxfId="7600" priority="2374" operator="equal">
      <formula>"-"</formula>
    </cfRule>
    <cfRule type="cellIs" dxfId="7599" priority="2375" operator="equal">
      <formula>0</formula>
    </cfRule>
    <cfRule type="cellIs" dxfId="7598" priority="2376" operator="greaterThan">
      <formula>0</formula>
    </cfRule>
    <cfRule type="cellIs" dxfId="7597" priority="2377" operator="lessThan">
      <formula>0</formula>
    </cfRule>
  </conditionalFormatting>
  <conditionalFormatting sqref="N9">
    <cfRule type="cellIs" dxfId="7596" priority="2370" operator="equal">
      <formula>"-"</formula>
    </cfRule>
    <cfRule type="cellIs" dxfId="7595" priority="2371" operator="equal">
      <formula>0</formula>
    </cfRule>
    <cfRule type="cellIs" dxfId="7594" priority="2372" operator="greaterThan">
      <formula>0</formula>
    </cfRule>
    <cfRule type="cellIs" dxfId="7593" priority="2373" operator="lessThan">
      <formula>0</formula>
    </cfRule>
  </conditionalFormatting>
  <conditionalFormatting sqref="N10">
    <cfRule type="cellIs" dxfId="7592" priority="2366" operator="equal">
      <formula>"-"</formula>
    </cfRule>
    <cfRule type="cellIs" dxfId="7591" priority="2367" operator="equal">
      <formula>0</formula>
    </cfRule>
    <cfRule type="cellIs" dxfId="7590" priority="2368" operator="greaterThan">
      <formula>0</formula>
    </cfRule>
    <cfRule type="cellIs" dxfId="7589" priority="2369" operator="lessThan">
      <formula>0</formula>
    </cfRule>
  </conditionalFormatting>
  <conditionalFormatting sqref="N11">
    <cfRule type="cellIs" dxfId="7588" priority="2362" operator="equal">
      <formula>"-"</formula>
    </cfRule>
    <cfRule type="cellIs" dxfId="7587" priority="2363" operator="equal">
      <formula>0</formula>
    </cfRule>
    <cfRule type="cellIs" dxfId="7586" priority="2364" operator="greaterThan">
      <formula>0</formula>
    </cfRule>
    <cfRule type="cellIs" dxfId="7585" priority="2365" operator="lessThan">
      <formula>0</formula>
    </cfRule>
  </conditionalFormatting>
  <conditionalFormatting sqref="N12">
    <cfRule type="cellIs" dxfId="7584" priority="2358" operator="equal">
      <formula>"-"</formula>
    </cfRule>
    <cfRule type="cellIs" dxfId="7583" priority="2359" operator="equal">
      <formula>0</formula>
    </cfRule>
    <cfRule type="cellIs" dxfId="7582" priority="2360" operator="greaterThan">
      <formula>0</formula>
    </cfRule>
    <cfRule type="cellIs" dxfId="7581" priority="2361" operator="lessThan">
      <formula>0</formula>
    </cfRule>
  </conditionalFormatting>
  <conditionalFormatting sqref="N13">
    <cfRule type="cellIs" dxfId="7580" priority="2354" operator="equal">
      <formula>"-"</formula>
    </cfRule>
    <cfRule type="cellIs" dxfId="7579" priority="2355" operator="equal">
      <formula>0</formula>
    </cfRule>
    <cfRule type="cellIs" dxfId="7578" priority="2356" operator="greaterThan">
      <formula>0</formula>
    </cfRule>
    <cfRule type="cellIs" dxfId="7577" priority="2357" operator="lessThan">
      <formula>0</formula>
    </cfRule>
  </conditionalFormatting>
  <conditionalFormatting sqref="N14">
    <cfRule type="cellIs" dxfId="7576" priority="2350" operator="equal">
      <formula>"-"</formula>
    </cfRule>
    <cfRule type="cellIs" dxfId="7575" priority="2351" operator="equal">
      <formula>0</formula>
    </cfRule>
    <cfRule type="cellIs" dxfId="7574" priority="2352" operator="greaterThan">
      <formula>0</formula>
    </cfRule>
    <cfRule type="cellIs" dxfId="7573" priority="2353" operator="lessThan">
      <formula>0</formula>
    </cfRule>
  </conditionalFormatting>
  <conditionalFormatting sqref="N15">
    <cfRule type="cellIs" dxfId="7572" priority="2346" operator="equal">
      <formula>"-"</formula>
    </cfRule>
    <cfRule type="cellIs" dxfId="7571" priority="2347" operator="equal">
      <formula>0</formula>
    </cfRule>
    <cfRule type="cellIs" dxfId="7570" priority="2348" operator="greaterThan">
      <formula>0</formula>
    </cfRule>
    <cfRule type="cellIs" dxfId="7569" priority="2349" operator="lessThan">
      <formula>0</formula>
    </cfRule>
  </conditionalFormatting>
  <conditionalFormatting sqref="N16">
    <cfRule type="cellIs" dxfId="7568" priority="2342" operator="equal">
      <formula>"-"</formula>
    </cfRule>
    <cfRule type="cellIs" dxfId="7567" priority="2343" operator="equal">
      <formula>0</formula>
    </cfRule>
    <cfRule type="cellIs" dxfId="7566" priority="2344" operator="greaterThan">
      <formula>0</formula>
    </cfRule>
    <cfRule type="cellIs" dxfId="7565" priority="2345" operator="lessThan">
      <formula>0</formula>
    </cfRule>
  </conditionalFormatting>
  <conditionalFormatting sqref="N17">
    <cfRule type="cellIs" dxfId="7564" priority="2338" operator="equal">
      <formula>"-"</formula>
    </cfRule>
    <cfRule type="cellIs" dxfId="7563" priority="2339" operator="equal">
      <formula>0</formula>
    </cfRule>
    <cfRule type="cellIs" dxfId="7562" priority="2340" operator="greaterThan">
      <formula>0</formula>
    </cfRule>
    <cfRule type="cellIs" dxfId="7561" priority="2341" operator="lessThan">
      <formula>0</formula>
    </cfRule>
  </conditionalFormatting>
  <conditionalFormatting sqref="N18">
    <cfRule type="cellIs" dxfId="7560" priority="2334" operator="equal">
      <formula>"-"</formula>
    </cfRule>
    <cfRule type="cellIs" dxfId="7559" priority="2335" operator="equal">
      <formula>0</formula>
    </cfRule>
    <cfRule type="cellIs" dxfId="7558" priority="2336" operator="greaterThan">
      <formula>0</formula>
    </cfRule>
    <cfRule type="cellIs" dxfId="7557" priority="2337" operator="lessThan">
      <formula>0</formula>
    </cfRule>
  </conditionalFormatting>
  <conditionalFormatting sqref="N19">
    <cfRule type="cellIs" dxfId="7556" priority="2330" operator="equal">
      <formula>"-"</formula>
    </cfRule>
    <cfRule type="cellIs" dxfId="7555" priority="2331" operator="equal">
      <formula>0</formula>
    </cfRule>
    <cfRule type="cellIs" dxfId="7554" priority="2332" operator="greaterThan">
      <formula>0</formula>
    </cfRule>
    <cfRule type="cellIs" dxfId="7553" priority="2333" operator="lessThan">
      <formula>0</formula>
    </cfRule>
  </conditionalFormatting>
  <conditionalFormatting sqref="N20">
    <cfRule type="cellIs" dxfId="7552" priority="2326" operator="equal">
      <formula>"-"</formula>
    </cfRule>
    <cfRule type="cellIs" dxfId="7551" priority="2327" operator="equal">
      <formula>0</formula>
    </cfRule>
    <cfRule type="cellIs" dxfId="7550" priority="2328" operator="greaterThan">
      <formula>0</formula>
    </cfRule>
    <cfRule type="cellIs" dxfId="7549" priority="2329" operator="lessThan">
      <formula>0</formula>
    </cfRule>
  </conditionalFormatting>
  <conditionalFormatting sqref="N21">
    <cfRule type="cellIs" dxfId="7548" priority="2322" operator="equal">
      <formula>"-"</formula>
    </cfRule>
    <cfRule type="cellIs" dxfId="7547" priority="2323" operator="equal">
      <formula>0</formula>
    </cfRule>
    <cfRule type="cellIs" dxfId="7546" priority="2324" operator="greaterThan">
      <formula>0</formula>
    </cfRule>
    <cfRule type="cellIs" dxfId="7545" priority="2325" operator="lessThan">
      <formula>0</formula>
    </cfRule>
  </conditionalFormatting>
  <conditionalFormatting sqref="N22">
    <cfRule type="cellIs" dxfId="7544" priority="2318" operator="equal">
      <formula>"-"</formula>
    </cfRule>
    <cfRule type="cellIs" dxfId="7543" priority="2319" operator="equal">
      <formula>0</formula>
    </cfRule>
    <cfRule type="cellIs" dxfId="7542" priority="2320" operator="greaterThan">
      <formula>0</formula>
    </cfRule>
    <cfRule type="cellIs" dxfId="7541" priority="2321" operator="lessThan">
      <formula>0</formula>
    </cfRule>
  </conditionalFormatting>
  <conditionalFormatting sqref="N23">
    <cfRule type="cellIs" dxfId="7540" priority="2314" operator="equal">
      <formula>"-"</formula>
    </cfRule>
    <cfRule type="cellIs" dxfId="7539" priority="2315" operator="equal">
      <formula>0</formula>
    </cfRule>
    <cfRule type="cellIs" dxfId="7538" priority="2316" operator="greaterThan">
      <formula>0</formula>
    </cfRule>
    <cfRule type="cellIs" dxfId="7537" priority="2317" operator="lessThan">
      <formula>0</formula>
    </cfRule>
  </conditionalFormatting>
  <conditionalFormatting sqref="N24">
    <cfRule type="cellIs" dxfId="7536" priority="2310" operator="equal">
      <formula>"-"</formula>
    </cfRule>
    <cfRule type="cellIs" dxfId="7535" priority="2311" operator="equal">
      <formula>0</formula>
    </cfRule>
    <cfRule type="cellIs" dxfId="7534" priority="2312" operator="greaterThan">
      <formula>0</formula>
    </cfRule>
    <cfRule type="cellIs" dxfId="7533" priority="2313" operator="lessThan">
      <formula>0</formula>
    </cfRule>
  </conditionalFormatting>
  <conditionalFormatting sqref="N25">
    <cfRule type="cellIs" dxfId="7532" priority="2306" operator="equal">
      <formula>"-"</formula>
    </cfRule>
    <cfRule type="cellIs" dxfId="7531" priority="2307" operator="equal">
      <formula>0</formula>
    </cfRule>
    <cfRule type="cellIs" dxfId="7530" priority="2308" operator="greaterThan">
      <formula>0</formula>
    </cfRule>
    <cfRule type="cellIs" dxfId="7529" priority="2309" operator="lessThan">
      <formula>0</formula>
    </cfRule>
  </conditionalFormatting>
  <conditionalFormatting sqref="N26">
    <cfRule type="cellIs" dxfId="7528" priority="2302" operator="equal">
      <formula>"-"</formula>
    </cfRule>
    <cfRule type="cellIs" dxfId="7527" priority="2303" operator="equal">
      <formula>0</formula>
    </cfRule>
    <cfRule type="cellIs" dxfId="7526" priority="2304" operator="greaterThan">
      <formula>0</formula>
    </cfRule>
    <cfRule type="cellIs" dxfId="7525" priority="2305" operator="lessThan">
      <formula>0</formula>
    </cfRule>
  </conditionalFormatting>
  <conditionalFormatting sqref="N27">
    <cfRule type="cellIs" dxfId="7524" priority="2298" operator="equal">
      <formula>"-"</formula>
    </cfRule>
    <cfRule type="cellIs" dxfId="7523" priority="2299" operator="equal">
      <formula>0</formula>
    </cfRule>
    <cfRule type="cellIs" dxfId="7522" priority="2300" operator="greaterThan">
      <formula>0</formula>
    </cfRule>
    <cfRule type="cellIs" dxfId="7521" priority="2301" operator="lessThan">
      <formula>0</formula>
    </cfRule>
  </conditionalFormatting>
  <conditionalFormatting sqref="N28">
    <cfRule type="cellIs" dxfId="7520" priority="2294" operator="equal">
      <formula>"-"</formula>
    </cfRule>
    <cfRule type="cellIs" dxfId="7519" priority="2295" operator="equal">
      <formula>0</formula>
    </cfRule>
    <cfRule type="cellIs" dxfId="7518" priority="2296" operator="greaterThan">
      <formula>0</formula>
    </cfRule>
    <cfRule type="cellIs" dxfId="7517" priority="2297" operator="lessThan">
      <formula>0</formula>
    </cfRule>
  </conditionalFormatting>
  <conditionalFormatting sqref="O4">
    <cfRule type="cellIs" dxfId="7516" priority="2290" operator="equal">
      <formula>"-"</formula>
    </cfRule>
    <cfRule type="cellIs" dxfId="7515" priority="2291" operator="equal">
      <formula>0</formula>
    </cfRule>
    <cfRule type="cellIs" dxfId="7514" priority="2292" operator="greaterThan">
      <formula>0</formula>
    </cfRule>
    <cfRule type="cellIs" dxfId="7513" priority="2293" operator="lessThan">
      <formula>0</formula>
    </cfRule>
  </conditionalFormatting>
  <conditionalFormatting sqref="O5">
    <cfRule type="cellIs" dxfId="7512" priority="2286" operator="equal">
      <formula>"-"</formula>
    </cfRule>
    <cfRule type="cellIs" dxfId="7511" priority="2287" operator="equal">
      <formula>0</formula>
    </cfRule>
    <cfRule type="cellIs" dxfId="7510" priority="2288" operator="greaterThan">
      <formula>0</formula>
    </cfRule>
    <cfRule type="cellIs" dxfId="7509" priority="2289" operator="lessThan">
      <formula>0</formula>
    </cfRule>
  </conditionalFormatting>
  <conditionalFormatting sqref="O6">
    <cfRule type="cellIs" dxfId="7508" priority="2282" operator="equal">
      <formula>"-"</formula>
    </cfRule>
    <cfRule type="cellIs" dxfId="7507" priority="2283" operator="equal">
      <formula>0</formula>
    </cfRule>
    <cfRule type="cellIs" dxfId="7506" priority="2284" operator="greaterThan">
      <formula>0</formula>
    </cfRule>
    <cfRule type="cellIs" dxfId="7505" priority="2285" operator="lessThan">
      <formula>0</formula>
    </cfRule>
  </conditionalFormatting>
  <conditionalFormatting sqref="O7">
    <cfRule type="cellIs" dxfId="7504" priority="2278" operator="equal">
      <formula>"-"</formula>
    </cfRule>
    <cfRule type="cellIs" dxfId="7503" priority="2279" operator="equal">
      <formula>0</formula>
    </cfRule>
    <cfRule type="cellIs" dxfId="7502" priority="2280" operator="greaterThan">
      <formula>0</formula>
    </cfRule>
    <cfRule type="cellIs" dxfId="7501" priority="2281" operator="lessThan">
      <formula>0</formula>
    </cfRule>
  </conditionalFormatting>
  <conditionalFormatting sqref="O8">
    <cfRule type="cellIs" dxfId="7500" priority="2274" operator="equal">
      <formula>"-"</formula>
    </cfRule>
    <cfRule type="cellIs" dxfId="7499" priority="2275" operator="equal">
      <formula>0</formula>
    </cfRule>
    <cfRule type="cellIs" dxfId="7498" priority="2276" operator="greaterThan">
      <formula>0</formula>
    </cfRule>
    <cfRule type="cellIs" dxfId="7497" priority="2277" operator="lessThan">
      <formula>0</formula>
    </cfRule>
  </conditionalFormatting>
  <conditionalFormatting sqref="O9">
    <cfRule type="cellIs" dxfId="7496" priority="2270" operator="equal">
      <formula>"-"</formula>
    </cfRule>
    <cfRule type="cellIs" dxfId="7495" priority="2271" operator="equal">
      <formula>0</formula>
    </cfRule>
    <cfRule type="cellIs" dxfId="7494" priority="2272" operator="greaterThan">
      <formula>0</formula>
    </cfRule>
    <cfRule type="cellIs" dxfId="7493" priority="2273" operator="lessThan">
      <formula>0</formula>
    </cfRule>
  </conditionalFormatting>
  <conditionalFormatting sqref="O10">
    <cfRule type="cellIs" dxfId="7492" priority="2266" operator="equal">
      <formula>"-"</formula>
    </cfRule>
    <cfRule type="cellIs" dxfId="7491" priority="2267" operator="equal">
      <formula>0</formula>
    </cfRule>
    <cfRule type="cellIs" dxfId="7490" priority="2268" operator="greaterThan">
      <formula>0</formula>
    </cfRule>
    <cfRule type="cellIs" dxfId="7489" priority="2269" operator="lessThan">
      <formula>0</formula>
    </cfRule>
  </conditionalFormatting>
  <conditionalFormatting sqref="O11">
    <cfRule type="cellIs" dxfId="7488" priority="2262" operator="equal">
      <formula>"-"</formula>
    </cfRule>
    <cfRule type="cellIs" dxfId="7487" priority="2263" operator="equal">
      <formula>0</formula>
    </cfRule>
    <cfRule type="cellIs" dxfId="7486" priority="2264" operator="greaterThan">
      <formula>0</formula>
    </cfRule>
    <cfRule type="cellIs" dxfId="7485" priority="2265" operator="lessThan">
      <formula>0</formula>
    </cfRule>
  </conditionalFormatting>
  <conditionalFormatting sqref="O12">
    <cfRule type="cellIs" dxfId="7484" priority="2258" operator="equal">
      <formula>"-"</formula>
    </cfRule>
    <cfRule type="cellIs" dxfId="7483" priority="2259" operator="equal">
      <formula>0</formula>
    </cfRule>
    <cfRule type="cellIs" dxfId="7482" priority="2260" operator="greaterThan">
      <formula>0</formula>
    </cfRule>
    <cfRule type="cellIs" dxfId="7481" priority="2261" operator="lessThan">
      <formula>0</formula>
    </cfRule>
  </conditionalFormatting>
  <conditionalFormatting sqref="O13">
    <cfRule type="cellIs" dxfId="7480" priority="2254" operator="equal">
      <formula>"-"</formula>
    </cfRule>
    <cfRule type="cellIs" dxfId="7479" priority="2255" operator="equal">
      <formula>0</formula>
    </cfRule>
    <cfRule type="cellIs" dxfId="7478" priority="2256" operator="greaterThan">
      <formula>0</formula>
    </cfRule>
    <cfRule type="cellIs" dxfId="7477" priority="2257" operator="lessThan">
      <formula>0</formula>
    </cfRule>
  </conditionalFormatting>
  <conditionalFormatting sqref="O14">
    <cfRule type="cellIs" dxfId="7476" priority="2250" operator="equal">
      <formula>"-"</formula>
    </cfRule>
    <cfRule type="cellIs" dxfId="7475" priority="2251" operator="equal">
      <formula>0</formula>
    </cfRule>
    <cfRule type="cellIs" dxfId="7474" priority="2252" operator="greaterThan">
      <formula>0</formula>
    </cfRule>
    <cfRule type="cellIs" dxfId="7473" priority="2253" operator="lessThan">
      <formula>0</formula>
    </cfRule>
  </conditionalFormatting>
  <conditionalFormatting sqref="O15">
    <cfRule type="cellIs" dxfId="7472" priority="2246" operator="equal">
      <formula>"-"</formula>
    </cfRule>
    <cfRule type="cellIs" dxfId="7471" priority="2247" operator="equal">
      <formula>0</formula>
    </cfRule>
    <cfRule type="cellIs" dxfId="7470" priority="2248" operator="greaterThan">
      <formula>0</formula>
    </cfRule>
    <cfRule type="cellIs" dxfId="7469" priority="2249" operator="lessThan">
      <formula>0</formula>
    </cfRule>
  </conditionalFormatting>
  <conditionalFormatting sqref="O16">
    <cfRule type="cellIs" dxfId="7468" priority="2242" operator="equal">
      <formula>"-"</formula>
    </cfRule>
    <cfRule type="cellIs" dxfId="7467" priority="2243" operator="equal">
      <formula>0</formula>
    </cfRule>
    <cfRule type="cellIs" dxfId="7466" priority="2244" operator="greaterThan">
      <formula>0</formula>
    </cfRule>
    <cfRule type="cellIs" dxfId="7465" priority="2245" operator="lessThan">
      <formula>0</formula>
    </cfRule>
  </conditionalFormatting>
  <conditionalFormatting sqref="O17">
    <cfRule type="cellIs" dxfId="7464" priority="2238" operator="equal">
      <formula>"-"</formula>
    </cfRule>
    <cfRule type="cellIs" dxfId="7463" priority="2239" operator="equal">
      <formula>0</formula>
    </cfRule>
    <cfRule type="cellIs" dxfId="7462" priority="2240" operator="greaterThan">
      <formula>0</formula>
    </cfRule>
    <cfRule type="cellIs" dxfId="7461" priority="2241" operator="lessThan">
      <formula>0</formula>
    </cfRule>
  </conditionalFormatting>
  <conditionalFormatting sqref="O18">
    <cfRule type="cellIs" dxfId="7460" priority="2234" operator="equal">
      <formula>"-"</formula>
    </cfRule>
    <cfRule type="cellIs" dxfId="7459" priority="2235" operator="equal">
      <formula>0</formula>
    </cfRule>
    <cfRule type="cellIs" dxfId="7458" priority="2236" operator="greaterThan">
      <formula>0</formula>
    </cfRule>
    <cfRule type="cellIs" dxfId="7457" priority="2237" operator="lessThan">
      <formula>0</formula>
    </cfRule>
  </conditionalFormatting>
  <conditionalFormatting sqref="O19">
    <cfRule type="cellIs" dxfId="7456" priority="2230" operator="equal">
      <formula>"-"</formula>
    </cfRule>
    <cfRule type="cellIs" dxfId="7455" priority="2231" operator="equal">
      <formula>0</formula>
    </cfRule>
    <cfRule type="cellIs" dxfId="7454" priority="2232" operator="greaterThan">
      <formula>0</formula>
    </cfRule>
    <cfRule type="cellIs" dxfId="7453" priority="2233" operator="lessThan">
      <formula>0</formula>
    </cfRule>
  </conditionalFormatting>
  <conditionalFormatting sqref="O20">
    <cfRule type="cellIs" dxfId="7452" priority="2226" operator="equal">
      <formula>"-"</formula>
    </cfRule>
    <cfRule type="cellIs" dxfId="7451" priority="2227" operator="equal">
      <formula>0</formula>
    </cfRule>
    <cfRule type="cellIs" dxfId="7450" priority="2228" operator="greaterThan">
      <formula>0</formula>
    </cfRule>
    <cfRule type="cellIs" dxfId="7449" priority="2229" operator="lessThan">
      <formula>0</formula>
    </cfRule>
  </conditionalFormatting>
  <conditionalFormatting sqref="O21">
    <cfRule type="cellIs" dxfId="7448" priority="2222" operator="equal">
      <formula>"-"</formula>
    </cfRule>
    <cfRule type="cellIs" dxfId="7447" priority="2223" operator="equal">
      <formula>0</formula>
    </cfRule>
    <cfRule type="cellIs" dxfId="7446" priority="2224" operator="greaterThan">
      <formula>0</formula>
    </cfRule>
    <cfRule type="cellIs" dxfId="7445" priority="2225" operator="lessThan">
      <formula>0</formula>
    </cfRule>
  </conditionalFormatting>
  <conditionalFormatting sqref="O22">
    <cfRule type="cellIs" dxfId="7444" priority="2218" operator="equal">
      <formula>"-"</formula>
    </cfRule>
    <cfRule type="cellIs" dxfId="7443" priority="2219" operator="equal">
      <formula>0</formula>
    </cfRule>
    <cfRule type="cellIs" dxfId="7442" priority="2220" operator="greaterThan">
      <formula>0</formula>
    </cfRule>
    <cfRule type="cellIs" dxfId="7441" priority="2221" operator="lessThan">
      <formula>0</formula>
    </cfRule>
  </conditionalFormatting>
  <conditionalFormatting sqref="O23">
    <cfRule type="cellIs" dxfId="7440" priority="2214" operator="equal">
      <formula>"-"</formula>
    </cfRule>
    <cfRule type="cellIs" dxfId="7439" priority="2215" operator="equal">
      <formula>0</formula>
    </cfRule>
    <cfRule type="cellIs" dxfId="7438" priority="2216" operator="greaterThan">
      <formula>0</formula>
    </cfRule>
    <cfRule type="cellIs" dxfId="7437" priority="2217" operator="lessThan">
      <formula>0</formula>
    </cfRule>
  </conditionalFormatting>
  <conditionalFormatting sqref="O24">
    <cfRule type="cellIs" dxfId="7436" priority="2210" operator="equal">
      <formula>"-"</formula>
    </cfRule>
    <cfRule type="cellIs" dxfId="7435" priority="2211" operator="equal">
      <formula>0</formula>
    </cfRule>
    <cfRule type="cellIs" dxfId="7434" priority="2212" operator="greaterThan">
      <formula>0</formula>
    </cfRule>
    <cfRule type="cellIs" dxfId="7433" priority="2213" operator="lessThan">
      <formula>0</formula>
    </cfRule>
  </conditionalFormatting>
  <conditionalFormatting sqref="O25">
    <cfRule type="cellIs" dxfId="7432" priority="2206" operator="equal">
      <formula>"-"</formula>
    </cfRule>
    <cfRule type="cellIs" dxfId="7431" priority="2207" operator="equal">
      <formula>0</formula>
    </cfRule>
    <cfRule type="cellIs" dxfId="7430" priority="2208" operator="greaterThan">
      <formula>0</formula>
    </cfRule>
    <cfRule type="cellIs" dxfId="7429" priority="2209" operator="lessThan">
      <formula>0</formula>
    </cfRule>
  </conditionalFormatting>
  <conditionalFormatting sqref="O26">
    <cfRule type="cellIs" dxfId="7428" priority="2202" operator="equal">
      <formula>"-"</formula>
    </cfRule>
    <cfRule type="cellIs" dxfId="7427" priority="2203" operator="equal">
      <formula>0</formula>
    </cfRule>
    <cfRule type="cellIs" dxfId="7426" priority="2204" operator="greaterThan">
      <formula>0</formula>
    </cfRule>
    <cfRule type="cellIs" dxfId="7425" priority="2205" operator="lessThan">
      <formula>0</formula>
    </cfRule>
  </conditionalFormatting>
  <conditionalFormatting sqref="O27">
    <cfRule type="cellIs" dxfId="7424" priority="2198" operator="equal">
      <formula>"-"</formula>
    </cfRule>
    <cfRule type="cellIs" dxfId="7423" priority="2199" operator="equal">
      <formula>0</formula>
    </cfRule>
    <cfRule type="cellIs" dxfId="7422" priority="2200" operator="greaterThan">
      <formula>0</formula>
    </cfRule>
    <cfRule type="cellIs" dxfId="7421" priority="2201" operator="lessThan">
      <formula>0</formula>
    </cfRule>
  </conditionalFormatting>
  <conditionalFormatting sqref="O28">
    <cfRule type="cellIs" dxfId="7420" priority="2194" operator="equal">
      <formula>"-"</formula>
    </cfRule>
    <cfRule type="cellIs" dxfId="7419" priority="2195" operator="equal">
      <formula>0</formula>
    </cfRule>
    <cfRule type="cellIs" dxfId="7418" priority="2196" operator="greaterThan">
      <formula>0</formula>
    </cfRule>
    <cfRule type="cellIs" dxfId="7417" priority="2197" operator="lessThan">
      <formula>0</formula>
    </cfRule>
  </conditionalFormatting>
  <conditionalFormatting sqref="M29">
    <cfRule type="cellIs" dxfId="7416" priority="2190" operator="equal">
      <formula>"-"</formula>
    </cfRule>
    <cfRule type="cellIs" dxfId="7415" priority="2191" operator="equal">
      <formula>0</formula>
    </cfRule>
    <cfRule type="cellIs" dxfId="7414" priority="2192" operator="greaterThan">
      <formula>0</formula>
    </cfRule>
    <cfRule type="cellIs" dxfId="7413" priority="2193" operator="lessThan">
      <formula>0</formula>
    </cfRule>
  </conditionalFormatting>
  <conditionalFormatting sqref="M30">
    <cfRule type="cellIs" dxfId="7412" priority="2186" operator="equal">
      <formula>"-"</formula>
    </cfRule>
    <cfRule type="cellIs" dxfId="7411" priority="2187" operator="equal">
      <formula>0</formula>
    </cfRule>
    <cfRule type="cellIs" dxfId="7410" priority="2188" operator="greaterThan">
      <formula>0</formula>
    </cfRule>
    <cfRule type="cellIs" dxfId="7409" priority="2189" operator="lessThan">
      <formula>0</formula>
    </cfRule>
  </conditionalFormatting>
  <conditionalFormatting sqref="N29">
    <cfRule type="cellIs" dxfId="7408" priority="2182" operator="equal">
      <formula>"-"</formula>
    </cfRule>
    <cfRule type="cellIs" dxfId="7407" priority="2183" operator="equal">
      <formula>0</formula>
    </cfRule>
    <cfRule type="cellIs" dxfId="7406" priority="2184" operator="greaterThan">
      <formula>0</formula>
    </cfRule>
    <cfRule type="cellIs" dxfId="7405" priority="2185" operator="lessThan">
      <formula>0</formula>
    </cfRule>
  </conditionalFormatting>
  <conditionalFormatting sqref="N30">
    <cfRule type="cellIs" dxfId="7404" priority="2178" operator="equal">
      <formula>"-"</formula>
    </cfRule>
    <cfRule type="cellIs" dxfId="7403" priority="2179" operator="equal">
      <formula>0</formula>
    </cfRule>
    <cfRule type="cellIs" dxfId="7402" priority="2180" operator="greaterThan">
      <formula>0</formula>
    </cfRule>
    <cfRule type="cellIs" dxfId="7401" priority="2181" operator="lessThan">
      <formula>0</formula>
    </cfRule>
  </conditionalFormatting>
  <conditionalFormatting sqref="O29">
    <cfRule type="cellIs" dxfId="7400" priority="2174" operator="equal">
      <formula>"-"</formula>
    </cfRule>
    <cfRule type="cellIs" dxfId="7399" priority="2175" operator="equal">
      <formula>0</formula>
    </cfRule>
    <cfRule type="cellIs" dxfId="7398" priority="2176" operator="greaterThan">
      <formula>0</formula>
    </cfRule>
    <cfRule type="cellIs" dxfId="7397" priority="2177" operator="lessThan">
      <formula>0</formula>
    </cfRule>
  </conditionalFormatting>
  <conditionalFormatting sqref="O30">
    <cfRule type="cellIs" dxfId="7396" priority="2170" operator="equal">
      <formula>"-"</formula>
    </cfRule>
    <cfRule type="cellIs" dxfId="7395" priority="2171" operator="equal">
      <formula>0</formula>
    </cfRule>
    <cfRule type="cellIs" dxfId="7394" priority="2172" operator="greaterThan">
      <formula>0</formula>
    </cfRule>
    <cfRule type="cellIs" dxfId="7393" priority="2173" operator="lessThan">
      <formula>0</formula>
    </cfRule>
  </conditionalFormatting>
  <conditionalFormatting sqref="M31">
    <cfRule type="cellIs" dxfId="7392" priority="2166" operator="equal">
      <formula>"-"</formula>
    </cfRule>
    <cfRule type="cellIs" dxfId="7391" priority="2167" operator="equal">
      <formula>0</formula>
    </cfRule>
    <cfRule type="cellIs" dxfId="7390" priority="2168" operator="greaterThan">
      <formula>0</formula>
    </cfRule>
    <cfRule type="cellIs" dxfId="7389" priority="2169" operator="lessThan">
      <formula>0</formula>
    </cfRule>
  </conditionalFormatting>
  <conditionalFormatting sqref="M32">
    <cfRule type="cellIs" dxfId="7388" priority="2162" operator="equal">
      <formula>"-"</formula>
    </cfRule>
    <cfRule type="cellIs" dxfId="7387" priority="2163" operator="equal">
      <formula>0</formula>
    </cfRule>
    <cfRule type="cellIs" dxfId="7386" priority="2164" operator="greaterThan">
      <formula>0</formula>
    </cfRule>
    <cfRule type="cellIs" dxfId="7385" priority="2165" operator="lessThan">
      <formula>0</formula>
    </cfRule>
  </conditionalFormatting>
  <conditionalFormatting sqref="M33">
    <cfRule type="cellIs" dxfId="7384" priority="2158" operator="equal">
      <formula>"-"</formula>
    </cfRule>
    <cfRule type="cellIs" dxfId="7383" priority="2159" operator="equal">
      <formula>0</formula>
    </cfRule>
    <cfRule type="cellIs" dxfId="7382" priority="2160" operator="greaterThan">
      <formula>0</formula>
    </cfRule>
    <cfRule type="cellIs" dxfId="7381" priority="2161" operator="lessThan">
      <formula>0</formula>
    </cfRule>
  </conditionalFormatting>
  <conditionalFormatting sqref="N31">
    <cfRule type="cellIs" dxfId="7380" priority="2154" operator="equal">
      <formula>"-"</formula>
    </cfRule>
    <cfRule type="cellIs" dxfId="7379" priority="2155" operator="equal">
      <formula>0</formula>
    </cfRule>
    <cfRule type="cellIs" dxfId="7378" priority="2156" operator="greaterThan">
      <formula>0</formula>
    </cfRule>
    <cfRule type="cellIs" dxfId="7377" priority="2157" operator="lessThan">
      <formula>0</formula>
    </cfRule>
  </conditionalFormatting>
  <conditionalFormatting sqref="N32">
    <cfRule type="cellIs" dxfId="7376" priority="2150" operator="equal">
      <formula>"-"</formula>
    </cfRule>
    <cfRule type="cellIs" dxfId="7375" priority="2151" operator="equal">
      <formula>0</formula>
    </cfRule>
    <cfRule type="cellIs" dxfId="7374" priority="2152" operator="greaterThan">
      <formula>0</formula>
    </cfRule>
    <cfRule type="cellIs" dxfId="7373" priority="2153" operator="lessThan">
      <formula>0</formula>
    </cfRule>
  </conditionalFormatting>
  <conditionalFormatting sqref="N33">
    <cfRule type="cellIs" dxfId="7372" priority="2146" operator="equal">
      <formula>"-"</formula>
    </cfRule>
    <cfRule type="cellIs" dxfId="7371" priority="2147" operator="equal">
      <formula>0</formula>
    </cfRule>
    <cfRule type="cellIs" dxfId="7370" priority="2148" operator="greaterThan">
      <formula>0</formula>
    </cfRule>
    <cfRule type="cellIs" dxfId="7369" priority="2149" operator="lessThan">
      <formula>0</formula>
    </cfRule>
  </conditionalFormatting>
  <conditionalFormatting sqref="O31">
    <cfRule type="cellIs" dxfId="7368" priority="2142" operator="equal">
      <formula>"-"</formula>
    </cfRule>
    <cfRule type="cellIs" dxfId="7367" priority="2143" operator="equal">
      <formula>0</formula>
    </cfRule>
    <cfRule type="cellIs" dxfId="7366" priority="2144" operator="greaterThan">
      <formula>0</formula>
    </cfRule>
    <cfRule type="cellIs" dxfId="7365" priority="2145" operator="lessThan">
      <formula>0</formula>
    </cfRule>
  </conditionalFormatting>
  <conditionalFormatting sqref="O32">
    <cfRule type="cellIs" dxfId="7364" priority="2138" operator="equal">
      <formula>"-"</formula>
    </cfRule>
    <cfRule type="cellIs" dxfId="7363" priority="2139" operator="equal">
      <formula>0</formula>
    </cfRule>
    <cfRule type="cellIs" dxfId="7362" priority="2140" operator="greaterThan">
      <formula>0</formula>
    </cfRule>
    <cfRule type="cellIs" dxfId="7361" priority="2141" operator="lessThan">
      <formula>0</formula>
    </cfRule>
  </conditionalFormatting>
  <conditionalFormatting sqref="O33">
    <cfRule type="cellIs" dxfId="7360" priority="2134" operator="equal">
      <formula>"-"</formula>
    </cfRule>
    <cfRule type="cellIs" dxfId="7359" priority="2135" operator="equal">
      <formula>0</formula>
    </cfRule>
    <cfRule type="cellIs" dxfId="7358" priority="2136" operator="greaterThan">
      <formula>0</formula>
    </cfRule>
    <cfRule type="cellIs" dxfId="7357" priority="2137" operator="lessThan">
      <formula>0</formula>
    </cfRule>
  </conditionalFormatting>
  <conditionalFormatting sqref="S4">
    <cfRule type="expression" dxfId="7356" priority="2125">
      <formula>R4="-"</formula>
    </cfRule>
    <cfRule type="cellIs" dxfId="7355" priority="2126" operator="equal">
      <formula>"-"</formula>
    </cfRule>
    <cfRule type="cellIs" dxfId="7354" priority="2131" operator="equal">
      <formula>R4</formula>
    </cfRule>
    <cfRule type="cellIs" dxfId="7353" priority="2132" operator="greaterThan">
      <formula>R4</formula>
    </cfRule>
    <cfRule type="cellIs" dxfId="7352" priority="2133" operator="lessThan">
      <formula>R4</formula>
    </cfRule>
  </conditionalFormatting>
  <conditionalFormatting sqref="S5">
    <cfRule type="expression" dxfId="7351" priority="2120">
      <formula>R5="-"</formula>
    </cfRule>
    <cfRule type="cellIs" dxfId="7350" priority="2121" operator="equal">
      <formula>"-"</formula>
    </cfRule>
    <cfRule type="cellIs" dxfId="7349" priority="2122" operator="equal">
      <formula>R5</formula>
    </cfRule>
    <cfRule type="cellIs" dxfId="7348" priority="2123" operator="greaterThan">
      <formula>R5</formula>
    </cfRule>
    <cfRule type="cellIs" dxfId="7347" priority="2124" operator="lessThan">
      <formula>R5</formula>
    </cfRule>
  </conditionalFormatting>
  <conditionalFormatting sqref="S6">
    <cfRule type="expression" dxfId="7346" priority="2115">
      <formula>R6="-"</formula>
    </cfRule>
    <cfRule type="cellIs" dxfId="7345" priority="2116" operator="equal">
      <formula>"-"</formula>
    </cfRule>
    <cfRule type="cellIs" dxfId="7344" priority="2117" operator="equal">
      <formula>R6</formula>
    </cfRule>
    <cfRule type="cellIs" dxfId="7343" priority="2118" operator="greaterThan">
      <formula>R6</formula>
    </cfRule>
    <cfRule type="cellIs" dxfId="7342" priority="2119" operator="lessThan">
      <formula>R6</formula>
    </cfRule>
  </conditionalFormatting>
  <conditionalFormatting sqref="S7">
    <cfRule type="expression" dxfId="7341" priority="2110">
      <formula>R7="-"</formula>
    </cfRule>
    <cfRule type="cellIs" dxfId="7340" priority="2111" operator="equal">
      <formula>"-"</formula>
    </cfRule>
    <cfRule type="cellIs" dxfId="7339" priority="2112" operator="equal">
      <formula>R7</formula>
    </cfRule>
    <cfRule type="cellIs" dxfId="7338" priority="2113" operator="greaterThan">
      <formula>R7</formula>
    </cfRule>
    <cfRule type="cellIs" dxfId="7337" priority="2114" operator="lessThan">
      <formula>R7</formula>
    </cfRule>
  </conditionalFormatting>
  <conditionalFormatting sqref="S8">
    <cfRule type="expression" dxfId="7336" priority="2105">
      <formula>R8="-"</formula>
    </cfRule>
    <cfRule type="cellIs" dxfId="7335" priority="2106" operator="equal">
      <formula>"-"</formula>
    </cfRule>
    <cfRule type="cellIs" dxfId="7334" priority="2107" operator="equal">
      <formula>R8</formula>
    </cfRule>
    <cfRule type="cellIs" dxfId="7333" priority="2108" operator="greaterThan">
      <formula>R8</formula>
    </cfRule>
    <cfRule type="cellIs" dxfId="7332" priority="2109" operator="lessThan">
      <formula>R8</formula>
    </cfRule>
  </conditionalFormatting>
  <conditionalFormatting sqref="S9">
    <cfRule type="expression" dxfId="7331" priority="2100">
      <formula>R9="-"</formula>
    </cfRule>
    <cfRule type="cellIs" dxfId="7330" priority="2101" operator="equal">
      <formula>"-"</formula>
    </cfRule>
    <cfRule type="cellIs" dxfId="7329" priority="2102" operator="equal">
      <formula>R9</formula>
    </cfRule>
    <cfRule type="cellIs" dxfId="7328" priority="2103" operator="greaterThan">
      <formula>R9</formula>
    </cfRule>
    <cfRule type="cellIs" dxfId="7327" priority="2104" operator="lessThan">
      <formula>R9</formula>
    </cfRule>
  </conditionalFormatting>
  <conditionalFormatting sqref="S10">
    <cfRule type="expression" dxfId="7326" priority="2095">
      <formula>R10="-"</formula>
    </cfRule>
    <cfRule type="cellIs" dxfId="7325" priority="2096" operator="equal">
      <formula>"-"</formula>
    </cfRule>
    <cfRule type="cellIs" dxfId="7324" priority="2097" operator="equal">
      <formula>R10</formula>
    </cfRule>
    <cfRule type="cellIs" dxfId="7323" priority="2098" operator="greaterThan">
      <formula>R10</formula>
    </cfRule>
    <cfRule type="cellIs" dxfId="7322" priority="2099" operator="lessThan">
      <formula>R10</formula>
    </cfRule>
  </conditionalFormatting>
  <conditionalFormatting sqref="S11">
    <cfRule type="expression" dxfId="7321" priority="2090">
      <formula>R11="-"</formula>
    </cfRule>
    <cfRule type="cellIs" dxfId="7320" priority="2091" operator="equal">
      <formula>"-"</formula>
    </cfRule>
    <cfRule type="cellIs" dxfId="7319" priority="2092" operator="equal">
      <formula>R11</formula>
    </cfRule>
    <cfRule type="cellIs" dxfId="7318" priority="2093" operator="greaterThan">
      <formula>R11</formula>
    </cfRule>
    <cfRule type="cellIs" dxfId="7317" priority="2094" operator="lessThan">
      <formula>R11</formula>
    </cfRule>
  </conditionalFormatting>
  <conditionalFormatting sqref="S12">
    <cfRule type="expression" dxfId="7316" priority="2085">
      <formula>R12="-"</formula>
    </cfRule>
    <cfRule type="cellIs" dxfId="7315" priority="2086" operator="equal">
      <formula>"-"</formula>
    </cfRule>
    <cfRule type="cellIs" dxfId="7314" priority="2087" operator="equal">
      <formula>R12</formula>
    </cfRule>
    <cfRule type="cellIs" dxfId="7313" priority="2088" operator="greaterThan">
      <formula>R12</formula>
    </cfRule>
    <cfRule type="cellIs" dxfId="7312" priority="2089" operator="lessThan">
      <formula>R12</formula>
    </cfRule>
  </conditionalFormatting>
  <conditionalFormatting sqref="S13">
    <cfRule type="expression" dxfId="7311" priority="2080">
      <formula>R13="-"</formula>
    </cfRule>
    <cfRule type="cellIs" dxfId="7310" priority="2081" operator="equal">
      <formula>"-"</formula>
    </cfRule>
    <cfRule type="cellIs" dxfId="7309" priority="2082" operator="equal">
      <formula>R13</formula>
    </cfRule>
    <cfRule type="cellIs" dxfId="7308" priority="2083" operator="greaterThan">
      <formula>R13</formula>
    </cfRule>
    <cfRule type="cellIs" dxfId="7307" priority="2084" operator="lessThan">
      <formula>R13</formula>
    </cfRule>
  </conditionalFormatting>
  <conditionalFormatting sqref="S14">
    <cfRule type="expression" dxfId="7306" priority="2075">
      <formula>R14="-"</formula>
    </cfRule>
    <cfRule type="cellIs" dxfId="7305" priority="2076" operator="equal">
      <formula>"-"</formula>
    </cfRule>
    <cfRule type="cellIs" dxfId="7304" priority="2077" operator="equal">
      <formula>R14</formula>
    </cfRule>
    <cfRule type="cellIs" dxfId="7303" priority="2078" operator="greaterThan">
      <formula>R14</formula>
    </cfRule>
    <cfRule type="cellIs" dxfId="7302" priority="2079" operator="lessThan">
      <formula>R14</formula>
    </cfRule>
  </conditionalFormatting>
  <conditionalFormatting sqref="S15">
    <cfRule type="expression" dxfId="7301" priority="2070">
      <formula>R15="-"</formula>
    </cfRule>
    <cfRule type="cellIs" dxfId="7300" priority="2071" operator="equal">
      <formula>"-"</formula>
    </cfRule>
    <cfRule type="cellIs" dxfId="7299" priority="2072" operator="equal">
      <formula>R15</formula>
    </cfRule>
    <cfRule type="cellIs" dxfId="7298" priority="2073" operator="greaterThan">
      <formula>R15</formula>
    </cfRule>
    <cfRule type="cellIs" dxfId="7297" priority="2074" operator="lessThan">
      <formula>R15</formula>
    </cfRule>
  </conditionalFormatting>
  <conditionalFormatting sqref="S16">
    <cfRule type="expression" dxfId="7296" priority="2065">
      <formula>R16="-"</formula>
    </cfRule>
    <cfRule type="cellIs" dxfId="7295" priority="2066" operator="equal">
      <formula>"-"</formula>
    </cfRule>
    <cfRule type="cellIs" dxfId="7294" priority="2067" operator="equal">
      <formula>R16</formula>
    </cfRule>
    <cfRule type="cellIs" dxfId="7293" priority="2068" operator="greaterThan">
      <formula>R16</formula>
    </cfRule>
    <cfRule type="cellIs" dxfId="7292" priority="2069" operator="lessThan">
      <formula>R16</formula>
    </cfRule>
  </conditionalFormatting>
  <conditionalFormatting sqref="S17">
    <cfRule type="expression" dxfId="7291" priority="2060">
      <formula>R17="-"</formula>
    </cfRule>
    <cfRule type="cellIs" dxfId="7290" priority="2061" operator="equal">
      <formula>"-"</formula>
    </cfRule>
    <cfRule type="cellIs" dxfId="7289" priority="2062" operator="equal">
      <formula>R17</formula>
    </cfRule>
    <cfRule type="cellIs" dxfId="7288" priority="2063" operator="greaterThan">
      <formula>R17</formula>
    </cfRule>
    <cfRule type="cellIs" dxfId="7287" priority="2064" operator="lessThan">
      <formula>R17</formula>
    </cfRule>
  </conditionalFormatting>
  <conditionalFormatting sqref="S18">
    <cfRule type="expression" dxfId="7286" priority="2055">
      <formula>R18="-"</formula>
    </cfRule>
    <cfRule type="cellIs" dxfId="7285" priority="2056" operator="equal">
      <formula>"-"</formula>
    </cfRule>
    <cfRule type="cellIs" dxfId="7284" priority="2057" operator="equal">
      <formula>R18</formula>
    </cfRule>
    <cfRule type="cellIs" dxfId="7283" priority="2058" operator="greaterThan">
      <formula>R18</formula>
    </cfRule>
    <cfRule type="cellIs" dxfId="7282" priority="2059" operator="lessThan">
      <formula>R18</formula>
    </cfRule>
  </conditionalFormatting>
  <conditionalFormatting sqref="S19">
    <cfRule type="expression" dxfId="7281" priority="2050">
      <formula>R19="-"</formula>
    </cfRule>
    <cfRule type="cellIs" dxfId="7280" priority="2051" operator="equal">
      <formula>"-"</formula>
    </cfRule>
    <cfRule type="cellIs" dxfId="7279" priority="2052" operator="equal">
      <formula>R19</formula>
    </cfRule>
    <cfRule type="cellIs" dxfId="7278" priority="2053" operator="greaterThan">
      <formula>R19</formula>
    </cfRule>
    <cfRule type="cellIs" dxfId="7277" priority="2054" operator="lessThan">
      <formula>R19</formula>
    </cfRule>
  </conditionalFormatting>
  <conditionalFormatting sqref="S20">
    <cfRule type="expression" dxfId="7276" priority="2045">
      <formula>R20="-"</formula>
    </cfRule>
    <cfRule type="cellIs" dxfId="7275" priority="2046" operator="equal">
      <formula>"-"</formula>
    </cfRule>
    <cfRule type="cellIs" dxfId="7274" priority="2047" operator="equal">
      <formula>R20</formula>
    </cfRule>
    <cfRule type="cellIs" dxfId="7273" priority="2048" operator="greaterThan">
      <formula>R20</formula>
    </cfRule>
    <cfRule type="cellIs" dxfId="7272" priority="2049" operator="lessThan">
      <formula>R20</formula>
    </cfRule>
  </conditionalFormatting>
  <conditionalFormatting sqref="S21">
    <cfRule type="expression" dxfId="7271" priority="2040">
      <formula>R21="-"</formula>
    </cfRule>
    <cfRule type="cellIs" dxfId="7270" priority="2041" operator="equal">
      <formula>"-"</formula>
    </cfRule>
    <cfRule type="cellIs" dxfId="7269" priority="2042" operator="equal">
      <formula>R21</formula>
    </cfRule>
    <cfRule type="cellIs" dxfId="7268" priority="2043" operator="greaterThan">
      <formula>R21</formula>
    </cfRule>
    <cfRule type="cellIs" dxfId="7267" priority="2044" operator="lessThan">
      <formula>R21</formula>
    </cfRule>
  </conditionalFormatting>
  <conditionalFormatting sqref="S22">
    <cfRule type="expression" dxfId="7266" priority="2035">
      <formula>R22="-"</formula>
    </cfRule>
    <cfRule type="cellIs" dxfId="7265" priority="2036" operator="equal">
      <formula>"-"</formula>
    </cfRule>
    <cfRule type="cellIs" dxfId="7264" priority="2037" operator="equal">
      <formula>R22</formula>
    </cfRule>
    <cfRule type="cellIs" dxfId="7263" priority="2038" operator="greaterThan">
      <formula>R22</formula>
    </cfRule>
    <cfRule type="cellIs" dxfId="7262" priority="2039" operator="lessThan">
      <formula>R22</formula>
    </cfRule>
  </conditionalFormatting>
  <conditionalFormatting sqref="S23">
    <cfRule type="expression" dxfId="7261" priority="2030">
      <formula>R23="-"</formula>
    </cfRule>
    <cfRule type="cellIs" dxfId="7260" priority="2031" operator="equal">
      <formula>"-"</formula>
    </cfRule>
    <cfRule type="cellIs" dxfId="7259" priority="2032" operator="equal">
      <formula>R23</formula>
    </cfRule>
    <cfRule type="cellIs" dxfId="7258" priority="2033" operator="greaterThan">
      <formula>R23</formula>
    </cfRule>
    <cfRule type="cellIs" dxfId="7257" priority="2034" operator="lessThan">
      <formula>R23</formula>
    </cfRule>
  </conditionalFormatting>
  <conditionalFormatting sqref="S24">
    <cfRule type="expression" dxfId="7256" priority="2025">
      <formula>R24="-"</formula>
    </cfRule>
    <cfRule type="cellIs" dxfId="7255" priority="2026" operator="equal">
      <formula>"-"</formula>
    </cfRule>
    <cfRule type="cellIs" dxfId="7254" priority="2027" operator="equal">
      <formula>R24</formula>
    </cfRule>
    <cfRule type="cellIs" dxfId="7253" priority="2028" operator="greaterThan">
      <formula>R24</formula>
    </cfRule>
    <cfRule type="cellIs" dxfId="7252" priority="2029" operator="lessThan">
      <formula>R24</formula>
    </cfRule>
  </conditionalFormatting>
  <conditionalFormatting sqref="S25">
    <cfRule type="expression" dxfId="7251" priority="2020">
      <formula>R25="-"</formula>
    </cfRule>
    <cfRule type="cellIs" dxfId="7250" priority="2021" operator="equal">
      <formula>"-"</formula>
    </cfRule>
    <cfRule type="cellIs" dxfId="7249" priority="2022" operator="equal">
      <formula>R25</formula>
    </cfRule>
    <cfRule type="cellIs" dxfId="7248" priority="2023" operator="greaterThan">
      <formula>R25</formula>
    </cfRule>
    <cfRule type="cellIs" dxfId="7247" priority="2024" operator="lessThan">
      <formula>R25</formula>
    </cfRule>
  </conditionalFormatting>
  <conditionalFormatting sqref="S26">
    <cfRule type="expression" dxfId="7246" priority="2015">
      <formula>R26="-"</formula>
    </cfRule>
    <cfRule type="cellIs" dxfId="7245" priority="2016" operator="equal">
      <formula>"-"</formula>
    </cfRule>
    <cfRule type="cellIs" dxfId="7244" priority="2017" operator="equal">
      <formula>R26</formula>
    </cfRule>
    <cfRule type="cellIs" dxfId="7243" priority="2018" operator="greaterThan">
      <formula>R26</formula>
    </cfRule>
    <cfRule type="cellIs" dxfId="7242" priority="2019" operator="lessThan">
      <formula>R26</formula>
    </cfRule>
  </conditionalFormatting>
  <conditionalFormatting sqref="S27">
    <cfRule type="expression" dxfId="7241" priority="2010">
      <formula>R27="-"</formula>
    </cfRule>
    <cfRule type="cellIs" dxfId="7240" priority="2011" operator="equal">
      <formula>"-"</formula>
    </cfRule>
    <cfRule type="cellIs" dxfId="7239" priority="2012" operator="equal">
      <formula>R27</formula>
    </cfRule>
    <cfRule type="cellIs" dxfId="7238" priority="2013" operator="greaterThan">
      <formula>R27</formula>
    </cfRule>
    <cfRule type="cellIs" dxfId="7237" priority="2014" operator="lessThan">
      <formula>R27</formula>
    </cfRule>
  </conditionalFormatting>
  <conditionalFormatting sqref="S28">
    <cfRule type="expression" dxfId="7236" priority="2005">
      <formula>R28="-"</formula>
    </cfRule>
    <cfRule type="cellIs" dxfId="7235" priority="2006" operator="equal">
      <formula>"-"</formula>
    </cfRule>
    <cfRule type="cellIs" dxfId="7234" priority="2007" operator="equal">
      <formula>R28</formula>
    </cfRule>
    <cfRule type="cellIs" dxfId="7233" priority="2008" operator="greaterThan">
      <formula>R28</formula>
    </cfRule>
    <cfRule type="cellIs" dxfId="7232" priority="2009" operator="lessThan">
      <formula>R28</formula>
    </cfRule>
  </conditionalFormatting>
  <conditionalFormatting sqref="T4">
    <cfRule type="expression" dxfId="7231" priority="2000">
      <formula>S4="-"</formula>
    </cfRule>
    <cfRule type="cellIs" dxfId="7230" priority="2001" operator="equal">
      <formula>"-"</formula>
    </cfRule>
    <cfRule type="cellIs" dxfId="7229" priority="2002" operator="equal">
      <formula>S4</formula>
    </cfRule>
    <cfRule type="cellIs" dxfId="7228" priority="2003" operator="greaterThan">
      <formula>S4</formula>
    </cfRule>
    <cfRule type="cellIs" dxfId="7227" priority="2004" operator="lessThan">
      <formula>S4</formula>
    </cfRule>
  </conditionalFormatting>
  <conditionalFormatting sqref="T5">
    <cfRule type="expression" dxfId="7226" priority="1995">
      <formula>S5="-"</formula>
    </cfRule>
    <cfRule type="cellIs" dxfId="7225" priority="1996" operator="equal">
      <formula>"-"</formula>
    </cfRule>
    <cfRule type="cellIs" dxfId="7224" priority="1997" operator="equal">
      <formula>S5</formula>
    </cfRule>
    <cfRule type="cellIs" dxfId="7223" priority="1998" operator="greaterThan">
      <formula>S5</formula>
    </cfRule>
    <cfRule type="cellIs" dxfId="7222" priority="1999" operator="lessThan">
      <formula>S5</formula>
    </cfRule>
  </conditionalFormatting>
  <conditionalFormatting sqref="T6">
    <cfRule type="expression" dxfId="7221" priority="1990">
      <formula>S6="-"</formula>
    </cfRule>
    <cfRule type="cellIs" dxfId="7220" priority="1991" operator="equal">
      <formula>"-"</formula>
    </cfRule>
    <cfRule type="cellIs" dxfId="7219" priority="1992" operator="equal">
      <formula>S6</formula>
    </cfRule>
    <cfRule type="cellIs" dxfId="7218" priority="1993" operator="greaterThan">
      <formula>S6</formula>
    </cfRule>
    <cfRule type="cellIs" dxfId="7217" priority="1994" operator="lessThan">
      <formula>S6</formula>
    </cfRule>
  </conditionalFormatting>
  <conditionalFormatting sqref="T7">
    <cfRule type="expression" dxfId="7216" priority="1985">
      <formula>S7="-"</formula>
    </cfRule>
    <cfRule type="cellIs" dxfId="7215" priority="1986" operator="equal">
      <formula>"-"</formula>
    </cfRule>
    <cfRule type="cellIs" dxfId="7214" priority="1987" operator="equal">
      <formula>S7</formula>
    </cfRule>
    <cfRule type="cellIs" dxfId="7213" priority="1988" operator="greaterThan">
      <formula>S7</formula>
    </cfRule>
    <cfRule type="cellIs" dxfId="7212" priority="1989" operator="lessThan">
      <formula>S7</formula>
    </cfRule>
  </conditionalFormatting>
  <conditionalFormatting sqref="T8">
    <cfRule type="expression" dxfId="7211" priority="1980">
      <formula>S8="-"</formula>
    </cfRule>
    <cfRule type="cellIs" dxfId="7210" priority="1981" operator="equal">
      <formula>"-"</formula>
    </cfRule>
    <cfRule type="cellIs" dxfId="7209" priority="1982" operator="equal">
      <formula>S8</formula>
    </cfRule>
    <cfRule type="cellIs" dxfId="7208" priority="1983" operator="greaterThan">
      <formula>S8</formula>
    </cfRule>
    <cfRule type="cellIs" dxfId="7207" priority="1984" operator="lessThan">
      <formula>S8</formula>
    </cfRule>
  </conditionalFormatting>
  <conditionalFormatting sqref="T9">
    <cfRule type="expression" dxfId="7206" priority="1975">
      <formula>S9="-"</formula>
    </cfRule>
    <cfRule type="cellIs" dxfId="7205" priority="1976" operator="equal">
      <formula>"-"</formula>
    </cfRule>
    <cfRule type="cellIs" dxfId="7204" priority="1977" operator="equal">
      <formula>S9</formula>
    </cfRule>
    <cfRule type="cellIs" dxfId="7203" priority="1978" operator="greaterThan">
      <formula>S9</formula>
    </cfRule>
    <cfRule type="cellIs" dxfId="7202" priority="1979" operator="lessThan">
      <formula>S9</formula>
    </cfRule>
  </conditionalFormatting>
  <conditionalFormatting sqref="T10">
    <cfRule type="expression" dxfId="7201" priority="1970">
      <formula>S10="-"</formula>
    </cfRule>
    <cfRule type="cellIs" dxfId="7200" priority="1971" operator="equal">
      <formula>"-"</formula>
    </cfRule>
    <cfRule type="cellIs" dxfId="7199" priority="1972" operator="equal">
      <formula>S10</formula>
    </cfRule>
    <cfRule type="cellIs" dxfId="7198" priority="1973" operator="greaterThan">
      <formula>S10</formula>
    </cfRule>
    <cfRule type="cellIs" dxfId="7197" priority="1974" operator="lessThan">
      <formula>S10</formula>
    </cfRule>
  </conditionalFormatting>
  <conditionalFormatting sqref="T11">
    <cfRule type="expression" dxfId="7196" priority="1965">
      <formula>S11="-"</formula>
    </cfRule>
    <cfRule type="cellIs" dxfId="7195" priority="1966" operator="equal">
      <formula>"-"</formula>
    </cfRule>
    <cfRule type="cellIs" dxfId="7194" priority="1967" operator="equal">
      <formula>S11</formula>
    </cfRule>
    <cfRule type="cellIs" dxfId="7193" priority="1968" operator="greaterThan">
      <formula>S11</formula>
    </cfRule>
    <cfRule type="cellIs" dxfId="7192" priority="1969" operator="lessThan">
      <formula>S11</formula>
    </cfRule>
  </conditionalFormatting>
  <conditionalFormatting sqref="T12">
    <cfRule type="expression" dxfId="7191" priority="1960">
      <formula>S12="-"</formula>
    </cfRule>
    <cfRule type="cellIs" dxfId="7190" priority="1961" operator="equal">
      <formula>"-"</formula>
    </cfRule>
    <cfRule type="cellIs" dxfId="7189" priority="1962" operator="equal">
      <formula>S12</formula>
    </cfRule>
    <cfRule type="cellIs" dxfId="7188" priority="1963" operator="greaterThan">
      <formula>S12</formula>
    </cfRule>
    <cfRule type="cellIs" dxfId="7187" priority="1964" operator="lessThan">
      <formula>S12</formula>
    </cfRule>
  </conditionalFormatting>
  <conditionalFormatting sqref="T13">
    <cfRule type="expression" dxfId="7186" priority="1955">
      <formula>S13="-"</formula>
    </cfRule>
    <cfRule type="cellIs" dxfId="7185" priority="1956" operator="equal">
      <formula>"-"</formula>
    </cfRule>
    <cfRule type="cellIs" dxfId="7184" priority="1957" operator="equal">
      <formula>S13</formula>
    </cfRule>
    <cfRule type="cellIs" dxfId="7183" priority="1958" operator="greaterThan">
      <formula>S13</formula>
    </cfRule>
    <cfRule type="cellIs" dxfId="7182" priority="1959" operator="lessThan">
      <formula>S13</formula>
    </cfRule>
  </conditionalFormatting>
  <conditionalFormatting sqref="T14">
    <cfRule type="expression" dxfId="7181" priority="1950">
      <formula>S14="-"</formula>
    </cfRule>
    <cfRule type="cellIs" dxfId="7180" priority="1951" operator="equal">
      <formula>"-"</formula>
    </cfRule>
    <cfRule type="cellIs" dxfId="7179" priority="1952" operator="equal">
      <formula>S14</formula>
    </cfRule>
    <cfRule type="cellIs" dxfId="7178" priority="1953" operator="greaterThan">
      <formula>S14</formula>
    </cfRule>
    <cfRule type="cellIs" dxfId="7177" priority="1954" operator="lessThan">
      <formula>S14</formula>
    </cfRule>
  </conditionalFormatting>
  <conditionalFormatting sqref="T15">
    <cfRule type="expression" dxfId="7176" priority="1945">
      <formula>S15="-"</formula>
    </cfRule>
    <cfRule type="cellIs" dxfId="7175" priority="1946" operator="equal">
      <formula>"-"</formula>
    </cfRule>
    <cfRule type="cellIs" dxfId="7174" priority="1947" operator="equal">
      <formula>S15</formula>
    </cfRule>
    <cfRule type="cellIs" dxfId="7173" priority="1948" operator="greaterThan">
      <formula>S15</formula>
    </cfRule>
    <cfRule type="cellIs" dxfId="7172" priority="1949" operator="lessThan">
      <formula>S15</formula>
    </cfRule>
  </conditionalFormatting>
  <conditionalFormatting sqref="T16">
    <cfRule type="expression" dxfId="7171" priority="1940">
      <formula>S16="-"</formula>
    </cfRule>
    <cfRule type="cellIs" dxfId="7170" priority="1941" operator="equal">
      <formula>"-"</formula>
    </cfRule>
    <cfRule type="cellIs" dxfId="7169" priority="1942" operator="equal">
      <formula>S16</formula>
    </cfRule>
    <cfRule type="cellIs" dxfId="7168" priority="1943" operator="greaterThan">
      <formula>S16</formula>
    </cfRule>
    <cfRule type="cellIs" dxfId="7167" priority="1944" operator="lessThan">
      <formula>S16</formula>
    </cfRule>
  </conditionalFormatting>
  <conditionalFormatting sqref="T17">
    <cfRule type="expression" dxfId="7166" priority="1935">
      <formula>S17="-"</formula>
    </cfRule>
    <cfRule type="cellIs" dxfId="7165" priority="1936" operator="equal">
      <formula>"-"</formula>
    </cfRule>
    <cfRule type="cellIs" dxfId="7164" priority="1937" operator="equal">
      <formula>S17</formula>
    </cfRule>
    <cfRule type="cellIs" dxfId="7163" priority="1938" operator="greaterThan">
      <formula>S17</formula>
    </cfRule>
    <cfRule type="cellIs" dxfId="7162" priority="1939" operator="lessThan">
      <formula>S17</formula>
    </cfRule>
  </conditionalFormatting>
  <conditionalFormatting sqref="T18">
    <cfRule type="expression" dxfId="7161" priority="1930">
      <formula>S18="-"</formula>
    </cfRule>
    <cfRule type="cellIs" dxfId="7160" priority="1931" operator="equal">
      <formula>"-"</formula>
    </cfRule>
    <cfRule type="cellIs" dxfId="7159" priority="1932" operator="equal">
      <formula>S18</formula>
    </cfRule>
    <cfRule type="cellIs" dxfId="7158" priority="1933" operator="greaterThan">
      <formula>S18</formula>
    </cfRule>
    <cfRule type="cellIs" dxfId="7157" priority="1934" operator="lessThan">
      <formula>S18</formula>
    </cfRule>
  </conditionalFormatting>
  <conditionalFormatting sqref="T19">
    <cfRule type="expression" dxfId="7156" priority="1925">
      <formula>S19="-"</formula>
    </cfRule>
    <cfRule type="cellIs" dxfId="7155" priority="1926" operator="equal">
      <formula>"-"</formula>
    </cfRule>
    <cfRule type="cellIs" dxfId="7154" priority="1927" operator="equal">
      <formula>S19</formula>
    </cfRule>
    <cfRule type="cellIs" dxfId="7153" priority="1928" operator="greaterThan">
      <formula>S19</formula>
    </cfRule>
    <cfRule type="cellIs" dxfId="7152" priority="1929" operator="lessThan">
      <formula>S19</formula>
    </cfRule>
  </conditionalFormatting>
  <conditionalFormatting sqref="T20">
    <cfRule type="expression" dxfId="7151" priority="1920">
      <formula>S20="-"</formula>
    </cfRule>
    <cfRule type="cellIs" dxfId="7150" priority="1921" operator="equal">
      <formula>"-"</formula>
    </cfRule>
    <cfRule type="cellIs" dxfId="7149" priority="1922" operator="equal">
      <formula>S20</formula>
    </cfRule>
    <cfRule type="cellIs" dxfId="7148" priority="1923" operator="greaterThan">
      <formula>S20</formula>
    </cfRule>
    <cfRule type="cellIs" dxfId="7147" priority="1924" operator="lessThan">
      <formula>S20</formula>
    </cfRule>
  </conditionalFormatting>
  <conditionalFormatting sqref="T21">
    <cfRule type="expression" dxfId="7146" priority="1915">
      <formula>S21="-"</formula>
    </cfRule>
    <cfRule type="cellIs" dxfId="7145" priority="1916" operator="equal">
      <formula>"-"</formula>
    </cfRule>
    <cfRule type="cellIs" dxfId="7144" priority="1917" operator="equal">
      <formula>S21</formula>
    </cfRule>
    <cfRule type="cellIs" dxfId="7143" priority="1918" operator="greaterThan">
      <formula>S21</formula>
    </cfRule>
    <cfRule type="cellIs" dxfId="7142" priority="1919" operator="lessThan">
      <formula>S21</formula>
    </cfRule>
  </conditionalFormatting>
  <conditionalFormatting sqref="T22">
    <cfRule type="expression" dxfId="7141" priority="1910">
      <formula>S22="-"</formula>
    </cfRule>
    <cfRule type="cellIs" dxfId="7140" priority="1911" operator="equal">
      <formula>"-"</formula>
    </cfRule>
    <cfRule type="cellIs" dxfId="7139" priority="1912" operator="equal">
      <formula>S22</formula>
    </cfRule>
    <cfRule type="cellIs" dxfId="7138" priority="1913" operator="greaterThan">
      <formula>S22</formula>
    </cfRule>
    <cfRule type="cellIs" dxfId="7137" priority="1914" operator="lessThan">
      <formula>S22</formula>
    </cfRule>
  </conditionalFormatting>
  <conditionalFormatting sqref="T23">
    <cfRule type="expression" dxfId="7136" priority="1905">
      <formula>S23="-"</formula>
    </cfRule>
    <cfRule type="cellIs" dxfId="7135" priority="1906" operator="equal">
      <formula>"-"</formula>
    </cfRule>
    <cfRule type="cellIs" dxfId="7134" priority="1907" operator="equal">
      <formula>S23</formula>
    </cfRule>
    <cfRule type="cellIs" dxfId="7133" priority="1908" operator="greaterThan">
      <formula>S23</formula>
    </cfRule>
    <cfRule type="cellIs" dxfId="7132" priority="1909" operator="lessThan">
      <formula>S23</formula>
    </cfRule>
  </conditionalFormatting>
  <conditionalFormatting sqref="T24">
    <cfRule type="expression" dxfId="7131" priority="1900">
      <formula>S24="-"</formula>
    </cfRule>
    <cfRule type="cellIs" dxfId="7130" priority="1901" operator="equal">
      <formula>"-"</formula>
    </cfRule>
    <cfRule type="cellIs" dxfId="7129" priority="1902" operator="equal">
      <formula>S24</formula>
    </cfRule>
    <cfRule type="cellIs" dxfId="7128" priority="1903" operator="greaterThan">
      <formula>S24</formula>
    </cfRule>
    <cfRule type="cellIs" dxfId="7127" priority="1904" operator="lessThan">
      <formula>S24</formula>
    </cfRule>
  </conditionalFormatting>
  <conditionalFormatting sqref="T25">
    <cfRule type="expression" dxfId="7126" priority="1895">
      <formula>S25="-"</formula>
    </cfRule>
    <cfRule type="cellIs" dxfId="7125" priority="1896" operator="equal">
      <formula>"-"</formula>
    </cfRule>
    <cfRule type="cellIs" dxfId="7124" priority="1897" operator="equal">
      <formula>S25</formula>
    </cfRule>
    <cfRule type="cellIs" dxfId="7123" priority="1898" operator="greaterThan">
      <formula>S25</formula>
    </cfRule>
    <cfRule type="cellIs" dxfId="7122" priority="1899" operator="lessThan">
      <formula>S25</formula>
    </cfRule>
  </conditionalFormatting>
  <conditionalFormatting sqref="T26">
    <cfRule type="expression" dxfId="7121" priority="1890">
      <formula>S26="-"</formula>
    </cfRule>
    <cfRule type="cellIs" dxfId="7120" priority="1891" operator="equal">
      <formula>"-"</formula>
    </cfRule>
    <cfRule type="cellIs" dxfId="7119" priority="1892" operator="equal">
      <formula>S26</formula>
    </cfRule>
    <cfRule type="cellIs" dxfId="7118" priority="1893" operator="greaterThan">
      <formula>S26</formula>
    </cfRule>
    <cfRule type="cellIs" dxfId="7117" priority="1894" operator="lessThan">
      <formula>S26</formula>
    </cfRule>
  </conditionalFormatting>
  <conditionalFormatting sqref="T27">
    <cfRule type="expression" dxfId="7116" priority="1885">
      <formula>S27="-"</formula>
    </cfRule>
    <cfRule type="cellIs" dxfId="7115" priority="1886" operator="equal">
      <formula>"-"</formula>
    </cfRule>
    <cfRule type="cellIs" dxfId="7114" priority="1887" operator="equal">
      <formula>S27</formula>
    </cfRule>
    <cfRule type="cellIs" dxfId="7113" priority="1888" operator="greaterThan">
      <formula>S27</formula>
    </cfRule>
    <cfRule type="cellIs" dxfId="7112" priority="1889" operator="lessThan">
      <formula>S27</formula>
    </cfRule>
  </conditionalFormatting>
  <conditionalFormatting sqref="T28">
    <cfRule type="expression" dxfId="7111" priority="1880">
      <formula>S28="-"</formula>
    </cfRule>
    <cfRule type="cellIs" dxfId="7110" priority="1881" operator="equal">
      <formula>"-"</formula>
    </cfRule>
    <cfRule type="cellIs" dxfId="7109" priority="1882" operator="equal">
      <formula>S28</formula>
    </cfRule>
    <cfRule type="cellIs" dxfId="7108" priority="1883" operator="greaterThan">
      <formula>S28</formula>
    </cfRule>
    <cfRule type="cellIs" dxfId="7107" priority="1884" operator="lessThan">
      <formula>S28</formula>
    </cfRule>
  </conditionalFormatting>
  <conditionalFormatting sqref="U4">
    <cfRule type="expression" dxfId="7106" priority="1875">
      <formula>T4="-"</formula>
    </cfRule>
    <cfRule type="cellIs" dxfId="7105" priority="1876" operator="equal">
      <formula>"-"</formula>
    </cfRule>
    <cfRule type="cellIs" dxfId="7104" priority="1877" operator="equal">
      <formula>T4</formula>
    </cfRule>
    <cfRule type="cellIs" dxfId="7103" priority="1878" operator="greaterThan">
      <formula>T4</formula>
    </cfRule>
    <cfRule type="cellIs" dxfId="7102" priority="1879" operator="lessThan">
      <formula>T4</formula>
    </cfRule>
  </conditionalFormatting>
  <conditionalFormatting sqref="U5">
    <cfRule type="expression" dxfId="7101" priority="1870">
      <formula>T5="-"</formula>
    </cfRule>
    <cfRule type="cellIs" dxfId="7100" priority="1871" operator="equal">
      <formula>"-"</formula>
    </cfRule>
    <cfRule type="cellIs" dxfId="7099" priority="1872" operator="equal">
      <formula>T5</formula>
    </cfRule>
    <cfRule type="cellIs" dxfId="7098" priority="1873" operator="greaterThan">
      <formula>T5</formula>
    </cfRule>
    <cfRule type="cellIs" dxfId="7097" priority="1874" operator="lessThan">
      <formula>T5</formula>
    </cfRule>
  </conditionalFormatting>
  <conditionalFormatting sqref="U6">
    <cfRule type="expression" dxfId="7096" priority="1865">
      <formula>T6="-"</formula>
    </cfRule>
    <cfRule type="cellIs" dxfId="7095" priority="1866" operator="equal">
      <formula>"-"</formula>
    </cfRule>
    <cfRule type="cellIs" dxfId="7094" priority="1867" operator="equal">
      <formula>T6</formula>
    </cfRule>
    <cfRule type="cellIs" dxfId="7093" priority="1868" operator="greaterThan">
      <formula>T6</formula>
    </cfRule>
    <cfRule type="cellIs" dxfId="7092" priority="1869" operator="lessThan">
      <formula>T6</formula>
    </cfRule>
  </conditionalFormatting>
  <conditionalFormatting sqref="U7">
    <cfRule type="expression" dxfId="7091" priority="1860">
      <formula>T7="-"</formula>
    </cfRule>
    <cfRule type="cellIs" dxfId="7090" priority="1861" operator="equal">
      <formula>"-"</formula>
    </cfRule>
    <cfRule type="cellIs" dxfId="7089" priority="1862" operator="equal">
      <formula>T7</formula>
    </cfRule>
    <cfRule type="cellIs" dxfId="7088" priority="1863" operator="greaterThan">
      <formula>T7</formula>
    </cfRule>
    <cfRule type="cellIs" dxfId="7087" priority="1864" operator="lessThan">
      <formula>T7</formula>
    </cfRule>
  </conditionalFormatting>
  <conditionalFormatting sqref="U8">
    <cfRule type="expression" dxfId="7086" priority="1855">
      <formula>T8="-"</formula>
    </cfRule>
    <cfRule type="cellIs" dxfId="7085" priority="1856" operator="equal">
      <formula>"-"</formula>
    </cfRule>
    <cfRule type="cellIs" dxfId="7084" priority="1857" operator="equal">
      <formula>T8</formula>
    </cfRule>
    <cfRule type="cellIs" dxfId="7083" priority="1858" operator="greaterThan">
      <formula>T8</formula>
    </cfRule>
    <cfRule type="cellIs" dxfId="7082" priority="1859" operator="lessThan">
      <formula>T8</formula>
    </cfRule>
  </conditionalFormatting>
  <conditionalFormatting sqref="U9">
    <cfRule type="expression" dxfId="7081" priority="1850">
      <formula>T9="-"</formula>
    </cfRule>
    <cfRule type="cellIs" dxfId="7080" priority="1851" operator="equal">
      <formula>"-"</formula>
    </cfRule>
    <cfRule type="cellIs" dxfId="7079" priority="1852" operator="equal">
      <formula>T9</formula>
    </cfRule>
    <cfRule type="cellIs" dxfId="7078" priority="1853" operator="greaterThan">
      <formula>T9</formula>
    </cfRule>
    <cfRule type="cellIs" dxfId="7077" priority="1854" operator="lessThan">
      <formula>T9</formula>
    </cfRule>
  </conditionalFormatting>
  <conditionalFormatting sqref="U10">
    <cfRule type="expression" dxfId="7076" priority="1845">
      <formula>T10="-"</formula>
    </cfRule>
    <cfRule type="cellIs" dxfId="7075" priority="1846" operator="equal">
      <formula>"-"</formula>
    </cfRule>
    <cfRule type="cellIs" dxfId="7074" priority="1847" operator="equal">
      <formula>T10</formula>
    </cfRule>
    <cfRule type="cellIs" dxfId="7073" priority="1848" operator="greaterThan">
      <formula>T10</formula>
    </cfRule>
    <cfRule type="cellIs" dxfId="7072" priority="1849" operator="lessThan">
      <formula>T10</formula>
    </cfRule>
  </conditionalFormatting>
  <conditionalFormatting sqref="U11">
    <cfRule type="expression" dxfId="7071" priority="1840">
      <formula>T11="-"</formula>
    </cfRule>
    <cfRule type="cellIs" dxfId="7070" priority="1841" operator="equal">
      <formula>"-"</formula>
    </cfRule>
    <cfRule type="cellIs" dxfId="7069" priority="1842" operator="equal">
      <formula>T11</formula>
    </cfRule>
    <cfRule type="cellIs" dxfId="7068" priority="1843" operator="greaterThan">
      <formula>T11</formula>
    </cfRule>
    <cfRule type="cellIs" dxfId="7067" priority="1844" operator="lessThan">
      <formula>T11</formula>
    </cfRule>
  </conditionalFormatting>
  <conditionalFormatting sqref="U12">
    <cfRule type="expression" dxfId="7066" priority="1835">
      <formula>T12="-"</formula>
    </cfRule>
    <cfRule type="cellIs" dxfId="7065" priority="1836" operator="equal">
      <formula>"-"</formula>
    </cfRule>
    <cfRule type="cellIs" dxfId="7064" priority="1837" operator="equal">
      <formula>T12</formula>
    </cfRule>
    <cfRule type="cellIs" dxfId="7063" priority="1838" operator="greaterThan">
      <formula>T12</formula>
    </cfRule>
    <cfRule type="cellIs" dxfId="7062" priority="1839" operator="lessThan">
      <formula>T12</formula>
    </cfRule>
  </conditionalFormatting>
  <conditionalFormatting sqref="U13">
    <cfRule type="expression" dxfId="7061" priority="1830">
      <formula>T13="-"</formula>
    </cfRule>
    <cfRule type="cellIs" dxfId="7060" priority="1831" operator="equal">
      <formula>"-"</formula>
    </cfRule>
    <cfRule type="cellIs" dxfId="7059" priority="1832" operator="equal">
      <formula>T13</formula>
    </cfRule>
    <cfRule type="cellIs" dxfId="7058" priority="1833" operator="greaterThan">
      <formula>T13</formula>
    </cfRule>
    <cfRule type="cellIs" dxfId="7057" priority="1834" operator="lessThan">
      <formula>T13</formula>
    </cfRule>
  </conditionalFormatting>
  <conditionalFormatting sqref="U14">
    <cfRule type="expression" dxfId="7056" priority="1825">
      <formula>T14="-"</formula>
    </cfRule>
    <cfRule type="cellIs" dxfId="7055" priority="1826" operator="equal">
      <formula>"-"</formula>
    </cfRule>
    <cfRule type="cellIs" dxfId="7054" priority="1827" operator="equal">
      <formula>T14</formula>
    </cfRule>
    <cfRule type="cellIs" dxfId="7053" priority="1828" operator="greaterThan">
      <formula>T14</formula>
    </cfRule>
    <cfRule type="cellIs" dxfId="7052" priority="1829" operator="lessThan">
      <formula>T14</formula>
    </cfRule>
  </conditionalFormatting>
  <conditionalFormatting sqref="U15">
    <cfRule type="expression" dxfId="7051" priority="1820">
      <formula>T15="-"</formula>
    </cfRule>
    <cfRule type="cellIs" dxfId="7050" priority="1821" operator="equal">
      <formula>"-"</formula>
    </cfRule>
    <cfRule type="cellIs" dxfId="7049" priority="1822" operator="equal">
      <formula>T15</formula>
    </cfRule>
    <cfRule type="cellIs" dxfId="7048" priority="1823" operator="greaterThan">
      <formula>T15</formula>
    </cfRule>
    <cfRule type="cellIs" dxfId="7047" priority="1824" operator="lessThan">
      <formula>T15</formula>
    </cfRule>
  </conditionalFormatting>
  <conditionalFormatting sqref="U16">
    <cfRule type="expression" dxfId="7046" priority="1815">
      <formula>T16="-"</formula>
    </cfRule>
    <cfRule type="cellIs" dxfId="7045" priority="1816" operator="equal">
      <formula>"-"</formula>
    </cfRule>
    <cfRule type="cellIs" dxfId="7044" priority="1817" operator="equal">
      <formula>T16</formula>
    </cfRule>
    <cfRule type="cellIs" dxfId="7043" priority="1818" operator="greaterThan">
      <formula>T16</formula>
    </cfRule>
    <cfRule type="cellIs" dxfId="7042" priority="1819" operator="lessThan">
      <formula>T16</formula>
    </cfRule>
  </conditionalFormatting>
  <conditionalFormatting sqref="U17">
    <cfRule type="expression" dxfId="7041" priority="1810">
      <formula>T17="-"</formula>
    </cfRule>
    <cfRule type="cellIs" dxfId="7040" priority="1811" operator="equal">
      <formula>"-"</formula>
    </cfRule>
    <cfRule type="cellIs" dxfId="7039" priority="1812" operator="equal">
      <formula>T17</formula>
    </cfRule>
    <cfRule type="cellIs" dxfId="7038" priority="1813" operator="greaterThan">
      <formula>T17</formula>
    </cfRule>
    <cfRule type="cellIs" dxfId="7037" priority="1814" operator="lessThan">
      <formula>T17</formula>
    </cfRule>
  </conditionalFormatting>
  <conditionalFormatting sqref="U18">
    <cfRule type="expression" dxfId="7036" priority="1805">
      <formula>T18="-"</formula>
    </cfRule>
    <cfRule type="cellIs" dxfId="7035" priority="1806" operator="equal">
      <formula>"-"</formula>
    </cfRule>
    <cfRule type="cellIs" dxfId="7034" priority="1807" operator="equal">
      <formula>T18</formula>
    </cfRule>
    <cfRule type="cellIs" dxfId="7033" priority="1808" operator="greaterThan">
      <formula>T18</formula>
    </cfRule>
    <cfRule type="cellIs" dxfId="7032" priority="1809" operator="lessThan">
      <formula>T18</formula>
    </cfRule>
  </conditionalFormatting>
  <conditionalFormatting sqref="U19">
    <cfRule type="expression" dxfId="7031" priority="1800">
      <formula>T19="-"</formula>
    </cfRule>
    <cfRule type="cellIs" dxfId="7030" priority="1801" operator="equal">
      <formula>"-"</formula>
    </cfRule>
    <cfRule type="cellIs" dxfId="7029" priority="1802" operator="equal">
      <formula>T19</formula>
    </cfRule>
    <cfRule type="cellIs" dxfId="7028" priority="1803" operator="greaterThan">
      <formula>T19</formula>
    </cfRule>
    <cfRule type="cellIs" dxfId="7027" priority="1804" operator="lessThan">
      <formula>T19</formula>
    </cfRule>
  </conditionalFormatting>
  <conditionalFormatting sqref="U20">
    <cfRule type="expression" dxfId="7026" priority="1795">
      <formula>T20="-"</formula>
    </cfRule>
    <cfRule type="cellIs" dxfId="7025" priority="1796" operator="equal">
      <formula>"-"</formula>
    </cfRule>
    <cfRule type="cellIs" dxfId="7024" priority="1797" operator="equal">
      <formula>T20</formula>
    </cfRule>
    <cfRule type="cellIs" dxfId="7023" priority="1798" operator="greaterThan">
      <formula>T20</formula>
    </cfRule>
    <cfRule type="cellIs" dxfId="7022" priority="1799" operator="lessThan">
      <formula>T20</formula>
    </cfRule>
  </conditionalFormatting>
  <conditionalFormatting sqref="U21">
    <cfRule type="expression" dxfId="7021" priority="1790">
      <formula>T21="-"</formula>
    </cfRule>
    <cfRule type="cellIs" dxfId="7020" priority="1791" operator="equal">
      <formula>"-"</formula>
    </cfRule>
    <cfRule type="cellIs" dxfId="7019" priority="1792" operator="equal">
      <formula>T21</formula>
    </cfRule>
    <cfRule type="cellIs" dxfId="7018" priority="1793" operator="greaterThan">
      <formula>T21</formula>
    </cfRule>
    <cfRule type="cellIs" dxfId="7017" priority="1794" operator="lessThan">
      <formula>T21</formula>
    </cfRule>
  </conditionalFormatting>
  <conditionalFormatting sqref="U22">
    <cfRule type="expression" dxfId="7016" priority="1785">
      <formula>T22="-"</formula>
    </cfRule>
    <cfRule type="cellIs" dxfId="7015" priority="1786" operator="equal">
      <formula>"-"</formula>
    </cfRule>
    <cfRule type="cellIs" dxfId="7014" priority="1787" operator="equal">
      <formula>T22</formula>
    </cfRule>
    <cfRule type="cellIs" dxfId="7013" priority="1788" operator="greaterThan">
      <formula>T22</formula>
    </cfRule>
    <cfRule type="cellIs" dxfId="7012" priority="1789" operator="lessThan">
      <formula>T22</formula>
    </cfRule>
  </conditionalFormatting>
  <conditionalFormatting sqref="U23">
    <cfRule type="expression" dxfId="7011" priority="1780">
      <formula>T23="-"</formula>
    </cfRule>
    <cfRule type="cellIs" dxfId="7010" priority="1781" operator="equal">
      <formula>"-"</formula>
    </cfRule>
    <cfRule type="cellIs" dxfId="7009" priority="1782" operator="equal">
      <formula>T23</formula>
    </cfRule>
    <cfRule type="cellIs" dxfId="7008" priority="1783" operator="greaterThan">
      <formula>T23</formula>
    </cfRule>
    <cfRule type="cellIs" dxfId="7007" priority="1784" operator="lessThan">
      <formula>T23</formula>
    </cfRule>
  </conditionalFormatting>
  <conditionalFormatting sqref="U24">
    <cfRule type="expression" dxfId="7006" priority="1775">
      <formula>T24="-"</formula>
    </cfRule>
    <cfRule type="cellIs" dxfId="7005" priority="1776" operator="equal">
      <formula>"-"</formula>
    </cfRule>
    <cfRule type="cellIs" dxfId="7004" priority="1777" operator="equal">
      <formula>T24</formula>
    </cfRule>
    <cfRule type="cellIs" dxfId="7003" priority="1778" operator="greaterThan">
      <formula>T24</formula>
    </cfRule>
    <cfRule type="cellIs" dxfId="7002" priority="1779" operator="lessThan">
      <formula>T24</formula>
    </cfRule>
  </conditionalFormatting>
  <conditionalFormatting sqref="U25">
    <cfRule type="expression" dxfId="7001" priority="1770">
      <formula>T25="-"</formula>
    </cfRule>
    <cfRule type="cellIs" dxfId="7000" priority="1771" operator="equal">
      <formula>"-"</formula>
    </cfRule>
    <cfRule type="cellIs" dxfId="6999" priority="1772" operator="equal">
      <formula>T25</formula>
    </cfRule>
    <cfRule type="cellIs" dxfId="6998" priority="1773" operator="greaterThan">
      <formula>T25</formula>
    </cfRule>
    <cfRule type="cellIs" dxfId="6997" priority="1774" operator="lessThan">
      <formula>T25</formula>
    </cfRule>
  </conditionalFormatting>
  <conditionalFormatting sqref="U26">
    <cfRule type="expression" dxfId="6996" priority="1765">
      <formula>T26="-"</formula>
    </cfRule>
    <cfRule type="cellIs" dxfId="6995" priority="1766" operator="equal">
      <formula>"-"</formula>
    </cfRule>
    <cfRule type="cellIs" dxfId="6994" priority="1767" operator="equal">
      <formula>T26</formula>
    </cfRule>
    <cfRule type="cellIs" dxfId="6993" priority="1768" operator="greaterThan">
      <formula>T26</formula>
    </cfRule>
    <cfRule type="cellIs" dxfId="6992" priority="1769" operator="lessThan">
      <formula>T26</formula>
    </cfRule>
  </conditionalFormatting>
  <conditionalFormatting sqref="U27">
    <cfRule type="expression" dxfId="6991" priority="1760">
      <formula>T27="-"</formula>
    </cfRule>
    <cfRule type="cellIs" dxfId="6990" priority="1761" operator="equal">
      <formula>"-"</formula>
    </cfRule>
    <cfRule type="cellIs" dxfId="6989" priority="1762" operator="equal">
      <formula>T27</formula>
    </cfRule>
    <cfRule type="cellIs" dxfId="6988" priority="1763" operator="greaterThan">
      <formula>T27</formula>
    </cfRule>
    <cfRule type="cellIs" dxfId="6987" priority="1764" operator="lessThan">
      <formula>T27</formula>
    </cfRule>
  </conditionalFormatting>
  <conditionalFormatting sqref="U28">
    <cfRule type="expression" dxfId="6986" priority="1755">
      <formula>T28="-"</formula>
    </cfRule>
    <cfRule type="cellIs" dxfId="6985" priority="1756" operator="equal">
      <formula>"-"</formula>
    </cfRule>
    <cfRule type="cellIs" dxfId="6984" priority="1757" operator="equal">
      <formula>T28</formula>
    </cfRule>
    <cfRule type="cellIs" dxfId="6983" priority="1758" operator="greaterThan">
      <formula>T28</formula>
    </cfRule>
    <cfRule type="cellIs" dxfId="6982" priority="1759" operator="lessThan">
      <formula>T28</formula>
    </cfRule>
  </conditionalFormatting>
  <conditionalFormatting sqref="V4">
    <cfRule type="expression" dxfId="6981" priority="1750">
      <formula>U4="-"</formula>
    </cfRule>
    <cfRule type="cellIs" dxfId="6980" priority="1751" operator="equal">
      <formula>"-"</formula>
    </cfRule>
    <cfRule type="cellIs" dxfId="6979" priority="1752" operator="equal">
      <formula>U4</formula>
    </cfRule>
    <cfRule type="cellIs" dxfId="6978" priority="1753" operator="greaterThan">
      <formula>U4</formula>
    </cfRule>
    <cfRule type="cellIs" dxfId="6977" priority="1754" operator="lessThan">
      <formula>U4</formula>
    </cfRule>
  </conditionalFormatting>
  <conditionalFormatting sqref="V5">
    <cfRule type="expression" dxfId="6976" priority="1745">
      <formula>U5="-"</formula>
    </cfRule>
    <cfRule type="cellIs" dxfId="6975" priority="1746" operator="equal">
      <formula>"-"</formula>
    </cfRule>
    <cfRule type="cellIs" dxfId="6974" priority="1747" operator="equal">
      <formula>U5</formula>
    </cfRule>
    <cfRule type="cellIs" dxfId="6973" priority="1748" operator="greaterThan">
      <formula>U5</formula>
    </cfRule>
    <cfRule type="cellIs" dxfId="6972" priority="1749" operator="lessThan">
      <formula>U5</formula>
    </cfRule>
  </conditionalFormatting>
  <conditionalFormatting sqref="V6">
    <cfRule type="expression" dxfId="6971" priority="1740">
      <formula>U6="-"</formula>
    </cfRule>
    <cfRule type="cellIs" dxfId="6970" priority="1741" operator="equal">
      <formula>"-"</formula>
    </cfRule>
    <cfRule type="cellIs" dxfId="6969" priority="1742" operator="equal">
      <formula>U6</formula>
    </cfRule>
    <cfRule type="cellIs" dxfId="6968" priority="1743" operator="greaterThan">
      <formula>U6</formula>
    </cfRule>
    <cfRule type="cellIs" dxfId="6967" priority="1744" operator="lessThan">
      <formula>U6</formula>
    </cfRule>
  </conditionalFormatting>
  <conditionalFormatting sqref="V7">
    <cfRule type="expression" dxfId="6966" priority="1735">
      <formula>U7="-"</formula>
    </cfRule>
    <cfRule type="cellIs" dxfId="6965" priority="1736" operator="equal">
      <formula>"-"</formula>
    </cfRule>
    <cfRule type="cellIs" dxfId="6964" priority="1737" operator="equal">
      <formula>U7</formula>
    </cfRule>
    <cfRule type="cellIs" dxfId="6963" priority="1738" operator="greaterThan">
      <formula>U7</formula>
    </cfRule>
    <cfRule type="cellIs" dxfId="6962" priority="1739" operator="lessThan">
      <formula>U7</formula>
    </cfRule>
  </conditionalFormatting>
  <conditionalFormatting sqref="V8">
    <cfRule type="expression" dxfId="6961" priority="1730">
      <formula>U8="-"</formula>
    </cfRule>
    <cfRule type="cellIs" dxfId="6960" priority="1731" operator="equal">
      <formula>"-"</formula>
    </cfRule>
    <cfRule type="cellIs" dxfId="6959" priority="1732" operator="equal">
      <formula>U8</formula>
    </cfRule>
    <cfRule type="cellIs" dxfId="6958" priority="1733" operator="greaterThan">
      <formula>U8</formula>
    </cfRule>
    <cfRule type="cellIs" dxfId="6957" priority="1734" operator="lessThan">
      <formula>U8</formula>
    </cfRule>
  </conditionalFormatting>
  <conditionalFormatting sqref="V9">
    <cfRule type="expression" dxfId="6956" priority="1725">
      <formula>U9="-"</formula>
    </cfRule>
    <cfRule type="cellIs" dxfId="6955" priority="1726" operator="equal">
      <formula>"-"</formula>
    </cfRule>
    <cfRule type="cellIs" dxfId="6954" priority="1727" operator="equal">
      <formula>U9</formula>
    </cfRule>
    <cfRule type="cellIs" dxfId="6953" priority="1728" operator="greaterThan">
      <formula>U9</formula>
    </cfRule>
    <cfRule type="cellIs" dxfId="6952" priority="1729" operator="lessThan">
      <formula>U9</formula>
    </cfRule>
  </conditionalFormatting>
  <conditionalFormatting sqref="V10">
    <cfRule type="expression" dxfId="6951" priority="1720">
      <formula>U10="-"</formula>
    </cfRule>
    <cfRule type="cellIs" dxfId="6950" priority="1721" operator="equal">
      <formula>"-"</formula>
    </cfRule>
    <cfRule type="cellIs" dxfId="6949" priority="1722" operator="equal">
      <formula>U10</formula>
    </cfRule>
    <cfRule type="cellIs" dxfId="6948" priority="1723" operator="greaterThan">
      <formula>U10</formula>
    </cfRule>
    <cfRule type="cellIs" dxfId="6947" priority="1724" operator="lessThan">
      <formula>U10</formula>
    </cfRule>
  </conditionalFormatting>
  <conditionalFormatting sqref="V11">
    <cfRule type="expression" dxfId="6946" priority="1715">
      <formula>U11="-"</formula>
    </cfRule>
    <cfRule type="cellIs" dxfId="6945" priority="1716" operator="equal">
      <formula>"-"</formula>
    </cfRule>
    <cfRule type="cellIs" dxfId="6944" priority="1717" operator="equal">
      <formula>U11</formula>
    </cfRule>
    <cfRule type="cellIs" dxfId="6943" priority="1718" operator="greaterThan">
      <formula>U11</formula>
    </cfRule>
    <cfRule type="cellIs" dxfId="6942" priority="1719" operator="lessThan">
      <formula>U11</formula>
    </cfRule>
  </conditionalFormatting>
  <conditionalFormatting sqref="V12">
    <cfRule type="expression" dxfId="6941" priority="1710">
      <formula>U12="-"</formula>
    </cfRule>
    <cfRule type="cellIs" dxfId="6940" priority="1711" operator="equal">
      <formula>"-"</formula>
    </cfRule>
    <cfRule type="cellIs" dxfId="6939" priority="1712" operator="equal">
      <formula>U12</formula>
    </cfRule>
    <cfRule type="cellIs" dxfId="6938" priority="1713" operator="greaterThan">
      <formula>U12</formula>
    </cfRule>
    <cfRule type="cellIs" dxfId="6937" priority="1714" operator="lessThan">
      <formula>U12</formula>
    </cfRule>
  </conditionalFormatting>
  <conditionalFormatting sqref="V13">
    <cfRule type="expression" dxfId="6936" priority="1705">
      <formula>U13="-"</formula>
    </cfRule>
    <cfRule type="cellIs" dxfId="6935" priority="1706" operator="equal">
      <formula>"-"</formula>
    </cfRule>
    <cfRule type="cellIs" dxfId="6934" priority="1707" operator="equal">
      <formula>U13</formula>
    </cfRule>
    <cfRule type="cellIs" dxfId="6933" priority="1708" operator="greaterThan">
      <formula>U13</formula>
    </cfRule>
    <cfRule type="cellIs" dxfId="6932" priority="1709" operator="lessThan">
      <formula>U13</formula>
    </cfRule>
  </conditionalFormatting>
  <conditionalFormatting sqref="V14">
    <cfRule type="expression" dxfId="6931" priority="1700">
      <formula>U14="-"</formula>
    </cfRule>
    <cfRule type="cellIs" dxfId="6930" priority="1701" operator="equal">
      <formula>"-"</formula>
    </cfRule>
    <cfRule type="cellIs" dxfId="6929" priority="1702" operator="equal">
      <formula>U14</formula>
    </cfRule>
    <cfRule type="cellIs" dxfId="6928" priority="1703" operator="greaterThan">
      <formula>U14</formula>
    </cfRule>
    <cfRule type="cellIs" dxfId="6927" priority="1704" operator="lessThan">
      <formula>U14</formula>
    </cfRule>
  </conditionalFormatting>
  <conditionalFormatting sqref="V15">
    <cfRule type="expression" dxfId="6926" priority="1695">
      <formula>U15="-"</formula>
    </cfRule>
    <cfRule type="cellIs" dxfId="6925" priority="1696" operator="equal">
      <formula>"-"</formula>
    </cfRule>
    <cfRule type="cellIs" dxfId="6924" priority="1697" operator="equal">
      <formula>U15</formula>
    </cfRule>
    <cfRule type="cellIs" dxfId="6923" priority="1698" operator="greaterThan">
      <formula>U15</formula>
    </cfRule>
    <cfRule type="cellIs" dxfId="6922" priority="1699" operator="lessThan">
      <formula>U15</formula>
    </cfRule>
  </conditionalFormatting>
  <conditionalFormatting sqref="V16">
    <cfRule type="expression" dxfId="6921" priority="1690">
      <formula>U16="-"</formula>
    </cfRule>
    <cfRule type="cellIs" dxfId="6920" priority="1691" operator="equal">
      <formula>"-"</formula>
    </cfRule>
    <cfRule type="cellIs" dxfId="6919" priority="1692" operator="equal">
      <formula>U16</formula>
    </cfRule>
    <cfRule type="cellIs" dxfId="6918" priority="1693" operator="greaterThan">
      <formula>U16</formula>
    </cfRule>
    <cfRule type="cellIs" dxfId="6917" priority="1694" operator="lessThan">
      <formula>U16</formula>
    </cfRule>
  </conditionalFormatting>
  <conditionalFormatting sqref="V17">
    <cfRule type="expression" dxfId="6916" priority="1685">
      <formula>U17="-"</formula>
    </cfRule>
    <cfRule type="cellIs" dxfId="6915" priority="1686" operator="equal">
      <formula>"-"</formula>
    </cfRule>
    <cfRule type="cellIs" dxfId="6914" priority="1687" operator="equal">
      <formula>U17</formula>
    </cfRule>
    <cfRule type="cellIs" dxfId="6913" priority="1688" operator="greaterThan">
      <formula>U17</formula>
    </cfRule>
    <cfRule type="cellIs" dxfId="6912" priority="1689" operator="lessThan">
      <formula>U17</formula>
    </cfRule>
  </conditionalFormatting>
  <conditionalFormatting sqref="V18">
    <cfRule type="expression" dxfId="6911" priority="1680">
      <formula>U18="-"</formula>
    </cfRule>
    <cfRule type="cellIs" dxfId="6910" priority="1681" operator="equal">
      <formula>"-"</formula>
    </cfRule>
    <cfRule type="cellIs" dxfId="6909" priority="1682" operator="equal">
      <formula>U18</formula>
    </cfRule>
    <cfRule type="cellIs" dxfId="6908" priority="1683" operator="greaterThan">
      <formula>U18</formula>
    </cfRule>
    <cfRule type="cellIs" dxfId="6907" priority="1684" operator="lessThan">
      <formula>U18</formula>
    </cfRule>
  </conditionalFormatting>
  <conditionalFormatting sqref="V19">
    <cfRule type="expression" dxfId="6906" priority="1675">
      <formula>U19="-"</formula>
    </cfRule>
    <cfRule type="cellIs" dxfId="6905" priority="1676" operator="equal">
      <formula>"-"</formula>
    </cfRule>
    <cfRule type="cellIs" dxfId="6904" priority="1677" operator="equal">
      <formula>U19</formula>
    </cfRule>
    <cfRule type="cellIs" dxfId="6903" priority="1678" operator="greaterThan">
      <formula>U19</formula>
    </cfRule>
    <cfRule type="cellIs" dxfId="6902" priority="1679" operator="lessThan">
      <formula>U19</formula>
    </cfRule>
  </conditionalFormatting>
  <conditionalFormatting sqref="V20">
    <cfRule type="expression" dxfId="6901" priority="1670">
      <formula>U20="-"</formula>
    </cfRule>
    <cfRule type="cellIs" dxfId="6900" priority="1671" operator="equal">
      <formula>"-"</formula>
    </cfRule>
    <cfRule type="cellIs" dxfId="6899" priority="1672" operator="equal">
      <formula>U20</formula>
    </cfRule>
    <cfRule type="cellIs" dxfId="6898" priority="1673" operator="greaterThan">
      <formula>U20</formula>
    </cfRule>
    <cfRule type="cellIs" dxfId="6897" priority="1674" operator="lessThan">
      <formula>U20</formula>
    </cfRule>
  </conditionalFormatting>
  <conditionalFormatting sqref="V21">
    <cfRule type="expression" dxfId="6896" priority="1665">
      <formula>U21="-"</formula>
    </cfRule>
    <cfRule type="cellIs" dxfId="6895" priority="1666" operator="equal">
      <formula>"-"</formula>
    </cfRule>
    <cfRule type="cellIs" dxfId="6894" priority="1667" operator="equal">
      <formula>U21</formula>
    </cfRule>
    <cfRule type="cellIs" dxfId="6893" priority="1668" operator="greaterThan">
      <formula>U21</formula>
    </cfRule>
    <cfRule type="cellIs" dxfId="6892" priority="1669" operator="lessThan">
      <formula>U21</formula>
    </cfRule>
  </conditionalFormatting>
  <conditionalFormatting sqref="V22">
    <cfRule type="expression" dxfId="6891" priority="1660">
      <formula>U22="-"</formula>
    </cfRule>
    <cfRule type="cellIs" dxfId="6890" priority="1661" operator="equal">
      <formula>"-"</formula>
    </cfRule>
    <cfRule type="cellIs" dxfId="6889" priority="1662" operator="equal">
      <formula>U22</formula>
    </cfRule>
    <cfRule type="cellIs" dxfId="6888" priority="1663" operator="greaterThan">
      <formula>U22</formula>
    </cfRule>
    <cfRule type="cellIs" dxfId="6887" priority="1664" operator="lessThan">
      <formula>U22</formula>
    </cfRule>
  </conditionalFormatting>
  <conditionalFormatting sqref="V23">
    <cfRule type="expression" dxfId="6886" priority="1655">
      <formula>U23="-"</formula>
    </cfRule>
    <cfRule type="cellIs" dxfId="6885" priority="1656" operator="equal">
      <formula>"-"</formula>
    </cfRule>
    <cfRule type="cellIs" dxfId="6884" priority="1657" operator="equal">
      <formula>U23</formula>
    </cfRule>
    <cfRule type="cellIs" dxfId="6883" priority="1658" operator="greaterThan">
      <formula>U23</formula>
    </cfRule>
    <cfRule type="cellIs" dxfId="6882" priority="1659" operator="lessThan">
      <formula>U23</formula>
    </cfRule>
  </conditionalFormatting>
  <conditionalFormatting sqref="V24">
    <cfRule type="expression" dxfId="6881" priority="1650">
      <formula>U24="-"</formula>
    </cfRule>
    <cfRule type="cellIs" dxfId="6880" priority="1651" operator="equal">
      <formula>"-"</formula>
    </cfRule>
    <cfRule type="cellIs" dxfId="6879" priority="1652" operator="equal">
      <formula>U24</formula>
    </cfRule>
    <cfRule type="cellIs" dxfId="6878" priority="1653" operator="greaterThan">
      <formula>U24</formula>
    </cfRule>
    <cfRule type="cellIs" dxfId="6877" priority="1654" operator="lessThan">
      <formula>U24</formula>
    </cfRule>
  </conditionalFormatting>
  <conditionalFormatting sqref="V25">
    <cfRule type="expression" dxfId="6876" priority="1645">
      <formula>U25="-"</formula>
    </cfRule>
    <cfRule type="cellIs" dxfId="6875" priority="1646" operator="equal">
      <formula>"-"</formula>
    </cfRule>
    <cfRule type="cellIs" dxfId="6874" priority="1647" operator="equal">
      <formula>U25</formula>
    </cfRule>
    <cfRule type="cellIs" dxfId="6873" priority="1648" operator="greaterThan">
      <formula>U25</formula>
    </cfRule>
    <cfRule type="cellIs" dxfId="6872" priority="1649" operator="lessThan">
      <formula>U25</formula>
    </cfRule>
  </conditionalFormatting>
  <conditionalFormatting sqref="V26">
    <cfRule type="expression" dxfId="6871" priority="1640">
      <formula>U26="-"</formula>
    </cfRule>
    <cfRule type="cellIs" dxfId="6870" priority="1641" operator="equal">
      <formula>"-"</formula>
    </cfRule>
    <cfRule type="cellIs" dxfId="6869" priority="1642" operator="equal">
      <formula>U26</formula>
    </cfRule>
    <cfRule type="cellIs" dxfId="6868" priority="1643" operator="greaterThan">
      <formula>U26</formula>
    </cfRule>
    <cfRule type="cellIs" dxfId="6867" priority="1644" operator="lessThan">
      <formula>U26</formula>
    </cfRule>
  </conditionalFormatting>
  <conditionalFormatting sqref="V27">
    <cfRule type="expression" dxfId="6866" priority="1635">
      <formula>U27="-"</formula>
    </cfRule>
    <cfRule type="cellIs" dxfId="6865" priority="1636" operator="equal">
      <formula>"-"</formula>
    </cfRule>
    <cfRule type="cellIs" dxfId="6864" priority="1637" operator="equal">
      <formula>U27</formula>
    </cfRule>
    <cfRule type="cellIs" dxfId="6863" priority="1638" operator="greaterThan">
      <formula>U27</formula>
    </cfRule>
    <cfRule type="cellIs" dxfId="6862" priority="1639" operator="lessThan">
      <formula>U27</formula>
    </cfRule>
  </conditionalFormatting>
  <conditionalFormatting sqref="V28">
    <cfRule type="expression" dxfId="6861" priority="1630">
      <formula>U28="-"</formula>
    </cfRule>
    <cfRule type="cellIs" dxfId="6860" priority="1631" operator="equal">
      <formula>"-"</formula>
    </cfRule>
    <cfRule type="cellIs" dxfId="6859" priority="1632" operator="equal">
      <formula>U28</formula>
    </cfRule>
    <cfRule type="cellIs" dxfId="6858" priority="1633" operator="greaterThan">
      <formula>U28</formula>
    </cfRule>
    <cfRule type="cellIs" dxfId="6857" priority="1634" operator="lessThan">
      <formula>U28</formula>
    </cfRule>
  </conditionalFormatting>
  <conditionalFormatting sqref="W4">
    <cfRule type="expression" dxfId="6856" priority="1625">
      <formula>V4="-"</formula>
    </cfRule>
    <cfRule type="cellIs" dxfId="6855" priority="1626" operator="equal">
      <formula>"-"</formula>
    </cfRule>
    <cfRule type="cellIs" dxfId="6854" priority="1627" operator="equal">
      <formula>V4</formula>
    </cfRule>
    <cfRule type="cellIs" dxfId="6853" priority="1628" operator="greaterThan">
      <formula>V4</formula>
    </cfRule>
    <cfRule type="cellIs" dxfId="6852" priority="1629" operator="lessThan">
      <formula>V4</formula>
    </cfRule>
  </conditionalFormatting>
  <conditionalFormatting sqref="W5">
    <cfRule type="expression" dxfId="6851" priority="1620">
      <formula>V5="-"</formula>
    </cfRule>
    <cfRule type="cellIs" dxfId="6850" priority="1621" operator="equal">
      <formula>"-"</formula>
    </cfRule>
    <cfRule type="cellIs" dxfId="6849" priority="1622" operator="equal">
      <formula>V5</formula>
    </cfRule>
    <cfRule type="cellIs" dxfId="6848" priority="1623" operator="greaterThan">
      <formula>V5</formula>
    </cfRule>
    <cfRule type="cellIs" dxfId="6847" priority="1624" operator="lessThan">
      <formula>V5</formula>
    </cfRule>
  </conditionalFormatting>
  <conditionalFormatting sqref="W6">
    <cfRule type="expression" dxfId="6846" priority="1615">
      <formula>V6="-"</formula>
    </cfRule>
    <cfRule type="cellIs" dxfId="6845" priority="1616" operator="equal">
      <formula>"-"</formula>
    </cfRule>
    <cfRule type="cellIs" dxfId="6844" priority="1617" operator="equal">
      <formula>V6</formula>
    </cfRule>
    <cfRule type="cellIs" dxfId="6843" priority="1618" operator="greaterThan">
      <formula>V6</formula>
    </cfRule>
    <cfRule type="cellIs" dxfId="6842" priority="1619" operator="lessThan">
      <formula>V6</formula>
    </cfRule>
  </conditionalFormatting>
  <conditionalFormatting sqref="W7">
    <cfRule type="expression" dxfId="6841" priority="1610">
      <formula>V7="-"</formula>
    </cfRule>
    <cfRule type="cellIs" dxfId="6840" priority="1611" operator="equal">
      <formula>"-"</formula>
    </cfRule>
    <cfRule type="cellIs" dxfId="6839" priority="1612" operator="equal">
      <formula>V7</formula>
    </cfRule>
    <cfRule type="cellIs" dxfId="6838" priority="1613" operator="greaterThan">
      <formula>V7</formula>
    </cfRule>
    <cfRule type="cellIs" dxfId="6837" priority="1614" operator="lessThan">
      <formula>V7</formula>
    </cfRule>
  </conditionalFormatting>
  <conditionalFormatting sqref="W8">
    <cfRule type="expression" dxfId="6836" priority="1605">
      <formula>V8="-"</formula>
    </cfRule>
    <cfRule type="cellIs" dxfId="6835" priority="1606" operator="equal">
      <formula>"-"</formula>
    </cfRule>
    <cfRule type="cellIs" dxfId="6834" priority="1607" operator="equal">
      <formula>V8</formula>
    </cfRule>
    <cfRule type="cellIs" dxfId="6833" priority="1608" operator="greaterThan">
      <formula>V8</formula>
    </cfRule>
    <cfRule type="cellIs" dxfId="6832" priority="1609" operator="lessThan">
      <formula>V8</formula>
    </cfRule>
  </conditionalFormatting>
  <conditionalFormatting sqref="W9">
    <cfRule type="expression" dxfId="6831" priority="1600">
      <formula>V9="-"</formula>
    </cfRule>
    <cfRule type="cellIs" dxfId="6830" priority="1601" operator="equal">
      <formula>"-"</formula>
    </cfRule>
    <cfRule type="cellIs" dxfId="6829" priority="1602" operator="equal">
      <formula>V9</formula>
    </cfRule>
    <cfRule type="cellIs" dxfId="6828" priority="1603" operator="greaterThan">
      <formula>V9</formula>
    </cfRule>
    <cfRule type="cellIs" dxfId="6827" priority="1604" operator="lessThan">
      <formula>V9</formula>
    </cfRule>
  </conditionalFormatting>
  <conditionalFormatting sqref="W10">
    <cfRule type="expression" dxfId="6826" priority="1595">
      <formula>V10="-"</formula>
    </cfRule>
    <cfRule type="cellIs" dxfId="6825" priority="1596" operator="equal">
      <formula>"-"</formula>
    </cfRule>
    <cfRule type="cellIs" dxfId="6824" priority="1597" operator="equal">
      <formula>V10</formula>
    </cfRule>
    <cfRule type="cellIs" dxfId="6823" priority="1598" operator="greaterThan">
      <formula>V10</formula>
    </cfRule>
    <cfRule type="cellIs" dxfId="6822" priority="1599" operator="lessThan">
      <formula>V10</formula>
    </cfRule>
  </conditionalFormatting>
  <conditionalFormatting sqref="W11">
    <cfRule type="expression" dxfId="6821" priority="1590">
      <formula>V11="-"</formula>
    </cfRule>
    <cfRule type="cellIs" dxfId="6820" priority="1591" operator="equal">
      <formula>"-"</formula>
    </cfRule>
    <cfRule type="cellIs" dxfId="6819" priority="1592" operator="equal">
      <formula>V11</formula>
    </cfRule>
    <cfRule type="cellIs" dxfId="6818" priority="1593" operator="greaterThan">
      <formula>V11</formula>
    </cfRule>
    <cfRule type="cellIs" dxfId="6817" priority="1594" operator="lessThan">
      <formula>V11</formula>
    </cfRule>
  </conditionalFormatting>
  <conditionalFormatting sqref="W12">
    <cfRule type="expression" dxfId="6816" priority="1585">
      <formula>V12="-"</formula>
    </cfRule>
    <cfRule type="cellIs" dxfId="6815" priority="1586" operator="equal">
      <formula>"-"</formula>
    </cfRule>
    <cfRule type="cellIs" dxfId="6814" priority="1587" operator="equal">
      <formula>V12</formula>
    </cfRule>
    <cfRule type="cellIs" dxfId="6813" priority="1588" operator="greaterThan">
      <formula>V12</formula>
    </cfRule>
    <cfRule type="cellIs" dxfId="6812" priority="1589" operator="lessThan">
      <formula>V12</formula>
    </cfRule>
  </conditionalFormatting>
  <conditionalFormatting sqref="W13">
    <cfRule type="expression" dxfId="6811" priority="1580">
      <formula>V13="-"</formula>
    </cfRule>
    <cfRule type="cellIs" dxfId="6810" priority="1581" operator="equal">
      <formula>"-"</formula>
    </cfRule>
    <cfRule type="cellIs" dxfId="6809" priority="1582" operator="equal">
      <formula>V13</formula>
    </cfRule>
    <cfRule type="cellIs" dxfId="6808" priority="1583" operator="greaterThan">
      <formula>V13</formula>
    </cfRule>
    <cfRule type="cellIs" dxfId="6807" priority="1584" operator="lessThan">
      <formula>V13</formula>
    </cfRule>
  </conditionalFormatting>
  <conditionalFormatting sqref="W14">
    <cfRule type="expression" dxfId="6806" priority="1575">
      <formula>V14="-"</formula>
    </cfRule>
    <cfRule type="cellIs" dxfId="6805" priority="1576" operator="equal">
      <formula>"-"</formula>
    </cfRule>
    <cfRule type="cellIs" dxfId="6804" priority="1577" operator="equal">
      <formula>V14</formula>
    </cfRule>
    <cfRule type="cellIs" dxfId="6803" priority="1578" operator="greaterThan">
      <formula>V14</formula>
    </cfRule>
    <cfRule type="cellIs" dxfId="6802" priority="1579" operator="lessThan">
      <formula>V14</formula>
    </cfRule>
  </conditionalFormatting>
  <conditionalFormatting sqref="W15">
    <cfRule type="expression" dxfId="6801" priority="1570">
      <formula>V15="-"</formula>
    </cfRule>
    <cfRule type="cellIs" dxfId="6800" priority="1571" operator="equal">
      <formula>"-"</formula>
    </cfRule>
    <cfRule type="cellIs" dxfId="6799" priority="1572" operator="equal">
      <formula>V15</formula>
    </cfRule>
    <cfRule type="cellIs" dxfId="6798" priority="1573" operator="greaterThan">
      <formula>V15</formula>
    </cfRule>
    <cfRule type="cellIs" dxfId="6797" priority="1574" operator="lessThan">
      <formula>V15</formula>
    </cfRule>
  </conditionalFormatting>
  <conditionalFormatting sqref="W16">
    <cfRule type="expression" dxfId="6796" priority="1565">
      <formula>V16="-"</formula>
    </cfRule>
    <cfRule type="cellIs" dxfId="6795" priority="1566" operator="equal">
      <formula>"-"</formula>
    </cfRule>
    <cfRule type="cellIs" dxfId="6794" priority="1567" operator="equal">
      <formula>V16</formula>
    </cfRule>
    <cfRule type="cellIs" dxfId="6793" priority="1568" operator="greaterThan">
      <formula>V16</formula>
    </cfRule>
    <cfRule type="cellIs" dxfId="6792" priority="1569" operator="lessThan">
      <formula>V16</formula>
    </cfRule>
  </conditionalFormatting>
  <conditionalFormatting sqref="W17">
    <cfRule type="expression" dxfId="6791" priority="1560">
      <formula>V17="-"</formula>
    </cfRule>
    <cfRule type="cellIs" dxfId="6790" priority="1561" operator="equal">
      <formula>"-"</formula>
    </cfRule>
    <cfRule type="cellIs" dxfId="6789" priority="1562" operator="equal">
      <formula>V17</formula>
    </cfRule>
    <cfRule type="cellIs" dxfId="6788" priority="1563" operator="greaterThan">
      <formula>V17</formula>
    </cfRule>
    <cfRule type="cellIs" dxfId="6787" priority="1564" operator="lessThan">
      <formula>V17</formula>
    </cfRule>
  </conditionalFormatting>
  <conditionalFormatting sqref="W18">
    <cfRule type="expression" dxfId="6786" priority="1555">
      <formula>V18="-"</formula>
    </cfRule>
    <cfRule type="cellIs" dxfId="6785" priority="1556" operator="equal">
      <formula>"-"</formula>
    </cfRule>
    <cfRule type="cellIs" dxfId="6784" priority="1557" operator="equal">
      <formula>V18</formula>
    </cfRule>
    <cfRule type="cellIs" dxfId="6783" priority="1558" operator="greaterThan">
      <formula>V18</formula>
    </cfRule>
    <cfRule type="cellIs" dxfId="6782" priority="1559" operator="lessThan">
      <formula>V18</formula>
    </cfRule>
  </conditionalFormatting>
  <conditionalFormatting sqref="W19">
    <cfRule type="expression" dxfId="6781" priority="1550">
      <formula>V19="-"</formula>
    </cfRule>
    <cfRule type="cellIs" dxfId="6780" priority="1551" operator="equal">
      <formula>"-"</formula>
    </cfRule>
    <cfRule type="cellIs" dxfId="6779" priority="1552" operator="equal">
      <formula>V19</formula>
    </cfRule>
    <cfRule type="cellIs" dxfId="6778" priority="1553" operator="greaterThan">
      <formula>V19</formula>
    </cfRule>
    <cfRule type="cellIs" dxfId="6777" priority="1554" operator="lessThan">
      <formula>V19</formula>
    </cfRule>
  </conditionalFormatting>
  <conditionalFormatting sqref="W20">
    <cfRule type="expression" dxfId="6776" priority="1545">
      <formula>V20="-"</formula>
    </cfRule>
    <cfRule type="cellIs" dxfId="6775" priority="1546" operator="equal">
      <formula>"-"</formula>
    </cfRule>
    <cfRule type="cellIs" dxfId="6774" priority="1547" operator="equal">
      <formula>V20</formula>
    </cfRule>
    <cfRule type="cellIs" dxfId="6773" priority="1548" operator="greaterThan">
      <formula>V20</formula>
    </cfRule>
    <cfRule type="cellIs" dxfId="6772" priority="1549" operator="lessThan">
      <formula>V20</formula>
    </cfRule>
  </conditionalFormatting>
  <conditionalFormatting sqref="W21">
    <cfRule type="expression" dxfId="6771" priority="1540">
      <formula>V21="-"</formula>
    </cfRule>
    <cfRule type="cellIs" dxfId="6770" priority="1541" operator="equal">
      <formula>"-"</formula>
    </cfRule>
    <cfRule type="cellIs" dxfId="6769" priority="1542" operator="equal">
      <formula>V21</formula>
    </cfRule>
    <cfRule type="cellIs" dxfId="6768" priority="1543" operator="greaterThan">
      <formula>V21</formula>
    </cfRule>
    <cfRule type="cellIs" dxfId="6767" priority="1544" operator="lessThan">
      <formula>V21</formula>
    </cfRule>
  </conditionalFormatting>
  <conditionalFormatting sqref="W22">
    <cfRule type="expression" dxfId="6766" priority="1535">
      <formula>V22="-"</formula>
    </cfRule>
    <cfRule type="cellIs" dxfId="6765" priority="1536" operator="equal">
      <formula>"-"</formula>
    </cfRule>
    <cfRule type="cellIs" dxfId="6764" priority="1537" operator="equal">
      <formula>V22</formula>
    </cfRule>
    <cfRule type="cellIs" dxfId="6763" priority="1538" operator="greaterThan">
      <formula>V22</formula>
    </cfRule>
    <cfRule type="cellIs" dxfId="6762" priority="1539" operator="lessThan">
      <formula>V22</formula>
    </cfRule>
  </conditionalFormatting>
  <conditionalFormatting sqref="W23">
    <cfRule type="expression" dxfId="6761" priority="1530">
      <formula>V23="-"</formula>
    </cfRule>
    <cfRule type="cellIs" dxfId="6760" priority="1531" operator="equal">
      <formula>"-"</formula>
    </cfRule>
    <cfRule type="cellIs" dxfId="6759" priority="1532" operator="equal">
      <formula>V23</formula>
    </cfRule>
    <cfRule type="cellIs" dxfId="6758" priority="1533" operator="greaterThan">
      <formula>V23</formula>
    </cfRule>
    <cfRule type="cellIs" dxfId="6757" priority="1534" operator="lessThan">
      <formula>V23</formula>
    </cfRule>
  </conditionalFormatting>
  <conditionalFormatting sqref="W24">
    <cfRule type="expression" dxfId="6756" priority="1525">
      <formula>V24="-"</formula>
    </cfRule>
    <cfRule type="cellIs" dxfId="6755" priority="1526" operator="equal">
      <formula>"-"</formula>
    </cfRule>
    <cfRule type="cellIs" dxfId="6754" priority="1527" operator="equal">
      <formula>V24</formula>
    </cfRule>
    <cfRule type="cellIs" dxfId="6753" priority="1528" operator="greaterThan">
      <formula>V24</formula>
    </cfRule>
    <cfRule type="cellIs" dxfId="6752" priority="1529" operator="lessThan">
      <formula>V24</formula>
    </cfRule>
  </conditionalFormatting>
  <conditionalFormatting sqref="W25">
    <cfRule type="expression" dxfId="6751" priority="1520">
      <formula>V25="-"</formula>
    </cfRule>
    <cfRule type="cellIs" dxfId="6750" priority="1521" operator="equal">
      <formula>"-"</formula>
    </cfRule>
    <cfRule type="cellIs" dxfId="6749" priority="1522" operator="equal">
      <formula>V25</formula>
    </cfRule>
    <cfRule type="cellIs" dxfId="6748" priority="1523" operator="greaterThan">
      <formula>V25</formula>
    </cfRule>
    <cfRule type="cellIs" dxfId="6747" priority="1524" operator="lessThan">
      <formula>V25</formula>
    </cfRule>
  </conditionalFormatting>
  <conditionalFormatting sqref="W26">
    <cfRule type="expression" dxfId="6746" priority="1515">
      <formula>V26="-"</formula>
    </cfRule>
    <cfRule type="cellIs" dxfId="6745" priority="1516" operator="equal">
      <formula>"-"</formula>
    </cfRule>
    <cfRule type="cellIs" dxfId="6744" priority="1517" operator="equal">
      <formula>V26</formula>
    </cfRule>
    <cfRule type="cellIs" dxfId="6743" priority="1518" operator="greaterThan">
      <formula>V26</formula>
    </cfRule>
    <cfRule type="cellIs" dxfId="6742" priority="1519" operator="lessThan">
      <formula>V26</formula>
    </cfRule>
  </conditionalFormatting>
  <conditionalFormatting sqref="W27">
    <cfRule type="expression" dxfId="6741" priority="1510">
      <formula>V27="-"</formula>
    </cfRule>
    <cfRule type="cellIs" dxfId="6740" priority="1511" operator="equal">
      <formula>"-"</formula>
    </cfRule>
    <cfRule type="cellIs" dxfId="6739" priority="1512" operator="equal">
      <formula>V27</formula>
    </cfRule>
    <cfRule type="cellIs" dxfId="6738" priority="1513" operator="greaterThan">
      <formula>V27</formula>
    </cfRule>
    <cfRule type="cellIs" dxfId="6737" priority="1514" operator="lessThan">
      <formula>V27</formula>
    </cfRule>
  </conditionalFormatting>
  <conditionalFormatting sqref="W28">
    <cfRule type="expression" dxfId="6736" priority="1505">
      <formula>V28="-"</formula>
    </cfRule>
    <cfRule type="cellIs" dxfId="6735" priority="1506" operator="equal">
      <formula>"-"</formula>
    </cfRule>
    <cfRule type="cellIs" dxfId="6734" priority="1507" operator="equal">
      <formula>V28</formula>
    </cfRule>
    <cfRule type="cellIs" dxfId="6733" priority="1508" operator="greaterThan">
      <formula>V28</formula>
    </cfRule>
    <cfRule type="cellIs" dxfId="6732" priority="1509" operator="lessThan">
      <formula>V28</formula>
    </cfRule>
  </conditionalFormatting>
  <conditionalFormatting sqref="X4">
    <cfRule type="expression" dxfId="6731" priority="1500">
      <formula>W4="-"</formula>
    </cfRule>
    <cfRule type="cellIs" dxfId="6730" priority="1501" operator="equal">
      <formula>"-"</formula>
    </cfRule>
    <cfRule type="cellIs" dxfId="6729" priority="1502" operator="equal">
      <formula>W4</formula>
    </cfRule>
    <cfRule type="cellIs" dxfId="6728" priority="1503" operator="greaterThan">
      <formula>W4</formula>
    </cfRule>
    <cfRule type="cellIs" dxfId="6727" priority="1504" operator="lessThan">
      <formula>W4</formula>
    </cfRule>
  </conditionalFormatting>
  <conditionalFormatting sqref="X5">
    <cfRule type="expression" dxfId="6726" priority="1495">
      <formula>W5="-"</formula>
    </cfRule>
    <cfRule type="cellIs" dxfId="6725" priority="1496" operator="equal">
      <formula>"-"</formula>
    </cfRule>
    <cfRule type="cellIs" dxfId="6724" priority="1497" operator="equal">
      <formula>W5</formula>
    </cfRule>
    <cfRule type="cellIs" dxfId="6723" priority="1498" operator="greaterThan">
      <formula>W5</formula>
    </cfRule>
    <cfRule type="cellIs" dxfId="6722" priority="1499" operator="lessThan">
      <formula>W5</formula>
    </cfRule>
  </conditionalFormatting>
  <conditionalFormatting sqref="X6">
    <cfRule type="expression" dxfId="6721" priority="1490">
      <formula>W6="-"</formula>
    </cfRule>
    <cfRule type="cellIs" dxfId="6720" priority="1491" operator="equal">
      <formula>"-"</formula>
    </cfRule>
    <cfRule type="cellIs" dxfId="6719" priority="1492" operator="equal">
      <formula>W6</formula>
    </cfRule>
    <cfRule type="cellIs" dxfId="6718" priority="1493" operator="greaterThan">
      <formula>W6</formula>
    </cfRule>
    <cfRule type="cellIs" dxfId="6717" priority="1494" operator="lessThan">
      <formula>W6</formula>
    </cfRule>
  </conditionalFormatting>
  <conditionalFormatting sqref="X7">
    <cfRule type="expression" dxfId="6716" priority="1485">
      <formula>W7="-"</formula>
    </cfRule>
    <cfRule type="cellIs" dxfId="6715" priority="1486" operator="equal">
      <formula>"-"</formula>
    </cfRule>
    <cfRule type="cellIs" dxfId="6714" priority="1487" operator="equal">
      <formula>W7</formula>
    </cfRule>
    <cfRule type="cellIs" dxfId="6713" priority="1488" operator="greaterThan">
      <formula>W7</formula>
    </cfRule>
    <cfRule type="cellIs" dxfId="6712" priority="1489" operator="lessThan">
      <formula>W7</formula>
    </cfRule>
  </conditionalFormatting>
  <conditionalFormatting sqref="X8">
    <cfRule type="expression" dxfId="6711" priority="1480">
      <formula>W8="-"</formula>
    </cfRule>
    <cfRule type="cellIs" dxfId="6710" priority="1481" operator="equal">
      <formula>"-"</formula>
    </cfRule>
    <cfRule type="cellIs" dxfId="6709" priority="1482" operator="equal">
      <formula>W8</formula>
    </cfRule>
    <cfRule type="cellIs" dxfId="6708" priority="1483" operator="greaterThan">
      <formula>W8</formula>
    </cfRule>
    <cfRule type="cellIs" dxfId="6707" priority="1484" operator="lessThan">
      <formula>W8</formula>
    </cfRule>
  </conditionalFormatting>
  <conditionalFormatting sqref="X9">
    <cfRule type="expression" dxfId="6706" priority="1475">
      <formula>W9="-"</formula>
    </cfRule>
    <cfRule type="cellIs" dxfId="6705" priority="1476" operator="equal">
      <formula>"-"</formula>
    </cfRule>
    <cfRule type="cellIs" dxfId="6704" priority="1477" operator="equal">
      <formula>W9</formula>
    </cfRule>
    <cfRule type="cellIs" dxfId="6703" priority="1478" operator="greaterThan">
      <formula>W9</formula>
    </cfRule>
    <cfRule type="cellIs" dxfId="6702" priority="1479" operator="lessThan">
      <formula>W9</formula>
    </cfRule>
  </conditionalFormatting>
  <conditionalFormatting sqref="X10">
    <cfRule type="expression" dxfId="6701" priority="1470">
      <formula>W10="-"</formula>
    </cfRule>
    <cfRule type="cellIs" dxfId="6700" priority="1471" operator="equal">
      <formula>"-"</formula>
    </cfRule>
    <cfRule type="cellIs" dxfId="6699" priority="1472" operator="equal">
      <formula>W10</formula>
    </cfRule>
    <cfRule type="cellIs" dxfId="6698" priority="1473" operator="greaterThan">
      <formula>W10</formula>
    </cfRule>
    <cfRule type="cellIs" dxfId="6697" priority="1474" operator="lessThan">
      <formula>W10</formula>
    </cfRule>
  </conditionalFormatting>
  <conditionalFormatting sqref="X11">
    <cfRule type="expression" dxfId="6696" priority="1465">
      <formula>W11="-"</formula>
    </cfRule>
    <cfRule type="cellIs" dxfId="6695" priority="1466" operator="equal">
      <formula>"-"</formula>
    </cfRule>
    <cfRule type="cellIs" dxfId="6694" priority="1467" operator="equal">
      <formula>W11</formula>
    </cfRule>
    <cfRule type="cellIs" dxfId="6693" priority="1468" operator="greaterThan">
      <formula>W11</formula>
    </cfRule>
    <cfRule type="cellIs" dxfId="6692" priority="1469" operator="lessThan">
      <formula>W11</formula>
    </cfRule>
  </conditionalFormatting>
  <conditionalFormatting sqref="X12">
    <cfRule type="expression" dxfId="6691" priority="1460">
      <formula>W12="-"</formula>
    </cfRule>
    <cfRule type="cellIs" dxfId="6690" priority="1461" operator="equal">
      <formula>"-"</formula>
    </cfRule>
    <cfRule type="cellIs" dxfId="6689" priority="1462" operator="equal">
      <formula>W12</formula>
    </cfRule>
    <cfRule type="cellIs" dxfId="6688" priority="1463" operator="greaterThan">
      <formula>W12</formula>
    </cfRule>
    <cfRule type="cellIs" dxfId="6687" priority="1464" operator="lessThan">
      <formula>W12</formula>
    </cfRule>
  </conditionalFormatting>
  <conditionalFormatting sqref="X13">
    <cfRule type="expression" dxfId="6686" priority="1455">
      <formula>W13="-"</formula>
    </cfRule>
    <cfRule type="cellIs" dxfId="6685" priority="1456" operator="equal">
      <formula>"-"</formula>
    </cfRule>
    <cfRule type="cellIs" dxfId="6684" priority="1457" operator="equal">
      <formula>W13</formula>
    </cfRule>
    <cfRule type="cellIs" dxfId="6683" priority="1458" operator="greaterThan">
      <formula>W13</formula>
    </cfRule>
    <cfRule type="cellIs" dxfId="6682" priority="1459" operator="lessThan">
      <formula>W13</formula>
    </cfRule>
  </conditionalFormatting>
  <conditionalFormatting sqref="X14">
    <cfRule type="expression" dxfId="6681" priority="1450">
      <formula>W14="-"</formula>
    </cfRule>
    <cfRule type="cellIs" dxfId="6680" priority="1451" operator="equal">
      <formula>"-"</formula>
    </cfRule>
    <cfRule type="cellIs" dxfId="6679" priority="1452" operator="equal">
      <formula>W14</formula>
    </cfRule>
    <cfRule type="cellIs" dxfId="6678" priority="1453" operator="greaterThan">
      <formula>W14</formula>
    </cfRule>
    <cfRule type="cellIs" dxfId="6677" priority="1454" operator="lessThan">
      <formula>W14</formula>
    </cfRule>
  </conditionalFormatting>
  <conditionalFormatting sqref="X15">
    <cfRule type="expression" dxfId="6676" priority="1445">
      <formula>W15="-"</formula>
    </cfRule>
    <cfRule type="cellIs" dxfId="6675" priority="1446" operator="equal">
      <formula>"-"</formula>
    </cfRule>
    <cfRule type="cellIs" dxfId="6674" priority="1447" operator="equal">
      <formula>W15</formula>
    </cfRule>
    <cfRule type="cellIs" dxfId="6673" priority="1448" operator="greaterThan">
      <formula>W15</formula>
    </cfRule>
    <cfRule type="cellIs" dxfId="6672" priority="1449" operator="lessThan">
      <formula>W15</formula>
    </cfRule>
  </conditionalFormatting>
  <conditionalFormatting sqref="X16">
    <cfRule type="expression" dxfId="6671" priority="1440">
      <formula>W16="-"</formula>
    </cfRule>
    <cfRule type="cellIs" dxfId="6670" priority="1441" operator="equal">
      <formula>"-"</formula>
    </cfRule>
    <cfRule type="cellIs" dxfId="6669" priority="1442" operator="equal">
      <formula>W16</formula>
    </cfRule>
    <cfRule type="cellIs" dxfId="6668" priority="1443" operator="greaterThan">
      <formula>W16</formula>
    </cfRule>
    <cfRule type="cellIs" dxfId="6667" priority="1444" operator="lessThan">
      <formula>W16</formula>
    </cfRule>
  </conditionalFormatting>
  <conditionalFormatting sqref="X17">
    <cfRule type="expression" dxfId="6666" priority="1435">
      <formula>W17="-"</formula>
    </cfRule>
    <cfRule type="cellIs" dxfId="6665" priority="1436" operator="equal">
      <formula>"-"</formula>
    </cfRule>
    <cfRule type="cellIs" dxfId="6664" priority="1437" operator="equal">
      <formula>W17</formula>
    </cfRule>
    <cfRule type="cellIs" dxfId="6663" priority="1438" operator="greaterThan">
      <formula>W17</formula>
    </cfRule>
    <cfRule type="cellIs" dxfId="6662" priority="1439" operator="lessThan">
      <formula>W17</formula>
    </cfRule>
  </conditionalFormatting>
  <conditionalFormatting sqref="X18">
    <cfRule type="expression" dxfId="6661" priority="1430">
      <formula>W18="-"</formula>
    </cfRule>
    <cfRule type="cellIs" dxfId="6660" priority="1431" operator="equal">
      <formula>"-"</formula>
    </cfRule>
    <cfRule type="cellIs" dxfId="6659" priority="1432" operator="equal">
      <formula>W18</formula>
    </cfRule>
    <cfRule type="cellIs" dxfId="6658" priority="1433" operator="greaterThan">
      <formula>W18</formula>
    </cfRule>
    <cfRule type="cellIs" dxfId="6657" priority="1434" operator="lessThan">
      <formula>W18</formula>
    </cfRule>
  </conditionalFormatting>
  <conditionalFormatting sqref="X19">
    <cfRule type="expression" dxfId="6656" priority="1425">
      <formula>W19="-"</formula>
    </cfRule>
    <cfRule type="cellIs" dxfId="6655" priority="1426" operator="equal">
      <formula>"-"</formula>
    </cfRule>
    <cfRule type="cellIs" dxfId="6654" priority="1427" operator="equal">
      <formula>W19</formula>
    </cfRule>
    <cfRule type="cellIs" dxfId="6653" priority="1428" operator="greaterThan">
      <formula>W19</formula>
    </cfRule>
    <cfRule type="cellIs" dxfId="6652" priority="1429" operator="lessThan">
      <formula>W19</formula>
    </cfRule>
  </conditionalFormatting>
  <conditionalFormatting sqref="X20">
    <cfRule type="expression" dxfId="6651" priority="1420">
      <formula>W20="-"</formula>
    </cfRule>
    <cfRule type="cellIs" dxfId="6650" priority="1421" operator="equal">
      <formula>"-"</formula>
    </cfRule>
    <cfRule type="cellIs" dxfId="6649" priority="1422" operator="equal">
      <formula>W20</formula>
    </cfRule>
    <cfRule type="cellIs" dxfId="6648" priority="1423" operator="greaterThan">
      <formula>W20</formula>
    </cfRule>
    <cfRule type="cellIs" dxfId="6647" priority="1424" operator="lessThan">
      <formula>W20</formula>
    </cfRule>
  </conditionalFormatting>
  <conditionalFormatting sqref="X21">
    <cfRule type="expression" dxfId="6646" priority="1415">
      <formula>W21="-"</formula>
    </cfRule>
    <cfRule type="cellIs" dxfId="6645" priority="1416" operator="equal">
      <formula>"-"</formula>
    </cfRule>
    <cfRule type="cellIs" dxfId="6644" priority="1417" operator="equal">
      <formula>W21</formula>
    </cfRule>
    <cfRule type="cellIs" dxfId="6643" priority="1418" operator="greaterThan">
      <formula>W21</formula>
    </cfRule>
    <cfRule type="cellIs" dxfId="6642" priority="1419" operator="lessThan">
      <formula>W21</formula>
    </cfRule>
  </conditionalFormatting>
  <conditionalFormatting sqref="X22">
    <cfRule type="expression" dxfId="6641" priority="1410">
      <formula>W22="-"</formula>
    </cfRule>
    <cfRule type="cellIs" dxfId="6640" priority="1411" operator="equal">
      <formula>"-"</formula>
    </cfRule>
    <cfRule type="cellIs" dxfId="6639" priority="1412" operator="equal">
      <formula>W22</formula>
    </cfRule>
    <cfRule type="cellIs" dxfId="6638" priority="1413" operator="greaterThan">
      <formula>W22</formula>
    </cfRule>
    <cfRule type="cellIs" dxfId="6637" priority="1414" operator="lessThan">
      <formula>W22</formula>
    </cfRule>
  </conditionalFormatting>
  <conditionalFormatting sqref="X23">
    <cfRule type="expression" dxfId="6636" priority="1405">
      <formula>W23="-"</formula>
    </cfRule>
    <cfRule type="cellIs" dxfId="6635" priority="1406" operator="equal">
      <formula>"-"</formula>
    </cfRule>
    <cfRule type="cellIs" dxfId="6634" priority="1407" operator="equal">
      <formula>W23</formula>
    </cfRule>
    <cfRule type="cellIs" dxfId="6633" priority="1408" operator="greaterThan">
      <formula>W23</formula>
    </cfRule>
    <cfRule type="cellIs" dxfId="6632" priority="1409" operator="lessThan">
      <formula>W23</formula>
    </cfRule>
  </conditionalFormatting>
  <conditionalFormatting sqref="X24">
    <cfRule type="expression" dxfId="6631" priority="1400">
      <formula>W24="-"</formula>
    </cfRule>
    <cfRule type="cellIs" dxfId="6630" priority="1401" operator="equal">
      <formula>"-"</formula>
    </cfRule>
    <cfRule type="cellIs" dxfId="6629" priority="1402" operator="equal">
      <formula>W24</formula>
    </cfRule>
    <cfRule type="cellIs" dxfId="6628" priority="1403" operator="greaterThan">
      <formula>W24</formula>
    </cfRule>
    <cfRule type="cellIs" dxfId="6627" priority="1404" operator="lessThan">
      <formula>W24</formula>
    </cfRule>
  </conditionalFormatting>
  <conditionalFormatting sqref="X25">
    <cfRule type="expression" dxfId="6626" priority="1395">
      <formula>W25="-"</formula>
    </cfRule>
    <cfRule type="cellIs" dxfId="6625" priority="1396" operator="equal">
      <formula>"-"</formula>
    </cfRule>
    <cfRule type="cellIs" dxfId="6624" priority="1397" operator="equal">
      <formula>W25</formula>
    </cfRule>
    <cfRule type="cellIs" dxfId="6623" priority="1398" operator="greaterThan">
      <formula>W25</formula>
    </cfRule>
    <cfRule type="cellIs" dxfId="6622" priority="1399" operator="lessThan">
      <formula>W25</formula>
    </cfRule>
  </conditionalFormatting>
  <conditionalFormatting sqref="X26">
    <cfRule type="expression" dxfId="6621" priority="1390">
      <formula>W26="-"</formula>
    </cfRule>
    <cfRule type="cellIs" dxfId="6620" priority="1391" operator="equal">
      <formula>"-"</formula>
    </cfRule>
    <cfRule type="cellIs" dxfId="6619" priority="1392" operator="equal">
      <formula>W26</formula>
    </cfRule>
    <cfRule type="cellIs" dxfId="6618" priority="1393" operator="greaterThan">
      <formula>W26</formula>
    </cfRule>
    <cfRule type="cellIs" dxfId="6617" priority="1394" operator="lessThan">
      <formula>W26</formula>
    </cfRule>
  </conditionalFormatting>
  <conditionalFormatting sqref="X27">
    <cfRule type="expression" dxfId="6616" priority="1385">
      <formula>W27="-"</formula>
    </cfRule>
    <cfRule type="cellIs" dxfId="6615" priority="1386" operator="equal">
      <formula>"-"</formula>
    </cfRule>
    <cfRule type="cellIs" dxfId="6614" priority="1387" operator="equal">
      <formula>W27</formula>
    </cfRule>
    <cfRule type="cellIs" dxfId="6613" priority="1388" operator="greaterThan">
      <formula>W27</formula>
    </cfRule>
    <cfRule type="cellIs" dxfId="6612" priority="1389" operator="lessThan">
      <formula>W27</formula>
    </cfRule>
  </conditionalFormatting>
  <conditionalFormatting sqref="X28">
    <cfRule type="expression" dxfId="6611" priority="1380">
      <formula>W28="-"</formula>
    </cfRule>
    <cfRule type="cellIs" dxfId="6610" priority="1381" operator="equal">
      <formula>"-"</formula>
    </cfRule>
    <cfRule type="cellIs" dxfId="6609" priority="1382" operator="equal">
      <formula>W28</formula>
    </cfRule>
    <cfRule type="cellIs" dxfId="6608" priority="1383" operator="greaterThan">
      <formula>W28</formula>
    </cfRule>
    <cfRule type="cellIs" dxfId="6607" priority="1384" operator="lessThan">
      <formula>W28</formula>
    </cfRule>
  </conditionalFormatting>
  <conditionalFormatting sqref="Y4">
    <cfRule type="expression" dxfId="6606" priority="1375">
      <formula>X4="-"</formula>
    </cfRule>
    <cfRule type="cellIs" dxfId="6605" priority="1376" operator="equal">
      <formula>"-"</formula>
    </cfRule>
    <cfRule type="cellIs" dxfId="6604" priority="1377" operator="equal">
      <formula>X4</formula>
    </cfRule>
    <cfRule type="cellIs" dxfId="6603" priority="1378" operator="greaterThan">
      <formula>X4</formula>
    </cfRule>
    <cfRule type="cellIs" dxfId="6602" priority="1379" operator="lessThan">
      <formula>X4</formula>
    </cfRule>
  </conditionalFormatting>
  <conditionalFormatting sqref="Y5">
    <cfRule type="expression" dxfId="6601" priority="1370">
      <formula>X5="-"</formula>
    </cfRule>
    <cfRule type="cellIs" dxfId="6600" priority="1371" operator="equal">
      <formula>"-"</formula>
    </cfRule>
    <cfRule type="cellIs" dxfId="6599" priority="1372" operator="equal">
      <formula>X5</formula>
    </cfRule>
    <cfRule type="cellIs" dxfId="6598" priority="1373" operator="greaterThan">
      <formula>X5</formula>
    </cfRule>
    <cfRule type="cellIs" dxfId="6597" priority="1374" operator="lessThan">
      <formula>X5</formula>
    </cfRule>
  </conditionalFormatting>
  <conditionalFormatting sqref="Y6">
    <cfRule type="expression" dxfId="6596" priority="1365">
      <formula>X6="-"</formula>
    </cfRule>
    <cfRule type="cellIs" dxfId="6595" priority="1366" operator="equal">
      <formula>"-"</formula>
    </cfRule>
    <cfRule type="cellIs" dxfId="6594" priority="1367" operator="equal">
      <formula>X6</formula>
    </cfRule>
    <cfRule type="cellIs" dxfId="6593" priority="1368" operator="greaterThan">
      <formula>X6</formula>
    </cfRule>
    <cfRule type="cellIs" dxfId="6592" priority="1369" operator="lessThan">
      <formula>X6</formula>
    </cfRule>
  </conditionalFormatting>
  <conditionalFormatting sqref="Y7">
    <cfRule type="expression" dxfId="6591" priority="1360">
      <formula>X7="-"</formula>
    </cfRule>
    <cfRule type="cellIs" dxfId="6590" priority="1361" operator="equal">
      <formula>"-"</formula>
    </cfRule>
    <cfRule type="cellIs" dxfId="6589" priority="1362" operator="equal">
      <formula>X7</formula>
    </cfRule>
    <cfRule type="cellIs" dxfId="6588" priority="1363" operator="greaterThan">
      <formula>X7</formula>
    </cfRule>
    <cfRule type="cellIs" dxfId="6587" priority="1364" operator="lessThan">
      <formula>X7</formula>
    </cfRule>
  </conditionalFormatting>
  <conditionalFormatting sqref="Y8">
    <cfRule type="expression" dxfId="6586" priority="1355">
      <formula>X8="-"</formula>
    </cfRule>
    <cfRule type="cellIs" dxfId="6585" priority="1356" operator="equal">
      <formula>"-"</formula>
    </cfRule>
    <cfRule type="cellIs" dxfId="6584" priority="1357" operator="equal">
      <formula>X8</formula>
    </cfRule>
    <cfRule type="cellIs" dxfId="6583" priority="1358" operator="greaterThan">
      <formula>X8</formula>
    </cfRule>
    <cfRule type="cellIs" dxfId="6582" priority="1359" operator="lessThan">
      <formula>X8</formula>
    </cfRule>
  </conditionalFormatting>
  <conditionalFormatting sqref="Y9">
    <cfRule type="expression" dxfId="6581" priority="1350">
      <formula>X9="-"</formula>
    </cfRule>
    <cfRule type="cellIs" dxfId="6580" priority="1351" operator="equal">
      <formula>"-"</formula>
    </cfRule>
    <cfRule type="cellIs" dxfId="6579" priority="1352" operator="equal">
      <formula>X9</formula>
    </cfRule>
    <cfRule type="cellIs" dxfId="6578" priority="1353" operator="greaterThan">
      <formula>X9</formula>
    </cfRule>
    <cfRule type="cellIs" dxfId="6577" priority="1354" operator="lessThan">
      <formula>X9</formula>
    </cfRule>
  </conditionalFormatting>
  <conditionalFormatting sqref="Y10">
    <cfRule type="expression" dxfId="6576" priority="1345">
      <formula>X10="-"</formula>
    </cfRule>
    <cfRule type="cellIs" dxfId="6575" priority="1346" operator="equal">
      <formula>"-"</formula>
    </cfRule>
    <cfRule type="cellIs" dxfId="6574" priority="1347" operator="equal">
      <formula>X10</formula>
    </cfRule>
    <cfRule type="cellIs" dxfId="6573" priority="1348" operator="greaterThan">
      <formula>X10</formula>
    </cfRule>
    <cfRule type="cellIs" dxfId="6572" priority="1349" operator="lessThan">
      <formula>X10</formula>
    </cfRule>
  </conditionalFormatting>
  <conditionalFormatting sqref="Y11">
    <cfRule type="expression" dxfId="6571" priority="1340">
      <formula>X11="-"</formula>
    </cfRule>
    <cfRule type="cellIs" dxfId="6570" priority="1341" operator="equal">
      <formula>"-"</formula>
    </cfRule>
    <cfRule type="cellIs" dxfId="6569" priority="1342" operator="equal">
      <formula>X11</formula>
    </cfRule>
    <cfRule type="cellIs" dxfId="6568" priority="1343" operator="greaterThan">
      <formula>X11</formula>
    </cfRule>
    <cfRule type="cellIs" dxfId="6567" priority="1344" operator="lessThan">
      <formula>X11</formula>
    </cfRule>
  </conditionalFormatting>
  <conditionalFormatting sqref="Y12">
    <cfRule type="expression" dxfId="6566" priority="1335">
      <formula>X12="-"</formula>
    </cfRule>
    <cfRule type="cellIs" dxfId="6565" priority="1336" operator="equal">
      <formula>"-"</formula>
    </cfRule>
    <cfRule type="cellIs" dxfId="6564" priority="1337" operator="equal">
      <formula>X12</formula>
    </cfRule>
    <cfRule type="cellIs" dxfId="6563" priority="1338" operator="greaterThan">
      <formula>X12</formula>
    </cfRule>
    <cfRule type="cellIs" dxfId="6562" priority="1339" operator="lessThan">
      <formula>X12</formula>
    </cfRule>
  </conditionalFormatting>
  <conditionalFormatting sqref="Y13">
    <cfRule type="expression" dxfId="6561" priority="1330">
      <formula>X13="-"</formula>
    </cfRule>
    <cfRule type="cellIs" dxfId="6560" priority="1331" operator="equal">
      <formula>"-"</formula>
    </cfRule>
    <cfRule type="cellIs" dxfId="6559" priority="1332" operator="equal">
      <formula>X13</formula>
    </cfRule>
    <cfRule type="cellIs" dxfId="6558" priority="1333" operator="greaterThan">
      <formula>X13</formula>
    </cfRule>
    <cfRule type="cellIs" dxfId="6557" priority="1334" operator="lessThan">
      <formula>X13</formula>
    </cfRule>
  </conditionalFormatting>
  <conditionalFormatting sqref="Y14">
    <cfRule type="expression" dxfId="6556" priority="1325">
      <formula>X14="-"</formula>
    </cfRule>
    <cfRule type="cellIs" dxfId="6555" priority="1326" operator="equal">
      <formula>"-"</formula>
    </cfRule>
    <cfRule type="cellIs" dxfId="6554" priority="1327" operator="equal">
      <formula>X14</formula>
    </cfRule>
    <cfRule type="cellIs" dxfId="6553" priority="1328" operator="greaterThan">
      <formula>X14</formula>
    </cfRule>
    <cfRule type="cellIs" dxfId="6552" priority="1329" operator="lessThan">
      <formula>X14</formula>
    </cfRule>
  </conditionalFormatting>
  <conditionalFormatting sqref="Y15">
    <cfRule type="expression" dxfId="6551" priority="1320">
      <formula>X15="-"</formula>
    </cfRule>
    <cfRule type="cellIs" dxfId="6550" priority="1321" operator="equal">
      <formula>"-"</formula>
    </cfRule>
    <cfRule type="cellIs" dxfId="6549" priority="1322" operator="equal">
      <formula>X15</formula>
    </cfRule>
    <cfRule type="cellIs" dxfId="6548" priority="1323" operator="greaterThan">
      <formula>X15</formula>
    </cfRule>
    <cfRule type="cellIs" dxfId="6547" priority="1324" operator="lessThan">
      <formula>X15</formula>
    </cfRule>
  </conditionalFormatting>
  <conditionalFormatting sqref="Y16">
    <cfRule type="expression" dxfId="6546" priority="1315">
      <formula>X16="-"</formula>
    </cfRule>
    <cfRule type="cellIs" dxfId="6545" priority="1316" operator="equal">
      <formula>"-"</formula>
    </cfRule>
    <cfRule type="cellIs" dxfId="6544" priority="1317" operator="equal">
      <formula>X16</formula>
    </cfRule>
    <cfRule type="cellIs" dxfId="6543" priority="1318" operator="greaterThan">
      <formula>X16</formula>
    </cfRule>
    <cfRule type="cellIs" dxfId="6542" priority="1319" operator="lessThan">
      <formula>X16</formula>
    </cfRule>
  </conditionalFormatting>
  <conditionalFormatting sqref="Y17">
    <cfRule type="expression" dxfId="6541" priority="1310">
      <formula>X17="-"</formula>
    </cfRule>
    <cfRule type="cellIs" dxfId="6540" priority="1311" operator="equal">
      <formula>"-"</formula>
    </cfRule>
    <cfRule type="cellIs" dxfId="6539" priority="1312" operator="equal">
      <formula>X17</formula>
    </cfRule>
    <cfRule type="cellIs" dxfId="6538" priority="1313" operator="greaterThan">
      <formula>X17</formula>
    </cfRule>
    <cfRule type="cellIs" dxfId="6537" priority="1314" operator="lessThan">
      <formula>X17</formula>
    </cfRule>
  </conditionalFormatting>
  <conditionalFormatting sqref="Y18">
    <cfRule type="expression" dxfId="6536" priority="1305">
      <formula>X18="-"</formula>
    </cfRule>
    <cfRule type="cellIs" dxfId="6535" priority="1306" operator="equal">
      <formula>"-"</formula>
    </cfRule>
    <cfRule type="cellIs" dxfId="6534" priority="1307" operator="equal">
      <formula>X18</formula>
    </cfRule>
    <cfRule type="cellIs" dxfId="6533" priority="1308" operator="greaterThan">
      <formula>X18</formula>
    </cfRule>
    <cfRule type="cellIs" dxfId="6532" priority="1309" operator="lessThan">
      <formula>X18</formula>
    </cfRule>
  </conditionalFormatting>
  <conditionalFormatting sqref="Y19">
    <cfRule type="expression" dxfId="6531" priority="1300">
      <formula>X19="-"</formula>
    </cfRule>
    <cfRule type="cellIs" dxfId="6530" priority="1301" operator="equal">
      <formula>"-"</formula>
    </cfRule>
    <cfRule type="cellIs" dxfId="6529" priority="1302" operator="equal">
      <formula>X19</formula>
    </cfRule>
    <cfRule type="cellIs" dxfId="6528" priority="1303" operator="greaterThan">
      <formula>X19</formula>
    </cfRule>
    <cfRule type="cellIs" dxfId="6527" priority="1304" operator="lessThan">
      <formula>X19</formula>
    </cfRule>
  </conditionalFormatting>
  <conditionalFormatting sqref="Y20">
    <cfRule type="expression" dxfId="6526" priority="1295">
      <formula>X20="-"</formula>
    </cfRule>
    <cfRule type="cellIs" dxfId="6525" priority="1296" operator="equal">
      <formula>"-"</formula>
    </cfRule>
    <cfRule type="cellIs" dxfId="6524" priority="1297" operator="equal">
      <formula>X20</formula>
    </cfRule>
    <cfRule type="cellIs" dxfId="6523" priority="1298" operator="greaterThan">
      <formula>X20</formula>
    </cfRule>
    <cfRule type="cellIs" dxfId="6522" priority="1299" operator="lessThan">
      <formula>X20</formula>
    </cfRule>
  </conditionalFormatting>
  <conditionalFormatting sqref="Y21">
    <cfRule type="expression" dxfId="6521" priority="1290">
      <formula>X21="-"</formula>
    </cfRule>
    <cfRule type="cellIs" dxfId="6520" priority="1291" operator="equal">
      <formula>"-"</formula>
    </cfRule>
    <cfRule type="cellIs" dxfId="6519" priority="1292" operator="equal">
      <formula>X21</formula>
    </cfRule>
    <cfRule type="cellIs" dxfId="6518" priority="1293" operator="greaterThan">
      <formula>X21</formula>
    </cfRule>
    <cfRule type="cellIs" dxfId="6517" priority="1294" operator="lessThan">
      <formula>X21</formula>
    </cfRule>
  </conditionalFormatting>
  <conditionalFormatting sqref="Y22">
    <cfRule type="expression" dxfId="6516" priority="1285">
      <formula>X22="-"</formula>
    </cfRule>
    <cfRule type="cellIs" dxfId="6515" priority="1286" operator="equal">
      <formula>"-"</formula>
    </cfRule>
    <cfRule type="cellIs" dxfId="6514" priority="1287" operator="equal">
      <formula>X22</formula>
    </cfRule>
    <cfRule type="cellIs" dxfId="6513" priority="1288" operator="greaterThan">
      <formula>X22</formula>
    </cfRule>
    <cfRule type="cellIs" dxfId="6512" priority="1289" operator="lessThan">
      <formula>X22</formula>
    </cfRule>
  </conditionalFormatting>
  <conditionalFormatting sqref="Y23">
    <cfRule type="expression" dxfId="6511" priority="1280">
      <formula>X23="-"</formula>
    </cfRule>
    <cfRule type="cellIs" dxfId="6510" priority="1281" operator="equal">
      <formula>"-"</formula>
    </cfRule>
    <cfRule type="cellIs" dxfId="6509" priority="1282" operator="equal">
      <formula>X23</formula>
    </cfRule>
    <cfRule type="cellIs" dxfId="6508" priority="1283" operator="greaterThan">
      <formula>X23</formula>
    </cfRule>
    <cfRule type="cellIs" dxfId="6507" priority="1284" operator="lessThan">
      <formula>X23</formula>
    </cfRule>
  </conditionalFormatting>
  <conditionalFormatting sqref="Y24">
    <cfRule type="expression" dxfId="6506" priority="1275">
      <formula>X24="-"</formula>
    </cfRule>
    <cfRule type="cellIs" dxfId="6505" priority="1276" operator="equal">
      <formula>"-"</formula>
    </cfRule>
    <cfRule type="cellIs" dxfId="6504" priority="1277" operator="equal">
      <formula>X24</formula>
    </cfRule>
    <cfRule type="cellIs" dxfId="6503" priority="1278" operator="greaterThan">
      <formula>X24</formula>
    </cfRule>
    <cfRule type="cellIs" dxfId="6502" priority="1279" operator="lessThan">
      <formula>X24</formula>
    </cfRule>
  </conditionalFormatting>
  <conditionalFormatting sqref="Y25">
    <cfRule type="expression" dxfId="6501" priority="1270">
      <formula>X25="-"</formula>
    </cfRule>
    <cfRule type="cellIs" dxfId="6500" priority="1271" operator="equal">
      <formula>"-"</formula>
    </cfRule>
    <cfRule type="cellIs" dxfId="6499" priority="1272" operator="equal">
      <formula>X25</formula>
    </cfRule>
    <cfRule type="cellIs" dxfId="6498" priority="1273" operator="greaterThan">
      <formula>X25</formula>
    </cfRule>
    <cfRule type="cellIs" dxfId="6497" priority="1274" operator="lessThan">
      <formula>X25</formula>
    </cfRule>
  </conditionalFormatting>
  <conditionalFormatting sqref="Y26">
    <cfRule type="expression" dxfId="6496" priority="1265">
      <formula>X26="-"</formula>
    </cfRule>
    <cfRule type="cellIs" dxfId="6495" priority="1266" operator="equal">
      <formula>"-"</formula>
    </cfRule>
    <cfRule type="cellIs" dxfId="6494" priority="1267" operator="equal">
      <formula>X26</formula>
    </cfRule>
    <cfRule type="cellIs" dxfId="6493" priority="1268" operator="greaterThan">
      <formula>X26</formula>
    </cfRule>
    <cfRule type="cellIs" dxfId="6492" priority="1269" operator="lessThan">
      <formula>X26</formula>
    </cfRule>
  </conditionalFormatting>
  <conditionalFormatting sqref="Y27">
    <cfRule type="expression" dxfId="6491" priority="1260">
      <formula>X27="-"</formula>
    </cfRule>
    <cfRule type="cellIs" dxfId="6490" priority="1261" operator="equal">
      <formula>"-"</formula>
    </cfRule>
    <cfRule type="cellIs" dxfId="6489" priority="1262" operator="equal">
      <formula>X27</formula>
    </cfRule>
    <cfRule type="cellIs" dxfId="6488" priority="1263" operator="greaterThan">
      <formula>X27</formula>
    </cfRule>
    <cfRule type="cellIs" dxfId="6487" priority="1264" operator="lessThan">
      <formula>X27</formula>
    </cfRule>
  </conditionalFormatting>
  <conditionalFormatting sqref="Y28">
    <cfRule type="expression" dxfId="6486" priority="1255">
      <formula>X28="-"</formula>
    </cfRule>
    <cfRule type="cellIs" dxfId="6485" priority="1256" operator="equal">
      <formula>"-"</formula>
    </cfRule>
    <cfRule type="cellIs" dxfId="6484" priority="1257" operator="equal">
      <formula>X28</formula>
    </cfRule>
    <cfRule type="cellIs" dxfId="6483" priority="1258" operator="greaterThan">
      <formula>X28</formula>
    </cfRule>
    <cfRule type="cellIs" dxfId="6482" priority="1259" operator="lessThan">
      <formula>X28</formula>
    </cfRule>
  </conditionalFormatting>
  <conditionalFormatting sqref="Z4">
    <cfRule type="expression" dxfId="6481" priority="1250">
      <formula>Y4="-"</formula>
    </cfRule>
    <cfRule type="cellIs" dxfId="6480" priority="1251" operator="equal">
      <formula>"-"</formula>
    </cfRule>
    <cfRule type="cellIs" dxfId="6479" priority="1252" operator="equal">
      <formula>Y4</formula>
    </cfRule>
    <cfRule type="cellIs" dxfId="6478" priority="1253" operator="greaterThan">
      <formula>Y4</formula>
    </cfRule>
    <cfRule type="cellIs" dxfId="6477" priority="1254" operator="lessThan">
      <formula>Y4</formula>
    </cfRule>
  </conditionalFormatting>
  <conditionalFormatting sqref="Z5">
    <cfRule type="expression" dxfId="6476" priority="1245">
      <formula>Y5="-"</formula>
    </cfRule>
    <cfRule type="cellIs" dxfId="6475" priority="1246" operator="equal">
      <formula>"-"</formula>
    </cfRule>
    <cfRule type="cellIs" dxfId="6474" priority="1247" operator="equal">
      <formula>Y5</formula>
    </cfRule>
    <cfRule type="cellIs" dxfId="6473" priority="1248" operator="greaterThan">
      <formula>Y5</formula>
    </cfRule>
    <cfRule type="cellIs" dxfId="6472" priority="1249" operator="lessThan">
      <formula>Y5</formula>
    </cfRule>
  </conditionalFormatting>
  <conditionalFormatting sqref="Z6">
    <cfRule type="expression" dxfId="6471" priority="1240">
      <formula>Y6="-"</formula>
    </cfRule>
    <cfRule type="cellIs" dxfId="6470" priority="1241" operator="equal">
      <formula>"-"</formula>
    </cfRule>
    <cfRule type="cellIs" dxfId="6469" priority="1242" operator="equal">
      <formula>Y6</formula>
    </cfRule>
    <cfRule type="cellIs" dxfId="6468" priority="1243" operator="greaterThan">
      <formula>Y6</formula>
    </cfRule>
    <cfRule type="cellIs" dxfId="6467" priority="1244" operator="lessThan">
      <formula>Y6</formula>
    </cfRule>
  </conditionalFormatting>
  <conditionalFormatting sqref="Z7">
    <cfRule type="expression" dxfId="6466" priority="1235">
      <formula>Y7="-"</formula>
    </cfRule>
    <cfRule type="cellIs" dxfId="6465" priority="1236" operator="equal">
      <formula>"-"</formula>
    </cfRule>
    <cfRule type="cellIs" dxfId="6464" priority="1237" operator="equal">
      <formula>Y7</formula>
    </cfRule>
    <cfRule type="cellIs" dxfId="6463" priority="1238" operator="greaterThan">
      <formula>Y7</formula>
    </cfRule>
    <cfRule type="cellIs" dxfId="6462" priority="1239" operator="lessThan">
      <formula>Y7</formula>
    </cfRule>
  </conditionalFormatting>
  <conditionalFormatting sqref="Z8">
    <cfRule type="expression" dxfId="6461" priority="1230">
      <formula>Y8="-"</formula>
    </cfRule>
    <cfRule type="cellIs" dxfId="6460" priority="1231" operator="equal">
      <formula>"-"</formula>
    </cfRule>
    <cfRule type="cellIs" dxfId="6459" priority="1232" operator="equal">
      <formula>Y8</formula>
    </cfRule>
    <cfRule type="cellIs" dxfId="6458" priority="1233" operator="greaterThan">
      <formula>Y8</formula>
    </cfRule>
    <cfRule type="cellIs" dxfId="6457" priority="1234" operator="lessThan">
      <formula>Y8</formula>
    </cfRule>
  </conditionalFormatting>
  <conditionalFormatting sqref="Z9">
    <cfRule type="expression" dxfId="6456" priority="1225">
      <formula>Y9="-"</formula>
    </cfRule>
    <cfRule type="cellIs" dxfId="6455" priority="1226" operator="equal">
      <formula>"-"</formula>
    </cfRule>
    <cfRule type="cellIs" dxfId="6454" priority="1227" operator="equal">
      <formula>Y9</formula>
    </cfRule>
    <cfRule type="cellIs" dxfId="6453" priority="1228" operator="greaterThan">
      <formula>Y9</formula>
    </cfRule>
    <cfRule type="cellIs" dxfId="6452" priority="1229" operator="lessThan">
      <formula>Y9</formula>
    </cfRule>
  </conditionalFormatting>
  <conditionalFormatting sqref="Z10">
    <cfRule type="expression" dxfId="6451" priority="1220">
      <formula>Y10="-"</formula>
    </cfRule>
    <cfRule type="cellIs" dxfId="6450" priority="1221" operator="equal">
      <formula>"-"</formula>
    </cfRule>
    <cfRule type="cellIs" dxfId="6449" priority="1222" operator="equal">
      <formula>Y10</formula>
    </cfRule>
    <cfRule type="cellIs" dxfId="6448" priority="1223" operator="greaterThan">
      <formula>Y10</formula>
    </cfRule>
    <cfRule type="cellIs" dxfId="6447" priority="1224" operator="lessThan">
      <formula>Y10</formula>
    </cfRule>
  </conditionalFormatting>
  <conditionalFormatting sqref="Z11">
    <cfRule type="expression" dxfId="6446" priority="1215">
      <formula>Y11="-"</formula>
    </cfRule>
    <cfRule type="cellIs" dxfId="6445" priority="1216" operator="equal">
      <formula>"-"</formula>
    </cfRule>
    <cfRule type="cellIs" dxfId="6444" priority="1217" operator="equal">
      <formula>Y11</formula>
    </cfRule>
    <cfRule type="cellIs" dxfId="6443" priority="1218" operator="greaterThan">
      <formula>Y11</formula>
    </cfRule>
    <cfRule type="cellIs" dxfId="6442" priority="1219" operator="lessThan">
      <formula>Y11</formula>
    </cfRule>
  </conditionalFormatting>
  <conditionalFormatting sqref="Z12">
    <cfRule type="expression" dxfId="6441" priority="1210">
      <formula>Y12="-"</formula>
    </cfRule>
    <cfRule type="cellIs" dxfId="6440" priority="1211" operator="equal">
      <formula>"-"</formula>
    </cfRule>
    <cfRule type="cellIs" dxfId="6439" priority="1212" operator="equal">
      <formula>Y12</formula>
    </cfRule>
    <cfRule type="cellIs" dxfId="6438" priority="1213" operator="greaterThan">
      <formula>Y12</formula>
    </cfRule>
    <cfRule type="cellIs" dxfId="6437" priority="1214" operator="lessThan">
      <formula>Y12</formula>
    </cfRule>
  </conditionalFormatting>
  <conditionalFormatting sqref="Z13">
    <cfRule type="expression" dxfId="6436" priority="1205">
      <formula>Y13="-"</formula>
    </cfRule>
    <cfRule type="cellIs" dxfId="6435" priority="1206" operator="equal">
      <formula>"-"</formula>
    </cfRule>
    <cfRule type="cellIs" dxfId="6434" priority="1207" operator="equal">
      <formula>Y13</formula>
    </cfRule>
    <cfRule type="cellIs" dxfId="6433" priority="1208" operator="greaterThan">
      <formula>Y13</formula>
    </cfRule>
    <cfRule type="cellIs" dxfId="6432" priority="1209" operator="lessThan">
      <formula>Y13</formula>
    </cfRule>
  </conditionalFormatting>
  <conditionalFormatting sqref="Z14">
    <cfRule type="expression" dxfId="6431" priority="1200">
      <formula>Y14="-"</formula>
    </cfRule>
    <cfRule type="cellIs" dxfId="6430" priority="1201" operator="equal">
      <formula>"-"</formula>
    </cfRule>
    <cfRule type="cellIs" dxfId="6429" priority="1202" operator="equal">
      <formula>Y14</formula>
    </cfRule>
    <cfRule type="cellIs" dxfId="6428" priority="1203" operator="greaterThan">
      <formula>Y14</formula>
    </cfRule>
    <cfRule type="cellIs" dxfId="6427" priority="1204" operator="lessThan">
      <formula>Y14</formula>
    </cfRule>
  </conditionalFormatting>
  <conditionalFormatting sqref="Z15">
    <cfRule type="expression" dxfId="6426" priority="1195">
      <formula>Y15="-"</formula>
    </cfRule>
    <cfRule type="cellIs" dxfId="6425" priority="1196" operator="equal">
      <formula>"-"</formula>
    </cfRule>
    <cfRule type="cellIs" dxfId="6424" priority="1197" operator="equal">
      <formula>Y15</formula>
    </cfRule>
    <cfRule type="cellIs" dxfId="6423" priority="1198" operator="greaterThan">
      <formula>Y15</formula>
    </cfRule>
    <cfRule type="cellIs" dxfId="6422" priority="1199" operator="lessThan">
      <formula>Y15</formula>
    </cfRule>
  </conditionalFormatting>
  <conditionalFormatting sqref="Z16">
    <cfRule type="expression" dxfId="6421" priority="1190">
      <formula>Y16="-"</formula>
    </cfRule>
    <cfRule type="cellIs" dxfId="6420" priority="1191" operator="equal">
      <formula>"-"</formula>
    </cfRule>
    <cfRule type="cellIs" dxfId="6419" priority="1192" operator="equal">
      <formula>Y16</formula>
    </cfRule>
    <cfRule type="cellIs" dxfId="6418" priority="1193" operator="greaterThan">
      <formula>Y16</formula>
    </cfRule>
    <cfRule type="cellIs" dxfId="6417" priority="1194" operator="lessThan">
      <formula>Y16</formula>
    </cfRule>
  </conditionalFormatting>
  <conditionalFormatting sqref="Z17">
    <cfRule type="expression" dxfId="6416" priority="1185">
      <formula>Y17="-"</formula>
    </cfRule>
    <cfRule type="cellIs" dxfId="6415" priority="1186" operator="equal">
      <formula>"-"</formula>
    </cfRule>
    <cfRule type="cellIs" dxfId="6414" priority="1187" operator="equal">
      <formula>Y17</formula>
    </cfRule>
    <cfRule type="cellIs" dxfId="6413" priority="1188" operator="greaterThan">
      <formula>Y17</formula>
    </cfRule>
    <cfRule type="cellIs" dxfId="6412" priority="1189" operator="lessThan">
      <formula>Y17</formula>
    </cfRule>
  </conditionalFormatting>
  <conditionalFormatting sqref="Z18">
    <cfRule type="expression" dxfId="6411" priority="1180">
      <formula>Y18="-"</formula>
    </cfRule>
    <cfRule type="cellIs" dxfId="6410" priority="1181" operator="equal">
      <formula>"-"</formula>
    </cfRule>
    <cfRule type="cellIs" dxfId="6409" priority="1182" operator="equal">
      <formula>Y18</formula>
    </cfRule>
    <cfRule type="cellIs" dxfId="6408" priority="1183" operator="greaterThan">
      <formula>Y18</formula>
    </cfRule>
    <cfRule type="cellIs" dxfId="6407" priority="1184" operator="lessThan">
      <formula>Y18</formula>
    </cfRule>
  </conditionalFormatting>
  <conditionalFormatting sqref="Z19">
    <cfRule type="expression" dxfId="6406" priority="1175">
      <formula>Y19="-"</formula>
    </cfRule>
    <cfRule type="cellIs" dxfId="6405" priority="1176" operator="equal">
      <formula>"-"</formula>
    </cfRule>
    <cfRule type="cellIs" dxfId="6404" priority="1177" operator="equal">
      <formula>Y19</formula>
    </cfRule>
    <cfRule type="cellIs" dxfId="6403" priority="1178" operator="greaterThan">
      <formula>Y19</formula>
    </cfRule>
    <cfRule type="cellIs" dxfId="6402" priority="1179" operator="lessThan">
      <formula>Y19</formula>
    </cfRule>
  </conditionalFormatting>
  <conditionalFormatting sqref="Z20">
    <cfRule type="expression" dxfId="6401" priority="1170">
      <formula>Y20="-"</formula>
    </cfRule>
    <cfRule type="cellIs" dxfId="6400" priority="1171" operator="equal">
      <formula>"-"</formula>
    </cfRule>
    <cfRule type="cellIs" dxfId="6399" priority="1172" operator="equal">
      <formula>Y20</formula>
    </cfRule>
    <cfRule type="cellIs" dxfId="6398" priority="1173" operator="greaterThan">
      <formula>Y20</formula>
    </cfRule>
    <cfRule type="cellIs" dxfId="6397" priority="1174" operator="lessThan">
      <formula>Y20</formula>
    </cfRule>
  </conditionalFormatting>
  <conditionalFormatting sqref="Z21">
    <cfRule type="expression" dxfId="6396" priority="1165">
      <formula>Y21="-"</formula>
    </cfRule>
    <cfRule type="cellIs" dxfId="6395" priority="1166" operator="equal">
      <formula>"-"</formula>
    </cfRule>
    <cfRule type="cellIs" dxfId="6394" priority="1167" operator="equal">
      <formula>Y21</formula>
    </cfRule>
    <cfRule type="cellIs" dxfId="6393" priority="1168" operator="greaterThan">
      <formula>Y21</formula>
    </cfRule>
    <cfRule type="cellIs" dxfId="6392" priority="1169" operator="lessThan">
      <formula>Y21</formula>
    </cfRule>
  </conditionalFormatting>
  <conditionalFormatting sqref="Z22">
    <cfRule type="expression" dxfId="6391" priority="1160">
      <formula>Y22="-"</formula>
    </cfRule>
    <cfRule type="cellIs" dxfId="6390" priority="1161" operator="equal">
      <formula>"-"</formula>
    </cfRule>
    <cfRule type="cellIs" dxfId="6389" priority="1162" operator="equal">
      <formula>Y22</formula>
    </cfRule>
    <cfRule type="cellIs" dxfId="6388" priority="1163" operator="greaterThan">
      <formula>Y22</formula>
    </cfRule>
    <cfRule type="cellIs" dxfId="6387" priority="1164" operator="lessThan">
      <formula>Y22</formula>
    </cfRule>
  </conditionalFormatting>
  <conditionalFormatting sqref="Z23">
    <cfRule type="expression" dxfId="6386" priority="1155">
      <formula>Y23="-"</formula>
    </cfRule>
    <cfRule type="cellIs" dxfId="6385" priority="1156" operator="equal">
      <formula>"-"</formula>
    </cfRule>
    <cfRule type="cellIs" dxfId="6384" priority="1157" operator="equal">
      <formula>Y23</formula>
    </cfRule>
    <cfRule type="cellIs" dxfId="6383" priority="1158" operator="greaterThan">
      <formula>Y23</formula>
    </cfRule>
    <cfRule type="cellIs" dxfId="6382" priority="1159" operator="lessThan">
      <formula>Y23</formula>
    </cfRule>
  </conditionalFormatting>
  <conditionalFormatting sqref="Z24">
    <cfRule type="expression" dxfId="6381" priority="1150">
      <formula>Y24="-"</formula>
    </cfRule>
    <cfRule type="cellIs" dxfId="6380" priority="1151" operator="equal">
      <formula>"-"</formula>
    </cfRule>
    <cfRule type="cellIs" dxfId="6379" priority="1152" operator="equal">
      <formula>Y24</formula>
    </cfRule>
    <cfRule type="cellIs" dxfId="6378" priority="1153" operator="greaterThan">
      <formula>Y24</formula>
    </cfRule>
    <cfRule type="cellIs" dxfId="6377" priority="1154" operator="lessThan">
      <formula>Y24</formula>
    </cfRule>
  </conditionalFormatting>
  <conditionalFormatting sqref="Z25">
    <cfRule type="expression" dxfId="6376" priority="1145">
      <formula>Y25="-"</formula>
    </cfRule>
    <cfRule type="cellIs" dxfId="6375" priority="1146" operator="equal">
      <formula>"-"</formula>
    </cfRule>
    <cfRule type="cellIs" dxfId="6374" priority="1147" operator="equal">
      <formula>Y25</formula>
    </cfRule>
    <cfRule type="cellIs" dxfId="6373" priority="1148" operator="greaterThan">
      <formula>Y25</formula>
    </cfRule>
    <cfRule type="cellIs" dxfId="6372" priority="1149" operator="lessThan">
      <formula>Y25</formula>
    </cfRule>
  </conditionalFormatting>
  <conditionalFormatting sqref="Z26">
    <cfRule type="expression" dxfId="6371" priority="1140">
      <formula>Y26="-"</formula>
    </cfRule>
    <cfRule type="cellIs" dxfId="6370" priority="1141" operator="equal">
      <formula>"-"</formula>
    </cfRule>
    <cfRule type="cellIs" dxfId="6369" priority="1142" operator="equal">
      <formula>Y26</formula>
    </cfRule>
    <cfRule type="cellIs" dxfId="6368" priority="1143" operator="greaterThan">
      <formula>Y26</formula>
    </cfRule>
    <cfRule type="cellIs" dxfId="6367" priority="1144" operator="lessThan">
      <formula>Y26</formula>
    </cfRule>
  </conditionalFormatting>
  <conditionalFormatting sqref="Z27">
    <cfRule type="expression" dxfId="6366" priority="1135">
      <formula>Y27="-"</formula>
    </cfRule>
    <cfRule type="cellIs" dxfId="6365" priority="1136" operator="equal">
      <formula>"-"</formula>
    </cfRule>
    <cfRule type="cellIs" dxfId="6364" priority="1137" operator="equal">
      <formula>Y27</formula>
    </cfRule>
    <cfRule type="cellIs" dxfId="6363" priority="1138" operator="greaterThan">
      <formula>Y27</formula>
    </cfRule>
    <cfRule type="cellIs" dxfId="6362" priority="1139" operator="lessThan">
      <formula>Y27</formula>
    </cfRule>
  </conditionalFormatting>
  <conditionalFormatting sqref="Z28">
    <cfRule type="expression" dxfId="6361" priority="1130">
      <formula>Y28="-"</formula>
    </cfRule>
    <cfRule type="cellIs" dxfId="6360" priority="1131" operator="equal">
      <formula>"-"</formula>
    </cfRule>
    <cfRule type="cellIs" dxfId="6359" priority="1132" operator="equal">
      <formula>Y28</formula>
    </cfRule>
    <cfRule type="cellIs" dxfId="6358" priority="1133" operator="greaterThan">
      <formula>Y28</formula>
    </cfRule>
    <cfRule type="cellIs" dxfId="6357" priority="1134" operator="lessThan">
      <formula>Y28</formula>
    </cfRule>
  </conditionalFormatting>
  <conditionalFormatting sqref="AC4">
    <cfRule type="cellIs" dxfId="6356" priority="2127" operator="equal">
      <formula>"-"</formula>
    </cfRule>
    <cfRule type="cellIs" dxfId="6355" priority="2128" operator="equal">
      <formula>0</formula>
    </cfRule>
    <cfRule type="cellIs" dxfId="6354" priority="2129" operator="greaterThan">
      <formula>0</formula>
    </cfRule>
    <cfRule type="cellIs" dxfId="6353" priority="2130" operator="lessThan">
      <formula>0</formula>
    </cfRule>
  </conditionalFormatting>
  <conditionalFormatting sqref="AC5">
    <cfRule type="cellIs" dxfId="6352" priority="1126" operator="equal">
      <formula>"-"</formula>
    </cfRule>
    <cfRule type="cellIs" dxfId="6351" priority="1127" operator="equal">
      <formula>0</formula>
    </cfRule>
    <cfRule type="cellIs" dxfId="6350" priority="1128" operator="greaterThan">
      <formula>0</formula>
    </cfRule>
    <cfRule type="cellIs" dxfId="6349" priority="1129" operator="lessThan">
      <formula>0</formula>
    </cfRule>
  </conditionalFormatting>
  <conditionalFormatting sqref="AC6">
    <cfRule type="cellIs" dxfId="6348" priority="1122" operator="equal">
      <formula>"-"</formula>
    </cfRule>
    <cfRule type="cellIs" dxfId="6347" priority="1123" operator="equal">
      <formula>0</formula>
    </cfRule>
    <cfRule type="cellIs" dxfId="6346" priority="1124" operator="greaterThan">
      <formula>0</formula>
    </cfRule>
    <cfRule type="cellIs" dxfId="6345" priority="1125" operator="lessThan">
      <formula>0</formula>
    </cfRule>
  </conditionalFormatting>
  <conditionalFormatting sqref="AC7">
    <cfRule type="cellIs" dxfId="6344" priority="1118" operator="equal">
      <formula>"-"</formula>
    </cfRule>
    <cfRule type="cellIs" dxfId="6343" priority="1119" operator="equal">
      <formula>0</formula>
    </cfRule>
    <cfRule type="cellIs" dxfId="6342" priority="1120" operator="greaterThan">
      <formula>0</formula>
    </cfRule>
    <cfRule type="cellIs" dxfId="6341" priority="1121" operator="lessThan">
      <formula>0</formula>
    </cfRule>
  </conditionalFormatting>
  <conditionalFormatting sqref="AC8">
    <cfRule type="cellIs" dxfId="6340" priority="1114" operator="equal">
      <formula>"-"</formula>
    </cfRule>
    <cfRule type="cellIs" dxfId="6339" priority="1115" operator="equal">
      <formula>0</formula>
    </cfRule>
    <cfRule type="cellIs" dxfId="6338" priority="1116" operator="greaterThan">
      <formula>0</formula>
    </cfRule>
    <cfRule type="cellIs" dxfId="6337" priority="1117" operator="lessThan">
      <formula>0</formula>
    </cfRule>
  </conditionalFormatting>
  <conditionalFormatting sqref="AC9">
    <cfRule type="cellIs" dxfId="6336" priority="1110" operator="equal">
      <formula>"-"</formula>
    </cfRule>
    <cfRule type="cellIs" dxfId="6335" priority="1111" operator="equal">
      <formula>0</formula>
    </cfRule>
    <cfRule type="cellIs" dxfId="6334" priority="1112" operator="greaterThan">
      <formula>0</formula>
    </cfRule>
    <cfRule type="cellIs" dxfId="6333" priority="1113" operator="lessThan">
      <formula>0</formula>
    </cfRule>
  </conditionalFormatting>
  <conditionalFormatting sqref="AC10">
    <cfRule type="cellIs" dxfId="6332" priority="1106" operator="equal">
      <formula>"-"</formula>
    </cfRule>
    <cfRule type="cellIs" dxfId="6331" priority="1107" operator="equal">
      <formula>0</formula>
    </cfRule>
    <cfRule type="cellIs" dxfId="6330" priority="1108" operator="greaterThan">
      <formula>0</formula>
    </cfRule>
    <cfRule type="cellIs" dxfId="6329" priority="1109" operator="lessThan">
      <formula>0</formula>
    </cfRule>
  </conditionalFormatting>
  <conditionalFormatting sqref="AC11">
    <cfRule type="cellIs" dxfId="6328" priority="1102" operator="equal">
      <formula>"-"</formula>
    </cfRule>
    <cfRule type="cellIs" dxfId="6327" priority="1103" operator="equal">
      <formula>0</formula>
    </cfRule>
    <cfRule type="cellIs" dxfId="6326" priority="1104" operator="greaterThan">
      <formula>0</formula>
    </cfRule>
    <cfRule type="cellIs" dxfId="6325" priority="1105" operator="lessThan">
      <formula>0</formula>
    </cfRule>
  </conditionalFormatting>
  <conditionalFormatting sqref="AC12">
    <cfRule type="cellIs" dxfId="6324" priority="1098" operator="equal">
      <formula>"-"</formula>
    </cfRule>
    <cfRule type="cellIs" dxfId="6323" priority="1099" operator="equal">
      <formula>0</formula>
    </cfRule>
    <cfRule type="cellIs" dxfId="6322" priority="1100" operator="greaterThan">
      <formula>0</formula>
    </cfRule>
    <cfRule type="cellIs" dxfId="6321" priority="1101" operator="lessThan">
      <formula>0</formula>
    </cfRule>
  </conditionalFormatting>
  <conditionalFormatting sqref="AC13">
    <cfRule type="cellIs" dxfId="6320" priority="1094" operator="equal">
      <formula>"-"</formula>
    </cfRule>
    <cfRule type="cellIs" dxfId="6319" priority="1095" operator="equal">
      <formula>0</formula>
    </cfRule>
    <cfRule type="cellIs" dxfId="6318" priority="1096" operator="greaterThan">
      <formula>0</formula>
    </cfRule>
    <cfRule type="cellIs" dxfId="6317" priority="1097" operator="lessThan">
      <formula>0</formula>
    </cfRule>
  </conditionalFormatting>
  <conditionalFormatting sqref="AC14">
    <cfRule type="cellIs" dxfId="6316" priority="1090" operator="equal">
      <formula>"-"</formula>
    </cfRule>
    <cfRule type="cellIs" dxfId="6315" priority="1091" operator="equal">
      <formula>0</formula>
    </cfRule>
    <cfRule type="cellIs" dxfId="6314" priority="1092" operator="greaterThan">
      <formula>0</formula>
    </cfRule>
    <cfRule type="cellIs" dxfId="6313" priority="1093" operator="lessThan">
      <formula>0</formula>
    </cfRule>
  </conditionalFormatting>
  <conditionalFormatting sqref="AC15">
    <cfRule type="cellIs" dxfId="6312" priority="1086" operator="equal">
      <formula>"-"</formula>
    </cfRule>
    <cfRule type="cellIs" dxfId="6311" priority="1087" operator="equal">
      <formula>0</formula>
    </cfRule>
    <cfRule type="cellIs" dxfId="6310" priority="1088" operator="greaterThan">
      <formula>0</formula>
    </cfRule>
    <cfRule type="cellIs" dxfId="6309" priority="1089" operator="lessThan">
      <formula>0</formula>
    </cfRule>
  </conditionalFormatting>
  <conditionalFormatting sqref="AC16">
    <cfRule type="cellIs" dxfId="6308" priority="1082" operator="equal">
      <formula>"-"</formula>
    </cfRule>
    <cfRule type="cellIs" dxfId="6307" priority="1083" operator="equal">
      <formula>0</formula>
    </cfRule>
    <cfRule type="cellIs" dxfId="6306" priority="1084" operator="greaterThan">
      <formula>0</formula>
    </cfRule>
    <cfRule type="cellIs" dxfId="6305" priority="1085" operator="lessThan">
      <formula>0</formula>
    </cfRule>
  </conditionalFormatting>
  <conditionalFormatting sqref="AC17">
    <cfRule type="cellIs" dxfId="6304" priority="1078" operator="equal">
      <formula>"-"</formula>
    </cfRule>
    <cfRule type="cellIs" dxfId="6303" priority="1079" operator="equal">
      <formula>0</formula>
    </cfRule>
    <cfRule type="cellIs" dxfId="6302" priority="1080" operator="greaterThan">
      <formula>0</formula>
    </cfRule>
    <cfRule type="cellIs" dxfId="6301" priority="1081" operator="lessThan">
      <formula>0</formula>
    </cfRule>
  </conditionalFormatting>
  <conditionalFormatting sqref="AC18">
    <cfRule type="cellIs" dxfId="6300" priority="1074" operator="equal">
      <formula>"-"</formula>
    </cfRule>
    <cfRule type="cellIs" dxfId="6299" priority="1075" operator="equal">
      <formula>0</formula>
    </cfRule>
    <cfRule type="cellIs" dxfId="6298" priority="1076" operator="greaterThan">
      <formula>0</formula>
    </cfRule>
    <cfRule type="cellIs" dxfId="6297" priority="1077" operator="lessThan">
      <formula>0</formula>
    </cfRule>
  </conditionalFormatting>
  <conditionalFormatting sqref="AC19">
    <cfRule type="cellIs" dxfId="6296" priority="1070" operator="equal">
      <formula>"-"</formula>
    </cfRule>
    <cfRule type="cellIs" dxfId="6295" priority="1071" operator="equal">
      <formula>0</formula>
    </cfRule>
    <cfRule type="cellIs" dxfId="6294" priority="1072" operator="greaterThan">
      <formula>0</formula>
    </cfRule>
    <cfRule type="cellIs" dxfId="6293" priority="1073" operator="lessThan">
      <formula>0</formula>
    </cfRule>
  </conditionalFormatting>
  <conditionalFormatting sqref="AC20">
    <cfRule type="cellIs" dxfId="6292" priority="1066" operator="equal">
      <formula>"-"</formula>
    </cfRule>
    <cfRule type="cellIs" dxfId="6291" priority="1067" operator="equal">
      <formula>0</formula>
    </cfRule>
    <cfRule type="cellIs" dxfId="6290" priority="1068" operator="greaterThan">
      <formula>0</formula>
    </cfRule>
    <cfRule type="cellIs" dxfId="6289" priority="1069" operator="lessThan">
      <formula>0</formula>
    </cfRule>
  </conditionalFormatting>
  <conditionalFormatting sqref="AC21">
    <cfRule type="cellIs" dxfId="6288" priority="1062" operator="equal">
      <formula>"-"</formula>
    </cfRule>
    <cfRule type="cellIs" dxfId="6287" priority="1063" operator="equal">
      <formula>0</formula>
    </cfRule>
    <cfRule type="cellIs" dxfId="6286" priority="1064" operator="greaterThan">
      <formula>0</formula>
    </cfRule>
    <cfRule type="cellIs" dxfId="6285" priority="1065" operator="lessThan">
      <formula>0</formula>
    </cfRule>
  </conditionalFormatting>
  <conditionalFormatting sqref="AC22">
    <cfRule type="cellIs" dxfId="6284" priority="1058" operator="equal">
      <formula>"-"</formula>
    </cfRule>
    <cfRule type="cellIs" dxfId="6283" priority="1059" operator="equal">
      <formula>0</formula>
    </cfRule>
    <cfRule type="cellIs" dxfId="6282" priority="1060" operator="greaterThan">
      <formula>0</formula>
    </cfRule>
    <cfRule type="cellIs" dxfId="6281" priority="1061" operator="lessThan">
      <formula>0</formula>
    </cfRule>
  </conditionalFormatting>
  <conditionalFormatting sqref="AC23">
    <cfRule type="cellIs" dxfId="6280" priority="1054" operator="equal">
      <formula>"-"</formula>
    </cfRule>
    <cfRule type="cellIs" dxfId="6279" priority="1055" operator="equal">
      <formula>0</formula>
    </cfRule>
    <cfRule type="cellIs" dxfId="6278" priority="1056" operator="greaterThan">
      <formula>0</formula>
    </cfRule>
    <cfRule type="cellIs" dxfId="6277" priority="1057" operator="lessThan">
      <formula>0</formula>
    </cfRule>
  </conditionalFormatting>
  <conditionalFormatting sqref="AC24">
    <cfRule type="cellIs" dxfId="6276" priority="1050" operator="equal">
      <formula>"-"</formula>
    </cfRule>
    <cfRule type="cellIs" dxfId="6275" priority="1051" operator="equal">
      <formula>0</formula>
    </cfRule>
    <cfRule type="cellIs" dxfId="6274" priority="1052" operator="greaterThan">
      <formula>0</formula>
    </cfRule>
    <cfRule type="cellIs" dxfId="6273" priority="1053" operator="lessThan">
      <formula>0</formula>
    </cfRule>
  </conditionalFormatting>
  <conditionalFormatting sqref="AC25">
    <cfRule type="cellIs" dxfId="6272" priority="1046" operator="equal">
      <formula>"-"</formula>
    </cfRule>
    <cfRule type="cellIs" dxfId="6271" priority="1047" operator="equal">
      <formula>0</formula>
    </cfRule>
    <cfRule type="cellIs" dxfId="6270" priority="1048" operator="greaterThan">
      <formula>0</formula>
    </cfRule>
    <cfRule type="cellIs" dxfId="6269" priority="1049" operator="lessThan">
      <formula>0</formula>
    </cfRule>
  </conditionalFormatting>
  <conditionalFormatting sqref="AC26">
    <cfRule type="cellIs" dxfId="6268" priority="1042" operator="equal">
      <formula>"-"</formula>
    </cfRule>
    <cfRule type="cellIs" dxfId="6267" priority="1043" operator="equal">
      <formula>0</formula>
    </cfRule>
    <cfRule type="cellIs" dxfId="6266" priority="1044" operator="greaterThan">
      <formula>0</formula>
    </cfRule>
    <cfRule type="cellIs" dxfId="6265" priority="1045" operator="lessThan">
      <formula>0</formula>
    </cfRule>
  </conditionalFormatting>
  <conditionalFormatting sqref="AC27">
    <cfRule type="cellIs" dxfId="6264" priority="1038" operator="equal">
      <formula>"-"</formula>
    </cfRule>
    <cfRule type="cellIs" dxfId="6263" priority="1039" operator="equal">
      <formula>0</formula>
    </cfRule>
    <cfRule type="cellIs" dxfId="6262" priority="1040" operator="greaterThan">
      <formula>0</formula>
    </cfRule>
    <cfRule type="cellIs" dxfId="6261" priority="1041" operator="lessThan">
      <formula>0</formula>
    </cfRule>
  </conditionalFormatting>
  <conditionalFormatting sqref="AC28">
    <cfRule type="cellIs" dxfId="6260" priority="1034" operator="equal">
      <formula>"-"</formula>
    </cfRule>
    <cfRule type="cellIs" dxfId="6259" priority="1035" operator="equal">
      <formula>0</formula>
    </cfRule>
    <cfRule type="cellIs" dxfId="6258" priority="1036" operator="greaterThan">
      <formula>0</formula>
    </cfRule>
    <cfRule type="cellIs" dxfId="6257" priority="1037" operator="lessThan">
      <formula>0</formula>
    </cfRule>
  </conditionalFormatting>
  <conditionalFormatting sqref="AD4">
    <cfRule type="cellIs" dxfId="6256" priority="1030" operator="equal">
      <formula>"-"</formula>
    </cfRule>
    <cfRule type="cellIs" dxfId="6255" priority="1031" operator="equal">
      <formula>0</formula>
    </cfRule>
    <cfRule type="cellIs" dxfId="6254" priority="1032" operator="greaterThan">
      <formula>0</formula>
    </cfRule>
    <cfRule type="cellIs" dxfId="6253" priority="1033" operator="lessThan">
      <formula>0</formula>
    </cfRule>
  </conditionalFormatting>
  <conditionalFormatting sqref="AD5">
    <cfRule type="cellIs" dxfId="6252" priority="1026" operator="equal">
      <formula>"-"</formula>
    </cfRule>
    <cfRule type="cellIs" dxfId="6251" priority="1027" operator="equal">
      <formula>0</formula>
    </cfRule>
    <cfRule type="cellIs" dxfId="6250" priority="1028" operator="greaterThan">
      <formula>0</formula>
    </cfRule>
    <cfRule type="cellIs" dxfId="6249" priority="1029" operator="lessThan">
      <formula>0</formula>
    </cfRule>
  </conditionalFormatting>
  <conditionalFormatting sqref="AD6">
    <cfRule type="cellIs" dxfId="6248" priority="1022" operator="equal">
      <formula>"-"</formula>
    </cfRule>
    <cfRule type="cellIs" dxfId="6247" priority="1023" operator="equal">
      <formula>0</formula>
    </cfRule>
    <cfRule type="cellIs" dxfId="6246" priority="1024" operator="greaterThan">
      <formula>0</formula>
    </cfRule>
    <cfRule type="cellIs" dxfId="6245" priority="1025" operator="lessThan">
      <formula>0</formula>
    </cfRule>
  </conditionalFormatting>
  <conditionalFormatting sqref="AD7">
    <cfRule type="cellIs" dxfId="6244" priority="1018" operator="equal">
      <formula>"-"</formula>
    </cfRule>
    <cfRule type="cellIs" dxfId="6243" priority="1019" operator="equal">
      <formula>0</formula>
    </cfRule>
    <cfRule type="cellIs" dxfId="6242" priority="1020" operator="greaterThan">
      <formula>0</formula>
    </cfRule>
    <cfRule type="cellIs" dxfId="6241" priority="1021" operator="lessThan">
      <formula>0</formula>
    </cfRule>
  </conditionalFormatting>
  <conditionalFormatting sqref="AD8">
    <cfRule type="cellIs" dxfId="6240" priority="1014" operator="equal">
      <formula>"-"</formula>
    </cfRule>
    <cfRule type="cellIs" dxfId="6239" priority="1015" operator="equal">
      <formula>0</formula>
    </cfRule>
    <cfRule type="cellIs" dxfId="6238" priority="1016" operator="greaterThan">
      <formula>0</formula>
    </cfRule>
    <cfRule type="cellIs" dxfId="6237" priority="1017" operator="lessThan">
      <formula>0</formula>
    </cfRule>
  </conditionalFormatting>
  <conditionalFormatting sqref="AD9">
    <cfRule type="cellIs" dxfId="6236" priority="1010" operator="equal">
      <formula>"-"</formula>
    </cfRule>
    <cfRule type="cellIs" dxfId="6235" priority="1011" operator="equal">
      <formula>0</formula>
    </cfRule>
    <cfRule type="cellIs" dxfId="6234" priority="1012" operator="greaterThan">
      <formula>0</formula>
    </cfRule>
    <cfRule type="cellIs" dxfId="6233" priority="1013" operator="lessThan">
      <formula>0</formula>
    </cfRule>
  </conditionalFormatting>
  <conditionalFormatting sqref="AD10">
    <cfRule type="cellIs" dxfId="6232" priority="1006" operator="equal">
      <formula>"-"</formula>
    </cfRule>
    <cfRule type="cellIs" dxfId="6231" priority="1007" operator="equal">
      <formula>0</formula>
    </cfRule>
    <cfRule type="cellIs" dxfId="6230" priority="1008" operator="greaterThan">
      <formula>0</formula>
    </cfRule>
    <cfRule type="cellIs" dxfId="6229" priority="1009" operator="lessThan">
      <formula>0</formula>
    </cfRule>
  </conditionalFormatting>
  <conditionalFormatting sqref="AD11">
    <cfRule type="cellIs" dxfId="6228" priority="1002" operator="equal">
      <formula>"-"</formula>
    </cfRule>
    <cfRule type="cellIs" dxfId="6227" priority="1003" operator="equal">
      <formula>0</formula>
    </cfRule>
    <cfRule type="cellIs" dxfId="6226" priority="1004" operator="greaterThan">
      <formula>0</formula>
    </cfRule>
    <cfRule type="cellIs" dxfId="6225" priority="1005" operator="lessThan">
      <formula>0</formula>
    </cfRule>
  </conditionalFormatting>
  <conditionalFormatting sqref="AD12">
    <cfRule type="cellIs" dxfId="6224" priority="998" operator="equal">
      <formula>"-"</formula>
    </cfRule>
    <cfRule type="cellIs" dxfId="6223" priority="999" operator="equal">
      <formula>0</formula>
    </cfRule>
    <cfRule type="cellIs" dxfId="6222" priority="1000" operator="greaterThan">
      <formula>0</formula>
    </cfRule>
    <cfRule type="cellIs" dxfId="6221" priority="1001" operator="lessThan">
      <formula>0</formula>
    </cfRule>
  </conditionalFormatting>
  <conditionalFormatting sqref="AD13">
    <cfRule type="cellIs" dxfId="6220" priority="994" operator="equal">
      <formula>"-"</formula>
    </cfRule>
    <cfRule type="cellIs" dxfId="6219" priority="995" operator="equal">
      <formula>0</formula>
    </cfRule>
    <cfRule type="cellIs" dxfId="6218" priority="996" operator="greaterThan">
      <formula>0</formula>
    </cfRule>
    <cfRule type="cellIs" dxfId="6217" priority="997" operator="lessThan">
      <formula>0</formula>
    </cfRule>
  </conditionalFormatting>
  <conditionalFormatting sqref="AD14">
    <cfRule type="cellIs" dxfId="6216" priority="990" operator="equal">
      <formula>"-"</formula>
    </cfRule>
    <cfRule type="cellIs" dxfId="6215" priority="991" operator="equal">
      <formula>0</formula>
    </cfRule>
    <cfRule type="cellIs" dxfId="6214" priority="992" operator="greaterThan">
      <formula>0</formula>
    </cfRule>
    <cfRule type="cellIs" dxfId="6213" priority="993" operator="lessThan">
      <formula>0</formula>
    </cfRule>
  </conditionalFormatting>
  <conditionalFormatting sqref="AD15">
    <cfRule type="cellIs" dxfId="6212" priority="986" operator="equal">
      <formula>"-"</formula>
    </cfRule>
    <cfRule type="cellIs" dxfId="6211" priority="987" operator="equal">
      <formula>0</formula>
    </cfRule>
    <cfRule type="cellIs" dxfId="6210" priority="988" operator="greaterThan">
      <formula>0</formula>
    </cfRule>
    <cfRule type="cellIs" dxfId="6209" priority="989" operator="lessThan">
      <formula>0</formula>
    </cfRule>
  </conditionalFormatting>
  <conditionalFormatting sqref="AD16">
    <cfRule type="cellIs" dxfId="6208" priority="982" operator="equal">
      <formula>"-"</formula>
    </cfRule>
    <cfRule type="cellIs" dxfId="6207" priority="983" operator="equal">
      <formula>0</formula>
    </cfRule>
    <cfRule type="cellIs" dxfId="6206" priority="984" operator="greaterThan">
      <formula>0</formula>
    </cfRule>
    <cfRule type="cellIs" dxfId="6205" priority="985" operator="lessThan">
      <formula>0</formula>
    </cfRule>
  </conditionalFormatting>
  <conditionalFormatting sqref="AD17">
    <cfRule type="cellIs" dxfId="6204" priority="978" operator="equal">
      <formula>"-"</formula>
    </cfRule>
    <cfRule type="cellIs" dxfId="6203" priority="979" operator="equal">
      <formula>0</formula>
    </cfRule>
    <cfRule type="cellIs" dxfId="6202" priority="980" operator="greaterThan">
      <formula>0</formula>
    </cfRule>
    <cfRule type="cellIs" dxfId="6201" priority="981" operator="lessThan">
      <formula>0</formula>
    </cfRule>
  </conditionalFormatting>
  <conditionalFormatting sqref="AD18">
    <cfRule type="cellIs" dxfId="6200" priority="974" operator="equal">
      <formula>"-"</formula>
    </cfRule>
    <cfRule type="cellIs" dxfId="6199" priority="975" operator="equal">
      <formula>0</formula>
    </cfRule>
    <cfRule type="cellIs" dxfId="6198" priority="976" operator="greaterThan">
      <formula>0</formula>
    </cfRule>
    <cfRule type="cellIs" dxfId="6197" priority="977" operator="lessThan">
      <formula>0</formula>
    </cfRule>
  </conditionalFormatting>
  <conditionalFormatting sqref="AD19">
    <cfRule type="cellIs" dxfId="6196" priority="970" operator="equal">
      <formula>"-"</formula>
    </cfRule>
    <cfRule type="cellIs" dxfId="6195" priority="971" operator="equal">
      <formula>0</formula>
    </cfRule>
    <cfRule type="cellIs" dxfId="6194" priority="972" operator="greaterThan">
      <formula>0</formula>
    </cfRule>
    <cfRule type="cellIs" dxfId="6193" priority="973" operator="lessThan">
      <formula>0</formula>
    </cfRule>
  </conditionalFormatting>
  <conditionalFormatting sqref="AD20">
    <cfRule type="cellIs" dxfId="6192" priority="966" operator="equal">
      <formula>"-"</formula>
    </cfRule>
    <cfRule type="cellIs" dxfId="6191" priority="967" operator="equal">
      <formula>0</formula>
    </cfRule>
    <cfRule type="cellIs" dxfId="6190" priority="968" operator="greaterThan">
      <formula>0</formula>
    </cfRule>
    <cfRule type="cellIs" dxfId="6189" priority="969" operator="lessThan">
      <formula>0</formula>
    </cfRule>
  </conditionalFormatting>
  <conditionalFormatting sqref="AD21">
    <cfRule type="cellIs" dxfId="6188" priority="962" operator="equal">
      <formula>"-"</formula>
    </cfRule>
    <cfRule type="cellIs" dxfId="6187" priority="963" operator="equal">
      <formula>0</formula>
    </cfRule>
    <cfRule type="cellIs" dxfId="6186" priority="964" operator="greaterThan">
      <formula>0</formula>
    </cfRule>
    <cfRule type="cellIs" dxfId="6185" priority="965" operator="lessThan">
      <formula>0</formula>
    </cfRule>
  </conditionalFormatting>
  <conditionalFormatting sqref="AD22">
    <cfRule type="cellIs" dxfId="6184" priority="958" operator="equal">
      <formula>"-"</formula>
    </cfRule>
    <cfRule type="cellIs" dxfId="6183" priority="959" operator="equal">
      <formula>0</formula>
    </cfRule>
    <cfRule type="cellIs" dxfId="6182" priority="960" operator="greaterThan">
      <formula>0</formula>
    </cfRule>
    <cfRule type="cellIs" dxfId="6181" priority="961" operator="lessThan">
      <formula>0</formula>
    </cfRule>
  </conditionalFormatting>
  <conditionalFormatting sqref="AD23">
    <cfRule type="cellIs" dxfId="6180" priority="954" operator="equal">
      <formula>"-"</formula>
    </cfRule>
    <cfRule type="cellIs" dxfId="6179" priority="955" operator="equal">
      <formula>0</formula>
    </cfRule>
    <cfRule type="cellIs" dxfId="6178" priority="956" operator="greaterThan">
      <formula>0</formula>
    </cfRule>
    <cfRule type="cellIs" dxfId="6177" priority="957" operator="lessThan">
      <formula>0</formula>
    </cfRule>
  </conditionalFormatting>
  <conditionalFormatting sqref="AD24">
    <cfRule type="cellIs" dxfId="6176" priority="950" operator="equal">
      <formula>"-"</formula>
    </cfRule>
    <cfRule type="cellIs" dxfId="6175" priority="951" operator="equal">
      <formula>0</formula>
    </cfRule>
    <cfRule type="cellIs" dxfId="6174" priority="952" operator="greaterThan">
      <formula>0</formula>
    </cfRule>
    <cfRule type="cellIs" dxfId="6173" priority="953" operator="lessThan">
      <formula>0</formula>
    </cfRule>
  </conditionalFormatting>
  <conditionalFormatting sqref="AD25">
    <cfRule type="cellIs" dxfId="6172" priority="946" operator="equal">
      <formula>"-"</formula>
    </cfRule>
    <cfRule type="cellIs" dxfId="6171" priority="947" operator="equal">
      <formula>0</formula>
    </cfRule>
    <cfRule type="cellIs" dxfId="6170" priority="948" operator="greaterThan">
      <formula>0</formula>
    </cfRule>
    <cfRule type="cellIs" dxfId="6169" priority="949" operator="lessThan">
      <formula>0</formula>
    </cfRule>
  </conditionalFormatting>
  <conditionalFormatting sqref="AD26">
    <cfRule type="cellIs" dxfId="6168" priority="942" operator="equal">
      <formula>"-"</formula>
    </cfRule>
    <cfRule type="cellIs" dxfId="6167" priority="943" operator="equal">
      <formula>0</formula>
    </cfRule>
    <cfRule type="cellIs" dxfId="6166" priority="944" operator="greaterThan">
      <formula>0</formula>
    </cfRule>
    <cfRule type="cellIs" dxfId="6165" priority="945" operator="lessThan">
      <formula>0</formula>
    </cfRule>
  </conditionalFormatting>
  <conditionalFormatting sqref="AD27">
    <cfRule type="cellIs" dxfId="6164" priority="938" operator="equal">
      <formula>"-"</formula>
    </cfRule>
    <cfRule type="cellIs" dxfId="6163" priority="939" operator="equal">
      <formula>0</formula>
    </cfRule>
    <cfRule type="cellIs" dxfId="6162" priority="940" operator="greaterThan">
      <formula>0</formula>
    </cfRule>
    <cfRule type="cellIs" dxfId="6161" priority="941" operator="lessThan">
      <formula>0</formula>
    </cfRule>
  </conditionalFormatting>
  <conditionalFormatting sqref="AD28">
    <cfRule type="cellIs" dxfId="6160" priority="934" operator="equal">
      <formula>"-"</formula>
    </cfRule>
    <cfRule type="cellIs" dxfId="6159" priority="935" operator="equal">
      <formula>0</formula>
    </cfRule>
    <cfRule type="cellIs" dxfId="6158" priority="936" operator="greaterThan">
      <formula>0</formula>
    </cfRule>
    <cfRule type="cellIs" dxfId="6157" priority="937" operator="lessThan">
      <formula>0</formula>
    </cfRule>
  </conditionalFormatting>
  <conditionalFormatting sqref="AE4">
    <cfRule type="cellIs" dxfId="6156" priority="930" operator="equal">
      <formula>"-"</formula>
    </cfRule>
    <cfRule type="cellIs" dxfId="6155" priority="931" operator="equal">
      <formula>0</formula>
    </cfRule>
    <cfRule type="cellIs" dxfId="6154" priority="932" operator="greaterThan">
      <formula>0</formula>
    </cfRule>
    <cfRule type="cellIs" dxfId="6153" priority="933" operator="lessThan">
      <formula>0</formula>
    </cfRule>
  </conditionalFormatting>
  <conditionalFormatting sqref="AE5">
    <cfRule type="cellIs" dxfId="6152" priority="926" operator="equal">
      <formula>"-"</formula>
    </cfRule>
    <cfRule type="cellIs" dxfId="6151" priority="927" operator="equal">
      <formula>0</formula>
    </cfRule>
    <cfRule type="cellIs" dxfId="6150" priority="928" operator="greaterThan">
      <formula>0</formula>
    </cfRule>
    <cfRule type="cellIs" dxfId="6149" priority="929" operator="lessThan">
      <formula>0</formula>
    </cfRule>
  </conditionalFormatting>
  <conditionalFormatting sqref="AE6">
    <cfRule type="cellIs" dxfId="6148" priority="922" operator="equal">
      <formula>"-"</formula>
    </cfRule>
    <cfRule type="cellIs" dxfId="6147" priority="923" operator="equal">
      <formula>0</formula>
    </cfRule>
    <cfRule type="cellIs" dxfId="6146" priority="924" operator="greaterThan">
      <formula>0</formula>
    </cfRule>
    <cfRule type="cellIs" dxfId="6145" priority="925" operator="lessThan">
      <formula>0</formula>
    </cfRule>
  </conditionalFormatting>
  <conditionalFormatting sqref="AE7">
    <cfRule type="cellIs" dxfId="6144" priority="918" operator="equal">
      <formula>"-"</formula>
    </cfRule>
    <cfRule type="cellIs" dxfId="6143" priority="919" operator="equal">
      <formula>0</formula>
    </cfRule>
    <cfRule type="cellIs" dxfId="6142" priority="920" operator="greaterThan">
      <formula>0</formula>
    </cfRule>
    <cfRule type="cellIs" dxfId="6141" priority="921" operator="lessThan">
      <formula>0</formula>
    </cfRule>
  </conditionalFormatting>
  <conditionalFormatting sqref="AE8">
    <cfRule type="cellIs" dxfId="6140" priority="914" operator="equal">
      <formula>"-"</formula>
    </cfRule>
    <cfRule type="cellIs" dxfId="6139" priority="915" operator="equal">
      <formula>0</formula>
    </cfRule>
    <cfRule type="cellIs" dxfId="6138" priority="916" operator="greaterThan">
      <formula>0</formula>
    </cfRule>
    <cfRule type="cellIs" dxfId="6137" priority="917" operator="lessThan">
      <formula>0</formula>
    </cfRule>
  </conditionalFormatting>
  <conditionalFormatting sqref="AE9">
    <cfRule type="cellIs" dxfId="6136" priority="910" operator="equal">
      <formula>"-"</formula>
    </cfRule>
    <cfRule type="cellIs" dxfId="6135" priority="911" operator="equal">
      <formula>0</formula>
    </cfRule>
    <cfRule type="cellIs" dxfId="6134" priority="912" operator="greaterThan">
      <formula>0</formula>
    </cfRule>
    <cfRule type="cellIs" dxfId="6133" priority="913" operator="lessThan">
      <formula>0</formula>
    </cfRule>
  </conditionalFormatting>
  <conditionalFormatting sqref="AE10">
    <cfRule type="cellIs" dxfId="6132" priority="906" operator="equal">
      <formula>"-"</formula>
    </cfRule>
    <cfRule type="cellIs" dxfId="6131" priority="907" operator="equal">
      <formula>0</formula>
    </cfRule>
    <cfRule type="cellIs" dxfId="6130" priority="908" operator="greaterThan">
      <formula>0</formula>
    </cfRule>
    <cfRule type="cellIs" dxfId="6129" priority="909" operator="lessThan">
      <formula>0</formula>
    </cfRule>
  </conditionalFormatting>
  <conditionalFormatting sqref="AE11">
    <cfRule type="cellIs" dxfId="6128" priority="902" operator="equal">
      <formula>"-"</formula>
    </cfRule>
    <cfRule type="cellIs" dxfId="6127" priority="903" operator="equal">
      <formula>0</formula>
    </cfRule>
    <cfRule type="cellIs" dxfId="6126" priority="904" operator="greaterThan">
      <formula>0</formula>
    </cfRule>
    <cfRule type="cellIs" dxfId="6125" priority="905" operator="lessThan">
      <formula>0</formula>
    </cfRule>
  </conditionalFormatting>
  <conditionalFormatting sqref="AE12">
    <cfRule type="cellIs" dxfId="6124" priority="898" operator="equal">
      <formula>"-"</formula>
    </cfRule>
    <cfRule type="cellIs" dxfId="6123" priority="899" operator="equal">
      <formula>0</formula>
    </cfRule>
    <cfRule type="cellIs" dxfId="6122" priority="900" operator="greaterThan">
      <formula>0</formula>
    </cfRule>
    <cfRule type="cellIs" dxfId="6121" priority="901" operator="lessThan">
      <formula>0</formula>
    </cfRule>
  </conditionalFormatting>
  <conditionalFormatting sqref="AE13">
    <cfRule type="cellIs" dxfId="6120" priority="894" operator="equal">
      <formula>"-"</formula>
    </cfRule>
    <cfRule type="cellIs" dxfId="6119" priority="895" operator="equal">
      <formula>0</formula>
    </cfRule>
    <cfRule type="cellIs" dxfId="6118" priority="896" operator="greaterThan">
      <formula>0</formula>
    </cfRule>
    <cfRule type="cellIs" dxfId="6117" priority="897" operator="lessThan">
      <formula>0</formula>
    </cfRule>
  </conditionalFormatting>
  <conditionalFormatting sqref="AE14">
    <cfRule type="cellIs" dxfId="6116" priority="890" operator="equal">
      <formula>"-"</formula>
    </cfRule>
    <cfRule type="cellIs" dxfId="6115" priority="891" operator="equal">
      <formula>0</formula>
    </cfRule>
    <cfRule type="cellIs" dxfId="6114" priority="892" operator="greaterThan">
      <formula>0</formula>
    </cfRule>
    <cfRule type="cellIs" dxfId="6113" priority="893" operator="lessThan">
      <formula>0</formula>
    </cfRule>
  </conditionalFormatting>
  <conditionalFormatting sqref="AE15">
    <cfRule type="cellIs" dxfId="6112" priority="886" operator="equal">
      <formula>"-"</formula>
    </cfRule>
    <cfRule type="cellIs" dxfId="6111" priority="887" operator="equal">
      <formula>0</formula>
    </cfRule>
    <cfRule type="cellIs" dxfId="6110" priority="888" operator="greaterThan">
      <formula>0</formula>
    </cfRule>
    <cfRule type="cellIs" dxfId="6109" priority="889" operator="lessThan">
      <formula>0</formula>
    </cfRule>
  </conditionalFormatting>
  <conditionalFormatting sqref="AE16">
    <cfRule type="cellIs" dxfId="6108" priority="882" operator="equal">
      <formula>"-"</formula>
    </cfRule>
    <cfRule type="cellIs" dxfId="6107" priority="883" operator="equal">
      <formula>0</formula>
    </cfRule>
    <cfRule type="cellIs" dxfId="6106" priority="884" operator="greaterThan">
      <formula>0</formula>
    </cfRule>
    <cfRule type="cellIs" dxfId="6105" priority="885" operator="lessThan">
      <formula>0</formula>
    </cfRule>
  </conditionalFormatting>
  <conditionalFormatting sqref="AE17">
    <cfRule type="cellIs" dxfId="6104" priority="878" operator="equal">
      <formula>"-"</formula>
    </cfRule>
    <cfRule type="cellIs" dxfId="6103" priority="879" operator="equal">
      <formula>0</formula>
    </cfRule>
    <cfRule type="cellIs" dxfId="6102" priority="880" operator="greaterThan">
      <formula>0</formula>
    </cfRule>
    <cfRule type="cellIs" dxfId="6101" priority="881" operator="lessThan">
      <formula>0</formula>
    </cfRule>
  </conditionalFormatting>
  <conditionalFormatting sqref="AE18">
    <cfRule type="cellIs" dxfId="6100" priority="874" operator="equal">
      <formula>"-"</formula>
    </cfRule>
    <cfRule type="cellIs" dxfId="6099" priority="875" operator="equal">
      <formula>0</formula>
    </cfRule>
    <cfRule type="cellIs" dxfId="6098" priority="876" operator="greaterThan">
      <formula>0</formula>
    </cfRule>
    <cfRule type="cellIs" dxfId="6097" priority="877" operator="lessThan">
      <formula>0</formula>
    </cfRule>
  </conditionalFormatting>
  <conditionalFormatting sqref="AE19">
    <cfRule type="cellIs" dxfId="6096" priority="870" operator="equal">
      <formula>"-"</formula>
    </cfRule>
    <cfRule type="cellIs" dxfId="6095" priority="871" operator="equal">
      <formula>0</formula>
    </cfRule>
    <cfRule type="cellIs" dxfId="6094" priority="872" operator="greaterThan">
      <formula>0</formula>
    </cfRule>
    <cfRule type="cellIs" dxfId="6093" priority="873" operator="lessThan">
      <formula>0</formula>
    </cfRule>
  </conditionalFormatting>
  <conditionalFormatting sqref="AE20">
    <cfRule type="cellIs" dxfId="6092" priority="866" operator="equal">
      <formula>"-"</formula>
    </cfRule>
    <cfRule type="cellIs" dxfId="6091" priority="867" operator="equal">
      <formula>0</formula>
    </cfRule>
    <cfRule type="cellIs" dxfId="6090" priority="868" operator="greaterThan">
      <formula>0</formula>
    </cfRule>
    <cfRule type="cellIs" dxfId="6089" priority="869" operator="lessThan">
      <formula>0</formula>
    </cfRule>
  </conditionalFormatting>
  <conditionalFormatting sqref="AE21">
    <cfRule type="cellIs" dxfId="6088" priority="862" operator="equal">
      <formula>"-"</formula>
    </cfRule>
    <cfRule type="cellIs" dxfId="6087" priority="863" operator="equal">
      <formula>0</formula>
    </cfRule>
    <cfRule type="cellIs" dxfId="6086" priority="864" operator="greaterThan">
      <formula>0</formula>
    </cfRule>
    <cfRule type="cellIs" dxfId="6085" priority="865" operator="lessThan">
      <formula>0</formula>
    </cfRule>
  </conditionalFormatting>
  <conditionalFormatting sqref="AE22">
    <cfRule type="cellIs" dxfId="6084" priority="858" operator="equal">
      <formula>"-"</formula>
    </cfRule>
    <cfRule type="cellIs" dxfId="6083" priority="859" operator="equal">
      <formula>0</formula>
    </cfRule>
    <cfRule type="cellIs" dxfId="6082" priority="860" operator="greaterThan">
      <formula>0</formula>
    </cfRule>
    <cfRule type="cellIs" dxfId="6081" priority="861" operator="lessThan">
      <formula>0</formula>
    </cfRule>
  </conditionalFormatting>
  <conditionalFormatting sqref="AE23">
    <cfRule type="cellIs" dxfId="6080" priority="854" operator="equal">
      <formula>"-"</formula>
    </cfRule>
    <cfRule type="cellIs" dxfId="6079" priority="855" operator="equal">
      <formula>0</formula>
    </cfRule>
    <cfRule type="cellIs" dxfId="6078" priority="856" operator="greaterThan">
      <formula>0</formula>
    </cfRule>
    <cfRule type="cellIs" dxfId="6077" priority="857" operator="lessThan">
      <formula>0</formula>
    </cfRule>
  </conditionalFormatting>
  <conditionalFormatting sqref="AE24">
    <cfRule type="cellIs" dxfId="6076" priority="850" operator="equal">
      <formula>"-"</formula>
    </cfRule>
    <cfRule type="cellIs" dxfId="6075" priority="851" operator="equal">
      <formula>0</formula>
    </cfRule>
    <cfRule type="cellIs" dxfId="6074" priority="852" operator="greaterThan">
      <formula>0</formula>
    </cfRule>
    <cfRule type="cellIs" dxfId="6073" priority="853" operator="lessThan">
      <formula>0</formula>
    </cfRule>
  </conditionalFormatting>
  <conditionalFormatting sqref="AE25">
    <cfRule type="cellIs" dxfId="6072" priority="846" operator="equal">
      <formula>"-"</formula>
    </cfRule>
    <cfRule type="cellIs" dxfId="6071" priority="847" operator="equal">
      <formula>0</formula>
    </cfRule>
    <cfRule type="cellIs" dxfId="6070" priority="848" operator="greaterThan">
      <formula>0</formula>
    </cfRule>
    <cfRule type="cellIs" dxfId="6069" priority="849" operator="lessThan">
      <formula>0</formula>
    </cfRule>
  </conditionalFormatting>
  <conditionalFormatting sqref="AE26">
    <cfRule type="cellIs" dxfId="6068" priority="842" operator="equal">
      <formula>"-"</formula>
    </cfRule>
    <cfRule type="cellIs" dxfId="6067" priority="843" operator="equal">
      <formula>0</formula>
    </cfRule>
    <cfRule type="cellIs" dxfId="6066" priority="844" operator="greaterThan">
      <formula>0</formula>
    </cfRule>
    <cfRule type="cellIs" dxfId="6065" priority="845" operator="lessThan">
      <formula>0</formula>
    </cfRule>
  </conditionalFormatting>
  <conditionalFormatting sqref="AE27">
    <cfRule type="cellIs" dxfId="6064" priority="838" operator="equal">
      <formula>"-"</formula>
    </cfRule>
    <cfRule type="cellIs" dxfId="6063" priority="839" operator="equal">
      <formula>0</formula>
    </cfRule>
    <cfRule type="cellIs" dxfId="6062" priority="840" operator="greaterThan">
      <formula>0</formula>
    </cfRule>
    <cfRule type="cellIs" dxfId="6061" priority="841" operator="lessThan">
      <formula>0</formula>
    </cfRule>
  </conditionalFormatting>
  <conditionalFormatting sqref="AE28">
    <cfRule type="cellIs" dxfId="6060" priority="834" operator="equal">
      <formula>"-"</formula>
    </cfRule>
    <cfRule type="cellIs" dxfId="6059" priority="835" operator="equal">
      <formula>0</formula>
    </cfRule>
    <cfRule type="cellIs" dxfId="6058" priority="836" operator="greaterThan">
      <formula>0</formula>
    </cfRule>
    <cfRule type="cellIs" dxfId="6057" priority="837" operator="lessThan">
      <formula>0</formula>
    </cfRule>
  </conditionalFormatting>
  <conditionalFormatting sqref="AF4">
    <cfRule type="cellIs" dxfId="6056" priority="830" operator="equal">
      <formula>"-"</formula>
    </cfRule>
    <cfRule type="cellIs" dxfId="6055" priority="831" operator="equal">
      <formula>0</formula>
    </cfRule>
    <cfRule type="cellIs" dxfId="6054" priority="832" operator="greaterThan">
      <formula>0</formula>
    </cfRule>
    <cfRule type="cellIs" dxfId="6053" priority="833" operator="lessThan">
      <formula>0</formula>
    </cfRule>
  </conditionalFormatting>
  <conditionalFormatting sqref="AF5">
    <cfRule type="cellIs" dxfId="6052" priority="826" operator="equal">
      <formula>"-"</formula>
    </cfRule>
    <cfRule type="cellIs" dxfId="6051" priority="827" operator="equal">
      <formula>0</formula>
    </cfRule>
    <cfRule type="cellIs" dxfId="6050" priority="828" operator="greaterThan">
      <formula>0</formula>
    </cfRule>
    <cfRule type="cellIs" dxfId="6049" priority="829" operator="lessThan">
      <formula>0</formula>
    </cfRule>
  </conditionalFormatting>
  <conditionalFormatting sqref="AF6">
    <cfRule type="cellIs" dxfId="6048" priority="822" operator="equal">
      <formula>"-"</formula>
    </cfRule>
    <cfRule type="cellIs" dxfId="6047" priority="823" operator="equal">
      <formula>0</formula>
    </cfRule>
    <cfRule type="cellIs" dxfId="6046" priority="824" operator="greaterThan">
      <formula>0</formula>
    </cfRule>
    <cfRule type="cellIs" dxfId="6045" priority="825" operator="lessThan">
      <formula>0</formula>
    </cfRule>
  </conditionalFormatting>
  <conditionalFormatting sqref="AF7">
    <cfRule type="cellIs" dxfId="6044" priority="818" operator="equal">
      <formula>"-"</formula>
    </cfRule>
    <cfRule type="cellIs" dxfId="6043" priority="819" operator="equal">
      <formula>0</formula>
    </cfRule>
    <cfRule type="cellIs" dxfId="6042" priority="820" operator="greaterThan">
      <formula>0</formula>
    </cfRule>
    <cfRule type="cellIs" dxfId="6041" priority="821" operator="lessThan">
      <formula>0</formula>
    </cfRule>
  </conditionalFormatting>
  <conditionalFormatting sqref="AF8">
    <cfRule type="cellIs" dxfId="6040" priority="814" operator="equal">
      <formula>"-"</formula>
    </cfRule>
    <cfRule type="cellIs" dxfId="6039" priority="815" operator="equal">
      <formula>0</formula>
    </cfRule>
    <cfRule type="cellIs" dxfId="6038" priority="816" operator="greaterThan">
      <formula>0</formula>
    </cfRule>
    <cfRule type="cellIs" dxfId="6037" priority="817" operator="lessThan">
      <formula>0</formula>
    </cfRule>
  </conditionalFormatting>
  <conditionalFormatting sqref="AF9">
    <cfRule type="cellIs" dxfId="6036" priority="810" operator="equal">
      <formula>"-"</formula>
    </cfRule>
    <cfRule type="cellIs" dxfId="6035" priority="811" operator="equal">
      <formula>0</formula>
    </cfRule>
    <cfRule type="cellIs" dxfId="6034" priority="812" operator="greaterThan">
      <formula>0</formula>
    </cfRule>
    <cfRule type="cellIs" dxfId="6033" priority="813" operator="lessThan">
      <formula>0</formula>
    </cfRule>
  </conditionalFormatting>
  <conditionalFormatting sqref="AF10">
    <cfRule type="cellIs" dxfId="6032" priority="806" operator="equal">
      <formula>"-"</formula>
    </cfRule>
    <cfRule type="cellIs" dxfId="6031" priority="807" operator="equal">
      <formula>0</formula>
    </cfRule>
    <cfRule type="cellIs" dxfId="6030" priority="808" operator="greaterThan">
      <formula>0</formula>
    </cfRule>
    <cfRule type="cellIs" dxfId="6029" priority="809" operator="lessThan">
      <formula>0</formula>
    </cfRule>
  </conditionalFormatting>
  <conditionalFormatting sqref="AF11">
    <cfRule type="cellIs" dxfId="6028" priority="802" operator="equal">
      <formula>"-"</formula>
    </cfRule>
    <cfRule type="cellIs" dxfId="6027" priority="803" operator="equal">
      <formula>0</formula>
    </cfRule>
    <cfRule type="cellIs" dxfId="6026" priority="804" operator="greaterThan">
      <formula>0</formula>
    </cfRule>
    <cfRule type="cellIs" dxfId="6025" priority="805" operator="lessThan">
      <formula>0</formula>
    </cfRule>
  </conditionalFormatting>
  <conditionalFormatting sqref="AF12">
    <cfRule type="cellIs" dxfId="6024" priority="798" operator="equal">
      <formula>"-"</formula>
    </cfRule>
    <cfRule type="cellIs" dxfId="6023" priority="799" operator="equal">
      <formula>0</formula>
    </cfRule>
    <cfRule type="cellIs" dxfId="6022" priority="800" operator="greaterThan">
      <formula>0</formula>
    </cfRule>
    <cfRule type="cellIs" dxfId="6021" priority="801" operator="lessThan">
      <formula>0</formula>
    </cfRule>
  </conditionalFormatting>
  <conditionalFormatting sqref="AF13">
    <cfRule type="cellIs" dxfId="6020" priority="794" operator="equal">
      <formula>"-"</formula>
    </cfRule>
    <cfRule type="cellIs" dxfId="6019" priority="795" operator="equal">
      <formula>0</formula>
    </cfRule>
    <cfRule type="cellIs" dxfId="6018" priority="796" operator="greaterThan">
      <formula>0</formula>
    </cfRule>
    <cfRule type="cellIs" dxfId="6017" priority="797" operator="lessThan">
      <formula>0</formula>
    </cfRule>
  </conditionalFormatting>
  <conditionalFormatting sqref="AF14">
    <cfRule type="cellIs" dxfId="6016" priority="790" operator="equal">
      <formula>"-"</formula>
    </cfRule>
    <cfRule type="cellIs" dxfId="6015" priority="791" operator="equal">
      <formula>0</formula>
    </cfRule>
    <cfRule type="cellIs" dxfId="6014" priority="792" operator="greaterThan">
      <formula>0</formula>
    </cfRule>
    <cfRule type="cellIs" dxfId="6013" priority="793" operator="lessThan">
      <formula>0</formula>
    </cfRule>
  </conditionalFormatting>
  <conditionalFormatting sqref="AF15">
    <cfRule type="cellIs" dxfId="6012" priority="786" operator="equal">
      <formula>"-"</formula>
    </cfRule>
    <cfRule type="cellIs" dxfId="6011" priority="787" operator="equal">
      <formula>0</formula>
    </cfRule>
    <cfRule type="cellIs" dxfId="6010" priority="788" operator="greaterThan">
      <formula>0</formula>
    </cfRule>
    <cfRule type="cellIs" dxfId="6009" priority="789" operator="lessThan">
      <formula>0</formula>
    </cfRule>
  </conditionalFormatting>
  <conditionalFormatting sqref="AF16">
    <cfRule type="cellIs" dxfId="6008" priority="782" operator="equal">
      <formula>"-"</formula>
    </cfRule>
    <cfRule type="cellIs" dxfId="6007" priority="783" operator="equal">
      <formula>0</formula>
    </cfRule>
    <cfRule type="cellIs" dxfId="6006" priority="784" operator="greaterThan">
      <formula>0</formula>
    </cfRule>
    <cfRule type="cellIs" dxfId="6005" priority="785" operator="lessThan">
      <formula>0</formula>
    </cfRule>
  </conditionalFormatting>
  <conditionalFormatting sqref="AF17">
    <cfRule type="cellIs" dxfId="6004" priority="778" operator="equal">
      <formula>"-"</formula>
    </cfRule>
    <cfRule type="cellIs" dxfId="6003" priority="779" operator="equal">
      <formula>0</formula>
    </cfRule>
    <cfRule type="cellIs" dxfId="6002" priority="780" operator="greaterThan">
      <formula>0</formula>
    </cfRule>
    <cfRule type="cellIs" dxfId="6001" priority="781" operator="lessThan">
      <formula>0</formula>
    </cfRule>
  </conditionalFormatting>
  <conditionalFormatting sqref="AF18">
    <cfRule type="cellIs" dxfId="6000" priority="774" operator="equal">
      <formula>"-"</formula>
    </cfRule>
    <cfRule type="cellIs" dxfId="5999" priority="775" operator="equal">
      <formula>0</formula>
    </cfRule>
    <cfRule type="cellIs" dxfId="5998" priority="776" operator="greaterThan">
      <formula>0</formula>
    </cfRule>
    <cfRule type="cellIs" dxfId="5997" priority="777" operator="lessThan">
      <formula>0</formula>
    </cfRule>
  </conditionalFormatting>
  <conditionalFormatting sqref="AF19">
    <cfRule type="cellIs" dxfId="5996" priority="770" operator="equal">
      <formula>"-"</formula>
    </cfRule>
    <cfRule type="cellIs" dxfId="5995" priority="771" operator="equal">
      <formula>0</formula>
    </cfRule>
    <cfRule type="cellIs" dxfId="5994" priority="772" operator="greaterThan">
      <formula>0</formula>
    </cfRule>
    <cfRule type="cellIs" dxfId="5993" priority="773" operator="lessThan">
      <formula>0</formula>
    </cfRule>
  </conditionalFormatting>
  <conditionalFormatting sqref="AF20">
    <cfRule type="cellIs" dxfId="5992" priority="766" operator="equal">
      <formula>"-"</formula>
    </cfRule>
    <cfRule type="cellIs" dxfId="5991" priority="767" operator="equal">
      <formula>0</formula>
    </cfRule>
    <cfRule type="cellIs" dxfId="5990" priority="768" operator="greaterThan">
      <formula>0</formula>
    </cfRule>
    <cfRule type="cellIs" dxfId="5989" priority="769" operator="lessThan">
      <formula>0</formula>
    </cfRule>
  </conditionalFormatting>
  <conditionalFormatting sqref="AF21">
    <cfRule type="cellIs" dxfId="5988" priority="762" operator="equal">
      <formula>"-"</formula>
    </cfRule>
    <cfRule type="cellIs" dxfId="5987" priority="763" operator="equal">
      <formula>0</formula>
    </cfRule>
    <cfRule type="cellIs" dxfId="5986" priority="764" operator="greaterThan">
      <formula>0</formula>
    </cfRule>
    <cfRule type="cellIs" dxfId="5985" priority="765" operator="lessThan">
      <formula>0</formula>
    </cfRule>
  </conditionalFormatting>
  <conditionalFormatting sqref="AF22">
    <cfRule type="cellIs" dxfId="5984" priority="758" operator="equal">
      <formula>"-"</formula>
    </cfRule>
    <cfRule type="cellIs" dxfId="5983" priority="759" operator="equal">
      <formula>0</formula>
    </cfRule>
    <cfRule type="cellIs" dxfId="5982" priority="760" operator="greaterThan">
      <formula>0</formula>
    </cfRule>
    <cfRule type="cellIs" dxfId="5981" priority="761" operator="lessThan">
      <formula>0</formula>
    </cfRule>
  </conditionalFormatting>
  <conditionalFormatting sqref="AF23">
    <cfRule type="cellIs" dxfId="5980" priority="754" operator="equal">
      <formula>"-"</formula>
    </cfRule>
    <cfRule type="cellIs" dxfId="5979" priority="755" operator="equal">
      <formula>0</formula>
    </cfRule>
    <cfRule type="cellIs" dxfId="5978" priority="756" operator="greaterThan">
      <formula>0</formula>
    </cfRule>
    <cfRule type="cellIs" dxfId="5977" priority="757" operator="lessThan">
      <formula>0</formula>
    </cfRule>
  </conditionalFormatting>
  <conditionalFormatting sqref="AF24">
    <cfRule type="cellIs" dxfId="5976" priority="750" operator="equal">
      <formula>"-"</formula>
    </cfRule>
    <cfRule type="cellIs" dxfId="5975" priority="751" operator="equal">
      <formula>0</formula>
    </cfRule>
    <cfRule type="cellIs" dxfId="5974" priority="752" operator="greaterThan">
      <formula>0</formula>
    </cfRule>
    <cfRule type="cellIs" dxfId="5973" priority="753" operator="lessThan">
      <formula>0</formula>
    </cfRule>
  </conditionalFormatting>
  <conditionalFormatting sqref="AF25">
    <cfRule type="cellIs" dxfId="5972" priority="746" operator="equal">
      <formula>"-"</formula>
    </cfRule>
    <cfRule type="cellIs" dxfId="5971" priority="747" operator="equal">
      <formula>0</formula>
    </cfRule>
    <cfRule type="cellIs" dxfId="5970" priority="748" operator="greaterThan">
      <formula>0</formula>
    </cfRule>
    <cfRule type="cellIs" dxfId="5969" priority="749" operator="lessThan">
      <formula>0</formula>
    </cfRule>
  </conditionalFormatting>
  <conditionalFormatting sqref="AF26">
    <cfRule type="cellIs" dxfId="5968" priority="742" operator="equal">
      <formula>"-"</formula>
    </cfRule>
    <cfRule type="cellIs" dxfId="5967" priority="743" operator="equal">
      <formula>0</formula>
    </cfRule>
    <cfRule type="cellIs" dxfId="5966" priority="744" operator="greaterThan">
      <formula>0</formula>
    </cfRule>
    <cfRule type="cellIs" dxfId="5965" priority="745" operator="lessThan">
      <formula>0</formula>
    </cfRule>
  </conditionalFormatting>
  <conditionalFormatting sqref="AF27">
    <cfRule type="cellIs" dxfId="5964" priority="738" operator="equal">
      <formula>"-"</formula>
    </cfRule>
    <cfRule type="cellIs" dxfId="5963" priority="739" operator="equal">
      <formula>0</formula>
    </cfRule>
    <cfRule type="cellIs" dxfId="5962" priority="740" operator="greaterThan">
      <formula>0</formula>
    </cfRule>
    <cfRule type="cellIs" dxfId="5961" priority="741" operator="lessThan">
      <formula>0</formula>
    </cfRule>
  </conditionalFormatting>
  <conditionalFormatting sqref="AF28">
    <cfRule type="cellIs" dxfId="5960" priority="734" operator="equal">
      <formula>"-"</formula>
    </cfRule>
    <cfRule type="cellIs" dxfId="5959" priority="735" operator="equal">
      <formula>0</formula>
    </cfRule>
    <cfRule type="cellIs" dxfId="5958" priority="736" operator="greaterThan">
      <formula>0</formula>
    </cfRule>
    <cfRule type="cellIs" dxfId="5957" priority="737" operator="lessThan">
      <formula>0</formula>
    </cfRule>
  </conditionalFormatting>
  <conditionalFormatting sqref="S29">
    <cfRule type="expression" dxfId="5956" priority="729">
      <formula>R29="-"</formula>
    </cfRule>
    <cfRule type="cellIs" dxfId="5955" priority="730" operator="equal">
      <formula>"-"</formula>
    </cfRule>
    <cfRule type="cellIs" dxfId="5954" priority="731" operator="equal">
      <formula>R29</formula>
    </cfRule>
    <cfRule type="cellIs" dxfId="5953" priority="732" operator="greaterThan">
      <formula>R29</formula>
    </cfRule>
    <cfRule type="cellIs" dxfId="5952" priority="733" operator="lessThan">
      <formula>R29</formula>
    </cfRule>
  </conditionalFormatting>
  <conditionalFormatting sqref="S30">
    <cfRule type="expression" dxfId="5951" priority="724">
      <formula>R30="-"</formula>
    </cfRule>
    <cfRule type="cellIs" dxfId="5950" priority="725" operator="equal">
      <formula>"-"</formula>
    </cfRule>
    <cfRule type="cellIs" dxfId="5949" priority="726" operator="equal">
      <formula>R30</formula>
    </cfRule>
    <cfRule type="cellIs" dxfId="5948" priority="727" operator="greaterThan">
      <formula>R30</formula>
    </cfRule>
    <cfRule type="cellIs" dxfId="5947" priority="728" operator="lessThan">
      <formula>R30</formula>
    </cfRule>
  </conditionalFormatting>
  <conditionalFormatting sqref="T29">
    <cfRule type="expression" dxfId="5946" priority="719">
      <formula>S29="-"</formula>
    </cfRule>
    <cfRule type="cellIs" dxfId="5945" priority="720" operator="equal">
      <formula>"-"</formula>
    </cfRule>
    <cfRule type="cellIs" dxfId="5944" priority="721" operator="equal">
      <formula>S29</formula>
    </cfRule>
    <cfRule type="cellIs" dxfId="5943" priority="722" operator="greaterThan">
      <formula>S29</formula>
    </cfRule>
    <cfRule type="cellIs" dxfId="5942" priority="723" operator="lessThan">
      <formula>S29</formula>
    </cfRule>
  </conditionalFormatting>
  <conditionalFormatting sqref="T30">
    <cfRule type="expression" dxfId="5941" priority="714">
      <formula>S30="-"</formula>
    </cfRule>
    <cfRule type="cellIs" dxfId="5940" priority="715" operator="equal">
      <formula>"-"</formula>
    </cfRule>
    <cfRule type="cellIs" dxfId="5939" priority="716" operator="equal">
      <formula>S30</formula>
    </cfRule>
    <cfRule type="cellIs" dxfId="5938" priority="717" operator="greaterThan">
      <formula>S30</formula>
    </cfRule>
    <cfRule type="cellIs" dxfId="5937" priority="718" operator="lessThan">
      <formula>S30</formula>
    </cfRule>
  </conditionalFormatting>
  <conditionalFormatting sqref="U29">
    <cfRule type="expression" dxfId="5936" priority="709">
      <formula>T29="-"</formula>
    </cfRule>
    <cfRule type="cellIs" dxfId="5935" priority="710" operator="equal">
      <formula>"-"</formula>
    </cfRule>
    <cfRule type="cellIs" dxfId="5934" priority="711" operator="equal">
      <formula>T29</formula>
    </cfRule>
    <cfRule type="cellIs" dxfId="5933" priority="712" operator="greaterThan">
      <formula>T29</formula>
    </cfRule>
    <cfRule type="cellIs" dxfId="5932" priority="713" operator="lessThan">
      <formula>T29</formula>
    </cfRule>
  </conditionalFormatting>
  <conditionalFormatting sqref="U30">
    <cfRule type="expression" dxfId="5931" priority="704">
      <formula>T30="-"</formula>
    </cfRule>
    <cfRule type="cellIs" dxfId="5930" priority="705" operator="equal">
      <formula>"-"</formula>
    </cfRule>
    <cfRule type="cellIs" dxfId="5929" priority="706" operator="equal">
      <formula>T30</formula>
    </cfRule>
    <cfRule type="cellIs" dxfId="5928" priority="707" operator="greaterThan">
      <formula>T30</formula>
    </cfRule>
    <cfRule type="cellIs" dxfId="5927" priority="708" operator="lessThan">
      <formula>T30</formula>
    </cfRule>
  </conditionalFormatting>
  <conditionalFormatting sqref="V29">
    <cfRule type="expression" dxfId="5926" priority="699">
      <formula>U29="-"</formula>
    </cfRule>
    <cfRule type="cellIs" dxfId="5925" priority="700" operator="equal">
      <formula>"-"</formula>
    </cfRule>
    <cfRule type="cellIs" dxfId="5924" priority="701" operator="equal">
      <formula>U29</formula>
    </cfRule>
    <cfRule type="cellIs" dxfId="5923" priority="702" operator="greaterThan">
      <formula>U29</formula>
    </cfRule>
    <cfRule type="cellIs" dxfId="5922" priority="703" operator="lessThan">
      <formula>U29</formula>
    </cfRule>
  </conditionalFormatting>
  <conditionalFormatting sqref="V30">
    <cfRule type="expression" dxfId="5921" priority="694">
      <formula>U30="-"</formula>
    </cfRule>
    <cfRule type="cellIs" dxfId="5920" priority="695" operator="equal">
      <formula>"-"</formula>
    </cfRule>
    <cfRule type="cellIs" dxfId="5919" priority="696" operator="equal">
      <formula>U30</formula>
    </cfRule>
    <cfRule type="cellIs" dxfId="5918" priority="697" operator="greaterThan">
      <formula>U30</formula>
    </cfRule>
    <cfRule type="cellIs" dxfId="5917" priority="698" operator="lessThan">
      <formula>U30</formula>
    </cfRule>
  </conditionalFormatting>
  <conditionalFormatting sqref="W29">
    <cfRule type="expression" dxfId="5916" priority="689">
      <formula>V29="-"</formula>
    </cfRule>
    <cfRule type="cellIs" dxfId="5915" priority="690" operator="equal">
      <formula>"-"</formula>
    </cfRule>
    <cfRule type="cellIs" dxfId="5914" priority="691" operator="equal">
      <formula>V29</formula>
    </cfRule>
    <cfRule type="cellIs" dxfId="5913" priority="692" operator="greaterThan">
      <formula>V29</formula>
    </cfRule>
    <cfRule type="cellIs" dxfId="5912" priority="693" operator="lessThan">
      <formula>V29</formula>
    </cfRule>
  </conditionalFormatting>
  <conditionalFormatting sqref="W30">
    <cfRule type="expression" dxfId="5911" priority="684">
      <formula>V30="-"</formula>
    </cfRule>
    <cfRule type="cellIs" dxfId="5910" priority="685" operator="equal">
      <formula>"-"</formula>
    </cfRule>
    <cfRule type="cellIs" dxfId="5909" priority="686" operator="equal">
      <formula>V30</formula>
    </cfRule>
    <cfRule type="cellIs" dxfId="5908" priority="687" operator="greaterThan">
      <formula>V30</formula>
    </cfRule>
    <cfRule type="cellIs" dxfId="5907" priority="688" operator="lessThan">
      <formula>V30</formula>
    </cfRule>
  </conditionalFormatting>
  <conditionalFormatting sqref="X29">
    <cfRule type="expression" dxfId="5906" priority="679">
      <formula>W29="-"</formula>
    </cfRule>
    <cfRule type="cellIs" dxfId="5905" priority="680" operator="equal">
      <formula>"-"</formula>
    </cfRule>
    <cfRule type="cellIs" dxfId="5904" priority="681" operator="equal">
      <formula>W29</formula>
    </cfRule>
    <cfRule type="cellIs" dxfId="5903" priority="682" operator="greaterThan">
      <formula>W29</formula>
    </cfRule>
    <cfRule type="cellIs" dxfId="5902" priority="683" operator="lessThan">
      <formula>W29</formula>
    </cfRule>
  </conditionalFormatting>
  <conditionalFormatting sqref="X30">
    <cfRule type="expression" dxfId="5901" priority="674">
      <formula>W30="-"</formula>
    </cfRule>
    <cfRule type="cellIs" dxfId="5900" priority="675" operator="equal">
      <formula>"-"</formula>
    </cfRule>
    <cfRule type="cellIs" dxfId="5899" priority="676" operator="equal">
      <formula>W30</formula>
    </cfRule>
    <cfRule type="cellIs" dxfId="5898" priority="677" operator="greaterThan">
      <formula>W30</formula>
    </cfRule>
    <cfRule type="cellIs" dxfId="5897" priority="678" operator="lessThan">
      <formula>W30</formula>
    </cfRule>
  </conditionalFormatting>
  <conditionalFormatting sqref="Y29">
    <cfRule type="expression" dxfId="5896" priority="669">
      <formula>X29="-"</formula>
    </cfRule>
    <cfRule type="cellIs" dxfId="5895" priority="670" operator="equal">
      <formula>"-"</formula>
    </cfRule>
    <cfRule type="cellIs" dxfId="5894" priority="671" operator="equal">
      <formula>X29</formula>
    </cfRule>
    <cfRule type="cellIs" dxfId="5893" priority="672" operator="greaterThan">
      <formula>X29</formula>
    </cfRule>
    <cfRule type="cellIs" dxfId="5892" priority="673" operator="lessThan">
      <formula>X29</formula>
    </cfRule>
  </conditionalFormatting>
  <conditionalFormatting sqref="Y30">
    <cfRule type="expression" dxfId="5891" priority="664">
      <formula>X30="-"</formula>
    </cfRule>
    <cfRule type="cellIs" dxfId="5890" priority="665" operator="equal">
      <formula>"-"</formula>
    </cfRule>
    <cfRule type="cellIs" dxfId="5889" priority="666" operator="equal">
      <formula>X30</formula>
    </cfRule>
    <cfRule type="cellIs" dxfId="5888" priority="667" operator="greaterThan">
      <formula>X30</formula>
    </cfRule>
    <cfRule type="cellIs" dxfId="5887" priority="668" operator="lessThan">
      <formula>X30</formula>
    </cfRule>
  </conditionalFormatting>
  <conditionalFormatting sqref="Z29">
    <cfRule type="expression" dxfId="5886" priority="659">
      <formula>Y29="-"</formula>
    </cfRule>
    <cfRule type="cellIs" dxfId="5885" priority="660" operator="equal">
      <formula>"-"</formula>
    </cfRule>
    <cfRule type="cellIs" dxfId="5884" priority="661" operator="equal">
      <formula>Y29</formula>
    </cfRule>
    <cfRule type="cellIs" dxfId="5883" priority="662" operator="greaterThan">
      <formula>Y29</formula>
    </cfRule>
    <cfRule type="cellIs" dxfId="5882" priority="663" operator="lessThan">
      <formula>Y29</formula>
    </cfRule>
  </conditionalFormatting>
  <conditionalFormatting sqref="Z30">
    <cfRule type="expression" dxfId="5881" priority="654">
      <formula>Y30="-"</formula>
    </cfRule>
    <cfRule type="cellIs" dxfId="5880" priority="655" operator="equal">
      <formula>"-"</formula>
    </cfRule>
    <cfRule type="cellIs" dxfId="5879" priority="656" operator="equal">
      <formula>Y30</formula>
    </cfRule>
    <cfRule type="cellIs" dxfId="5878" priority="657" operator="greaterThan">
      <formula>Y30</formula>
    </cfRule>
    <cfRule type="cellIs" dxfId="5877" priority="658" operator="lessThan">
      <formula>Y30</formula>
    </cfRule>
  </conditionalFormatting>
  <conditionalFormatting sqref="AC29">
    <cfRule type="cellIs" dxfId="5876" priority="650" operator="equal">
      <formula>"-"</formula>
    </cfRule>
    <cfRule type="cellIs" dxfId="5875" priority="651" operator="equal">
      <formula>0</formula>
    </cfRule>
    <cfRule type="cellIs" dxfId="5874" priority="652" operator="greaterThan">
      <formula>0</formula>
    </cfRule>
    <cfRule type="cellIs" dxfId="5873" priority="653" operator="lessThan">
      <formula>0</formula>
    </cfRule>
  </conditionalFormatting>
  <conditionalFormatting sqref="AC30">
    <cfRule type="cellIs" dxfId="5872" priority="646" operator="equal">
      <formula>"-"</formula>
    </cfRule>
    <cfRule type="cellIs" dxfId="5871" priority="647" operator="equal">
      <formula>0</formula>
    </cfRule>
    <cfRule type="cellIs" dxfId="5870" priority="648" operator="greaterThan">
      <formula>0</formula>
    </cfRule>
    <cfRule type="cellIs" dxfId="5869" priority="649" operator="lessThan">
      <formula>0</formula>
    </cfRule>
  </conditionalFormatting>
  <conditionalFormatting sqref="AD29">
    <cfRule type="cellIs" dxfId="5868" priority="642" operator="equal">
      <formula>"-"</formula>
    </cfRule>
    <cfRule type="cellIs" dxfId="5867" priority="643" operator="equal">
      <formula>0</formula>
    </cfRule>
    <cfRule type="cellIs" dxfId="5866" priority="644" operator="greaterThan">
      <formula>0</formula>
    </cfRule>
    <cfRule type="cellIs" dxfId="5865" priority="645" operator="lessThan">
      <formula>0</formula>
    </cfRule>
  </conditionalFormatting>
  <conditionalFormatting sqref="AD30">
    <cfRule type="cellIs" dxfId="5864" priority="638" operator="equal">
      <formula>"-"</formula>
    </cfRule>
    <cfRule type="cellIs" dxfId="5863" priority="639" operator="equal">
      <formula>0</formula>
    </cfRule>
    <cfRule type="cellIs" dxfId="5862" priority="640" operator="greaterThan">
      <formula>0</formula>
    </cfRule>
    <cfRule type="cellIs" dxfId="5861" priority="641" operator="lessThan">
      <formula>0</formula>
    </cfRule>
  </conditionalFormatting>
  <conditionalFormatting sqref="AE29">
    <cfRule type="cellIs" dxfId="5860" priority="634" operator="equal">
      <formula>"-"</formula>
    </cfRule>
    <cfRule type="cellIs" dxfId="5859" priority="635" operator="equal">
      <formula>0</formula>
    </cfRule>
    <cfRule type="cellIs" dxfId="5858" priority="636" operator="greaterThan">
      <formula>0</formula>
    </cfRule>
    <cfRule type="cellIs" dxfId="5857" priority="637" operator="lessThan">
      <formula>0</formula>
    </cfRule>
  </conditionalFormatting>
  <conditionalFormatting sqref="AE30">
    <cfRule type="cellIs" dxfId="5856" priority="630" operator="equal">
      <formula>"-"</formula>
    </cfRule>
    <cfRule type="cellIs" dxfId="5855" priority="631" operator="equal">
      <formula>0</formula>
    </cfRule>
    <cfRule type="cellIs" dxfId="5854" priority="632" operator="greaterThan">
      <formula>0</formula>
    </cfRule>
    <cfRule type="cellIs" dxfId="5853" priority="633" operator="lessThan">
      <formula>0</formula>
    </cfRule>
  </conditionalFormatting>
  <conditionalFormatting sqref="AF29">
    <cfRule type="cellIs" dxfId="5852" priority="626" operator="equal">
      <formula>"-"</formula>
    </cfRule>
    <cfRule type="cellIs" dxfId="5851" priority="627" operator="equal">
      <formula>0</formula>
    </cfRule>
    <cfRule type="cellIs" dxfId="5850" priority="628" operator="greaterThan">
      <formula>0</formula>
    </cfRule>
    <cfRule type="cellIs" dxfId="5849" priority="629" operator="lessThan">
      <formula>0</formula>
    </cfRule>
  </conditionalFormatting>
  <conditionalFormatting sqref="AF30">
    <cfRule type="cellIs" dxfId="5848" priority="622" operator="equal">
      <formula>"-"</formula>
    </cfRule>
    <cfRule type="cellIs" dxfId="5847" priority="623" operator="equal">
      <formula>0</formula>
    </cfRule>
    <cfRule type="cellIs" dxfId="5846" priority="624" operator="greaterThan">
      <formula>0</formula>
    </cfRule>
    <cfRule type="cellIs" dxfId="5845" priority="625" operator="lessThan">
      <formula>0</formula>
    </cfRule>
  </conditionalFormatting>
  <conditionalFormatting sqref="AM4">
    <cfRule type="expression" dxfId="5844" priority="617">
      <formula>AL4="-"</formula>
    </cfRule>
    <cfRule type="cellIs" dxfId="5843" priority="618" operator="equal">
      <formula>"-"</formula>
    </cfRule>
    <cfRule type="cellIs" dxfId="5842" priority="619" operator="equal">
      <formula>AL4</formula>
    </cfRule>
    <cfRule type="cellIs" dxfId="5841" priority="620" operator="greaterThan">
      <formula>AL4</formula>
    </cfRule>
    <cfRule type="cellIs" dxfId="5840" priority="621" operator="lessThan">
      <formula>AL4</formula>
    </cfRule>
  </conditionalFormatting>
  <conditionalFormatting sqref="AM5">
    <cfRule type="expression" dxfId="5839" priority="612">
      <formula>AL5="-"</formula>
    </cfRule>
    <cfRule type="cellIs" dxfId="5838" priority="613" operator="equal">
      <formula>"-"</formula>
    </cfRule>
    <cfRule type="cellIs" dxfId="5837" priority="614" operator="equal">
      <formula>AL5</formula>
    </cfRule>
    <cfRule type="cellIs" dxfId="5836" priority="615" operator="greaterThan">
      <formula>AL5</formula>
    </cfRule>
    <cfRule type="cellIs" dxfId="5835" priority="616" operator="lessThan">
      <formula>AL5</formula>
    </cfRule>
  </conditionalFormatting>
  <conditionalFormatting sqref="AM6">
    <cfRule type="expression" dxfId="5834" priority="607">
      <formula>AL6="-"</formula>
    </cfRule>
    <cfRule type="cellIs" dxfId="5833" priority="608" operator="equal">
      <formula>"-"</formula>
    </cfRule>
    <cfRule type="cellIs" dxfId="5832" priority="609" operator="equal">
      <formula>AL6</formula>
    </cfRule>
    <cfRule type="cellIs" dxfId="5831" priority="610" operator="greaterThan">
      <formula>AL6</formula>
    </cfRule>
    <cfRule type="cellIs" dxfId="5830" priority="611" operator="lessThan">
      <formula>AL6</formula>
    </cfRule>
  </conditionalFormatting>
  <conditionalFormatting sqref="AM7">
    <cfRule type="expression" dxfId="5829" priority="602">
      <formula>AL7="-"</formula>
    </cfRule>
    <cfRule type="cellIs" dxfId="5828" priority="603" operator="equal">
      <formula>"-"</formula>
    </cfRule>
    <cfRule type="cellIs" dxfId="5827" priority="604" operator="equal">
      <formula>AL7</formula>
    </cfRule>
    <cfRule type="cellIs" dxfId="5826" priority="605" operator="greaterThan">
      <formula>AL7</formula>
    </cfRule>
    <cfRule type="cellIs" dxfId="5825" priority="606" operator="lessThan">
      <formula>AL7</formula>
    </cfRule>
  </conditionalFormatting>
  <conditionalFormatting sqref="AM8">
    <cfRule type="expression" dxfId="5824" priority="597">
      <formula>AL8="-"</formula>
    </cfRule>
    <cfRule type="cellIs" dxfId="5823" priority="598" operator="equal">
      <formula>"-"</formula>
    </cfRule>
    <cfRule type="cellIs" dxfId="5822" priority="599" operator="equal">
      <formula>AL8</formula>
    </cfRule>
    <cfRule type="cellIs" dxfId="5821" priority="600" operator="greaterThan">
      <formula>AL8</formula>
    </cfRule>
    <cfRule type="cellIs" dxfId="5820" priority="601" operator="lessThan">
      <formula>AL8</formula>
    </cfRule>
  </conditionalFormatting>
  <conditionalFormatting sqref="AM9">
    <cfRule type="expression" dxfId="5819" priority="592">
      <formula>AL9="-"</formula>
    </cfRule>
    <cfRule type="cellIs" dxfId="5818" priority="593" operator="equal">
      <formula>"-"</formula>
    </cfRule>
    <cfRule type="cellIs" dxfId="5817" priority="594" operator="equal">
      <formula>AL9</formula>
    </cfRule>
    <cfRule type="cellIs" dxfId="5816" priority="595" operator="greaterThan">
      <formula>AL9</formula>
    </cfRule>
    <cfRule type="cellIs" dxfId="5815" priority="596" operator="lessThan">
      <formula>AL9</formula>
    </cfRule>
  </conditionalFormatting>
  <conditionalFormatting sqref="AM10">
    <cfRule type="expression" dxfId="5814" priority="587">
      <formula>AL10="-"</formula>
    </cfRule>
    <cfRule type="cellIs" dxfId="5813" priority="588" operator="equal">
      <formula>"-"</formula>
    </cfRule>
    <cfRule type="cellIs" dxfId="5812" priority="589" operator="equal">
      <formula>AL10</formula>
    </cfRule>
    <cfRule type="cellIs" dxfId="5811" priority="590" operator="greaterThan">
      <formula>AL10</formula>
    </cfRule>
    <cfRule type="cellIs" dxfId="5810" priority="591" operator="lessThan">
      <formula>AL10</formula>
    </cfRule>
  </conditionalFormatting>
  <conditionalFormatting sqref="AM11">
    <cfRule type="expression" dxfId="5809" priority="582">
      <formula>AL11="-"</formula>
    </cfRule>
    <cfRule type="cellIs" dxfId="5808" priority="583" operator="equal">
      <formula>"-"</formula>
    </cfRule>
    <cfRule type="cellIs" dxfId="5807" priority="584" operator="equal">
      <formula>AL11</formula>
    </cfRule>
    <cfRule type="cellIs" dxfId="5806" priority="585" operator="greaterThan">
      <formula>AL11</formula>
    </cfRule>
    <cfRule type="cellIs" dxfId="5805" priority="586" operator="lessThan">
      <formula>AL11</formula>
    </cfRule>
  </conditionalFormatting>
  <conditionalFormatting sqref="AM12">
    <cfRule type="expression" dxfId="5804" priority="577">
      <formula>AL12="-"</formula>
    </cfRule>
    <cfRule type="cellIs" dxfId="5803" priority="578" operator="equal">
      <formula>"-"</formula>
    </cfRule>
    <cfRule type="cellIs" dxfId="5802" priority="579" operator="equal">
      <formula>AL12</formula>
    </cfRule>
    <cfRule type="cellIs" dxfId="5801" priority="580" operator="greaterThan">
      <formula>AL12</formula>
    </cfRule>
    <cfRule type="cellIs" dxfId="5800" priority="581" operator="lessThan">
      <formula>AL12</formula>
    </cfRule>
  </conditionalFormatting>
  <conditionalFormatting sqref="AM13">
    <cfRule type="expression" dxfId="5799" priority="572">
      <formula>AL13="-"</formula>
    </cfRule>
    <cfRule type="cellIs" dxfId="5798" priority="573" operator="equal">
      <formula>"-"</formula>
    </cfRule>
    <cfRule type="cellIs" dxfId="5797" priority="574" operator="equal">
      <formula>AL13</formula>
    </cfRule>
    <cfRule type="cellIs" dxfId="5796" priority="575" operator="greaterThan">
      <formula>AL13</formula>
    </cfRule>
    <cfRule type="cellIs" dxfId="5795" priority="576" operator="lessThan">
      <formula>AL13</formula>
    </cfRule>
  </conditionalFormatting>
  <conditionalFormatting sqref="AM14">
    <cfRule type="expression" dxfId="5794" priority="567">
      <formula>AL14="-"</formula>
    </cfRule>
    <cfRule type="cellIs" dxfId="5793" priority="568" operator="equal">
      <formula>"-"</formula>
    </cfRule>
    <cfRule type="cellIs" dxfId="5792" priority="569" operator="equal">
      <formula>AL14</formula>
    </cfRule>
    <cfRule type="cellIs" dxfId="5791" priority="570" operator="greaterThan">
      <formula>AL14</formula>
    </cfRule>
    <cfRule type="cellIs" dxfId="5790" priority="571" operator="lessThan">
      <formula>AL14</formula>
    </cfRule>
  </conditionalFormatting>
  <conditionalFormatting sqref="AM15">
    <cfRule type="expression" dxfId="5789" priority="562">
      <formula>AL15="-"</formula>
    </cfRule>
    <cfRule type="cellIs" dxfId="5788" priority="563" operator="equal">
      <formula>"-"</formula>
    </cfRule>
    <cfRule type="cellIs" dxfId="5787" priority="564" operator="equal">
      <formula>AL15</formula>
    </cfRule>
    <cfRule type="cellIs" dxfId="5786" priority="565" operator="greaterThan">
      <formula>AL15</formula>
    </cfRule>
    <cfRule type="cellIs" dxfId="5785" priority="566" operator="lessThan">
      <formula>AL15</formula>
    </cfRule>
  </conditionalFormatting>
  <conditionalFormatting sqref="AM16">
    <cfRule type="expression" dxfId="5784" priority="557">
      <formula>AL16="-"</formula>
    </cfRule>
    <cfRule type="cellIs" dxfId="5783" priority="558" operator="equal">
      <formula>"-"</formula>
    </cfRule>
    <cfRule type="cellIs" dxfId="5782" priority="559" operator="equal">
      <formula>AL16</formula>
    </cfRule>
    <cfRule type="cellIs" dxfId="5781" priority="560" operator="greaterThan">
      <formula>AL16</formula>
    </cfRule>
    <cfRule type="cellIs" dxfId="5780" priority="561" operator="lessThan">
      <formula>AL16</formula>
    </cfRule>
  </conditionalFormatting>
  <conditionalFormatting sqref="AM17">
    <cfRule type="expression" dxfId="5779" priority="552">
      <formula>AL17="-"</formula>
    </cfRule>
    <cfRule type="cellIs" dxfId="5778" priority="553" operator="equal">
      <formula>"-"</formula>
    </cfRule>
    <cfRule type="cellIs" dxfId="5777" priority="554" operator="equal">
      <formula>AL17</formula>
    </cfRule>
    <cfRule type="cellIs" dxfId="5776" priority="555" operator="greaterThan">
      <formula>AL17</formula>
    </cfRule>
    <cfRule type="cellIs" dxfId="5775" priority="556" operator="lessThan">
      <formula>AL17</formula>
    </cfRule>
  </conditionalFormatting>
  <conditionalFormatting sqref="AM18">
    <cfRule type="expression" dxfId="5774" priority="547">
      <formula>AL18="-"</formula>
    </cfRule>
    <cfRule type="cellIs" dxfId="5773" priority="548" operator="equal">
      <formula>"-"</formula>
    </cfRule>
    <cfRule type="cellIs" dxfId="5772" priority="549" operator="equal">
      <formula>AL18</formula>
    </cfRule>
    <cfRule type="cellIs" dxfId="5771" priority="550" operator="greaterThan">
      <formula>AL18</formula>
    </cfRule>
    <cfRule type="cellIs" dxfId="5770" priority="551" operator="lessThan">
      <formula>AL18</formula>
    </cfRule>
  </conditionalFormatting>
  <conditionalFormatting sqref="AM19">
    <cfRule type="expression" dxfId="5769" priority="542">
      <formula>AL19="-"</formula>
    </cfRule>
    <cfRule type="cellIs" dxfId="5768" priority="543" operator="equal">
      <formula>"-"</formula>
    </cfRule>
    <cfRule type="cellIs" dxfId="5767" priority="544" operator="equal">
      <formula>AL19</formula>
    </cfRule>
    <cfRule type="cellIs" dxfId="5766" priority="545" operator="greaterThan">
      <formula>AL19</formula>
    </cfRule>
    <cfRule type="cellIs" dxfId="5765" priority="546" operator="lessThan">
      <formula>AL19</formula>
    </cfRule>
  </conditionalFormatting>
  <conditionalFormatting sqref="AM20">
    <cfRule type="expression" dxfId="5764" priority="537">
      <formula>AL20="-"</formula>
    </cfRule>
    <cfRule type="cellIs" dxfId="5763" priority="538" operator="equal">
      <formula>"-"</formula>
    </cfRule>
    <cfRule type="cellIs" dxfId="5762" priority="539" operator="equal">
      <formula>AL20</formula>
    </cfRule>
    <cfRule type="cellIs" dxfId="5761" priority="540" operator="greaterThan">
      <formula>AL20</formula>
    </cfRule>
    <cfRule type="cellIs" dxfId="5760" priority="541" operator="lessThan">
      <formula>AL20</formula>
    </cfRule>
  </conditionalFormatting>
  <conditionalFormatting sqref="AM21">
    <cfRule type="expression" dxfId="5759" priority="532">
      <formula>AL21="-"</formula>
    </cfRule>
    <cfRule type="cellIs" dxfId="5758" priority="533" operator="equal">
      <formula>"-"</formula>
    </cfRule>
    <cfRule type="cellIs" dxfId="5757" priority="534" operator="equal">
      <formula>AL21</formula>
    </cfRule>
    <cfRule type="cellIs" dxfId="5756" priority="535" operator="greaterThan">
      <formula>AL21</formula>
    </cfRule>
    <cfRule type="cellIs" dxfId="5755" priority="536" operator="lessThan">
      <formula>AL21</formula>
    </cfRule>
  </conditionalFormatting>
  <conditionalFormatting sqref="AM22">
    <cfRule type="expression" dxfId="5754" priority="527">
      <formula>AL22="-"</formula>
    </cfRule>
    <cfRule type="cellIs" dxfId="5753" priority="528" operator="equal">
      <formula>"-"</formula>
    </cfRule>
    <cfRule type="cellIs" dxfId="5752" priority="529" operator="equal">
      <formula>AL22</formula>
    </cfRule>
    <cfRule type="cellIs" dxfId="5751" priority="530" operator="greaterThan">
      <formula>AL22</formula>
    </cfRule>
    <cfRule type="cellIs" dxfId="5750" priority="531" operator="lessThan">
      <formula>AL22</formula>
    </cfRule>
  </conditionalFormatting>
  <conditionalFormatting sqref="AM23">
    <cfRule type="expression" dxfId="5749" priority="522">
      <formula>AL23="-"</formula>
    </cfRule>
    <cfRule type="cellIs" dxfId="5748" priority="523" operator="equal">
      <formula>"-"</formula>
    </cfRule>
    <cfRule type="cellIs" dxfId="5747" priority="524" operator="equal">
      <formula>AL23</formula>
    </cfRule>
    <cfRule type="cellIs" dxfId="5746" priority="525" operator="greaterThan">
      <formula>AL23</formula>
    </cfRule>
    <cfRule type="cellIs" dxfId="5745" priority="526" operator="lessThan">
      <formula>AL23</formula>
    </cfRule>
  </conditionalFormatting>
  <conditionalFormatting sqref="AM24">
    <cfRule type="expression" dxfId="5744" priority="517">
      <formula>AL24="-"</formula>
    </cfRule>
    <cfRule type="cellIs" dxfId="5743" priority="518" operator="equal">
      <formula>"-"</formula>
    </cfRule>
    <cfRule type="cellIs" dxfId="5742" priority="519" operator="equal">
      <formula>AL24</formula>
    </cfRule>
    <cfRule type="cellIs" dxfId="5741" priority="520" operator="greaterThan">
      <formula>AL24</formula>
    </cfRule>
    <cfRule type="cellIs" dxfId="5740" priority="521" operator="lessThan">
      <formula>AL24</formula>
    </cfRule>
  </conditionalFormatting>
  <conditionalFormatting sqref="AM25">
    <cfRule type="expression" dxfId="5739" priority="512">
      <formula>AL25="-"</formula>
    </cfRule>
    <cfRule type="cellIs" dxfId="5738" priority="513" operator="equal">
      <formula>"-"</formula>
    </cfRule>
    <cfRule type="cellIs" dxfId="5737" priority="514" operator="equal">
      <formula>AL25</formula>
    </cfRule>
    <cfRule type="cellIs" dxfId="5736" priority="515" operator="greaterThan">
      <formula>AL25</formula>
    </cfRule>
    <cfRule type="cellIs" dxfId="5735" priority="516" operator="lessThan">
      <formula>AL25</formula>
    </cfRule>
  </conditionalFormatting>
  <conditionalFormatting sqref="AM26">
    <cfRule type="expression" dxfId="5734" priority="507">
      <formula>AL26="-"</formula>
    </cfRule>
    <cfRule type="cellIs" dxfId="5733" priority="508" operator="equal">
      <formula>"-"</formula>
    </cfRule>
    <cfRule type="cellIs" dxfId="5732" priority="509" operator="equal">
      <formula>AL26</formula>
    </cfRule>
    <cfRule type="cellIs" dxfId="5731" priority="510" operator="greaterThan">
      <formula>AL26</formula>
    </cfRule>
    <cfRule type="cellIs" dxfId="5730" priority="511" operator="lessThan">
      <formula>AL26</formula>
    </cfRule>
  </conditionalFormatting>
  <conditionalFormatting sqref="AM27">
    <cfRule type="expression" dxfId="5729" priority="502">
      <formula>AL27="-"</formula>
    </cfRule>
    <cfRule type="cellIs" dxfId="5728" priority="503" operator="equal">
      <formula>"-"</formula>
    </cfRule>
    <cfRule type="cellIs" dxfId="5727" priority="504" operator="equal">
      <formula>AL27</formula>
    </cfRule>
    <cfRule type="cellIs" dxfId="5726" priority="505" operator="greaterThan">
      <formula>AL27</formula>
    </cfRule>
    <cfRule type="cellIs" dxfId="5725" priority="506" operator="lessThan">
      <formula>AL27</formula>
    </cfRule>
  </conditionalFormatting>
  <conditionalFormatting sqref="AM28">
    <cfRule type="expression" dxfId="5724" priority="497">
      <formula>AL28="-"</formula>
    </cfRule>
    <cfRule type="cellIs" dxfId="5723" priority="498" operator="equal">
      <formula>"-"</formula>
    </cfRule>
    <cfRule type="cellIs" dxfId="5722" priority="499" operator="equal">
      <formula>AL28</formula>
    </cfRule>
    <cfRule type="cellIs" dxfId="5721" priority="500" operator="greaterThan">
      <formula>AL28</formula>
    </cfRule>
    <cfRule type="cellIs" dxfId="5720" priority="501" operator="lessThan">
      <formula>AL28</formula>
    </cfRule>
  </conditionalFormatting>
  <conditionalFormatting sqref="AN4">
    <cfRule type="expression" dxfId="5719" priority="492">
      <formula>AM4="-"</formula>
    </cfRule>
    <cfRule type="cellIs" dxfId="5718" priority="493" operator="equal">
      <formula>"-"</formula>
    </cfRule>
    <cfRule type="cellIs" dxfId="5717" priority="494" operator="equal">
      <formula>AM4</formula>
    </cfRule>
    <cfRule type="cellIs" dxfId="5716" priority="495" operator="greaterThan">
      <formula>AM4</formula>
    </cfRule>
    <cfRule type="cellIs" dxfId="5715" priority="496" operator="lessThan">
      <formula>AM4</formula>
    </cfRule>
  </conditionalFormatting>
  <conditionalFormatting sqref="AN5">
    <cfRule type="expression" dxfId="5714" priority="487">
      <formula>AM5="-"</formula>
    </cfRule>
    <cfRule type="cellIs" dxfId="5713" priority="488" operator="equal">
      <formula>"-"</formula>
    </cfRule>
    <cfRule type="cellIs" dxfId="5712" priority="489" operator="equal">
      <formula>AM5</formula>
    </cfRule>
    <cfRule type="cellIs" dxfId="5711" priority="490" operator="greaterThan">
      <formula>AM5</formula>
    </cfRule>
    <cfRule type="cellIs" dxfId="5710" priority="491" operator="lessThan">
      <formula>AM5</formula>
    </cfRule>
  </conditionalFormatting>
  <conditionalFormatting sqref="AN6">
    <cfRule type="expression" dxfId="5709" priority="482">
      <formula>AM6="-"</formula>
    </cfRule>
    <cfRule type="cellIs" dxfId="5708" priority="483" operator="equal">
      <formula>"-"</formula>
    </cfRule>
    <cfRule type="cellIs" dxfId="5707" priority="484" operator="equal">
      <formula>AM6</formula>
    </cfRule>
    <cfRule type="cellIs" dxfId="5706" priority="485" operator="greaterThan">
      <formula>AM6</formula>
    </cfRule>
    <cfRule type="cellIs" dxfId="5705" priority="486" operator="lessThan">
      <formula>AM6</formula>
    </cfRule>
  </conditionalFormatting>
  <conditionalFormatting sqref="AN7">
    <cfRule type="expression" dxfId="5704" priority="477">
      <formula>AM7="-"</formula>
    </cfRule>
    <cfRule type="cellIs" dxfId="5703" priority="478" operator="equal">
      <formula>"-"</formula>
    </cfRule>
    <cfRule type="cellIs" dxfId="5702" priority="479" operator="equal">
      <formula>AM7</formula>
    </cfRule>
    <cfRule type="cellIs" dxfId="5701" priority="480" operator="greaterThan">
      <formula>AM7</formula>
    </cfRule>
    <cfRule type="cellIs" dxfId="5700" priority="481" operator="lessThan">
      <formula>AM7</formula>
    </cfRule>
  </conditionalFormatting>
  <conditionalFormatting sqref="AN8">
    <cfRule type="expression" dxfId="5699" priority="472">
      <formula>AM8="-"</formula>
    </cfRule>
    <cfRule type="cellIs" dxfId="5698" priority="473" operator="equal">
      <formula>"-"</formula>
    </cfRule>
    <cfRule type="cellIs" dxfId="5697" priority="474" operator="equal">
      <formula>AM8</formula>
    </cfRule>
    <cfRule type="cellIs" dxfId="5696" priority="475" operator="greaterThan">
      <formula>AM8</formula>
    </cfRule>
    <cfRule type="cellIs" dxfId="5695" priority="476" operator="lessThan">
      <formula>AM8</formula>
    </cfRule>
  </conditionalFormatting>
  <conditionalFormatting sqref="AN9">
    <cfRule type="expression" dxfId="5694" priority="467">
      <formula>AM9="-"</formula>
    </cfRule>
    <cfRule type="cellIs" dxfId="5693" priority="468" operator="equal">
      <formula>"-"</formula>
    </cfRule>
    <cfRule type="cellIs" dxfId="5692" priority="469" operator="equal">
      <formula>AM9</formula>
    </cfRule>
    <cfRule type="cellIs" dxfId="5691" priority="470" operator="greaterThan">
      <formula>AM9</formula>
    </cfRule>
    <cfRule type="cellIs" dxfId="5690" priority="471" operator="lessThan">
      <formula>AM9</formula>
    </cfRule>
  </conditionalFormatting>
  <conditionalFormatting sqref="AN10">
    <cfRule type="expression" dxfId="5689" priority="462">
      <formula>AM10="-"</formula>
    </cfRule>
    <cfRule type="cellIs" dxfId="5688" priority="463" operator="equal">
      <formula>"-"</formula>
    </cfRule>
    <cfRule type="cellIs" dxfId="5687" priority="464" operator="equal">
      <formula>AM10</formula>
    </cfRule>
    <cfRule type="cellIs" dxfId="5686" priority="465" operator="greaterThan">
      <formula>AM10</formula>
    </cfRule>
    <cfRule type="cellIs" dxfId="5685" priority="466" operator="lessThan">
      <formula>AM10</formula>
    </cfRule>
  </conditionalFormatting>
  <conditionalFormatting sqref="AN11">
    <cfRule type="expression" dxfId="5684" priority="457">
      <formula>AM11="-"</formula>
    </cfRule>
    <cfRule type="cellIs" dxfId="5683" priority="458" operator="equal">
      <formula>"-"</formula>
    </cfRule>
    <cfRule type="cellIs" dxfId="5682" priority="459" operator="equal">
      <formula>AM11</formula>
    </cfRule>
    <cfRule type="cellIs" dxfId="5681" priority="460" operator="greaterThan">
      <formula>AM11</formula>
    </cfRule>
    <cfRule type="cellIs" dxfId="5680" priority="461" operator="lessThan">
      <formula>AM11</formula>
    </cfRule>
  </conditionalFormatting>
  <conditionalFormatting sqref="AN12">
    <cfRule type="expression" dxfId="5679" priority="452">
      <formula>AM12="-"</formula>
    </cfRule>
    <cfRule type="cellIs" dxfId="5678" priority="453" operator="equal">
      <formula>"-"</formula>
    </cfRule>
    <cfRule type="cellIs" dxfId="5677" priority="454" operator="equal">
      <formula>AM12</formula>
    </cfRule>
    <cfRule type="cellIs" dxfId="5676" priority="455" operator="greaterThan">
      <formula>AM12</formula>
    </cfRule>
    <cfRule type="cellIs" dxfId="5675" priority="456" operator="lessThan">
      <formula>AM12</formula>
    </cfRule>
  </conditionalFormatting>
  <conditionalFormatting sqref="AN13">
    <cfRule type="expression" dxfId="5674" priority="447">
      <formula>AM13="-"</formula>
    </cfRule>
    <cfRule type="cellIs" dxfId="5673" priority="448" operator="equal">
      <formula>"-"</formula>
    </cfRule>
    <cfRule type="cellIs" dxfId="5672" priority="449" operator="equal">
      <formula>AM13</formula>
    </cfRule>
    <cfRule type="cellIs" dxfId="5671" priority="450" operator="greaterThan">
      <formula>AM13</formula>
    </cfRule>
    <cfRule type="cellIs" dxfId="5670" priority="451" operator="lessThan">
      <formula>AM13</formula>
    </cfRule>
  </conditionalFormatting>
  <conditionalFormatting sqref="AN14">
    <cfRule type="expression" dxfId="5669" priority="442">
      <formula>AM14="-"</formula>
    </cfRule>
    <cfRule type="cellIs" dxfId="5668" priority="443" operator="equal">
      <formula>"-"</formula>
    </cfRule>
    <cfRule type="cellIs" dxfId="5667" priority="444" operator="equal">
      <formula>AM14</formula>
    </cfRule>
    <cfRule type="cellIs" dxfId="5666" priority="445" operator="greaterThan">
      <formula>AM14</formula>
    </cfRule>
    <cfRule type="cellIs" dxfId="5665" priority="446" operator="lessThan">
      <formula>AM14</formula>
    </cfRule>
  </conditionalFormatting>
  <conditionalFormatting sqref="AN15">
    <cfRule type="expression" dxfId="5664" priority="437">
      <formula>AM15="-"</formula>
    </cfRule>
    <cfRule type="cellIs" dxfId="5663" priority="438" operator="equal">
      <formula>"-"</formula>
    </cfRule>
    <cfRule type="cellIs" dxfId="5662" priority="439" operator="equal">
      <formula>AM15</formula>
    </cfRule>
    <cfRule type="cellIs" dxfId="5661" priority="440" operator="greaterThan">
      <formula>AM15</formula>
    </cfRule>
    <cfRule type="cellIs" dxfId="5660" priority="441" operator="lessThan">
      <formula>AM15</formula>
    </cfRule>
  </conditionalFormatting>
  <conditionalFormatting sqref="AN16">
    <cfRule type="expression" dxfId="5659" priority="432">
      <formula>AM16="-"</formula>
    </cfRule>
    <cfRule type="cellIs" dxfId="5658" priority="433" operator="equal">
      <formula>"-"</formula>
    </cfRule>
    <cfRule type="cellIs" dxfId="5657" priority="434" operator="equal">
      <formula>AM16</formula>
    </cfRule>
    <cfRule type="cellIs" dxfId="5656" priority="435" operator="greaterThan">
      <formula>AM16</formula>
    </cfRule>
    <cfRule type="cellIs" dxfId="5655" priority="436" operator="lessThan">
      <formula>AM16</formula>
    </cfRule>
  </conditionalFormatting>
  <conditionalFormatting sqref="AN17">
    <cfRule type="expression" dxfId="5654" priority="427">
      <formula>AM17="-"</formula>
    </cfRule>
    <cfRule type="cellIs" dxfId="5653" priority="428" operator="equal">
      <formula>"-"</formula>
    </cfRule>
    <cfRule type="cellIs" dxfId="5652" priority="429" operator="equal">
      <formula>AM17</formula>
    </cfRule>
    <cfRule type="cellIs" dxfId="5651" priority="430" operator="greaterThan">
      <formula>AM17</formula>
    </cfRule>
    <cfRule type="cellIs" dxfId="5650" priority="431" operator="lessThan">
      <formula>AM17</formula>
    </cfRule>
  </conditionalFormatting>
  <conditionalFormatting sqref="AN18">
    <cfRule type="expression" dxfId="5649" priority="422">
      <formula>AM18="-"</formula>
    </cfRule>
    <cfRule type="cellIs" dxfId="5648" priority="423" operator="equal">
      <formula>"-"</formula>
    </cfRule>
    <cfRule type="cellIs" dxfId="5647" priority="424" operator="equal">
      <formula>AM18</formula>
    </cfRule>
    <cfRule type="cellIs" dxfId="5646" priority="425" operator="greaterThan">
      <formula>AM18</formula>
    </cfRule>
    <cfRule type="cellIs" dxfId="5645" priority="426" operator="lessThan">
      <formula>AM18</formula>
    </cfRule>
  </conditionalFormatting>
  <conditionalFormatting sqref="AN19">
    <cfRule type="expression" dxfId="5644" priority="417">
      <formula>AM19="-"</formula>
    </cfRule>
    <cfRule type="cellIs" dxfId="5643" priority="418" operator="equal">
      <formula>"-"</formula>
    </cfRule>
    <cfRule type="cellIs" dxfId="5642" priority="419" operator="equal">
      <formula>AM19</formula>
    </cfRule>
    <cfRule type="cellIs" dxfId="5641" priority="420" operator="greaterThan">
      <formula>AM19</formula>
    </cfRule>
    <cfRule type="cellIs" dxfId="5640" priority="421" operator="lessThan">
      <formula>AM19</formula>
    </cfRule>
  </conditionalFormatting>
  <conditionalFormatting sqref="AN20">
    <cfRule type="expression" dxfId="5639" priority="412">
      <formula>AM20="-"</formula>
    </cfRule>
    <cfRule type="cellIs" dxfId="5638" priority="413" operator="equal">
      <formula>"-"</formula>
    </cfRule>
    <cfRule type="cellIs" dxfId="5637" priority="414" operator="equal">
      <formula>AM20</formula>
    </cfRule>
    <cfRule type="cellIs" dxfId="5636" priority="415" operator="greaterThan">
      <formula>AM20</formula>
    </cfRule>
    <cfRule type="cellIs" dxfId="5635" priority="416" operator="lessThan">
      <formula>AM20</formula>
    </cfRule>
  </conditionalFormatting>
  <conditionalFormatting sqref="AN21">
    <cfRule type="expression" dxfId="5634" priority="407">
      <formula>AM21="-"</formula>
    </cfRule>
    <cfRule type="cellIs" dxfId="5633" priority="408" operator="equal">
      <formula>"-"</formula>
    </cfRule>
    <cfRule type="cellIs" dxfId="5632" priority="409" operator="equal">
      <formula>AM21</formula>
    </cfRule>
    <cfRule type="cellIs" dxfId="5631" priority="410" operator="greaterThan">
      <formula>AM21</formula>
    </cfRule>
    <cfRule type="cellIs" dxfId="5630" priority="411" operator="lessThan">
      <formula>AM21</formula>
    </cfRule>
  </conditionalFormatting>
  <conditionalFormatting sqref="AN22">
    <cfRule type="expression" dxfId="5629" priority="402">
      <formula>AM22="-"</formula>
    </cfRule>
    <cfRule type="cellIs" dxfId="5628" priority="403" operator="equal">
      <formula>"-"</formula>
    </cfRule>
    <cfRule type="cellIs" dxfId="5627" priority="404" operator="equal">
      <formula>AM22</formula>
    </cfRule>
    <cfRule type="cellIs" dxfId="5626" priority="405" operator="greaterThan">
      <formula>AM22</formula>
    </cfRule>
    <cfRule type="cellIs" dxfId="5625" priority="406" operator="lessThan">
      <formula>AM22</formula>
    </cfRule>
  </conditionalFormatting>
  <conditionalFormatting sqref="AN23">
    <cfRule type="expression" dxfId="5624" priority="397">
      <formula>AM23="-"</formula>
    </cfRule>
    <cfRule type="cellIs" dxfId="5623" priority="398" operator="equal">
      <formula>"-"</formula>
    </cfRule>
    <cfRule type="cellIs" dxfId="5622" priority="399" operator="equal">
      <formula>AM23</formula>
    </cfRule>
    <cfRule type="cellIs" dxfId="5621" priority="400" operator="greaterThan">
      <formula>AM23</formula>
    </cfRule>
    <cfRule type="cellIs" dxfId="5620" priority="401" operator="lessThan">
      <formula>AM23</formula>
    </cfRule>
  </conditionalFormatting>
  <conditionalFormatting sqref="AN24">
    <cfRule type="expression" dxfId="5619" priority="392">
      <formula>AM24="-"</formula>
    </cfRule>
    <cfRule type="cellIs" dxfId="5618" priority="393" operator="equal">
      <formula>"-"</formula>
    </cfRule>
    <cfRule type="cellIs" dxfId="5617" priority="394" operator="equal">
      <formula>AM24</formula>
    </cfRule>
    <cfRule type="cellIs" dxfId="5616" priority="395" operator="greaterThan">
      <formula>AM24</formula>
    </cfRule>
    <cfRule type="cellIs" dxfId="5615" priority="396" operator="lessThan">
      <formula>AM24</formula>
    </cfRule>
  </conditionalFormatting>
  <conditionalFormatting sqref="AN25">
    <cfRule type="expression" dxfId="5614" priority="387">
      <formula>AM25="-"</formula>
    </cfRule>
    <cfRule type="cellIs" dxfId="5613" priority="388" operator="equal">
      <formula>"-"</formula>
    </cfRule>
    <cfRule type="cellIs" dxfId="5612" priority="389" operator="equal">
      <formula>AM25</formula>
    </cfRule>
    <cfRule type="cellIs" dxfId="5611" priority="390" operator="greaterThan">
      <formula>AM25</formula>
    </cfRule>
    <cfRule type="cellIs" dxfId="5610" priority="391" operator="lessThan">
      <formula>AM25</formula>
    </cfRule>
  </conditionalFormatting>
  <conditionalFormatting sqref="AN26">
    <cfRule type="expression" dxfId="5609" priority="382">
      <formula>AM26="-"</formula>
    </cfRule>
    <cfRule type="cellIs" dxfId="5608" priority="383" operator="equal">
      <formula>"-"</formula>
    </cfRule>
    <cfRule type="cellIs" dxfId="5607" priority="384" operator="equal">
      <formula>AM26</formula>
    </cfRule>
    <cfRule type="cellIs" dxfId="5606" priority="385" operator="greaterThan">
      <formula>AM26</formula>
    </cfRule>
    <cfRule type="cellIs" dxfId="5605" priority="386" operator="lessThan">
      <formula>AM26</formula>
    </cfRule>
  </conditionalFormatting>
  <conditionalFormatting sqref="AN27">
    <cfRule type="expression" dxfId="5604" priority="377">
      <formula>AM27="-"</formula>
    </cfRule>
    <cfRule type="cellIs" dxfId="5603" priority="378" operator="equal">
      <formula>"-"</formula>
    </cfRule>
    <cfRule type="cellIs" dxfId="5602" priority="379" operator="equal">
      <formula>AM27</formula>
    </cfRule>
    <cfRule type="cellIs" dxfId="5601" priority="380" operator="greaterThan">
      <formula>AM27</formula>
    </cfRule>
    <cfRule type="cellIs" dxfId="5600" priority="381" operator="lessThan">
      <formula>AM27</formula>
    </cfRule>
  </conditionalFormatting>
  <conditionalFormatting sqref="AN28">
    <cfRule type="expression" dxfId="5599" priority="372">
      <formula>AM28="-"</formula>
    </cfRule>
    <cfRule type="cellIs" dxfId="5598" priority="373" operator="equal">
      <formula>"-"</formula>
    </cfRule>
    <cfRule type="cellIs" dxfId="5597" priority="374" operator="equal">
      <formula>AM28</formula>
    </cfRule>
    <cfRule type="cellIs" dxfId="5596" priority="375" operator="greaterThan">
      <formula>AM28</formula>
    </cfRule>
    <cfRule type="cellIs" dxfId="5595" priority="376" operator="lessThan">
      <formula>AM28</formula>
    </cfRule>
  </conditionalFormatting>
  <conditionalFormatting sqref="AO4">
    <cfRule type="expression" dxfId="5594" priority="367">
      <formula>AN4="-"</formula>
    </cfRule>
    <cfRule type="cellIs" dxfId="5593" priority="368" operator="equal">
      <formula>"-"</formula>
    </cfRule>
    <cfRule type="cellIs" dxfId="5592" priority="369" operator="equal">
      <formula>AN4</formula>
    </cfRule>
    <cfRule type="cellIs" dxfId="5591" priority="370" operator="greaterThan">
      <formula>AN4</formula>
    </cfRule>
    <cfRule type="cellIs" dxfId="5590" priority="371" operator="lessThan">
      <formula>AN4</formula>
    </cfRule>
  </conditionalFormatting>
  <conditionalFormatting sqref="AO5">
    <cfRule type="expression" dxfId="5589" priority="362">
      <formula>AN5="-"</formula>
    </cfRule>
    <cfRule type="cellIs" dxfId="5588" priority="363" operator="equal">
      <formula>"-"</formula>
    </cfRule>
    <cfRule type="cellIs" dxfId="5587" priority="364" operator="equal">
      <formula>AN5</formula>
    </cfRule>
    <cfRule type="cellIs" dxfId="5586" priority="365" operator="greaterThan">
      <formula>AN5</formula>
    </cfRule>
    <cfRule type="cellIs" dxfId="5585" priority="366" operator="lessThan">
      <formula>AN5</formula>
    </cfRule>
  </conditionalFormatting>
  <conditionalFormatting sqref="AO6">
    <cfRule type="expression" dxfId="5584" priority="357">
      <formula>AN6="-"</formula>
    </cfRule>
    <cfRule type="cellIs" dxfId="5583" priority="358" operator="equal">
      <formula>"-"</formula>
    </cfRule>
    <cfRule type="cellIs" dxfId="5582" priority="359" operator="equal">
      <formula>AN6</formula>
    </cfRule>
    <cfRule type="cellIs" dxfId="5581" priority="360" operator="greaterThan">
      <formula>AN6</formula>
    </cfRule>
    <cfRule type="cellIs" dxfId="5580" priority="361" operator="lessThan">
      <formula>AN6</formula>
    </cfRule>
  </conditionalFormatting>
  <conditionalFormatting sqref="AO7">
    <cfRule type="expression" dxfId="5579" priority="352">
      <formula>AN7="-"</formula>
    </cfRule>
    <cfRule type="cellIs" dxfId="5578" priority="353" operator="equal">
      <formula>"-"</formula>
    </cfRule>
    <cfRule type="cellIs" dxfId="5577" priority="354" operator="equal">
      <formula>AN7</formula>
    </cfRule>
    <cfRule type="cellIs" dxfId="5576" priority="355" operator="greaterThan">
      <formula>AN7</formula>
    </cfRule>
    <cfRule type="cellIs" dxfId="5575" priority="356" operator="lessThan">
      <formula>AN7</formula>
    </cfRule>
  </conditionalFormatting>
  <conditionalFormatting sqref="AO8">
    <cfRule type="expression" dxfId="5574" priority="347">
      <formula>AN8="-"</formula>
    </cfRule>
    <cfRule type="cellIs" dxfId="5573" priority="348" operator="equal">
      <formula>"-"</formula>
    </cfRule>
    <cfRule type="cellIs" dxfId="5572" priority="349" operator="equal">
      <formula>AN8</formula>
    </cfRule>
    <cfRule type="cellIs" dxfId="5571" priority="350" operator="greaterThan">
      <formula>AN8</formula>
    </cfRule>
    <cfRule type="cellIs" dxfId="5570" priority="351" operator="lessThan">
      <formula>AN8</formula>
    </cfRule>
  </conditionalFormatting>
  <conditionalFormatting sqref="AO9">
    <cfRule type="expression" dxfId="5569" priority="342">
      <formula>AN9="-"</formula>
    </cfRule>
    <cfRule type="cellIs" dxfId="5568" priority="343" operator="equal">
      <formula>"-"</formula>
    </cfRule>
    <cfRule type="cellIs" dxfId="5567" priority="344" operator="equal">
      <formula>AN9</formula>
    </cfRule>
    <cfRule type="cellIs" dxfId="5566" priority="345" operator="greaterThan">
      <formula>AN9</formula>
    </cfRule>
    <cfRule type="cellIs" dxfId="5565" priority="346" operator="lessThan">
      <formula>AN9</formula>
    </cfRule>
  </conditionalFormatting>
  <conditionalFormatting sqref="AO10">
    <cfRule type="expression" dxfId="5564" priority="337">
      <formula>AN10="-"</formula>
    </cfRule>
    <cfRule type="cellIs" dxfId="5563" priority="338" operator="equal">
      <formula>"-"</formula>
    </cfRule>
    <cfRule type="cellIs" dxfId="5562" priority="339" operator="equal">
      <formula>AN10</formula>
    </cfRule>
    <cfRule type="cellIs" dxfId="5561" priority="340" operator="greaterThan">
      <formula>AN10</formula>
    </cfRule>
    <cfRule type="cellIs" dxfId="5560" priority="341" operator="lessThan">
      <formula>AN10</formula>
    </cfRule>
  </conditionalFormatting>
  <conditionalFormatting sqref="AO11">
    <cfRule type="expression" dxfId="5559" priority="332">
      <formula>AN11="-"</formula>
    </cfRule>
    <cfRule type="cellIs" dxfId="5558" priority="333" operator="equal">
      <formula>"-"</formula>
    </cfRule>
    <cfRule type="cellIs" dxfId="5557" priority="334" operator="equal">
      <formula>AN11</formula>
    </cfRule>
    <cfRule type="cellIs" dxfId="5556" priority="335" operator="greaterThan">
      <formula>AN11</formula>
    </cfRule>
    <cfRule type="cellIs" dxfId="5555" priority="336" operator="lessThan">
      <formula>AN11</formula>
    </cfRule>
  </conditionalFormatting>
  <conditionalFormatting sqref="AO12">
    <cfRule type="expression" dxfId="5554" priority="327">
      <formula>AN12="-"</formula>
    </cfRule>
    <cfRule type="cellIs" dxfId="5553" priority="328" operator="equal">
      <formula>"-"</formula>
    </cfRule>
    <cfRule type="cellIs" dxfId="5552" priority="329" operator="equal">
      <formula>AN12</formula>
    </cfRule>
    <cfRule type="cellIs" dxfId="5551" priority="330" operator="greaterThan">
      <formula>AN12</formula>
    </cfRule>
    <cfRule type="cellIs" dxfId="5550" priority="331" operator="lessThan">
      <formula>AN12</formula>
    </cfRule>
  </conditionalFormatting>
  <conditionalFormatting sqref="AO13">
    <cfRule type="expression" dxfId="5549" priority="322">
      <formula>AN13="-"</formula>
    </cfRule>
    <cfRule type="cellIs" dxfId="5548" priority="323" operator="equal">
      <formula>"-"</formula>
    </cfRule>
    <cfRule type="cellIs" dxfId="5547" priority="324" operator="equal">
      <formula>AN13</formula>
    </cfRule>
    <cfRule type="cellIs" dxfId="5546" priority="325" operator="greaterThan">
      <formula>AN13</formula>
    </cfRule>
    <cfRule type="cellIs" dxfId="5545" priority="326" operator="lessThan">
      <formula>AN13</formula>
    </cfRule>
  </conditionalFormatting>
  <conditionalFormatting sqref="AO14">
    <cfRule type="expression" dxfId="5544" priority="317">
      <formula>AN14="-"</formula>
    </cfRule>
    <cfRule type="cellIs" dxfId="5543" priority="318" operator="equal">
      <formula>"-"</formula>
    </cfRule>
    <cfRule type="cellIs" dxfId="5542" priority="319" operator="equal">
      <formula>AN14</formula>
    </cfRule>
    <cfRule type="cellIs" dxfId="5541" priority="320" operator="greaterThan">
      <formula>AN14</formula>
    </cfRule>
    <cfRule type="cellIs" dxfId="5540" priority="321" operator="lessThan">
      <formula>AN14</formula>
    </cfRule>
  </conditionalFormatting>
  <conditionalFormatting sqref="AO15">
    <cfRule type="expression" dxfId="5539" priority="312">
      <formula>AN15="-"</formula>
    </cfRule>
    <cfRule type="cellIs" dxfId="5538" priority="313" operator="equal">
      <formula>"-"</formula>
    </cfRule>
    <cfRule type="cellIs" dxfId="5537" priority="314" operator="equal">
      <formula>AN15</formula>
    </cfRule>
    <cfRule type="cellIs" dxfId="5536" priority="315" operator="greaterThan">
      <formula>AN15</formula>
    </cfRule>
    <cfRule type="cellIs" dxfId="5535" priority="316" operator="lessThan">
      <formula>AN15</formula>
    </cfRule>
  </conditionalFormatting>
  <conditionalFormatting sqref="AO16">
    <cfRule type="expression" dxfId="5534" priority="307">
      <formula>AN16="-"</formula>
    </cfRule>
    <cfRule type="cellIs" dxfId="5533" priority="308" operator="equal">
      <formula>"-"</formula>
    </cfRule>
    <cfRule type="cellIs" dxfId="5532" priority="309" operator="equal">
      <formula>AN16</formula>
    </cfRule>
    <cfRule type="cellIs" dxfId="5531" priority="310" operator="greaterThan">
      <formula>AN16</formula>
    </cfRule>
    <cfRule type="cellIs" dxfId="5530" priority="311" operator="lessThan">
      <formula>AN16</formula>
    </cfRule>
  </conditionalFormatting>
  <conditionalFormatting sqref="AO17">
    <cfRule type="expression" dxfId="5529" priority="302">
      <formula>AN17="-"</formula>
    </cfRule>
    <cfRule type="cellIs" dxfId="5528" priority="303" operator="equal">
      <formula>"-"</formula>
    </cfRule>
    <cfRule type="cellIs" dxfId="5527" priority="304" operator="equal">
      <formula>AN17</formula>
    </cfRule>
    <cfRule type="cellIs" dxfId="5526" priority="305" operator="greaterThan">
      <formula>AN17</formula>
    </cfRule>
    <cfRule type="cellIs" dxfId="5525" priority="306" operator="lessThan">
      <formula>AN17</formula>
    </cfRule>
  </conditionalFormatting>
  <conditionalFormatting sqref="AO18">
    <cfRule type="expression" dxfId="5524" priority="297">
      <formula>AN18="-"</formula>
    </cfRule>
    <cfRule type="cellIs" dxfId="5523" priority="298" operator="equal">
      <formula>"-"</formula>
    </cfRule>
    <cfRule type="cellIs" dxfId="5522" priority="299" operator="equal">
      <formula>AN18</formula>
    </cfRule>
    <cfRule type="cellIs" dxfId="5521" priority="300" operator="greaterThan">
      <formula>AN18</formula>
    </cfRule>
    <cfRule type="cellIs" dxfId="5520" priority="301" operator="lessThan">
      <formula>AN18</formula>
    </cfRule>
  </conditionalFormatting>
  <conditionalFormatting sqref="AO19">
    <cfRule type="expression" dxfId="5519" priority="292">
      <formula>AN19="-"</formula>
    </cfRule>
    <cfRule type="cellIs" dxfId="5518" priority="293" operator="equal">
      <formula>"-"</formula>
    </cfRule>
    <cfRule type="cellIs" dxfId="5517" priority="294" operator="equal">
      <formula>AN19</formula>
    </cfRule>
    <cfRule type="cellIs" dxfId="5516" priority="295" operator="greaterThan">
      <formula>AN19</formula>
    </cfRule>
    <cfRule type="cellIs" dxfId="5515" priority="296" operator="lessThan">
      <formula>AN19</formula>
    </cfRule>
  </conditionalFormatting>
  <conditionalFormatting sqref="AO20">
    <cfRule type="expression" dxfId="5514" priority="287">
      <formula>AN20="-"</formula>
    </cfRule>
    <cfRule type="cellIs" dxfId="5513" priority="288" operator="equal">
      <formula>"-"</formula>
    </cfRule>
    <cfRule type="cellIs" dxfId="5512" priority="289" operator="equal">
      <formula>AN20</formula>
    </cfRule>
    <cfRule type="cellIs" dxfId="5511" priority="290" operator="greaterThan">
      <formula>AN20</formula>
    </cfRule>
    <cfRule type="cellIs" dxfId="5510" priority="291" operator="lessThan">
      <formula>AN20</formula>
    </cfRule>
  </conditionalFormatting>
  <conditionalFormatting sqref="AO21">
    <cfRule type="expression" dxfId="5509" priority="282">
      <formula>AN21="-"</formula>
    </cfRule>
    <cfRule type="cellIs" dxfId="5508" priority="283" operator="equal">
      <formula>"-"</formula>
    </cfRule>
    <cfRule type="cellIs" dxfId="5507" priority="284" operator="equal">
      <formula>AN21</formula>
    </cfRule>
    <cfRule type="cellIs" dxfId="5506" priority="285" operator="greaterThan">
      <formula>AN21</formula>
    </cfRule>
    <cfRule type="cellIs" dxfId="5505" priority="286" operator="lessThan">
      <formula>AN21</formula>
    </cfRule>
  </conditionalFormatting>
  <conditionalFormatting sqref="AO22">
    <cfRule type="expression" dxfId="5504" priority="277">
      <formula>AN22="-"</formula>
    </cfRule>
    <cfRule type="cellIs" dxfId="5503" priority="278" operator="equal">
      <formula>"-"</formula>
    </cfRule>
    <cfRule type="cellIs" dxfId="5502" priority="279" operator="equal">
      <formula>AN22</formula>
    </cfRule>
    <cfRule type="cellIs" dxfId="5501" priority="280" operator="greaterThan">
      <formula>AN22</formula>
    </cfRule>
    <cfRule type="cellIs" dxfId="5500" priority="281" operator="lessThan">
      <formula>AN22</formula>
    </cfRule>
  </conditionalFormatting>
  <conditionalFormatting sqref="AO23">
    <cfRule type="expression" dxfId="5499" priority="272">
      <formula>AN23="-"</formula>
    </cfRule>
    <cfRule type="cellIs" dxfId="5498" priority="273" operator="equal">
      <formula>"-"</formula>
    </cfRule>
    <cfRule type="cellIs" dxfId="5497" priority="274" operator="equal">
      <formula>AN23</formula>
    </cfRule>
    <cfRule type="cellIs" dxfId="5496" priority="275" operator="greaterThan">
      <formula>AN23</formula>
    </cfRule>
    <cfRule type="cellIs" dxfId="5495" priority="276" operator="lessThan">
      <formula>AN23</formula>
    </cfRule>
  </conditionalFormatting>
  <conditionalFormatting sqref="AO24">
    <cfRule type="expression" dxfId="5494" priority="267">
      <formula>AN24="-"</formula>
    </cfRule>
    <cfRule type="cellIs" dxfId="5493" priority="268" operator="equal">
      <formula>"-"</formula>
    </cfRule>
    <cfRule type="cellIs" dxfId="5492" priority="269" operator="equal">
      <formula>AN24</formula>
    </cfRule>
    <cfRule type="cellIs" dxfId="5491" priority="270" operator="greaterThan">
      <formula>AN24</formula>
    </cfRule>
    <cfRule type="cellIs" dxfId="5490" priority="271" operator="lessThan">
      <formula>AN24</formula>
    </cfRule>
  </conditionalFormatting>
  <conditionalFormatting sqref="AO25">
    <cfRule type="expression" dxfId="5489" priority="262">
      <formula>AN25="-"</formula>
    </cfRule>
    <cfRule type="cellIs" dxfId="5488" priority="263" operator="equal">
      <formula>"-"</formula>
    </cfRule>
    <cfRule type="cellIs" dxfId="5487" priority="264" operator="equal">
      <formula>AN25</formula>
    </cfRule>
    <cfRule type="cellIs" dxfId="5486" priority="265" operator="greaterThan">
      <formula>AN25</formula>
    </cfRule>
    <cfRule type="cellIs" dxfId="5485" priority="266" operator="lessThan">
      <formula>AN25</formula>
    </cfRule>
  </conditionalFormatting>
  <conditionalFormatting sqref="AO26">
    <cfRule type="expression" dxfId="5484" priority="257">
      <formula>AN26="-"</formula>
    </cfRule>
    <cfRule type="cellIs" dxfId="5483" priority="258" operator="equal">
      <formula>"-"</formula>
    </cfRule>
    <cfRule type="cellIs" dxfId="5482" priority="259" operator="equal">
      <formula>AN26</formula>
    </cfRule>
    <cfRule type="cellIs" dxfId="5481" priority="260" operator="greaterThan">
      <formula>AN26</formula>
    </cfRule>
    <cfRule type="cellIs" dxfId="5480" priority="261" operator="lessThan">
      <formula>AN26</formula>
    </cfRule>
  </conditionalFormatting>
  <conditionalFormatting sqref="AO27">
    <cfRule type="expression" dxfId="5479" priority="252">
      <formula>AN27="-"</formula>
    </cfRule>
    <cfRule type="cellIs" dxfId="5478" priority="253" operator="equal">
      <formula>"-"</formula>
    </cfRule>
    <cfRule type="cellIs" dxfId="5477" priority="254" operator="equal">
      <formula>AN27</formula>
    </cfRule>
    <cfRule type="cellIs" dxfId="5476" priority="255" operator="greaterThan">
      <formula>AN27</formula>
    </cfRule>
    <cfRule type="cellIs" dxfId="5475" priority="256" operator="lessThan">
      <formula>AN27</formula>
    </cfRule>
  </conditionalFormatting>
  <conditionalFormatting sqref="AO28">
    <cfRule type="expression" dxfId="5474" priority="247">
      <formula>AN28="-"</formula>
    </cfRule>
    <cfRule type="cellIs" dxfId="5473" priority="248" operator="equal">
      <formula>"-"</formula>
    </cfRule>
    <cfRule type="cellIs" dxfId="5472" priority="249" operator="equal">
      <formula>AN28</formula>
    </cfRule>
    <cfRule type="cellIs" dxfId="5471" priority="250" operator="greaterThan">
      <formula>AN28</formula>
    </cfRule>
    <cfRule type="cellIs" dxfId="5470" priority="251" operator="lessThan">
      <formula>AN28</formula>
    </cfRule>
  </conditionalFormatting>
  <conditionalFormatting sqref="AQ4">
    <cfRule type="cellIs" dxfId="5469" priority="243" operator="equal">
      <formula>"-"</formula>
    </cfRule>
    <cfRule type="cellIs" dxfId="5468" priority="244" operator="equal">
      <formula>0</formula>
    </cfRule>
    <cfRule type="cellIs" dxfId="5467" priority="245" operator="greaterThan">
      <formula>0</formula>
    </cfRule>
    <cfRule type="cellIs" dxfId="5466" priority="246" operator="lessThan">
      <formula>0</formula>
    </cfRule>
  </conditionalFormatting>
  <conditionalFormatting sqref="AQ5">
    <cfRule type="cellIs" dxfId="5465" priority="239" operator="equal">
      <formula>"-"</formula>
    </cfRule>
    <cfRule type="cellIs" dxfId="5464" priority="240" operator="equal">
      <formula>0</formula>
    </cfRule>
    <cfRule type="cellIs" dxfId="5463" priority="241" operator="greaterThan">
      <formula>0</formula>
    </cfRule>
    <cfRule type="cellIs" dxfId="5462" priority="242" operator="lessThan">
      <formula>0</formula>
    </cfRule>
  </conditionalFormatting>
  <conditionalFormatting sqref="AQ6">
    <cfRule type="cellIs" dxfId="5461" priority="235" operator="equal">
      <formula>"-"</formula>
    </cfRule>
    <cfRule type="cellIs" dxfId="5460" priority="236" operator="equal">
      <formula>0</formula>
    </cfRule>
    <cfRule type="cellIs" dxfId="5459" priority="237" operator="greaterThan">
      <formula>0</formula>
    </cfRule>
    <cfRule type="cellIs" dxfId="5458" priority="238" operator="lessThan">
      <formula>0</formula>
    </cfRule>
  </conditionalFormatting>
  <conditionalFormatting sqref="AQ7">
    <cfRule type="cellIs" dxfId="5457" priority="231" operator="equal">
      <formula>"-"</formula>
    </cfRule>
    <cfRule type="cellIs" dxfId="5456" priority="232" operator="equal">
      <formula>0</formula>
    </cfRule>
    <cfRule type="cellIs" dxfId="5455" priority="233" operator="greaterThan">
      <formula>0</formula>
    </cfRule>
    <cfRule type="cellIs" dxfId="5454" priority="234" operator="lessThan">
      <formula>0</formula>
    </cfRule>
  </conditionalFormatting>
  <conditionalFormatting sqref="AQ8">
    <cfRule type="cellIs" dxfId="5453" priority="227" operator="equal">
      <formula>"-"</formula>
    </cfRule>
    <cfRule type="cellIs" dxfId="5452" priority="228" operator="equal">
      <formula>0</formula>
    </cfRule>
    <cfRule type="cellIs" dxfId="5451" priority="229" operator="greaterThan">
      <formula>0</formula>
    </cfRule>
    <cfRule type="cellIs" dxfId="5450" priority="230" operator="lessThan">
      <formula>0</formula>
    </cfRule>
  </conditionalFormatting>
  <conditionalFormatting sqref="AQ9">
    <cfRule type="cellIs" dxfId="5449" priority="223" operator="equal">
      <formula>"-"</formula>
    </cfRule>
    <cfRule type="cellIs" dxfId="5448" priority="224" operator="equal">
      <formula>0</formula>
    </cfRule>
    <cfRule type="cellIs" dxfId="5447" priority="225" operator="greaterThan">
      <formula>0</formula>
    </cfRule>
    <cfRule type="cellIs" dxfId="5446" priority="226" operator="lessThan">
      <formula>0</formula>
    </cfRule>
  </conditionalFormatting>
  <conditionalFormatting sqref="AQ10">
    <cfRule type="cellIs" dxfId="5445" priority="219" operator="equal">
      <formula>"-"</formula>
    </cfRule>
    <cfRule type="cellIs" dxfId="5444" priority="220" operator="equal">
      <formula>0</formula>
    </cfRule>
    <cfRule type="cellIs" dxfId="5443" priority="221" operator="greaterThan">
      <formula>0</formula>
    </cfRule>
    <cfRule type="cellIs" dxfId="5442" priority="222" operator="lessThan">
      <formula>0</formula>
    </cfRule>
  </conditionalFormatting>
  <conditionalFormatting sqref="AQ11">
    <cfRule type="cellIs" dxfId="5441" priority="215" operator="equal">
      <formula>"-"</formula>
    </cfRule>
    <cfRule type="cellIs" dxfId="5440" priority="216" operator="equal">
      <formula>0</formula>
    </cfRule>
    <cfRule type="cellIs" dxfId="5439" priority="217" operator="greaterThan">
      <formula>0</formula>
    </cfRule>
    <cfRule type="cellIs" dxfId="5438" priority="218" operator="lessThan">
      <formula>0</formula>
    </cfRule>
  </conditionalFormatting>
  <conditionalFormatting sqref="AQ12">
    <cfRule type="cellIs" dxfId="5437" priority="211" operator="equal">
      <formula>"-"</formula>
    </cfRule>
    <cfRule type="cellIs" dxfId="5436" priority="212" operator="equal">
      <formula>0</formula>
    </cfRule>
    <cfRule type="cellIs" dxfId="5435" priority="213" operator="greaterThan">
      <formula>0</formula>
    </cfRule>
    <cfRule type="cellIs" dxfId="5434" priority="214" operator="lessThan">
      <formula>0</formula>
    </cfRule>
  </conditionalFormatting>
  <conditionalFormatting sqref="AQ13">
    <cfRule type="cellIs" dxfId="5433" priority="207" operator="equal">
      <formula>"-"</formula>
    </cfRule>
    <cfRule type="cellIs" dxfId="5432" priority="208" operator="equal">
      <formula>0</formula>
    </cfRule>
    <cfRule type="cellIs" dxfId="5431" priority="209" operator="greaterThan">
      <formula>0</formula>
    </cfRule>
    <cfRule type="cellIs" dxfId="5430" priority="210" operator="lessThan">
      <formula>0</formula>
    </cfRule>
  </conditionalFormatting>
  <conditionalFormatting sqref="AQ14">
    <cfRule type="cellIs" dxfId="5429" priority="203" operator="equal">
      <formula>"-"</formula>
    </cfRule>
    <cfRule type="cellIs" dxfId="5428" priority="204" operator="equal">
      <formula>0</formula>
    </cfRule>
    <cfRule type="cellIs" dxfId="5427" priority="205" operator="greaterThan">
      <formula>0</formula>
    </cfRule>
    <cfRule type="cellIs" dxfId="5426" priority="206" operator="lessThan">
      <formula>0</formula>
    </cfRule>
  </conditionalFormatting>
  <conditionalFormatting sqref="AQ15">
    <cfRule type="cellIs" dxfId="5425" priority="199" operator="equal">
      <formula>"-"</formula>
    </cfRule>
    <cfRule type="cellIs" dxfId="5424" priority="200" operator="equal">
      <formula>0</formula>
    </cfRule>
    <cfRule type="cellIs" dxfId="5423" priority="201" operator="greaterThan">
      <formula>0</formula>
    </cfRule>
    <cfRule type="cellIs" dxfId="5422" priority="202" operator="lessThan">
      <formula>0</formula>
    </cfRule>
  </conditionalFormatting>
  <conditionalFormatting sqref="AQ16">
    <cfRule type="cellIs" dxfId="5421" priority="195" operator="equal">
      <formula>"-"</formula>
    </cfRule>
    <cfRule type="cellIs" dxfId="5420" priority="196" operator="equal">
      <formula>0</formula>
    </cfRule>
    <cfRule type="cellIs" dxfId="5419" priority="197" operator="greaterThan">
      <formula>0</formula>
    </cfRule>
    <cfRule type="cellIs" dxfId="5418" priority="198" operator="lessThan">
      <formula>0</formula>
    </cfRule>
  </conditionalFormatting>
  <conditionalFormatting sqref="AQ17">
    <cfRule type="cellIs" dxfId="5417" priority="191" operator="equal">
      <formula>"-"</formula>
    </cfRule>
    <cfRule type="cellIs" dxfId="5416" priority="192" operator="equal">
      <formula>0</formula>
    </cfRule>
    <cfRule type="cellIs" dxfId="5415" priority="193" operator="greaterThan">
      <formula>0</formula>
    </cfRule>
    <cfRule type="cellIs" dxfId="5414" priority="194" operator="lessThan">
      <formula>0</formula>
    </cfRule>
  </conditionalFormatting>
  <conditionalFormatting sqref="AQ18">
    <cfRule type="cellIs" dxfId="5413" priority="187" operator="equal">
      <formula>"-"</formula>
    </cfRule>
    <cfRule type="cellIs" dxfId="5412" priority="188" operator="equal">
      <formula>0</formula>
    </cfRule>
    <cfRule type="cellIs" dxfId="5411" priority="189" operator="greaterThan">
      <formula>0</formula>
    </cfRule>
    <cfRule type="cellIs" dxfId="5410" priority="190" operator="lessThan">
      <formula>0</formula>
    </cfRule>
  </conditionalFormatting>
  <conditionalFormatting sqref="AQ19">
    <cfRule type="cellIs" dxfId="5409" priority="183" operator="equal">
      <formula>"-"</formula>
    </cfRule>
    <cfRule type="cellIs" dxfId="5408" priority="184" operator="equal">
      <formula>0</formula>
    </cfRule>
    <cfRule type="cellIs" dxfId="5407" priority="185" operator="greaterThan">
      <formula>0</formula>
    </cfRule>
    <cfRule type="cellIs" dxfId="5406" priority="186" operator="lessThan">
      <formula>0</formula>
    </cfRule>
  </conditionalFormatting>
  <conditionalFormatting sqref="AQ20">
    <cfRule type="cellIs" dxfId="5405" priority="179" operator="equal">
      <formula>"-"</formula>
    </cfRule>
    <cfRule type="cellIs" dxfId="5404" priority="180" operator="equal">
      <formula>0</formula>
    </cfRule>
    <cfRule type="cellIs" dxfId="5403" priority="181" operator="greaterThan">
      <formula>0</formula>
    </cfRule>
    <cfRule type="cellIs" dxfId="5402" priority="182" operator="lessThan">
      <formula>0</formula>
    </cfRule>
  </conditionalFormatting>
  <conditionalFormatting sqref="AQ21">
    <cfRule type="cellIs" dxfId="5401" priority="175" operator="equal">
      <formula>"-"</formula>
    </cfRule>
    <cfRule type="cellIs" dxfId="5400" priority="176" operator="equal">
      <formula>0</formula>
    </cfRule>
    <cfRule type="cellIs" dxfId="5399" priority="177" operator="greaterThan">
      <formula>0</formula>
    </cfRule>
    <cfRule type="cellIs" dxfId="5398" priority="178" operator="lessThan">
      <formula>0</formula>
    </cfRule>
  </conditionalFormatting>
  <conditionalFormatting sqref="AQ22">
    <cfRule type="cellIs" dxfId="5397" priority="171" operator="equal">
      <formula>"-"</formula>
    </cfRule>
    <cfRule type="cellIs" dxfId="5396" priority="172" operator="equal">
      <formula>0</formula>
    </cfRule>
    <cfRule type="cellIs" dxfId="5395" priority="173" operator="greaterThan">
      <formula>0</formula>
    </cfRule>
    <cfRule type="cellIs" dxfId="5394" priority="174" operator="lessThan">
      <formula>0</formula>
    </cfRule>
  </conditionalFormatting>
  <conditionalFormatting sqref="AQ23">
    <cfRule type="cellIs" dxfId="5393" priority="167" operator="equal">
      <formula>"-"</formula>
    </cfRule>
    <cfRule type="cellIs" dxfId="5392" priority="168" operator="equal">
      <formula>0</formula>
    </cfRule>
    <cfRule type="cellIs" dxfId="5391" priority="169" operator="greaterThan">
      <formula>0</formula>
    </cfRule>
    <cfRule type="cellIs" dxfId="5390" priority="170" operator="lessThan">
      <formula>0</formula>
    </cfRule>
  </conditionalFormatting>
  <conditionalFormatting sqref="AQ24">
    <cfRule type="cellIs" dxfId="5389" priority="163" operator="equal">
      <formula>"-"</formula>
    </cfRule>
    <cfRule type="cellIs" dxfId="5388" priority="164" operator="equal">
      <formula>0</formula>
    </cfRule>
    <cfRule type="cellIs" dxfId="5387" priority="165" operator="greaterThan">
      <formula>0</formula>
    </cfRule>
    <cfRule type="cellIs" dxfId="5386" priority="166" operator="lessThan">
      <formula>0</formula>
    </cfRule>
  </conditionalFormatting>
  <conditionalFormatting sqref="AQ25">
    <cfRule type="cellIs" dxfId="5385" priority="159" operator="equal">
      <formula>"-"</formula>
    </cfRule>
    <cfRule type="cellIs" dxfId="5384" priority="160" operator="equal">
      <formula>0</formula>
    </cfRule>
    <cfRule type="cellIs" dxfId="5383" priority="161" operator="greaterThan">
      <formula>0</formula>
    </cfRule>
    <cfRule type="cellIs" dxfId="5382" priority="162" operator="lessThan">
      <formula>0</formula>
    </cfRule>
  </conditionalFormatting>
  <conditionalFormatting sqref="AQ26">
    <cfRule type="cellIs" dxfId="5381" priority="155" operator="equal">
      <formula>"-"</formula>
    </cfRule>
    <cfRule type="cellIs" dxfId="5380" priority="156" operator="equal">
      <formula>0</formula>
    </cfRule>
    <cfRule type="cellIs" dxfId="5379" priority="157" operator="greaterThan">
      <formula>0</formula>
    </cfRule>
    <cfRule type="cellIs" dxfId="5378" priority="158" operator="lessThan">
      <formula>0</formula>
    </cfRule>
  </conditionalFormatting>
  <conditionalFormatting sqref="AQ27">
    <cfRule type="cellIs" dxfId="5377" priority="151" operator="equal">
      <formula>"-"</formula>
    </cfRule>
    <cfRule type="cellIs" dxfId="5376" priority="152" operator="equal">
      <formula>0</formula>
    </cfRule>
    <cfRule type="cellIs" dxfId="5375" priority="153" operator="greaterThan">
      <formula>0</formula>
    </cfRule>
    <cfRule type="cellIs" dxfId="5374" priority="154" operator="lessThan">
      <formula>0</formula>
    </cfRule>
  </conditionalFormatting>
  <conditionalFormatting sqref="AQ28">
    <cfRule type="cellIs" dxfId="5373" priority="147" operator="equal">
      <formula>"-"</formula>
    </cfRule>
    <cfRule type="cellIs" dxfId="5372" priority="148" operator="equal">
      <formula>0</formula>
    </cfRule>
    <cfRule type="cellIs" dxfId="5371" priority="149" operator="greaterThan">
      <formula>0</formula>
    </cfRule>
    <cfRule type="cellIs" dxfId="5370" priority="150" operator="lessThan">
      <formula>0</formula>
    </cfRule>
  </conditionalFormatting>
  <conditionalFormatting sqref="AR4">
    <cfRule type="cellIs" dxfId="5369" priority="143" operator="equal">
      <formula>"-"</formula>
    </cfRule>
    <cfRule type="cellIs" dxfId="5368" priority="144" operator="equal">
      <formula>0</formula>
    </cfRule>
    <cfRule type="cellIs" dxfId="5367" priority="145" operator="greaterThan">
      <formula>0</formula>
    </cfRule>
    <cfRule type="cellIs" dxfId="5366" priority="146" operator="lessThan">
      <formula>0</formula>
    </cfRule>
  </conditionalFormatting>
  <conditionalFormatting sqref="AR5">
    <cfRule type="cellIs" dxfId="5365" priority="139" operator="equal">
      <formula>"-"</formula>
    </cfRule>
    <cfRule type="cellIs" dxfId="5364" priority="140" operator="equal">
      <formula>0</formula>
    </cfRule>
    <cfRule type="cellIs" dxfId="5363" priority="141" operator="greaterThan">
      <formula>0</formula>
    </cfRule>
    <cfRule type="cellIs" dxfId="5362" priority="142" operator="lessThan">
      <formula>0</formula>
    </cfRule>
  </conditionalFormatting>
  <conditionalFormatting sqref="AR6">
    <cfRule type="cellIs" dxfId="5361" priority="135" operator="equal">
      <formula>"-"</formula>
    </cfRule>
    <cfRule type="cellIs" dxfId="5360" priority="136" operator="equal">
      <formula>0</formula>
    </cfRule>
    <cfRule type="cellIs" dxfId="5359" priority="137" operator="greaterThan">
      <formula>0</formula>
    </cfRule>
    <cfRule type="cellIs" dxfId="5358" priority="138" operator="lessThan">
      <formula>0</formula>
    </cfRule>
  </conditionalFormatting>
  <conditionalFormatting sqref="AR7">
    <cfRule type="cellIs" dxfId="5357" priority="131" operator="equal">
      <formula>"-"</formula>
    </cfRule>
    <cfRule type="cellIs" dxfId="5356" priority="132" operator="equal">
      <formula>0</formula>
    </cfRule>
    <cfRule type="cellIs" dxfId="5355" priority="133" operator="greaterThan">
      <formula>0</formula>
    </cfRule>
    <cfRule type="cellIs" dxfId="5354" priority="134" operator="lessThan">
      <formula>0</formula>
    </cfRule>
  </conditionalFormatting>
  <conditionalFormatting sqref="AR8">
    <cfRule type="cellIs" dxfId="5353" priority="127" operator="equal">
      <formula>"-"</formula>
    </cfRule>
    <cfRule type="cellIs" dxfId="5352" priority="128" operator="equal">
      <formula>0</formula>
    </cfRule>
    <cfRule type="cellIs" dxfId="5351" priority="129" operator="greaterThan">
      <formula>0</formula>
    </cfRule>
    <cfRule type="cellIs" dxfId="5350" priority="130" operator="lessThan">
      <formula>0</formula>
    </cfRule>
  </conditionalFormatting>
  <conditionalFormatting sqref="AR9">
    <cfRule type="cellIs" dxfId="5349" priority="123" operator="equal">
      <formula>"-"</formula>
    </cfRule>
    <cfRule type="cellIs" dxfId="5348" priority="124" operator="equal">
      <formula>0</formula>
    </cfRule>
    <cfRule type="cellIs" dxfId="5347" priority="125" operator="greaterThan">
      <formula>0</formula>
    </cfRule>
    <cfRule type="cellIs" dxfId="5346" priority="126" operator="lessThan">
      <formula>0</formula>
    </cfRule>
  </conditionalFormatting>
  <conditionalFormatting sqref="AR10">
    <cfRule type="cellIs" dxfId="5345" priority="119" operator="equal">
      <formula>"-"</formula>
    </cfRule>
    <cfRule type="cellIs" dxfId="5344" priority="120" operator="equal">
      <formula>0</formula>
    </cfRule>
    <cfRule type="cellIs" dxfId="5343" priority="121" operator="greaterThan">
      <formula>0</formula>
    </cfRule>
    <cfRule type="cellIs" dxfId="5342" priority="122" operator="lessThan">
      <formula>0</formula>
    </cfRule>
  </conditionalFormatting>
  <conditionalFormatting sqref="AR11">
    <cfRule type="cellIs" dxfId="5341" priority="115" operator="equal">
      <formula>"-"</formula>
    </cfRule>
    <cfRule type="cellIs" dxfId="5340" priority="116" operator="equal">
      <formula>0</formula>
    </cfRule>
    <cfRule type="cellIs" dxfId="5339" priority="117" operator="greaterThan">
      <formula>0</formula>
    </cfRule>
    <cfRule type="cellIs" dxfId="5338" priority="118" operator="lessThan">
      <formula>0</formula>
    </cfRule>
  </conditionalFormatting>
  <conditionalFormatting sqref="AR12">
    <cfRule type="cellIs" dxfId="5337" priority="111" operator="equal">
      <formula>"-"</formula>
    </cfRule>
    <cfRule type="cellIs" dxfId="5336" priority="112" operator="equal">
      <formula>0</formula>
    </cfRule>
    <cfRule type="cellIs" dxfId="5335" priority="113" operator="greaterThan">
      <formula>0</formula>
    </cfRule>
    <cfRule type="cellIs" dxfId="5334" priority="114" operator="lessThan">
      <formula>0</formula>
    </cfRule>
  </conditionalFormatting>
  <conditionalFormatting sqref="AR13">
    <cfRule type="cellIs" dxfId="5333" priority="107" operator="equal">
      <formula>"-"</formula>
    </cfRule>
    <cfRule type="cellIs" dxfId="5332" priority="108" operator="equal">
      <formula>0</formula>
    </cfRule>
    <cfRule type="cellIs" dxfId="5331" priority="109" operator="greaterThan">
      <formula>0</formula>
    </cfRule>
    <cfRule type="cellIs" dxfId="5330" priority="110" operator="lessThan">
      <formula>0</formula>
    </cfRule>
  </conditionalFormatting>
  <conditionalFormatting sqref="AR14">
    <cfRule type="cellIs" dxfId="5329" priority="103" operator="equal">
      <formula>"-"</formula>
    </cfRule>
    <cfRule type="cellIs" dxfId="5328" priority="104" operator="equal">
      <formula>0</formula>
    </cfRule>
    <cfRule type="cellIs" dxfId="5327" priority="105" operator="greaterThan">
      <formula>0</formula>
    </cfRule>
    <cfRule type="cellIs" dxfId="5326" priority="106" operator="lessThan">
      <formula>0</formula>
    </cfRule>
  </conditionalFormatting>
  <conditionalFormatting sqref="AR15">
    <cfRule type="cellIs" dxfId="5325" priority="99" operator="equal">
      <formula>"-"</formula>
    </cfRule>
    <cfRule type="cellIs" dxfId="5324" priority="100" operator="equal">
      <formula>0</formula>
    </cfRule>
    <cfRule type="cellIs" dxfId="5323" priority="101" operator="greaterThan">
      <formula>0</formula>
    </cfRule>
    <cfRule type="cellIs" dxfId="5322" priority="102" operator="lessThan">
      <formula>0</formula>
    </cfRule>
  </conditionalFormatting>
  <conditionalFormatting sqref="AR16">
    <cfRule type="cellIs" dxfId="5321" priority="95" operator="equal">
      <formula>"-"</formula>
    </cfRule>
    <cfRule type="cellIs" dxfId="5320" priority="96" operator="equal">
      <formula>0</formula>
    </cfRule>
    <cfRule type="cellIs" dxfId="5319" priority="97" operator="greaterThan">
      <formula>0</formula>
    </cfRule>
    <cfRule type="cellIs" dxfId="5318" priority="98" operator="lessThan">
      <formula>0</formula>
    </cfRule>
  </conditionalFormatting>
  <conditionalFormatting sqref="AR17">
    <cfRule type="cellIs" dxfId="5317" priority="91" operator="equal">
      <formula>"-"</formula>
    </cfRule>
    <cfRule type="cellIs" dxfId="5316" priority="92" operator="equal">
      <formula>0</formula>
    </cfRule>
    <cfRule type="cellIs" dxfId="5315" priority="93" operator="greaterThan">
      <formula>0</formula>
    </cfRule>
    <cfRule type="cellIs" dxfId="5314" priority="94" operator="lessThan">
      <formula>0</formula>
    </cfRule>
  </conditionalFormatting>
  <conditionalFormatting sqref="AR18">
    <cfRule type="cellIs" dxfId="5313" priority="87" operator="equal">
      <formula>"-"</formula>
    </cfRule>
    <cfRule type="cellIs" dxfId="5312" priority="88" operator="equal">
      <formula>0</formula>
    </cfRule>
    <cfRule type="cellIs" dxfId="5311" priority="89" operator="greaterThan">
      <formula>0</formula>
    </cfRule>
    <cfRule type="cellIs" dxfId="5310" priority="90" operator="lessThan">
      <formula>0</formula>
    </cfRule>
  </conditionalFormatting>
  <conditionalFormatting sqref="AR19">
    <cfRule type="cellIs" dxfId="5309" priority="83" operator="equal">
      <formula>"-"</formula>
    </cfRule>
    <cfRule type="cellIs" dxfId="5308" priority="84" operator="equal">
      <formula>0</formula>
    </cfRule>
    <cfRule type="cellIs" dxfId="5307" priority="85" operator="greaterThan">
      <formula>0</formula>
    </cfRule>
    <cfRule type="cellIs" dxfId="5306" priority="86" operator="lessThan">
      <formula>0</formula>
    </cfRule>
  </conditionalFormatting>
  <conditionalFormatting sqref="AR20">
    <cfRule type="cellIs" dxfId="5305" priority="79" operator="equal">
      <formula>"-"</formula>
    </cfRule>
    <cfRule type="cellIs" dxfId="5304" priority="80" operator="equal">
      <formula>0</formula>
    </cfRule>
    <cfRule type="cellIs" dxfId="5303" priority="81" operator="greaterThan">
      <formula>0</formula>
    </cfRule>
    <cfRule type="cellIs" dxfId="5302" priority="82" operator="lessThan">
      <formula>0</formula>
    </cfRule>
  </conditionalFormatting>
  <conditionalFormatting sqref="AR21">
    <cfRule type="cellIs" dxfId="5301" priority="75" operator="equal">
      <formula>"-"</formula>
    </cfRule>
    <cfRule type="cellIs" dxfId="5300" priority="76" operator="equal">
      <formula>0</formula>
    </cfRule>
    <cfRule type="cellIs" dxfId="5299" priority="77" operator="greaterThan">
      <formula>0</formula>
    </cfRule>
    <cfRule type="cellIs" dxfId="5298" priority="78" operator="lessThan">
      <formula>0</formula>
    </cfRule>
  </conditionalFormatting>
  <conditionalFormatting sqref="AR22">
    <cfRule type="cellIs" dxfId="5297" priority="71" operator="equal">
      <formula>"-"</formula>
    </cfRule>
    <cfRule type="cellIs" dxfId="5296" priority="72" operator="equal">
      <formula>0</formula>
    </cfRule>
    <cfRule type="cellIs" dxfId="5295" priority="73" operator="greaterThan">
      <formula>0</formula>
    </cfRule>
    <cfRule type="cellIs" dxfId="5294" priority="74" operator="lessThan">
      <formula>0</formula>
    </cfRule>
  </conditionalFormatting>
  <conditionalFormatting sqref="AR23">
    <cfRule type="cellIs" dxfId="5293" priority="67" operator="equal">
      <formula>"-"</formula>
    </cfRule>
    <cfRule type="cellIs" dxfId="5292" priority="68" operator="equal">
      <formula>0</formula>
    </cfRule>
    <cfRule type="cellIs" dxfId="5291" priority="69" operator="greaterThan">
      <formula>0</formula>
    </cfRule>
    <cfRule type="cellIs" dxfId="5290" priority="70" operator="lessThan">
      <formula>0</formula>
    </cfRule>
  </conditionalFormatting>
  <conditionalFormatting sqref="AR24">
    <cfRule type="cellIs" dxfId="5289" priority="63" operator="equal">
      <formula>"-"</formula>
    </cfRule>
    <cfRule type="cellIs" dxfId="5288" priority="64" operator="equal">
      <formula>0</formula>
    </cfRule>
    <cfRule type="cellIs" dxfId="5287" priority="65" operator="greaterThan">
      <formula>0</formula>
    </cfRule>
    <cfRule type="cellIs" dxfId="5286" priority="66" operator="lessThan">
      <formula>0</formula>
    </cfRule>
  </conditionalFormatting>
  <conditionalFormatting sqref="AR25">
    <cfRule type="cellIs" dxfId="5285" priority="59" operator="equal">
      <formula>"-"</formula>
    </cfRule>
    <cfRule type="cellIs" dxfId="5284" priority="60" operator="equal">
      <formula>0</formula>
    </cfRule>
    <cfRule type="cellIs" dxfId="5283" priority="61" operator="greaterThan">
      <formula>0</formula>
    </cfRule>
    <cfRule type="cellIs" dxfId="5282" priority="62" operator="lessThan">
      <formula>0</formula>
    </cfRule>
  </conditionalFormatting>
  <conditionalFormatting sqref="AR26">
    <cfRule type="cellIs" dxfId="5281" priority="55" operator="equal">
      <formula>"-"</formula>
    </cfRule>
    <cfRule type="cellIs" dxfId="5280" priority="56" operator="equal">
      <formula>0</formula>
    </cfRule>
    <cfRule type="cellIs" dxfId="5279" priority="57" operator="greaterThan">
      <formula>0</formula>
    </cfRule>
    <cfRule type="cellIs" dxfId="5278" priority="58" operator="lessThan">
      <formula>0</formula>
    </cfRule>
  </conditionalFormatting>
  <conditionalFormatting sqref="AR27">
    <cfRule type="cellIs" dxfId="5277" priority="51" operator="equal">
      <formula>"-"</formula>
    </cfRule>
    <cfRule type="cellIs" dxfId="5276" priority="52" operator="equal">
      <formula>0</formula>
    </cfRule>
    <cfRule type="cellIs" dxfId="5275" priority="53" operator="greaterThan">
      <formula>0</formula>
    </cfRule>
    <cfRule type="cellIs" dxfId="5274" priority="54" operator="lessThan">
      <formula>0</formula>
    </cfRule>
  </conditionalFormatting>
  <conditionalFormatting sqref="AR28">
    <cfRule type="cellIs" dxfId="5273" priority="47" operator="equal">
      <formula>"-"</formula>
    </cfRule>
    <cfRule type="cellIs" dxfId="5272" priority="48" operator="equal">
      <formula>0</formula>
    </cfRule>
    <cfRule type="cellIs" dxfId="5271" priority="49" operator="greaterThan">
      <formula>0</formula>
    </cfRule>
    <cfRule type="cellIs" dxfId="5270" priority="50" operator="lessThan">
      <formula>0</formula>
    </cfRule>
  </conditionalFormatting>
  <conditionalFormatting sqref="AM29">
    <cfRule type="expression" dxfId="5269" priority="42">
      <formula>AL29="-"</formula>
    </cfRule>
    <cfRule type="cellIs" dxfId="5268" priority="43" operator="equal">
      <formula>"-"</formula>
    </cfRule>
    <cfRule type="cellIs" dxfId="5267" priority="44" operator="equal">
      <formula>AL29</formula>
    </cfRule>
    <cfRule type="cellIs" dxfId="5266" priority="45" operator="greaterThan">
      <formula>AL29</formula>
    </cfRule>
    <cfRule type="cellIs" dxfId="5265" priority="46" operator="lessThan">
      <formula>AL29</formula>
    </cfRule>
  </conditionalFormatting>
  <conditionalFormatting sqref="AM30">
    <cfRule type="expression" dxfId="5264" priority="37">
      <formula>AL30="-"</formula>
    </cfRule>
    <cfRule type="cellIs" dxfId="5263" priority="38" operator="equal">
      <formula>"-"</formula>
    </cfRule>
    <cfRule type="cellIs" dxfId="5262" priority="39" operator="equal">
      <formula>AL30</formula>
    </cfRule>
    <cfRule type="cellIs" dxfId="5261" priority="40" operator="greaterThan">
      <formula>AL30</formula>
    </cfRule>
    <cfRule type="cellIs" dxfId="5260" priority="41" operator="lessThan">
      <formula>AL30</formula>
    </cfRule>
  </conditionalFormatting>
  <conditionalFormatting sqref="AN29">
    <cfRule type="expression" dxfId="5259" priority="32">
      <formula>AM29="-"</formula>
    </cfRule>
    <cfRule type="cellIs" dxfId="5258" priority="33" operator="equal">
      <formula>"-"</formula>
    </cfRule>
    <cfRule type="cellIs" dxfId="5257" priority="34" operator="equal">
      <formula>AM29</formula>
    </cfRule>
    <cfRule type="cellIs" dxfId="5256" priority="35" operator="greaterThan">
      <formula>AM29</formula>
    </cfRule>
    <cfRule type="cellIs" dxfId="5255" priority="36" operator="lessThan">
      <formula>AM29</formula>
    </cfRule>
  </conditionalFormatting>
  <conditionalFormatting sqref="AN30">
    <cfRule type="expression" dxfId="5254" priority="27">
      <formula>AM30="-"</formula>
    </cfRule>
    <cfRule type="cellIs" dxfId="5253" priority="28" operator="equal">
      <formula>"-"</formula>
    </cfRule>
    <cfRule type="cellIs" dxfId="5252" priority="29" operator="equal">
      <formula>AM30</formula>
    </cfRule>
    <cfRule type="cellIs" dxfId="5251" priority="30" operator="greaterThan">
      <formula>AM30</formula>
    </cfRule>
    <cfRule type="cellIs" dxfId="5250" priority="31" operator="lessThan">
      <formula>AM30</formula>
    </cfRule>
  </conditionalFormatting>
  <conditionalFormatting sqref="AO29">
    <cfRule type="expression" dxfId="5249" priority="22">
      <formula>AN29="-"</formula>
    </cfRule>
    <cfRule type="cellIs" dxfId="5248" priority="23" operator="equal">
      <formula>"-"</formula>
    </cfRule>
    <cfRule type="cellIs" dxfId="5247" priority="24" operator="equal">
      <formula>AN29</formula>
    </cfRule>
    <cfRule type="cellIs" dxfId="5246" priority="25" operator="greaterThan">
      <formula>AN29</formula>
    </cfRule>
    <cfRule type="cellIs" dxfId="5245" priority="26" operator="lessThan">
      <formula>AN29</formula>
    </cfRule>
  </conditionalFormatting>
  <conditionalFormatting sqref="AO30">
    <cfRule type="expression" dxfId="5244" priority="17">
      <formula>AN30="-"</formula>
    </cfRule>
    <cfRule type="cellIs" dxfId="5243" priority="18" operator="equal">
      <formula>"-"</formula>
    </cfRule>
    <cfRule type="cellIs" dxfId="5242" priority="19" operator="equal">
      <formula>AN30</formula>
    </cfRule>
    <cfRule type="cellIs" dxfId="5241" priority="20" operator="greaterThan">
      <formula>AN30</formula>
    </cfRule>
    <cfRule type="cellIs" dxfId="5240" priority="21" operator="lessThan">
      <formula>AN30</formula>
    </cfRule>
  </conditionalFormatting>
  <conditionalFormatting sqref="AQ29">
    <cfRule type="cellIs" dxfId="5239" priority="13" operator="equal">
      <formula>"-"</formula>
    </cfRule>
    <cfRule type="cellIs" dxfId="5238" priority="14" operator="equal">
      <formula>0</formula>
    </cfRule>
    <cfRule type="cellIs" dxfId="5237" priority="15" operator="greaterThan">
      <formula>0</formula>
    </cfRule>
    <cfRule type="cellIs" dxfId="5236" priority="16" operator="lessThan">
      <formula>0</formula>
    </cfRule>
  </conditionalFormatting>
  <conditionalFormatting sqref="AQ30">
    <cfRule type="cellIs" dxfId="5235" priority="9" operator="equal">
      <formula>"-"</formula>
    </cfRule>
    <cfRule type="cellIs" dxfId="5234" priority="10" operator="equal">
      <formula>0</formula>
    </cfRule>
    <cfRule type="cellIs" dxfId="5233" priority="11" operator="greaterThan">
      <formula>0</formula>
    </cfRule>
    <cfRule type="cellIs" dxfId="5232" priority="12" operator="lessThan">
      <formula>0</formula>
    </cfRule>
  </conditionalFormatting>
  <conditionalFormatting sqref="AR29">
    <cfRule type="cellIs" dxfId="5231" priority="5" operator="equal">
      <formula>"-"</formula>
    </cfRule>
    <cfRule type="cellIs" dxfId="5230" priority="6" operator="equal">
      <formula>0</formula>
    </cfRule>
    <cfRule type="cellIs" dxfId="5229" priority="7" operator="greaterThan">
      <formula>0</formula>
    </cfRule>
    <cfRule type="cellIs" dxfId="5228" priority="8" operator="lessThan">
      <formula>0</formula>
    </cfRule>
  </conditionalFormatting>
  <conditionalFormatting sqref="AR30">
    <cfRule type="cellIs" dxfId="5227" priority="1" operator="equal">
      <formula>"-"</formula>
    </cfRule>
    <cfRule type="cellIs" dxfId="5226" priority="2" operator="equal">
      <formula>0</formula>
    </cfRule>
    <cfRule type="cellIs" dxfId="5225" priority="3" operator="greaterThan">
      <formula>0</formula>
    </cfRule>
    <cfRule type="cellIs" dxfId="5224" priority="4" operator="lessThan">
      <formula>0</formula>
    </cfRule>
  </conditionalFormatting>
  <printOptions horizontalCentered="1"/>
  <pageMargins left="0.70866141732283472" right="0.70866141732283472" top="0.78740157480314965" bottom="0.59055118110236227" header="0.31496062992125984" footer="0.31496062992125984"/>
  <pageSetup paperSize="9" scale="39" orientation="landscape" r:id="rId1"/>
  <colBreaks count="1" manualBreakCount="1">
    <brk id="16" max="6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workbookViewId="0">
      <selection activeCell="K10" sqref="K10"/>
    </sheetView>
  </sheetViews>
  <sheetFormatPr defaultRowHeight="15" x14ac:dyDescent="0.25"/>
  <cols>
    <col min="1" max="1" width="43.5703125" customWidth="1"/>
    <col min="3" max="3" width="10.28515625" style="603" bestFit="1" customWidth="1"/>
    <col min="4" max="4" width="9.140625" style="603"/>
    <col min="5" max="5" width="16.28515625" customWidth="1"/>
    <col min="6" max="6" width="14.85546875" bestFit="1" customWidth="1"/>
    <col min="7" max="7" width="8.85546875" bestFit="1" customWidth="1"/>
  </cols>
  <sheetData>
    <row r="1" spans="1:8" s="622" customFormat="1" ht="51" x14ac:dyDescent="0.25">
      <c r="A1" s="623"/>
      <c r="B1" s="818" t="s">
        <v>1162</v>
      </c>
      <c r="C1" s="816" t="s">
        <v>1151</v>
      </c>
      <c r="D1" s="819" t="s">
        <v>1152</v>
      </c>
      <c r="E1" s="818" t="s">
        <v>1179</v>
      </c>
      <c r="F1" s="818" t="s">
        <v>1180</v>
      </c>
      <c r="G1" s="816" t="s">
        <v>1163</v>
      </c>
      <c r="H1" s="817" t="s">
        <v>1164</v>
      </c>
    </row>
    <row r="2" spans="1:8" x14ac:dyDescent="0.25">
      <c r="A2" s="257" t="s">
        <v>5</v>
      </c>
      <c r="B2" s="258">
        <f>VLOOKUP(A2,bcs!$A$4:$J$23,10,FALSE)</f>
        <v>7</v>
      </c>
      <c r="C2" s="598" t="e">
        <f>VLOOKUP(A2,bcs!$L$4:$T$23,10,FALSE)</f>
        <v>#N/A</v>
      </c>
      <c r="D2" s="604" t="e">
        <f>VLOOKUP(A2,bcs!$L$4:$T$23,25,FALSE)</f>
        <v>#N/A</v>
      </c>
      <c r="E2" s="607">
        <v>99.2</v>
      </c>
      <c r="F2" s="607">
        <v>100</v>
      </c>
      <c r="G2" s="665" t="e">
        <f>C2-E2</f>
        <v>#N/A</v>
      </c>
      <c r="H2" s="666" t="e">
        <f>D2-F2</f>
        <v>#N/A</v>
      </c>
    </row>
    <row r="3" spans="1:8" x14ac:dyDescent="0.25">
      <c r="A3" s="257" t="s">
        <v>7</v>
      </c>
      <c r="B3" s="258">
        <f>VLOOKUP(A3,bcs!$A$4:$J$23,10,FALSE)</f>
        <v>2</v>
      </c>
      <c r="C3" s="598" t="e">
        <f>VLOOKUP(A3,bcs!$L$4:$T$23,10,FALSE)</f>
        <v>#N/A</v>
      </c>
      <c r="D3" s="604" t="e">
        <f>VLOOKUP(A3,bcs!$L$4:$T$23,25,FALSE)</f>
        <v>#N/A</v>
      </c>
      <c r="E3" s="607">
        <v>98.5</v>
      </c>
      <c r="F3" s="607">
        <v>100</v>
      </c>
      <c r="G3" s="665" t="e">
        <f t="shared" ref="G3:G29" si="0">C3-E3</f>
        <v>#N/A</v>
      </c>
      <c r="H3" s="666" t="e">
        <f>D3-F3</f>
        <v>#N/A</v>
      </c>
    </row>
    <row r="4" spans="1:8" x14ac:dyDescent="0.25">
      <c r="A4" s="257" t="s">
        <v>564</v>
      </c>
      <c r="B4" s="258" t="e">
        <f>VLOOKUP(A4,bcs!$A$4:$J$23,10,FALSE)</f>
        <v>#N/A</v>
      </c>
      <c r="C4" s="598" t="e">
        <f>VLOOKUP(A4,bcs!$L$4:$T$23,10,FALSE)</f>
        <v>#N/A</v>
      </c>
      <c r="D4" s="604" t="e">
        <f>VLOOKUP(A4,bcs!$L$4:$T$23,25,FALSE)</f>
        <v>#N/A</v>
      </c>
      <c r="E4" s="607">
        <v>100</v>
      </c>
      <c r="F4" s="607">
        <v>100</v>
      </c>
      <c r="G4" s="665" t="e">
        <f t="shared" si="0"/>
        <v>#N/A</v>
      </c>
      <c r="H4" s="666" t="e">
        <f t="shared" ref="H4:H29" si="1">D4-F4</f>
        <v>#N/A</v>
      </c>
    </row>
    <row r="5" spans="1:8" x14ac:dyDescent="0.25">
      <c r="A5" s="257" t="s">
        <v>8</v>
      </c>
      <c r="B5" s="258">
        <f>VLOOKUP(A5,bcs!$A$4:$J$23,10,FALSE)</f>
        <v>160</v>
      </c>
      <c r="C5" s="598" t="e">
        <f>VLOOKUP(A5,bcs!$L$4:$T$23,10,FALSE)</f>
        <v>#N/A</v>
      </c>
      <c r="D5" s="604" t="e">
        <f>VLOOKUP(A5,bcs!$L$4:$T$23,25,FALSE)</f>
        <v>#N/A</v>
      </c>
      <c r="E5" s="607">
        <v>93</v>
      </c>
      <c r="F5" s="607">
        <v>78.5</v>
      </c>
      <c r="G5" s="665" t="e">
        <f>C5-E5</f>
        <v>#N/A</v>
      </c>
      <c r="H5" s="666" t="e">
        <f>D5-F5</f>
        <v>#N/A</v>
      </c>
    </row>
    <row r="6" spans="1:8" x14ac:dyDescent="0.25">
      <c r="A6" s="257" t="s">
        <v>565</v>
      </c>
      <c r="B6" s="258">
        <f>VLOOKUP(A6,bcs!$A$4:$J$23,10,FALSE)</f>
        <v>51</v>
      </c>
      <c r="C6" s="598" t="e">
        <f>VLOOKUP(A6,bcs!$L$4:$T$23,10,FALSE)</f>
        <v>#N/A</v>
      </c>
      <c r="D6" s="604" t="e">
        <f>VLOOKUP(A6,bcs!$L$4:$T$23,25,FALSE)</f>
        <v>#N/A</v>
      </c>
      <c r="E6" s="607">
        <v>88.7</v>
      </c>
      <c r="F6" s="607">
        <v>70.7</v>
      </c>
      <c r="G6" s="665" t="e">
        <f t="shared" si="0"/>
        <v>#N/A</v>
      </c>
      <c r="H6" s="666" t="e">
        <f t="shared" si="1"/>
        <v>#N/A</v>
      </c>
    </row>
    <row r="7" spans="1:8" x14ac:dyDescent="0.25">
      <c r="A7" s="257" t="s">
        <v>566</v>
      </c>
      <c r="B7" s="258">
        <f>VLOOKUP(A7,bcs!$A$4:$J$23,10,FALSE)</f>
        <v>1</v>
      </c>
      <c r="C7" s="598" t="e">
        <f>VLOOKUP(A7,bcs!$L$4:$T$23,10,FALSE)</f>
        <v>#N/A</v>
      </c>
      <c r="D7" s="604" t="e">
        <f>VLOOKUP(A7,bcs!$L$4:$T$23,25,FALSE)</f>
        <v>#N/A</v>
      </c>
      <c r="E7" s="607">
        <v>100</v>
      </c>
      <c r="F7" s="607">
        <v>100</v>
      </c>
      <c r="G7" s="665" t="e">
        <f t="shared" si="0"/>
        <v>#N/A</v>
      </c>
      <c r="H7" s="666" t="e">
        <f t="shared" si="1"/>
        <v>#N/A</v>
      </c>
    </row>
    <row r="8" spans="1:8" x14ac:dyDescent="0.25">
      <c r="A8" s="257" t="s">
        <v>9</v>
      </c>
      <c r="B8" s="258">
        <f>VLOOKUP(A8,bcs!$A$4:$J$23,10,FALSE)</f>
        <v>29</v>
      </c>
      <c r="C8" s="598" t="e">
        <f>VLOOKUP(A8,bcs!$L$4:$T$23,10,FALSE)</f>
        <v>#N/A</v>
      </c>
      <c r="D8" s="604" t="e">
        <f>VLOOKUP(A8,bcs!$L$4:$T$23,25,FALSE)</f>
        <v>#N/A</v>
      </c>
      <c r="E8" s="607">
        <v>100</v>
      </c>
      <c r="F8" s="607">
        <v>84.6</v>
      </c>
      <c r="G8" s="665" t="e">
        <f t="shared" si="0"/>
        <v>#N/A</v>
      </c>
      <c r="H8" s="666" t="e">
        <f t="shared" si="1"/>
        <v>#N/A</v>
      </c>
    </row>
    <row r="9" spans="1:8" x14ac:dyDescent="0.25">
      <c r="A9" s="257" t="s">
        <v>10</v>
      </c>
      <c r="B9" s="258">
        <f>VLOOKUP(A9,bcs!$A$4:$J$23,10,FALSE)</f>
        <v>1</v>
      </c>
      <c r="C9" s="598" t="e">
        <f>VLOOKUP(A9,bcs!$L$4:$T$23,10,FALSE)</f>
        <v>#N/A</v>
      </c>
      <c r="D9" s="604" t="e">
        <f>VLOOKUP(A9,bcs!$L$4:$T$23,25,FALSE)</f>
        <v>#N/A</v>
      </c>
      <c r="E9" s="607">
        <v>93.3</v>
      </c>
      <c r="F9" s="607">
        <v>78.3</v>
      </c>
      <c r="G9" s="665" t="e">
        <f t="shared" si="0"/>
        <v>#N/A</v>
      </c>
      <c r="H9" s="666" t="e">
        <f t="shared" si="1"/>
        <v>#N/A</v>
      </c>
    </row>
    <row r="10" spans="1:8" x14ac:dyDescent="0.25">
      <c r="A10" s="257" t="s">
        <v>11</v>
      </c>
      <c r="B10" s="258">
        <f>VLOOKUP(A10,bcs!$A$4:$J$23,10,FALSE)</f>
        <v>249</v>
      </c>
      <c r="C10" s="598" t="e">
        <f>VLOOKUP(A10,bcs!$L$4:$T$23,10,FALSE)</f>
        <v>#N/A</v>
      </c>
      <c r="D10" s="604" t="e">
        <f>VLOOKUP(A10,bcs!$L$4:$T$23,25,FALSE)</f>
        <v>#N/A</v>
      </c>
      <c r="E10" s="607">
        <v>90.4</v>
      </c>
      <c r="F10" s="607">
        <v>78.900000000000006</v>
      </c>
      <c r="G10" s="665" t="e">
        <f t="shared" si="0"/>
        <v>#N/A</v>
      </c>
      <c r="H10" s="666" t="e">
        <f t="shared" si="1"/>
        <v>#N/A</v>
      </c>
    </row>
    <row r="11" spans="1:8" x14ac:dyDescent="0.25">
      <c r="A11" s="257" t="s">
        <v>12</v>
      </c>
      <c r="B11" s="258" t="e">
        <f>VLOOKUP(A11,bcs!$A$4:$J$23,10,FALSE)</f>
        <v>#N/A</v>
      </c>
      <c r="C11" s="598" t="e">
        <f>VLOOKUP(A11,bcs!$L$4:$T$23,10,FALSE)</f>
        <v>#N/A</v>
      </c>
      <c r="D11" s="604" t="e">
        <f>VLOOKUP(A11,bcs!$L$4:$T$23,25,FALSE)</f>
        <v>#N/A</v>
      </c>
      <c r="E11" s="607">
        <v>96.3</v>
      </c>
      <c r="F11" s="607">
        <v>86.4</v>
      </c>
      <c r="G11" s="665" t="e">
        <f t="shared" si="0"/>
        <v>#N/A</v>
      </c>
      <c r="H11" s="666" t="e">
        <f t="shared" si="1"/>
        <v>#N/A</v>
      </c>
    </row>
    <row r="12" spans="1:8" ht="51.75" x14ac:dyDescent="0.25">
      <c r="A12" s="601" t="s">
        <v>617</v>
      </c>
      <c r="B12" s="599">
        <f>VLOOKUP(A12,bcs!$A$4:$J$23,10,FALSE)</f>
        <v>31</v>
      </c>
      <c r="C12" s="600" t="e">
        <f>VLOOKUP(A12,bcs!$L$4:$T$23,10,FALSE)</f>
        <v>#N/A</v>
      </c>
      <c r="D12" s="605" t="e">
        <f>VLOOKUP(A12,bcs!$L$4:$T$23,25,FALSE)</f>
        <v>#N/A</v>
      </c>
      <c r="E12" s="607">
        <v>95.5</v>
      </c>
      <c r="F12" s="607">
        <v>85.8</v>
      </c>
      <c r="G12" s="665" t="e">
        <f t="shared" si="0"/>
        <v>#N/A</v>
      </c>
      <c r="H12" s="666" t="e">
        <f t="shared" si="1"/>
        <v>#N/A</v>
      </c>
    </row>
    <row r="13" spans="1:8" x14ac:dyDescent="0.25">
      <c r="A13" s="257" t="s">
        <v>14</v>
      </c>
      <c r="B13" s="258">
        <f>VLOOKUP(A13,bcs!$A$4:$J$23,10,FALSE)</f>
        <v>926</v>
      </c>
      <c r="C13" s="598" t="e">
        <f>VLOOKUP(A13,bcs!$L$4:$T$23,10,FALSE)</f>
        <v>#N/A</v>
      </c>
      <c r="D13" s="604" t="e">
        <f>VLOOKUP(A13,bcs!$L$4:$T$23,25,FALSE)</f>
        <v>#N/A</v>
      </c>
      <c r="E13" s="607">
        <v>33.1</v>
      </c>
      <c r="F13" s="607">
        <v>26.8</v>
      </c>
      <c r="G13" s="665" t="e">
        <f t="shared" si="0"/>
        <v>#N/A</v>
      </c>
      <c r="H13" s="666" t="e">
        <f t="shared" si="1"/>
        <v>#N/A</v>
      </c>
    </row>
    <row r="14" spans="1:8" x14ac:dyDescent="0.25">
      <c r="A14" s="257" t="s">
        <v>15</v>
      </c>
      <c r="B14" s="258">
        <f>VLOOKUP(A14,bcs!$A$4:$J$23,10,FALSE)</f>
        <v>2</v>
      </c>
      <c r="C14" s="598" t="e">
        <f>VLOOKUP(A14,bcs!$L$4:$T$23,10,FALSE)</f>
        <v>#N/A</v>
      </c>
      <c r="D14" s="604" t="e">
        <f>VLOOKUP(A14,bcs!$L$4:$T$23,25,FALSE)</f>
        <v>#N/A</v>
      </c>
      <c r="E14" s="607">
        <v>25.8</v>
      </c>
      <c r="F14" s="607">
        <v>22.1</v>
      </c>
      <c r="G14" s="665" t="e">
        <f>C14-E14</f>
        <v>#N/A</v>
      </c>
      <c r="H14" s="666" t="e">
        <f t="shared" si="1"/>
        <v>#N/A</v>
      </c>
    </row>
    <row r="15" spans="1:8" x14ac:dyDescent="0.25">
      <c r="A15" s="257" t="s">
        <v>16</v>
      </c>
      <c r="B15" s="258">
        <f>VLOOKUP(A15,bcs!$A$4:$J$23,10,FALSE)</f>
        <v>16</v>
      </c>
      <c r="C15" s="598" t="e">
        <f>VLOOKUP(A15,bcs!$L$4:$T$23,10,FALSE)</f>
        <v>#N/A</v>
      </c>
      <c r="D15" s="820" t="e">
        <f>VLOOKUP(A15,bcs!$L$4:$T$23,25,FALSE)</f>
        <v>#N/A</v>
      </c>
      <c r="E15" s="607">
        <v>21.8</v>
      </c>
      <c r="F15" s="607">
        <v>20.2</v>
      </c>
      <c r="G15" s="665" t="e">
        <f t="shared" si="0"/>
        <v>#N/A</v>
      </c>
      <c r="H15" s="666" t="e">
        <f t="shared" si="1"/>
        <v>#N/A</v>
      </c>
    </row>
    <row r="16" spans="1:8" x14ac:dyDescent="0.25">
      <c r="A16" s="257" t="s">
        <v>568</v>
      </c>
      <c r="B16" s="258">
        <f>VLOOKUP(A16,bcs!$A$4:$J$23,10,FALSE)</f>
        <v>130</v>
      </c>
      <c r="C16" s="598" t="e">
        <f>VLOOKUP(A16,bcs!$L$4:$T$23,10,FALSE)</f>
        <v>#N/A</v>
      </c>
      <c r="D16" s="604" t="e">
        <f>VLOOKUP(A16,bcs!$L$4:$T$23,25,FALSE)</f>
        <v>#N/A</v>
      </c>
      <c r="E16" s="607">
        <v>33.9</v>
      </c>
      <c r="F16" s="607">
        <v>31.6</v>
      </c>
      <c r="G16" s="665" t="e">
        <f t="shared" si="0"/>
        <v>#N/A</v>
      </c>
      <c r="H16" s="666" t="e">
        <f t="shared" si="1"/>
        <v>#N/A</v>
      </c>
    </row>
    <row r="17" spans="1:8" x14ac:dyDescent="0.25">
      <c r="A17" s="257" t="s">
        <v>17</v>
      </c>
      <c r="B17" s="258">
        <f>VLOOKUP(A17,bcs!$A$4:$J$23,10,FALSE)</f>
        <v>0</v>
      </c>
      <c r="C17" s="598" t="e">
        <f>VLOOKUP(A17,bcs!$L$4:$T$23,10,FALSE)</f>
        <v>#N/A</v>
      </c>
      <c r="D17" s="604" t="e">
        <f>VLOOKUP(A17,bcs!$L$4:$T$23,25,FALSE)</f>
        <v>#N/A</v>
      </c>
      <c r="E17" s="607">
        <v>88.5</v>
      </c>
      <c r="F17" s="607">
        <v>81.2</v>
      </c>
      <c r="G17" s="665" t="e">
        <f t="shared" si="0"/>
        <v>#N/A</v>
      </c>
      <c r="H17" s="666" t="e">
        <f t="shared" si="1"/>
        <v>#N/A</v>
      </c>
    </row>
    <row r="18" spans="1:8" x14ac:dyDescent="0.25">
      <c r="A18" s="257" t="s">
        <v>18</v>
      </c>
      <c r="B18" s="258" t="e">
        <f>VLOOKUP(A18,bcs!$A$4:$J$23,10,FALSE)</f>
        <v>#N/A</v>
      </c>
      <c r="C18" s="598" t="e">
        <f>VLOOKUP(A18,bcs!$L$4:$T$23,10,FALSE)</f>
        <v>#N/A</v>
      </c>
      <c r="D18" s="604" t="e">
        <f>VLOOKUP(A18,bcs!$L$4:$T$23,25,FALSE)</f>
        <v>#N/A</v>
      </c>
      <c r="E18" s="607">
        <v>48.9</v>
      </c>
      <c r="F18" s="607">
        <v>42.4</v>
      </c>
      <c r="G18" s="665" t="e">
        <f t="shared" si="0"/>
        <v>#N/A</v>
      </c>
      <c r="H18" s="666" t="e">
        <f t="shared" si="1"/>
        <v>#N/A</v>
      </c>
    </row>
    <row r="19" spans="1:8" x14ac:dyDescent="0.25">
      <c r="A19" s="257" t="s">
        <v>19</v>
      </c>
      <c r="B19" s="258" t="e">
        <f>VLOOKUP(A19,bcs!$A$4:$J$23,10,FALSE)</f>
        <v>#N/A</v>
      </c>
      <c r="C19" s="598" t="e">
        <f>VLOOKUP(A19,bcs!$L$4:$T$23,10,FALSE)</f>
        <v>#N/A</v>
      </c>
      <c r="D19" s="604" t="e">
        <f>VLOOKUP(A19,bcs!$L$4:$T$23,25,FALSE)</f>
        <v>#N/A</v>
      </c>
      <c r="E19" s="607">
        <v>87.7</v>
      </c>
      <c r="F19" s="607">
        <v>75</v>
      </c>
      <c r="G19" s="665" t="e">
        <f t="shared" si="0"/>
        <v>#N/A</v>
      </c>
      <c r="H19" s="666" t="e">
        <f t="shared" si="1"/>
        <v>#N/A</v>
      </c>
    </row>
    <row r="20" spans="1:8" x14ac:dyDescent="0.25">
      <c r="A20" s="257" t="s">
        <v>20</v>
      </c>
      <c r="B20" s="258">
        <f>VLOOKUP(A20,bcs!$A$4:$J$23,10,FALSE)</f>
        <v>115</v>
      </c>
      <c r="C20" s="598" t="e">
        <f>VLOOKUP(A20,bcs!$L$4:$T$23,10,FALSE)</f>
        <v>#N/A</v>
      </c>
      <c r="D20" s="604" t="e">
        <f>VLOOKUP(A20,bcs!$L$4:$T$23,25,FALSE)</f>
        <v>#N/A</v>
      </c>
      <c r="E20" s="607">
        <v>36.200000000000003</v>
      </c>
      <c r="F20" s="607">
        <v>25</v>
      </c>
      <c r="G20" s="665" t="e">
        <f t="shared" si="0"/>
        <v>#N/A</v>
      </c>
      <c r="H20" s="666" t="e">
        <f t="shared" si="1"/>
        <v>#N/A</v>
      </c>
    </row>
    <row r="21" spans="1:8" x14ac:dyDescent="0.25">
      <c r="A21" s="257" t="s">
        <v>21</v>
      </c>
      <c r="B21" s="258">
        <f>VLOOKUP(A21,bcs!$A$4:$J$23,10,FALSE)</f>
        <v>1</v>
      </c>
      <c r="C21" s="598" t="e">
        <f>VLOOKUP(A21,bcs!$L$4:$T$23,10,FALSE)</f>
        <v>#N/A</v>
      </c>
      <c r="D21" s="604" t="e">
        <f>VLOOKUP(A21,bcs!$L$4:$T$23,25,FALSE)</f>
        <v>#N/A</v>
      </c>
      <c r="E21" s="607">
        <v>97.7</v>
      </c>
      <c r="F21" s="607">
        <v>84.8</v>
      </c>
      <c r="G21" s="665" t="e">
        <f t="shared" si="0"/>
        <v>#N/A</v>
      </c>
      <c r="H21" s="666" t="e">
        <f t="shared" si="1"/>
        <v>#N/A</v>
      </c>
    </row>
    <row r="22" spans="1:8" x14ac:dyDescent="0.25">
      <c r="A22" s="257" t="s">
        <v>22</v>
      </c>
      <c r="B22" s="258">
        <f>VLOOKUP(A22,bcs!$A$4:$J$23,10,FALSE)</f>
        <v>18</v>
      </c>
      <c r="C22" s="598" t="e">
        <f>VLOOKUP(A22,bcs!$L$4:$T$23,10,FALSE)</f>
        <v>#N/A</v>
      </c>
      <c r="D22" s="604" t="e">
        <f>VLOOKUP(A22,bcs!$L$4:$T$23,25,FALSE)</f>
        <v>#N/A</v>
      </c>
      <c r="E22" s="607">
        <v>84</v>
      </c>
      <c r="F22" s="607">
        <v>72.3</v>
      </c>
      <c r="G22" s="665" t="e">
        <f t="shared" si="0"/>
        <v>#N/A</v>
      </c>
      <c r="H22" s="666" t="e">
        <f t="shared" si="1"/>
        <v>#N/A</v>
      </c>
    </row>
    <row r="23" spans="1:8" x14ac:dyDescent="0.25">
      <c r="A23" s="257" t="s">
        <v>23</v>
      </c>
      <c r="B23" s="258">
        <f>VLOOKUP(A23,bcs!$A$4:$J$23,10,FALSE)</f>
        <v>1561</v>
      </c>
      <c r="C23" s="598" t="e">
        <f>VLOOKUP(A23,bcs!$L$4:$T$23,10,FALSE)</f>
        <v>#N/A</v>
      </c>
      <c r="D23" s="604" t="e">
        <f>VLOOKUP(A23,bcs!$L$4:$T$23,25,FALSE)</f>
        <v>#N/A</v>
      </c>
      <c r="E23" s="607">
        <v>46.8</v>
      </c>
      <c r="F23" s="607">
        <v>34.1</v>
      </c>
      <c r="G23" s="665" t="e">
        <f t="shared" si="0"/>
        <v>#N/A</v>
      </c>
      <c r="H23" s="666" t="e">
        <f t="shared" si="1"/>
        <v>#N/A</v>
      </c>
    </row>
    <row r="24" spans="1:8" ht="16.5" customHeight="1" x14ac:dyDescent="0.25">
      <c r="A24" s="601" t="s">
        <v>24</v>
      </c>
      <c r="B24" s="258" t="e">
        <f>VLOOKUP(A24,bcs!$A$4:$J$23,10,FALSE)</f>
        <v>#N/A</v>
      </c>
      <c r="C24" s="598" t="e">
        <f>VLOOKUP(A24,bcs!$L$4:$T$23,10,FALSE)</f>
        <v>#N/A</v>
      </c>
      <c r="D24" s="604" t="e">
        <f>VLOOKUP(A24,bcs!$L$4:$T$23,25,FALSE)</f>
        <v>#N/A</v>
      </c>
      <c r="E24" s="607">
        <v>56.2</v>
      </c>
      <c r="F24" s="607">
        <v>41.9</v>
      </c>
      <c r="G24" s="665" t="e">
        <f t="shared" si="0"/>
        <v>#N/A</v>
      </c>
      <c r="H24" s="666" t="e">
        <f t="shared" si="1"/>
        <v>#N/A</v>
      </c>
    </row>
    <row r="25" spans="1:8" x14ac:dyDescent="0.25">
      <c r="A25" s="257" t="s">
        <v>25</v>
      </c>
      <c r="B25" s="258" t="e">
        <f>VLOOKUP(A25,bcs!$A$4:$J$23,10,FALSE)</f>
        <v>#N/A</v>
      </c>
      <c r="C25" s="598" t="e">
        <f>VLOOKUP(A25,bcs!$L$4:$T$23,10,FALSE)</f>
        <v>#N/A</v>
      </c>
      <c r="D25" s="604" t="e">
        <f>VLOOKUP(A25,bcs!$L$4:$T$23,25,FALSE)</f>
        <v>#N/A</v>
      </c>
      <c r="E25" s="607">
        <v>70.400000000000006</v>
      </c>
      <c r="F25" s="607">
        <v>62.6</v>
      </c>
      <c r="G25" s="665" t="e">
        <f t="shared" si="0"/>
        <v>#N/A</v>
      </c>
      <c r="H25" s="666" t="e">
        <f t="shared" si="1"/>
        <v>#N/A</v>
      </c>
    </row>
    <row r="26" spans="1:8" x14ac:dyDescent="0.25">
      <c r="A26" s="257" t="s">
        <v>26</v>
      </c>
      <c r="B26" s="258" t="e">
        <f>VLOOKUP(A26,bcs!$A$4:$J$23,10,FALSE)</f>
        <v>#N/A</v>
      </c>
      <c r="C26" s="598" t="e">
        <f>VLOOKUP(A26,bcs!$L$4:$T$23,10,FALSE)</f>
        <v>#N/A</v>
      </c>
      <c r="D26" s="604" t="e">
        <f>VLOOKUP(A26,bcs!$L$4:$T$23,25,FALSE)</f>
        <v>#N/A</v>
      </c>
      <c r="E26" s="607">
        <v>69.900000000000006</v>
      </c>
      <c r="F26" s="607">
        <v>61.3</v>
      </c>
      <c r="G26" s="665" t="e">
        <f t="shared" si="0"/>
        <v>#N/A</v>
      </c>
      <c r="H26" s="666" t="e">
        <f t="shared" si="1"/>
        <v>#N/A</v>
      </c>
    </row>
    <row r="27" spans="1:8" x14ac:dyDescent="0.25">
      <c r="A27" s="257" t="s">
        <v>1109</v>
      </c>
      <c r="B27" s="258" t="e">
        <f>VLOOKUP(A27,bcs!$A$4:$J$23,10,FALSE)</f>
        <v>#N/A</v>
      </c>
      <c r="C27" s="598" t="e">
        <f>VLOOKUP(A27,bcs!$L$4:$T$23,10,FALSE)</f>
        <v>#N/A</v>
      </c>
      <c r="D27" s="604" t="e">
        <f>VLOOKUP(A27,bcs!$L$4:$T$23,25,FALSE)</f>
        <v>#N/A</v>
      </c>
      <c r="E27" s="607"/>
      <c r="F27" s="607"/>
      <c r="G27" s="665"/>
      <c r="H27" s="666"/>
    </row>
    <row r="28" spans="1:8" x14ac:dyDescent="0.25">
      <c r="A28" s="257" t="s">
        <v>27</v>
      </c>
      <c r="B28" s="258">
        <f>VLOOKUP(A28,bcs!$A$4:$J$23,10,FALSE)</f>
        <v>1146</v>
      </c>
      <c r="C28" s="598" t="e">
        <f>VLOOKUP(A28,bcs!$L$4:$T$23,10,FALSE)</f>
        <v>#N/A</v>
      </c>
      <c r="D28" s="604" t="e">
        <f>VLOOKUP(A28,bcs!$L$4:$T$23,25,FALSE)</f>
        <v>#N/A</v>
      </c>
      <c r="E28" s="607">
        <v>77</v>
      </c>
      <c r="F28" s="607">
        <v>45.2</v>
      </c>
      <c r="G28" s="665" t="e">
        <f t="shared" si="0"/>
        <v>#N/A</v>
      </c>
      <c r="H28" s="666" t="e">
        <f t="shared" si="1"/>
        <v>#N/A</v>
      </c>
    </row>
    <row r="29" spans="1:8" ht="15.75" thickBot="1" x14ac:dyDescent="0.3">
      <c r="A29" s="361" t="s">
        <v>28</v>
      </c>
      <c r="B29" s="362">
        <f>VLOOKUP(A29,bcs!$A$4:$J$23,10,FALSE)</f>
        <v>3830</v>
      </c>
      <c r="C29" s="602" t="e">
        <f>VLOOKUP(A29,bcs!$L$4:$T$23,10,FALSE)</f>
        <v>#N/A</v>
      </c>
      <c r="D29" s="606" t="e">
        <f>VLOOKUP(A29,bcs!$L$4:$T$23,25,FALSE)</f>
        <v>#N/A</v>
      </c>
      <c r="E29" s="608">
        <v>65.599999999999994</v>
      </c>
      <c r="F29" s="608">
        <v>45.6</v>
      </c>
      <c r="G29" s="821" t="e">
        <f t="shared" si="0"/>
        <v>#N/A</v>
      </c>
      <c r="H29" s="822" t="e">
        <f t="shared" si="1"/>
        <v>#N/A</v>
      </c>
    </row>
  </sheetData>
  <conditionalFormatting sqref="G2:G29">
    <cfRule type="cellIs" dxfId="81" priority="2" operator="lessThan">
      <formula>0</formula>
    </cfRule>
  </conditionalFormatting>
  <conditionalFormatting sqref="H2:H29">
    <cfRule type="cellIs" dxfId="80" priority="1" operator="lessThan">
      <formula>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8"/>
  <sheetViews>
    <sheetView topLeftCell="A35" zoomScaleNormal="100" workbookViewId="0">
      <selection activeCell="M10" sqref="M10"/>
    </sheetView>
  </sheetViews>
  <sheetFormatPr defaultColWidth="9.140625" defaultRowHeight="12.75" x14ac:dyDescent="0.2"/>
  <cols>
    <col min="1" max="1" width="39.42578125" style="390" bestFit="1" customWidth="1"/>
    <col min="2" max="10" width="11.5703125" style="390" customWidth="1"/>
    <col min="11" max="16384" width="9.140625" style="390"/>
  </cols>
  <sheetData>
    <row r="1" spans="1:10" ht="13.5" hidden="1" customHeight="1" thickBot="1" x14ac:dyDescent="0.25">
      <c r="B1" s="1041" t="s">
        <v>1073</v>
      </c>
      <c r="C1" s="1042"/>
      <c r="D1" s="1042"/>
      <c r="E1" s="1042"/>
      <c r="F1" s="1042"/>
      <c r="G1" s="1042"/>
      <c r="H1" s="1042"/>
      <c r="I1" s="1042"/>
      <c r="J1" s="1043"/>
    </row>
    <row r="2" spans="1:10" ht="26.25" thickBot="1" x14ac:dyDescent="0.25">
      <c r="B2" s="391" t="s">
        <v>1181</v>
      </c>
      <c r="C2" s="392" t="s">
        <v>1182</v>
      </c>
      <c r="D2" s="392" t="s">
        <v>1183</v>
      </c>
      <c r="E2" s="392" t="s">
        <v>1184</v>
      </c>
      <c r="F2" s="392" t="s">
        <v>1185</v>
      </c>
      <c r="G2" s="392" t="s">
        <v>1186</v>
      </c>
      <c r="H2" s="411" t="s">
        <v>1187</v>
      </c>
      <c r="I2" s="411" t="s">
        <v>1188</v>
      </c>
      <c r="J2" s="393" t="s">
        <v>1178</v>
      </c>
    </row>
    <row r="3" spans="1:10" ht="14.25" thickBot="1" x14ac:dyDescent="0.3">
      <c r="A3" s="390" t="s">
        <v>1</v>
      </c>
      <c r="B3" s="394">
        <v>26596</v>
      </c>
      <c r="C3" s="395">
        <v>20987</v>
      </c>
      <c r="D3" s="395">
        <v>30344</v>
      </c>
      <c r="E3" s="396">
        <v>22885</v>
      </c>
      <c r="F3" s="395">
        <v>28110</v>
      </c>
      <c r="G3" s="395">
        <v>23312</v>
      </c>
      <c r="H3" s="395">
        <v>38371</v>
      </c>
      <c r="I3" s="395">
        <v>19632</v>
      </c>
      <c r="J3" s="395"/>
    </row>
    <row r="4" spans="1:10" ht="15" x14ac:dyDescent="0.25">
      <c r="A4" s="390" t="s">
        <v>1074</v>
      </c>
      <c r="H4" s="390">
        <v>20785</v>
      </c>
      <c r="J4" s="398"/>
    </row>
    <row r="5" spans="1:10" ht="15" x14ac:dyDescent="0.25">
      <c r="A5" s="390" t="s">
        <v>1075</v>
      </c>
      <c r="B5" s="399">
        <f>B3-B4</f>
        <v>26596</v>
      </c>
      <c r="C5" s="399">
        <f t="shared" ref="C5:H5" si="0">C3-C4</f>
        <v>20987</v>
      </c>
      <c r="D5" s="399">
        <f t="shared" si="0"/>
        <v>30344</v>
      </c>
      <c r="E5" s="399">
        <f t="shared" si="0"/>
        <v>22885</v>
      </c>
      <c r="F5" s="399">
        <f t="shared" si="0"/>
        <v>28110</v>
      </c>
      <c r="G5" s="399">
        <f t="shared" si="0"/>
        <v>23312</v>
      </c>
      <c r="H5" s="399">
        <f t="shared" si="0"/>
        <v>17586</v>
      </c>
      <c r="I5" s="399">
        <v>22086</v>
      </c>
      <c r="J5" s="400"/>
    </row>
    <row r="6" spans="1:10" ht="15.75" thickBot="1" x14ac:dyDescent="0.3">
      <c r="A6" s="390" t="s">
        <v>1104</v>
      </c>
      <c r="B6" s="401">
        <v>83.1</v>
      </c>
      <c r="C6" s="401">
        <v>78.8</v>
      </c>
      <c r="D6" s="401">
        <v>85.3</v>
      </c>
      <c r="E6" s="401">
        <v>80.3</v>
      </c>
      <c r="F6" s="401">
        <v>83.6</v>
      </c>
      <c r="G6" s="401">
        <v>79.599999999999994</v>
      </c>
      <c r="H6" s="401">
        <v>86.6</v>
      </c>
      <c r="I6" s="401">
        <v>74.900000000000006</v>
      </c>
      <c r="J6" s="402"/>
    </row>
    <row r="7" spans="1:10" ht="14.25" thickBot="1" x14ac:dyDescent="0.3">
      <c r="A7" s="390" t="s">
        <v>1106</v>
      </c>
      <c r="B7" s="403">
        <v>83.1</v>
      </c>
      <c r="C7" s="404">
        <v>78.8</v>
      </c>
      <c r="D7" s="404">
        <v>85.3</v>
      </c>
      <c r="E7" s="405">
        <v>80.3</v>
      </c>
      <c r="F7" s="404">
        <v>83.6</v>
      </c>
      <c r="G7" s="404">
        <v>79.599999999999994</v>
      </c>
      <c r="H7" s="413">
        <v>70.900000000000006</v>
      </c>
      <c r="I7" s="413">
        <v>74.900000000000006</v>
      </c>
      <c r="J7" s="406"/>
    </row>
    <row r="8" spans="1:10" x14ac:dyDescent="0.2">
      <c r="A8" s="390" t="s">
        <v>3</v>
      </c>
      <c r="G8" s="407">
        <v>82.1</v>
      </c>
      <c r="H8" s="407">
        <v>76.2</v>
      </c>
      <c r="I8" s="407">
        <v>77.7</v>
      </c>
      <c r="J8" s="407"/>
    </row>
  </sheetData>
  <mergeCells count="1">
    <mergeCell ref="B1:J1"/>
  </mergeCells>
  <conditionalFormatting sqref="C3:D3 G3:I3">
    <cfRule type="cellIs" dxfId="79" priority="38" operator="equal">
      <formula>B3</formula>
    </cfRule>
    <cfRule type="cellIs" dxfId="78" priority="39" operator="greaterThan">
      <formula>B3</formula>
    </cfRule>
    <cfRule type="cellIs" dxfId="77" priority="40" operator="lessThan">
      <formula>B3</formula>
    </cfRule>
  </conditionalFormatting>
  <conditionalFormatting sqref="F3">
    <cfRule type="cellIs" dxfId="76" priority="35" operator="equal">
      <formula>D3</formula>
    </cfRule>
    <cfRule type="cellIs" dxfId="75" priority="36" operator="lessThan">
      <formula>D3</formula>
    </cfRule>
    <cfRule type="cellIs" dxfId="74" priority="37" operator="greaterThan">
      <formula>D3</formula>
    </cfRule>
  </conditionalFormatting>
  <conditionalFormatting sqref="D7 G7:I7">
    <cfRule type="cellIs" dxfId="73" priority="34" operator="equal">
      <formula>"-"</formula>
    </cfRule>
  </conditionalFormatting>
  <conditionalFormatting sqref="D7">
    <cfRule type="cellIs" dxfId="72" priority="33" operator="equal">
      <formula>C7</formula>
    </cfRule>
  </conditionalFormatting>
  <conditionalFormatting sqref="D7">
    <cfRule type="cellIs" dxfId="71" priority="30" operator="equal">
      <formula>"-"</formula>
    </cfRule>
    <cfRule type="cellIs" dxfId="70" priority="31" operator="lessThan">
      <formula>C7</formula>
    </cfRule>
    <cfRule type="cellIs" dxfId="69" priority="32" operator="greaterThan">
      <formula>C7</formula>
    </cfRule>
  </conditionalFormatting>
  <conditionalFormatting sqref="D7">
    <cfRule type="cellIs" dxfId="68" priority="28" operator="lessThan">
      <formula>C7</formula>
    </cfRule>
    <cfRule type="cellIs" dxfId="67" priority="29" operator="greaterThan">
      <formula>C7</formula>
    </cfRule>
  </conditionalFormatting>
  <conditionalFormatting sqref="D7">
    <cfRule type="cellIs" dxfId="66" priority="25" operator="equal">
      <formula>"-"</formula>
    </cfRule>
    <cfRule type="cellIs" dxfId="65" priority="26" operator="lessThan">
      <formula>C7</formula>
    </cfRule>
    <cfRule type="cellIs" dxfId="64" priority="27" operator="greaterThan">
      <formula>C7</formula>
    </cfRule>
  </conditionalFormatting>
  <conditionalFormatting sqref="D7">
    <cfRule type="cellIs" dxfId="63" priority="23" operator="lessThan">
      <formula>C7</formula>
    </cfRule>
    <cfRule type="cellIs" dxfId="62" priority="24" operator="greaterThan">
      <formula>C7</formula>
    </cfRule>
  </conditionalFormatting>
  <conditionalFormatting sqref="G7:I7">
    <cfRule type="cellIs" dxfId="61" priority="21" operator="lessThan">
      <formula>E7</formula>
    </cfRule>
    <cfRule type="cellIs" dxfId="60" priority="22" operator="greaterThan">
      <formula>E7</formula>
    </cfRule>
  </conditionalFormatting>
  <conditionalFormatting sqref="G7:I7">
    <cfRule type="cellIs" dxfId="59" priority="18" operator="equal">
      <formula>"'-"</formula>
    </cfRule>
    <cfRule type="cellIs" dxfId="58" priority="19" operator="lessThan">
      <formula>E7</formula>
    </cfRule>
    <cfRule type="cellIs" dxfId="57" priority="20" operator="greaterThan">
      <formula>E7</formula>
    </cfRule>
  </conditionalFormatting>
  <conditionalFormatting sqref="G7:I7">
    <cfRule type="cellIs" dxfId="56" priority="17" operator="equal">
      <formula>E7</formula>
    </cfRule>
  </conditionalFormatting>
  <conditionalFormatting sqref="C7">
    <cfRule type="cellIs" dxfId="55" priority="15" operator="lessThan">
      <formula>B7</formula>
    </cfRule>
    <cfRule type="cellIs" dxfId="54" priority="16" operator="greaterThan">
      <formula>B7</formula>
    </cfRule>
  </conditionalFormatting>
  <conditionalFormatting sqref="C7">
    <cfRule type="cellIs" dxfId="53" priority="13" operator="lessThan">
      <formula>B7</formula>
    </cfRule>
    <cfRule type="cellIs" dxfId="52" priority="14" operator="greaterThan">
      <formula>B7</formula>
    </cfRule>
  </conditionalFormatting>
  <conditionalFormatting sqref="C7:D7 G7:I7">
    <cfRule type="cellIs" dxfId="51" priority="10" operator="equal">
      <formula>B7</formula>
    </cfRule>
    <cfRule type="cellIs" dxfId="50" priority="11" operator="lessThan">
      <formula>B7</formula>
    </cfRule>
    <cfRule type="cellIs" dxfId="49" priority="12" operator="greaterThan">
      <formula>B7</formula>
    </cfRule>
  </conditionalFormatting>
  <conditionalFormatting sqref="F7">
    <cfRule type="cellIs" dxfId="48" priority="7" operator="equal">
      <formula>D7</formula>
    </cfRule>
    <cfRule type="cellIs" dxfId="47" priority="8" operator="lessThan">
      <formula>D7</formula>
    </cfRule>
    <cfRule type="cellIs" dxfId="46" priority="9" operator="greaterThan">
      <formula>D7</formula>
    </cfRule>
  </conditionalFormatting>
  <conditionalFormatting sqref="J7">
    <cfRule type="cellIs" dxfId="45" priority="4" operator="equal">
      <formula>G7</formula>
    </cfRule>
    <cfRule type="cellIs" dxfId="44" priority="5" operator="lessThan">
      <formula>G7</formula>
    </cfRule>
    <cfRule type="cellIs" dxfId="43" priority="6" operator="greaterThan">
      <formula>G7</formula>
    </cfRule>
  </conditionalFormatting>
  <conditionalFormatting sqref="J3">
    <cfRule type="cellIs" dxfId="42" priority="1" operator="equal">
      <formula>H3</formula>
    </cfRule>
    <cfRule type="cellIs" dxfId="41" priority="2" operator="greaterThan">
      <formula>H3</formula>
    </cfRule>
    <cfRule type="cellIs" dxfId="40" priority="3" operator="lessThan">
      <formula>H3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9"/>
  <sheetViews>
    <sheetView zoomScaleNormal="100" workbookViewId="0">
      <selection activeCell="M10" sqref="M10"/>
    </sheetView>
  </sheetViews>
  <sheetFormatPr defaultColWidth="9.140625" defaultRowHeight="12.75" x14ac:dyDescent="0.2"/>
  <cols>
    <col min="1" max="1" width="39.42578125" style="390" bestFit="1" customWidth="1"/>
    <col min="2" max="10" width="11.5703125" style="390" customWidth="1"/>
    <col min="11" max="16384" width="9.140625" style="390"/>
  </cols>
  <sheetData>
    <row r="1" spans="1:10" ht="13.5" thickBot="1" x14ac:dyDescent="0.25">
      <c r="B1" s="1041" t="s">
        <v>1077</v>
      </c>
      <c r="C1" s="1042"/>
      <c r="D1" s="1042"/>
      <c r="E1" s="1042"/>
      <c r="F1" s="1042"/>
      <c r="G1" s="1042"/>
      <c r="H1" s="1042"/>
      <c r="I1" s="1042"/>
      <c r="J1" s="1043"/>
    </row>
    <row r="2" spans="1:10" ht="26.25" thickBot="1" x14ac:dyDescent="0.25">
      <c r="B2" s="391" t="s">
        <v>1181</v>
      </c>
      <c r="C2" s="392" t="s">
        <v>1182</v>
      </c>
      <c r="D2" s="392" t="s">
        <v>1183</v>
      </c>
      <c r="E2" s="391" t="s">
        <v>1184</v>
      </c>
      <c r="F2" s="392" t="s">
        <v>1185</v>
      </c>
      <c r="G2" s="392" t="s">
        <v>1186</v>
      </c>
      <c r="H2" s="391" t="s">
        <v>1187</v>
      </c>
      <c r="I2" s="843" t="s">
        <v>1188</v>
      </c>
      <c r="J2" s="392" t="s">
        <v>1178</v>
      </c>
    </row>
    <row r="3" spans="1:10" ht="14.25" thickBot="1" x14ac:dyDescent="0.3">
      <c r="A3" s="390" t="s">
        <v>1</v>
      </c>
      <c r="B3" s="394">
        <v>8308</v>
      </c>
      <c r="C3" s="395">
        <v>11847</v>
      </c>
      <c r="D3" s="395">
        <v>14841</v>
      </c>
      <c r="E3" s="396">
        <v>5465</v>
      </c>
      <c r="F3" s="395">
        <v>1129</v>
      </c>
      <c r="G3" s="395">
        <v>793</v>
      </c>
      <c r="H3" s="412">
        <v>23031</v>
      </c>
      <c r="I3" s="412">
        <v>392</v>
      </c>
      <c r="J3" s="397"/>
    </row>
    <row r="4" spans="1:10" ht="15" x14ac:dyDescent="0.25">
      <c r="A4" s="390" t="s">
        <v>1078</v>
      </c>
      <c r="H4" s="390">
        <v>22659</v>
      </c>
      <c r="J4" s="408"/>
    </row>
    <row r="5" spans="1:10" ht="15" x14ac:dyDescent="0.25">
      <c r="A5" s="390" t="s">
        <v>1079</v>
      </c>
      <c r="B5" s="399">
        <f>B3-B4</f>
        <v>8308</v>
      </c>
      <c r="C5" s="399">
        <f t="shared" ref="C5:I5" si="0">C3-C4</f>
        <v>11847</v>
      </c>
      <c r="D5" s="399">
        <f t="shared" si="0"/>
        <v>14841</v>
      </c>
      <c r="E5" s="399">
        <f t="shared" si="0"/>
        <v>5465</v>
      </c>
      <c r="F5" s="399">
        <f t="shared" si="0"/>
        <v>1129</v>
      </c>
      <c r="G5" s="399">
        <f t="shared" si="0"/>
        <v>793</v>
      </c>
      <c r="H5" s="399">
        <f t="shared" si="0"/>
        <v>372</v>
      </c>
      <c r="I5" s="399">
        <f t="shared" si="0"/>
        <v>392</v>
      </c>
      <c r="J5" s="400"/>
    </row>
    <row r="6" spans="1:10" ht="15.75" thickBot="1" x14ac:dyDescent="0.3">
      <c r="A6" s="390" t="s">
        <v>1105</v>
      </c>
      <c r="B6" s="401">
        <v>26.6</v>
      </c>
      <c r="C6" s="401">
        <v>16</v>
      </c>
      <c r="D6" s="401">
        <v>9.3000000000000007</v>
      </c>
      <c r="E6" s="401">
        <v>20</v>
      </c>
      <c r="F6" s="401">
        <v>40.4</v>
      </c>
      <c r="G6" s="401">
        <v>73.3</v>
      </c>
      <c r="H6" s="401">
        <v>98.8</v>
      </c>
      <c r="I6" s="401">
        <v>30.9</v>
      </c>
      <c r="J6" s="402"/>
    </row>
    <row r="7" spans="1:10" ht="14.25" thickBot="1" x14ac:dyDescent="0.3">
      <c r="A7" s="390" t="s">
        <v>1107</v>
      </c>
      <c r="B7" s="403">
        <v>26.6</v>
      </c>
      <c r="C7" s="404">
        <v>16</v>
      </c>
      <c r="D7" s="404">
        <v>9.3000000000000007</v>
      </c>
      <c r="E7" s="405">
        <v>20</v>
      </c>
      <c r="F7" s="404">
        <v>40.4</v>
      </c>
      <c r="G7" s="404">
        <v>73.3</v>
      </c>
      <c r="H7" s="413">
        <v>30.9</v>
      </c>
      <c r="I7" s="413">
        <v>30.9</v>
      </c>
      <c r="J7" s="406"/>
    </row>
    <row r="8" spans="1:10" x14ac:dyDescent="0.2">
      <c r="A8" s="390" t="s">
        <v>1076</v>
      </c>
      <c r="G8" s="407">
        <v>76.3</v>
      </c>
      <c r="H8" s="407">
        <v>98.9</v>
      </c>
      <c r="I8" s="407">
        <v>20.6</v>
      </c>
      <c r="J8" s="407"/>
    </row>
    <row r="9" spans="1:10" x14ac:dyDescent="0.2">
      <c r="A9" s="390" t="s">
        <v>1080</v>
      </c>
      <c r="G9" s="407">
        <v>76.3</v>
      </c>
      <c r="H9" s="407">
        <v>23.7</v>
      </c>
      <c r="I9" s="407">
        <v>20.6</v>
      </c>
      <c r="J9" s="407"/>
    </row>
  </sheetData>
  <mergeCells count="1">
    <mergeCell ref="B1:J1"/>
  </mergeCells>
  <conditionalFormatting sqref="C3:D3 G3:I3">
    <cfRule type="cellIs" dxfId="39" priority="35" operator="equal">
      <formula>B3</formula>
    </cfRule>
    <cfRule type="cellIs" dxfId="38" priority="36" operator="greaterThan">
      <formula>B3</formula>
    </cfRule>
    <cfRule type="cellIs" dxfId="37" priority="37" operator="lessThan">
      <formula>B3</formula>
    </cfRule>
  </conditionalFormatting>
  <conditionalFormatting sqref="F3">
    <cfRule type="cellIs" dxfId="36" priority="32" operator="equal">
      <formula>D3</formula>
    </cfRule>
    <cfRule type="cellIs" dxfId="35" priority="33" operator="lessThan">
      <formula>D3</formula>
    </cfRule>
    <cfRule type="cellIs" dxfId="34" priority="34" operator="greaterThan">
      <formula>D3</formula>
    </cfRule>
  </conditionalFormatting>
  <conditionalFormatting sqref="D7 G7:I7">
    <cfRule type="cellIs" dxfId="33" priority="31" operator="equal">
      <formula>"-"</formula>
    </cfRule>
  </conditionalFormatting>
  <conditionalFormatting sqref="D7">
    <cfRule type="cellIs" dxfId="32" priority="30" operator="equal">
      <formula>C7</formula>
    </cfRule>
  </conditionalFormatting>
  <conditionalFormatting sqref="D7">
    <cfRule type="cellIs" dxfId="31" priority="27" operator="equal">
      <formula>"-"</formula>
    </cfRule>
    <cfRule type="cellIs" dxfId="30" priority="28" operator="lessThan">
      <formula>C7</formula>
    </cfRule>
    <cfRule type="cellIs" dxfId="29" priority="29" operator="greaterThan">
      <formula>C7</formula>
    </cfRule>
  </conditionalFormatting>
  <conditionalFormatting sqref="D7">
    <cfRule type="cellIs" dxfId="28" priority="25" operator="lessThan">
      <formula>C7</formula>
    </cfRule>
    <cfRule type="cellIs" dxfId="27" priority="26" operator="greaterThan">
      <formula>C7</formula>
    </cfRule>
  </conditionalFormatting>
  <conditionalFormatting sqref="D7">
    <cfRule type="cellIs" dxfId="26" priority="22" operator="equal">
      <formula>"-"</formula>
    </cfRule>
    <cfRule type="cellIs" dxfId="25" priority="23" operator="lessThan">
      <formula>C7</formula>
    </cfRule>
    <cfRule type="cellIs" dxfId="24" priority="24" operator="greaterThan">
      <formula>C7</formula>
    </cfRule>
  </conditionalFormatting>
  <conditionalFormatting sqref="D7">
    <cfRule type="cellIs" dxfId="23" priority="20" operator="lessThan">
      <formula>C7</formula>
    </cfRule>
    <cfRule type="cellIs" dxfId="22" priority="21" operator="greaterThan">
      <formula>C7</formula>
    </cfRule>
  </conditionalFormatting>
  <conditionalFormatting sqref="G7:I7">
    <cfRule type="cellIs" dxfId="21" priority="18" operator="lessThan">
      <formula>E7</formula>
    </cfRule>
    <cfRule type="cellIs" dxfId="20" priority="19" operator="greaterThan">
      <formula>E7</formula>
    </cfRule>
  </conditionalFormatting>
  <conditionalFormatting sqref="G7:I7">
    <cfRule type="cellIs" dxfId="19" priority="15" operator="equal">
      <formula>"'-"</formula>
    </cfRule>
    <cfRule type="cellIs" dxfId="18" priority="16" operator="lessThan">
      <formula>E7</formula>
    </cfRule>
    <cfRule type="cellIs" dxfId="17" priority="17" operator="greaterThan">
      <formula>E7</formula>
    </cfRule>
  </conditionalFormatting>
  <conditionalFormatting sqref="G7:I7">
    <cfRule type="cellIs" dxfId="16" priority="14" operator="equal">
      <formula>E7</formula>
    </cfRule>
  </conditionalFormatting>
  <conditionalFormatting sqref="C7">
    <cfRule type="cellIs" dxfId="15" priority="12" operator="lessThan">
      <formula>B7</formula>
    </cfRule>
    <cfRule type="cellIs" dxfId="14" priority="13" operator="greaterThan">
      <formula>B7</formula>
    </cfRule>
  </conditionalFormatting>
  <conditionalFormatting sqref="C7">
    <cfRule type="cellIs" dxfId="13" priority="10" operator="lessThan">
      <formula>B7</formula>
    </cfRule>
    <cfRule type="cellIs" dxfId="12" priority="11" operator="greaterThan">
      <formula>B7</formula>
    </cfRule>
  </conditionalFormatting>
  <conditionalFormatting sqref="C7:D7 G7:I7">
    <cfRule type="cellIs" dxfId="11" priority="7" operator="equal">
      <formula>B7</formula>
    </cfRule>
    <cfRule type="cellIs" dxfId="10" priority="8" operator="lessThan">
      <formula>B7</formula>
    </cfRule>
    <cfRule type="cellIs" dxfId="9" priority="9" operator="greaterThan">
      <formula>B7</formula>
    </cfRule>
  </conditionalFormatting>
  <conditionalFormatting sqref="F7">
    <cfRule type="cellIs" dxfId="8" priority="4" operator="equal">
      <formula>D7</formula>
    </cfRule>
    <cfRule type="cellIs" dxfId="7" priority="5" operator="lessThan">
      <formula>D7</formula>
    </cfRule>
    <cfRule type="cellIs" dxfId="6" priority="6" operator="greaterThan">
      <formula>D7</formula>
    </cfRule>
  </conditionalFormatting>
  <conditionalFormatting sqref="J7">
    <cfRule type="cellIs" dxfId="5" priority="1" operator="equal">
      <formula>G7</formula>
    </cfRule>
    <cfRule type="cellIs" dxfId="4" priority="2" operator="lessThan">
      <formula>G7</formula>
    </cfRule>
    <cfRule type="cellIs" dxfId="3" priority="3" operator="greaterThan">
      <formula>G7</formula>
    </cfRule>
  </conditionalFormatting>
  <conditionalFormatting sqref="J3">
    <cfRule type="cellIs" dxfId="2" priority="1100" operator="equal">
      <formula>G3</formula>
    </cfRule>
    <cfRule type="cellIs" dxfId="1" priority="1101" operator="greaterThan">
      <formula>G3</formula>
    </cfRule>
    <cfRule type="cellIs" dxfId="0" priority="1102" operator="lessThan">
      <formula>G3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4"/>
  <sheetViews>
    <sheetView workbookViewId="0">
      <selection activeCell="R24" sqref="R24"/>
    </sheetView>
  </sheetViews>
  <sheetFormatPr defaultRowHeight="15" x14ac:dyDescent="0.25"/>
  <cols>
    <col min="1" max="1" width="25.5703125" bestFit="1" customWidth="1"/>
    <col min="10" max="10" width="12.5703125" customWidth="1"/>
  </cols>
  <sheetData>
    <row r="1" spans="1:10" ht="30" x14ac:dyDescent="0.25">
      <c r="B1" s="409" t="s">
        <v>1181</v>
      </c>
      <c r="C1" s="409" t="s">
        <v>1182</v>
      </c>
      <c r="D1" s="409" t="s">
        <v>1183</v>
      </c>
      <c r="E1" s="409" t="s">
        <v>1184</v>
      </c>
      <c r="F1" s="409" t="s">
        <v>1185</v>
      </c>
      <c r="G1" s="409" t="s">
        <v>1186</v>
      </c>
      <c r="H1" s="409" t="s">
        <v>1187</v>
      </c>
      <c r="I1" s="409" t="s">
        <v>1188</v>
      </c>
      <c r="J1" s="856" t="s">
        <v>1189</v>
      </c>
    </row>
    <row r="2" spans="1:10" x14ac:dyDescent="0.25">
      <c r="A2" t="s">
        <v>1</v>
      </c>
      <c r="H2" s="857">
        <v>4337</v>
      </c>
      <c r="I2">
        <v>771</v>
      </c>
    </row>
    <row r="3" spans="1:10" x14ac:dyDescent="0.25">
      <c r="A3" t="s">
        <v>1105</v>
      </c>
      <c r="G3" s="269"/>
      <c r="H3" s="269">
        <v>62.8</v>
      </c>
      <c r="I3" s="269">
        <v>2.2000000000000002</v>
      </c>
      <c r="J3" s="269"/>
    </row>
    <row r="4" spans="1:10" x14ac:dyDescent="0.25">
      <c r="A4" t="s">
        <v>1076</v>
      </c>
      <c r="G4" s="269"/>
      <c r="H4" s="269">
        <v>0.5</v>
      </c>
      <c r="I4" s="269">
        <v>0</v>
      </c>
      <c r="J4" s="269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11"/>
  <sheetViews>
    <sheetView topLeftCell="A37" zoomScale="150" zoomScaleNormal="150" workbookViewId="0">
      <selection activeCell="K13" sqref="K13"/>
    </sheetView>
  </sheetViews>
  <sheetFormatPr defaultColWidth="9.140625" defaultRowHeight="12.75" x14ac:dyDescent="0.2"/>
  <cols>
    <col min="1" max="1" width="39.85546875" style="436" customWidth="1"/>
    <col min="2" max="9" width="11.5703125" style="390" customWidth="1"/>
    <col min="10" max="16384" width="9.140625" style="390"/>
  </cols>
  <sheetData>
    <row r="1" spans="1:9" s="414" customFormat="1" ht="13.5" thickBot="1" x14ac:dyDescent="0.25">
      <c r="A1" s="432"/>
      <c r="B1" s="1044" t="s">
        <v>572</v>
      </c>
      <c r="C1" s="1045"/>
      <c r="D1" s="1045"/>
      <c r="E1" s="1045"/>
      <c r="F1" s="1045"/>
      <c r="G1" s="1045"/>
      <c r="H1" s="1045"/>
      <c r="I1" s="1046"/>
    </row>
    <row r="2" spans="1:9" s="414" customFormat="1" x14ac:dyDescent="0.2">
      <c r="A2" s="433"/>
      <c r="B2" s="452" t="s">
        <v>1099</v>
      </c>
      <c r="C2" s="453" t="s">
        <v>1093</v>
      </c>
      <c r="D2" s="453" t="s">
        <v>1100</v>
      </c>
      <c r="E2" s="453" t="s">
        <v>1094</v>
      </c>
      <c r="F2" s="453" t="s">
        <v>1101</v>
      </c>
      <c r="G2" s="453" t="s">
        <v>1096</v>
      </c>
      <c r="H2" s="453" t="s">
        <v>1102</v>
      </c>
      <c r="I2" s="454" t="s">
        <v>1098</v>
      </c>
    </row>
    <row r="3" spans="1:9" s="414" customFormat="1" x14ac:dyDescent="0.2">
      <c r="A3" s="434"/>
      <c r="B3" s="427">
        <v>428785</v>
      </c>
      <c r="C3" s="415">
        <v>431935</v>
      </c>
      <c r="D3" s="415">
        <v>451501</v>
      </c>
      <c r="E3" s="415">
        <v>358810</v>
      </c>
      <c r="F3" s="415">
        <v>309394</v>
      </c>
      <c r="G3" s="415">
        <v>267628</v>
      </c>
      <c r="H3" s="415">
        <v>278263</v>
      </c>
      <c r="I3" s="420">
        <v>215713</v>
      </c>
    </row>
    <row r="4" spans="1:9" s="414" customFormat="1" x14ac:dyDescent="0.2">
      <c r="A4" s="434" t="s">
        <v>1081</v>
      </c>
      <c r="B4" s="455"/>
      <c r="C4" s="456"/>
      <c r="D4" s="456"/>
      <c r="E4" s="456"/>
      <c r="F4" s="456"/>
      <c r="G4" s="456"/>
      <c r="H4" s="456">
        <v>4386</v>
      </c>
      <c r="I4" s="420">
        <v>884</v>
      </c>
    </row>
    <row r="5" spans="1:9" s="414" customFormat="1" ht="25.5" x14ac:dyDescent="0.2">
      <c r="A5" s="434" t="s">
        <v>1083</v>
      </c>
      <c r="B5" s="455"/>
      <c r="C5" s="456"/>
      <c r="D5" s="456"/>
      <c r="E5" s="456"/>
      <c r="F5" s="456"/>
      <c r="G5" s="456"/>
      <c r="H5" s="456">
        <v>20785</v>
      </c>
      <c r="I5" s="421">
        <v>813</v>
      </c>
    </row>
    <row r="6" spans="1:9" s="414" customFormat="1" x14ac:dyDescent="0.2">
      <c r="A6" s="434" t="s">
        <v>1082</v>
      </c>
      <c r="B6" s="455"/>
      <c r="C6" s="456"/>
      <c r="D6" s="456"/>
      <c r="E6" s="456"/>
      <c r="F6" s="456"/>
      <c r="G6" s="456"/>
      <c r="H6" s="456">
        <v>22687</v>
      </c>
      <c r="I6" s="457"/>
    </row>
    <row r="7" spans="1:9" s="414" customFormat="1" x14ac:dyDescent="0.2">
      <c r="A7" s="434" t="s">
        <v>1</v>
      </c>
      <c r="B7" s="428">
        <f>B3-B4</f>
        <v>428785</v>
      </c>
      <c r="C7" s="416">
        <f t="shared" ref="C7:F7" si="0">C3-C4</f>
        <v>431935</v>
      </c>
      <c r="D7" s="416">
        <f>D3-D4</f>
        <v>451501</v>
      </c>
      <c r="E7" s="416">
        <f t="shared" si="0"/>
        <v>358810</v>
      </c>
      <c r="F7" s="416">
        <f t="shared" si="0"/>
        <v>309394</v>
      </c>
      <c r="G7" s="416">
        <f>G3-G4</f>
        <v>267628</v>
      </c>
      <c r="H7" s="416">
        <f>H3-H4</f>
        <v>273877</v>
      </c>
      <c r="I7" s="421">
        <f>I3-I4</f>
        <v>214829</v>
      </c>
    </row>
    <row r="8" spans="1:9" s="414" customFormat="1" x14ac:dyDescent="0.2">
      <c r="A8" s="434" t="s">
        <v>1105</v>
      </c>
      <c r="B8" s="429">
        <v>46.3</v>
      </c>
      <c r="C8" s="417">
        <v>41.2</v>
      </c>
      <c r="D8" s="417">
        <v>37.4</v>
      </c>
      <c r="E8" s="417">
        <v>47.4</v>
      </c>
      <c r="F8" s="417">
        <v>51.4</v>
      </c>
      <c r="G8" s="417">
        <v>54.8</v>
      </c>
      <c r="H8" s="417">
        <v>62.8</v>
      </c>
      <c r="I8" s="422">
        <v>59.4</v>
      </c>
    </row>
    <row r="9" spans="1:9" s="414" customFormat="1" ht="25.5" x14ac:dyDescent="0.2">
      <c r="A9" s="434" t="s">
        <v>1108</v>
      </c>
      <c r="B9" s="430">
        <v>46.3</v>
      </c>
      <c r="C9" s="418">
        <v>41.2</v>
      </c>
      <c r="D9" s="418">
        <v>37.4</v>
      </c>
      <c r="E9" s="418">
        <v>47.4</v>
      </c>
      <c r="F9" s="418">
        <v>51.4</v>
      </c>
      <c r="G9" s="418">
        <v>54.8</v>
      </c>
      <c r="H9" s="418">
        <v>56.8</v>
      </c>
      <c r="I9" s="423">
        <v>59.6</v>
      </c>
    </row>
    <row r="10" spans="1:9" s="414" customFormat="1" ht="13.5" x14ac:dyDescent="0.25">
      <c r="A10" s="434" t="s">
        <v>1076</v>
      </c>
      <c r="B10" s="430"/>
      <c r="C10" s="418"/>
      <c r="D10" s="418"/>
      <c r="E10" s="419"/>
      <c r="F10" s="418"/>
      <c r="G10" s="418">
        <v>37.700000000000003</v>
      </c>
      <c r="H10" s="418">
        <v>48.8</v>
      </c>
      <c r="I10" s="423">
        <v>46.7</v>
      </c>
    </row>
    <row r="11" spans="1:9" s="414" customFormat="1" ht="26.25" thickBot="1" x14ac:dyDescent="0.25">
      <c r="A11" s="435" t="s">
        <v>1103</v>
      </c>
      <c r="B11" s="431"/>
      <c r="C11" s="424"/>
      <c r="D11" s="424"/>
      <c r="E11" s="424"/>
      <c r="F11" s="424"/>
      <c r="G11" s="425">
        <v>37.700000000000003</v>
      </c>
      <c r="H11" s="425">
        <v>41.1</v>
      </c>
      <c r="I11" s="426">
        <v>46.4</v>
      </c>
    </row>
  </sheetData>
  <mergeCells count="1">
    <mergeCell ref="B1:I1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8">
    <tabColor rgb="FF00B0F0"/>
  </sheetPr>
  <dimension ref="A1:IT220"/>
  <sheetViews>
    <sheetView zoomScale="90" zoomScaleNormal="90" workbookViewId="0">
      <pane xSplit="2" ySplit="2" topLeftCell="C195" activePane="bottomRight" state="frozen"/>
      <selection activeCell="B219" sqref="B219"/>
      <selection pane="topRight" activeCell="B219" sqref="B219"/>
      <selection pane="bottomLeft" activeCell="B219" sqref="B219"/>
      <selection pane="bottomRight" activeCell="B219" sqref="B219"/>
    </sheetView>
  </sheetViews>
  <sheetFormatPr defaultColWidth="18.7109375" defaultRowHeight="15" x14ac:dyDescent="0.25"/>
  <cols>
    <col min="1" max="1" width="30" style="259" customWidth="1"/>
    <col min="2" max="2" width="30" style="245" customWidth="1"/>
    <col min="3" max="11" width="7.85546875" style="245" customWidth="1"/>
    <col min="12" max="249" width="7.85546875" customWidth="1"/>
    <col min="250" max="250" width="7.85546875" style="878" customWidth="1"/>
    <col min="251" max="254" width="7.85546875" customWidth="1"/>
  </cols>
  <sheetData>
    <row r="1" spans="1:254" s="245" customFormat="1" ht="79.5" customHeight="1" thickBot="1" x14ac:dyDescent="0.25">
      <c r="A1" s="971" t="s">
        <v>1193</v>
      </c>
      <c r="B1" s="973"/>
      <c r="C1" s="1049" t="s">
        <v>5</v>
      </c>
      <c r="D1" s="1049"/>
      <c r="E1" s="1049"/>
      <c r="F1" s="1049"/>
      <c r="G1" s="1049"/>
      <c r="H1" s="1049"/>
      <c r="I1" s="1049"/>
      <c r="J1" s="1050"/>
      <c r="K1" s="1050"/>
      <c r="L1" s="1047" t="s">
        <v>7</v>
      </c>
      <c r="M1" s="1047"/>
      <c r="N1" s="1047"/>
      <c r="O1" s="1047"/>
      <c r="P1" s="1047"/>
      <c r="Q1" s="1047"/>
      <c r="R1" s="1047"/>
      <c r="S1" s="1048"/>
      <c r="T1" s="1048"/>
      <c r="U1" s="1047" t="s">
        <v>564</v>
      </c>
      <c r="V1" s="1047"/>
      <c r="W1" s="1047"/>
      <c r="X1" s="1047"/>
      <c r="Y1" s="1047"/>
      <c r="Z1" s="1047"/>
      <c r="AA1" s="1047"/>
      <c r="AB1" s="1048"/>
      <c r="AC1" s="1048"/>
      <c r="AD1" s="1047" t="s">
        <v>8</v>
      </c>
      <c r="AE1" s="1047"/>
      <c r="AF1" s="1047"/>
      <c r="AG1" s="1047"/>
      <c r="AH1" s="1047"/>
      <c r="AI1" s="1047"/>
      <c r="AJ1" s="1047"/>
      <c r="AK1" s="1048"/>
      <c r="AL1" s="1048"/>
      <c r="AM1" s="1047" t="s">
        <v>565</v>
      </c>
      <c r="AN1" s="1047"/>
      <c r="AO1" s="1047"/>
      <c r="AP1" s="1047"/>
      <c r="AQ1" s="1047"/>
      <c r="AR1" s="1047"/>
      <c r="AS1" s="1047"/>
      <c r="AT1" s="1048"/>
      <c r="AU1" s="1048"/>
      <c r="AV1" s="1047" t="s">
        <v>566</v>
      </c>
      <c r="AW1" s="1047"/>
      <c r="AX1" s="1047"/>
      <c r="AY1" s="1047"/>
      <c r="AZ1" s="1047"/>
      <c r="BA1" s="1047"/>
      <c r="BB1" s="1048"/>
      <c r="BC1" s="1048"/>
      <c r="BD1" s="1048"/>
      <c r="BE1" s="1047" t="s">
        <v>9</v>
      </c>
      <c r="BF1" s="1047"/>
      <c r="BG1" s="1047"/>
      <c r="BH1" s="1047"/>
      <c r="BI1" s="1047"/>
      <c r="BJ1" s="1047"/>
      <c r="BK1" s="1047"/>
      <c r="BL1" s="1048"/>
      <c r="BM1" s="1048"/>
      <c r="BN1" s="1047" t="s">
        <v>10</v>
      </c>
      <c r="BO1" s="1047"/>
      <c r="BP1" s="1047"/>
      <c r="BQ1" s="1047"/>
      <c r="BR1" s="1047"/>
      <c r="BS1" s="1047"/>
      <c r="BT1" s="1048"/>
      <c r="BU1" s="1048"/>
      <c r="BV1" s="1048"/>
      <c r="BW1" s="1047" t="s">
        <v>11</v>
      </c>
      <c r="BX1" s="1047"/>
      <c r="BY1" s="1047"/>
      <c r="BZ1" s="1047"/>
      <c r="CA1" s="1047"/>
      <c r="CB1" s="1047"/>
      <c r="CC1" s="1048"/>
      <c r="CD1" s="1048"/>
      <c r="CE1" s="1048"/>
      <c r="CF1" s="1047" t="s">
        <v>12</v>
      </c>
      <c r="CG1" s="1047"/>
      <c r="CH1" s="1047"/>
      <c r="CI1" s="1047"/>
      <c r="CJ1" s="1047"/>
      <c r="CK1" s="1047"/>
      <c r="CL1" s="1048"/>
      <c r="CM1" s="1048"/>
      <c r="CN1" s="1048"/>
      <c r="CO1" s="971" t="s">
        <v>567</v>
      </c>
      <c r="CP1" s="972"/>
      <c r="CQ1" s="972"/>
      <c r="CR1" s="972"/>
      <c r="CS1" s="972"/>
      <c r="CT1" s="972"/>
      <c r="CU1" s="972"/>
      <c r="CV1" s="972"/>
      <c r="CW1" s="973"/>
      <c r="CX1" s="1047" t="s">
        <v>622</v>
      </c>
      <c r="CY1" s="1047"/>
      <c r="CZ1" s="1047"/>
      <c r="DA1" s="1047"/>
      <c r="DB1" s="1047"/>
      <c r="DC1" s="1047"/>
      <c r="DD1" s="1048"/>
      <c r="DE1" s="1048"/>
      <c r="DF1" s="1048"/>
      <c r="DG1" s="1047" t="s">
        <v>15</v>
      </c>
      <c r="DH1" s="1047"/>
      <c r="DI1" s="1047"/>
      <c r="DJ1" s="1047"/>
      <c r="DK1" s="1047"/>
      <c r="DL1" s="1047"/>
      <c r="DM1" s="1048"/>
      <c r="DN1" s="1048"/>
      <c r="DO1" s="1048"/>
      <c r="DP1" s="1047" t="s">
        <v>801</v>
      </c>
      <c r="DQ1" s="1047"/>
      <c r="DR1" s="1047"/>
      <c r="DS1" s="1047"/>
      <c r="DT1" s="1047"/>
      <c r="DU1" s="1047"/>
      <c r="DV1" s="1048"/>
      <c r="DW1" s="1048"/>
      <c r="DX1" s="1048"/>
      <c r="DY1" s="1047" t="s">
        <v>568</v>
      </c>
      <c r="DZ1" s="1047"/>
      <c r="EA1" s="1047"/>
      <c r="EB1" s="1047"/>
      <c r="EC1" s="1047"/>
      <c r="ED1" s="1047"/>
      <c r="EE1" s="1048"/>
      <c r="EF1" s="1048"/>
      <c r="EG1" s="1048"/>
      <c r="EH1" s="1047" t="s">
        <v>17</v>
      </c>
      <c r="EI1" s="1047"/>
      <c r="EJ1" s="1047"/>
      <c r="EK1" s="1047"/>
      <c r="EL1" s="1047"/>
      <c r="EM1" s="1047"/>
      <c r="EN1" s="1048"/>
      <c r="EO1" s="1048"/>
      <c r="EP1" s="1048"/>
      <c r="EQ1" s="1047" t="s">
        <v>18</v>
      </c>
      <c r="ER1" s="1047"/>
      <c r="ES1" s="1047"/>
      <c r="ET1" s="1047"/>
      <c r="EU1" s="1047"/>
      <c r="EV1" s="1047"/>
      <c r="EW1" s="1048"/>
      <c r="EX1" s="1048"/>
      <c r="EY1" s="1048"/>
      <c r="EZ1" s="1047" t="s">
        <v>19</v>
      </c>
      <c r="FA1" s="1047"/>
      <c r="FB1" s="1047"/>
      <c r="FC1" s="1047"/>
      <c r="FD1" s="1047"/>
      <c r="FE1" s="1047"/>
      <c r="FF1" s="1048"/>
      <c r="FG1" s="1048"/>
      <c r="FH1" s="1048"/>
      <c r="FI1" s="1047" t="s">
        <v>20</v>
      </c>
      <c r="FJ1" s="1047"/>
      <c r="FK1" s="1047"/>
      <c r="FL1" s="1047"/>
      <c r="FM1" s="1047"/>
      <c r="FN1" s="1047"/>
      <c r="FO1" s="1048"/>
      <c r="FP1" s="1048"/>
      <c r="FQ1" s="1048"/>
      <c r="FR1" s="1047" t="s">
        <v>21</v>
      </c>
      <c r="FS1" s="1047"/>
      <c r="FT1" s="1047"/>
      <c r="FU1" s="1047"/>
      <c r="FV1" s="1047"/>
      <c r="FW1" s="1047"/>
      <c r="FX1" s="1048"/>
      <c r="FY1" s="1048"/>
      <c r="FZ1" s="1048"/>
      <c r="GA1" s="1047" t="s">
        <v>22</v>
      </c>
      <c r="GB1" s="1047"/>
      <c r="GC1" s="1047"/>
      <c r="GD1" s="1047"/>
      <c r="GE1" s="1047"/>
      <c r="GF1" s="1047"/>
      <c r="GG1" s="1048"/>
      <c r="GH1" s="1048"/>
      <c r="GI1" s="1048"/>
      <c r="GJ1" s="1047" t="s">
        <v>569</v>
      </c>
      <c r="GK1" s="1047"/>
      <c r="GL1" s="1047"/>
      <c r="GM1" s="1047"/>
      <c r="GN1" s="1047"/>
      <c r="GO1" s="1047"/>
      <c r="GP1" s="1048"/>
      <c r="GQ1" s="1048"/>
      <c r="GR1" s="1048"/>
      <c r="GS1" s="971" t="s">
        <v>1194</v>
      </c>
      <c r="GT1" s="972"/>
      <c r="GU1" s="972"/>
      <c r="GV1" s="972"/>
      <c r="GW1" s="972"/>
      <c r="GX1" s="972"/>
      <c r="GY1" s="972"/>
      <c r="GZ1" s="972"/>
      <c r="HA1" s="973"/>
      <c r="HB1" s="1047" t="s">
        <v>25</v>
      </c>
      <c r="HC1" s="1047"/>
      <c r="HD1" s="1047"/>
      <c r="HE1" s="1047"/>
      <c r="HF1" s="1047"/>
      <c r="HG1" s="1047"/>
      <c r="HH1" s="1048"/>
      <c r="HI1" s="1048"/>
      <c r="HJ1" s="1048"/>
      <c r="HK1" s="1047" t="s">
        <v>26</v>
      </c>
      <c r="HL1" s="1047"/>
      <c r="HM1" s="1047"/>
      <c r="HN1" s="1047"/>
      <c r="HO1" s="1047"/>
      <c r="HP1" s="1047"/>
      <c r="HQ1" s="1048"/>
      <c r="HR1" s="1048"/>
      <c r="HS1" s="1048"/>
      <c r="HT1" s="1047" t="s">
        <v>571</v>
      </c>
      <c r="HU1" s="1047"/>
      <c r="HV1" s="1047"/>
      <c r="HW1" s="1047"/>
      <c r="HX1" s="1047"/>
      <c r="HY1" s="1047"/>
      <c r="HZ1" s="1048"/>
      <c r="IA1" s="1048"/>
      <c r="IB1" s="1048"/>
      <c r="IC1" s="1047" t="s">
        <v>572</v>
      </c>
      <c r="ID1" s="1047"/>
      <c r="IE1" s="1047"/>
      <c r="IF1" s="1047"/>
      <c r="IG1" s="1047"/>
      <c r="IH1" s="1047"/>
      <c r="II1" s="1048"/>
      <c r="IJ1" s="1048"/>
      <c r="IK1" s="1048"/>
      <c r="IL1" s="1047" t="s">
        <v>1119</v>
      </c>
      <c r="IM1" s="1047"/>
      <c r="IN1" s="1047"/>
      <c r="IO1" s="1047"/>
      <c r="IP1" s="1047"/>
      <c r="IQ1" s="1047"/>
      <c r="IR1" s="1047"/>
      <c r="IS1" s="1047"/>
      <c r="IT1" s="1047"/>
    </row>
    <row r="2" spans="1:254" s="245" customFormat="1" ht="23.25" customHeight="1" thickBot="1" x14ac:dyDescent="0.25">
      <c r="A2" s="861" t="s">
        <v>1195</v>
      </c>
      <c r="B2" s="860" t="s">
        <v>1196</v>
      </c>
      <c r="C2" s="142" t="s">
        <v>1092</v>
      </c>
      <c r="D2" s="143" t="s">
        <v>1093</v>
      </c>
      <c r="E2" s="143" t="s">
        <v>1122</v>
      </c>
      <c r="F2" s="143" t="s">
        <v>1094</v>
      </c>
      <c r="G2" s="143" t="s">
        <v>1095</v>
      </c>
      <c r="H2" s="143" t="s">
        <v>1096</v>
      </c>
      <c r="I2" s="143" t="s">
        <v>1097</v>
      </c>
      <c r="J2" s="610" t="s">
        <v>1098</v>
      </c>
      <c r="K2" s="144" t="s">
        <v>1171</v>
      </c>
      <c r="L2" s="142" t="s">
        <v>1092</v>
      </c>
      <c r="M2" s="143" t="s">
        <v>1093</v>
      </c>
      <c r="N2" s="143" t="s">
        <v>1122</v>
      </c>
      <c r="O2" s="143" t="s">
        <v>1094</v>
      </c>
      <c r="P2" s="143" t="s">
        <v>1095</v>
      </c>
      <c r="Q2" s="143" t="s">
        <v>1096</v>
      </c>
      <c r="R2" s="143" t="s">
        <v>1097</v>
      </c>
      <c r="S2" s="610" t="s">
        <v>1098</v>
      </c>
      <c r="T2" s="144" t="s">
        <v>1171</v>
      </c>
      <c r="U2" s="142" t="s">
        <v>1092</v>
      </c>
      <c r="V2" s="143" t="s">
        <v>1093</v>
      </c>
      <c r="W2" s="143" t="s">
        <v>1122</v>
      </c>
      <c r="X2" s="143" t="s">
        <v>1094</v>
      </c>
      <c r="Y2" s="143" t="s">
        <v>1095</v>
      </c>
      <c r="Z2" s="143" t="s">
        <v>1096</v>
      </c>
      <c r="AA2" s="143" t="s">
        <v>1097</v>
      </c>
      <c r="AB2" s="610" t="s">
        <v>1098</v>
      </c>
      <c r="AC2" s="144" t="s">
        <v>1171</v>
      </c>
      <c r="AD2" s="142" t="s">
        <v>1092</v>
      </c>
      <c r="AE2" s="143" t="s">
        <v>1093</v>
      </c>
      <c r="AF2" s="143" t="s">
        <v>1122</v>
      </c>
      <c r="AG2" s="143" t="s">
        <v>1094</v>
      </c>
      <c r="AH2" s="143" t="s">
        <v>1095</v>
      </c>
      <c r="AI2" s="143" t="s">
        <v>1096</v>
      </c>
      <c r="AJ2" s="143" t="s">
        <v>1097</v>
      </c>
      <c r="AK2" s="610" t="s">
        <v>1098</v>
      </c>
      <c r="AL2" s="144" t="s">
        <v>1171</v>
      </c>
      <c r="AM2" s="142" t="s">
        <v>1092</v>
      </c>
      <c r="AN2" s="143" t="s">
        <v>1093</v>
      </c>
      <c r="AO2" s="143" t="s">
        <v>1122</v>
      </c>
      <c r="AP2" s="143" t="s">
        <v>1094</v>
      </c>
      <c r="AQ2" s="143" t="s">
        <v>1095</v>
      </c>
      <c r="AR2" s="143" t="s">
        <v>1096</v>
      </c>
      <c r="AS2" s="143" t="s">
        <v>1097</v>
      </c>
      <c r="AT2" s="610" t="s">
        <v>1098</v>
      </c>
      <c r="AU2" s="144" t="s">
        <v>1171</v>
      </c>
      <c r="AV2" s="142" t="s">
        <v>1092</v>
      </c>
      <c r="AW2" s="143" t="s">
        <v>1093</v>
      </c>
      <c r="AX2" s="143" t="s">
        <v>1122</v>
      </c>
      <c r="AY2" s="143" t="s">
        <v>1094</v>
      </c>
      <c r="AZ2" s="143" t="s">
        <v>1095</v>
      </c>
      <c r="BA2" s="143" t="s">
        <v>1096</v>
      </c>
      <c r="BB2" s="143" t="s">
        <v>1097</v>
      </c>
      <c r="BC2" s="610" t="s">
        <v>1098</v>
      </c>
      <c r="BD2" s="144" t="s">
        <v>1171</v>
      </c>
      <c r="BE2" s="142" t="s">
        <v>1092</v>
      </c>
      <c r="BF2" s="143" t="s">
        <v>1093</v>
      </c>
      <c r="BG2" s="143" t="s">
        <v>1122</v>
      </c>
      <c r="BH2" s="143" t="s">
        <v>1094</v>
      </c>
      <c r="BI2" s="143" t="s">
        <v>1095</v>
      </c>
      <c r="BJ2" s="143" t="s">
        <v>1096</v>
      </c>
      <c r="BK2" s="143" t="s">
        <v>1097</v>
      </c>
      <c r="BL2" s="610" t="s">
        <v>1098</v>
      </c>
      <c r="BM2" s="144" t="s">
        <v>1171</v>
      </c>
      <c r="BN2" s="142" t="s">
        <v>1092</v>
      </c>
      <c r="BO2" s="143" t="s">
        <v>1093</v>
      </c>
      <c r="BP2" s="143" t="s">
        <v>1122</v>
      </c>
      <c r="BQ2" s="143" t="s">
        <v>1094</v>
      </c>
      <c r="BR2" s="143" t="s">
        <v>1095</v>
      </c>
      <c r="BS2" s="143" t="s">
        <v>1096</v>
      </c>
      <c r="BT2" s="143" t="s">
        <v>1097</v>
      </c>
      <c r="BU2" s="610" t="s">
        <v>1098</v>
      </c>
      <c r="BV2" s="144" t="s">
        <v>1171</v>
      </c>
      <c r="BW2" s="142" t="s">
        <v>1092</v>
      </c>
      <c r="BX2" s="143" t="s">
        <v>1093</v>
      </c>
      <c r="BY2" s="143" t="s">
        <v>1122</v>
      </c>
      <c r="BZ2" s="143" t="s">
        <v>1094</v>
      </c>
      <c r="CA2" s="143" t="s">
        <v>1095</v>
      </c>
      <c r="CB2" s="143" t="s">
        <v>1096</v>
      </c>
      <c r="CC2" s="143" t="s">
        <v>1097</v>
      </c>
      <c r="CD2" s="610" t="s">
        <v>1098</v>
      </c>
      <c r="CE2" s="144" t="s">
        <v>1171</v>
      </c>
      <c r="CF2" s="142" t="s">
        <v>1092</v>
      </c>
      <c r="CG2" s="143" t="s">
        <v>1093</v>
      </c>
      <c r="CH2" s="143" t="s">
        <v>1122</v>
      </c>
      <c r="CI2" s="143" t="s">
        <v>1094</v>
      </c>
      <c r="CJ2" s="143" t="s">
        <v>1095</v>
      </c>
      <c r="CK2" s="143" t="s">
        <v>1096</v>
      </c>
      <c r="CL2" s="143" t="s">
        <v>1097</v>
      </c>
      <c r="CM2" s="610" t="s">
        <v>1098</v>
      </c>
      <c r="CN2" s="144" t="s">
        <v>1171</v>
      </c>
      <c r="CO2" s="142" t="s">
        <v>1092</v>
      </c>
      <c r="CP2" s="143" t="s">
        <v>1093</v>
      </c>
      <c r="CQ2" s="143" t="s">
        <v>1122</v>
      </c>
      <c r="CR2" s="143" t="s">
        <v>1094</v>
      </c>
      <c r="CS2" s="143" t="s">
        <v>1095</v>
      </c>
      <c r="CT2" s="143" t="s">
        <v>1096</v>
      </c>
      <c r="CU2" s="143" t="s">
        <v>1097</v>
      </c>
      <c r="CV2" s="610" t="s">
        <v>1098</v>
      </c>
      <c r="CW2" s="144" t="s">
        <v>1171</v>
      </c>
      <c r="CX2" s="142" t="s">
        <v>1092</v>
      </c>
      <c r="CY2" s="143" t="s">
        <v>1093</v>
      </c>
      <c r="CZ2" s="143" t="s">
        <v>1122</v>
      </c>
      <c r="DA2" s="143" t="s">
        <v>1094</v>
      </c>
      <c r="DB2" s="143" t="s">
        <v>1095</v>
      </c>
      <c r="DC2" s="143" t="s">
        <v>1096</v>
      </c>
      <c r="DD2" s="143" t="s">
        <v>1097</v>
      </c>
      <c r="DE2" s="610" t="s">
        <v>1098</v>
      </c>
      <c r="DF2" s="144" t="s">
        <v>1171</v>
      </c>
      <c r="DG2" s="142" t="s">
        <v>1092</v>
      </c>
      <c r="DH2" s="143" t="s">
        <v>1093</v>
      </c>
      <c r="DI2" s="143" t="s">
        <v>1122</v>
      </c>
      <c r="DJ2" s="143" t="s">
        <v>1094</v>
      </c>
      <c r="DK2" s="143" t="s">
        <v>1095</v>
      </c>
      <c r="DL2" s="143" t="s">
        <v>1096</v>
      </c>
      <c r="DM2" s="143" t="s">
        <v>1097</v>
      </c>
      <c r="DN2" s="610" t="s">
        <v>1098</v>
      </c>
      <c r="DO2" s="144" t="s">
        <v>1171</v>
      </c>
      <c r="DP2" s="142" t="s">
        <v>1092</v>
      </c>
      <c r="DQ2" s="143" t="s">
        <v>1093</v>
      </c>
      <c r="DR2" s="143" t="s">
        <v>1122</v>
      </c>
      <c r="DS2" s="143" t="s">
        <v>1094</v>
      </c>
      <c r="DT2" s="143" t="s">
        <v>1095</v>
      </c>
      <c r="DU2" s="143" t="s">
        <v>1096</v>
      </c>
      <c r="DV2" s="143" t="s">
        <v>1097</v>
      </c>
      <c r="DW2" s="610" t="s">
        <v>1098</v>
      </c>
      <c r="DX2" s="144" t="s">
        <v>1171</v>
      </c>
      <c r="DY2" s="142" t="s">
        <v>1092</v>
      </c>
      <c r="DZ2" s="143" t="s">
        <v>1093</v>
      </c>
      <c r="EA2" s="143" t="s">
        <v>1122</v>
      </c>
      <c r="EB2" s="143" t="s">
        <v>1094</v>
      </c>
      <c r="EC2" s="143" t="s">
        <v>1095</v>
      </c>
      <c r="ED2" s="143" t="s">
        <v>1096</v>
      </c>
      <c r="EE2" s="143" t="s">
        <v>1097</v>
      </c>
      <c r="EF2" s="610" t="s">
        <v>1098</v>
      </c>
      <c r="EG2" s="144" t="s">
        <v>1171</v>
      </c>
      <c r="EH2" s="142" t="s">
        <v>1092</v>
      </c>
      <c r="EI2" s="143" t="s">
        <v>1093</v>
      </c>
      <c r="EJ2" s="143" t="s">
        <v>1122</v>
      </c>
      <c r="EK2" s="143" t="s">
        <v>1094</v>
      </c>
      <c r="EL2" s="143" t="s">
        <v>1095</v>
      </c>
      <c r="EM2" s="143" t="s">
        <v>1096</v>
      </c>
      <c r="EN2" s="143" t="s">
        <v>1097</v>
      </c>
      <c r="EO2" s="610" t="s">
        <v>1098</v>
      </c>
      <c r="EP2" s="144" t="s">
        <v>1171</v>
      </c>
      <c r="EQ2" s="142" t="s">
        <v>1092</v>
      </c>
      <c r="ER2" s="143" t="s">
        <v>1093</v>
      </c>
      <c r="ES2" s="143" t="s">
        <v>1122</v>
      </c>
      <c r="ET2" s="143" t="s">
        <v>1094</v>
      </c>
      <c r="EU2" s="143" t="s">
        <v>1095</v>
      </c>
      <c r="EV2" s="143" t="s">
        <v>1096</v>
      </c>
      <c r="EW2" s="143" t="s">
        <v>1097</v>
      </c>
      <c r="EX2" s="610" t="s">
        <v>1098</v>
      </c>
      <c r="EY2" s="144" t="s">
        <v>1171</v>
      </c>
      <c r="EZ2" s="142" t="s">
        <v>1092</v>
      </c>
      <c r="FA2" s="143" t="s">
        <v>1093</v>
      </c>
      <c r="FB2" s="143" t="s">
        <v>1122</v>
      </c>
      <c r="FC2" s="143" t="s">
        <v>1094</v>
      </c>
      <c r="FD2" s="143" t="s">
        <v>1095</v>
      </c>
      <c r="FE2" s="143" t="s">
        <v>1096</v>
      </c>
      <c r="FF2" s="143" t="s">
        <v>1097</v>
      </c>
      <c r="FG2" s="610" t="s">
        <v>1098</v>
      </c>
      <c r="FH2" s="144" t="s">
        <v>1171</v>
      </c>
      <c r="FI2" s="142" t="s">
        <v>1092</v>
      </c>
      <c r="FJ2" s="143" t="s">
        <v>1093</v>
      </c>
      <c r="FK2" s="143" t="s">
        <v>1122</v>
      </c>
      <c r="FL2" s="143" t="s">
        <v>1094</v>
      </c>
      <c r="FM2" s="143" t="s">
        <v>1095</v>
      </c>
      <c r="FN2" s="143" t="s">
        <v>1096</v>
      </c>
      <c r="FO2" s="143" t="s">
        <v>1097</v>
      </c>
      <c r="FP2" s="610" t="s">
        <v>1098</v>
      </c>
      <c r="FQ2" s="144" t="s">
        <v>1171</v>
      </c>
      <c r="FR2" s="142" t="s">
        <v>1092</v>
      </c>
      <c r="FS2" s="143" t="s">
        <v>1093</v>
      </c>
      <c r="FT2" s="143" t="s">
        <v>1122</v>
      </c>
      <c r="FU2" s="143" t="s">
        <v>1094</v>
      </c>
      <c r="FV2" s="143" t="s">
        <v>1095</v>
      </c>
      <c r="FW2" s="143" t="s">
        <v>1096</v>
      </c>
      <c r="FX2" s="143" t="s">
        <v>1097</v>
      </c>
      <c r="FY2" s="610" t="s">
        <v>1098</v>
      </c>
      <c r="FZ2" s="144" t="s">
        <v>1171</v>
      </c>
      <c r="GA2" s="142" t="s">
        <v>1092</v>
      </c>
      <c r="GB2" s="143" t="s">
        <v>1093</v>
      </c>
      <c r="GC2" s="143" t="s">
        <v>1122</v>
      </c>
      <c r="GD2" s="143" t="s">
        <v>1094</v>
      </c>
      <c r="GE2" s="143" t="s">
        <v>1095</v>
      </c>
      <c r="GF2" s="143" t="s">
        <v>1096</v>
      </c>
      <c r="GG2" s="143" t="s">
        <v>1097</v>
      </c>
      <c r="GH2" s="610" t="s">
        <v>1098</v>
      </c>
      <c r="GI2" s="144" t="s">
        <v>1171</v>
      </c>
      <c r="GJ2" s="142" t="s">
        <v>1092</v>
      </c>
      <c r="GK2" s="143" t="s">
        <v>1093</v>
      </c>
      <c r="GL2" s="143" t="s">
        <v>1122</v>
      </c>
      <c r="GM2" s="143" t="s">
        <v>1094</v>
      </c>
      <c r="GN2" s="143" t="s">
        <v>1095</v>
      </c>
      <c r="GO2" s="143" t="s">
        <v>1096</v>
      </c>
      <c r="GP2" s="143" t="s">
        <v>1097</v>
      </c>
      <c r="GQ2" s="610" t="s">
        <v>1098</v>
      </c>
      <c r="GR2" s="144" t="s">
        <v>1171</v>
      </c>
      <c r="GS2" s="142" t="s">
        <v>1092</v>
      </c>
      <c r="GT2" s="143" t="s">
        <v>1093</v>
      </c>
      <c r="GU2" s="143" t="s">
        <v>1122</v>
      </c>
      <c r="GV2" s="143" t="s">
        <v>1094</v>
      </c>
      <c r="GW2" s="143" t="s">
        <v>1095</v>
      </c>
      <c r="GX2" s="143" t="s">
        <v>1096</v>
      </c>
      <c r="GY2" s="143" t="s">
        <v>1097</v>
      </c>
      <c r="GZ2" s="610" t="s">
        <v>1098</v>
      </c>
      <c r="HA2" s="144" t="s">
        <v>1171</v>
      </c>
      <c r="HB2" s="142" t="s">
        <v>1092</v>
      </c>
      <c r="HC2" s="143" t="s">
        <v>1093</v>
      </c>
      <c r="HD2" s="143" t="s">
        <v>1122</v>
      </c>
      <c r="HE2" s="143" t="s">
        <v>1094</v>
      </c>
      <c r="HF2" s="143" t="s">
        <v>1095</v>
      </c>
      <c r="HG2" s="143" t="s">
        <v>1096</v>
      </c>
      <c r="HH2" s="143" t="s">
        <v>1097</v>
      </c>
      <c r="HI2" s="610" t="s">
        <v>1098</v>
      </c>
      <c r="HJ2" s="144" t="s">
        <v>1171</v>
      </c>
      <c r="HK2" s="142" t="s">
        <v>1092</v>
      </c>
      <c r="HL2" s="143" t="s">
        <v>1093</v>
      </c>
      <c r="HM2" s="143" t="s">
        <v>1122</v>
      </c>
      <c r="HN2" s="143" t="s">
        <v>1094</v>
      </c>
      <c r="HO2" s="143" t="s">
        <v>1095</v>
      </c>
      <c r="HP2" s="143" t="s">
        <v>1096</v>
      </c>
      <c r="HQ2" s="143" t="s">
        <v>1097</v>
      </c>
      <c r="HR2" s="610" t="s">
        <v>1098</v>
      </c>
      <c r="HS2" s="144" t="s">
        <v>1171</v>
      </c>
      <c r="HT2" s="142" t="s">
        <v>1092</v>
      </c>
      <c r="HU2" s="143" t="s">
        <v>1093</v>
      </c>
      <c r="HV2" s="143" t="s">
        <v>1122</v>
      </c>
      <c r="HW2" s="143" t="s">
        <v>1094</v>
      </c>
      <c r="HX2" s="143" t="s">
        <v>1095</v>
      </c>
      <c r="HY2" s="143" t="s">
        <v>1096</v>
      </c>
      <c r="HZ2" s="143" t="s">
        <v>1097</v>
      </c>
      <c r="IA2" s="610" t="s">
        <v>1098</v>
      </c>
      <c r="IB2" s="144" t="s">
        <v>1171</v>
      </c>
      <c r="IC2" s="142" t="s">
        <v>1092</v>
      </c>
      <c r="ID2" s="143" t="s">
        <v>1093</v>
      </c>
      <c r="IE2" s="143" t="s">
        <v>1122</v>
      </c>
      <c r="IF2" s="143" t="s">
        <v>1094</v>
      </c>
      <c r="IG2" s="143" t="s">
        <v>1095</v>
      </c>
      <c r="IH2" s="143" t="s">
        <v>1096</v>
      </c>
      <c r="II2" s="143" t="s">
        <v>1097</v>
      </c>
      <c r="IJ2" s="610" t="s">
        <v>1098</v>
      </c>
      <c r="IK2" s="144" t="s">
        <v>1171</v>
      </c>
      <c r="IL2" s="142" t="s">
        <v>1092</v>
      </c>
      <c r="IM2" s="143" t="s">
        <v>1093</v>
      </c>
      <c r="IN2" s="143" t="s">
        <v>1122</v>
      </c>
      <c r="IO2" s="143" t="s">
        <v>1094</v>
      </c>
      <c r="IP2" s="143" t="s">
        <v>1095</v>
      </c>
      <c r="IQ2" s="143" t="s">
        <v>1096</v>
      </c>
      <c r="IR2" s="143" t="s">
        <v>1097</v>
      </c>
      <c r="IS2" s="610" t="s">
        <v>1098</v>
      </c>
      <c r="IT2" s="144" t="s">
        <v>1171</v>
      </c>
    </row>
    <row r="3" spans="1:254" s="245" customFormat="1" ht="12.75" customHeight="1" x14ac:dyDescent="0.2">
      <c r="A3" s="1051" t="s">
        <v>560</v>
      </c>
      <c r="B3" s="862" t="s">
        <v>855</v>
      </c>
      <c r="C3" s="863"/>
      <c r="D3" s="442"/>
      <c r="E3" s="442"/>
      <c r="F3" s="864"/>
      <c r="G3" s="442"/>
      <c r="H3" s="442"/>
      <c r="I3" s="442"/>
      <c r="J3" s="865"/>
      <c r="K3" s="866">
        <v>0</v>
      </c>
      <c r="L3" s="863"/>
      <c r="M3" s="442"/>
      <c r="N3" s="442"/>
      <c r="O3" s="864"/>
      <c r="P3" s="442"/>
      <c r="Q3" s="442"/>
      <c r="R3" s="442"/>
      <c r="S3" s="865"/>
      <c r="T3" s="866">
        <v>0</v>
      </c>
      <c r="U3" s="863"/>
      <c r="V3" s="442"/>
      <c r="W3" s="442"/>
      <c r="X3" s="864"/>
      <c r="Y3" s="442"/>
      <c r="Z3" s="442"/>
      <c r="AA3" s="442"/>
      <c r="AB3" s="865"/>
      <c r="AC3" s="866">
        <v>0</v>
      </c>
      <c r="AD3" s="863"/>
      <c r="AE3" s="442"/>
      <c r="AF3" s="442"/>
      <c r="AG3" s="864"/>
      <c r="AH3" s="442"/>
      <c r="AI3" s="442"/>
      <c r="AJ3" s="442">
        <v>2</v>
      </c>
      <c r="AK3" s="865"/>
      <c r="AL3" s="866">
        <v>0</v>
      </c>
      <c r="AM3" s="863"/>
      <c r="AN3" s="442"/>
      <c r="AO3" s="442"/>
      <c r="AP3" s="864"/>
      <c r="AQ3" s="442"/>
      <c r="AR3" s="442"/>
      <c r="AS3" s="442">
        <v>2</v>
      </c>
      <c r="AT3" s="865"/>
      <c r="AU3" s="866">
        <v>0</v>
      </c>
      <c r="AV3" s="863"/>
      <c r="AW3" s="442"/>
      <c r="AX3" s="442"/>
      <c r="AY3" s="864"/>
      <c r="AZ3" s="442"/>
      <c r="BA3" s="442"/>
      <c r="BB3" s="442"/>
      <c r="BC3" s="865"/>
      <c r="BD3" s="866">
        <v>0</v>
      </c>
      <c r="BE3" s="863"/>
      <c r="BF3" s="442"/>
      <c r="BG3" s="442"/>
      <c r="BH3" s="864"/>
      <c r="BI3" s="442"/>
      <c r="BJ3" s="442"/>
      <c r="BK3" s="442"/>
      <c r="BL3" s="865"/>
      <c r="BM3" s="866">
        <v>0</v>
      </c>
      <c r="BN3" s="863"/>
      <c r="BO3" s="442"/>
      <c r="BP3" s="442"/>
      <c r="BQ3" s="864"/>
      <c r="BR3" s="442"/>
      <c r="BS3" s="442"/>
      <c r="BT3" s="442"/>
      <c r="BU3" s="865"/>
      <c r="BV3" s="866">
        <v>0</v>
      </c>
      <c r="BW3" s="863"/>
      <c r="BX3" s="442">
        <v>1</v>
      </c>
      <c r="BY3" s="442"/>
      <c r="BZ3" s="864"/>
      <c r="CA3" s="442"/>
      <c r="CB3" s="442"/>
      <c r="CC3" s="442"/>
      <c r="CD3" s="865"/>
      <c r="CE3" s="866">
        <v>0</v>
      </c>
      <c r="CF3" s="863"/>
      <c r="CG3" s="442"/>
      <c r="CH3" s="442"/>
      <c r="CI3" s="864"/>
      <c r="CJ3" s="442"/>
      <c r="CK3" s="442"/>
      <c r="CL3" s="442"/>
      <c r="CM3" s="865"/>
      <c r="CN3" s="866">
        <v>0</v>
      </c>
      <c r="CO3" s="863"/>
      <c r="CP3" s="442"/>
      <c r="CQ3" s="442"/>
      <c r="CR3" s="864"/>
      <c r="CS3" s="442"/>
      <c r="CT3" s="442"/>
      <c r="CU3" s="442"/>
      <c r="CV3" s="865"/>
      <c r="CW3" s="866">
        <v>0</v>
      </c>
      <c r="CX3" s="863">
        <v>4</v>
      </c>
      <c r="CY3" s="442">
        <v>3</v>
      </c>
      <c r="CZ3" s="442">
        <v>3</v>
      </c>
      <c r="DA3" s="864">
        <v>7</v>
      </c>
      <c r="DB3" s="442">
        <v>7</v>
      </c>
      <c r="DC3" s="442">
        <v>3</v>
      </c>
      <c r="DD3" s="442">
        <v>3</v>
      </c>
      <c r="DE3" s="865"/>
      <c r="DF3" s="866">
        <v>3</v>
      </c>
      <c r="DG3" s="863"/>
      <c r="DH3" s="442"/>
      <c r="DI3" s="442"/>
      <c r="DJ3" s="864"/>
      <c r="DK3" s="442"/>
      <c r="DL3" s="442"/>
      <c r="DM3" s="442"/>
      <c r="DN3" s="865"/>
      <c r="DO3" s="866">
        <v>0</v>
      </c>
      <c r="DP3" s="863"/>
      <c r="DQ3" s="442"/>
      <c r="DR3" s="442"/>
      <c r="DS3" s="864"/>
      <c r="DT3" s="442"/>
      <c r="DU3" s="442"/>
      <c r="DV3" s="442"/>
      <c r="DW3" s="865"/>
      <c r="DX3" s="866">
        <v>0</v>
      </c>
      <c r="DY3" s="863">
        <v>1</v>
      </c>
      <c r="DZ3" s="442"/>
      <c r="EA3" s="442"/>
      <c r="EB3" s="864">
        <v>1</v>
      </c>
      <c r="EC3" s="442"/>
      <c r="ED3" s="442"/>
      <c r="EE3" s="442"/>
      <c r="EF3" s="865"/>
      <c r="EG3" s="866">
        <v>0</v>
      </c>
      <c r="EH3" s="863"/>
      <c r="EI3" s="442"/>
      <c r="EJ3" s="442"/>
      <c r="EK3" s="864"/>
      <c r="EL3" s="442"/>
      <c r="EM3" s="442"/>
      <c r="EN3" s="442"/>
      <c r="EO3" s="865"/>
      <c r="EP3" s="866">
        <v>0</v>
      </c>
      <c r="EQ3" s="863"/>
      <c r="ER3" s="442"/>
      <c r="ES3" s="442"/>
      <c r="ET3" s="864">
        <v>1</v>
      </c>
      <c r="EU3" s="442"/>
      <c r="EV3" s="442"/>
      <c r="EW3" s="442"/>
      <c r="EX3" s="865"/>
      <c r="EY3" s="866">
        <v>0</v>
      </c>
      <c r="EZ3" s="863"/>
      <c r="FA3" s="442"/>
      <c r="FB3" s="442"/>
      <c r="FC3" s="864"/>
      <c r="FD3" s="442"/>
      <c r="FE3" s="442"/>
      <c r="FF3" s="442"/>
      <c r="FG3" s="865"/>
      <c r="FH3" s="866">
        <v>0</v>
      </c>
      <c r="FI3" s="863"/>
      <c r="FJ3" s="442"/>
      <c r="FK3" s="442"/>
      <c r="FL3" s="864"/>
      <c r="FM3" s="442"/>
      <c r="FN3" s="442"/>
      <c r="FO3" s="442">
        <v>1</v>
      </c>
      <c r="FP3" s="865"/>
      <c r="FQ3" s="866">
        <v>0</v>
      </c>
      <c r="FR3" s="863"/>
      <c r="FS3" s="442"/>
      <c r="FT3" s="442"/>
      <c r="FU3" s="864"/>
      <c r="FV3" s="442"/>
      <c r="FW3" s="442"/>
      <c r="FX3" s="442"/>
      <c r="FY3" s="865"/>
      <c r="FZ3" s="866">
        <v>0</v>
      </c>
      <c r="GA3" s="863"/>
      <c r="GB3" s="442"/>
      <c r="GC3" s="442"/>
      <c r="GD3" s="864"/>
      <c r="GE3" s="442"/>
      <c r="GF3" s="442"/>
      <c r="GG3" s="442"/>
      <c r="GH3" s="865"/>
      <c r="GI3" s="866">
        <v>0</v>
      </c>
      <c r="GJ3" s="863">
        <v>4</v>
      </c>
      <c r="GK3" s="442">
        <v>4</v>
      </c>
      <c r="GL3" s="442">
        <v>3</v>
      </c>
      <c r="GM3" s="864">
        <v>8</v>
      </c>
      <c r="GN3" s="442">
        <v>7</v>
      </c>
      <c r="GO3" s="442">
        <v>3</v>
      </c>
      <c r="GP3" s="442">
        <v>6</v>
      </c>
      <c r="GQ3" s="865"/>
      <c r="GR3" s="866">
        <v>3</v>
      </c>
      <c r="GS3" s="863">
        <v>1</v>
      </c>
      <c r="GT3" s="442">
        <v>1</v>
      </c>
      <c r="GU3" s="442">
        <v>1</v>
      </c>
      <c r="GV3" s="864">
        <v>1</v>
      </c>
      <c r="GW3" s="442">
        <v>2</v>
      </c>
      <c r="GX3" s="442"/>
      <c r="GY3" s="442"/>
      <c r="GZ3" s="865"/>
      <c r="HA3" s="866">
        <v>0</v>
      </c>
      <c r="HB3" s="863"/>
      <c r="HC3" s="442"/>
      <c r="HD3" s="442"/>
      <c r="HE3" s="864"/>
      <c r="HF3" s="442"/>
      <c r="HG3" s="442"/>
      <c r="HH3" s="442"/>
      <c r="HI3" s="865"/>
      <c r="HJ3" s="866">
        <v>0</v>
      </c>
      <c r="HK3" s="863"/>
      <c r="HL3" s="442"/>
      <c r="HM3" s="442"/>
      <c r="HN3" s="864"/>
      <c r="HO3" s="442"/>
      <c r="HP3" s="442">
        <v>1</v>
      </c>
      <c r="HQ3" s="442"/>
      <c r="HR3" s="865"/>
      <c r="HS3" s="866">
        <v>0</v>
      </c>
      <c r="HT3" s="863">
        <v>2</v>
      </c>
      <c r="HU3" s="442">
        <v>1</v>
      </c>
      <c r="HV3" s="442">
        <v>3</v>
      </c>
      <c r="HW3" s="864">
        <v>11</v>
      </c>
      <c r="HX3" s="442">
        <v>15</v>
      </c>
      <c r="HY3" s="442">
        <v>1</v>
      </c>
      <c r="HZ3" s="442"/>
      <c r="IA3" s="865">
        <v>1</v>
      </c>
      <c r="IB3" s="866">
        <v>3</v>
      </c>
      <c r="IC3" s="863">
        <v>6</v>
      </c>
      <c r="ID3" s="442">
        <v>5</v>
      </c>
      <c r="IE3" s="442">
        <v>7</v>
      </c>
      <c r="IF3" s="864">
        <v>23</v>
      </c>
      <c r="IG3" s="442">
        <v>26</v>
      </c>
      <c r="IH3" s="442">
        <v>4</v>
      </c>
      <c r="II3" s="442">
        <v>9</v>
      </c>
      <c r="IJ3" s="865">
        <v>1</v>
      </c>
      <c r="IK3" s="866">
        <v>7</v>
      </c>
      <c r="IL3" s="441">
        <v>2</v>
      </c>
      <c r="IM3" s="442">
        <v>3</v>
      </c>
      <c r="IN3" s="442">
        <v>2</v>
      </c>
      <c r="IO3" s="867">
        <v>4</v>
      </c>
      <c r="IP3" s="867">
        <v>3</v>
      </c>
      <c r="IQ3" s="442">
        <v>1</v>
      </c>
      <c r="IR3" s="442">
        <v>1</v>
      </c>
      <c r="IS3" s="865"/>
      <c r="IT3" s="866">
        <v>1</v>
      </c>
    </row>
    <row r="4" spans="1:254" s="245" customFormat="1" ht="12.75" customHeight="1" x14ac:dyDescent="0.2">
      <c r="A4" s="1052"/>
      <c r="B4" s="868" t="s">
        <v>856</v>
      </c>
      <c r="C4" s="869"/>
      <c r="D4" s="373"/>
      <c r="E4" s="373"/>
      <c r="F4" s="870"/>
      <c r="G4" s="373"/>
      <c r="H4" s="373"/>
      <c r="I4" s="373"/>
      <c r="J4" s="618"/>
      <c r="K4" s="374">
        <v>0</v>
      </c>
      <c r="L4" s="869"/>
      <c r="M4" s="373"/>
      <c r="N4" s="373"/>
      <c r="O4" s="870"/>
      <c r="P4" s="373"/>
      <c r="Q4" s="373"/>
      <c r="R4" s="373"/>
      <c r="S4" s="618"/>
      <c r="T4" s="374">
        <v>0</v>
      </c>
      <c r="U4" s="869"/>
      <c r="V4" s="373"/>
      <c r="W4" s="373"/>
      <c r="X4" s="870"/>
      <c r="Y4" s="373"/>
      <c r="Z4" s="373"/>
      <c r="AA4" s="373"/>
      <c r="AB4" s="618"/>
      <c r="AC4" s="374">
        <v>0</v>
      </c>
      <c r="AD4" s="869"/>
      <c r="AE4" s="373"/>
      <c r="AF4" s="373">
        <v>1</v>
      </c>
      <c r="AG4" s="870">
        <v>1</v>
      </c>
      <c r="AH4" s="373">
        <v>2</v>
      </c>
      <c r="AI4" s="373"/>
      <c r="AJ4" s="373">
        <v>1</v>
      </c>
      <c r="AK4" s="618">
        <v>1</v>
      </c>
      <c r="AL4" s="374">
        <v>0</v>
      </c>
      <c r="AM4" s="869"/>
      <c r="AN4" s="373"/>
      <c r="AO4" s="373">
        <v>1</v>
      </c>
      <c r="AP4" s="870"/>
      <c r="AQ4" s="373"/>
      <c r="AR4" s="373"/>
      <c r="AS4" s="373">
        <v>1</v>
      </c>
      <c r="AT4" s="618"/>
      <c r="AU4" s="374">
        <v>0</v>
      </c>
      <c r="AV4" s="869"/>
      <c r="AW4" s="373"/>
      <c r="AX4" s="373"/>
      <c r="AY4" s="870"/>
      <c r="AZ4" s="373"/>
      <c r="BA4" s="373"/>
      <c r="BB4" s="373"/>
      <c r="BC4" s="618"/>
      <c r="BD4" s="374">
        <v>0</v>
      </c>
      <c r="BE4" s="869"/>
      <c r="BF4" s="373"/>
      <c r="BG4" s="373"/>
      <c r="BH4" s="870"/>
      <c r="BI4" s="373"/>
      <c r="BJ4" s="373"/>
      <c r="BK4" s="373"/>
      <c r="BL4" s="618"/>
      <c r="BM4" s="374">
        <v>0</v>
      </c>
      <c r="BN4" s="869"/>
      <c r="BO4" s="373"/>
      <c r="BP4" s="373"/>
      <c r="BQ4" s="870"/>
      <c r="BR4" s="373"/>
      <c r="BS4" s="373"/>
      <c r="BT4" s="373"/>
      <c r="BU4" s="618"/>
      <c r="BV4" s="374">
        <v>0</v>
      </c>
      <c r="BW4" s="869">
        <v>1</v>
      </c>
      <c r="BX4" s="373"/>
      <c r="BY4" s="373">
        <v>1</v>
      </c>
      <c r="BZ4" s="870">
        <v>1</v>
      </c>
      <c r="CA4" s="373"/>
      <c r="CB4" s="373">
        <v>1</v>
      </c>
      <c r="CC4" s="373"/>
      <c r="CD4" s="618"/>
      <c r="CE4" s="374">
        <v>0</v>
      </c>
      <c r="CF4" s="869"/>
      <c r="CG4" s="373"/>
      <c r="CH4" s="373"/>
      <c r="CI4" s="870"/>
      <c r="CJ4" s="373"/>
      <c r="CK4" s="373"/>
      <c r="CL4" s="373"/>
      <c r="CM4" s="618"/>
      <c r="CN4" s="374">
        <v>0</v>
      </c>
      <c r="CO4" s="869"/>
      <c r="CP4" s="373"/>
      <c r="CQ4" s="373"/>
      <c r="CR4" s="870"/>
      <c r="CS4" s="373"/>
      <c r="CT4" s="373"/>
      <c r="CU4" s="373"/>
      <c r="CV4" s="618"/>
      <c r="CW4" s="374">
        <v>0</v>
      </c>
      <c r="CX4" s="869"/>
      <c r="CY4" s="373">
        <v>2</v>
      </c>
      <c r="CZ4" s="373">
        <v>1</v>
      </c>
      <c r="DA4" s="870"/>
      <c r="DB4" s="373">
        <v>2</v>
      </c>
      <c r="DC4" s="373"/>
      <c r="DD4" s="373"/>
      <c r="DE4" s="618">
        <v>2</v>
      </c>
      <c r="DF4" s="374">
        <v>0</v>
      </c>
      <c r="DG4" s="869"/>
      <c r="DH4" s="373"/>
      <c r="DI4" s="373"/>
      <c r="DJ4" s="870"/>
      <c r="DK4" s="373"/>
      <c r="DL4" s="373"/>
      <c r="DM4" s="373"/>
      <c r="DN4" s="618"/>
      <c r="DO4" s="374">
        <v>0</v>
      </c>
      <c r="DP4" s="869"/>
      <c r="DQ4" s="373"/>
      <c r="DR4" s="373"/>
      <c r="DS4" s="870"/>
      <c r="DT4" s="373"/>
      <c r="DU4" s="373"/>
      <c r="DV4" s="373"/>
      <c r="DW4" s="618"/>
      <c r="DX4" s="374">
        <v>0</v>
      </c>
      <c r="DY4" s="869"/>
      <c r="DZ4" s="373"/>
      <c r="EA4" s="373"/>
      <c r="EB4" s="870"/>
      <c r="EC4" s="373"/>
      <c r="ED4" s="373"/>
      <c r="EE4" s="373"/>
      <c r="EF4" s="618">
        <v>1</v>
      </c>
      <c r="EG4" s="374">
        <v>0</v>
      </c>
      <c r="EH4" s="869"/>
      <c r="EI4" s="373"/>
      <c r="EJ4" s="373"/>
      <c r="EK4" s="870"/>
      <c r="EL4" s="373"/>
      <c r="EM4" s="373"/>
      <c r="EN4" s="373"/>
      <c r="EO4" s="618"/>
      <c r="EP4" s="374">
        <v>0</v>
      </c>
      <c r="EQ4" s="869"/>
      <c r="ER4" s="373"/>
      <c r="ES4" s="373"/>
      <c r="ET4" s="870"/>
      <c r="EU4" s="373"/>
      <c r="EV4" s="373"/>
      <c r="EW4" s="373"/>
      <c r="EX4" s="618"/>
      <c r="EY4" s="374">
        <v>0</v>
      </c>
      <c r="EZ4" s="869"/>
      <c r="FA4" s="373"/>
      <c r="FB4" s="373"/>
      <c r="FC4" s="870"/>
      <c r="FD4" s="373"/>
      <c r="FE4" s="373"/>
      <c r="FF4" s="373"/>
      <c r="FG4" s="618"/>
      <c r="FH4" s="374">
        <v>0</v>
      </c>
      <c r="FI4" s="869"/>
      <c r="FJ4" s="373"/>
      <c r="FK4" s="373"/>
      <c r="FL4" s="870"/>
      <c r="FM4" s="373"/>
      <c r="FN4" s="373"/>
      <c r="FO4" s="373"/>
      <c r="FP4" s="618"/>
      <c r="FQ4" s="374">
        <v>0</v>
      </c>
      <c r="FR4" s="869"/>
      <c r="FS4" s="373"/>
      <c r="FT4" s="373"/>
      <c r="FU4" s="870"/>
      <c r="FV4" s="373"/>
      <c r="FW4" s="373"/>
      <c r="FX4" s="373"/>
      <c r="FY4" s="618"/>
      <c r="FZ4" s="374">
        <v>0</v>
      </c>
      <c r="GA4" s="869"/>
      <c r="GB4" s="373"/>
      <c r="GC4" s="373"/>
      <c r="GD4" s="870"/>
      <c r="GE4" s="373"/>
      <c r="GF4" s="373"/>
      <c r="GG4" s="373"/>
      <c r="GH4" s="618"/>
      <c r="GI4" s="374">
        <v>0</v>
      </c>
      <c r="GJ4" s="869">
        <v>1</v>
      </c>
      <c r="GK4" s="373">
        <v>2</v>
      </c>
      <c r="GL4" s="373">
        <v>3</v>
      </c>
      <c r="GM4" s="870">
        <v>2</v>
      </c>
      <c r="GN4" s="373">
        <v>4</v>
      </c>
      <c r="GO4" s="373">
        <v>1</v>
      </c>
      <c r="GP4" s="373">
        <v>1</v>
      </c>
      <c r="GQ4" s="618">
        <v>3</v>
      </c>
      <c r="GR4" s="374">
        <v>0</v>
      </c>
      <c r="GS4" s="869"/>
      <c r="GT4" s="373">
        <v>1</v>
      </c>
      <c r="GU4" s="373">
        <v>2</v>
      </c>
      <c r="GV4" s="870">
        <v>2</v>
      </c>
      <c r="GW4" s="373"/>
      <c r="GX4" s="373"/>
      <c r="GY4" s="373"/>
      <c r="GZ4" s="618"/>
      <c r="HA4" s="374">
        <v>0</v>
      </c>
      <c r="HB4" s="869"/>
      <c r="HC4" s="373"/>
      <c r="HD4" s="373"/>
      <c r="HE4" s="870"/>
      <c r="HF4" s="373"/>
      <c r="HG4" s="373"/>
      <c r="HH4" s="373"/>
      <c r="HI4" s="618"/>
      <c r="HJ4" s="374">
        <v>0</v>
      </c>
      <c r="HK4" s="869"/>
      <c r="HL4" s="373"/>
      <c r="HM4" s="373"/>
      <c r="HN4" s="870"/>
      <c r="HO4" s="373"/>
      <c r="HP4" s="373"/>
      <c r="HQ4" s="373"/>
      <c r="HR4" s="618"/>
      <c r="HS4" s="374">
        <v>0</v>
      </c>
      <c r="HT4" s="869"/>
      <c r="HU4" s="373">
        <v>1</v>
      </c>
      <c r="HV4" s="373">
        <v>2</v>
      </c>
      <c r="HW4" s="870">
        <v>2</v>
      </c>
      <c r="HX4" s="373"/>
      <c r="HY4" s="373"/>
      <c r="HZ4" s="373"/>
      <c r="IA4" s="618"/>
      <c r="IB4" s="374">
        <v>0</v>
      </c>
      <c r="IC4" s="869">
        <v>2</v>
      </c>
      <c r="ID4" s="373">
        <v>2</v>
      </c>
      <c r="IE4" s="373">
        <v>3</v>
      </c>
      <c r="IF4" s="870">
        <v>2</v>
      </c>
      <c r="IG4" s="373">
        <v>7</v>
      </c>
      <c r="IH4" s="373">
        <v>2</v>
      </c>
      <c r="II4" s="373">
        <v>2</v>
      </c>
      <c r="IJ4" s="618">
        <v>6</v>
      </c>
      <c r="IK4" s="374">
        <v>2</v>
      </c>
      <c r="IL4" s="377"/>
      <c r="IM4" s="373"/>
      <c r="IN4" s="373"/>
      <c r="IO4" s="871"/>
      <c r="IP4" s="871"/>
      <c r="IQ4" s="373"/>
      <c r="IR4" s="373"/>
      <c r="IS4" s="618">
        <v>1</v>
      </c>
      <c r="IT4" s="374">
        <v>0</v>
      </c>
    </row>
    <row r="5" spans="1:254" s="245" customFormat="1" ht="12.75" customHeight="1" x14ac:dyDescent="0.2">
      <c r="A5" s="1052"/>
      <c r="B5" s="868" t="s">
        <v>857</v>
      </c>
      <c r="C5" s="869"/>
      <c r="D5" s="373"/>
      <c r="E5" s="373"/>
      <c r="F5" s="870"/>
      <c r="G5" s="373"/>
      <c r="H5" s="373"/>
      <c r="I5" s="373"/>
      <c r="J5" s="618"/>
      <c r="K5" s="374">
        <v>0</v>
      </c>
      <c r="L5" s="869"/>
      <c r="M5" s="373"/>
      <c r="N5" s="373"/>
      <c r="O5" s="870"/>
      <c r="P5" s="373"/>
      <c r="Q5" s="373"/>
      <c r="R5" s="373"/>
      <c r="S5" s="618"/>
      <c r="T5" s="374">
        <v>0</v>
      </c>
      <c r="U5" s="869"/>
      <c r="V5" s="373"/>
      <c r="W5" s="373"/>
      <c r="X5" s="870"/>
      <c r="Y5" s="373"/>
      <c r="Z5" s="373"/>
      <c r="AA5" s="373"/>
      <c r="AB5" s="618"/>
      <c r="AC5" s="374">
        <v>0</v>
      </c>
      <c r="AD5" s="869">
        <v>1</v>
      </c>
      <c r="AE5" s="373">
        <v>3</v>
      </c>
      <c r="AF5" s="373"/>
      <c r="AG5" s="870"/>
      <c r="AH5" s="373">
        <v>2</v>
      </c>
      <c r="AI5" s="373">
        <v>3</v>
      </c>
      <c r="AJ5" s="373">
        <v>1</v>
      </c>
      <c r="AK5" s="618">
        <v>5</v>
      </c>
      <c r="AL5" s="374">
        <v>0</v>
      </c>
      <c r="AM5" s="869"/>
      <c r="AN5" s="373">
        <v>1</v>
      </c>
      <c r="AO5" s="373"/>
      <c r="AP5" s="870"/>
      <c r="AQ5" s="373"/>
      <c r="AR5" s="373"/>
      <c r="AS5" s="373"/>
      <c r="AT5" s="618">
        <v>2</v>
      </c>
      <c r="AU5" s="374">
        <v>0</v>
      </c>
      <c r="AV5" s="869"/>
      <c r="AW5" s="373"/>
      <c r="AX5" s="373"/>
      <c r="AY5" s="870"/>
      <c r="AZ5" s="373"/>
      <c r="BA5" s="373"/>
      <c r="BB5" s="373"/>
      <c r="BC5" s="618"/>
      <c r="BD5" s="374">
        <v>0</v>
      </c>
      <c r="BE5" s="869"/>
      <c r="BF5" s="373"/>
      <c r="BG5" s="373"/>
      <c r="BH5" s="870"/>
      <c r="BI5" s="373"/>
      <c r="BJ5" s="373"/>
      <c r="BK5" s="373"/>
      <c r="BL5" s="618"/>
      <c r="BM5" s="374">
        <v>0</v>
      </c>
      <c r="BN5" s="869"/>
      <c r="BO5" s="373"/>
      <c r="BP5" s="373"/>
      <c r="BQ5" s="870"/>
      <c r="BR5" s="373"/>
      <c r="BS5" s="373"/>
      <c r="BT5" s="373"/>
      <c r="BU5" s="618"/>
      <c r="BV5" s="374">
        <v>0</v>
      </c>
      <c r="BW5" s="869">
        <v>1</v>
      </c>
      <c r="BX5" s="373">
        <v>1</v>
      </c>
      <c r="BY5" s="373"/>
      <c r="BZ5" s="870"/>
      <c r="CA5" s="373">
        <v>2</v>
      </c>
      <c r="CB5" s="373">
        <v>1</v>
      </c>
      <c r="CC5" s="373">
        <v>1</v>
      </c>
      <c r="CD5" s="618">
        <v>2</v>
      </c>
      <c r="CE5" s="374">
        <v>1</v>
      </c>
      <c r="CF5" s="869"/>
      <c r="CG5" s="373"/>
      <c r="CH5" s="373"/>
      <c r="CI5" s="870"/>
      <c r="CJ5" s="373"/>
      <c r="CK5" s="373"/>
      <c r="CL5" s="373"/>
      <c r="CM5" s="618"/>
      <c r="CN5" s="374">
        <v>0</v>
      </c>
      <c r="CO5" s="869"/>
      <c r="CP5" s="373"/>
      <c r="CQ5" s="373"/>
      <c r="CR5" s="870"/>
      <c r="CS5" s="373"/>
      <c r="CT5" s="373"/>
      <c r="CU5" s="373"/>
      <c r="CV5" s="618"/>
      <c r="CW5" s="374">
        <v>0</v>
      </c>
      <c r="CX5" s="869">
        <v>5</v>
      </c>
      <c r="CY5" s="373">
        <v>7</v>
      </c>
      <c r="CZ5" s="373">
        <v>14</v>
      </c>
      <c r="DA5" s="870">
        <v>3</v>
      </c>
      <c r="DB5" s="373">
        <v>14</v>
      </c>
      <c r="DC5" s="373">
        <v>7</v>
      </c>
      <c r="DD5" s="373">
        <v>6</v>
      </c>
      <c r="DE5" s="618">
        <v>2</v>
      </c>
      <c r="DF5" s="374">
        <v>2</v>
      </c>
      <c r="DG5" s="869"/>
      <c r="DH5" s="373"/>
      <c r="DI5" s="373"/>
      <c r="DJ5" s="870"/>
      <c r="DK5" s="373"/>
      <c r="DL5" s="373"/>
      <c r="DM5" s="373"/>
      <c r="DN5" s="618"/>
      <c r="DO5" s="374">
        <v>0</v>
      </c>
      <c r="DP5" s="869"/>
      <c r="DQ5" s="373"/>
      <c r="DR5" s="373"/>
      <c r="DS5" s="870"/>
      <c r="DT5" s="373"/>
      <c r="DU5" s="373"/>
      <c r="DV5" s="373"/>
      <c r="DW5" s="618"/>
      <c r="DX5" s="374">
        <v>0</v>
      </c>
      <c r="DY5" s="869"/>
      <c r="DZ5" s="373">
        <v>1</v>
      </c>
      <c r="EA5" s="373">
        <v>6</v>
      </c>
      <c r="EB5" s="870">
        <v>1</v>
      </c>
      <c r="EC5" s="373">
        <v>3</v>
      </c>
      <c r="ED5" s="373">
        <v>2</v>
      </c>
      <c r="EE5" s="373">
        <v>2</v>
      </c>
      <c r="EF5" s="618">
        <v>1</v>
      </c>
      <c r="EG5" s="374">
        <v>0</v>
      </c>
      <c r="EH5" s="869"/>
      <c r="EI5" s="373">
        <v>1</v>
      </c>
      <c r="EJ5" s="373"/>
      <c r="EK5" s="870"/>
      <c r="EL5" s="373"/>
      <c r="EM5" s="373"/>
      <c r="EN5" s="373"/>
      <c r="EO5" s="618"/>
      <c r="EP5" s="374">
        <v>0</v>
      </c>
      <c r="EQ5" s="869"/>
      <c r="ER5" s="373"/>
      <c r="ES5" s="373"/>
      <c r="ET5" s="870"/>
      <c r="EU5" s="373"/>
      <c r="EV5" s="373"/>
      <c r="EW5" s="373"/>
      <c r="EX5" s="618"/>
      <c r="EY5" s="374">
        <v>0</v>
      </c>
      <c r="EZ5" s="869"/>
      <c r="FA5" s="373"/>
      <c r="FB5" s="373"/>
      <c r="FC5" s="870"/>
      <c r="FD5" s="373"/>
      <c r="FE5" s="373"/>
      <c r="FF5" s="373"/>
      <c r="FG5" s="618"/>
      <c r="FH5" s="374">
        <v>0</v>
      </c>
      <c r="FI5" s="869">
        <v>1</v>
      </c>
      <c r="FJ5" s="373">
        <v>1</v>
      </c>
      <c r="FK5" s="373"/>
      <c r="FL5" s="870"/>
      <c r="FM5" s="373"/>
      <c r="FN5" s="373"/>
      <c r="FO5" s="373"/>
      <c r="FP5" s="618"/>
      <c r="FQ5" s="374">
        <v>0</v>
      </c>
      <c r="FR5" s="869">
        <v>1</v>
      </c>
      <c r="FS5" s="373"/>
      <c r="FT5" s="373"/>
      <c r="FU5" s="870"/>
      <c r="FV5" s="373"/>
      <c r="FW5" s="373"/>
      <c r="FX5" s="373"/>
      <c r="FY5" s="618"/>
      <c r="FZ5" s="374">
        <v>0</v>
      </c>
      <c r="GA5" s="869"/>
      <c r="GB5" s="373"/>
      <c r="GC5" s="373"/>
      <c r="GD5" s="870"/>
      <c r="GE5" s="373"/>
      <c r="GF5" s="373"/>
      <c r="GG5" s="373"/>
      <c r="GH5" s="618">
        <v>1</v>
      </c>
      <c r="GI5" s="374">
        <v>0</v>
      </c>
      <c r="GJ5" s="869">
        <v>9</v>
      </c>
      <c r="GK5" s="373">
        <v>13</v>
      </c>
      <c r="GL5" s="373">
        <v>14</v>
      </c>
      <c r="GM5" s="870">
        <v>3</v>
      </c>
      <c r="GN5" s="373">
        <v>18</v>
      </c>
      <c r="GO5" s="373">
        <v>11</v>
      </c>
      <c r="GP5" s="373">
        <v>8</v>
      </c>
      <c r="GQ5" s="618">
        <v>10</v>
      </c>
      <c r="GR5" s="374">
        <v>3</v>
      </c>
      <c r="GS5" s="869">
        <v>1</v>
      </c>
      <c r="GT5" s="373">
        <v>1</v>
      </c>
      <c r="GU5" s="373">
        <v>3</v>
      </c>
      <c r="GV5" s="870"/>
      <c r="GW5" s="373">
        <v>3</v>
      </c>
      <c r="GX5" s="373">
        <v>4</v>
      </c>
      <c r="GY5" s="373">
        <v>1</v>
      </c>
      <c r="GZ5" s="618">
        <v>7</v>
      </c>
      <c r="HA5" s="374">
        <v>0</v>
      </c>
      <c r="HB5" s="869"/>
      <c r="HC5" s="373"/>
      <c r="HD5" s="373"/>
      <c r="HE5" s="870"/>
      <c r="HF5" s="373"/>
      <c r="HG5" s="373"/>
      <c r="HH5" s="373"/>
      <c r="HI5" s="618"/>
      <c r="HJ5" s="374">
        <v>0</v>
      </c>
      <c r="HK5" s="869"/>
      <c r="HL5" s="373"/>
      <c r="HM5" s="373"/>
      <c r="HN5" s="870"/>
      <c r="HO5" s="373"/>
      <c r="HP5" s="373"/>
      <c r="HQ5" s="373"/>
      <c r="HR5" s="618"/>
      <c r="HS5" s="374">
        <v>0</v>
      </c>
      <c r="HT5" s="869">
        <v>2</v>
      </c>
      <c r="HU5" s="373">
        <v>2</v>
      </c>
      <c r="HV5" s="373">
        <v>4</v>
      </c>
      <c r="HW5" s="870">
        <v>1</v>
      </c>
      <c r="HX5" s="373">
        <v>3</v>
      </c>
      <c r="HY5" s="373">
        <v>5</v>
      </c>
      <c r="HZ5" s="373">
        <v>4</v>
      </c>
      <c r="IA5" s="618">
        <v>9</v>
      </c>
      <c r="IB5" s="374">
        <v>1</v>
      </c>
      <c r="IC5" s="869">
        <v>16</v>
      </c>
      <c r="ID5" s="373">
        <v>20</v>
      </c>
      <c r="IE5" s="373">
        <v>19</v>
      </c>
      <c r="IF5" s="870">
        <v>8</v>
      </c>
      <c r="IG5" s="373">
        <v>20</v>
      </c>
      <c r="IH5" s="373">
        <v>16</v>
      </c>
      <c r="II5" s="373">
        <v>26</v>
      </c>
      <c r="IJ5" s="618">
        <v>14</v>
      </c>
      <c r="IK5" s="374">
        <v>5</v>
      </c>
      <c r="IL5" s="377">
        <v>2</v>
      </c>
      <c r="IM5" s="373">
        <v>3</v>
      </c>
      <c r="IN5" s="373">
        <v>7</v>
      </c>
      <c r="IO5" s="871"/>
      <c r="IP5" s="871">
        <v>7</v>
      </c>
      <c r="IQ5" s="373">
        <v>5</v>
      </c>
      <c r="IR5" s="373">
        <v>3</v>
      </c>
      <c r="IS5" s="618">
        <v>1</v>
      </c>
      <c r="IT5" s="374">
        <v>1</v>
      </c>
    </row>
    <row r="6" spans="1:254" s="245" customFormat="1" ht="12.75" customHeight="1" x14ac:dyDescent="0.2">
      <c r="A6" s="1052"/>
      <c r="B6" s="868" t="s">
        <v>858</v>
      </c>
      <c r="C6" s="869"/>
      <c r="D6" s="373"/>
      <c r="E6" s="373"/>
      <c r="F6" s="870"/>
      <c r="G6" s="373"/>
      <c r="H6" s="373"/>
      <c r="I6" s="373"/>
      <c r="J6" s="618"/>
      <c r="K6" s="374">
        <v>0</v>
      </c>
      <c r="L6" s="869"/>
      <c r="M6" s="373"/>
      <c r="N6" s="373"/>
      <c r="O6" s="870"/>
      <c r="P6" s="373"/>
      <c r="Q6" s="373"/>
      <c r="R6" s="373"/>
      <c r="S6" s="618"/>
      <c r="T6" s="374">
        <v>0</v>
      </c>
      <c r="U6" s="869"/>
      <c r="V6" s="373"/>
      <c r="W6" s="373"/>
      <c r="X6" s="870"/>
      <c r="Y6" s="373"/>
      <c r="Z6" s="373"/>
      <c r="AA6" s="373"/>
      <c r="AB6" s="618"/>
      <c r="AC6" s="374">
        <v>0</v>
      </c>
      <c r="AD6" s="869">
        <v>4</v>
      </c>
      <c r="AE6" s="373"/>
      <c r="AF6" s="373">
        <v>4</v>
      </c>
      <c r="AG6" s="870"/>
      <c r="AH6" s="373">
        <v>1</v>
      </c>
      <c r="AI6" s="373">
        <v>1</v>
      </c>
      <c r="AJ6" s="373">
        <v>2</v>
      </c>
      <c r="AK6" s="618"/>
      <c r="AL6" s="374">
        <v>0</v>
      </c>
      <c r="AM6" s="869"/>
      <c r="AN6" s="373"/>
      <c r="AO6" s="373">
        <v>1</v>
      </c>
      <c r="AP6" s="870"/>
      <c r="AQ6" s="373"/>
      <c r="AR6" s="373"/>
      <c r="AS6" s="373"/>
      <c r="AT6" s="618"/>
      <c r="AU6" s="374">
        <v>0</v>
      </c>
      <c r="AV6" s="869"/>
      <c r="AW6" s="373"/>
      <c r="AX6" s="373"/>
      <c r="AY6" s="870"/>
      <c r="AZ6" s="373"/>
      <c r="BA6" s="373"/>
      <c r="BB6" s="373"/>
      <c r="BC6" s="618"/>
      <c r="BD6" s="374">
        <v>0</v>
      </c>
      <c r="BE6" s="869"/>
      <c r="BF6" s="373"/>
      <c r="BG6" s="373"/>
      <c r="BH6" s="870"/>
      <c r="BI6" s="373"/>
      <c r="BJ6" s="373"/>
      <c r="BK6" s="373"/>
      <c r="BL6" s="618"/>
      <c r="BM6" s="374">
        <v>0</v>
      </c>
      <c r="BN6" s="869"/>
      <c r="BO6" s="373"/>
      <c r="BP6" s="373"/>
      <c r="BQ6" s="870"/>
      <c r="BR6" s="373"/>
      <c r="BS6" s="373"/>
      <c r="BT6" s="373"/>
      <c r="BU6" s="618"/>
      <c r="BV6" s="374">
        <v>0</v>
      </c>
      <c r="BW6" s="869">
        <v>1</v>
      </c>
      <c r="BX6" s="373"/>
      <c r="BY6" s="373"/>
      <c r="BZ6" s="870"/>
      <c r="CA6" s="373"/>
      <c r="CB6" s="373"/>
      <c r="CC6" s="373"/>
      <c r="CD6" s="618"/>
      <c r="CE6" s="374">
        <v>0</v>
      </c>
      <c r="CF6" s="869"/>
      <c r="CG6" s="373"/>
      <c r="CH6" s="373"/>
      <c r="CI6" s="870"/>
      <c r="CJ6" s="373"/>
      <c r="CK6" s="373"/>
      <c r="CL6" s="373"/>
      <c r="CM6" s="618"/>
      <c r="CN6" s="374">
        <v>0</v>
      </c>
      <c r="CO6" s="869"/>
      <c r="CP6" s="373"/>
      <c r="CQ6" s="373"/>
      <c r="CR6" s="870"/>
      <c r="CS6" s="373"/>
      <c r="CT6" s="373"/>
      <c r="CU6" s="373"/>
      <c r="CV6" s="618"/>
      <c r="CW6" s="374">
        <v>0</v>
      </c>
      <c r="CX6" s="869">
        <v>10</v>
      </c>
      <c r="CY6" s="373">
        <v>6</v>
      </c>
      <c r="CZ6" s="373">
        <v>9</v>
      </c>
      <c r="DA6" s="870">
        <v>5</v>
      </c>
      <c r="DB6" s="373"/>
      <c r="DC6" s="373">
        <v>1</v>
      </c>
      <c r="DD6" s="373">
        <v>2</v>
      </c>
      <c r="DE6" s="618"/>
      <c r="DF6" s="374">
        <v>0</v>
      </c>
      <c r="DG6" s="869"/>
      <c r="DH6" s="373"/>
      <c r="DI6" s="373"/>
      <c r="DJ6" s="870"/>
      <c r="DK6" s="373"/>
      <c r="DL6" s="373"/>
      <c r="DM6" s="373"/>
      <c r="DN6" s="618"/>
      <c r="DO6" s="374">
        <v>0</v>
      </c>
      <c r="DP6" s="869"/>
      <c r="DQ6" s="373"/>
      <c r="DR6" s="373"/>
      <c r="DS6" s="870"/>
      <c r="DT6" s="373"/>
      <c r="DU6" s="373"/>
      <c r="DV6" s="373"/>
      <c r="DW6" s="618"/>
      <c r="DX6" s="374">
        <v>0</v>
      </c>
      <c r="DY6" s="869">
        <v>1</v>
      </c>
      <c r="DZ6" s="373">
        <v>1</v>
      </c>
      <c r="EA6" s="373"/>
      <c r="EB6" s="870"/>
      <c r="EC6" s="373"/>
      <c r="ED6" s="373"/>
      <c r="EE6" s="373">
        <v>2</v>
      </c>
      <c r="EF6" s="618"/>
      <c r="EG6" s="374">
        <v>0</v>
      </c>
      <c r="EH6" s="869"/>
      <c r="EI6" s="373"/>
      <c r="EJ6" s="373"/>
      <c r="EK6" s="870"/>
      <c r="EL6" s="373"/>
      <c r="EM6" s="373"/>
      <c r="EN6" s="373"/>
      <c r="EO6" s="618"/>
      <c r="EP6" s="374">
        <v>0</v>
      </c>
      <c r="EQ6" s="869"/>
      <c r="ER6" s="373"/>
      <c r="ES6" s="373"/>
      <c r="ET6" s="870"/>
      <c r="EU6" s="373"/>
      <c r="EV6" s="373"/>
      <c r="EW6" s="373"/>
      <c r="EX6" s="618"/>
      <c r="EY6" s="374">
        <v>0</v>
      </c>
      <c r="EZ6" s="869"/>
      <c r="FA6" s="373"/>
      <c r="FB6" s="373"/>
      <c r="FC6" s="870"/>
      <c r="FD6" s="373"/>
      <c r="FE6" s="373"/>
      <c r="FF6" s="373"/>
      <c r="FG6" s="618"/>
      <c r="FH6" s="374">
        <v>0</v>
      </c>
      <c r="FI6" s="869"/>
      <c r="FJ6" s="373"/>
      <c r="FK6" s="373"/>
      <c r="FL6" s="870"/>
      <c r="FM6" s="373"/>
      <c r="FN6" s="373"/>
      <c r="FO6" s="373"/>
      <c r="FP6" s="618"/>
      <c r="FQ6" s="374">
        <v>0</v>
      </c>
      <c r="FR6" s="869"/>
      <c r="FS6" s="373"/>
      <c r="FT6" s="373"/>
      <c r="FU6" s="870"/>
      <c r="FV6" s="373"/>
      <c r="FW6" s="373"/>
      <c r="FX6" s="373"/>
      <c r="FY6" s="618"/>
      <c r="FZ6" s="374">
        <v>0</v>
      </c>
      <c r="GA6" s="869"/>
      <c r="GB6" s="373"/>
      <c r="GC6" s="373"/>
      <c r="GD6" s="870"/>
      <c r="GE6" s="373"/>
      <c r="GF6" s="373"/>
      <c r="GG6" s="373"/>
      <c r="GH6" s="618"/>
      <c r="GI6" s="374">
        <v>0</v>
      </c>
      <c r="GJ6" s="869">
        <v>15</v>
      </c>
      <c r="GK6" s="373">
        <v>6</v>
      </c>
      <c r="GL6" s="373">
        <v>13</v>
      </c>
      <c r="GM6" s="870">
        <v>5</v>
      </c>
      <c r="GN6" s="373">
        <v>1</v>
      </c>
      <c r="GO6" s="373">
        <v>2</v>
      </c>
      <c r="GP6" s="373">
        <v>4</v>
      </c>
      <c r="GQ6" s="618"/>
      <c r="GR6" s="374">
        <v>0</v>
      </c>
      <c r="GS6" s="869">
        <v>3</v>
      </c>
      <c r="GT6" s="373">
        <v>1</v>
      </c>
      <c r="GU6" s="373">
        <v>2</v>
      </c>
      <c r="GV6" s="870"/>
      <c r="GW6" s="373"/>
      <c r="GX6" s="373"/>
      <c r="GY6" s="373"/>
      <c r="GZ6" s="618"/>
      <c r="HA6" s="374">
        <v>0</v>
      </c>
      <c r="HB6" s="869"/>
      <c r="HC6" s="373"/>
      <c r="HD6" s="373"/>
      <c r="HE6" s="870"/>
      <c r="HF6" s="373"/>
      <c r="HG6" s="373"/>
      <c r="HH6" s="373"/>
      <c r="HI6" s="618"/>
      <c r="HJ6" s="374">
        <v>0</v>
      </c>
      <c r="HK6" s="869"/>
      <c r="HL6" s="373"/>
      <c r="HM6" s="373"/>
      <c r="HN6" s="870"/>
      <c r="HO6" s="373"/>
      <c r="HP6" s="373"/>
      <c r="HQ6" s="373"/>
      <c r="HR6" s="618"/>
      <c r="HS6" s="374">
        <v>0</v>
      </c>
      <c r="HT6" s="869">
        <v>3</v>
      </c>
      <c r="HU6" s="373">
        <v>1</v>
      </c>
      <c r="HV6" s="373">
        <v>4</v>
      </c>
      <c r="HW6" s="870"/>
      <c r="HX6" s="373"/>
      <c r="HY6" s="373"/>
      <c r="HZ6" s="373"/>
      <c r="IA6" s="618"/>
      <c r="IB6" s="374">
        <v>0</v>
      </c>
      <c r="IC6" s="869">
        <v>19</v>
      </c>
      <c r="ID6" s="373">
        <v>7</v>
      </c>
      <c r="IE6" s="373">
        <v>18</v>
      </c>
      <c r="IF6" s="870">
        <v>7</v>
      </c>
      <c r="IG6" s="373">
        <v>2</v>
      </c>
      <c r="IH6" s="373">
        <v>2</v>
      </c>
      <c r="II6" s="373">
        <v>4</v>
      </c>
      <c r="IJ6" s="618">
        <v>2</v>
      </c>
      <c r="IK6" s="374">
        <v>2</v>
      </c>
      <c r="IL6" s="377">
        <v>4</v>
      </c>
      <c r="IM6" s="373">
        <v>4</v>
      </c>
      <c r="IN6" s="373">
        <v>4</v>
      </c>
      <c r="IO6" s="871"/>
      <c r="IP6" s="871"/>
      <c r="IQ6" s="373"/>
      <c r="IR6" s="373">
        <v>2</v>
      </c>
      <c r="IS6" s="618"/>
      <c r="IT6" s="374">
        <v>0</v>
      </c>
    </row>
    <row r="7" spans="1:254" s="245" customFormat="1" ht="12.75" customHeight="1" x14ac:dyDescent="0.2">
      <c r="A7" s="1052"/>
      <c r="B7" s="868" t="s">
        <v>859</v>
      </c>
      <c r="C7" s="869"/>
      <c r="D7" s="373"/>
      <c r="E7" s="373"/>
      <c r="F7" s="870"/>
      <c r="G7" s="373"/>
      <c r="H7" s="373"/>
      <c r="I7" s="373"/>
      <c r="J7" s="618"/>
      <c r="K7" s="374">
        <v>0</v>
      </c>
      <c r="L7" s="869"/>
      <c r="M7" s="373"/>
      <c r="N7" s="373"/>
      <c r="O7" s="870"/>
      <c r="P7" s="373"/>
      <c r="Q7" s="373"/>
      <c r="R7" s="373"/>
      <c r="S7" s="618"/>
      <c r="T7" s="374">
        <v>0</v>
      </c>
      <c r="U7" s="869"/>
      <c r="V7" s="373"/>
      <c r="W7" s="373"/>
      <c r="X7" s="870"/>
      <c r="Y7" s="373"/>
      <c r="Z7" s="373"/>
      <c r="AA7" s="373"/>
      <c r="AB7" s="618"/>
      <c r="AC7" s="374">
        <v>0</v>
      </c>
      <c r="AD7" s="869">
        <v>1</v>
      </c>
      <c r="AE7" s="373"/>
      <c r="AF7" s="373"/>
      <c r="AG7" s="870"/>
      <c r="AH7" s="373"/>
      <c r="AI7" s="373"/>
      <c r="AJ7" s="373"/>
      <c r="AK7" s="618"/>
      <c r="AL7" s="374">
        <v>0</v>
      </c>
      <c r="AM7" s="869"/>
      <c r="AN7" s="373"/>
      <c r="AO7" s="373"/>
      <c r="AP7" s="870"/>
      <c r="AQ7" s="373"/>
      <c r="AR7" s="373"/>
      <c r="AS7" s="373"/>
      <c r="AT7" s="618"/>
      <c r="AU7" s="374">
        <v>0</v>
      </c>
      <c r="AV7" s="869"/>
      <c r="AW7" s="373"/>
      <c r="AX7" s="373"/>
      <c r="AY7" s="870"/>
      <c r="AZ7" s="373"/>
      <c r="BA7" s="373"/>
      <c r="BB7" s="373"/>
      <c r="BC7" s="618"/>
      <c r="BD7" s="374">
        <v>0</v>
      </c>
      <c r="BE7" s="869"/>
      <c r="BF7" s="373"/>
      <c r="BG7" s="373"/>
      <c r="BH7" s="870"/>
      <c r="BI7" s="373"/>
      <c r="BJ7" s="373"/>
      <c r="BK7" s="373"/>
      <c r="BL7" s="618"/>
      <c r="BM7" s="374">
        <v>0</v>
      </c>
      <c r="BN7" s="869"/>
      <c r="BO7" s="373"/>
      <c r="BP7" s="373"/>
      <c r="BQ7" s="870"/>
      <c r="BR7" s="373"/>
      <c r="BS7" s="373"/>
      <c r="BT7" s="373"/>
      <c r="BU7" s="618"/>
      <c r="BV7" s="374">
        <v>0</v>
      </c>
      <c r="BW7" s="869">
        <v>2</v>
      </c>
      <c r="BX7" s="373"/>
      <c r="BY7" s="373"/>
      <c r="BZ7" s="870"/>
      <c r="CA7" s="373"/>
      <c r="CB7" s="373"/>
      <c r="CC7" s="373"/>
      <c r="CD7" s="618"/>
      <c r="CE7" s="374">
        <v>0</v>
      </c>
      <c r="CF7" s="869"/>
      <c r="CG7" s="373"/>
      <c r="CH7" s="373"/>
      <c r="CI7" s="870"/>
      <c r="CJ7" s="373"/>
      <c r="CK7" s="373"/>
      <c r="CL7" s="373"/>
      <c r="CM7" s="618"/>
      <c r="CN7" s="374">
        <v>0</v>
      </c>
      <c r="CO7" s="869"/>
      <c r="CP7" s="373"/>
      <c r="CQ7" s="373">
        <v>1</v>
      </c>
      <c r="CR7" s="870"/>
      <c r="CS7" s="373"/>
      <c r="CT7" s="373"/>
      <c r="CU7" s="373"/>
      <c r="CV7" s="618"/>
      <c r="CW7" s="374">
        <v>0</v>
      </c>
      <c r="CX7" s="869">
        <v>3</v>
      </c>
      <c r="CY7" s="373">
        <v>2</v>
      </c>
      <c r="CZ7" s="373"/>
      <c r="DA7" s="870"/>
      <c r="DB7" s="373"/>
      <c r="DC7" s="373"/>
      <c r="DD7" s="373"/>
      <c r="DE7" s="618">
        <v>1</v>
      </c>
      <c r="DF7" s="374">
        <v>0</v>
      </c>
      <c r="DG7" s="869"/>
      <c r="DH7" s="373"/>
      <c r="DI7" s="373"/>
      <c r="DJ7" s="870"/>
      <c r="DK7" s="373"/>
      <c r="DL7" s="373"/>
      <c r="DM7" s="373"/>
      <c r="DN7" s="618"/>
      <c r="DO7" s="374">
        <v>0</v>
      </c>
      <c r="DP7" s="869"/>
      <c r="DQ7" s="373"/>
      <c r="DR7" s="373"/>
      <c r="DS7" s="870"/>
      <c r="DT7" s="373"/>
      <c r="DU7" s="373"/>
      <c r="DV7" s="373"/>
      <c r="DW7" s="618"/>
      <c r="DX7" s="374">
        <v>0</v>
      </c>
      <c r="DY7" s="869"/>
      <c r="DZ7" s="373">
        <v>1</v>
      </c>
      <c r="EA7" s="373"/>
      <c r="EB7" s="870"/>
      <c r="EC7" s="373"/>
      <c r="ED7" s="373"/>
      <c r="EE7" s="373"/>
      <c r="EF7" s="618"/>
      <c r="EG7" s="374">
        <v>0</v>
      </c>
      <c r="EH7" s="869"/>
      <c r="EI7" s="373"/>
      <c r="EJ7" s="373"/>
      <c r="EK7" s="870"/>
      <c r="EL7" s="373"/>
      <c r="EM7" s="373"/>
      <c r="EN7" s="373"/>
      <c r="EO7" s="618"/>
      <c r="EP7" s="374">
        <v>0</v>
      </c>
      <c r="EQ7" s="869"/>
      <c r="ER7" s="373"/>
      <c r="ES7" s="373"/>
      <c r="ET7" s="870"/>
      <c r="EU7" s="373"/>
      <c r="EV7" s="373"/>
      <c r="EW7" s="373"/>
      <c r="EX7" s="618"/>
      <c r="EY7" s="374">
        <v>0</v>
      </c>
      <c r="EZ7" s="869"/>
      <c r="FA7" s="373"/>
      <c r="FB7" s="373"/>
      <c r="FC7" s="870"/>
      <c r="FD7" s="373"/>
      <c r="FE7" s="373"/>
      <c r="FF7" s="373"/>
      <c r="FG7" s="618"/>
      <c r="FH7" s="374">
        <v>0</v>
      </c>
      <c r="FI7" s="869"/>
      <c r="FJ7" s="373">
        <v>3</v>
      </c>
      <c r="FK7" s="373"/>
      <c r="FL7" s="870"/>
      <c r="FM7" s="373"/>
      <c r="FN7" s="373"/>
      <c r="FO7" s="373"/>
      <c r="FP7" s="618"/>
      <c r="FQ7" s="374">
        <v>0</v>
      </c>
      <c r="FR7" s="869"/>
      <c r="FS7" s="373"/>
      <c r="FT7" s="373"/>
      <c r="FU7" s="870"/>
      <c r="FV7" s="373"/>
      <c r="FW7" s="373"/>
      <c r="FX7" s="373"/>
      <c r="FY7" s="618"/>
      <c r="FZ7" s="374">
        <v>0</v>
      </c>
      <c r="GA7" s="869"/>
      <c r="GB7" s="373"/>
      <c r="GC7" s="373"/>
      <c r="GD7" s="870"/>
      <c r="GE7" s="373"/>
      <c r="GF7" s="373"/>
      <c r="GG7" s="373"/>
      <c r="GH7" s="618"/>
      <c r="GI7" s="374">
        <v>0</v>
      </c>
      <c r="GJ7" s="869">
        <v>6</v>
      </c>
      <c r="GK7" s="373">
        <v>5</v>
      </c>
      <c r="GL7" s="373">
        <v>1</v>
      </c>
      <c r="GM7" s="870"/>
      <c r="GN7" s="373"/>
      <c r="GO7" s="373"/>
      <c r="GP7" s="373"/>
      <c r="GQ7" s="618">
        <v>1</v>
      </c>
      <c r="GR7" s="374">
        <v>0</v>
      </c>
      <c r="GS7" s="869"/>
      <c r="GT7" s="373">
        <v>3</v>
      </c>
      <c r="GU7" s="373"/>
      <c r="GV7" s="870"/>
      <c r="GW7" s="373"/>
      <c r="GX7" s="373"/>
      <c r="GY7" s="373"/>
      <c r="GZ7" s="618"/>
      <c r="HA7" s="374">
        <v>0</v>
      </c>
      <c r="HB7" s="869"/>
      <c r="HC7" s="373"/>
      <c r="HD7" s="373"/>
      <c r="HE7" s="870"/>
      <c r="HF7" s="373"/>
      <c r="HG7" s="373"/>
      <c r="HH7" s="373"/>
      <c r="HI7" s="618"/>
      <c r="HJ7" s="374">
        <v>0</v>
      </c>
      <c r="HK7" s="869"/>
      <c r="HL7" s="373"/>
      <c r="HM7" s="373"/>
      <c r="HN7" s="870"/>
      <c r="HO7" s="373"/>
      <c r="HP7" s="373"/>
      <c r="HQ7" s="373"/>
      <c r="HR7" s="618"/>
      <c r="HS7" s="374">
        <v>0</v>
      </c>
      <c r="HT7" s="869"/>
      <c r="HU7" s="373">
        <v>4</v>
      </c>
      <c r="HV7" s="373"/>
      <c r="HW7" s="870"/>
      <c r="HX7" s="373"/>
      <c r="HY7" s="373"/>
      <c r="HZ7" s="373"/>
      <c r="IA7" s="618"/>
      <c r="IB7" s="374">
        <v>0</v>
      </c>
      <c r="IC7" s="869">
        <v>7</v>
      </c>
      <c r="ID7" s="373">
        <v>9</v>
      </c>
      <c r="IE7" s="373">
        <v>2</v>
      </c>
      <c r="IF7" s="870">
        <v>2</v>
      </c>
      <c r="IG7" s="373">
        <v>1</v>
      </c>
      <c r="IH7" s="373"/>
      <c r="II7" s="373">
        <v>1</v>
      </c>
      <c r="IJ7" s="618">
        <v>2</v>
      </c>
      <c r="IK7" s="374">
        <v>3</v>
      </c>
      <c r="IL7" s="377"/>
      <c r="IM7" s="373">
        <v>1</v>
      </c>
      <c r="IN7" s="373"/>
      <c r="IO7" s="871"/>
      <c r="IP7" s="871"/>
      <c r="IQ7" s="373"/>
      <c r="IR7" s="373"/>
      <c r="IS7" s="618"/>
      <c r="IT7" s="374">
        <v>0</v>
      </c>
    </row>
    <row r="8" spans="1:254" s="245" customFormat="1" ht="12.75" customHeight="1" x14ac:dyDescent="0.2">
      <c r="A8" s="1052"/>
      <c r="B8" s="868" t="s">
        <v>860</v>
      </c>
      <c r="C8" s="869"/>
      <c r="D8" s="373"/>
      <c r="E8" s="373"/>
      <c r="F8" s="870"/>
      <c r="G8" s="373"/>
      <c r="H8" s="373"/>
      <c r="I8" s="373"/>
      <c r="J8" s="618"/>
      <c r="K8" s="374">
        <v>0</v>
      </c>
      <c r="L8" s="869"/>
      <c r="M8" s="373"/>
      <c r="N8" s="373"/>
      <c r="O8" s="870"/>
      <c r="P8" s="373"/>
      <c r="Q8" s="373"/>
      <c r="R8" s="373"/>
      <c r="S8" s="618"/>
      <c r="T8" s="374">
        <v>0</v>
      </c>
      <c r="U8" s="869"/>
      <c r="V8" s="373"/>
      <c r="W8" s="373"/>
      <c r="X8" s="870"/>
      <c r="Y8" s="373"/>
      <c r="Z8" s="373"/>
      <c r="AA8" s="373"/>
      <c r="AB8" s="618"/>
      <c r="AC8" s="374">
        <v>0</v>
      </c>
      <c r="AD8" s="869"/>
      <c r="AE8" s="373"/>
      <c r="AF8" s="373">
        <v>1</v>
      </c>
      <c r="AG8" s="870"/>
      <c r="AH8" s="373"/>
      <c r="AI8" s="373">
        <v>2</v>
      </c>
      <c r="AJ8" s="373"/>
      <c r="AK8" s="618"/>
      <c r="AL8" s="374">
        <v>0</v>
      </c>
      <c r="AM8" s="869"/>
      <c r="AN8" s="373"/>
      <c r="AO8" s="373"/>
      <c r="AP8" s="870"/>
      <c r="AQ8" s="373"/>
      <c r="AR8" s="373"/>
      <c r="AS8" s="373"/>
      <c r="AT8" s="618"/>
      <c r="AU8" s="374">
        <v>0</v>
      </c>
      <c r="AV8" s="869"/>
      <c r="AW8" s="373"/>
      <c r="AX8" s="373"/>
      <c r="AY8" s="870"/>
      <c r="AZ8" s="373"/>
      <c r="BA8" s="373"/>
      <c r="BB8" s="373"/>
      <c r="BC8" s="618"/>
      <c r="BD8" s="374">
        <v>0</v>
      </c>
      <c r="BE8" s="869"/>
      <c r="BF8" s="373"/>
      <c r="BG8" s="373"/>
      <c r="BH8" s="870"/>
      <c r="BI8" s="373"/>
      <c r="BJ8" s="373"/>
      <c r="BK8" s="373"/>
      <c r="BL8" s="618"/>
      <c r="BM8" s="374">
        <v>0</v>
      </c>
      <c r="BN8" s="869"/>
      <c r="BO8" s="373"/>
      <c r="BP8" s="373"/>
      <c r="BQ8" s="870"/>
      <c r="BR8" s="373"/>
      <c r="BS8" s="373"/>
      <c r="BT8" s="373"/>
      <c r="BU8" s="618"/>
      <c r="BV8" s="374">
        <v>0</v>
      </c>
      <c r="BW8" s="869"/>
      <c r="BX8" s="373">
        <v>1</v>
      </c>
      <c r="BY8" s="373"/>
      <c r="BZ8" s="870">
        <v>1</v>
      </c>
      <c r="CA8" s="373"/>
      <c r="CB8" s="373">
        <v>1</v>
      </c>
      <c r="CC8" s="373"/>
      <c r="CD8" s="618"/>
      <c r="CE8" s="374">
        <v>0</v>
      </c>
      <c r="CF8" s="869"/>
      <c r="CG8" s="373"/>
      <c r="CH8" s="373"/>
      <c r="CI8" s="870"/>
      <c r="CJ8" s="373"/>
      <c r="CK8" s="373"/>
      <c r="CL8" s="373"/>
      <c r="CM8" s="618"/>
      <c r="CN8" s="374">
        <v>0</v>
      </c>
      <c r="CO8" s="869"/>
      <c r="CP8" s="373"/>
      <c r="CQ8" s="373"/>
      <c r="CR8" s="870"/>
      <c r="CS8" s="373"/>
      <c r="CT8" s="373"/>
      <c r="CU8" s="373"/>
      <c r="CV8" s="618"/>
      <c r="CW8" s="374">
        <v>0</v>
      </c>
      <c r="CX8" s="869">
        <v>2</v>
      </c>
      <c r="CY8" s="373">
        <v>6</v>
      </c>
      <c r="CZ8" s="373">
        <v>2</v>
      </c>
      <c r="DA8" s="870">
        <v>1</v>
      </c>
      <c r="DB8" s="373">
        <v>5</v>
      </c>
      <c r="DC8" s="373">
        <v>1</v>
      </c>
      <c r="DD8" s="373">
        <v>2</v>
      </c>
      <c r="DE8" s="618">
        <v>5</v>
      </c>
      <c r="DF8" s="374">
        <v>0</v>
      </c>
      <c r="DG8" s="869"/>
      <c r="DH8" s="373"/>
      <c r="DI8" s="373"/>
      <c r="DJ8" s="870"/>
      <c r="DK8" s="373"/>
      <c r="DL8" s="373"/>
      <c r="DM8" s="373"/>
      <c r="DN8" s="618"/>
      <c r="DO8" s="374">
        <v>0</v>
      </c>
      <c r="DP8" s="869"/>
      <c r="DQ8" s="373"/>
      <c r="DR8" s="373"/>
      <c r="DS8" s="870"/>
      <c r="DT8" s="373"/>
      <c r="DU8" s="373"/>
      <c r="DV8" s="373"/>
      <c r="DW8" s="618"/>
      <c r="DX8" s="374">
        <v>0</v>
      </c>
      <c r="DY8" s="869"/>
      <c r="DZ8" s="373"/>
      <c r="EA8" s="373"/>
      <c r="EB8" s="870"/>
      <c r="EC8" s="373">
        <v>1</v>
      </c>
      <c r="ED8" s="373"/>
      <c r="EE8" s="373"/>
      <c r="EF8" s="618">
        <v>1</v>
      </c>
      <c r="EG8" s="374">
        <v>0</v>
      </c>
      <c r="EH8" s="869"/>
      <c r="EI8" s="373"/>
      <c r="EJ8" s="373"/>
      <c r="EK8" s="870"/>
      <c r="EL8" s="373"/>
      <c r="EM8" s="373"/>
      <c r="EN8" s="373"/>
      <c r="EO8" s="618"/>
      <c r="EP8" s="374">
        <v>0</v>
      </c>
      <c r="EQ8" s="869"/>
      <c r="ER8" s="373"/>
      <c r="ES8" s="373"/>
      <c r="ET8" s="870"/>
      <c r="EU8" s="373"/>
      <c r="EV8" s="373"/>
      <c r="EW8" s="373"/>
      <c r="EX8" s="618"/>
      <c r="EY8" s="374">
        <v>0</v>
      </c>
      <c r="EZ8" s="869"/>
      <c r="FA8" s="373"/>
      <c r="FB8" s="373"/>
      <c r="FC8" s="870"/>
      <c r="FD8" s="373"/>
      <c r="FE8" s="373"/>
      <c r="FF8" s="373"/>
      <c r="FG8" s="618"/>
      <c r="FH8" s="374">
        <v>0</v>
      </c>
      <c r="FI8" s="869"/>
      <c r="FJ8" s="373">
        <v>2</v>
      </c>
      <c r="FK8" s="373"/>
      <c r="FL8" s="870">
        <v>1</v>
      </c>
      <c r="FM8" s="373"/>
      <c r="FN8" s="373">
        <v>2</v>
      </c>
      <c r="FO8" s="373"/>
      <c r="FP8" s="618"/>
      <c r="FQ8" s="374">
        <v>0</v>
      </c>
      <c r="FR8" s="869"/>
      <c r="FS8" s="373"/>
      <c r="FT8" s="373"/>
      <c r="FU8" s="870"/>
      <c r="FV8" s="373"/>
      <c r="FW8" s="373"/>
      <c r="FX8" s="373"/>
      <c r="FY8" s="618"/>
      <c r="FZ8" s="374">
        <v>0</v>
      </c>
      <c r="GA8" s="869"/>
      <c r="GB8" s="373"/>
      <c r="GC8" s="373"/>
      <c r="GD8" s="870"/>
      <c r="GE8" s="373"/>
      <c r="GF8" s="373"/>
      <c r="GG8" s="373"/>
      <c r="GH8" s="618"/>
      <c r="GI8" s="374">
        <v>0</v>
      </c>
      <c r="GJ8" s="869">
        <v>2</v>
      </c>
      <c r="GK8" s="373">
        <v>9</v>
      </c>
      <c r="GL8" s="373">
        <v>3</v>
      </c>
      <c r="GM8" s="870">
        <v>3</v>
      </c>
      <c r="GN8" s="373">
        <v>5</v>
      </c>
      <c r="GO8" s="373">
        <v>6</v>
      </c>
      <c r="GP8" s="373">
        <v>2</v>
      </c>
      <c r="GQ8" s="618">
        <v>5</v>
      </c>
      <c r="GR8" s="374">
        <v>0</v>
      </c>
      <c r="GS8" s="869">
        <v>2</v>
      </c>
      <c r="GT8" s="373">
        <v>1</v>
      </c>
      <c r="GU8" s="373"/>
      <c r="GV8" s="870">
        <v>1</v>
      </c>
      <c r="GW8" s="373"/>
      <c r="GX8" s="373"/>
      <c r="GY8" s="373"/>
      <c r="GZ8" s="618"/>
      <c r="HA8" s="374">
        <v>0</v>
      </c>
      <c r="HB8" s="869"/>
      <c r="HC8" s="373"/>
      <c r="HD8" s="373"/>
      <c r="HE8" s="870"/>
      <c r="HF8" s="373"/>
      <c r="HG8" s="373"/>
      <c r="HH8" s="373"/>
      <c r="HI8" s="618"/>
      <c r="HJ8" s="374">
        <v>0</v>
      </c>
      <c r="HK8" s="869"/>
      <c r="HL8" s="373"/>
      <c r="HM8" s="373"/>
      <c r="HN8" s="870"/>
      <c r="HO8" s="373"/>
      <c r="HP8" s="373"/>
      <c r="HQ8" s="373"/>
      <c r="HR8" s="618"/>
      <c r="HS8" s="374">
        <v>0</v>
      </c>
      <c r="HT8" s="869">
        <v>5</v>
      </c>
      <c r="HU8" s="373">
        <v>2</v>
      </c>
      <c r="HV8" s="373">
        <v>1</v>
      </c>
      <c r="HW8" s="870">
        <v>1</v>
      </c>
      <c r="HX8" s="373">
        <v>2</v>
      </c>
      <c r="HY8" s="373"/>
      <c r="HZ8" s="373"/>
      <c r="IA8" s="618"/>
      <c r="IB8" s="374">
        <v>0</v>
      </c>
      <c r="IC8" s="869">
        <v>8</v>
      </c>
      <c r="ID8" s="373">
        <v>14</v>
      </c>
      <c r="IE8" s="373">
        <v>5</v>
      </c>
      <c r="IF8" s="870">
        <v>4</v>
      </c>
      <c r="IG8" s="373">
        <v>8</v>
      </c>
      <c r="IH8" s="373">
        <v>7</v>
      </c>
      <c r="II8" s="373">
        <v>2</v>
      </c>
      <c r="IJ8" s="618">
        <v>7</v>
      </c>
      <c r="IK8" s="374">
        <v>2</v>
      </c>
      <c r="IL8" s="377"/>
      <c r="IM8" s="373"/>
      <c r="IN8" s="373">
        <v>1</v>
      </c>
      <c r="IO8" s="871"/>
      <c r="IP8" s="871">
        <v>1</v>
      </c>
      <c r="IQ8" s="373"/>
      <c r="IR8" s="373"/>
      <c r="IS8" s="618">
        <v>1</v>
      </c>
      <c r="IT8" s="374">
        <v>0</v>
      </c>
    </row>
    <row r="9" spans="1:254" s="245" customFormat="1" ht="12.75" customHeight="1" x14ac:dyDescent="0.2">
      <c r="A9" s="1052"/>
      <c r="B9" s="868" t="s">
        <v>861</v>
      </c>
      <c r="C9" s="869"/>
      <c r="D9" s="373"/>
      <c r="E9" s="373"/>
      <c r="F9" s="870"/>
      <c r="G9" s="373"/>
      <c r="H9" s="373"/>
      <c r="I9" s="373"/>
      <c r="J9" s="618"/>
      <c r="K9" s="374">
        <v>0</v>
      </c>
      <c r="L9" s="869"/>
      <c r="M9" s="373"/>
      <c r="N9" s="373"/>
      <c r="O9" s="870"/>
      <c r="P9" s="373"/>
      <c r="Q9" s="373"/>
      <c r="R9" s="373"/>
      <c r="S9" s="618"/>
      <c r="T9" s="374">
        <v>0</v>
      </c>
      <c r="U9" s="869"/>
      <c r="V9" s="373"/>
      <c r="W9" s="373"/>
      <c r="X9" s="870"/>
      <c r="Y9" s="373"/>
      <c r="Z9" s="373"/>
      <c r="AA9" s="373"/>
      <c r="AB9" s="618"/>
      <c r="AC9" s="374">
        <v>0</v>
      </c>
      <c r="AD9" s="869">
        <v>1</v>
      </c>
      <c r="AE9" s="373">
        <v>1</v>
      </c>
      <c r="AF9" s="373"/>
      <c r="AG9" s="870">
        <v>1</v>
      </c>
      <c r="AH9" s="373"/>
      <c r="AI9" s="373"/>
      <c r="AJ9" s="373"/>
      <c r="AK9" s="618">
        <v>1</v>
      </c>
      <c r="AL9" s="374">
        <v>0</v>
      </c>
      <c r="AM9" s="869">
        <v>1</v>
      </c>
      <c r="AN9" s="373">
        <v>1</v>
      </c>
      <c r="AO9" s="373"/>
      <c r="AP9" s="870">
        <v>1</v>
      </c>
      <c r="AQ9" s="373"/>
      <c r="AR9" s="373"/>
      <c r="AS9" s="373"/>
      <c r="AT9" s="618">
        <v>1</v>
      </c>
      <c r="AU9" s="374">
        <v>0</v>
      </c>
      <c r="AV9" s="869"/>
      <c r="AW9" s="373"/>
      <c r="AX9" s="373"/>
      <c r="AY9" s="870"/>
      <c r="AZ9" s="373"/>
      <c r="BA9" s="373"/>
      <c r="BB9" s="373"/>
      <c r="BC9" s="618"/>
      <c r="BD9" s="374">
        <v>0</v>
      </c>
      <c r="BE9" s="869"/>
      <c r="BF9" s="373"/>
      <c r="BG9" s="373"/>
      <c r="BH9" s="870"/>
      <c r="BI9" s="373"/>
      <c r="BJ9" s="373"/>
      <c r="BK9" s="373"/>
      <c r="BL9" s="618"/>
      <c r="BM9" s="374">
        <v>0</v>
      </c>
      <c r="BN9" s="869"/>
      <c r="BO9" s="373"/>
      <c r="BP9" s="373"/>
      <c r="BQ9" s="870"/>
      <c r="BR9" s="373"/>
      <c r="BS9" s="373"/>
      <c r="BT9" s="373"/>
      <c r="BU9" s="618"/>
      <c r="BV9" s="374">
        <v>0</v>
      </c>
      <c r="BW9" s="869"/>
      <c r="BX9" s="373">
        <v>2</v>
      </c>
      <c r="BY9" s="373">
        <v>2</v>
      </c>
      <c r="BZ9" s="870">
        <v>2</v>
      </c>
      <c r="CA9" s="373">
        <v>1</v>
      </c>
      <c r="CB9" s="373"/>
      <c r="CC9" s="373">
        <v>1</v>
      </c>
      <c r="CD9" s="618"/>
      <c r="CE9" s="374">
        <v>2</v>
      </c>
      <c r="CF9" s="869"/>
      <c r="CG9" s="373"/>
      <c r="CH9" s="373"/>
      <c r="CI9" s="870"/>
      <c r="CJ9" s="373"/>
      <c r="CK9" s="373"/>
      <c r="CL9" s="373"/>
      <c r="CM9" s="618"/>
      <c r="CN9" s="374">
        <v>0</v>
      </c>
      <c r="CO9" s="869"/>
      <c r="CP9" s="373"/>
      <c r="CQ9" s="373"/>
      <c r="CR9" s="870"/>
      <c r="CS9" s="373"/>
      <c r="CT9" s="373"/>
      <c r="CU9" s="373"/>
      <c r="CV9" s="618"/>
      <c r="CW9" s="374">
        <v>0</v>
      </c>
      <c r="CX9" s="869">
        <v>9</v>
      </c>
      <c r="CY9" s="373">
        <v>6</v>
      </c>
      <c r="CZ9" s="373">
        <v>3</v>
      </c>
      <c r="DA9" s="870">
        <v>2</v>
      </c>
      <c r="DB9" s="373">
        <v>5</v>
      </c>
      <c r="DC9" s="373">
        <v>3</v>
      </c>
      <c r="DD9" s="373"/>
      <c r="DE9" s="618">
        <v>5</v>
      </c>
      <c r="DF9" s="374">
        <v>1</v>
      </c>
      <c r="DG9" s="869"/>
      <c r="DH9" s="373"/>
      <c r="DI9" s="373"/>
      <c r="DJ9" s="870"/>
      <c r="DK9" s="373"/>
      <c r="DL9" s="373"/>
      <c r="DM9" s="373"/>
      <c r="DN9" s="618"/>
      <c r="DO9" s="374">
        <v>0</v>
      </c>
      <c r="DP9" s="869">
        <v>2</v>
      </c>
      <c r="DQ9" s="373">
        <v>1</v>
      </c>
      <c r="DR9" s="373"/>
      <c r="DS9" s="870"/>
      <c r="DT9" s="373"/>
      <c r="DU9" s="373"/>
      <c r="DV9" s="373"/>
      <c r="DW9" s="618"/>
      <c r="DX9" s="374">
        <v>0</v>
      </c>
      <c r="DY9" s="869">
        <v>1</v>
      </c>
      <c r="DZ9" s="373">
        <v>3</v>
      </c>
      <c r="EA9" s="373">
        <v>1</v>
      </c>
      <c r="EB9" s="870"/>
      <c r="EC9" s="373"/>
      <c r="ED9" s="373">
        <v>3</v>
      </c>
      <c r="EE9" s="373"/>
      <c r="EF9" s="618"/>
      <c r="EG9" s="374">
        <v>0</v>
      </c>
      <c r="EH9" s="869"/>
      <c r="EI9" s="373"/>
      <c r="EJ9" s="373"/>
      <c r="EK9" s="870"/>
      <c r="EL9" s="373"/>
      <c r="EM9" s="373">
        <v>1</v>
      </c>
      <c r="EN9" s="373"/>
      <c r="EO9" s="618"/>
      <c r="EP9" s="374">
        <v>0</v>
      </c>
      <c r="EQ9" s="869"/>
      <c r="ER9" s="373"/>
      <c r="ES9" s="373"/>
      <c r="ET9" s="870"/>
      <c r="EU9" s="373"/>
      <c r="EV9" s="373"/>
      <c r="EW9" s="373"/>
      <c r="EX9" s="618"/>
      <c r="EY9" s="374">
        <v>0</v>
      </c>
      <c r="EZ9" s="869">
        <v>1</v>
      </c>
      <c r="FA9" s="373"/>
      <c r="FB9" s="373"/>
      <c r="FC9" s="870"/>
      <c r="FD9" s="373"/>
      <c r="FE9" s="373"/>
      <c r="FF9" s="373"/>
      <c r="FG9" s="618"/>
      <c r="FH9" s="374">
        <v>0</v>
      </c>
      <c r="FI9" s="869"/>
      <c r="FJ9" s="373"/>
      <c r="FK9" s="373"/>
      <c r="FL9" s="870">
        <v>1</v>
      </c>
      <c r="FM9" s="373">
        <v>1</v>
      </c>
      <c r="FN9" s="373"/>
      <c r="FO9" s="373"/>
      <c r="FP9" s="618"/>
      <c r="FQ9" s="374">
        <v>0</v>
      </c>
      <c r="FR9" s="869"/>
      <c r="FS9" s="373"/>
      <c r="FT9" s="373"/>
      <c r="FU9" s="870"/>
      <c r="FV9" s="373"/>
      <c r="FW9" s="373"/>
      <c r="FX9" s="373"/>
      <c r="FY9" s="618"/>
      <c r="FZ9" s="374">
        <v>0</v>
      </c>
      <c r="GA9" s="869"/>
      <c r="GB9" s="373"/>
      <c r="GC9" s="373"/>
      <c r="GD9" s="870"/>
      <c r="GE9" s="373"/>
      <c r="GF9" s="373">
        <v>1</v>
      </c>
      <c r="GG9" s="373"/>
      <c r="GH9" s="618"/>
      <c r="GI9" s="374">
        <v>0</v>
      </c>
      <c r="GJ9" s="869">
        <v>11</v>
      </c>
      <c r="GK9" s="373">
        <v>9</v>
      </c>
      <c r="GL9" s="373">
        <v>5</v>
      </c>
      <c r="GM9" s="870">
        <v>6</v>
      </c>
      <c r="GN9" s="373">
        <v>7</v>
      </c>
      <c r="GO9" s="373">
        <v>5</v>
      </c>
      <c r="GP9" s="373">
        <v>1</v>
      </c>
      <c r="GQ9" s="618">
        <v>6</v>
      </c>
      <c r="GR9" s="374">
        <v>3</v>
      </c>
      <c r="GS9" s="869">
        <v>1</v>
      </c>
      <c r="GT9" s="373">
        <v>1</v>
      </c>
      <c r="GU9" s="373">
        <v>3</v>
      </c>
      <c r="GV9" s="870">
        <v>4</v>
      </c>
      <c r="GW9" s="373">
        <v>2</v>
      </c>
      <c r="GX9" s="373">
        <v>2</v>
      </c>
      <c r="GY9" s="373"/>
      <c r="GZ9" s="618">
        <v>2</v>
      </c>
      <c r="HA9" s="374">
        <v>2</v>
      </c>
      <c r="HB9" s="869"/>
      <c r="HC9" s="373"/>
      <c r="HD9" s="373"/>
      <c r="HE9" s="870"/>
      <c r="HF9" s="373"/>
      <c r="HG9" s="373"/>
      <c r="HH9" s="373"/>
      <c r="HI9" s="618"/>
      <c r="HJ9" s="374">
        <v>0</v>
      </c>
      <c r="HK9" s="869"/>
      <c r="HL9" s="373"/>
      <c r="HM9" s="373"/>
      <c r="HN9" s="870"/>
      <c r="HO9" s="373"/>
      <c r="HP9" s="373"/>
      <c r="HQ9" s="373"/>
      <c r="HR9" s="618"/>
      <c r="HS9" s="374">
        <v>1</v>
      </c>
      <c r="HT9" s="869">
        <v>1</v>
      </c>
      <c r="HU9" s="373">
        <v>5</v>
      </c>
      <c r="HV9" s="373">
        <v>9</v>
      </c>
      <c r="HW9" s="870">
        <v>6</v>
      </c>
      <c r="HX9" s="373">
        <v>6</v>
      </c>
      <c r="HY9" s="373">
        <v>3</v>
      </c>
      <c r="HZ9" s="373">
        <v>3</v>
      </c>
      <c r="IA9" s="618">
        <v>5</v>
      </c>
      <c r="IB9" s="374">
        <v>9</v>
      </c>
      <c r="IC9" s="869">
        <v>16</v>
      </c>
      <c r="ID9" s="373">
        <v>13</v>
      </c>
      <c r="IE9" s="373">
        <v>27</v>
      </c>
      <c r="IF9" s="870">
        <v>11</v>
      </c>
      <c r="IG9" s="373">
        <v>15</v>
      </c>
      <c r="IH9" s="373">
        <v>7</v>
      </c>
      <c r="II9" s="373">
        <v>7</v>
      </c>
      <c r="IJ9" s="618">
        <v>11</v>
      </c>
      <c r="IK9" s="374">
        <v>13</v>
      </c>
      <c r="IL9" s="377">
        <v>1</v>
      </c>
      <c r="IM9" s="373">
        <v>3</v>
      </c>
      <c r="IN9" s="373">
        <v>1</v>
      </c>
      <c r="IO9" s="871"/>
      <c r="IP9" s="871"/>
      <c r="IQ9" s="373">
        <v>3</v>
      </c>
      <c r="IR9" s="373"/>
      <c r="IS9" s="618"/>
      <c r="IT9" s="374">
        <v>0</v>
      </c>
    </row>
    <row r="10" spans="1:254" s="245" customFormat="1" ht="12.75" customHeight="1" x14ac:dyDescent="0.2">
      <c r="A10" s="1052"/>
      <c r="B10" s="868" t="s">
        <v>862</v>
      </c>
      <c r="C10" s="869"/>
      <c r="D10" s="373"/>
      <c r="E10" s="373"/>
      <c r="F10" s="870"/>
      <c r="G10" s="373"/>
      <c r="H10" s="373"/>
      <c r="I10" s="373">
        <v>1</v>
      </c>
      <c r="J10" s="618"/>
      <c r="K10" s="374">
        <v>0</v>
      </c>
      <c r="L10" s="869"/>
      <c r="M10" s="373"/>
      <c r="N10" s="373"/>
      <c r="O10" s="870"/>
      <c r="P10" s="373"/>
      <c r="Q10" s="373"/>
      <c r="R10" s="373"/>
      <c r="S10" s="618"/>
      <c r="T10" s="374">
        <v>0</v>
      </c>
      <c r="U10" s="869"/>
      <c r="V10" s="373"/>
      <c r="W10" s="373"/>
      <c r="X10" s="870"/>
      <c r="Y10" s="373"/>
      <c r="Z10" s="373"/>
      <c r="AA10" s="373">
        <v>1</v>
      </c>
      <c r="AB10" s="618"/>
      <c r="AC10" s="374">
        <v>0</v>
      </c>
      <c r="AD10" s="869"/>
      <c r="AE10" s="373"/>
      <c r="AF10" s="373"/>
      <c r="AG10" s="870"/>
      <c r="AH10" s="373"/>
      <c r="AI10" s="373"/>
      <c r="AJ10" s="373"/>
      <c r="AK10" s="618"/>
      <c r="AL10" s="374">
        <v>0</v>
      </c>
      <c r="AM10" s="869"/>
      <c r="AN10" s="373"/>
      <c r="AO10" s="373"/>
      <c r="AP10" s="870"/>
      <c r="AQ10" s="373"/>
      <c r="AR10" s="373"/>
      <c r="AS10" s="373"/>
      <c r="AT10" s="618"/>
      <c r="AU10" s="374">
        <v>0</v>
      </c>
      <c r="AV10" s="869"/>
      <c r="AW10" s="373"/>
      <c r="AX10" s="373"/>
      <c r="AY10" s="870"/>
      <c r="AZ10" s="373"/>
      <c r="BA10" s="373"/>
      <c r="BB10" s="373"/>
      <c r="BC10" s="618"/>
      <c r="BD10" s="374">
        <v>0</v>
      </c>
      <c r="BE10" s="869"/>
      <c r="BF10" s="373"/>
      <c r="BG10" s="373"/>
      <c r="BH10" s="870"/>
      <c r="BI10" s="373"/>
      <c r="BJ10" s="373"/>
      <c r="BK10" s="373"/>
      <c r="BL10" s="618"/>
      <c r="BM10" s="374">
        <v>0</v>
      </c>
      <c r="BN10" s="869"/>
      <c r="BO10" s="373"/>
      <c r="BP10" s="373"/>
      <c r="BQ10" s="870"/>
      <c r="BR10" s="373"/>
      <c r="BS10" s="373"/>
      <c r="BT10" s="373"/>
      <c r="BU10" s="618"/>
      <c r="BV10" s="374">
        <v>0</v>
      </c>
      <c r="BW10" s="869"/>
      <c r="BX10" s="373"/>
      <c r="BY10" s="373"/>
      <c r="BZ10" s="870"/>
      <c r="CA10" s="373"/>
      <c r="CB10" s="373"/>
      <c r="CC10" s="373"/>
      <c r="CD10" s="618"/>
      <c r="CE10" s="374">
        <v>0</v>
      </c>
      <c r="CF10" s="869">
        <v>1</v>
      </c>
      <c r="CG10" s="373"/>
      <c r="CH10" s="373"/>
      <c r="CI10" s="870"/>
      <c r="CJ10" s="373"/>
      <c r="CK10" s="373"/>
      <c r="CL10" s="373"/>
      <c r="CM10" s="618"/>
      <c r="CN10" s="374">
        <v>0</v>
      </c>
      <c r="CO10" s="869"/>
      <c r="CP10" s="373"/>
      <c r="CQ10" s="373"/>
      <c r="CR10" s="870"/>
      <c r="CS10" s="373"/>
      <c r="CT10" s="373"/>
      <c r="CU10" s="373"/>
      <c r="CV10" s="618"/>
      <c r="CW10" s="374">
        <v>0</v>
      </c>
      <c r="CX10" s="869">
        <v>5</v>
      </c>
      <c r="CY10" s="373">
        <v>6</v>
      </c>
      <c r="CZ10" s="373">
        <v>5</v>
      </c>
      <c r="DA10" s="870">
        <v>6</v>
      </c>
      <c r="DB10" s="373">
        <v>1</v>
      </c>
      <c r="DC10" s="373">
        <v>2</v>
      </c>
      <c r="DD10" s="373">
        <v>1</v>
      </c>
      <c r="DE10" s="618">
        <v>1</v>
      </c>
      <c r="DF10" s="374">
        <v>0</v>
      </c>
      <c r="DG10" s="869"/>
      <c r="DH10" s="373"/>
      <c r="DI10" s="373"/>
      <c r="DJ10" s="870"/>
      <c r="DK10" s="373"/>
      <c r="DL10" s="373"/>
      <c r="DM10" s="373"/>
      <c r="DN10" s="618"/>
      <c r="DO10" s="374">
        <v>0</v>
      </c>
      <c r="DP10" s="869"/>
      <c r="DQ10" s="373"/>
      <c r="DR10" s="373"/>
      <c r="DS10" s="870"/>
      <c r="DT10" s="373"/>
      <c r="DU10" s="373"/>
      <c r="DV10" s="373"/>
      <c r="DW10" s="618"/>
      <c r="DX10" s="374">
        <v>0</v>
      </c>
      <c r="DY10" s="869">
        <v>1</v>
      </c>
      <c r="DZ10" s="373">
        <v>1</v>
      </c>
      <c r="EA10" s="373"/>
      <c r="EB10" s="870">
        <v>1</v>
      </c>
      <c r="EC10" s="373"/>
      <c r="ED10" s="373"/>
      <c r="EE10" s="373"/>
      <c r="EF10" s="618"/>
      <c r="EG10" s="374">
        <v>0</v>
      </c>
      <c r="EH10" s="869"/>
      <c r="EI10" s="373"/>
      <c r="EJ10" s="373"/>
      <c r="EK10" s="870"/>
      <c r="EL10" s="373"/>
      <c r="EM10" s="373"/>
      <c r="EN10" s="373"/>
      <c r="EO10" s="618"/>
      <c r="EP10" s="374">
        <v>0</v>
      </c>
      <c r="EQ10" s="869"/>
      <c r="ER10" s="373"/>
      <c r="ES10" s="373"/>
      <c r="ET10" s="870"/>
      <c r="EU10" s="373"/>
      <c r="EV10" s="373"/>
      <c r="EW10" s="373"/>
      <c r="EX10" s="618"/>
      <c r="EY10" s="374">
        <v>0</v>
      </c>
      <c r="EZ10" s="869"/>
      <c r="FA10" s="373"/>
      <c r="FB10" s="373"/>
      <c r="FC10" s="870"/>
      <c r="FD10" s="373"/>
      <c r="FE10" s="373"/>
      <c r="FF10" s="373"/>
      <c r="FG10" s="618"/>
      <c r="FH10" s="374">
        <v>0</v>
      </c>
      <c r="FI10" s="869"/>
      <c r="FJ10" s="373">
        <v>1</v>
      </c>
      <c r="FK10" s="373"/>
      <c r="FL10" s="870"/>
      <c r="FM10" s="373"/>
      <c r="FN10" s="373"/>
      <c r="FO10" s="373"/>
      <c r="FP10" s="618"/>
      <c r="FQ10" s="374">
        <v>0</v>
      </c>
      <c r="FR10" s="869"/>
      <c r="FS10" s="373"/>
      <c r="FT10" s="373"/>
      <c r="FU10" s="870"/>
      <c r="FV10" s="373"/>
      <c r="FW10" s="373"/>
      <c r="FX10" s="373"/>
      <c r="FY10" s="618"/>
      <c r="FZ10" s="374">
        <v>0</v>
      </c>
      <c r="GA10" s="869"/>
      <c r="GB10" s="373"/>
      <c r="GC10" s="373"/>
      <c r="GD10" s="870"/>
      <c r="GE10" s="373"/>
      <c r="GF10" s="373">
        <v>1</v>
      </c>
      <c r="GG10" s="373">
        <v>1</v>
      </c>
      <c r="GH10" s="618"/>
      <c r="GI10" s="374">
        <v>0</v>
      </c>
      <c r="GJ10" s="869">
        <v>6</v>
      </c>
      <c r="GK10" s="373">
        <v>7</v>
      </c>
      <c r="GL10" s="373">
        <v>5</v>
      </c>
      <c r="GM10" s="870">
        <v>6</v>
      </c>
      <c r="GN10" s="373">
        <v>1</v>
      </c>
      <c r="GO10" s="373">
        <v>3</v>
      </c>
      <c r="GP10" s="373">
        <v>3</v>
      </c>
      <c r="GQ10" s="618">
        <v>1</v>
      </c>
      <c r="GR10" s="374">
        <v>0</v>
      </c>
      <c r="GS10" s="869">
        <v>2</v>
      </c>
      <c r="GT10" s="373">
        <v>3</v>
      </c>
      <c r="GU10" s="373">
        <v>3</v>
      </c>
      <c r="GV10" s="870"/>
      <c r="GW10" s="373"/>
      <c r="GX10" s="373">
        <v>1</v>
      </c>
      <c r="GY10" s="373">
        <v>1</v>
      </c>
      <c r="GZ10" s="618"/>
      <c r="HA10" s="374">
        <v>0</v>
      </c>
      <c r="HB10" s="869"/>
      <c r="HC10" s="373"/>
      <c r="HD10" s="373"/>
      <c r="HE10" s="870"/>
      <c r="HF10" s="373"/>
      <c r="HG10" s="373"/>
      <c r="HH10" s="373"/>
      <c r="HI10" s="618"/>
      <c r="HJ10" s="374">
        <v>0</v>
      </c>
      <c r="HK10" s="869"/>
      <c r="HL10" s="373"/>
      <c r="HM10" s="373"/>
      <c r="HN10" s="870"/>
      <c r="HO10" s="373"/>
      <c r="HP10" s="373"/>
      <c r="HQ10" s="373"/>
      <c r="HR10" s="618"/>
      <c r="HS10" s="374">
        <v>0</v>
      </c>
      <c r="HT10" s="869">
        <v>2</v>
      </c>
      <c r="HU10" s="373">
        <v>3</v>
      </c>
      <c r="HV10" s="373">
        <v>3</v>
      </c>
      <c r="HW10" s="870">
        <v>1</v>
      </c>
      <c r="HX10" s="373"/>
      <c r="HY10" s="373">
        <v>2</v>
      </c>
      <c r="HZ10" s="373">
        <v>5</v>
      </c>
      <c r="IA10" s="618"/>
      <c r="IB10" s="374">
        <v>0</v>
      </c>
      <c r="IC10" s="869">
        <v>7</v>
      </c>
      <c r="ID10" s="373">
        <v>9</v>
      </c>
      <c r="IE10" s="373">
        <v>5</v>
      </c>
      <c r="IF10" s="870">
        <v>10</v>
      </c>
      <c r="IG10" s="373">
        <v>4</v>
      </c>
      <c r="IH10" s="373">
        <v>5</v>
      </c>
      <c r="II10" s="373">
        <v>7</v>
      </c>
      <c r="IJ10" s="618">
        <v>5</v>
      </c>
      <c r="IK10" s="374">
        <v>0</v>
      </c>
      <c r="IL10" s="377">
        <v>2</v>
      </c>
      <c r="IM10" s="373">
        <v>2</v>
      </c>
      <c r="IN10" s="373">
        <v>2</v>
      </c>
      <c r="IO10" s="871"/>
      <c r="IP10" s="871"/>
      <c r="IQ10" s="373"/>
      <c r="IR10" s="373"/>
      <c r="IS10" s="618"/>
      <c r="IT10" s="374">
        <v>0</v>
      </c>
    </row>
    <row r="11" spans="1:254" s="245" customFormat="1" ht="12.75" customHeight="1" x14ac:dyDescent="0.2">
      <c r="A11" s="1052"/>
      <c r="B11" s="868" t="s">
        <v>863</v>
      </c>
      <c r="C11" s="869"/>
      <c r="D11" s="373"/>
      <c r="E11" s="373"/>
      <c r="F11" s="870"/>
      <c r="G11" s="373"/>
      <c r="H11" s="373"/>
      <c r="I11" s="373"/>
      <c r="J11" s="618"/>
      <c r="K11" s="374">
        <v>0</v>
      </c>
      <c r="L11" s="869"/>
      <c r="M11" s="373"/>
      <c r="N11" s="373"/>
      <c r="O11" s="870"/>
      <c r="P11" s="373"/>
      <c r="Q11" s="373"/>
      <c r="R11" s="373"/>
      <c r="S11" s="618"/>
      <c r="T11" s="374">
        <v>0</v>
      </c>
      <c r="U11" s="869"/>
      <c r="V11" s="373"/>
      <c r="W11" s="373"/>
      <c r="X11" s="870"/>
      <c r="Y11" s="373"/>
      <c r="Z11" s="373"/>
      <c r="AA11" s="373"/>
      <c r="AB11" s="618"/>
      <c r="AC11" s="374">
        <v>0</v>
      </c>
      <c r="AD11" s="869">
        <v>3</v>
      </c>
      <c r="AE11" s="373">
        <v>1</v>
      </c>
      <c r="AF11" s="373">
        <v>7</v>
      </c>
      <c r="AG11" s="870">
        <v>1</v>
      </c>
      <c r="AH11" s="373">
        <v>1</v>
      </c>
      <c r="AI11" s="373">
        <v>7</v>
      </c>
      <c r="AJ11" s="373">
        <v>4</v>
      </c>
      <c r="AK11" s="618"/>
      <c r="AL11" s="374">
        <v>1</v>
      </c>
      <c r="AM11" s="869">
        <v>2</v>
      </c>
      <c r="AN11" s="373"/>
      <c r="AO11" s="373"/>
      <c r="AP11" s="870">
        <v>1</v>
      </c>
      <c r="AQ11" s="373"/>
      <c r="AR11" s="373">
        <v>1</v>
      </c>
      <c r="AS11" s="373"/>
      <c r="AT11" s="618"/>
      <c r="AU11" s="374">
        <v>0</v>
      </c>
      <c r="AV11" s="869"/>
      <c r="AW11" s="373"/>
      <c r="AX11" s="373"/>
      <c r="AY11" s="870"/>
      <c r="AZ11" s="373"/>
      <c r="BA11" s="373"/>
      <c r="BB11" s="373"/>
      <c r="BC11" s="618"/>
      <c r="BD11" s="374">
        <v>0</v>
      </c>
      <c r="BE11" s="869"/>
      <c r="BF11" s="373">
        <v>1</v>
      </c>
      <c r="BG11" s="373"/>
      <c r="BH11" s="870"/>
      <c r="BI11" s="373"/>
      <c r="BJ11" s="373">
        <v>2</v>
      </c>
      <c r="BK11" s="373"/>
      <c r="BL11" s="618"/>
      <c r="BM11" s="374">
        <v>0</v>
      </c>
      <c r="BN11" s="869"/>
      <c r="BO11" s="373"/>
      <c r="BP11" s="373"/>
      <c r="BQ11" s="870"/>
      <c r="BR11" s="373"/>
      <c r="BS11" s="373"/>
      <c r="BT11" s="373"/>
      <c r="BU11" s="618"/>
      <c r="BV11" s="374">
        <v>0</v>
      </c>
      <c r="BW11" s="869">
        <v>3</v>
      </c>
      <c r="BX11" s="373">
        <v>1</v>
      </c>
      <c r="BY11" s="373">
        <v>4</v>
      </c>
      <c r="BZ11" s="870">
        <v>2</v>
      </c>
      <c r="CA11" s="373">
        <v>3</v>
      </c>
      <c r="CB11" s="373">
        <v>2</v>
      </c>
      <c r="CC11" s="373">
        <v>1</v>
      </c>
      <c r="CD11" s="618">
        <v>2</v>
      </c>
      <c r="CE11" s="374">
        <v>3</v>
      </c>
      <c r="CF11" s="869"/>
      <c r="CG11" s="373"/>
      <c r="CH11" s="373"/>
      <c r="CI11" s="870"/>
      <c r="CJ11" s="373"/>
      <c r="CK11" s="373"/>
      <c r="CL11" s="373"/>
      <c r="CM11" s="618"/>
      <c r="CN11" s="374">
        <v>0</v>
      </c>
      <c r="CO11" s="869"/>
      <c r="CP11" s="373"/>
      <c r="CQ11" s="373"/>
      <c r="CR11" s="870"/>
      <c r="CS11" s="373"/>
      <c r="CT11" s="373"/>
      <c r="CU11" s="373"/>
      <c r="CV11" s="618"/>
      <c r="CW11" s="374">
        <v>0</v>
      </c>
      <c r="CX11" s="869">
        <v>29</v>
      </c>
      <c r="CY11" s="373">
        <v>25</v>
      </c>
      <c r="CZ11" s="373">
        <v>14</v>
      </c>
      <c r="DA11" s="870">
        <v>41</v>
      </c>
      <c r="DB11" s="373">
        <v>15</v>
      </c>
      <c r="DC11" s="373">
        <v>22</v>
      </c>
      <c r="DD11" s="373">
        <v>23</v>
      </c>
      <c r="DE11" s="618">
        <v>9</v>
      </c>
      <c r="DF11" s="374">
        <v>8</v>
      </c>
      <c r="DG11" s="869"/>
      <c r="DH11" s="373"/>
      <c r="DI11" s="373"/>
      <c r="DJ11" s="870"/>
      <c r="DK11" s="373"/>
      <c r="DL11" s="373"/>
      <c r="DM11" s="373"/>
      <c r="DN11" s="618"/>
      <c r="DO11" s="374">
        <v>0</v>
      </c>
      <c r="DP11" s="869"/>
      <c r="DQ11" s="373"/>
      <c r="DR11" s="373"/>
      <c r="DS11" s="870">
        <v>1</v>
      </c>
      <c r="DT11" s="373"/>
      <c r="DU11" s="373"/>
      <c r="DV11" s="373"/>
      <c r="DW11" s="618"/>
      <c r="DX11" s="374">
        <v>0</v>
      </c>
      <c r="DY11" s="869">
        <v>14</v>
      </c>
      <c r="DZ11" s="373">
        <v>5</v>
      </c>
      <c r="EA11" s="373">
        <v>8</v>
      </c>
      <c r="EB11" s="870">
        <v>10</v>
      </c>
      <c r="EC11" s="373">
        <v>6</v>
      </c>
      <c r="ED11" s="373">
        <v>8</v>
      </c>
      <c r="EE11" s="373">
        <v>13</v>
      </c>
      <c r="EF11" s="618">
        <v>2</v>
      </c>
      <c r="EG11" s="374">
        <v>0</v>
      </c>
      <c r="EH11" s="869"/>
      <c r="EI11" s="373"/>
      <c r="EJ11" s="373"/>
      <c r="EK11" s="870"/>
      <c r="EL11" s="373"/>
      <c r="EM11" s="373"/>
      <c r="EN11" s="373"/>
      <c r="EO11" s="618"/>
      <c r="EP11" s="374">
        <v>0</v>
      </c>
      <c r="EQ11" s="869"/>
      <c r="ER11" s="373"/>
      <c r="ES11" s="373"/>
      <c r="ET11" s="870"/>
      <c r="EU11" s="373"/>
      <c r="EV11" s="373"/>
      <c r="EW11" s="373"/>
      <c r="EX11" s="618"/>
      <c r="EY11" s="374">
        <v>0</v>
      </c>
      <c r="EZ11" s="869"/>
      <c r="FA11" s="373"/>
      <c r="FB11" s="373"/>
      <c r="FC11" s="870"/>
      <c r="FD11" s="373"/>
      <c r="FE11" s="373"/>
      <c r="FF11" s="373"/>
      <c r="FG11" s="618"/>
      <c r="FH11" s="374">
        <v>0</v>
      </c>
      <c r="FI11" s="869"/>
      <c r="FJ11" s="373">
        <v>1</v>
      </c>
      <c r="FK11" s="373">
        <v>1</v>
      </c>
      <c r="FL11" s="870"/>
      <c r="FM11" s="373"/>
      <c r="FN11" s="373"/>
      <c r="FO11" s="373"/>
      <c r="FP11" s="618"/>
      <c r="FQ11" s="374">
        <v>0</v>
      </c>
      <c r="FR11" s="869"/>
      <c r="FS11" s="373"/>
      <c r="FT11" s="373"/>
      <c r="FU11" s="870"/>
      <c r="FV11" s="373">
        <v>1</v>
      </c>
      <c r="FW11" s="373"/>
      <c r="FX11" s="373"/>
      <c r="FY11" s="618"/>
      <c r="FZ11" s="374">
        <v>0</v>
      </c>
      <c r="GA11" s="869"/>
      <c r="GB11" s="373"/>
      <c r="GC11" s="373"/>
      <c r="GD11" s="870"/>
      <c r="GE11" s="373">
        <v>1</v>
      </c>
      <c r="GF11" s="373"/>
      <c r="GG11" s="373"/>
      <c r="GH11" s="618"/>
      <c r="GI11" s="374">
        <v>0</v>
      </c>
      <c r="GJ11" s="869">
        <v>35</v>
      </c>
      <c r="GK11" s="373">
        <v>29</v>
      </c>
      <c r="GL11" s="373">
        <v>26</v>
      </c>
      <c r="GM11" s="870">
        <v>44</v>
      </c>
      <c r="GN11" s="373">
        <v>21</v>
      </c>
      <c r="GO11" s="373">
        <v>33</v>
      </c>
      <c r="GP11" s="373">
        <v>28</v>
      </c>
      <c r="GQ11" s="618">
        <v>11</v>
      </c>
      <c r="GR11" s="374">
        <v>12</v>
      </c>
      <c r="GS11" s="869">
        <v>6</v>
      </c>
      <c r="GT11" s="373">
        <v>4</v>
      </c>
      <c r="GU11" s="373">
        <v>9</v>
      </c>
      <c r="GV11" s="870">
        <v>5</v>
      </c>
      <c r="GW11" s="373"/>
      <c r="GX11" s="373"/>
      <c r="GY11" s="373"/>
      <c r="GZ11" s="618">
        <v>2</v>
      </c>
      <c r="HA11" s="374">
        <v>4</v>
      </c>
      <c r="HB11" s="869"/>
      <c r="HC11" s="373"/>
      <c r="HD11" s="373"/>
      <c r="HE11" s="870"/>
      <c r="HF11" s="373"/>
      <c r="HG11" s="373"/>
      <c r="HH11" s="373"/>
      <c r="HI11" s="618"/>
      <c r="HJ11" s="374">
        <v>0</v>
      </c>
      <c r="HK11" s="869"/>
      <c r="HL11" s="373"/>
      <c r="HM11" s="373"/>
      <c r="HN11" s="870"/>
      <c r="HO11" s="373"/>
      <c r="HP11" s="373"/>
      <c r="HQ11" s="373"/>
      <c r="HR11" s="618"/>
      <c r="HS11" s="374">
        <v>0</v>
      </c>
      <c r="HT11" s="869">
        <v>8</v>
      </c>
      <c r="HU11" s="373">
        <v>4</v>
      </c>
      <c r="HV11" s="373">
        <v>9</v>
      </c>
      <c r="HW11" s="870">
        <v>7</v>
      </c>
      <c r="HX11" s="373">
        <v>1</v>
      </c>
      <c r="HY11" s="373">
        <v>1</v>
      </c>
      <c r="HZ11" s="373"/>
      <c r="IA11" s="618">
        <v>6</v>
      </c>
      <c r="IB11" s="374">
        <v>5</v>
      </c>
      <c r="IC11" s="869">
        <v>43</v>
      </c>
      <c r="ID11" s="373">
        <v>38</v>
      </c>
      <c r="IE11" s="373">
        <v>29</v>
      </c>
      <c r="IF11" s="870">
        <v>48</v>
      </c>
      <c r="IG11" s="373">
        <v>26</v>
      </c>
      <c r="IH11" s="373">
        <v>38</v>
      </c>
      <c r="II11" s="373">
        <v>29</v>
      </c>
      <c r="IJ11" s="618">
        <v>16</v>
      </c>
      <c r="IK11" s="374">
        <v>16</v>
      </c>
      <c r="IL11" s="377">
        <v>22</v>
      </c>
      <c r="IM11" s="373">
        <v>15</v>
      </c>
      <c r="IN11" s="373">
        <v>11</v>
      </c>
      <c r="IO11" s="871">
        <v>16</v>
      </c>
      <c r="IP11" s="871">
        <v>3</v>
      </c>
      <c r="IQ11" s="373">
        <v>15</v>
      </c>
      <c r="IR11" s="373">
        <v>21</v>
      </c>
      <c r="IS11" s="618">
        <v>3</v>
      </c>
      <c r="IT11" s="374">
        <v>4</v>
      </c>
    </row>
    <row r="12" spans="1:254" s="245" customFormat="1" ht="12.75" customHeight="1" x14ac:dyDescent="0.2">
      <c r="A12" s="1052"/>
      <c r="B12" s="868" t="s">
        <v>864</v>
      </c>
      <c r="C12" s="869"/>
      <c r="D12" s="373"/>
      <c r="E12" s="373"/>
      <c r="F12" s="870"/>
      <c r="G12" s="373"/>
      <c r="H12" s="373"/>
      <c r="I12" s="373">
        <v>1</v>
      </c>
      <c r="J12" s="618"/>
      <c r="K12" s="374">
        <v>0</v>
      </c>
      <c r="L12" s="869"/>
      <c r="M12" s="373"/>
      <c r="N12" s="373"/>
      <c r="O12" s="870"/>
      <c r="P12" s="373"/>
      <c r="Q12" s="373"/>
      <c r="R12" s="373">
        <v>1</v>
      </c>
      <c r="S12" s="618"/>
      <c r="T12" s="374">
        <v>0</v>
      </c>
      <c r="U12" s="869"/>
      <c r="V12" s="373"/>
      <c r="W12" s="373"/>
      <c r="X12" s="870"/>
      <c r="Y12" s="373"/>
      <c r="Z12" s="373"/>
      <c r="AA12" s="373"/>
      <c r="AB12" s="618"/>
      <c r="AC12" s="374">
        <v>0</v>
      </c>
      <c r="AD12" s="869"/>
      <c r="AE12" s="373"/>
      <c r="AF12" s="373">
        <v>1</v>
      </c>
      <c r="AG12" s="870"/>
      <c r="AH12" s="373"/>
      <c r="AI12" s="373"/>
      <c r="AJ12" s="373">
        <v>1</v>
      </c>
      <c r="AK12" s="618">
        <v>3</v>
      </c>
      <c r="AL12" s="374">
        <v>1</v>
      </c>
      <c r="AM12" s="869"/>
      <c r="AN12" s="373"/>
      <c r="AO12" s="373">
        <v>1</v>
      </c>
      <c r="AP12" s="870"/>
      <c r="AQ12" s="373"/>
      <c r="AR12" s="373"/>
      <c r="AS12" s="373">
        <v>1</v>
      </c>
      <c r="AT12" s="618"/>
      <c r="AU12" s="374">
        <v>1</v>
      </c>
      <c r="AV12" s="869"/>
      <c r="AW12" s="373"/>
      <c r="AX12" s="373"/>
      <c r="AY12" s="870"/>
      <c r="AZ12" s="373"/>
      <c r="BA12" s="373"/>
      <c r="BB12" s="373"/>
      <c r="BC12" s="618"/>
      <c r="BD12" s="374">
        <v>0</v>
      </c>
      <c r="BE12" s="869"/>
      <c r="BF12" s="373"/>
      <c r="BG12" s="373"/>
      <c r="BH12" s="870"/>
      <c r="BI12" s="373"/>
      <c r="BJ12" s="373"/>
      <c r="BK12" s="373"/>
      <c r="BL12" s="618"/>
      <c r="BM12" s="374">
        <v>0</v>
      </c>
      <c r="BN12" s="869"/>
      <c r="BO12" s="373"/>
      <c r="BP12" s="373"/>
      <c r="BQ12" s="870"/>
      <c r="BR12" s="373"/>
      <c r="BS12" s="373"/>
      <c r="BT12" s="373"/>
      <c r="BU12" s="618"/>
      <c r="BV12" s="374">
        <v>0</v>
      </c>
      <c r="BW12" s="869"/>
      <c r="BX12" s="373">
        <v>2</v>
      </c>
      <c r="BY12" s="373">
        <v>1</v>
      </c>
      <c r="BZ12" s="870"/>
      <c r="CA12" s="373"/>
      <c r="CB12" s="373">
        <v>1</v>
      </c>
      <c r="CC12" s="373"/>
      <c r="CD12" s="618">
        <v>1</v>
      </c>
      <c r="CE12" s="374">
        <v>0</v>
      </c>
      <c r="CF12" s="869"/>
      <c r="CG12" s="373"/>
      <c r="CH12" s="373"/>
      <c r="CI12" s="870"/>
      <c r="CJ12" s="373"/>
      <c r="CK12" s="373"/>
      <c r="CL12" s="373"/>
      <c r="CM12" s="618"/>
      <c r="CN12" s="374">
        <v>0</v>
      </c>
      <c r="CO12" s="869"/>
      <c r="CP12" s="373"/>
      <c r="CQ12" s="373"/>
      <c r="CR12" s="870"/>
      <c r="CS12" s="373"/>
      <c r="CT12" s="373"/>
      <c r="CU12" s="373"/>
      <c r="CV12" s="618"/>
      <c r="CW12" s="374">
        <v>0</v>
      </c>
      <c r="CX12" s="869">
        <v>7</v>
      </c>
      <c r="CY12" s="373">
        <v>14</v>
      </c>
      <c r="CZ12" s="373">
        <v>8</v>
      </c>
      <c r="DA12" s="870">
        <v>9</v>
      </c>
      <c r="DB12" s="373">
        <v>6</v>
      </c>
      <c r="DC12" s="373">
        <v>6</v>
      </c>
      <c r="DD12" s="373">
        <v>1</v>
      </c>
      <c r="DE12" s="618">
        <v>3</v>
      </c>
      <c r="DF12" s="374">
        <v>0</v>
      </c>
      <c r="DG12" s="869"/>
      <c r="DH12" s="373"/>
      <c r="DI12" s="373"/>
      <c r="DJ12" s="870"/>
      <c r="DK12" s="373"/>
      <c r="DL12" s="373"/>
      <c r="DM12" s="373"/>
      <c r="DN12" s="618"/>
      <c r="DO12" s="374">
        <v>0</v>
      </c>
      <c r="DP12" s="869"/>
      <c r="DQ12" s="373">
        <v>1</v>
      </c>
      <c r="DR12" s="373"/>
      <c r="DS12" s="870"/>
      <c r="DT12" s="373"/>
      <c r="DU12" s="373"/>
      <c r="DV12" s="373"/>
      <c r="DW12" s="618"/>
      <c r="DX12" s="374">
        <v>0</v>
      </c>
      <c r="DY12" s="869">
        <v>3</v>
      </c>
      <c r="DZ12" s="373">
        <v>2</v>
      </c>
      <c r="EA12" s="373"/>
      <c r="EB12" s="870"/>
      <c r="EC12" s="373"/>
      <c r="ED12" s="373">
        <v>1</v>
      </c>
      <c r="EE12" s="373"/>
      <c r="EF12" s="618"/>
      <c r="EG12" s="374">
        <v>0</v>
      </c>
      <c r="EH12" s="869"/>
      <c r="EI12" s="373"/>
      <c r="EJ12" s="373"/>
      <c r="EK12" s="870"/>
      <c r="EL12" s="373"/>
      <c r="EM12" s="373"/>
      <c r="EN12" s="373"/>
      <c r="EO12" s="618"/>
      <c r="EP12" s="374">
        <v>0</v>
      </c>
      <c r="EQ12" s="869"/>
      <c r="ER12" s="373"/>
      <c r="ES12" s="373"/>
      <c r="ET12" s="870"/>
      <c r="EU12" s="373"/>
      <c r="EV12" s="373"/>
      <c r="EW12" s="373"/>
      <c r="EX12" s="618"/>
      <c r="EY12" s="374">
        <v>0</v>
      </c>
      <c r="EZ12" s="869"/>
      <c r="FA12" s="373"/>
      <c r="FB12" s="373"/>
      <c r="FC12" s="870"/>
      <c r="FD12" s="373"/>
      <c r="FE12" s="373"/>
      <c r="FF12" s="373"/>
      <c r="FG12" s="618"/>
      <c r="FH12" s="374">
        <v>0</v>
      </c>
      <c r="FI12" s="869"/>
      <c r="FJ12" s="373">
        <v>2</v>
      </c>
      <c r="FK12" s="373">
        <v>3</v>
      </c>
      <c r="FL12" s="870"/>
      <c r="FM12" s="373">
        <v>1</v>
      </c>
      <c r="FN12" s="373"/>
      <c r="FO12" s="373"/>
      <c r="FP12" s="618"/>
      <c r="FQ12" s="374">
        <v>0</v>
      </c>
      <c r="FR12" s="869"/>
      <c r="FS12" s="373"/>
      <c r="FT12" s="373"/>
      <c r="FU12" s="870"/>
      <c r="FV12" s="373"/>
      <c r="FW12" s="373"/>
      <c r="FX12" s="373"/>
      <c r="FY12" s="618"/>
      <c r="FZ12" s="374">
        <v>0</v>
      </c>
      <c r="GA12" s="869"/>
      <c r="GB12" s="373"/>
      <c r="GC12" s="373"/>
      <c r="GD12" s="870"/>
      <c r="GE12" s="373"/>
      <c r="GF12" s="373"/>
      <c r="GG12" s="373"/>
      <c r="GH12" s="618"/>
      <c r="GI12" s="374">
        <v>0</v>
      </c>
      <c r="GJ12" s="869">
        <v>7</v>
      </c>
      <c r="GK12" s="373">
        <v>18</v>
      </c>
      <c r="GL12" s="373">
        <v>13</v>
      </c>
      <c r="GM12" s="870">
        <v>9</v>
      </c>
      <c r="GN12" s="373">
        <v>7</v>
      </c>
      <c r="GO12" s="373">
        <v>7</v>
      </c>
      <c r="GP12" s="373">
        <v>3</v>
      </c>
      <c r="GQ12" s="618">
        <v>7</v>
      </c>
      <c r="GR12" s="374">
        <v>1</v>
      </c>
      <c r="GS12" s="869">
        <v>4</v>
      </c>
      <c r="GT12" s="373">
        <v>7</v>
      </c>
      <c r="GU12" s="373">
        <v>9</v>
      </c>
      <c r="GV12" s="870">
        <v>4</v>
      </c>
      <c r="GW12" s="373">
        <v>1</v>
      </c>
      <c r="GX12" s="373">
        <v>2</v>
      </c>
      <c r="GY12" s="373"/>
      <c r="GZ12" s="618">
        <v>1</v>
      </c>
      <c r="HA12" s="374">
        <v>1</v>
      </c>
      <c r="HB12" s="869"/>
      <c r="HC12" s="373"/>
      <c r="HD12" s="373"/>
      <c r="HE12" s="870"/>
      <c r="HF12" s="373"/>
      <c r="HG12" s="373"/>
      <c r="HH12" s="373"/>
      <c r="HI12" s="618"/>
      <c r="HJ12" s="374">
        <v>0</v>
      </c>
      <c r="HK12" s="869"/>
      <c r="HL12" s="373"/>
      <c r="HM12" s="373"/>
      <c r="HN12" s="870"/>
      <c r="HO12" s="373"/>
      <c r="HP12" s="373"/>
      <c r="HQ12" s="373"/>
      <c r="HR12" s="618"/>
      <c r="HS12" s="374">
        <v>0</v>
      </c>
      <c r="HT12" s="869">
        <v>10</v>
      </c>
      <c r="HU12" s="373">
        <v>10</v>
      </c>
      <c r="HV12" s="373">
        <v>13</v>
      </c>
      <c r="HW12" s="870">
        <v>7</v>
      </c>
      <c r="HX12" s="373">
        <v>2</v>
      </c>
      <c r="HY12" s="373">
        <v>5</v>
      </c>
      <c r="HZ12" s="373">
        <v>1</v>
      </c>
      <c r="IA12" s="618">
        <v>1</v>
      </c>
      <c r="IB12" s="374">
        <v>6</v>
      </c>
      <c r="IC12" s="869">
        <v>14</v>
      </c>
      <c r="ID12" s="373">
        <v>26</v>
      </c>
      <c r="IE12" s="373">
        <v>18</v>
      </c>
      <c r="IF12" s="870">
        <v>16</v>
      </c>
      <c r="IG12" s="373">
        <v>13</v>
      </c>
      <c r="IH12" s="373">
        <v>11</v>
      </c>
      <c r="II12" s="373">
        <v>6</v>
      </c>
      <c r="IJ12" s="618">
        <v>8</v>
      </c>
      <c r="IK12" s="374">
        <v>8</v>
      </c>
      <c r="IL12" s="377">
        <v>3</v>
      </c>
      <c r="IM12" s="373">
        <v>2</v>
      </c>
      <c r="IN12" s="373"/>
      <c r="IO12" s="871">
        <v>2</v>
      </c>
      <c r="IP12" s="871"/>
      <c r="IQ12" s="373">
        <v>2</v>
      </c>
      <c r="IR12" s="373"/>
      <c r="IS12" s="618"/>
      <c r="IT12" s="374">
        <v>0</v>
      </c>
    </row>
    <row r="13" spans="1:254" s="245" customFormat="1" ht="12.75" customHeight="1" x14ac:dyDescent="0.2">
      <c r="A13" s="1052"/>
      <c r="B13" s="868" t="s">
        <v>865</v>
      </c>
      <c r="C13" s="869"/>
      <c r="D13" s="373"/>
      <c r="E13" s="373"/>
      <c r="F13" s="870"/>
      <c r="G13" s="373"/>
      <c r="H13" s="373"/>
      <c r="I13" s="373"/>
      <c r="J13" s="618"/>
      <c r="K13" s="374">
        <v>0</v>
      </c>
      <c r="L13" s="869"/>
      <c r="M13" s="373"/>
      <c r="N13" s="373"/>
      <c r="O13" s="870"/>
      <c r="P13" s="373"/>
      <c r="Q13" s="373"/>
      <c r="R13" s="373"/>
      <c r="S13" s="618"/>
      <c r="T13" s="374">
        <v>0</v>
      </c>
      <c r="U13" s="869"/>
      <c r="V13" s="373"/>
      <c r="W13" s="373"/>
      <c r="X13" s="870"/>
      <c r="Y13" s="373"/>
      <c r="Z13" s="373"/>
      <c r="AA13" s="373"/>
      <c r="AB13" s="618"/>
      <c r="AC13" s="374">
        <v>0</v>
      </c>
      <c r="AD13" s="869"/>
      <c r="AE13" s="373"/>
      <c r="AF13" s="373"/>
      <c r="AG13" s="870"/>
      <c r="AH13" s="373"/>
      <c r="AI13" s="373"/>
      <c r="AJ13" s="373"/>
      <c r="AK13" s="618"/>
      <c r="AL13" s="374">
        <v>0</v>
      </c>
      <c r="AM13" s="869"/>
      <c r="AN13" s="373"/>
      <c r="AO13" s="373"/>
      <c r="AP13" s="870"/>
      <c r="AQ13" s="373"/>
      <c r="AR13" s="373"/>
      <c r="AS13" s="373"/>
      <c r="AT13" s="618"/>
      <c r="AU13" s="374">
        <v>0</v>
      </c>
      <c r="AV13" s="869"/>
      <c r="AW13" s="373"/>
      <c r="AX13" s="373"/>
      <c r="AY13" s="870"/>
      <c r="AZ13" s="373"/>
      <c r="BA13" s="373"/>
      <c r="BB13" s="373"/>
      <c r="BC13" s="618"/>
      <c r="BD13" s="374">
        <v>0</v>
      </c>
      <c r="BE13" s="869"/>
      <c r="BF13" s="373"/>
      <c r="BG13" s="373"/>
      <c r="BH13" s="870"/>
      <c r="BI13" s="373"/>
      <c r="BJ13" s="373"/>
      <c r="BK13" s="373"/>
      <c r="BL13" s="618"/>
      <c r="BM13" s="374">
        <v>0</v>
      </c>
      <c r="BN13" s="869"/>
      <c r="BO13" s="373"/>
      <c r="BP13" s="373"/>
      <c r="BQ13" s="870"/>
      <c r="BR13" s="373"/>
      <c r="BS13" s="373"/>
      <c r="BT13" s="373"/>
      <c r="BU13" s="618"/>
      <c r="BV13" s="374">
        <v>0</v>
      </c>
      <c r="BW13" s="869"/>
      <c r="BX13" s="373"/>
      <c r="BY13" s="373"/>
      <c r="BZ13" s="870"/>
      <c r="CA13" s="373"/>
      <c r="CB13" s="373"/>
      <c r="CC13" s="373"/>
      <c r="CD13" s="618"/>
      <c r="CE13" s="374">
        <v>0</v>
      </c>
      <c r="CF13" s="869"/>
      <c r="CG13" s="373"/>
      <c r="CH13" s="373"/>
      <c r="CI13" s="870"/>
      <c r="CJ13" s="373"/>
      <c r="CK13" s="373"/>
      <c r="CL13" s="373"/>
      <c r="CM13" s="618"/>
      <c r="CN13" s="374">
        <v>0</v>
      </c>
      <c r="CO13" s="869"/>
      <c r="CP13" s="373"/>
      <c r="CQ13" s="373"/>
      <c r="CR13" s="870"/>
      <c r="CS13" s="373"/>
      <c r="CT13" s="373"/>
      <c r="CU13" s="373"/>
      <c r="CV13" s="618"/>
      <c r="CW13" s="374">
        <v>0</v>
      </c>
      <c r="CX13" s="869">
        <v>8</v>
      </c>
      <c r="CY13" s="373">
        <v>4</v>
      </c>
      <c r="CZ13" s="373">
        <v>4</v>
      </c>
      <c r="DA13" s="870">
        <v>1</v>
      </c>
      <c r="DB13" s="373">
        <v>6</v>
      </c>
      <c r="DC13" s="373">
        <v>7</v>
      </c>
      <c r="DD13" s="373"/>
      <c r="DE13" s="618">
        <v>3</v>
      </c>
      <c r="DF13" s="374">
        <v>3</v>
      </c>
      <c r="DG13" s="869">
        <v>1</v>
      </c>
      <c r="DH13" s="373">
        <v>1</v>
      </c>
      <c r="DI13" s="373"/>
      <c r="DJ13" s="870"/>
      <c r="DK13" s="373"/>
      <c r="DL13" s="373"/>
      <c r="DM13" s="373"/>
      <c r="DN13" s="618"/>
      <c r="DO13" s="374">
        <v>0</v>
      </c>
      <c r="DP13" s="869"/>
      <c r="DQ13" s="373"/>
      <c r="DR13" s="373"/>
      <c r="DS13" s="870"/>
      <c r="DT13" s="373"/>
      <c r="DU13" s="373"/>
      <c r="DV13" s="373"/>
      <c r="DW13" s="618"/>
      <c r="DX13" s="374">
        <v>1</v>
      </c>
      <c r="DY13" s="869"/>
      <c r="DZ13" s="373"/>
      <c r="EA13" s="373"/>
      <c r="EB13" s="870"/>
      <c r="EC13" s="373"/>
      <c r="ED13" s="373">
        <v>1</v>
      </c>
      <c r="EE13" s="373"/>
      <c r="EF13" s="618">
        <v>1</v>
      </c>
      <c r="EG13" s="374">
        <v>0</v>
      </c>
      <c r="EH13" s="869"/>
      <c r="EI13" s="373"/>
      <c r="EJ13" s="373"/>
      <c r="EK13" s="870"/>
      <c r="EL13" s="373"/>
      <c r="EM13" s="373"/>
      <c r="EN13" s="373"/>
      <c r="EO13" s="618"/>
      <c r="EP13" s="374">
        <v>0</v>
      </c>
      <c r="EQ13" s="869"/>
      <c r="ER13" s="373"/>
      <c r="ES13" s="373"/>
      <c r="ET13" s="870"/>
      <c r="EU13" s="373"/>
      <c r="EV13" s="373"/>
      <c r="EW13" s="373"/>
      <c r="EX13" s="618"/>
      <c r="EY13" s="374">
        <v>0</v>
      </c>
      <c r="EZ13" s="869"/>
      <c r="FA13" s="373"/>
      <c r="FB13" s="373"/>
      <c r="FC13" s="870"/>
      <c r="FD13" s="373"/>
      <c r="FE13" s="373"/>
      <c r="FF13" s="373"/>
      <c r="FG13" s="618"/>
      <c r="FH13" s="374">
        <v>0</v>
      </c>
      <c r="FI13" s="869"/>
      <c r="FJ13" s="373"/>
      <c r="FK13" s="373"/>
      <c r="FL13" s="870">
        <v>1</v>
      </c>
      <c r="FM13" s="373">
        <v>1</v>
      </c>
      <c r="FN13" s="373"/>
      <c r="FO13" s="373"/>
      <c r="FP13" s="618"/>
      <c r="FQ13" s="374">
        <v>0</v>
      </c>
      <c r="FR13" s="869"/>
      <c r="FS13" s="373"/>
      <c r="FT13" s="373"/>
      <c r="FU13" s="870"/>
      <c r="FV13" s="373"/>
      <c r="FW13" s="373"/>
      <c r="FX13" s="373"/>
      <c r="FY13" s="618"/>
      <c r="FZ13" s="374">
        <v>0</v>
      </c>
      <c r="GA13" s="869">
        <v>1</v>
      </c>
      <c r="GB13" s="373">
        <v>1</v>
      </c>
      <c r="GC13" s="373"/>
      <c r="GD13" s="870"/>
      <c r="GE13" s="373"/>
      <c r="GF13" s="373"/>
      <c r="GG13" s="373"/>
      <c r="GH13" s="618">
        <v>3</v>
      </c>
      <c r="GI13" s="374">
        <v>0</v>
      </c>
      <c r="GJ13" s="869">
        <v>9</v>
      </c>
      <c r="GK13" s="373">
        <v>5</v>
      </c>
      <c r="GL13" s="373">
        <v>4</v>
      </c>
      <c r="GM13" s="870">
        <v>2</v>
      </c>
      <c r="GN13" s="373">
        <v>7</v>
      </c>
      <c r="GO13" s="373">
        <v>7</v>
      </c>
      <c r="GP13" s="373"/>
      <c r="GQ13" s="618">
        <v>6</v>
      </c>
      <c r="GR13" s="374">
        <v>3</v>
      </c>
      <c r="GS13" s="869">
        <v>2</v>
      </c>
      <c r="GT13" s="373">
        <v>1</v>
      </c>
      <c r="GU13" s="373">
        <v>1</v>
      </c>
      <c r="GV13" s="870"/>
      <c r="GW13" s="373"/>
      <c r="GX13" s="373"/>
      <c r="GY13" s="373"/>
      <c r="GZ13" s="618">
        <v>4</v>
      </c>
      <c r="HA13" s="374">
        <v>1</v>
      </c>
      <c r="HB13" s="869"/>
      <c r="HC13" s="373"/>
      <c r="HD13" s="373"/>
      <c r="HE13" s="870"/>
      <c r="HF13" s="373"/>
      <c r="HG13" s="373"/>
      <c r="HH13" s="373"/>
      <c r="HI13" s="618"/>
      <c r="HJ13" s="374">
        <v>0</v>
      </c>
      <c r="HK13" s="869"/>
      <c r="HL13" s="373"/>
      <c r="HM13" s="373"/>
      <c r="HN13" s="870"/>
      <c r="HO13" s="373"/>
      <c r="HP13" s="373"/>
      <c r="HQ13" s="373"/>
      <c r="HR13" s="618"/>
      <c r="HS13" s="374">
        <v>0</v>
      </c>
      <c r="HT13" s="869">
        <v>3</v>
      </c>
      <c r="HU13" s="373">
        <v>1</v>
      </c>
      <c r="HV13" s="373">
        <v>1</v>
      </c>
      <c r="HW13" s="870"/>
      <c r="HX13" s="373">
        <v>1</v>
      </c>
      <c r="HY13" s="373">
        <v>2</v>
      </c>
      <c r="HZ13" s="373"/>
      <c r="IA13" s="618">
        <v>4</v>
      </c>
      <c r="IB13" s="374">
        <v>3</v>
      </c>
      <c r="IC13" s="869">
        <v>11</v>
      </c>
      <c r="ID13" s="373">
        <v>6</v>
      </c>
      <c r="IE13" s="373">
        <v>5</v>
      </c>
      <c r="IF13" s="870">
        <v>2</v>
      </c>
      <c r="IG13" s="373">
        <v>13</v>
      </c>
      <c r="IH13" s="373">
        <v>12</v>
      </c>
      <c r="II13" s="373"/>
      <c r="IJ13" s="618">
        <v>8</v>
      </c>
      <c r="IK13" s="374">
        <v>5</v>
      </c>
      <c r="IL13" s="377">
        <v>1</v>
      </c>
      <c r="IM13" s="373"/>
      <c r="IN13" s="373"/>
      <c r="IO13" s="871"/>
      <c r="IP13" s="871">
        <v>3</v>
      </c>
      <c r="IQ13" s="373">
        <v>2</v>
      </c>
      <c r="IR13" s="373"/>
      <c r="IS13" s="618">
        <v>1</v>
      </c>
      <c r="IT13" s="374">
        <v>1</v>
      </c>
    </row>
    <row r="14" spans="1:254" s="245" customFormat="1" ht="12.75" customHeight="1" x14ac:dyDescent="0.2">
      <c r="A14" s="1052"/>
      <c r="B14" s="868" t="s">
        <v>866</v>
      </c>
      <c r="C14" s="869"/>
      <c r="D14" s="373"/>
      <c r="E14" s="373"/>
      <c r="F14" s="870"/>
      <c r="G14" s="373"/>
      <c r="H14" s="373"/>
      <c r="I14" s="373"/>
      <c r="J14" s="618"/>
      <c r="K14" s="374">
        <v>0</v>
      </c>
      <c r="L14" s="869"/>
      <c r="M14" s="373"/>
      <c r="N14" s="373"/>
      <c r="O14" s="870"/>
      <c r="P14" s="373"/>
      <c r="Q14" s="373"/>
      <c r="R14" s="373"/>
      <c r="S14" s="618"/>
      <c r="T14" s="374">
        <v>0</v>
      </c>
      <c r="U14" s="869"/>
      <c r="V14" s="373"/>
      <c r="W14" s="373"/>
      <c r="X14" s="870"/>
      <c r="Y14" s="373"/>
      <c r="Z14" s="373"/>
      <c r="AA14" s="373"/>
      <c r="AB14" s="618"/>
      <c r="AC14" s="374">
        <v>0</v>
      </c>
      <c r="AD14" s="869"/>
      <c r="AE14" s="373"/>
      <c r="AF14" s="373"/>
      <c r="AG14" s="870"/>
      <c r="AH14" s="373"/>
      <c r="AI14" s="373"/>
      <c r="AJ14" s="373"/>
      <c r="AK14" s="618"/>
      <c r="AL14" s="374">
        <v>1</v>
      </c>
      <c r="AM14" s="869"/>
      <c r="AN14" s="373"/>
      <c r="AO14" s="373"/>
      <c r="AP14" s="870"/>
      <c r="AQ14" s="373"/>
      <c r="AR14" s="373"/>
      <c r="AS14" s="373"/>
      <c r="AT14" s="618"/>
      <c r="AU14" s="374">
        <v>0</v>
      </c>
      <c r="AV14" s="869"/>
      <c r="AW14" s="373"/>
      <c r="AX14" s="373"/>
      <c r="AY14" s="870"/>
      <c r="AZ14" s="373"/>
      <c r="BA14" s="373"/>
      <c r="BB14" s="373"/>
      <c r="BC14" s="618"/>
      <c r="BD14" s="374">
        <v>0</v>
      </c>
      <c r="BE14" s="869"/>
      <c r="BF14" s="373"/>
      <c r="BG14" s="373"/>
      <c r="BH14" s="870"/>
      <c r="BI14" s="373"/>
      <c r="BJ14" s="373"/>
      <c r="BK14" s="373"/>
      <c r="BL14" s="618"/>
      <c r="BM14" s="374">
        <v>0</v>
      </c>
      <c r="BN14" s="869"/>
      <c r="BO14" s="373"/>
      <c r="BP14" s="373"/>
      <c r="BQ14" s="870"/>
      <c r="BR14" s="373"/>
      <c r="BS14" s="373"/>
      <c r="BT14" s="373"/>
      <c r="BU14" s="618"/>
      <c r="BV14" s="374">
        <v>0</v>
      </c>
      <c r="BW14" s="869">
        <v>2</v>
      </c>
      <c r="BX14" s="373"/>
      <c r="BY14" s="373"/>
      <c r="BZ14" s="870">
        <v>2</v>
      </c>
      <c r="CA14" s="373"/>
      <c r="CB14" s="373"/>
      <c r="CC14" s="373"/>
      <c r="CD14" s="618"/>
      <c r="CE14" s="374">
        <v>1</v>
      </c>
      <c r="CF14" s="869"/>
      <c r="CG14" s="373"/>
      <c r="CH14" s="373"/>
      <c r="CI14" s="870"/>
      <c r="CJ14" s="373"/>
      <c r="CK14" s="373"/>
      <c r="CL14" s="373"/>
      <c r="CM14" s="618"/>
      <c r="CN14" s="374">
        <v>0</v>
      </c>
      <c r="CO14" s="869"/>
      <c r="CP14" s="373"/>
      <c r="CQ14" s="373"/>
      <c r="CR14" s="870"/>
      <c r="CS14" s="373"/>
      <c r="CT14" s="373"/>
      <c r="CU14" s="373"/>
      <c r="CV14" s="618"/>
      <c r="CW14" s="374">
        <v>0</v>
      </c>
      <c r="CX14" s="869"/>
      <c r="CY14" s="373">
        <v>1</v>
      </c>
      <c r="CZ14" s="373"/>
      <c r="DA14" s="870">
        <v>1</v>
      </c>
      <c r="DB14" s="373"/>
      <c r="DC14" s="373">
        <v>3</v>
      </c>
      <c r="DD14" s="373"/>
      <c r="DE14" s="618"/>
      <c r="DF14" s="374">
        <v>0</v>
      </c>
      <c r="DG14" s="869"/>
      <c r="DH14" s="373"/>
      <c r="DI14" s="373"/>
      <c r="DJ14" s="870"/>
      <c r="DK14" s="373"/>
      <c r="DL14" s="373"/>
      <c r="DM14" s="373"/>
      <c r="DN14" s="618"/>
      <c r="DO14" s="374">
        <v>0</v>
      </c>
      <c r="DP14" s="869"/>
      <c r="DQ14" s="373"/>
      <c r="DR14" s="373"/>
      <c r="DS14" s="870"/>
      <c r="DT14" s="373"/>
      <c r="DU14" s="373"/>
      <c r="DV14" s="373"/>
      <c r="DW14" s="618"/>
      <c r="DX14" s="374">
        <v>0</v>
      </c>
      <c r="DY14" s="869"/>
      <c r="DZ14" s="373"/>
      <c r="EA14" s="373"/>
      <c r="EB14" s="870"/>
      <c r="EC14" s="373"/>
      <c r="ED14" s="373"/>
      <c r="EE14" s="373"/>
      <c r="EF14" s="618"/>
      <c r="EG14" s="374">
        <v>0</v>
      </c>
      <c r="EH14" s="869"/>
      <c r="EI14" s="373"/>
      <c r="EJ14" s="373"/>
      <c r="EK14" s="870"/>
      <c r="EL14" s="373"/>
      <c r="EM14" s="373"/>
      <c r="EN14" s="373"/>
      <c r="EO14" s="618"/>
      <c r="EP14" s="374">
        <v>0</v>
      </c>
      <c r="EQ14" s="869"/>
      <c r="ER14" s="373"/>
      <c r="ES14" s="373"/>
      <c r="ET14" s="870"/>
      <c r="EU14" s="373"/>
      <c r="EV14" s="373"/>
      <c r="EW14" s="373"/>
      <c r="EX14" s="618"/>
      <c r="EY14" s="374">
        <v>0</v>
      </c>
      <c r="EZ14" s="869"/>
      <c r="FA14" s="373"/>
      <c r="FB14" s="373"/>
      <c r="FC14" s="870"/>
      <c r="FD14" s="373"/>
      <c r="FE14" s="373"/>
      <c r="FF14" s="373"/>
      <c r="FG14" s="618"/>
      <c r="FH14" s="374">
        <v>0</v>
      </c>
      <c r="FI14" s="869"/>
      <c r="FJ14" s="373"/>
      <c r="FK14" s="373"/>
      <c r="FL14" s="870"/>
      <c r="FM14" s="373"/>
      <c r="FN14" s="373"/>
      <c r="FO14" s="373">
        <v>1</v>
      </c>
      <c r="FP14" s="618"/>
      <c r="FQ14" s="374">
        <v>0</v>
      </c>
      <c r="FR14" s="869"/>
      <c r="FS14" s="373"/>
      <c r="FT14" s="373"/>
      <c r="FU14" s="870"/>
      <c r="FV14" s="373"/>
      <c r="FW14" s="373"/>
      <c r="FX14" s="373"/>
      <c r="FY14" s="618"/>
      <c r="FZ14" s="374">
        <v>0</v>
      </c>
      <c r="GA14" s="869"/>
      <c r="GB14" s="373"/>
      <c r="GC14" s="373"/>
      <c r="GD14" s="870"/>
      <c r="GE14" s="373"/>
      <c r="GF14" s="373"/>
      <c r="GG14" s="373"/>
      <c r="GH14" s="618"/>
      <c r="GI14" s="374">
        <v>0</v>
      </c>
      <c r="GJ14" s="869">
        <v>2</v>
      </c>
      <c r="GK14" s="373">
        <v>1</v>
      </c>
      <c r="GL14" s="373"/>
      <c r="GM14" s="870">
        <v>3</v>
      </c>
      <c r="GN14" s="373"/>
      <c r="GO14" s="373">
        <v>3</v>
      </c>
      <c r="GP14" s="373">
        <v>1</v>
      </c>
      <c r="GQ14" s="618"/>
      <c r="GR14" s="374">
        <v>2</v>
      </c>
      <c r="GS14" s="869">
        <v>2</v>
      </c>
      <c r="GT14" s="373">
        <v>1</v>
      </c>
      <c r="GU14" s="373"/>
      <c r="GV14" s="870"/>
      <c r="GW14" s="373"/>
      <c r="GX14" s="373">
        <v>1</v>
      </c>
      <c r="GY14" s="373"/>
      <c r="GZ14" s="618"/>
      <c r="HA14" s="374">
        <v>2</v>
      </c>
      <c r="HB14" s="869"/>
      <c r="HC14" s="373"/>
      <c r="HD14" s="373"/>
      <c r="HE14" s="870"/>
      <c r="HF14" s="373"/>
      <c r="HG14" s="373"/>
      <c r="HH14" s="373"/>
      <c r="HI14" s="618"/>
      <c r="HJ14" s="374">
        <v>0</v>
      </c>
      <c r="HK14" s="869"/>
      <c r="HL14" s="373"/>
      <c r="HM14" s="373"/>
      <c r="HN14" s="870"/>
      <c r="HO14" s="373"/>
      <c r="HP14" s="373"/>
      <c r="HQ14" s="373"/>
      <c r="HR14" s="618"/>
      <c r="HS14" s="374">
        <v>0</v>
      </c>
      <c r="HT14" s="869">
        <v>2</v>
      </c>
      <c r="HU14" s="373">
        <v>1</v>
      </c>
      <c r="HV14" s="373"/>
      <c r="HW14" s="870">
        <v>1</v>
      </c>
      <c r="HX14" s="373">
        <v>1</v>
      </c>
      <c r="HY14" s="373">
        <v>1</v>
      </c>
      <c r="HZ14" s="373">
        <v>1</v>
      </c>
      <c r="IA14" s="618"/>
      <c r="IB14" s="374">
        <v>2</v>
      </c>
      <c r="IC14" s="869">
        <v>2</v>
      </c>
      <c r="ID14" s="373">
        <v>6</v>
      </c>
      <c r="IE14" s="373">
        <v>2</v>
      </c>
      <c r="IF14" s="870">
        <v>7</v>
      </c>
      <c r="IG14" s="373">
        <v>3</v>
      </c>
      <c r="IH14" s="373">
        <v>5</v>
      </c>
      <c r="II14" s="373">
        <v>3</v>
      </c>
      <c r="IJ14" s="618">
        <v>2</v>
      </c>
      <c r="IK14" s="374">
        <v>3</v>
      </c>
      <c r="IL14" s="377"/>
      <c r="IM14" s="373"/>
      <c r="IN14" s="373"/>
      <c r="IO14" s="871"/>
      <c r="IP14" s="871"/>
      <c r="IQ14" s="373"/>
      <c r="IR14" s="373"/>
      <c r="IS14" s="618"/>
      <c r="IT14" s="374">
        <v>0</v>
      </c>
    </row>
    <row r="15" spans="1:254" s="245" customFormat="1" ht="12.75" customHeight="1" x14ac:dyDescent="0.2">
      <c r="A15" s="1052"/>
      <c r="B15" s="868" t="s">
        <v>867</v>
      </c>
      <c r="C15" s="869"/>
      <c r="D15" s="373"/>
      <c r="E15" s="373"/>
      <c r="F15" s="870"/>
      <c r="G15" s="373"/>
      <c r="H15" s="373"/>
      <c r="I15" s="373"/>
      <c r="J15" s="618"/>
      <c r="K15" s="374">
        <v>0</v>
      </c>
      <c r="L15" s="869"/>
      <c r="M15" s="373"/>
      <c r="N15" s="373"/>
      <c r="O15" s="870"/>
      <c r="P15" s="373"/>
      <c r="Q15" s="373"/>
      <c r="R15" s="373"/>
      <c r="S15" s="618"/>
      <c r="T15" s="374">
        <v>0</v>
      </c>
      <c r="U15" s="869"/>
      <c r="V15" s="373"/>
      <c r="W15" s="373"/>
      <c r="X15" s="870"/>
      <c r="Y15" s="373"/>
      <c r="Z15" s="373"/>
      <c r="AA15" s="373"/>
      <c r="AB15" s="618"/>
      <c r="AC15" s="374">
        <v>0</v>
      </c>
      <c r="AD15" s="869"/>
      <c r="AE15" s="373"/>
      <c r="AF15" s="373"/>
      <c r="AG15" s="870"/>
      <c r="AH15" s="373"/>
      <c r="AI15" s="373">
        <v>1</v>
      </c>
      <c r="AJ15" s="373"/>
      <c r="AK15" s="618"/>
      <c r="AL15" s="374">
        <v>0</v>
      </c>
      <c r="AM15" s="869"/>
      <c r="AN15" s="373"/>
      <c r="AO15" s="373"/>
      <c r="AP15" s="870"/>
      <c r="AQ15" s="373"/>
      <c r="AR15" s="373"/>
      <c r="AS15" s="373"/>
      <c r="AT15" s="618"/>
      <c r="AU15" s="374">
        <v>0</v>
      </c>
      <c r="AV15" s="869"/>
      <c r="AW15" s="373"/>
      <c r="AX15" s="373"/>
      <c r="AY15" s="870"/>
      <c r="AZ15" s="373"/>
      <c r="BA15" s="373"/>
      <c r="BB15" s="373"/>
      <c r="BC15" s="618"/>
      <c r="BD15" s="374">
        <v>0</v>
      </c>
      <c r="BE15" s="869"/>
      <c r="BF15" s="373"/>
      <c r="BG15" s="373"/>
      <c r="BH15" s="870"/>
      <c r="BI15" s="373"/>
      <c r="BJ15" s="373"/>
      <c r="BK15" s="373"/>
      <c r="BL15" s="618"/>
      <c r="BM15" s="374">
        <v>0</v>
      </c>
      <c r="BN15" s="869"/>
      <c r="BO15" s="373"/>
      <c r="BP15" s="373"/>
      <c r="BQ15" s="870"/>
      <c r="BR15" s="373"/>
      <c r="BS15" s="373"/>
      <c r="BT15" s="373"/>
      <c r="BU15" s="618"/>
      <c r="BV15" s="374">
        <v>0</v>
      </c>
      <c r="BW15" s="869"/>
      <c r="BX15" s="373"/>
      <c r="BY15" s="373"/>
      <c r="BZ15" s="870"/>
      <c r="CA15" s="373"/>
      <c r="CB15" s="373"/>
      <c r="CC15" s="373">
        <v>1</v>
      </c>
      <c r="CD15" s="618"/>
      <c r="CE15" s="374">
        <v>0</v>
      </c>
      <c r="CF15" s="869"/>
      <c r="CG15" s="373"/>
      <c r="CH15" s="373"/>
      <c r="CI15" s="870"/>
      <c r="CJ15" s="373"/>
      <c r="CK15" s="373"/>
      <c r="CL15" s="373"/>
      <c r="CM15" s="618"/>
      <c r="CN15" s="374">
        <v>0</v>
      </c>
      <c r="CO15" s="869"/>
      <c r="CP15" s="373"/>
      <c r="CQ15" s="373"/>
      <c r="CR15" s="870"/>
      <c r="CS15" s="373"/>
      <c r="CT15" s="373"/>
      <c r="CU15" s="373"/>
      <c r="CV15" s="618"/>
      <c r="CW15" s="374">
        <v>0</v>
      </c>
      <c r="CX15" s="869">
        <v>13</v>
      </c>
      <c r="CY15" s="373">
        <v>2</v>
      </c>
      <c r="CZ15" s="373">
        <v>3</v>
      </c>
      <c r="DA15" s="870">
        <v>3</v>
      </c>
      <c r="DB15" s="373">
        <v>6</v>
      </c>
      <c r="DC15" s="373">
        <v>4</v>
      </c>
      <c r="DD15" s="373">
        <v>1</v>
      </c>
      <c r="DE15" s="618">
        <v>1</v>
      </c>
      <c r="DF15" s="374">
        <v>1</v>
      </c>
      <c r="DG15" s="869"/>
      <c r="DH15" s="373"/>
      <c r="DI15" s="373"/>
      <c r="DJ15" s="870"/>
      <c r="DK15" s="373"/>
      <c r="DL15" s="373"/>
      <c r="DM15" s="373"/>
      <c r="DN15" s="618"/>
      <c r="DO15" s="374">
        <v>0</v>
      </c>
      <c r="DP15" s="869">
        <v>1</v>
      </c>
      <c r="DQ15" s="373"/>
      <c r="DR15" s="373">
        <v>2</v>
      </c>
      <c r="DS15" s="870"/>
      <c r="DT15" s="373"/>
      <c r="DU15" s="373"/>
      <c r="DV15" s="373"/>
      <c r="DW15" s="618"/>
      <c r="DX15" s="374">
        <v>0</v>
      </c>
      <c r="DY15" s="869"/>
      <c r="DZ15" s="373"/>
      <c r="EA15" s="373"/>
      <c r="EB15" s="870">
        <v>1</v>
      </c>
      <c r="EC15" s="373"/>
      <c r="ED15" s="373"/>
      <c r="EE15" s="373">
        <v>1</v>
      </c>
      <c r="EF15" s="618"/>
      <c r="EG15" s="374">
        <v>0</v>
      </c>
      <c r="EH15" s="869"/>
      <c r="EI15" s="373"/>
      <c r="EJ15" s="373"/>
      <c r="EK15" s="870"/>
      <c r="EL15" s="373"/>
      <c r="EM15" s="373"/>
      <c r="EN15" s="373"/>
      <c r="EO15" s="618"/>
      <c r="EP15" s="374">
        <v>0</v>
      </c>
      <c r="EQ15" s="869"/>
      <c r="ER15" s="373"/>
      <c r="ES15" s="373"/>
      <c r="ET15" s="870"/>
      <c r="EU15" s="373"/>
      <c r="EV15" s="373"/>
      <c r="EW15" s="373"/>
      <c r="EX15" s="618"/>
      <c r="EY15" s="374">
        <v>0</v>
      </c>
      <c r="EZ15" s="869"/>
      <c r="FA15" s="373"/>
      <c r="FB15" s="373"/>
      <c r="FC15" s="870"/>
      <c r="FD15" s="373"/>
      <c r="FE15" s="373"/>
      <c r="FF15" s="373"/>
      <c r="FG15" s="618"/>
      <c r="FH15" s="374">
        <v>0</v>
      </c>
      <c r="FI15" s="869"/>
      <c r="FJ15" s="373"/>
      <c r="FK15" s="373"/>
      <c r="FL15" s="870"/>
      <c r="FM15" s="373"/>
      <c r="FN15" s="373"/>
      <c r="FO15" s="373"/>
      <c r="FP15" s="618"/>
      <c r="FQ15" s="374">
        <v>0</v>
      </c>
      <c r="FR15" s="869">
        <v>1</v>
      </c>
      <c r="FS15" s="373"/>
      <c r="FT15" s="373"/>
      <c r="FU15" s="870"/>
      <c r="FV15" s="373"/>
      <c r="FW15" s="373"/>
      <c r="FX15" s="373"/>
      <c r="FY15" s="618"/>
      <c r="FZ15" s="374">
        <v>0</v>
      </c>
      <c r="GA15" s="869">
        <v>1</v>
      </c>
      <c r="GB15" s="373"/>
      <c r="GC15" s="373"/>
      <c r="GD15" s="870"/>
      <c r="GE15" s="373"/>
      <c r="GF15" s="373"/>
      <c r="GG15" s="373"/>
      <c r="GH15" s="618"/>
      <c r="GI15" s="374">
        <v>0</v>
      </c>
      <c r="GJ15" s="869">
        <v>15</v>
      </c>
      <c r="GK15" s="373">
        <v>2</v>
      </c>
      <c r="GL15" s="373">
        <v>3</v>
      </c>
      <c r="GM15" s="870">
        <v>3</v>
      </c>
      <c r="GN15" s="373">
        <v>6</v>
      </c>
      <c r="GO15" s="373">
        <v>5</v>
      </c>
      <c r="GP15" s="373">
        <v>2</v>
      </c>
      <c r="GQ15" s="618">
        <v>1</v>
      </c>
      <c r="GR15" s="374">
        <v>1</v>
      </c>
      <c r="GS15" s="869">
        <v>1</v>
      </c>
      <c r="GT15" s="373"/>
      <c r="GU15" s="373">
        <v>2</v>
      </c>
      <c r="GV15" s="870"/>
      <c r="GW15" s="373">
        <v>2</v>
      </c>
      <c r="GX15" s="373"/>
      <c r="GY15" s="373"/>
      <c r="GZ15" s="618"/>
      <c r="HA15" s="374">
        <v>0</v>
      </c>
      <c r="HB15" s="869"/>
      <c r="HC15" s="373"/>
      <c r="HD15" s="373"/>
      <c r="HE15" s="870"/>
      <c r="HF15" s="373"/>
      <c r="HG15" s="373"/>
      <c r="HH15" s="373"/>
      <c r="HI15" s="618"/>
      <c r="HJ15" s="374">
        <v>0</v>
      </c>
      <c r="HK15" s="869"/>
      <c r="HL15" s="373"/>
      <c r="HM15" s="373"/>
      <c r="HN15" s="870"/>
      <c r="HO15" s="373"/>
      <c r="HP15" s="373"/>
      <c r="HQ15" s="373"/>
      <c r="HR15" s="618"/>
      <c r="HS15" s="374">
        <v>0</v>
      </c>
      <c r="HT15" s="869">
        <v>2</v>
      </c>
      <c r="HU15" s="373">
        <v>1</v>
      </c>
      <c r="HV15" s="373">
        <v>4</v>
      </c>
      <c r="HW15" s="870">
        <v>1</v>
      </c>
      <c r="HX15" s="373">
        <v>2</v>
      </c>
      <c r="HY15" s="373">
        <v>1</v>
      </c>
      <c r="HZ15" s="373"/>
      <c r="IA15" s="618"/>
      <c r="IB15" s="374">
        <v>1</v>
      </c>
      <c r="IC15" s="869">
        <v>20</v>
      </c>
      <c r="ID15" s="373">
        <v>13</v>
      </c>
      <c r="IE15" s="373">
        <v>6</v>
      </c>
      <c r="IF15" s="870">
        <v>4</v>
      </c>
      <c r="IG15" s="373">
        <v>10</v>
      </c>
      <c r="IH15" s="373">
        <v>9</v>
      </c>
      <c r="II15" s="373">
        <v>2</v>
      </c>
      <c r="IJ15" s="618">
        <v>1</v>
      </c>
      <c r="IK15" s="374">
        <v>2</v>
      </c>
      <c r="IL15" s="377">
        <v>9</v>
      </c>
      <c r="IM15" s="373"/>
      <c r="IN15" s="373"/>
      <c r="IO15" s="871">
        <v>1</v>
      </c>
      <c r="IP15" s="871">
        <v>1</v>
      </c>
      <c r="IQ15" s="373">
        <v>1</v>
      </c>
      <c r="IR15" s="373">
        <v>1</v>
      </c>
      <c r="IS15" s="618">
        <v>1</v>
      </c>
      <c r="IT15" s="374">
        <v>0</v>
      </c>
    </row>
    <row r="16" spans="1:254" s="245" customFormat="1" ht="12.75" customHeight="1" x14ac:dyDescent="0.2">
      <c r="A16" s="1052"/>
      <c r="B16" s="868" t="s">
        <v>868</v>
      </c>
      <c r="C16" s="869"/>
      <c r="D16" s="373">
        <v>1</v>
      </c>
      <c r="E16" s="373"/>
      <c r="F16" s="870"/>
      <c r="G16" s="373"/>
      <c r="H16" s="373"/>
      <c r="I16" s="373"/>
      <c r="J16" s="618"/>
      <c r="K16" s="374">
        <v>0</v>
      </c>
      <c r="L16" s="869"/>
      <c r="M16" s="373">
        <v>1</v>
      </c>
      <c r="N16" s="373"/>
      <c r="O16" s="870"/>
      <c r="P16" s="373"/>
      <c r="Q16" s="373"/>
      <c r="R16" s="373"/>
      <c r="S16" s="618"/>
      <c r="T16" s="374">
        <v>0</v>
      </c>
      <c r="U16" s="869"/>
      <c r="V16" s="373"/>
      <c r="W16" s="373"/>
      <c r="X16" s="870"/>
      <c r="Y16" s="373"/>
      <c r="Z16" s="373"/>
      <c r="AA16" s="373"/>
      <c r="AB16" s="618"/>
      <c r="AC16" s="374">
        <v>0</v>
      </c>
      <c r="AD16" s="869">
        <v>1</v>
      </c>
      <c r="AE16" s="373"/>
      <c r="AF16" s="373"/>
      <c r="AG16" s="870"/>
      <c r="AH16" s="373"/>
      <c r="AI16" s="373">
        <v>1</v>
      </c>
      <c r="AJ16" s="373"/>
      <c r="AK16" s="618"/>
      <c r="AL16" s="374">
        <v>0</v>
      </c>
      <c r="AM16" s="869">
        <v>1</v>
      </c>
      <c r="AN16" s="373"/>
      <c r="AO16" s="373"/>
      <c r="AP16" s="870"/>
      <c r="AQ16" s="373"/>
      <c r="AR16" s="373"/>
      <c r="AS16" s="373"/>
      <c r="AT16" s="618"/>
      <c r="AU16" s="374">
        <v>0</v>
      </c>
      <c r="AV16" s="869"/>
      <c r="AW16" s="373"/>
      <c r="AX16" s="373"/>
      <c r="AY16" s="870"/>
      <c r="AZ16" s="373"/>
      <c r="BA16" s="373"/>
      <c r="BB16" s="373"/>
      <c r="BC16" s="618"/>
      <c r="BD16" s="374">
        <v>0</v>
      </c>
      <c r="BE16" s="869"/>
      <c r="BF16" s="373"/>
      <c r="BG16" s="373"/>
      <c r="BH16" s="870"/>
      <c r="BI16" s="373"/>
      <c r="BJ16" s="373"/>
      <c r="BK16" s="373"/>
      <c r="BL16" s="618"/>
      <c r="BM16" s="374">
        <v>0</v>
      </c>
      <c r="BN16" s="869"/>
      <c r="BO16" s="373"/>
      <c r="BP16" s="373"/>
      <c r="BQ16" s="870"/>
      <c r="BR16" s="373"/>
      <c r="BS16" s="373"/>
      <c r="BT16" s="373"/>
      <c r="BU16" s="618"/>
      <c r="BV16" s="374">
        <v>0</v>
      </c>
      <c r="BW16" s="869"/>
      <c r="BX16" s="373"/>
      <c r="BY16" s="373"/>
      <c r="BZ16" s="870"/>
      <c r="CA16" s="373"/>
      <c r="CB16" s="373"/>
      <c r="CC16" s="373"/>
      <c r="CD16" s="618"/>
      <c r="CE16" s="374">
        <v>0</v>
      </c>
      <c r="CF16" s="869"/>
      <c r="CG16" s="373"/>
      <c r="CH16" s="373"/>
      <c r="CI16" s="870"/>
      <c r="CJ16" s="373"/>
      <c r="CK16" s="373"/>
      <c r="CL16" s="373"/>
      <c r="CM16" s="618"/>
      <c r="CN16" s="374">
        <v>0</v>
      </c>
      <c r="CO16" s="869"/>
      <c r="CP16" s="373"/>
      <c r="CQ16" s="373"/>
      <c r="CR16" s="870"/>
      <c r="CS16" s="373"/>
      <c r="CT16" s="373"/>
      <c r="CU16" s="373"/>
      <c r="CV16" s="618"/>
      <c r="CW16" s="374">
        <v>0</v>
      </c>
      <c r="CX16" s="869">
        <v>4</v>
      </c>
      <c r="CY16" s="373">
        <v>1</v>
      </c>
      <c r="CZ16" s="373">
        <v>2</v>
      </c>
      <c r="DA16" s="870">
        <v>6</v>
      </c>
      <c r="DB16" s="373">
        <v>3</v>
      </c>
      <c r="DC16" s="373"/>
      <c r="DD16" s="373">
        <v>3</v>
      </c>
      <c r="DE16" s="618">
        <v>1</v>
      </c>
      <c r="DF16" s="374">
        <v>0</v>
      </c>
      <c r="DG16" s="869"/>
      <c r="DH16" s="373"/>
      <c r="DI16" s="373"/>
      <c r="DJ16" s="870"/>
      <c r="DK16" s="373"/>
      <c r="DL16" s="373"/>
      <c r="DM16" s="373"/>
      <c r="DN16" s="618"/>
      <c r="DO16" s="374">
        <v>0</v>
      </c>
      <c r="DP16" s="869"/>
      <c r="DQ16" s="373"/>
      <c r="DR16" s="373"/>
      <c r="DS16" s="870"/>
      <c r="DT16" s="373">
        <v>1</v>
      </c>
      <c r="DU16" s="373"/>
      <c r="DV16" s="373">
        <v>1</v>
      </c>
      <c r="DW16" s="618"/>
      <c r="DX16" s="374">
        <v>0</v>
      </c>
      <c r="DY16" s="869">
        <v>2</v>
      </c>
      <c r="DZ16" s="373">
        <v>1</v>
      </c>
      <c r="EA16" s="373"/>
      <c r="EB16" s="870">
        <v>1</v>
      </c>
      <c r="EC16" s="373"/>
      <c r="ED16" s="373"/>
      <c r="EE16" s="373"/>
      <c r="EF16" s="618"/>
      <c r="EG16" s="374">
        <v>0</v>
      </c>
      <c r="EH16" s="869"/>
      <c r="EI16" s="373"/>
      <c r="EJ16" s="373"/>
      <c r="EK16" s="870"/>
      <c r="EL16" s="373"/>
      <c r="EM16" s="373"/>
      <c r="EN16" s="373"/>
      <c r="EO16" s="618"/>
      <c r="EP16" s="374">
        <v>0</v>
      </c>
      <c r="EQ16" s="869"/>
      <c r="ER16" s="373"/>
      <c r="ES16" s="373"/>
      <c r="ET16" s="870"/>
      <c r="EU16" s="373"/>
      <c r="EV16" s="373"/>
      <c r="EW16" s="373"/>
      <c r="EX16" s="618"/>
      <c r="EY16" s="374">
        <v>0</v>
      </c>
      <c r="EZ16" s="869"/>
      <c r="FA16" s="373"/>
      <c r="FB16" s="373"/>
      <c r="FC16" s="870"/>
      <c r="FD16" s="373"/>
      <c r="FE16" s="373"/>
      <c r="FF16" s="373"/>
      <c r="FG16" s="618"/>
      <c r="FH16" s="374">
        <v>0</v>
      </c>
      <c r="FI16" s="869"/>
      <c r="FJ16" s="373"/>
      <c r="FK16" s="373"/>
      <c r="FL16" s="870"/>
      <c r="FM16" s="373"/>
      <c r="FN16" s="373"/>
      <c r="FO16" s="373"/>
      <c r="FP16" s="618"/>
      <c r="FQ16" s="374">
        <v>0</v>
      </c>
      <c r="FR16" s="869"/>
      <c r="FS16" s="373"/>
      <c r="FT16" s="373"/>
      <c r="FU16" s="870"/>
      <c r="FV16" s="373"/>
      <c r="FW16" s="373"/>
      <c r="FX16" s="373"/>
      <c r="FY16" s="618"/>
      <c r="FZ16" s="374">
        <v>0</v>
      </c>
      <c r="GA16" s="869"/>
      <c r="GB16" s="373"/>
      <c r="GC16" s="373"/>
      <c r="GD16" s="870"/>
      <c r="GE16" s="373"/>
      <c r="GF16" s="373"/>
      <c r="GG16" s="373"/>
      <c r="GH16" s="618"/>
      <c r="GI16" s="374">
        <v>0</v>
      </c>
      <c r="GJ16" s="869">
        <v>5</v>
      </c>
      <c r="GK16" s="373">
        <v>2</v>
      </c>
      <c r="GL16" s="373">
        <v>2</v>
      </c>
      <c r="GM16" s="870">
        <v>6</v>
      </c>
      <c r="GN16" s="373">
        <v>3</v>
      </c>
      <c r="GO16" s="373">
        <v>1</v>
      </c>
      <c r="GP16" s="373">
        <v>3</v>
      </c>
      <c r="GQ16" s="618">
        <v>1</v>
      </c>
      <c r="GR16" s="374">
        <v>0</v>
      </c>
      <c r="GS16" s="869"/>
      <c r="GT16" s="373">
        <v>1</v>
      </c>
      <c r="GU16" s="373">
        <v>1</v>
      </c>
      <c r="GV16" s="870"/>
      <c r="GW16" s="373"/>
      <c r="GX16" s="373"/>
      <c r="GY16" s="373">
        <v>1</v>
      </c>
      <c r="GZ16" s="618"/>
      <c r="HA16" s="374">
        <v>0</v>
      </c>
      <c r="HB16" s="869"/>
      <c r="HC16" s="373"/>
      <c r="HD16" s="373"/>
      <c r="HE16" s="870"/>
      <c r="HF16" s="373"/>
      <c r="HG16" s="373"/>
      <c r="HH16" s="373"/>
      <c r="HI16" s="618"/>
      <c r="HJ16" s="374">
        <v>0</v>
      </c>
      <c r="HK16" s="869"/>
      <c r="HL16" s="373"/>
      <c r="HM16" s="373"/>
      <c r="HN16" s="870"/>
      <c r="HO16" s="373"/>
      <c r="HP16" s="373"/>
      <c r="HQ16" s="373"/>
      <c r="HR16" s="618"/>
      <c r="HS16" s="374">
        <v>0</v>
      </c>
      <c r="HT16" s="869">
        <v>1</v>
      </c>
      <c r="HU16" s="373">
        <v>1</v>
      </c>
      <c r="HV16" s="373">
        <v>4</v>
      </c>
      <c r="HW16" s="870">
        <v>1</v>
      </c>
      <c r="HX16" s="373">
        <v>2</v>
      </c>
      <c r="HY16" s="373">
        <v>1</v>
      </c>
      <c r="HZ16" s="373">
        <v>3</v>
      </c>
      <c r="IA16" s="618"/>
      <c r="IB16" s="374">
        <v>0</v>
      </c>
      <c r="IC16" s="869">
        <v>8</v>
      </c>
      <c r="ID16" s="373">
        <v>4</v>
      </c>
      <c r="IE16" s="373">
        <v>5</v>
      </c>
      <c r="IF16" s="870">
        <v>7</v>
      </c>
      <c r="IG16" s="373">
        <v>10</v>
      </c>
      <c r="IH16" s="373">
        <v>5</v>
      </c>
      <c r="II16" s="373">
        <v>5</v>
      </c>
      <c r="IJ16" s="618">
        <v>4</v>
      </c>
      <c r="IK16" s="374">
        <v>2</v>
      </c>
      <c r="IL16" s="377">
        <v>3</v>
      </c>
      <c r="IM16" s="373">
        <v>1</v>
      </c>
      <c r="IN16" s="373"/>
      <c r="IO16" s="871">
        <v>6</v>
      </c>
      <c r="IP16" s="871"/>
      <c r="IQ16" s="373"/>
      <c r="IR16" s="373">
        <v>1</v>
      </c>
      <c r="IS16" s="618"/>
      <c r="IT16" s="374">
        <v>0</v>
      </c>
    </row>
    <row r="17" spans="1:254" s="245" customFormat="1" ht="12.75" customHeight="1" x14ac:dyDescent="0.2">
      <c r="A17" s="1052"/>
      <c r="B17" s="868" t="s">
        <v>869</v>
      </c>
      <c r="C17" s="869"/>
      <c r="D17" s="373"/>
      <c r="E17" s="373"/>
      <c r="F17" s="870"/>
      <c r="G17" s="373"/>
      <c r="H17" s="373"/>
      <c r="I17" s="373"/>
      <c r="J17" s="618"/>
      <c r="K17" s="374">
        <v>0</v>
      </c>
      <c r="L17" s="869"/>
      <c r="M17" s="373"/>
      <c r="N17" s="373"/>
      <c r="O17" s="870"/>
      <c r="P17" s="373"/>
      <c r="Q17" s="373"/>
      <c r="R17" s="373"/>
      <c r="S17" s="618"/>
      <c r="T17" s="374">
        <v>0</v>
      </c>
      <c r="U17" s="869"/>
      <c r="V17" s="373"/>
      <c r="W17" s="373"/>
      <c r="X17" s="870"/>
      <c r="Y17" s="373"/>
      <c r="Z17" s="373"/>
      <c r="AA17" s="373"/>
      <c r="AB17" s="618"/>
      <c r="AC17" s="374">
        <v>0</v>
      </c>
      <c r="AD17" s="869"/>
      <c r="AE17" s="373"/>
      <c r="AF17" s="373"/>
      <c r="AG17" s="870"/>
      <c r="AH17" s="373"/>
      <c r="AI17" s="373">
        <v>2</v>
      </c>
      <c r="AJ17" s="373"/>
      <c r="AK17" s="618"/>
      <c r="AL17" s="374">
        <v>2</v>
      </c>
      <c r="AM17" s="869"/>
      <c r="AN17" s="373"/>
      <c r="AO17" s="373"/>
      <c r="AP17" s="870"/>
      <c r="AQ17" s="373"/>
      <c r="AR17" s="373">
        <v>2</v>
      </c>
      <c r="AS17" s="373"/>
      <c r="AT17" s="618"/>
      <c r="AU17" s="374">
        <v>0</v>
      </c>
      <c r="AV17" s="869"/>
      <c r="AW17" s="373"/>
      <c r="AX17" s="373"/>
      <c r="AY17" s="870"/>
      <c r="AZ17" s="373"/>
      <c r="BA17" s="373"/>
      <c r="BB17" s="373"/>
      <c r="BC17" s="618"/>
      <c r="BD17" s="374">
        <v>0</v>
      </c>
      <c r="BE17" s="869"/>
      <c r="BF17" s="373"/>
      <c r="BG17" s="373"/>
      <c r="BH17" s="870"/>
      <c r="BI17" s="373"/>
      <c r="BJ17" s="373">
        <v>2</v>
      </c>
      <c r="BK17" s="373"/>
      <c r="BL17" s="618"/>
      <c r="BM17" s="374">
        <v>0</v>
      </c>
      <c r="BN17" s="869"/>
      <c r="BO17" s="373"/>
      <c r="BP17" s="373"/>
      <c r="BQ17" s="870"/>
      <c r="BR17" s="373"/>
      <c r="BS17" s="373"/>
      <c r="BT17" s="373"/>
      <c r="BU17" s="618"/>
      <c r="BV17" s="374">
        <v>0</v>
      </c>
      <c r="BW17" s="869"/>
      <c r="BX17" s="373">
        <v>1</v>
      </c>
      <c r="BY17" s="373"/>
      <c r="BZ17" s="870"/>
      <c r="CA17" s="373">
        <v>2</v>
      </c>
      <c r="CB17" s="373"/>
      <c r="CC17" s="373"/>
      <c r="CD17" s="618"/>
      <c r="CE17" s="374">
        <v>1</v>
      </c>
      <c r="CF17" s="869"/>
      <c r="CG17" s="373"/>
      <c r="CH17" s="373"/>
      <c r="CI17" s="870"/>
      <c r="CJ17" s="373"/>
      <c r="CK17" s="373"/>
      <c r="CL17" s="373"/>
      <c r="CM17" s="618"/>
      <c r="CN17" s="374">
        <v>0</v>
      </c>
      <c r="CO17" s="869"/>
      <c r="CP17" s="373"/>
      <c r="CQ17" s="373"/>
      <c r="CR17" s="870"/>
      <c r="CS17" s="373"/>
      <c r="CT17" s="373"/>
      <c r="CU17" s="373"/>
      <c r="CV17" s="618"/>
      <c r="CW17" s="374">
        <v>0</v>
      </c>
      <c r="CX17" s="869">
        <v>3</v>
      </c>
      <c r="CY17" s="373"/>
      <c r="CZ17" s="373">
        <v>3</v>
      </c>
      <c r="DA17" s="870">
        <v>3</v>
      </c>
      <c r="DB17" s="373">
        <v>1</v>
      </c>
      <c r="DC17" s="373">
        <v>1</v>
      </c>
      <c r="DD17" s="373">
        <v>2</v>
      </c>
      <c r="DE17" s="618"/>
      <c r="DF17" s="374">
        <v>3</v>
      </c>
      <c r="DG17" s="869"/>
      <c r="DH17" s="373"/>
      <c r="DI17" s="373"/>
      <c r="DJ17" s="870"/>
      <c r="DK17" s="373"/>
      <c r="DL17" s="373"/>
      <c r="DM17" s="373"/>
      <c r="DN17" s="618"/>
      <c r="DO17" s="374">
        <v>0</v>
      </c>
      <c r="DP17" s="869"/>
      <c r="DQ17" s="373"/>
      <c r="DR17" s="373">
        <v>1</v>
      </c>
      <c r="DS17" s="870"/>
      <c r="DT17" s="373"/>
      <c r="DU17" s="373"/>
      <c r="DV17" s="373"/>
      <c r="DW17" s="618"/>
      <c r="DX17" s="374">
        <v>0</v>
      </c>
      <c r="DY17" s="869"/>
      <c r="DZ17" s="373"/>
      <c r="EA17" s="373"/>
      <c r="EB17" s="870"/>
      <c r="EC17" s="373"/>
      <c r="ED17" s="373"/>
      <c r="EE17" s="373"/>
      <c r="EF17" s="618"/>
      <c r="EG17" s="374">
        <v>0</v>
      </c>
      <c r="EH17" s="869"/>
      <c r="EI17" s="373"/>
      <c r="EJ17" s="373"/>
      <c r="EK17" s="870"/>
      <c r="EL17" s="373"/>
      <c r="EM17" s="373"/>
      <c r="EN17" s="373"/>
      <c r="EO17" s="618"/>
      <c r="EP17" s="374">
        <v>0</v>
      </c>
      <c r="EQ17" s="869"/>
      <c r="ER17" s="373"/>
      <c r="ES17" s="373"/>
      <c r="ET17" s="870"/>
      <c r="EU17" s="373"/>
      <c r="EV17" s="373"/>
      <c r="EW17" s="373"/>
      <c r="EX17" s="618"/>
      <c r="EY17" s="374">
        <v>0</v>
      </c>
      <c r="EZ17" s="869"/>
      <c r="FA17" s="373"/>
      <c r="FB17" s="373"/>
      <c r="FC17" s="870"/>
      <c r="FD17" s="373"/>
      <c r="FE17" s="373"/>
      <c r="FF17" s="373"/>
      <c r="FG17" s="618"/>
      <c r="FH17" s="374">
        <v>0</v>
      </c>
      <c r="FI17" s="869">
        <v>1</v>
      </c>
      <c r="FJ17" s="373"/>
      <c r="FK17" s="373"/>
      <c r="FL17" s="870"/>
      <c r="FM17" s="373"/>
      <c r="FN17" s="373"/>
      <c r="FO17" s="373"/>
      <c r="FP17" s="618"/>
      <c r="FQ17" s="374">
        <v>0</v>
      </c>
      <c r="FR17" s="869"/>
      <c r="FS17" s="373"/>
      <c r="FT17" s="373"/>
      <c r="FU17" s="870"/>
      <c r="FV17" s="373"/>
      <c r="FW17" s="373"/>
      <c r="FX17" s="373"/>
      <c r="FY17" s="618"/>
      <c r="FZ17" s="374">
        <v>0</v>
      </c>
      <c r="GA17" s="869"/>
      <c r="GB17" s="373"/>
      <c r="GC17" s="373"/>
      <c r="GD17" s="870"/>
      <c r="GE17" s="373"/>
      <c r="GF17" s="373"/>
      <c r="GG17" s="373"/>
      <c r="GH17" s="618">
        <v>3</v>
      </c>
      <c r="GI17" s="374">
        <v>0</v>
      </c>
      <c r="GJ17" s="869">
        <v>4</v>
      </c>
      <c r="GK17" s="373">
        <v>1</v>
      </c>
      <c r="GL17" s="373">
        <v>3</v>
      </c>
      <c r="GM17" s="870">
        <v>3</v>
      </c>
      <c r="GN17" s="373">
        <v>3</v>
      </c>
      <c r="GO17" s="373">
        <v>5</v>
      </c>
      <c r="GP17" s="373">
        <v>2</v>
      </c>
      <c r="GQ17" s="618">
        <v>3</v>
      </c>
      <c r="GR17" s="374">
        <v>6</v>
      </c>
      <c r="GS17" s="869">
        <v>1</v>
      </c>
      <c r="GT17" s="373"/>
      <c r="GU17" s="373">
        <v>1</v>
      </c>
      <c r="GV17" s="870">
        <v>3</v>
      </c>
      <c r="GW17" s="373">
        <v>1</v>
      </c>
      <c r="GX17" s="373"/>
      <c r="GY17" s="373"/>
      <c r="GZ17" s="618">
        <v>1</v>
      </c>
      <c r="HA17" s="374">
        <v>0</v>
      </c>
      <c r="HB17" s="869"/>
      <c r="HC17" s="373"/>
      <c r="HD17" s="373"/>
      <c r="HE17" s="870"/>
      <c r="HF17" s="373"/>
      <c r="HG17" s="373"/>
      <c r="HH17" s="373"/>
      <c r="HI17" s="618"/>
      <c r="HJ17" s="374">
        <v>0</v>
      </c>
      <c r="HK17" s="869"/>
      <c r="HL17" s="373"/>
      <c r="HM17" s="373"/>
      <c r="HN17" s="870"/>
      <c r="HO17" s="373"/>
      <c r="HP17" s="373"/>
      <c r="HQ17" s="373"/>
      <c r="HR17" s="618"/>
      <c r="HS17" s="374">
        <v>0</v>
      </c>
      <c r="HT17" s="869">
        <v>1</v>
      </c>
      <c r="HU17" s="373">
        <v>1</v>
      </c>
      <c r="HV17" s="373">
        <v>3</v>
      </c>
      <c r="HW17" s="870">
        <v>6</v>
      </c>
      <c r="HX17" s="373">
        <v>1</v>
      </c>
      <c r="HY17" s="373"/>
      <c r="HZ17" s="373">
        <v>3</v>
      </c>
      <c r="IA17" s="618">
        <v>1</v>
      </c>
      <c r="IB17" s="374">
        <v>0</v>
      </c>
      <c r="IC17" s="869">
        <v>36</v>
      </c>
      <c r="ID17" s="373">
        <v>3</v>
      </c>
      <c r="IE17" s="373">
        <v>5</v>
      </c>
      <c r="IF17" s="870">
        <v>8</v>
      </c>
      <c r="IG17" s="373">
        <v>4</v>
      </c>
      <c r="IH17" s="373">
        <v>5</v>
      </c>
      <c r="II17" s="373">
        <v>5</v>
      </c>
      <c r="IJ17" s="618">
        <v>5</v>
      </c>
      <c r="IK17" s="374">
        <v>10</v>
      </c>
      <c r="IL17" s="377">
        <v>2</v>
      </c>
      <c r="IM17" s="373"/>
      <c r="IN17" s="373"/>
      <c r="IO17" s="871"/>
      <c r="IP17" s="871"/>
      <c r="IQ17" s="373"/>
      <c r="IR17" s="373"/>
      <c r="IS17" s="618"/>
      <c r="IT17" s="374">
        <v>0</v>
      </c>
    </row>
    <row r="18" spans="1:254" s="245" customFormat="1" ht="12.75" customHeight="1" x14ac:dyDescent="0.2">
      <c r="A18" s="1052"/>
      <c r="B18" s="868" t="s">
        <v>870</v>
      </c>
      <c r="C18" s="869"/>
      <c r="D18" s="373"/>
      <c r="E18" s="373"/>
      <c r="F18" s="870"/>
      <c r="G18" s="373"/>
      <c r="H18" s="373"/>
      <c r="I18" s="373"/>
      <c r="J18" s="618"/>
      <c r="K18" s="374">
        <v>0</v>
      </c>
      <c r="L18" s="869"/>
      <c r="M18" s="373"/>
      <c r="N18" s="373"/>
      <c r="O18" s="870"/>
      <c r="P18" s="373"/>
      <c r="Q18" s="373"/>
      <c r="R18" s="373"/>
      <c r="S18" s="618"/>
      <c r="T18" s="374">
        <v>0</v>
      </c>
      <c r="U18" s="869"/>
      <c r="V18" s="373"/>
      <c r="W18" s="373"/>
      <c r="X18" s="870"/>
      <c r="Y18" s="373"/>
      <c r="Z18" s="373"/>
      <c r="AA18" s="373"/>
      <c r="AB18" s="618"/>
      <c r="AC18" s="374">
        <v>0</v>
      </c>
      <c r="AD18" s="869"/>
      <c r="AE18" s="373"/>
      <c r="AF18" s="373"/>
      <c r="AG18" s="870"/>
      <c r="AH18" s="373"/>
      <c r="AI18" s="373"/>
      <c r="AJ18" s="373"/>
      <c r="AK18" s="618"/>
      <c r="AL18" s="374">
        <v>0</v>
      </c>
      <c r="AM18" s="869"/>
      <c r="AN18" s="373"/>
      <c r="AO18" s="373"/>
      <c r="AP18" s="870"/>
      <c r="AQ18" s="373"/>
      <c r="AR18" s="373"/>
      <c r="AS18" s="373"/>
      <c r="AT18" s="618"/>
      <c r="AU18" s="374">
        <v>0</v>
      </c>
      <c r="AV18" s="869"/>
      <c r="AW18" s="373"/>
      <c r="AX18" s="373"/>
      <c r="AY18" s="870"/>
      <c r="AZ18" s="373"/>
      <c r="BA18" s="373"/>
      <c r="BB18" s="373"/>
      <c r="BC18" s="618"/>
      <c r="BD18" s="374">
        <v>0</v>
      </c>
      <c r="BE18" s="869"/>
      <c r="BF18" s="373"/>
      <c r="BG18" s="373"/>
      <c r="BH18" s="870"/>
      <c r="BI18" s="373"/>
      <c r="BJ18" s="373"/>
      <c r="BK18" s="373"/>
      <c r="BL18" s="618"/>
      <c r="BM18" s="374">
        <v>0</v>
      </c>
      <c r="BN18" s="869"/>
      <c r="BO18" s="373"/>
      <c r="BP18" s="373"/>
      <c r="BQ18" s="870"/>
      <c r="BR18" s="373"/>
      <c r="BS18" s="373"/>
      <c r="BT18" s="373"/>
      <c r="BU18" s="618"/>
      <c r="BV18" s="374">
        <v>0</v>
      </c>
      <c r="BW18" s="869"/>
      <c r="BX18" s="373"/>
      <c r="BY18" s="373"/>
      <c r="BZ18" s="870"/>
      <c r="CA18" s="373"/>
      <c r="CB18" s="373">
        <v>2</v>
      </c>
      <c r="CC18" s="373"/>
      <c r="CD18" s="618"/>
      <c r="CE18" s="374">
        <v>0</v>
      </c>
      <c r="CF18" s="869"/>
      <c r="CG18" s="373"/>
      <c r="CH18" s="373"/>
      <c r="CI18" s="870"/>
      <c r="CJ18" s="373"/>
      <c r="CK18" s="373"/>
      <c r="CL18" s="373"/>
      <c r="CM18" s="618"/>
      <c r="CN18" s="374">
        <v>0</v>
      </c>
      <c r="CO18" s="869"/>
      <c r="CP18" s="373"/>
      <c r="CQ18" s="373"/>
      <c r="CR18" s="870"/>
      <c r="CS18" s="373"/>
      <c r="CT18" s="373"/>
      <c r="CU18" s="373"/>
      <c r="CV18" s="618"/>
      <c r="CW18" s="374">
        <v>0</v>
      </c>
      <c r="CX18" s="869">
        <v>3</v>
      </c>
      <c r="CY18" s="373">
        <v>4</v>
      </c>
      <c r="CZ18" s="373">
        <v>3</v>
      </c>
      <c r="DA18" s="870">
        <v>1</v>
      </c>
      <c r="DB18" s="373">
        <v>4</v>
      </c>
      <c r="DC18" s="373">
        <v>4</v>
      </c>
      <c r="DD18" s="373"/>
      <c r="DE18" s="618">
        <v>1</v>
      </c>
      <c r="DF18" s="374">
        <v>0</v>
      </c>
      <c r="DG18" s="869"/>
      <c r="DH18" s="373"/>
      <c r="DI18" s="373"/>
      <c r="DJ18" s="870"/>
      <c r="DK18" s="373"/>
      <c r="DL18" s="373"/>
      <c r="DM18" s="373"/>
      <c r="DN18" s="618"/>
      <c r="DO18" s="374">
        <v>0</v>
      </c>
      <c r="DP18" s="869"/>
      <c r="DQ18" s="373"/>
      <c r="DR18" s="373"/>
      <c r="DS18" s="870"/>
      <c r="DT18" s="373"/>
      <c r="DU18" s="373"/>
      <c r="DV18" s="373"/>
      <c r="DW18" s="618"/>
      <c r="DX18" s="374">
        <v>0</v>
      </c>
      <c r="DY18" s="869"/>
      <c r="DZ18" s="373"/>
      <c r="EA18" s="373">
        <v>1</v>
      </c>
      <c r="EB18" s="870"/>
      <c r="EC18" s="373">
        <v>1</v>
      </c>
      <c r="ED18" s="373"/>
      <c r="EE18" s="373"/>
      <c r="EF18" s="618"/>
      <c r="EG18" s="374">
        <v>0</v>
      </c>
      <c r="EH18" s="869"/>
      <c r="EI18" s="373"/>
      <c r="EJ18" s="373"/>
      <c r="EK18" s="870"/>
      <c r="EL18" s="373"/>
      <c r="EM18" s="373"/>
      <c r="EN18" s="373"/>
      <c r="EO18" s="618"/>
      <c r="EP18" s="374">
        <v>0</v>
      </c>
      <c r="EQ18" s="869"/>
      <c r="ER18" s="373"/>
      <c r="ES18" s="373"/>
      <c r="ET18" s="870"/>
      <c r="EU18" s="373"/>
      <c r="EV18" s="373"/>
      <c r="EW18" s="373"/>
      <c r="EX18" s="618"/>
      <c r="EY18" s="374">
        <v>0</v>
      </c>
      <c r="EZ18" s="869"/>
      <c r="FA18" s="373"/>
      <c r="FB18" s="373"/>
      <c r="FC18" s="870"/>
      <c r="FD18" s="373"/>
      <c r="FE18" s="373"/>
      <c r="FF18" s="373"/>
      <c r="FG18" s="618"/>
      <c r="FH18" s="374">
        <v>0</v>
      </c>
      <c r="FI18" s="869"/>
      <c r="FJ18" s="373"/>
      <c r="FK18" s="373"/>
      <c r="FL18" s="870">
        <v>1</v>
      </c>
      <c r="FM18" s="373"/>
      <c r="FN18" s="373"/>
      <c r="FO18" s="373"/>
      <c r="FP18" s="618"/>
      <c r="FQ18" s="374">
        <v>0</v>
      </c>
      <c r="FR18" s="869"/>
      <c r="FS18" s="373"/>
      <c r="FT18" s="373"/>
      <c r="FU18" s="870"/>
      <c r="FV18" s="373">
        <v>1</v>
      </c>
      <c r="FW18" s="373"/>
      <c r="FX18" s="373"/>
      <c r="FY18" s="618"/>
      <c r="FZ18" s="374">
        <v>0</v>
      </c>
      <c r="GA18" s="869"/>
      <c r="GB18" s="373"/>
      <c r="GC18" s="373"/>
      <c r="GD18" s="870"/>
      <c r="GE18" s="373"/>
      <c r="GF18" s="373"/>
      <c r="GG18" s="373"/>
      <c r="GH18" s="618"/>
      <c r="GI18" s="374">
        <v>0</v>
      </c>
      <c r="GJ18" s="869">
        <v>3</v>
      </c>
      <c r="GK18" s="373">
        <v>4</v>
      </c>
      <c r="GL18" s="373">
        <v>3</v>
      </c>
      <c r="GM18" s="870">
        <v>2</v>
      </c>
      <c r="GN18" s="373">
        <v>5</v>
      </c>
      <c r="GO18" s="373">
        <v>6</v>
      </c>
      <c r="GP18" s="373"/>
      <c r="GQ18" s="618">
        <v>1</v>
      </c>
      <c r="GR18" s="374">
        <v>0</v>
      </c>
      <c r="GS18" s="869">
        <v>2</v>
      </c>
      <c r="GT18" s="373">
        <v>1</v>
      </c>
      <c r="GU18" s="373">
        <v>1</v>
      </c>
      <c r="GV18" s="870"/>
      <c r="GW18" s="373">
        <v>1</v>
      </c>
      <c r="GX18" s="373"/>
      <c r="GY18" s="373"/>
      <c r="GZ18" s="618"/>
      <c r="HA18" s="374">
        <v>0</v>
      </c>
      <c r="HB18" s="869"/>
      <c r="HC18" s="373"/>
      <c r="HD18" s="373"/>
      <c r="HE18" s="870"/>
      <c r="HF18" s="373"/>
      <c r="HG18" s="373"/>
      <c r="HH18" s="373"/>
      <c r="HI18" s="618"/>
      <c r="HJ18" s="374">
        <v>0</v>
      </c>
      <c r="HK18" s="869"/>
      <c r="HL18" s="373"/>
      <c r="HM18" s="373"/>
      <c r="HN18" s="870"/>
      <c r="HO18" s="373"/>
      <c r="HP18" s="373"/>
      <c r="HQ18" s="373"/>
      <c r="HR18" s="618"/>
      <c r="HS18" s="374">
        <v>0</v>
      </c>
      <c r="HT18" s="869">
        <v>2</v>
      </c>
      <c r="HU18" s="373">
        <v>1</v>
      </c>
      <c r="HV18" s="373">
        <v>1</v>
      </c>
      <c r="HW18" s="870">
        <v>1</v>
      </c>
      <c r="HX18" s="373">
        <v>2</v>
      </c>
      <c r="HY18" s="373"/>
      <c r="HZ18" s="373"/>
      <c r="IA18" s="618"/>
      <c r="IB18" s="374">
        <v>0</v>
      </c>
      <c r="IC18" s="869">
        <v>3</v>
      </c>
      <c r="ID18" s="373">
        <v>5</v>
      </c>
      <c r="IE18" s="373">
        <v>3</v>
      </c>
      <c r="IF18" s="870">
        <v>4</v>
      </c>
      <c r="IG18" s="373">
        <v>8</v>
      </c>
      <c r="IH18" s="373">
        <v>8</v>
      </c>
      <c r="II18" s="373">
        <v>1</v>
      </c>
      <c r="IJ18" s="618">
        <v>1</v>
      </c>
      <c r="IK18" s="374">
        <v>0</v>
      </c>
      <c r="IL18" s="377"/>
      <c r="IM18" s="373">
        <v>1</v>
      </c>
      <c r="IN18" s="373">
        <v>2</v>
      </c>
      <c r="IO18" s="871"/>
      <c r="IP18" s="871">
        <v>1</v>
      </c>
      <c r="IQ18" s="373"/>
      <c r="IR18" s="373"/>
      <c r="IS18" s="618"/>
      <c r="IT18" s="374">
        <v>0</v>
      </c>
    </row>
    <row r="19" spans="1:254" s="245" customFormat="1" ht="12.75" customHeight="1" x14ac:dyDescent="0.2">
      <c r="A19" s="1052"/>
      <c r="B19" s="868" t="s">
        <v>871</v>
      </c>
      <c r="C19" s="869"/>
      <c r="D19" s="373"/>
      <c r="E19" s="373"/>
      <c r="F19" s="870"/>
      <c r="G19" s="373"/>
      <c r="H19" s="373"/>
      <c r="I19" s="373"/>
      <c r="J19" s="618"/>
      <c r="K19" s="374">
        <v>0</v>
      </c>
      <c r="L19" s="869"/>
      <c r="M19" s="373"/>
      <c r="N19" s="373"/>
      <c r="O19" s="870"/>
      <c r="P19" s="373"/>
      <c r="Q19" s="373"/>
      <c r="R19" s="373"/>
      <c r="S19" s="618"/>
      <c r="T19" s="374">
        <v>0</v>
      </c>
      <c r="U19" s="869"/>
      <c r="V19" s="373"/>
      <c r="W19" s="373"/>
      <c r="X19" s="870"/>
      <c r="Y19" s="373"/>
      <c r="Z19" s="373"/>
      <c r="AA19" s="373"/>
      <c r="AB19" s="618"/>
      <c r="AC19" s="374">
        <v>0</v>
      </c>
      <c r="AD19" s="869"/>
      <c r="AE19" s="373"/>
      <c r="AF19" s="373"/>
      <c r="AG19" s="870"/>
      <c r="AH19" s="373">
        <v>2</v>
      </c>
      <c r="AI19" s="373"/>
      <c r="AJ19" s="373"/>
      <c r="AK19" s="618"/>
      <c r="AL19" s="374">
        <v>0</v>
      </c>
      <c r="AM19" s="869"/>
      <c r="AN19" s="373"/>
      <c r="AO19" s="373"/>
      <c r="AP19" s="870"/>
      <c r="AQ19" s="373">
        <v>1</v>
      </c>
      <c r="AR19" s="373"/>
      <c r="AS19" s="373"/>
      <c r="AT19" s="618"/>
      <c r="AU19" s="374">
        <v>0</v>
      </c>
      <c r="AV19" s="869"/>
      <c r="AW19" s="373"/>
      <c r="AX19" s="373"/>
      <c r="AY19" s="870"/>
      <c r="AZ19" s="373"/>
      <c r="BA19" s="373"/>
      <c r="BB19" s="373"/>
      <c r="BC19" s="618"/>
      <c r="BD19" s="374">
        <v>0</v>
      </c>
      <c r="BE19" s="869"/>
      <c r="BF19" s="373"/>
      <c r="BG19" s="373"/>
      <c r="BH19" s="870"/>
      <c r="BI19" s="373"/>
      <c r="BJ19" s="373"/>
      <c r="BK19" s="373"/>
      <c r="BL19" s="618"/>
      <c r="BM19" s="374">
        <v>0</v>
      </c>
      <c r="BN19" s="869"/>
      <c r="BO19" s="373"/>
      <c r="BP19" s="373"/>
      <c r="BQ19" s="870"/>
      <c r="BR19" s="373"/>
      <c r="BS19" s="373"/>
      <c r="BT19" s="373"/>
      <c r="BU19" s="618"/>
      <c r="BV19" s="374">
        <v>0</v>
      </c>
      <c r="BW19" s="869"/>
      <c r="BX19" s="373"/>
      <c r="BY19" s="373"/>
      <c r="BZ19" s="870">
        <v>1</v>
      </c>
      <c r="CA19" s="373">
        <v>3</v>
      </c>
      <c r="CB19" s="373"/>
      <c r="CC19" s="373"/>
      <c r="CD19" s="618">
        <v>1</v>
      </c>
      <c r="CE19" s="374">
        <v>0</v>
      </c>
      <c r="CF19" s="869"/>
      <c r="CG19" s="373"/>
      <c r="CH19" s="373"/>
      <c r="CI19" s="870"/>
      <c r="CJ19" s="373"/>
      <c r="CK19" s="373"/>
      <c r="CL19" s="373"/>
      <c r="CM19" s="618"/>
      <c r="CN19" s="374">
        <v>0</v>
      </c>
      <c r="CO19" s="869"/>
      <c r="CP19" s="373"/>
      <c r="CQ19" s="373"/>
      <c r="CR19" s="870"/>
      <c r="CS19" s="373"/>
      <c r="CT19" s="373"/>
      <c r="CU19" s="373"/>
      <c r="CV19" s="618"/>
      <c r="CW19" s="374">
        <v>0</v>
      </c>
      <c r="CX19" s="869">
        <v>6</v>
      </c>
      <c r="CY19" s="373">
        <v>2</v>
      </c>
      <c r="CZ19" s="373">
        <v>5</v>
      </c>
      <c r="DA19" s="870">
        <v>1</v>
      </c>
      <c r="DB19" s="373">
        <v>3</v>
      </c>
      <c r="DC19" s="373">
        <v>2</v>
      </c>
      <c r="DD19" s="373"/>
      <c r="DE19" s="618">
        <v>1</v>
      </c>
      <c r="DF19" s="374">
        <v>1</v>
      </c>
      <c r="DG19" s="869"/>
      <c r="DH19" s="373"/>
      <c r="DI19" s="373"/>
      <c r="DJ19" s="870"/>
      <c r="DK19" s="373"/>
      <c r="DL19" s="373"/>
      <c r="DM19" s="373"/>
      <c r="DN19" s="618"/>
      <c r="DO19" s="374">
        <v>0</v>
      </c>
      <c r="DP19" s="869"/>
      <c r="DQ19" s="373"/>
      <c r="DR19" s="373">
        <v>2</v>
      </c>
      <c r="DS19" s="870"/>
      <c r="DT19" s="373"/>
      <c r="DU19" s="373"/>
      <c r="DV19" s="373"/>
      <c r="DW19" s="618"/>
      <c r="DX19" s="374">
        <v>0</v>
      </c>
      <c r="DY19" s="869"/>
      <c r="DZ19" s="373"/>
      <c r="EA19" s="373"/>
      <c r="EB19" s="870"/>
      <c r="EC19" s="373"/>
      <c r="ED19" s="373"/>
      <c r="EE19" s="373"/>
      <c r="EF19" s="618"/>
      <c r="EG19" s="374">
        <v>0</v>
      </c>
      <c r="EH19" s="869"/>
      <c r="EI19" s="373"/>
      <c r="EJ19" s="373"/>
      <c r="EK19" s="870"/>
      <c r="EL19" s="373"/>
      <c r="EM19" s="373"/>
      <c r="EN19" s="373"/>
      <c r="EO19" s="618"/>
      <c r="EP19" s="374">
        <v>0</v>
      </c>
      <c r="EQ19" s="869"/>
      <c r="ER19" s="373"/>
      <c r="ES19" s="373"/>
      <c r="ET19" s="870"/>
      <c r="EU19" s="373"/>
      <c r="EV19" s="373"/>
      <c r="EW19" s="373"/>
      <c r="EX19" s="618"/>
      <c r="EY19" s="374">
        <v>0</v>
      </c>
      <c r="EZ19" s="869"/>
      <c r="FA19" s="373"/>
      <c r="FB19" s="373"/>
      <c r="FC19" s="870"/>
      <c r="FD19" s="373"/>
      <c r="FE19" s="373"/>
      <c r="FF19" s="373"/>
      <c r="FG19" s="618"/>
      <c r="FH19" s="374">
        <v>0</v>
      </c>
      <c r="FI19" s="869"/>
      <c r="FJ19" s="373"/>
      <c r="FK19" s="373"/>
      <c r="FL19" s="870"/>
      <c r="FM19" s="373"/>
      <c r="FN19" s="373">
        <v>1</v>
      </c>
      <c r="FO19" s="373"/>
      <c r="FP19" s="618"/>
      <c r="FQ19" s="374">
        <v>0</v>
      </c>
      <c r="FR19" s="869"/>
      <c r="FS19" s="373"/>
      <c r="FT19" s="373"/>
      <c r="FU19" s="870"/>
      <c r="FV19" s="373"/>
      <c r="FW19" s="373"/>
      <c r="FX19" s="373"/>
      <c r="FY19" s="618"/>
      <c r="FZ19" s="374">
        <v>0</v>
      </c>
      <c r="GA19" s="869"/>
      <c r="GB19" s="373"/>
      <c r="GC19" s="373"/>
      <c r="GD19" s="870"/>
      <c r="GE19" s="373"/>
      <c r="GF19" s="373"/>
      <c r="GG19" s="373"/>
      <c r="GH19" s="618"/>
      <c r="GI19" s="374">
        <v>0</v>
      </c>
      <c r="GJ19" s="869">
        <v>6</v>
      </c>
      <c r="GK19" s="373">
        <v>2</v>
      </c>
      <c r="GL19" s="373">
        <v>5</v>
      </c>
      <c r="GM19" s="870">
        <v>2</v>
      </c>
      <c r="GN19" s="373">
        <v>8</v>
      </c>
      <c r="GO19" s="373">
        <v>3</v>
      </c>
      <c r="GP19" s="373"/>
      <c r="GQ19" s="618">
        <v>2</v>
      </c>
      <c r="GR19" s="374">
        <v>1</v>
      </c>
      <c r="GS19" s="869">
        <v>2</v>
      </c>
      <c r="GT19" s="373">
        <v>1</v>
      </c>
      <c r="GU19" s="373">
        <v>3</v>
      </c>
      <c r="GV19" s="870">
        <v>2</v>
      </c>
      <c r="GW19" s="373"/>
      <c r="GX19" s="373">
        <v>1</v>
      </c>
      <c r="GY19" s="373"/>
      <c r="GZ19" s="618">
        <v>1</v>
      </c>
      <c r="HA19" s="374">
        <v>1</v>
      </c>
      <c r="HB19" s="869"/>
      <c r="HC19" s="373"/>
      <c r="HD19" s="373"/>
      <c r="HE19" s="870"/>
      <c r="HF19" s="373"/>
      <c r="HG19" s="373"/>
      <c r="HH19" s="373"/>
      <c r="HI19" s="618"/>
      <c r="HJ19" s="374">
        <v>0</v>
      </c>
      <c r="HK19" s="869"/>
      <c r="HL19" s="373"/>
      <c r="HM19" s="373"/>
      <c r="HN19" s="870"/>
      <c r="HO19" s="373"/>
      <c r="HP19" s="373"/>
      <c r="HQ19" s="373"/>
      <c r="HR19" s="618"/>
      <c r="HS19" s="374">
        <v>0</v>
      </c>
      <c r="HT19" s="869">
        <v>3</v>
      </c>
      <c r="HU19" s="373">
        <v>2</v>
      </c>
      <c r="HV19" s="373">
        <v>8</v>
      </c>
      <c r="HW19" s="870">
        <v>5</v>
      </c>
      <c r="HX19" s="373"/>
      <c r="HY19" s="373">
        <v>8</v>
      </c>
      <c r="HZ19" s="373"/>
      <c r="IA19" s="618">
        <v>2</v>
      </c>
      <c r="IB19" s="374">
        <v>1</v>
      </c>
      <c r="IC19" s="869">
        <v>10</v>
      </c>
      <c r="ID19" s="373">
        <v>9</v>
      </c>
      <c r="IE19" s="373">
        <v>18</v>
      </c>
      <c r="IF19" s="870">
        <v>6</v>
      </c>
      <c r="IG19" s="373">
        <v>11</v>
      </c>
      <c r="IH19" s="373">
        <v>13</v>
      </c>
      <c r="II19" s="373">
        <v>1</v>
      </c>
      <c r="IJ19" s="618">
        <v>3</v>
      </c>
      <c r="IK19" s="374">
        <v>3</v>
      </c>
      <c r="IL19" s="377">
        <v>1</v>
      </c>
      <c r="IM19" s="373"/>
      <c r="IN19" s="373">
        <v>1</v>
      </c>
      <c r="IO19" s="871"/>
      <c r="IP19" s="871"/>
      <c r="IQ19" s="373"/>
      <c r="IR19" s="373"/>
      <c r="IS19" s="618"/>
      <c r="IT19" s="374">
        <v>0</v>
      </c>
    </row>
    <row r="20" spans="1:254" s="245" customFormat="1" ht="12.75" customHeight="1" x14ac:dyDescent="0.2">
      <c r="A20" s="1052"/>
      <c r="B20" s="868" t="s">
        <v>872</v>
      </c>
      <c r="C20" s="869"/>
      <c r="D20" s="373"/>
      <c r="E20" s="373"/>
      <c r="F20" s="870"/>
      <c r="G20" s="373"/>
      <c r="H20" s="373"/>
      <c r="I20" s="373"/>
      <c r="J20" s="618"/>
      <c r="K20" s="374">
        <v>0</v>
      </c>
      <c r="L20" s="869"/>
      <c r="M20" s="373"/>
      <c r="N20" s="373"/>
      <c r="O20" s="870"/>
      <c r="P20" s="373"/>
      <c r="Q20" s="373"/>
      <c r="R20" s="373"/>
      <c r="S20" s="618"/>
      <c r="T20" s="374">
        <v>0</v>
      </c>
      <c r="U20" s="869"/>
      <c r="V20" s="373"/>
      <c r="W20" s="373"/>
      <c r="X20" s="870"/>
      <c r="Y20" s="373"/>
      <c r="Z20" s="373"/>
      <c r="AA20" s="373"/>
      <c r="AB20" s="618"/>
      <c r="AC20" s="374">
        <v>0</v>
      </c>
      <c r="AD20" s="869">
        <v>5</v>
      </c>
      <c r="AE20" s="373">
        <v>8</v>
      </c>
      <c r="AF20" s="373">
        <v>3</v>
      </c>
      <c r="AG20" s="870">
        <v>7</v>
      </c>
      <c r="AH20" s="373">
        <v>4</v>
      </c>
      <c r="AI20" s="373">
        <v>1</v>
      </c>
      <c r="AJ20" s="373">
        <v>5</v>
      </c>
      <c r="AK20" s="618">
        <v>8</v>
      </c>
      <c r="AL20" s="374">
        <v>4</v>
      </c>
      <c r="AM20" s="869">
        <v>1</v>
      </c>
      <c r="AN20" s="373"/>
      <c r="AO20" s="373">
        <v>1</v>
      </c>
      <c r="AP20" s="870">
        <v>3</v>
      </c>
      <c r="AQ20" s="373">
        <v>1</v>
      </c>
      <c r="AR20" s="373">
        <v>1</v>
      </c>
      <c r="AS20" s="373"/>
      <c r="AT20" s="618">
        <v>2</v>
      </c>
      <c r="AU20" s="374">
        <v>2</v>
      </c>
      <c r="AV20" s="869"/>
      <c r="AW20" s="373"/>
      <c r="AX20" s="373"/>
      <c r="AY20" s="870"/>
      <c r="AZ20" s="373"/>
      <c r="BA20" s="373"/>
      <c r="BB20" s="373"/>
      <c r="BC20" s="618"/>
      <c r="BD20" s="374">
        <v>1</v>
      </c>
      <c r="BE20" s="869"/>
      <c r="BF20" s="373"/>
      <c r="BG20" s="373"/>
      <c r="BH20" s="870"/>
      <c r="BI20" s="373"/>
      <c r="BJ20" s="373"/>
      <c r="BK20" s="373"/>
      <c r="BL20" s="618"/>
      <c r="BM20" s="374">
        <v>0</v>
      </c>
      <c r="BN20" s="869"/>
      <c r="BO20" s="373"/>
      <c r="BP20" s="373"/>
      <c r="BQ20" s="870"/>
      <c r="BR20" s="373"/>
      <c r="BS20" s="373"/>
      <c r="BT20" s="373"/>
      <c r="BU20" s="618"/>
      <c r="BV20" s="374">
        <v>0</v>
      </c>
      <c r="BW20" s="869">
        <v>4</v>
      </c>
      <c r="BX20" s="373">
        <v>13</v>
      </c>
      <c r="BY20" s="373">
        <v>2</v>
      </c>
      <c r="BZ20" s="870">
        <v>8</v>
      </c>
      <c r="CA20" s="373">
        <v>7</v>
      </c>
      <c r="CB20" s="373">
        <v>2</v>
      </c>
      <c r="CC20" s="373">
        <v>5</v>
      </c>
      <c r="CD20" s="618">
        <v>8</v>
      </c>
      <c r="CE20" s="374">
        <v>3</v>
      </c>
      <c r="CF20" s="869"/>
      <c r="CG20" s="373"/>
      <c r="CH20" s="373"/>
      <c r="CI20" s="870"/>
      <c r="CJ20" s="373"/>
      <c r="CK20" s="373"/>
      <c r="CL20" s="373"/>
      <c r="CM20" s="618"/>
      <c r="CN20" s="374">
        <v>0</v>
      </c>
      <c r="CO20" s="869"/>
      <c r="CP20" s="373"/>
      <c r="CQ20" s="373">
        <v>2</v>
      </c>
      <c r="CR20" s="870"/>
      <c r="CS20" s="373">
        <v>1</v>
      </c>
      <c r="CT20" s="373"/>
      <c r="CU20" s="373"/>
      <c r="CV20" s="618"/>
      <c r="CW20" s="374">
        <v>0</v>
      </c>
      <c r="CX20" s="869">
        <v>34</v>
      </c>
      <c r="CY20" s="373">
        <v>47</v>
      </c>
      <c r="CZ20" s="373">
        <v>27</v>
      </c>
      <c r="DA20" s="870">
        <v>52</v>
      </c>
      <c r="DB20" s="373">
        <v>22</v>
      </c>
      <c r="DC20" s="373">
        <v>26</v>
      </c>
      <c r="DD20" s="373">
        <v>26</v>
      </c>
      <c r="DE20" s="618">
        <v>36</v>
      </c>
      <c r="DF20" s="374">
        <v>24</v>
      </c>
      <c r="DG20" s="869">
        <v>1</v>
      </c>
      <c r="DH20" s="373">
        <v>4</v>
      </c>
      <c r="DI20" s="373"/>
      <c r="DJ20" s="870">
        <v>1</v>
      </c>
      <c r="DK20" s="373"/>
      <c r="DL20" s="373"/>
      <c r="DM20" s="373"/>
      <c r="DN20" s="618"/>
      <c r="DO20" s="374">
        <v>0</v>
      </c>
      <c r="DP20" s="869"/>
      <c r="DQ20" s="373"/>
      <c r="DR20" s="373">
        <v>1</v>
      </c>
      <c r="DS20" s="870"/>
      <c r="DT20" s="373"/>
      <c r="DU20" s="373"/>
      <c r="DV20" s="373">
        <v>2</v>
      </c>
      <c r="DW20" s="618"/>
      <c r="DX20" s="374">
        <v>2</v>
      </c>
      <c r="DY20" s="869">
        <v>2</v>
      </c>
      <c r="DZ20" s="373">
        <v>6</v>
      </c>
      <c r="EA20" s="373">
        <v>2</v>
      </c>
      <c r="EB20" s="870">
        <v>4</v>
      </c>
      <c r="EC20" s="373">
        <v>1</v>
      </c>
      <c r="ED20" s="373">
        <v>1</v>
      </c>
      <c r="EE20" s="373"/>
      <c r="EF20" s="618"/>
      <c r="EG20" s="374">
        <v>0</v>
      </c>
      <c r="EH20" s="869">
        <v>1</v>
      </c>
      <c r="EI20" s="373"/>
      <c r="EJ20" s="373"/>
      <c r="EK20" s="870"/>
      <c r="EL20" s="373">
        <v>1</v>
      </c>
      <c r="EM20" s="373"/>
      <c r="EN20" s="373"/>
      <c r="EO20" s="618"/>
      <c r="EP20" s="374">
        <v>0</v>
      </c>
      <c r="EQ20" s="869"/>
      <c r="ER20" s="373"/>
      <c r="ES20" s="373"/>
      <c r="ET20" s="870"/>
      <c r="EU20" s="373"/>
      <c r="EV20" s="373">
        <v>1</v>
      </c>
      <c r="EW20" s="373"/>
      <c r="EX20" s="618"/>
      <c r="EY20" s="374">
        <v>0</v>
      </c>
      <c r="EZ20" s="869"/>
      <c r="FA20" s="373"/>
      <c r="FB20" s="373">
        <v>1</v>
      </c>
      <c r="FC20" s="870"/>
      <c r="FD20" s="373"/>
      <c r="FE20" s="373"/>
      <c r="FF20" s="373"/>
      <c r="FG20" s="618"/>
      <c r="FH20" s="374">
        <v>0</v>
      </c>
      <c r="FI20" s="869">
        <v>4</v>
      </c>
      <c r="FJ20" s="373">
        <v>2</v>
      </c>
      <c r="FK20" s="373">
        <v>2</v>
      </c>
      <c r="FL20" s="870">
        <v>4</v>
      </c>
      <c r="FM20" s="373"/>
      <c r="FN20" s="373">
        <v>2</v>
      </c>
      <c r="FO20" s="373">
        <v>4</v>
      </c>
      <c r="FP20" s="618">
        <v>3</v>
      </c>
      <c r="FQ20" s="374">
        <v>1</v>
      </c>
      <c r="FR20" s="869"/>
      <c r="FS20" s="373"/>
      <c r="FT20" s="373"/>
      <c r="FU20" s="870">
        <v>1</v>
      </c>
      <c r="FV20" s="373"/>
      <c r="FW20" s="373"/>
      <c r="FX20" s="373">
        <v>1</v>
      </c>
      <c r="FY20" s="618"/>
      <c r="FZ20" s="374">
        <v>0</v>
      </c>
      <c r="GA20" s="869">
        <v>1</v>
      </c>
      <c r="GB20" s="373"/>
      <c r="GC20" s="373"/>
      <c r="GD20" s="870"/>
      <c r="GE20" s="373">
        <v>1</v>
      </c>
      <c r="GF20" s="373"/>
      <c r="GG20" s="373"/>
      <c r="GH20" s="618"/>
      <c r="GI20" s="374">
        <v>0</v>
      </c>
      <c r="GJ20" s="869">
        <v>49</v>
      </c>
      <c r="GK20" s="373">
        <v>70</v>
      </c>
      <c r="GL20" s="373">
        <v>37</v>
      </c>
      <c r="GM20" s="870">
        <v>72</v>
      </c>
      <c r="GN20" s="373">
        <v>36</v>
      </c>
      <c r="GO20" s="373">
        <v>32</v>
      </c>
      <c r="GP20" s="373">
        <v>41</v>
      </c>
      <c r="GQ20" s="618">
        <v>55</v>
      </c>
      <c r="GR20" s="374">
        <v>32</v>
      </c>
      <c r="GS20" s="869">
        <v>16</v>
      </c>
      <c r="GT20" s="373">
        <v>19</v>
      </c>
      <c r="GU20" s="373">
        <v>12</v>
      </c>
      <c r="GV20" s="870">
        <v>17</v>
      </c>
      <c r="GW20" s="373">
        <v>3</v>
      </c>
      <c r="GX20" s="373">
        <v>6</v>
      </c>
      <c r="GY20" s="373">
        <v>11</v>
      </c>
      <c r="GZ20" s="618">
        <v>4</v>
      </c>
      <c r="HA20" s="374">
        <v>7</v>
      </c>
      <c r="HB20" s="869">
        <v>1</v>
      </c>
      <c r="HC20" s="373"/>
      <c r="HD20" s="373"/>
      <c r="HE20" s="870">
        <v>1</v>
      </c>
      <c r="HF20" s="373"/>
      <c r="HG20" s="373"/>
      <c r="HH20" s="373">
        <v>1</v>
      </c>
      <c r="HI20" s="618"/>
      <c r="HJ20" s="374">
        <v>0</v>
      </c>
      <c r="HK20" s="869"/>
      <c r="HL20" s="373"/>
      <c r="HM20" s="373"/>
      <c r="HN20" s="870"/>
      <c r="HO20" s="373"/>
      <c r="HP20" s="373"/>
      <c r="HQ20" s="373"/>
      <c r="HR20" s="618"/>
      <c r="HS20" s="374">
        <v>0</v>
      </c>
      <c r="HT20" s="869">
        <v>27</v>
      </c>
      <c r="HU20" s="373">
        <v>27</v>
      </c>
      <c r="HV20" s="373">
        <v>16</v>
      </c>
      <c r="HW20" s="870">
        <v>26</v>
      </c>
      <c r="HX20" s="373">
        <v>5</v>
      </c>
      <c r="HY20" s="373">
        <v>12</v>
      </c>
      <c r="HZ20" s="373">
        <v>20</v>
      </c>
      <c r="IA20" s="618">
        <v>7</v>
      </c>
      <c r="IB20" s="374">
        <v>16</v>
      </c>
      <c r="IC20" s="869">
        <v>93</v>
      </c>
      <c r="ID20" s="373">
        <v>133</v>
      </c>
      <c r="IE20" s="373">
        <v>102</v>
      </c>
      <c r="IF20" s="870">
        <v>102</v>
      </c>
      <c r="IG20" s="373">
        <v>55</v>
      </c>
      <c r="IH20" s="373">
        <v>65</v>
      </c>
      <c r="II20" s="373">
        <v>70</v>
      </c>
      <c r="IJ20" s="618">
        <v>78</v>
      </c>
      <c r="IK20" s="374">
        <v>61</v>
      </c>
      <c r="IL20" s="377">
        <v>11</v>
      </c>
      <c r="IM20" s="373">
        <v>15</v>
      </c>
      <c r="IN20" s="373">
        <v>7</v>
      </c>
      <c r="IO20" s="871">
        <v>8</v>
      </c>
      <c r="IP20" s="871">
        <v>2</v>
      </c>
      <c r="IQ20" s="373">
        <v>3</v>
      </c>
      <c r="IR20" s="373"/>
      <c r="IS20" s="618">
        <v>1</v>
      </c>
      <c r="IT20" s="374">
        <v>0</v>
      </c>
    </row>
    <row r="21" spans="1:254" s="245" customFormat="1" ht="12.75" customHeight="1" x14ac:dyDescent="0.2">
      <c r="A21" s="1052"/>
      <c r="B21" s="868" t="s">
        <v>873</v>
      </c>
      <c r="C21" s="869"/>
      <c r="D21" s="373"/>
      <c r="E21" s="373"/>
      <c r="F21" s="870"/>
      <c r="G21" s="373"/>
      <c r="H21" s="373"/>
      <c r="I21" s="373"/>
      <c r="J21" s="618"/>
      <c r="K21" s="374">
        <v>0</v>
      </c>
      <c r="L21" s="869"/>
      <c r="M21" s="373"/>
      <c r="N21" s="373"/>
      <c r="O21" s="870"/>
      <c r="P21" s="373"/>
      <c r="Q21" s="373"/>
      <c r="R21" s="373"/>
      <c r="S21" s="618"/>
      <c r="T21" s="374">
        <v>0</v>
      </c>
      <c r="U21" s="869"/>
      <c r="V21" s="373"/>
      <c r="W21" s="373"/>
      <c r="X21" s="870"/>
      <c r="Y21" s="373"/>
      <c r="Z21" s="373"/>
      <c r="AA21" s="373"/>
      <c r="AB21" s="618"/>
      <c r="AC21" s="374">
        <v>0</v>
      </c>
      <c r="AD21" s="869">
        <v>2</v>
      </c>
      <c r="AE21" s="373">
        <v>1</v>
      </c>
      <c r="AF21" s="373"/>
      <c r="AG21" s="870"/>
      <c r="AH21" s="373"/>
      <c r="AI21" s="373"/>
      <c r="AJ21" s="373">
        <v>1</v>
      </c>
      <c r="AK21" s="618"/>
      <c r="AL21" s="374">
        <v>0</v>
      </c>
      <c r="AM21" s="869"/>
      <c r="AN21" s="373">
        <v>1</v>
      </c>
      <c r="AO21" s="373"/>
      <c r="AP21" s="870"/>
      <c r="AQ21" s="373"/>
      <c r="AR21" s="373"/>
      <c r="AS21" s="373"/>
      <c r="AT21" s="618"/>
      <c r="AU21" s="374">
        <v>0</v>
      </c>
      <c r="AV21" s="869"/>
      <c r="AW21" s="373"/>
      <c r="AX21" s="373"/>
      <c r="AY21" s="870"/>
      <c r="AZ21" s="373"/>
      <c r="BA21" s="373"/>
      <c r="BB21" s="373"/>
      <c r="BC21" s="618"/>
      <c r="BD21" s="374">
        <v>0</v>
      </c>
      <c r="BE21" s="869"/>
      <c r="BF21" s="373"/>
      <c r="BG21" s="373"/>
      <c r="BH21" s="870"/>
      <c r="BI21" s="373"/>
      <c r="BJ21" s="373"/>
      <c r="BK21" s="373"/>
      <c r="BL21" s="618"/>
      <c r="BM21" s="374">
        <v>0</v>
      </c>
      <c r="BN21" s="869"/>
      <c r="BO21" s="373"/>
      <c r="BP21" s="373"/>
      <c r="BQ21" s="870"/>
      <c r="BR21" s="373"/>
      <c r="BS21" s="373"/>
      <c r="BT21" s="373"/>
      <c r="BU21" s="618"/>
      <c r="BV21" s="374">
        <v>0</v>
      </c>
      <c r="BW21" s="869"/>
      <c r="BX21" s="373">
        <v>1</v>
      </c>
      <c r="BY21" s="373"/>
      <c r="BZ21" s="870"/>
      <c r="CA21" s="373"/>
      <c r="CB21" s="373"/>
      <c r="CC21" s="373">
        <v>1</v>
      </c>
      <c r="CD21" s="618"/>
      <c r="CE21" s="374">
        <v>0</v>
      </c>
      <c r="CF21" s="869"/>
      <c r="CG21" s="373"/>
      <c r="CH21" s="373"/>
      <c r="CI21" s="870"/>
      <c r="CJ21" s="373"/>
      <c r="CK21" s="373"/>
      <c r="CL21" s="373"/>
      <c r="CM21" s="618"/>
      <c r="CN21" s="374">
        <v>0</v>
      </c>
      <c r="CO21" s="869"/>
      <c r="CP21" s="373"/>
      <c r="CQ21" s="373"/>
      <c r="CR21" s="870"/>
      <c r="CS21" s="373"/>
      <c r="CT21" s="373"/>
      <c r="CU21" s="373"/>
      <c r="CV21" s="618"/>
      <c r="CW21" s="374">
        <v>0</v>
      </c>
      <c r="CX21" s="869"/>
      <c r="CY21" s="373">
        <v>2</v>
      </c>
      <c r="CZ21" s="373"/>
      <c r="DA21" s="870">
        <v>1</v>
      </c>
      <c r="DB21" s="373">
        <v>3</v>
      </c>
      <c r="DC21" s="373">
        <v>2</v>
      </c>
      <c r="DD21" s="373"/>
      <c r="DE21" s="618">
        <v>1</v>
      </c>
      <c r="DF21" s="374">
        <v>0</v>
      </c>
      <c r="DG21" s="869"/>
      <c r="DH21" s="373"/>
      <c r="DI21" s="373"/>
      <c r="DJ21" s="870"/>
      <c r="DK21" s="373"/>
      <c r="DL21" s="373"/>
      <c r="DM21" s="373"/>
      <c r="DN21" s="618"/>
      <c r="DO21" s="374">
        <v>0</v>
      </c>
      <c r="DP21" s="869"/>
      <c r="DQ21" s="373"/>
      <c r="DR21" s="373"/>
      <c r="DS21" s="870"/>
      <c r="DT21" s="373"/>
      <c r="DU21" s="373"/>
      <c r="DV21" s="373"/>
      <c r="DW21" s="618"/>
      <c r="DX21" s="374">
        <v>0</v>
      </c>
      <c r="DY21" s="869"/>
      <c r="DZ21" s="373">
        <v>1</v>
      </c>
      <c r="EA21" s="373"/>
      <c r="EB21" s="870"/>
      <c r="EC21" s="373"/>
      <c r="ED21" s="373">
        <v>1</v>
      </c>
      <c r="EE21" s="373"/>
      <c r="EF21" s="618"/>
      <c r="EG21" s="374">
        <v>0</v>
      </c>
      <c r="EH21" s="869"/>
      <c r="EI21" s="373"/>
      <c r="EJ21" s="373"/>
      <c r="EK21" s="870"/>
      <c r="EL21" s="373"/>
      <c r="EM21" s="373"/>
      <c r="EN21" s="373"/>
      <c r="EO21" s="618"/>
      <c r="EP21" s="374">
        <v>0</v>
      </c>
      <c r="EQ21" s="869"/>
      <c r="ER21" s="373"/>
      <c r="ES21" s="373"/>
      <c r="ET21" s="870"/>
      <c r="EU21" s="373"/>
      <c r="EV21" s="373"/>
      <c r="EW21" s="373"/>
      <c r="EX21" s="618"/>
      <c r="EY21" s="374">
        <v>0</v>
      </c>
      <c r="EZ21" s="869"/>
      <c r="FA21" s="373"/>
      <c r="FB21" s="373"/>
      <c r="FC21" s="870"/>
      <c r="FD21" s="373"/>
      <c r="FE21" s="373"/>
      <c r="FF21" s="373"/>
      <c r="FG21" s="618"/>
      <c r="FH21" s="374">
        <v>0</v>
      </c>
      <c r="FI21" s="869">
        <v>1</v>
      </c>
      <c r="FJ21" s="373"/>
      <c r="FK21" s="373"/>
      <c r="FL21" s="870"/>
      <c r="FM21" s="373">
        <v>1</v>
      </c>
      <c r="FN21" s="373"/>
      <c r="FO21" s="373"/>
      <c r="FP21" s="618"/>
      <c r="FQ21" s="374">
        <v>0</v>
      </c>
      <c r="FR21" s="869"/>
      <c r="FS21" s="373"/>
      <c r="FT21" s="373"/>
      <c r="FU21" s="870"/>
      <c r="FV21" s="373"/>
      <c r="FW21" s="373"/>
      <c r="FX21" s="373"/>
      <c r="FY21" s="618"/>
      <c r="FZ21" s="374">
        <v>0</v>
      </c>
      <c r="GA21" s="869"/>
      <c r="GB21" s="373"/>
      <c r="GC21" s="373"/>
      <c r="GD21" s="870"/>
      <c r="GE21" s="373"/>
      <c r="GF21" s="373"/>
      <c r="GG21" s="373"/>
      <c r="GH21" s="618"/>
      <c r="GI21" s="374">
        <v>0</v>
      </c>
      <c r="GJ21" s="869">
        <v>3</v>
      </c>
      <c r="GK21" s="373">
        <v>4</v>
      </c>
      <c r="GL21" s="373"/>
      <c r="GM21" s="870">
        <v>1</v>
      </c>
      <c r="GN21" s="373">
        <v>4</v>
      </c>
      <c r="GO21" s="373">
        <v>2</v>
      </c>
      <c r="GP21" s="373">
        <v>2</v>
      </c>
      <c r="GQ21" s="618">
        <v>1</v>
      </c>
      <c r="GR21" s="374">
        <v>0</v>
      </c>
      <c r="GS21" s="869">
        <v>2</v>
      </c>
      <c r="GT21" s="373">
        <v>1</v>
      </c>
      <c r="GU21" s="373"/>
      <c r="GV21" s="870"/>
      <c r="GW21" s="373">
        <v>1</v>
      </c>
      <c r="GX21" s="373">
        <v>1</v>
      </c>
      <c r="GY21" s="373">
        <v>1</v>
      </c>
      <c r="GZ21" s="618"/>
      <c r="HA21" s="374">
        <v>0</v>
      </c>
      <c r="HB21" s="869"/>
      <c r="HC21" s="373"/>
      <c r="HD21" s="373"/>
      <c r="HE21" s="870"/>
      <c r="HF21" s="373"/>
      <c r="HG21" s="373"/>
      <c r="HH21" s="373"/>
      <c r="HI21" s="618"/>
      <c r="HJ21" s="374">
        <v>0</v>
      </c>
      <c r="HK21" s="869"/>
      <c r="HL21" s="373"/>
      <c r="HM21" s="373"/>
      <c r="HN21" s="870"/>
      <c r="HO21" s="373"/>
      <c r="HP21" s="373"/>
      <c r="HQ21" s="373"/>
      <c r="HR21" s="618"/>
      <c r="HS21" s="374">
        <v>0</v>
      </c>
      <c r="HT21" s="869">
        <v>2</v>
      </c>
      <c r="HU21" s="373">
        <v>3</v>
      </c>
      <c r="HV21" s="373"/>
      <c r="HW21" s="870"/>
      <c r="HX21" s="373">
        <v>1</v>
      </c>
      <c r="HY21" s="373">
        <v>1</v>
      </c>
      <c r="HZ21" s="373">
        <v>1</v>
      </c>
      <c r="IA21" s="618"/>
      <c r="IB21" s="374">
        <v>0</v>
      </c>
      <c r="IC21" s="869">
        <v>4</v>
      </c>
      <c r="ID21" s="373">
        <v>20</v>
      </c>
      <c r="IE21" s="373">
        <v>2</v>
      </c>
      <c r="IF21" s="870">
        <v>4</v>
      </c>
      <c r="IG21" s="373">
        <v>5</v>
      </c>
      <c r="IH21" s="373">
        <v>2</v>
      </c>
      <c r="II21" s="373">
        <v>4</v>
      </c>
      <c r="IJ21" s="618">
        <v>3</v>
      </c>
      <c r="IK21" s="374">
        <v>0</v>
      </c>
      <c r="IL21" s="377"/>
      <c r="IM21" s="373">
        <v>1</v>
      </c>
      <c r="IN21" s="373"/>
      <c r="IO21" s="871">
        <v>1</v>
      </c>
      <c r="IP21" s="871"/>
      <c r="IQ21" s="373">
        <v>1</v>
      </c>
      <c r="IR21" s="373"/>
      <c r="IS21" s="618"/>
      <c r="IT21" s="374">
        <v>0</v>
      </c>
    </row>
    <row r="22" spans="1:254" s="245" customFormat="1" ht="12.75" customHeight="1" x14ac:dyDescent="0.2">
      <c r="A22" s="1052"/>
      <c r="B22" s="868" t="s">
        <v>874</v>
      </c>
      <c r="C22" s="869"/>
      <c r="D22" s="373"/>
      <c r="E22" s="373"/>
      <c r="F22" s="870">
        <v>1</v>
      </c>
      <c r="G22" s="373"/>
      <c r="H22" s="373">
        <v>1</v>
      </c>
      <c r="I22" s="373"/>
      <c r="J22" s="618"/>
      <c r="K22" s="374">
        <v>0</v>
      </c>
      <c r="L22" s="869"/>
      <c r="M22" s="373"/>
      <c r="N22" s="373"/>
      <c r="O22" s="870">
        <v>1</v>
      </c>
      <c r="P22" s="373"/>
      <c r="Q22" s="373">
        <v>1</v>
      </c>
      <c r="R22" s="373"/>
      <c r="S22" s="618"/>
      <c r="T22" s="374">
        <v>0</v>
      </c>
      <c r="U22" s="869"/>
      <c r="V22" s="373"/>
      <c r="W22" s="373"/>
      <c r="X22" s="870"/>
      <c r="Y22" s="373"/>
      <c r="Z22" s="373"/>
      <c r="AA22" s="373"/>
      <c r="AB22" s="618"/>
      <c r="AC22" s="374">
        <v>0</v>
      </c>
      <c r="AD22" s="869">
        <v>4</v>
      </c>
      <c r="AE22" s="373">
        <v>7</v>
      </c>
      <c r="AF22" s="373">
        <v>10</v>
      </c>
      <c r="AG22" s="870">
        <v>8</v>
      </c>
      <c r="AH22" s="373">
        <v>7</v>
      </c>
      <c r="AI22" s="373">
        <v>11</v>
      </c>
      <c r="AJ22" s="373">
        <v>5</v>
      </c>
      <c r="AK22" s="618">
        <v>6</v>
      </c>
      <c r="AL22" s="374">
        <v>7</v>
      </c>
      <c r="AM22" s="869">
        <v>3</v>
      </c>
      <c r="AN22" s="373">
        <v>2</v>
      </c>
      <c r="AO22" s="373">
        <v>2</v>
      </c>
      <c r="AP22" s="870">
        <v>5</v>
      </c>
      <c r="AQ22" s="373">
        <v>4</v>
      </c>
      <c r="AR22" s="373">
        <v>3</v>
      </c>
      <c r="AS22" s="373">
        <v>1</v>
      </c>
      <c r="AT22" s="618">
        <v>1</v>
      </c>
      <c r="AU22" s="374">
        <v>0</v>
      </c>
      <c r="AV22" s="869"/>
      <c r="AW22" s="373"/>
      <c r="AX22" s="373"/>
      <c r="AY22" s="870"/>
      <c r="AZ22" s="373"/>
      <c r="BA22" s="373"/>
      <c r="BB22" s="373"/>
      <c r="BC22" s="618"/>
      <c r="BD22" s="374">
        <v>0</v>
      </c>
      <c r="BE22" s="869">
        <v>2</v>
      </c>
      <c r="BF22" s="373"/>
      <c r="BG22" s="373">
        <v>6</v>
      </c>
      <c r="BH22" s="870">
        <v>2</v>
      </c>
      <c r="BI22" s="373">
        <v>5</v>
      </c>
      <c r="BJ22" s="373"/>
      <c r="BK22" s="373"/>
      <c r="BL22" s="618"/>
      <c r="BM22" s="374">
        <v>3</v>
      </c>
      <c r="BN22" s="869"/>
      <c r="BO22" s="373"/>
      <c r="BP22" s="373"/>
      <c r="BQ22" s="870"/>
      <c r="BR22" s="373"/>
      <c r="BS22" s="373"/>
      <c r="BT22" s="373"/>
      <c r="BU22" s="618"/>
      <c r="BV22" s="374">
        <v>0</v>
      </c>
      <c r="BW22" s="869">
        <v>10</v>
      </c>
      <c r="BX22" s="373">
        <v>29</v>
      </c>
      <c r="BY22" s="373">
        <v>15</v>
      </c>
      <c r="BZ22" s="870">
        <v>17</v>
      </c>
      <c r="CA22" s="373">
        <v>21</v>
      </c>
      <c r="CB22" s="373">
        <v>31</v>
      </c>
      <c r="CC22" s="373">
        <v>18</v>
      </c>
      <c r="CD22" s="618">
        <v>15</v>
      </c>
      <c r="CE22" s="374">
        <v>11</v>
      </c>
      <c r="CF22" s="869">
        <v>1</v>
      </c>
      <c r="CG22" s="373"/>
      <c r="CH22" s="373"/>
      <c r="CI22" s="870"/>
      <c r="CJ22" s="373"/>
      <c r="CK22" s="373">
        <v>1</v>
      </c>
      <c r="CL22" s="373">
        <v>1</v>
      </c>
      <c r="CM22" s="618"/>
      <c r="CN22" s="374">
        <v>0</v>
      </c>
      <c r="CO22" s="869"/>
      <c r="CP22" s="373">
        <v>1</v>
      </c>
      <c r="CQ22" s="373"/>
      <c r="CR22" s="870"/>
      <c r="CS22" s="373">
        <v>2</v>
      </c>
      <c r="CT22" s="373"/>
      <c r="CU22" s="373"/>
      <c r="CV22" s="618"/>
      <c r="CW22" s="374">
        <v>0</v>
      </c>
      <c r="CX22" s="869">
        <v>182</v>
      </c>
      <c r="CY22" s="373">
        <v>141</v>
      </c>
      <c r="CZ22" s="373">
        <v>136</v>
      </c>
      <c r="DA22" s="870">
        <v>119</v>
      </c>
      <c r="DB22" s="373">
        <v>69</v>
      </c>
      <c r="DC22" s="373">
        <v>96</v>
      </c>
      <c r="DD22" s="373">
        <v>55</v>
      </c>
      <c r="DE22" s="618">
        <v>74</v>
      </c>
      <c r="DF22" s="374">
        <v>54</v>
      </c>
      <c r="DG22" s="869">
        <v>1</v>
      </c>
      <c r="DH22" s="373"/>
      <c r="DI22" s="373">
        <v>1</v>
      </c>
      <c r="DJ22" s="870"/>
      <c r="DK22" s="373">
        <v>1</v>
      </c>
      <c r="DL22" s="373">
        <v>3</v>
      </c>
      <c r="DM22" s="373"/>
      <c r="DN22" s="618"/>
      <c r="DO22" s="374">
        <v>2</v>
      </c>
      <c r="DP22" s="869">
        <v>5</v>
      </c>
      <c r="DQ22" s="373"/>
      <c r="DR22" s="373">
        <v>2</v>
      </c>
      <c r="DS22" s="870">
        <v>4</v>
      </c>
      <c r="DT22" s="373">
        <v>3</v>
      </c>
      <c r="DU22" s="373">
        <v>3</v>
      </c>
      <c r="DV22" s="373">
        <v>2</v>
      </c>
      <c r="DW22" s="618">
        <v>1</v>
      </c>
      <c r="DX22" s="374">
        <v>1</v>
      </c>
      <c r="DY22" s="869">
        <v>24</v>
      </c>
      <c r="DZ22" s="373">
        <v>12</v>
      </c>
      <c r="EA22" s="373">
        <v>18</v>
      </c>
      <c r="EB22" s="870">
        <v>18</v>
      </c>
      <c r="EC22" s="373">
        <v>5</v>
      </c>
      <c r="ED22" s="373">
        <v>10</v>
      </c>
      <c r="EE22" s="373">
        <v>4</v>
      </c>
      <c r="EF22" s="618">
        <v>6</v>
      </c>
      <c r="EG22" s="374">
        <v>9</v>
      </c>
      <c r="EH22" s="869">
        <v>6</v>
      </c>
      <c r="EI22" s="373">
        <v>2</v>
      </c>
      <c r="EJ22" s="373">
        <v>3</v>
      </c>
      <c r="EK22" s="870">
        <v>1</v>
      </c>
      <c r="EL22" s="373">
        <v>2</v>
      </c>
      <c r="EM22" s="373">
        <v>2</v>
      </c>
      <c r="EN22" s="373">
        <v>1</v>
      </c>
      <c r="EO22" s="618">
        <v>1</v>
      </c>
      <c r="EP22" s="374">
        <v>0</v>
      </c>
      <c r="EQ22" s="869">
        <v>1</v>
      </c>
      <c r="ER22" s="373">
        <v>2</v>
      </c>
      <c r="ES22" s="373"/>
      <c r="ET22" s="870"/>
      <c r="EU22" s="373">
        <v>1</v>
      </c>
      <c r="EV22" s="373">
        <v>1</v>
      </c>
      <c r="EW22" s="373">
        <v>1</v>
      </c>
      <c r="EX22" s="618">
        <v>1</v>
      </c>
      <c r="EY22" s="374">
        <v>0</v>
      </c>
      <c r="EZ22" s="869"/>
      <c r="FA22" s="373"/>
      <c r="FB22" s="373"/>
      <c r="FC22" s="870"/>
      <c r="FD22" s="373"/>
      <c r="FE22" s="373"/>
      <c r="FF22" s="373">
        <v>1</v>
      </c>
      <c r="FG22" s="618"/>
      <c r="FH22" s="374">
        <v>0</v>
      </c>
      <c r="FI22" s="869">
        <v>5</v>
      </c>
      <c r="FJ22" s="373">
        <v>27</v>
      </c>
      <c r="FK22" s="373">
        <v>10</v>
      </c>
      <c r="FL22" s="870">
        <v>6</v>
      </c>
      <c r="FM22" s="373">
        <v>8</v>
      </c>
      <c r="FN22" s="373">
        <v>37</v>
      </c>
      <c r="FO22" s="373">
        <v>2</v>
      </c>
      <c r="FP22" s="618">
        <v>6</v>
      </c>
      <c r="FQ22" s="374">
        <v>1</v>
      </c>
      <c r="FR22" s="869">
        <v>1</v>
      </c>
      <c r="FS22" s="373">
        <v>1</v>
      </c>
      <c r="FT22" s="373">
        <v>2</v>
      </c>
      <c r="FU22" s="870">
        <v>1</v>
      </c>
      <c r="FV22" s="373"/>
      <c r="FW22" s="373"/>
      <c r="FX22" s="373"/>
      <c r="FY22" s="618">
        <v>1</v>
      </c>
      <c r="FZ22" s="374">
        <v>0</v>
      </c>
      <c r="GA22" s="869"/>
      <c r="GB22" s="373"/>
      <c r="GC22" s="373"/>
      <c r="GD22" s="870">
        <v>1</v>
      </c>
      <c r="GE22" s="373">
        <v>2</v>
      </c>
      <c r="GF22" s="373">
        <v>1</v>
      </c>
      <c r="GG22" s="373">
        <v>2</v>
      </c>
      <c r="GH22" s="618">
        <v>1</v>
      </c>
      <c r="GI22" s="374">
        <v>0</v>
      </c>
      <c r="GJ22" s="869">
        <v>212</v>
      </c>
      <c r="GK22" s="373">
        <v>210</v>
      </c>
      <c r="GL22" s="373">
        <v>182</v>
      </c>
      <c r="GM22" s="870">
        <v>156</v>
      </c>
      <c r="GN22" s="373">
        <v>117</v>
      </c>
      <c r="GO22" s="373">
        <v>181</v>
      </c>
      <c r="GP22" s="373">
        <v>86</v>
      </c>
      <c r="GQ22" s="618">
        <v>105</v>
      </c>
      <c r="GR22" s="374">
        <v>76</v>
      </c>
      <c r="GS22" s="869">
        <v>45</v>
      </c>
      <c r="GT22" s="373">
        <v>70</v>
      </c>
      <c r="GU22" s="373">
        <v>55</v>
      </c>
      <c r="GV22" s="870">
        <v>45</v>
      </c>
      <c r="GW22" s="373">
        <v>27</v>
      </c>
      <c r="GX22" s="373">
        <v>52</v>
      </c>
      <c r="GY22" s="373">
        <v>22</v>
      </c>
      <c r="GZ22" s="618">
        <v>48</v>
      </c>
      <c r="HA22" s="374">
        <v>25</v>
      </c>
      <c r="HB22" s="869"/>
      <c r="HC22" s="373">
        <v>1</v>
      </c>
      <c r="HD22" s="373">
        <v>1</v>
      </c>
      <c r="HE22" s="870">
        <v>1</v>
      </c>
      <c r="HF22" s="373"/>
      <c r="HG22" s="373"/>
      <c r="HH22" s="373"/>
      <c r="HI22" s="618"/>
      <c r="HJ22" s="374">
        <v>0</v>
      </c>
      <c r="HK22" s="869"/>
      <c r="HL22" s="373"/>
      <c r="HM22" s="373">
        <v>1</v>
      </c>
      <c r="HN22" s="870">
        <v>1</v>
      </c>
      <c r="HO22" s="373">
        <v>1</v>
      </c>
      <c r="HP22" s="373"/>
      <c r="HQ22" s="373"/>
      <c r="HR22" s="618">
        <v>1</v>
      </c>
      <c r="HS22" s="374">
        <v>0</v>
      </c>
      <c r="HT22" s="869">
        <v>67</v>
      </c>
      <c r="HU22" s="373">
        <v>102</v>
      </c>
      <c r="HV22" s="373">
        <v>87</v>
      </c>
      <c r="HW22" s="870">
        <v>64</v>
      </c>
      <c r="HX22" s="373">
        <v>41</v>
      </c>
      <c r="HY22" s="373">
        <v>70</v>
      </c>
      <c r="HZ22" s="373">
        <v>47</v>
      </c>
      <c r="IA22" s="618">
        <v>86</v>
      </c>
      <c r="IB22" s="374">
        <v>60</v>
      </c>
      <c r="IC22" s="869">
        <v>394</v>
      </c>
      <c r="ID22" s="373">
        <v>352</v>
      </c>
      <c r="IE22" s="373">
        <v>313</v>
      </c>
      <c r="IF22" s="870">
        <v>278</v>
      </c>
      <c r="IG22" s="373">
        <v>217</v>
      </c>
      <c r="IH22" s="373">
        <v>279</v>
      </c>
      <c r="II22" s="373">
        <v>168</v>
      </c>
      <c r="IJ22" s="618">
        <v>195</v>
      </c>
      <c r="IK22" s="374">
        <v>150</v>
      </c>
      <c r="IL22" s="377">
        <v>80</v>
      </c>
      <c r="IM22" s="373">
        <v>49</v>
      </c>
      <c r="IN22" s="373">
        <v>37</v>
      </c>
      <c r="IO22" s="871">
        <v>25</v>
      </c>
      <c r="IP22" s="871">
        <v>10</v>
      </c>
      <c r="IQ22" s="373">
        <v>19</v>
      </c>
      <c r="IR22" s="373">
        <v>21</v>
      </c>
      <c r="IS22" s="618">
        <v>15</v>
      </c>
      <c r="IT22" s="374">
        <v>25</v>
      </c>
    </row>
    <row r="23" spans="1:254" s="245" customFormat="1" ht="12.75" customHeight="1" x14ac:dyDescent="0.2">
      <c r="A23" s="1052"/>
      <c r="B23" s="868" t="s">
        <v>875</v>
      </c>
      <c r="C23" s="869"/>
      <c r="D23" s="373"/>
      <c r="E23" s="373"/>
      <c r="F23" s="870"/>
      <c r="G23" s="373"/>
      <c r="H23" s="373"/>
      <c r="I23" s="373"/>
      <c r="J23" s="618"/>
      <c r="K23" s="374">
        <v>0</v>
      </c>
      <c r="L23" s="869"/>
      <c r="M23" s="373"/>
      <c r="N23" s="373"/>
      <c r="O23" s="870"/>
      <c r="P23" s="373"/>
      <c r="Q23" s="373"/>
      <c r="R23" s="373"/>
      <c r="S23" s="618"/>
      <c r="T23" s="374">
        <v>0</v>
      </c>
      <c r="U23" s="869"/>
      <c r="V23" s="373"/>
      <c r="W23" s="373"/>
      <c r="X23" s="870"/>
      <c r="Y23" s="373"/>
      <c r="Z23" s="373"/>
      <c r="AA23" s="373"/>
      <c r="AB23" s="618"/>
      <c r="AC23" s="374">
        <v>0</v>
      </c>
      <c r="AD23" s="869"/>
      <c r="AE23" s="373"/>
      <c r="AF23" s="373"/>
      <c r="AG23" s="870"/>
      <c r="AH23" s="373"/>
      <c r="AI23" s="373"/>
      <c r="AJ23" s="373"/>
      <c r="AK23" s="618"/>
      <c r="AL23" s="374">
        <v>0</v>
      </c>
      <c r="AM23" s="869"/>
      <c r="AN23" s="373"/>
      <c r="AO23" s="373"/>
      <c r="AP23" s="870"/>
      <c r="AQ23" s="373"/>
      <c r="AR23" s="373"/>
      <c r="AS23" s="373"/>
      <c r="AT23" s="618"/>
      <c r="AU23" s="374">
        <v>0</v>
      </c>
      <c r="AV23" s="869"/>
      <c r="AW23" s="373"/>
      <c r="AX23" s="373"/>
      <c r="AY23" s="870"/>
      <c r="AZ23" s="373"/>
      <c r="BA23" s="373"/>
      <c r="BB23" s="373"/>
      <c r="BC23" s="618"/>
      <c r="BD23" s="374">
        <v>0</v>
      </c>
      <c r="BE23" s="869"/>
      <c r="BF23" s="373"/>
      <c r="BG23" s="373"/>
      <c r="BH23" s="870"/>
      <c r="BI23" s="373"/>
      <c r="BJ23" s="373"/>
      <c r="BK23" s="373"/>
      <c r="BL23" s="618"/>
      <c r="BM23" s="374">
        <v>0</v>
      </c>
      <c r="BN23" s="869"/>
      <c r="BO23" s="373"/>
      <c r="BP23" s="373"/>
      <c r="BQ23" s="870"/>
      <c r="BR23" s="373"/>
      <c r="BS23" s="373"/>
      <c r="BT23" s="373"/>
      <c r="BU23" s="618"/>
      <c r="BV23" s="374">
        <v>0</v>
      </c>
      <c r="BW23" s="869"/>
      <c r="BX23" s="373"/>
      <c r="BY23" s="373"/>
      <c r="BZ23" s="870">
        <v>1</v>
      </c>
      <c r="CA23" s="373"/>
      <c r="CB23" s="373">
        <v>1</v>
      </c>
      <c r="CC23" s="373"/>
      <c r="CD23" s="618"/>
      <c r="CE23" s="374">
        <v>0</v>
      </c>
      <c r="CF23" s="869"/>
      <c r="CG23" s="373"/>
      <c r="CH23" s="373"/>
      <c r="CI23" s="870"/>
      <c r="CJ23" s="373"/>
      <c r="CK23" s="373"/>
      <c r="CL23" s="373"/>
      <c r="CM23" s="618"/>
      <c r="CN23" s="374">
        <v>0</v>
      </c>
      <c r="CO23" s="869"/>
      <c r="CP23" s="373"/>
      <c r="CQ23" s="373"/>
      <c r="CR23" s="870"/>
      <c r="CS23" s="373"/>
      <c r="CT23" s="373"/>
      <c r="CU23" s="373"/>
      <c r="CV23" s="618"/>
      <c r="CW23" s="374">
        <v>0</v>
      </c>
      <c r="CX23" s="869"/>
      <c r="CY23" s="373">
        <v>1</v>
      </c>
      <c r="CZ23" s="373">
        <v>1</v>
      </c>
      <c r="DA23" s="870">
        <v>3</v>
      </c>
      <c r="DB23" s="373"/>
      <c r="DC23" s="373"/>
      <c r="DD23" s="373">
        <v>2</v>
      </c>
      <c r="DE23" s="618"/>
      <c r="DF23" s="374">
        <v>1</v>
      </c>
      <c r="DG23" s="869"/>
      <c r="DH23" s="373"/>
      <c r="DI23" s="373"/>
      <c r="DJ23" s="870"/>
      <c r="DK23" s="373"/>
      <c r="DL23" s="373"/>
      <c r="DM23" s="373"/>
      <c r="DN23" s="618"/>
      <c r="DO23" s="374">
        <v>0</v>
      </c>
      <c r="DP23" s="869"/>
      <c r="DQ23" s="373"/>
      <c r="DR23" s="373"/>
      <c r="DS23" s="870"/>
      <c r="DT23" s="373"/>
      <c r="DU23" s="373"/>
      <c r="DV23" s="373"/>
      <c r="DW23" s="618"/>
      <c r="DX23" s="374">
        <v>0</v>
      </c>
      <c r="DY23" s="869"/>
      <c r="DZ23" s="373"/>
      <c r="EA23" s="373"/>
      <c r="EB23" s="870"/>
      <c r="EC23" s="373"/>
      <c r="ED23" s="373"/>
      <c r="EE23" s="373">
        <v>1</v>
      </c>
      <c r="EF23" s="618"/>
      <c r="EG23" s="374">
        <v>0</v>
      </c>
      <c r="EH23" s="869"/>
      <c r="EI23" s="373"/>
      <c r="EJ23" s="373"/>
      <c r="EK23" s="870"/>
      <c r="EL23" s="373"/>
      <c r="EM23" s="373"/>
      <c r="EN23" s="373"/>
      <c r="EO23" s="618"/>
      <c r="EP23" s="374">
        <v>0</v>
      </c>
      <c r="EQ23" s="869"/>
      <c r="ER23" s="373"/>
      <c r="ES23" s="373"/>
      <c r="ET23" s="870"/>
      <c r="EU23" s="373"/>
      <c r="EV23" s="373"/>
      <c r="EW23" s="373"/>
      <c r="EX23" s="618"/>
      <c r="EY23" s="374">
        <v>0</v>
      </c>
      <c r="EZ23" s="869"/>
      <c r="FA23" s="373"/>
      <c r="FB23" s="373"/>
      <c r="FC23" s="870"/>
      <c r="FD23" s="373"/>
      <c r="FE23" s="373"/>
      <c r="FF23" s="373"/>
      <c r="FG23" s="618"/>
      <c r="FH23" s="374">
        <v>0</v>
      </c>
      <c r="FI23" s="869"/>
      <c r="FJ23" s="373"/>
      <c r="FK23" s="373"/>
      <c r="FL23" s="870"/>
      <c r="FM23" s="373"/>
      <c r="FN23" s="373"/>
      <c r="FO23" s="373">
        <v>1</v>
      </c>
      <c r="FP23" s="618"/>
      <c r="FQ23" s="374">
        <v>0</v>
      </c>
      <c r="FR23" s="869"/>
      <c r="FS23" s="373"/>
      <c r="FT23" s="373"/>
      <c r="FU23" s="870"/>
      <c r="FV23" s="373"/>
      <c r="FW23" s="373"/>
      <c r="FX23" s="373"/>
      <c r="FY23" s="618"/>
      <c r="FZ23" s="374">
        <v>0</v>
      </c>
      <c r="GA23" s="869"/>
      <c r="GB23" s="373"/>
      <c r="GC23" s="373"/>
      <c r="GD23" s="870"/>
      <c r="GE23" s="373"/>
      <c r="GF23" s="373"/>
      <c r="GG23" s="373"/>
      <c r="GH23" s="618"/>
      <c r="GI23" s="374">
        <v>0</v>
      </c>
      <c r="GJ23" s="869"/>
      <c r="GK23" s="373">
        <v>1</v>
      </c>
      <c r="GL23" s="373">
        <v>1</v>
      </c>
      <c r="GM23" s="870">
        <v>4</v>
      </c>
      <c r="GN23" s="373"/>
      <c r="GO23" s="373">
        <v>1</v>
      </c>
      <c r="GP23" s="373">
        <v>3</v>
      </c>
      <c r="GQ23" s="618"/>
      <c r="GR23" s="374">
        <v>1</v>
      </c>
      <c r="GS23" s="869"/>
      <c r="GT23" s="373">
        <v>1</v>
      </c>
      <c r="GU23" s="373"/>
      <c r="GV23" s="870">
        <v>1</v>
      </c>
      <c r="GW23" s="373"/>
      <c r="GX23" s="373"/>
      <c r="GY23" s="373"/>
      <c r="GZ23" s="618"/>
      <c r="HA23" s="374">
        <v>1</v>
      </c>
      <c r="HB23" s="869"/>
      <c r="HC23" s="373"/>
      <c r="HD23" s="373"/>
      <c r="HE23" s="870"/>
      <c r="HF23" s="373"/>
      <c r="HG23" s="373"/>
      <c r="HH23" s="373"/>
      <c r="HI23" s="618"/>
      <c r="HJ23" s="374">
        <v>0</v>
      </c>
      <c r="HK23" s="869"/>
      <c r="HL23" s="373"/>
      <c r="HM23" s="373"/>
      <c r="HN23" s="870"/>
      <c r="HO23" s="373"/>
      <c r="HP23" s="373"/>
      <c r="HQ23" s="373"/>
      <c r="HR23" s="618"/>
      <c r="HS23" s="374">
        <v>0</v>
      </c>
      <c r="HT23" s="869"/>
      <c r="HU23" s="373">
        <v>1</v>
      </c>
      <c r="HV23" s="373"/>
      <c r="HW23" s="870">
        <v>1</v>
      </c>
      <c r="HX23" s="373"/>
      <c r="HY23" s="373">
        <v>1</v>
      </c>
      <c r="HZ23" s="373"/>
      <c r="IA23" s="618"/>
      <c r="IB23" s="374">
        <v>1</v>
      </c>
      <c r="IC23" s="869"/>
      <c r="ID23" s="373">
        <v>2</v>
      </c>
      <c r="IE23" s="373">
        <v>1</v>
      </c>
      <c r="IF23" s="870">
        <v>5</v>
      </c>
      <c r="IG23" s="373"/>
      <c r="IH23" s="373">
        <v>2</v>
      </c>
      <c r="II23" s="373">
        <v>5</v>
      </c>
      <c r="IJ23" s="618">
        <v>1</v>
      </c>
      <c r="IK23" s="374">
        <v>1</v>
      </c>
      <c r="IL23" s="377"/>
      <c r="IM23" s="373"/>
      <c r="IN23" s="373">
        <v>1</v>
      </c>
      <c r="IO23" s="871">
        <v>3</v>
      </c>
      <c r="IP23" s="871"/>
      <c r="IQ23" s="373"/>
      <c r="IR23" s="373">
        <v>1</v>
      </c>
      <c r="IS23" s="618"/>
      <c r="IT23" s="374">
        <v>0</v>
      </c>
    </row>
    <row r="24" spans="1:254" s="245" customFormat="1" ht="12.75" customHeight="1" x14ac:dyDescent="0.2">
      <c r="A24" s="1052"/>
      <c r="B24" s="868" t="s">
        <v>876</v>
      </c>
      <c r="C24" s="869"/>
      <c r="D24" s="373"/>
      <c r="E24" s="373"/>
      <c r="F24" s="870"/>
      <c r="G24" s="373"/>
      <c r="H24" s="373"/>
      <c r="I24" s="373">
        <v>1</v>
      </c>
      <c r="J24" s="618"/>
      <c r="K24" s="374">
        <v>0</v>
      </c>
      <c r="L24" s="869"/>
      <c r="M24" s="373"/>
      <c r="N24" s="373"/>
      <c r="O24" s="870"/>
      <c r="P24" s="373"/>
      <c r="Q24" s="373"/>
      <c r="R24" s="373"/>
      <c r="S24" s="618"/>
      <c r="T24" s="374">
        <v>0</v>
      </c>
      <c r="U24" s="869"/>
      <c r="V24" s="373"/>
      <c r="W24" s="373"/>
      <c r="X24" s="870"/>
      <c r="Y24" s="373"/>
      <c r="Z24" s="373"/>
      <c r="AA24" s="373"/>
      <c r="AB24" s="618"/>
      <c r="AC24" s="374">
        <v>0</v>
      </c>
      <c r="AD24" s="869">
        <v>1</v>
      </c>
      <c r="AE24" s="373"/>
      <c r="AF24" s="373">
        <v>2</v>
      </c>
      <c r="AG24" s="870">
        <v>1</v>
      </c>
      <c r="AH24" s="373"/>
      <c r="AI24" s="373"/>
      <c r="AJ24" s="373">
        <v>1</v>
      </c>
      <c r="AK24" s="618">
        <v>4</v>
      </c>
      <c r="AL24" s="374">
        <v>0</v>
      </c>
      <c r="AM24" s="869"/>
      <c r="AN24" s="373"/>
      <c r="AO24" s="373"/>
      <c r="AP24" s="870">
        <v>1</v>
      </c>
      <c r="AQ24" s="373"/>
      <c r="AR24" s="373"/>
      <c r="AS24" s="373"/>
      <c r="AT24" s="618"/>
      <c r="AU24" s="374">
        <v>0</v>
      </c>
      <c r="AV24" s="869"/>
      <c r="AW24" s="373"/>
      <c r="AX24" s="373"/>
      <c r="AY24" s="870"/>
      <c r="AZ24" s="373"/>
      <c r="BA24" s="373"/>
      <c r="BB24" s="373"/>
      <c r="BC24" s="618"/>
      <c r="BD24" s="374">
        <v>0</v>
      </c>
      <c r="BE24" s="869">
        <v>3</v>
      </c>
      <c r="BF24" s="373"/>
      <c r="BG24" s="373"/>
      <c r="BH24" s="870"/>
      <c r="BI24" s="373"/>
      <c r="BJ24" s="373"/>
      <c r="BK24" s="373"/>
      <c r="BL24" s="618"/>
      <c r="BM24" s="374">
        <v>0</v>
      </c>
      <c r="BN24" s="869"/>
      <c r="BO24" s="373"/>
      <c r="BP24" s="373"/>
      <c r="BQ24" s="870"/>
      <c r="BR24" s="373"/>
      <c r="BS24" s="373"/>
      <c r="BT24" s="373"/>
      <c r="BU24" s="618"/>
      <c r="BV24" s="374">
        <v>0</v>
      </c>
      <c r="BW24" s="869">
        <v>1</v>
      </c>
      <c r="BX24" s="373">
        <v>1</v>
      </c>
      <c r="BY24" s="373">
        <v>2</v>
      </c>
      <c r="BZ24" s="870"/>
      <c r="CA24" s="373"/>
      <c r="CB24" s="373"/>
      <c r="CC24" s="373"/>
      <c r="CD24" s="618">
        <v>4</v>
      </c>
      <c r="CE24" s="374">
        <v>0</v>
      </c>
      <c r="CF24" s="869"/>
      <c r="CG24" s="373"/>
      <c r="CH24" s="373"/>
      <c r="CI24" s="870"/>
      <c r="CJ24" s="373"/>
      <c r="CK24" s="373"/>
      <c r="CL24" s="373"/>
      <c r="CM24" s="618"/>
      <c r="CN24" s="374">
        <v>0</v>
      </c>
      <c r="CO24" s="869"/>
      <c r="CP24" s="373"/>
      <c r="CQ24" s="373"/>
      <c r="CR24" s="870"/>
      <c r="CS24" s="373"/>
      <c r="CT24" s="373"/>
      <c r="CU24" s="373"/>
      <c r="CV24" s="618"/>
      <c r="CW24" s="374">
        <v>0</v>
      </c>
      <c r="CX24" s="869">
        <v>7</v>
      </c>
      <c r="CY24" s="373">
        <v>5</v>
      </c>
      <c r="CZ24" s="373">
        <v>12</v>
      </c>
      <c r="DA24" s="870">
        <v>3</v>
      </c>
      <c r="DB24" s="373">
        <v>9</v>
      </c>
      <c r="DC24" s="373">
        <v>8</v>
      </c>
      <c r="DD24" s="373">
        <v>10</v>
      </c>
      <c r="DE24" s="618">
        <v>2</v>
      </c>
      <c r="DF24" s="374">
        <v>4</v>
      </c>
      <c r="DG24" s="869"/>
      <c r="DH24" s="373"/>
      <c r="DI24" s="373"/>
      <c r="DJ24" s="870"/>
      <c r="DK24" s="373"/>
      <c r="DL24" s="373"/>
      <c r="DM24" s="373"/>
      <c r="DN24" s="618"/>
      <c r="DO24" s="374">
        <v>0</v>
      </c>
      <c r="DP24" s="869"/>
      <c r="DQ24" s="373">
        <v>1</v>
      </c>
      <c r="DR24" s="373"/>
      <c r="DS24" s="870"/>
      <c r="DT24" s="373"/>
      <c r="DU24" s="373"/>
      <c r="DV24" s="373"/>
      <c r="DW24" s="618"/>
      <c r="DX24" s="374">
        <v>0</v>
      </c>
      <c r="DY24" s="869"/>
      <c r="DZ24" s="373"/>
      <c r="EA24" s="373"/>
      <c r="EB24" s="870"/>
      <c r="EC24" s="373">
        <v>1</v>
      </c>
      <c r="ED24" s="373">
        <v>3</v>
      </c>
      <c r="EE24" s="373">
        <v>2</v>
      </c>
      <c r="EF24" s="618"/>
      <c r="EG24" s="374">
        <v>0</v>
      </c>
      <c r="EH24" s="869"/>
      <c r="EI24" s="373"/>
      <c r="EJ24" s="373">
        <v>1</v>
      </c>
      <c r="EK24" s="870"/>
      <c r="EL24" s="373"/>
      <c r="EM24" s="373"/>
      <c r="EN24" s="373"/>
      <c r="EO24" s="618"/>
      <c r="EP24" s="374">
        <v>0</v>
      </c>
      <c r="EQ24" s="869"/>
      <c r="ER24" s="373"/>
      <c r="ES24" s="373"/>
      <c r="ET24" s="870"/>
      <c r="EU24" s="373"/>
      <c r="EV24" s="373"/>
      <c r="EW24" s="373"/>
      <c r="EX24" s="618"/>
      <c r="EY24" s="374">
        <v>0</v>
      </c>
      <c r="EZ24" s="869"/>
      <c r="FA24" s="373"/>
      <c r="FB24" s="373"/>
      <c r="FC24" s="870"/>
      <c r="FD24" s="373"/>
      <c r="FE24" s="373"/>
      <c r="FF24" s="373"/>
      <c r="FG24" s="618"/>
      <c r="FH24" s="374">
        <v>0</v>
      </c>
      <c r="FI24" s="869">
        <v>2</v>
      </c>
      <c r="FJ24" s="373">
        <v>1</v>
      </c>
      <c r="FK24" s="373">
        <v>1</v>
      </c>
      <c r="FL24" s="870"/>
      <c r="FM24" s="373"/>
      <c r="FN24" s="373"/>
      <c r="FO24" s="373"/>
      <c r="FP24" s="618">
        <v>1</v>
      </c>
      <c r="FQ24" s="374">
        <v>0</v>
      </c>
      <c r="FR24" s="869"/>
      <c r="FS24" s="373"/>
      <c r="FT24" s="373"/>
      <c r="FU24" s="870"/>
      <c r="FV24" s="373"/>
      <c r="FW24" s="373"/>
      <c r="FX24" s="373"/>
      <c r="FY24" s="618"/>
      <c r="FZ24" s="374">
        <v>0</v>
      </c>
      <c r="GA24" s="869"/>
      <c r="GB24" s="373"/>
      <c r="GC24" s="373"/>
      <c r="GD24" s="870"/>
      <c r="GE24" s="373"/>
      <c r="GF24" s="373"/>
      <c r="GG24" s="373"/>
      <c r="GH24" s="618"/>
      <c r="GI24" s="374">
        <v>0</v>
      </c>
      <c r="GJ24" s="869">
        <v>14</v>
      </c>
      <c r="GK24" s="373">
        <v>7</v>
      </c>
      <c r="GL24" s="373">
        <v>18</v>
      </c>
      <c r="GM24" s="870">
        <v>4</v>
      </c>
      <c r="GN24" s="373">
        <v>9</v>
      </c>
      <c r="GO24" s="373">
        <v>8</v>
      </c>
      <c r="GP24" s="373">
        <v>12</v>
      </c>
      <c r="GQ24" s="618">
        <v>11</v>
      </c>
      <c r="GR24" s="374">
        <v>4</v>
      </c>
      <c r="GS24" s="869">
        <v>4</v>
      </c>
      <c r="GT24" s="373">
        <v>3</v>
      </c>
      <c r="GU24" s="373">
        <v>7</v>
      </c>
      <c r="GV24" s="870">
        <v>1</v>
      </c>
      <c r="GW24" s="373"/>
      <c r="GX24" s="373"/>
      <c r="GY24" s="373"/>
      <c r="GZ24" s="618">
        <v>6</v>
      </c>
      <c r="HA24" s="374">
        <v>3</v>
      </c>
      <c r="HB24" s="869"/>
      <c r="HC24" s="373"/>
      <c r="HD24" s="373"/>
      <c r="HE24" s="870"/>
      <c r="HF24" s="373"/>
      <c r="HG24" s="373"/>
      <c r="HH24" s="373"/>
      <c r="HI24" s="618"/>
      <c r="HJ24" s="374">
        <v>0</v>
      </c>
      <c r="HK24" s="869"/>
      <c r="HL24" s="373"/>
      <c r="HM24" s="373"/>
      <c r="HN24" s="870"/>
      <c r="HO24" s="373"/>
      <c r="HP24" s="373"/>
      <c r="HQ24" s="373">
        <v>1</v>
      </c>
      <c r="HR24" s="618"/>
      <c r="HS24" s="374">
        <v>0</v>
      </c>
      <c r="HT24" s="869">
        <v>9</v>
      </c>
      <c r="HU24" s="373">
        <v>9</v>
      </c>
      <c r="HV24" s="373">
        <v>10</v>
      </c>
      <c r="HW24" s="870">
        <v>6</v>
      </c>
      <c r="HX24" s="373">
        <v>5</v>
      </c>
      <c r="HY24" s="373">
        <v>3</v>
      </c>
      <c r="HZ24" s="373">
        <v>6</v>
      </c>
      <c r="IA24" s="618">
        <v>13</v>
      </c>
      <c r="IB24" s="374">
        <v>4</v>
      </c>
      <c r="IC24" s="869">
        <v>28</v>
      </c>
      <c r="ID24" s="373">
        <v>26</v>
      </c>
      <c r="IE24" s="373">
        <v>30</v>
      </c>
      <c r="IF24" s="870">
        <v>17</v>
      </c>
      <c r="IG24" s="373">
        <v>26</v>
      </c>
      <c r="IH24" s="373">
        <v>22</v>
      </c>
      <c r="II24" s="373">
        <v>21</v>
      </c>
      <c r="IJ24" s="618">
        <v>24</v>
      </c>
      <c r="IK24" s="374">
        <v>18</v>
      </c>
      <c r="IL24" s="377">
        <v>1</v>
      </c>
      <c r="IM24" s="373"/>
      <c r="IN24" s="373">
        <v>2</v>
      </c>
      <c r="IO24" s="871"/>
      <c r="IP24" s="871">
        <v>1</v>
      </c>
      <c r="IQ24" s="373">
        <v>3</v>
      </c>
      <c r="IR24" s="373">
        <v>3</v>
      </c>
      <c r="IS24" s="618"/>
      <c r="IT24" s="374">
        <v>1</v>
      </c>
    </row>
    <row r="25" spans="1:254" s="245" customFormat="1" ht="12.75" customHeight="1" x14ac:dyDescent="0.2">
      <c r="A25" s="1052"/>
      <c r="B25" s="868" t="s">
        <v>877</v>
      </c>
      <c r="C25" s="869"/>
      <c r="D25" s="373"/>
      <c r="E25" s="373"/>
      <c r="F25" s="870"/>
      <c r="G25" s="373"/>
      <c r="H25" s="373"/>
      <c r="I25" s="373"/>
      <c r="J25" s="618"/>
      <c r="K25" s="374">
        <v>0</v>
      </c>
      <c r="L25" s="869"/>
      <c r="M25" s="373"/>
      <c r="N25" s="373"/>
      <c r="O25" s="870"/>
      <c r="P25" s="373"/>
      <c r="Q25" s="373"/>
      <c r="R25" s="373"/>
      <c r="S25" s="618"/>
      <c r="T25" s="374">
        <v>0</v>
      </c>
      <c r="U25" s="869"/>
      <c r="V25" s="373"/>
      <c r="W25" s="373"/>
      <c r="X25" s="870"/>
      <c r="Y25" s="373"/>
      <c r="Z25" s="373"/>
      <c r="AA25" s="373"/>
      <c r="AB25" s="618"/>
      <c r="AC25" s="374">
        <v>0</v>
      </c>
      <c r="AD25" s="869"/>
      <c r="AE25" s="373"/>
      <c r="AF25" s="373"/>
      <c r="AG25" s="870"/>
      <c r="AH25" s="373"/>
      <c r="AI25" s="373"/>
      <c r="AJ25" s="373"/>
      <c r="AK25" s="618"/>
      <c r="AL25" s="374">
        <v>0</v>
      </c>
      <c r="AM25" s="869"/>
      <c r="AN25" s="373"/>
      <c r="AO25" s="373"/>
      <c r="AP25" s="870"/>
      <c r="AQ25" s="373"/>
      <c r="AR25" s="373"/>
      <c r="AS25" s="373"/>
      <c r="AT25" s="618"/>
      <c r="AU25" s="374">
        <v>0</v>
      </c>
      <c r="AV25" s="869"/>
      <c r="AW25" s="373"/>
      <c r="AX25" s="373"/>
      <c r="AY25" s="870"/>
      <c r="AZ25" s="373"/>
      <c r="BA25" s="373"/>
      <c r="BB25" s="373"/>
      <c r="BC25" s="618"/>
      <c r="BD25" s="374">
        <v>0</v>
      </c>
      <c r="BE25" s="869"/>
      <c r="BF25" s="373"/>
      <c r="BG25" s="373"/>
      <c r="BH25" s="870"/>
      <c r="BI25" s="373"/>
      <c r="BJ25" s="373"/>
      <c r="BK25" s="373"/>
      <c r="BL25" s="618"/>
      <c r="BM25" s="374">
        <v>0</v>
      </c>
      <c r="BN25" s="869"/>
      <c r="BO25" s="373"/>
      <c r="BP25" s="373"/>
      <c r="BQ25" s="870"/>
      <c r="BR25" s="373"/>
      <c r="BS25" s="373"/>
      <c r="BT25" s="373"/>
      <c r="BU25" s="618"/>
      <c r="BV25" s="374">
        <v>0</v>
      </c>
      <c r="BW25" s="869"/>
      <c r="BX25" s="373"/>
      <c r="BY25" s="373">
        <v>2</v>
      </c>
      <c r="BZ25" s="870">
        <v>1</v>
      </c>
      <c r="CA25" s="373"/>
      <c r="CB25" s="373"/>
      <c r="CC25" s="373"/>
      <c r="CD25" s="618"/>
      <c r="CE25" s="374">
        <v>0</v>
      </c>
      <c r="CF25" s="869"/>
      <c r="CG25" s="373"/>
      <c r="CH25" s="373"/>
      <c r="CI25" s="870"/>
      <c r="CJ25" s="373"/>
      <c r="CK25" s="373"/>
      <c r="CL25" s="373"/>
      <c r="CM25" s="618"/>
      <c r="CN25" s="374">
        <v>0</v>
      </c>
      <c r="CO25" s="869"/>
      <c r="CP25" s="373"/>
      <c r="CQ25" s="373"/>
      <c r="CR25" s="870"/>
      <c r="CS25" s="373"/>
      <c r="CT25" s="373"/>
      <c r="CU25" s="373"/>
      <c r="CV25" s="618"/>
      <c r="CW25" s="374">
        <v>0</v>
      </c>
      <c r="CX25" s="869">
        <v>2</v>
      </c>
      <c r="CY25" s="373"/>
      <c r="CZ25" s="373">
        <v>3</v>
      </c>
      <c r="DA25" s="870">
        <v>1</v>
      </c>
      <c r="DB25" s="373">
        <v>2</v>
      </c>
      <c r="DC25" s="373"/>
      <c r="DD25" s="373"/>
      <c r="DE25" s="618">
        <v>1</v>
      </c>
      <c r="DF25" s="374">
        <v>0</v>
      </c>
      <c r="DG25" s="869"/>
      <c r="DH25" s="373"/>
      <c r="DI25" s="373"/>
      <c r="DJ25" s="870"/>
      <c r="DK25" s="373"/>
      <c r="DL25" s="373"/>
      <c r="DM25" s="373"/>
      <c r="DN25" s="618"/>
      <c r="DO25" s="374">
        <v>0</v>
      </c>
      <c r="DP25" s="869">
        <v>1</v>
      </c>
      <c r="DQ25" s="373"/>
      <c r="DR25" s="373"/>
      <c r="DS25" s="870"/>
      <c r="DT25" s="373"/>
      <c r="DU25" s="373"/>
      <c r="DV25" s="373"/>
      <c r="DW25" s="618"/>
      <c r="DX25" s="374">
        <v>0</v>
      </c>
      <c r="DY25" s="869">
        <v>1</v>
      </c>
      <c r="DZ25" s="373"/>
      <c r="EA25" s="373"/>
      <c r="EB25" s="870"/>
      <c r="EC25" s="373"/>
      <c r="ED25" s="373"/>
      <c r="EE25" s="373"/>
      <c r="EF25" s="618"/>
      <c r="EG25" s="374">
        <v>0</v>
      </c>
      <c r="EH25" s="869"/>
      <c r="EI25" s="373"/>
      <c r="EJ25" s="373"/>
      <c r="EK25" s="870"/>
      <c r="EL25" s="373"/>
      <c r="EM25" s="373"/>
      <c r="EN25" s="373"/>
      <c r="EO25" s="618"/>
      <c r="EP25" s="374">
        <v>0</v>
      </c>
      <c r="EQ25" s="869"/>
      <c r="ER25" s="373"/>
      <c r="ES25" s="373"/>
      <c r="ET25" s="870"/>
      <c r="EU25" s="373"/>
      <c r="EV25" s="373"/>
      <c r="EW25" s="373">
        <v>1</v>
      </c>
      <c r="EX25" s="618"/>
      <c r="EY25" s="374">
        <v>0</v>
      </c>
      <c r="EZ25" s="869"/>
      <c r="FA25" s="373"/>
      <c r="FB25" s="373"/>
      <c r="FC25" s="870"/>
      <c r="FD25" s="373"/>
      <c r="FE25" s="373"/>
      <c r="FF25" s="373"/>
      <c r="FG25" s="618"/>
      <c r="FH25" s="374">
        <v>0</v>
      </c>
      <c r="FI25" s="869"/>
      <c r="FJ25" s="373"/>
      <c r="FK25" s="373"/>
      <c r="FL25" s="870"/>
      <c r="FM25" s="373"/>
      <c r="FN25" s="373"/>
      <c r="FO25" s="373"/>
      <c r="FP25" s="618"/>
      <c r="FQ25" s="374">
        <v>0</v>
      </c>
      <c r="FR25" s="869"/>
      <c r="FS25" s="373"/>
      <c r="FT25" s="373"/>
      <c r="FU25" s="870"/>
      <c r="FV25" s="373"/>
      <c r="FW25" s="373"/>
      <c r="FX25" s="373"/>
      <c r="FY25" s="618"/>
      <c r="FZ25" s="374">
        <v>0</v>
      </c>
      <c r="GA25" s="869"/>
      <c r="GB25" s="373"/>
      <c r="GC25" s="373"/>
      <c r="GD25" s="870"/>
      <c r="GE25" s="373"/>
      <c r="GF25" s="373"/>
      <c r="GG25" s="373"/>
      <c r="GH25" s="618"/>
      <c r="GI25" s="374">
        <v>0</v>
      </c>
      <c r="GJ25" s="869">
        <v>2</v>
      </c>
      <c r="GK25" s="373"/>
      <c r="GL25" s="373">
        <v>5</v>
      </c>
      <c r="GM25" s="870">
        <v>2</v>
      </c>
      <c r="GN25" s="373">
        <v>2</v>
      </c>
      <c r="GO25" s="373"/>
      <c r="GP25" s="373">
        <v>1</v>
      </c>
      <c r="GQ25" s="618">
        <v>1</v>
      </c>
      <c r="GR25" s="374">
        <v>0</v>
      </c>
      <c r="GS25" s="869">
        <v>1</v>
      </c>
      <c r="GT25" s="373"/>
      <c r="GU25" s="373">
        <v>4</v>
      </c>
      <c r="GV25" s="870">
        <v>1</v>
      </c>
      <c r="GW25" s="373"/>
      <c r="GX25" s="373"/>
      <c r="GY25" s="373"/>
      <c r="GZ25" s="618"/>
      <c r="HA25" s="374">
        <v>0</v>
      </c>
      <c r="HB25" s="869"/>
      <c r="HC25" s="373"/>
      <c r="HD25" s="373"/>
      <c r="HE25" s="870"/>
      <c r="HF25" s="373"/>
      <c r="HG25" s="373"/>
      <c r="HH25" s="373"/>
      <c r="HI25" s="618"/>
      <c r="HJ25" s="374">
        <v>0</v>
      </c>
      <c r="HK25" s="869"/>
      <c r="HL25" s="373"/>
      <c r="HM25" s="373"/>
      <c r="HN25" s="870"/>
      <c r="HO25" s="373"/>
      <c r="HP25" s="373"/>
      <c r="HQ25" s="373"/>
      <c r="HR25" s="618"/>
      <c r="HS25" s="374">
        <v>0</v>
      </c>
      <c r="HT25" s="869">
        <v>1</v>
      </c>
      <c r="HU25" s="373"/>
      <c r="HV25" s="373">
        <v>5</v>
      </c>
      <c r="HW25" s="870">
        <v>3</v>
      </c>
      <c r="HX25" s="373"/>
      <c r="HY25" s="373"/>
      <c r="HZ25" s="373"/>
      <c r="IA25" s="618"/>
      <c r="IB25" s="374">
        <v>0</v>
      </c>
      <c r="IC25" s="869">
        <v>3</v>
      </c>
      <c r="ID25" s="373"/>
      <c r="IE25" s="373">
        <v>6</v>
      </c>
      <c r="IF25" s="870">
        <v>4</v>
      </c>
      <c r="IG25" s="373">
        <v>3</v>
      </c>
      <c r="IH25" s="373">
        <v>2</v>
      </c>
      <c r="II25" s="373">
        <v>1</v>
      </c>
      <c r="IJ25" s="618">
        <v>3</v>
      </c>
      <c r="IK25" s="374">
        <v>1</v>
      </c>
      <c r="IL25" s="377">
        <v>1</v>
      </c>
      <c r="IM25" s="373"/>
      <c r="IN25" s="373">
        <v>1</v>
      </c>
      <c r="IO25" s="871"/>
      <c r="IP25" s="871"/>
      <c r="IQ25" s="373"/>
      <c r="IR25" s="373"/>
      <c r="IS25" s="618"/>
      <c r="IT25" s="374">
        <v>0</v>
      </c>
    </row>
    <row r="26" spans="1:254" s="245" customFormat="1" ht="12.75" customHeight="1" x14ac:dyDescent="0.2">
      <c r="A26" s="1052"/>
      <c r="B26" s="868" t="s">
        <v>878</v>
      </c>
      <c r="C26" s="869"/>
      <c r="D26" s="373"/>
      <c r="E26" s="373"/>
      <c r="F26" s="870"/>
      <c r="G26" s="373"/>
      <c r="H26" s="373"/>
      <c r="I26" s="373"/>
      <c r="J26" s="618"/>
      <c r="K26" s="374">
        <v>0</v>
      </c>
      <c r="L26" s="869"/>
      <c r="M26" s="373"/>
      <c r="N26" s="373"/>
      <c r="O26" s="870"/>
      <c r="P26" s="373"/>
      <c r="Q26" s="373"/>
      <c r="R26" s="373"/>
      <c r="S26" s="618"/>
      <c r="T26" s="374">
        <v>0</v>
      </c>
      <c r="U26" s="869"/>
      <c r="V26" s="373"/>
      <c r="W26" s="373"/>
      <c r="X26" s="870"/>
      <c r="Y26" s="373"/>
      <c r="Z26" s="373"/>
      <c r="AA26" s="373"/>
      <c r="AB26" s="618"/>
      <c r="AC26" s="374">
        <v>0</v>
      </c>
      <c r="AD26" s="869"/>
      <c r="AE26" s="373">
        <v>1</v>
      </c>
      <c r="AF26" s="373"/>
      <c r="AG26" s="870"/>
      <c r="AH26" s="373"/>
      <c r="AI26" s="373"/>
      <c r="AJ26" s="373">
        <v>1</v>
      </c>
      <c r="AK26" s="618"/>
      <c r="AL26" s="374">
        <v>1</v>
      </c>
      <c r="AM26" s="869"/>
      <c r="AN26" s="373"/>
      <c r="AO26" s="373"/>
      <c r="AP26" s="870"/>
      <c r="AQ26" s="373"/>
      <c r="AR26" s="373"/>
      <c r="AS26" s="373"/>
      <c r="AT26" s="618"/>
      <c r="AU26" s="374">
        <v>0</v>
      </c>
      <c r="AV26" s="869"/>
      <c r="AW26" s="373"/>
      <c r="AX26" s="373"/>
      <c r="AY26" s="870"/>
      <c r="AZ26" s="373"/>
      <c r="BA26" s="373"/>
      <c r="BB26" s="373"/>
      <c r="BC26" s="618"/>
      <c r="BD26" s="374">
        <v>0</v>
      </c>
      <c r="BE26" s="869"/>
      <c r="BF26" s="373"/>
      <c r="BG26" s="373"/>
      <c r="BH26" s="870"/>
      <c r="BI26" s="373"/>
      <c r="BJ26" s="373"/>
      <c r="BK26" s="373"/>
      <c r="BL26" s="618"/>
      <c r="BM26" s="374">
        <v>0</v>
      </c>
      <c r="BN26" s="869"/>
      <c r="BO26" s="373"/>
      <c r="BP26" s="373"/>
      <c r="BQ26" s="870"/>
      <c r="BR26" s="373"/>
      <c r="BS26" s="373"/>
      <c r="BT26" s="373"/>
      <c r="BU26" s="618"/>
      <c r="BV26" s="374">
        <v>0</v>
      </c>
      <c r="BW26" s="869">
        <v>3</v>
      </c>
      <c r="BX26" s="373">
        <v>3</v>
      </c>
      <c r="BY26" s="373"/>
      <c r="BZ26" s="870">
        <v>1</v>
      </c>
      <c r="CA26" s="373">
        <v>1</v>
      </c>
      <c r="CB26" s="373">
        <v>2</v>
      </c>
      <c r="CC26" s="373">
        <v>1</v>
      </c>
      <c r="CD26" s="618"/>
      <c r="CE26" s="374">
        <v>1</v>
      </c>
      <c r="CF26" s="869"/>
      <c r="CG26" s="373"/>
      <c r="CH26" s="373"/>
      <c r="CI26" s="870"/>
      <c r="CJ26" s="373"/>
      <c r="CK26" s="373"/>
      <c r="CL26" s="373"/>
      <c r="CM26" s="618"/>
      <c r="CN26" s="374">
        <v>0</v>
      </c>
      <c r="CO26" s="869"/>
      <c r="CP26" s="373"/>
      <c r="CQ26" s="373"/>
      <c r="CR26" s="870"/>
      <c r="CS26" s="373"/>
      <c r="CT26" s="373"/>
      <c r="CU26" s="373"/>
      <c r="CV26" s="618"/>
      <c r="CW26" s="374">
        <v>0</v>
      </c>
      <c r="CX26" s="869">
        <v>4</v>
      </c>
      <c r="CY26" s="373">
        <v>2</v>
      </c>
      <c r="CZ26" s="373">
        <v>3</v>
      </c>
      <c r="DA26" s="870">
        <v>4</v>
      </c>
      <c r="DB26" s="373">
        <v>1</v>
      </c>
      <c r="DC26" s="373">
        <v>5</v>
      </c>
      <c r="DD26" s="373">
        <v>2</v>
      </c>
      <c r="DE26" s="618">
        <v>1</v>
      </c>
      <c r="DF26" s="374">
        <v>8</v>
      </c>
      <c r="DG26" s="869"/>
      <c r="DH26" s="373"/>
      <c r="DI26" s="373"/>
      <c r="DJ26" s="870"/>
      <c r="DK26" s="373"/>
      <c r="DL26" s="373"/>
      <c r="DM26" s="373"/>
      <c r="DN26" s="618"/>
      <c r="DO26" s="374">
        <v>0</v>
      </c>
      <c r="DP26" s="869"/>
      <c r="DQ26" s="373"/>
      <c r="DR26" s="373"/>
      <c r="DS26" s="870"/>
      <c r="DT26" s="373"/>
      <c r="DU26" s="373"/>
      <c r="DV26" s="373"/>
      <c r="DW26" s="618"/>
      <c r="DX26" s="374">
        <v>0</v>
      </c>
      <c r="DY26" s="869">
        <v>1</v>
      </c>
      <c r="DZ26" s="373"/>
      <c r="EA26" s="373">
        <v>2</v>
      </c>
      <c r="EB26" s="870">
        <v>1</v>
      </c>
      <c r="EC26" s="373">
        <v>1</v>
      </c>
      <c r="ED26" s="373">
        <v>3</v>
      </c>
      <c r="EE26" s="373">
        <v>2</v>
      </c>
      <c r="EF26" s="618">
        <v>1</v>
      </c>
      <c r="EG26" s="374">
        <v>0</v>
      </c>
      <c r="EH26" s="869"/>
      <c r="EI26" s="373"/>
      <c r="EJ26" s="373"/>
      <c r="EK26" s="870"/>
      <c r="EL26" s="373"/>
      <c r="EM26" s="373"/>
      <c r="EN26" s="373"/>
      <c r="EO26" s="618"/>
      <c r="EP26" s="374">
        <v>0</v>
      </c>
      <c r="EQ26" s="869"/>
      <c r="ER26" s="373"/>
      <c r="ES26" s="373"/>
      <c r="ET26" s="870"/>
      <c r="EU26" s="373"/>
      <c r="EV26" s="373"/>
      <c r="EW26" s="373"/>
      <c r="EX26" s="618"/>
      <c r="EY26" s="374">
        <v>0</v>
      </c>
      <c r="EZ26" s="869"/>
      <c r="FA26" s="373"/>
      <c r="FB26" s="373"/>
      <c r="FC26" s="870"/>
      <c r="FD26" s="373"/>
      <c r="FE26" s="373"/>
      <c r="FF26" s="373"/>
      <c r="FG26" s="618"/>
      <c r="FH26" s="374">
        <v>0</v>
      </c>
      <c r="FI26" s="869">
        <v>1</v>
      </c>
      <c r="FJ26" s="373"/>
      <c r="FK26" s="373"/>
      <c r="FL26" s="870"/>
      <c r="FM26" s="373"/>
      <c r="FN26" s="373"/>
      <c r="FO26" s="373"/>
      <c r="FP26" s="618"/>
      <c r="FQ26" s="374">
        <v>1</v>
      </c>
      <c r="FR26" s="869"/>
      <c r="FS26" s="373"/>
      <c r="FT26" s="373"/>
      <c r="FU26" s="870"/>
      <c r="FV26" s="373"/>
      <c r="FW26" s="373"/>
      <c r="FX26" s="373"/>
      <c r="FY26" s="618"/>
      <c r="FZ26" s="374">
        <v>0</v>
      </c>
      <c r="GA26" s="869"/>
      <c r="GB26" s="373"/>
      <c r="GC26" s="373"/>
      <c r="GD26" s="870"/>
      <c r="GE26" s="373"/>
      <c r="GF26" s="373"/>
      <c r="GG26" s="373"/>
      <c r="GH26" s="618"/>
      <c r="GI26" s="374">
        <v>0</v>
      </c>
      <c r="GJ26" s="869">
        <v>8</v>
      </c>
      <c r="GK26" s="373">
        <v>6</v>
      </c>
      <c r="GL26" s="373">
        <v>3</v>
      </c>
      <c r="GM26" s="870">
        <v>5</v>
      </c>
      <c r="GN26" s="373">
        <v>2</v>
      </c>
      <c r="GO26" s="373">
        <v>7</v>
      </c>
      <c r="GP26" s="373">
        <v>4</v>
      </c>
      <c r="GQ26" s="618">
        <v>1</v>
      </c>
      <c r="GR26" s="374">
        <v>11</v>
      </c>
      <c r="GS26" s="869"/>
      <c r="GT26" s="373">
        <v>3</v>
      </c>
      <c r="GU26" s="373"/>
      <c r="GV26" s="870">
        <v>2</v>
      </c>
      <c r="GW26" s="373"/>
      <c r="GX26" s="373"/>
      <c r="GY26" s="373"/>
      <c r="GZ26" s="618"/>
      <c r="HA26" s="374">
        <v>2</v>
      </c>
      <c r="HB26" s="869"/>
      <c r="HC26" s="373"/>
      <c r="HD26" s="373">
        <v>1</v>
      </c>
      <c r="HE26" s="870"/>
      <c r="HF26" s="373"/>
      <c r="HG26" s="373"/>
      <c r="HH26" s="373"/>
      <c r="HI26" s="618"/>
      <c r="HJ26" s="374">
        <v>0</v>
      </c>
      <c r="HK26" s="869"/>
      <c r="HL26" s="373"/>
      <c r="HM26" s="373"/>
      <c r="HN26" s="870"/>
      <c r="HO26" s="373"/>
      <c r="HP26" s="373"/>
      <c r="HQ26" s="373"/>
      <c r="HR26" s="618"/>
      <c r="HS26" s="374">
        <v>0</v>
      </c>
      <c r="HT26" s="869"/>
      <c r="HU26" s="373">
        <v>3</v>
      </c>
      <c r="HV26" s="373">
        <v>2</v>
      </c>
      <c r="HW26" s="870">
        <v>2</v>
      </c>
      <c r="HX26" s="373">
        <v>1</v>
      </c>
      <c r="HY26" s="373">
        <v>1</v>
      </c>
      <c r="HZ26" s="373">
        <v>1</v>
      </c>
      <c r="IA26" s="618"/>
      <c r="IB26" s="374">
        <v>3</v>
      </c>
      <c r="IC26" s="869">
        <v>12</v>
      </c>
      <c r="ID26" s="373">
        <v>10</v>
      </c>
      <c r="IE26" s="373">
        <v>6</v>
      </c>
      <c r="IF26" s="870">
        <v>5</v>
      </c>
      <c r="IG26" s="373">
        <v>3</v>
      </c>
      <c r="IH26" s="373">
        <v>10</v>
      </c>
      <c r="II26" s="373">
        <v>5</v>
      </c>
      <c r="IJ26" s="618">
        <v>2</v>
      </c>
      <c r="IK26" s="374">
        <v>15</v>
      </c>
      <c r="IL26" s="377">
        <v>4</v>
      </c>
      <c r="IM26" s="373"/>
      <c r="IN26" s="373">
        <v>2</v>
      </c>
      <c r="IO26" s="871">
        <v>2</v>
      </c>
      <c r="IP26" s="871">
        <v>1</v>
      </c>
      <c r="IQ26" s="373">
        <v>5</v>
      </c>
      <c r="IR26" s="373">
        <v>2</v>
      </c>
      <c r="IS26" s="618">
        <v>1</v>
      </c>
      <c r="IT26" s="374">
        <v>8</v>
      </c>
    </row>
    <row r="27" spans="1:254" s="245" customFormat="1" ht="12.75" customHeight="1" x14ac:dyDescent="0.2">
      <c r="A27" s="1052"/>
      <c r="B27" s="868" t="s">
        <v>879</v>
      </c>
      <c r="C27" s="869"/>
      <c r="D27" s="373"/>
      <c r="E27" s="373"/>
      <c r="F27" s="870"/>
      <c r="G27" s="373"/>
      <c r="H27" s="373"/>
      <c r="I27" s="373"/>
      <c r="J27" s="618"/>
      <c r="K27" s="374">
        <v>0</v>
      </c>
      <c r="L27" s="869"/>
      <c r="M27" s="373"/>
      <c r="N27" s="373"/>
      <c r="O27" s="870"/>
      <c r="P27" s="373"/>
      <c r="Q27" s="373"/>
      <c r="R27" s="373"/>
      <c r="S27" s="618"/>
      <c r="T27" s="374">
        <v>0</v>
      </c>
      <c r="U27" s="869"/>
      <c r="V27" s="373"/>
      <c r="W27" s="373"/>
      <c r="X27" s="870"/>
      <c r="Y27" s="373"/>
      <c r="Z27" s="373"/>
      <c r="AA27" s="373"/>
      <c r="AB27" s="618"/>
      <c r="AC27" s="374">
        <v>0</v>
      </c>
      <c r="AD27" s="869">
        <v>2</v>
      </c>
      <c r="AE27" s="373"/>
      <c r="AF27" s="373"/>
      <c r="AG27" s="870"/>
      <c r="AH27" s="373"/>
      <c r="AI27" s="373"/>
      <c r="AJ27" s="373">
        <v>2</v>
      </c>
      <c r="AK27" s="618">
        <v>3</v>
      </c>
      <c r="AL27" s="374">
        <v>0</v>
      </c>
      <c r="AM27" s="869"/>
      <c r="AN27" s="373"/>
      <c r="AO27" s="373"/>
      <c r="AP27" s="870"/>
      <c r="AQ27" s="373"/>
      <c r="AR27" s="373"/>
      <c r="AS27" s="373"/>
      <c r="AT27" s="618"/>
      <c r="AU27" s="374">
        <v>0</v>
      </c>
      <c r="AV27" s="869"/>
      <c r="AW27" s="373"/>
      <c r="AX27" s="373"/>
      <c r="AY27" s="870"/>
      <c r="AZ27" s="373"/>
      <c r="BA27" s="373"/>
      <c r="BB27" s="373"/>
      <c r="BC27" s="618"/>
      <c r="BD27" s="374">
        <v>0</v>
      </c>
      <c r="BE27" s="869"/>
      <c r="BF27" s="373"/>
      <c r="BG27" s="373"/>
      <c r="BH27" s="870"/>
      <c r="BI27" s="373"/>
      <c r="BJ27" s="373"/>
      <c r="BK27" s="373"/>
      <c r="BL27" s="618"/>
      <c r="BM27" s="374">
        <v>0</v>
      </c>
      <c r="BN27" s="869"/>
      <c r="BO27" s="373"/>
      <c r="BP27" s="373"/>
      <c r="BQ27" s="870"/>
      <c r="BR27" s="373"/>
      <c r="BS27" s="373"/>
      <c r="BT27" s="373"/>
      <c r="BU27" s="618"/>
      <c r="BV27" s="374">
        <v>0</v>
      </c>
      <c r="BW27" s="869">
        <v>2</v>
      </c>
      <c r="BX27" s="373">
        <v>1</v>
      </c>
      <c r="BY27" s="373"/>
      <c r="BZ27" s="870"/>
      <c r="CA27" s="373"/>
      <c r="CB27" s="373">
        <v>1</v>
      </c>
      <c r="CC27" s="373">
        <v>3</v>
      </c>
      <c r="CD27" s="618">
        <v>1</v>
      </c>
      <c r="CE27" s="374">
        <v>0</v>
      </c>
      <c r="CF27" s="869">
        <v>2</v>
      </c>
      <c r="CG27" s="373"/>
      <c r="CH27" s="373"/>
      <c r="CI27" s="870"/>
      <c r="CJ27" s="373"/>
      <c r="CK27" s="373"/>
      <c r="CL27" s="373"/>
      <c r="CM27" s="618"/>
      <c r="CN27" s="374">
        <v>0</v>
      </c>
      <c r="CO27" s="869"/>
      <c r="CP27" s="373"/>
      <c r="CQ27" s="373"/>
      <c r="CR27" s="870"/>
      <c r="CS27" s="373"/>
      <c r="CT27" s="373"/>
      <c r="CU27" s="373"/>
      <c r="CV27" s="618"/>
      <c r="CW27" s="374">
        <v>0</v>
      </c>
      <c r="CX27" s="869">
        <v>4</v>
      </c>
      <c r="CY27" s="373">
        <v>1</v>
      </c>
      <c r="CZ27" s="373">
        <v>5</v>
      </c>
      <c r="DA27" s="870">
        <v>3</v>
      </c>
      <c r="DB27" s="373">
        <v>7</v>
      </c>
      <c r="DC27" s="373">
        <v>8</v>
      </c>
      <c r="DD27" s="373">
        <v>4</v>
      </c>
      <c r="DE27" s="618">
        <v>1</v>
      </c>
      <c r="DF27" s="374">
        <v>3</v>
      </c>
      <c r="DG27" s="869"/>
      <c r="DH27" s="373"/>
      <c r="DI27" s="373"/>
      <c r="DJ27" s="870"/>
      <c r="DK27" s="373"/>
      <c r="DL27" s="373"/>
      <c r="DM27" s="373">
        <v>1</v>
      </c>
      <c r="DN27" s="618"/>
      <c r="DO27" s="374">
        <v>0</v>
      </c>
      <c r="DP27" s="869">
        <v>1</v>
      </c>
      <c r="DQ27" s="373"/>
      <c r="DR27" s="373"/>
      <c r="DS27" s="870"/>
      <c r="DT27" s="373"/>
      <c r="DU27" s="373"/>
      <c r="DV27" s="373"/>
      <c r="DW27" s="618"/>
      <c r="DX27" s="374">
        <v>0</v>
      </c>
      <c r="DY27" s="869"/>
      <c r="DZ27" s="373"/>
      <c r="EA27" s="373">
        <v>1</v>
      </c>
      <c r="EB27" s="870">
        <v>2</v>
      </c>
      <c r="EC27" s="373">
        <v>1</v>
      </c>
      <c r="ED27" s="373">
        <v>1</v>
      </c>
      <c r="EE27" s="373">
        <v>1</v>
      </c>
      <c r="EF27" s="618"/>
      <c r="EG27" s="374">
        <v>0</v>
      </c>
      <c r="EH27" s="869"/>
      <c r="EI27" s="373"/>
      <c r="EJ27" s="373"/>
      <c r="EK27" s="870"/>
      <c r="EL27" s="373"/>
      <c r="EM27" s="373"/>
      <c r="EN27" s="373"/>
      <c r="EO27" s="618"/>
      <c r="EP27" s="374">
        <v>0</v>
      </c>
      <c r="EQ27" s="869"/>
      <c r="ER27" s="373"/>
      <c r="ES27" s="373"/>
      <c r="ET27" s="870"/>
      <c r="EU27" s="373"/>
      <c r="EV27" s="373"/>
      <c r="EW27" s="373"/>
      <c r="EX27" s="618">
        <v>1</v>
      </c>
      <c r="EY27" s="374">
        <v>0</v>
      </c>
      <c r="EZ27" s="869"/>
      <c r="FA27" s="373"/>
      <c r="FB27" s="373"/>
      <c r="FC27" s="870"/>
      <c r="FD27" s="373"/>
      <c r="FE27" s="373"/>
      <c r="FF27" s="373"/>
      <c r="FG27" s="618"/>
      <c r="FH27" s="374">
        <v>0</v>
      </c>
      <c r="FI27" s="869"/>
      <c r="FJ27" s="373"/>
      <c r="FK27" s="373"/>
      <c r="FL27" s="870"/>
      <c r="FM27" s="373"/>
      <c r="FN27" s="373"/>
      <c r="FO27" s="373"/>
      <c r="FP27" s="618"/>
      <c r="FQ27" s="374">
        <v>0</v>
      </c>
      <c r="FR27" s="869"/>
      <c r="FS27" s="373"/>
      <c r="FT27" s="373"/>
      <c r="FU27" s="870"/>
      <c r="FV27" s="373"/>
      <c r="FW27" s="373"/>
      <c r="FX27" s="373"/>
      <c r="FY27" s="618"/>
      <c r="FZ27" s="374">
        <v>0</v>
      </c>
      <c r="GA27" s="869"/>
      <c r="GB27" s="373"/>
      <c r="GC27" s="373"/>
      <c r="GD27" s="870"/>
      <c r="GE27" s="373"/>
      <c r="GF27" s="373"/>
      <c r="GG27" s="373"/>
      <c r="GH27" s="618"/>
      <c r="GI27" s="374">
        <v>0</v>
      </c>
      <c r="GJ27" s="869">
        <v>10</v>
      </c>
      <c r="GK27" s="373">
        <v>2</v>
      </c>
      <c r="GL27" s="373">
        <v>5</v>
      </c>
      <c r="GM27" s="870">
        <v>3</v>
      </c>
      <c r="GN27" s="373">
        <v>7</v>
      </c>
      <c r="GO27" s="373">
        <v>9</v>
      </c>
      <c r="GP27" s="373">
        <v>9</v>
      </c>
      <c r="GQ27" s="618">
        <v>6</v>
      </c>
      <c r="GR27" s="374">
        <v>3</v>
      </c>
      <c r="GS27" s="869">
        <v>6</v>
      </c>
      <c r="GT27" s="373">
        <v>2</v>
      </c>
      <c r="GU27" s="373">
        <v>1</v>
      </c>
      <c r="GV27" s="870"/>
      <c r="GW27" s="373"/>
      <c r="GX27" s="373">
        <v>1</v>
      </c>
      <c r="GY27" s="373">
        <v>1</v>
      </c>
      <c r="GZ27" s="618">
        <v>3</v>
      </c>
      <c r="HA27" s="374">
        <v>0</v>
      </c>
      <c r="HB27" s="869"/>
      <c r="HC27" s="373"/>
      <c r="HD27" s="373"/>
      <c r="HE27" s="870"/>
      <c r="HF27" s="373"/>
      <c r="HG27" s="373"/>
      <c r="HH27" s="373"/>
      <c r="HI27" s="618"/>
      <c r="HJ27" s="374">
        <v>0</v>
      </c>
      <c r="HK27" s="869"/>
      <c r="HL27" s="373"/>
      <c r="HM27" s="373"/>
      <c r="HN27" s="870"/>
      <c r="HO27" s="373"/>
      <c r="HP27" s="373"/>
      <c r="HQ27" s="373"/>
      <c r="HR27" s="618"/>
      <c r="HS27" s="374">
        <v>0</v>
      </c>
      <c r="HT27" s="869">
        <v>6</v>
      </c>
      <c r="HU27" s="373">
        <v>4</v>
      </c>
      <c r="HV27" s="373">
        <v>1</v>
      </c>
      <c r="HW27" s="870"/>
      <c r="HX27" s="373">
        <v>2</v>
      </c>
      <c r="HY27" s="373">
        <v>1</v>
      </c>
      <c r="HZ27" s="373">
        <v>1</v>
      </c>
      <c r="IA27" s="618">
        <v>4</v>
      </c>
      <c r="IB27" s="374">
        <v>2</v>
      </c>
      <c r="IC27" s="869">
        <v>13</v>
      </c>
      <c r="ID27" s="373">
        <v>15</v>
      </c>
      <c r="IE27" s="373">
        <v>8</v>
      </c>
      <c r="IF27" s="870">
        <v>3</v>
      </c>
      <c r="IG27" s="373">
        <v>11</v>
      </c>
      <c r="IH27" s="373">
        <v>12</v>
      </c>
      <c r="II27" s="373">
        <v>10</v>
      </c>
      <c r="IJ27" s="618">
        <v>9</v>
      </c>
      <c r="IK27" s="374">
        <v>9</v>
      </c>
      <c r="IL27" s="377">
        <v>1</v>
      </c>
      <c r="IM27" s="373"/>
      <c r="IN27" s="373">
        <v>1</v>
      </c>
      <c r="IO27" s="871">
        <v>2</v>
      </c>
      <c r="IP27" s="871"/>
      <c r="IQ27" s="373">
        <v>3</v>
      </c>
      <c r="IR27" s="373">
        <v>2</v>
      </c>
      <c r="IS27" s="618"/>
      <c r="IT27" s="374">
        <v>1</v>
      </c>
    </row>
    <row r="28" spans="1:254" s="245" customFormat="1" ht="12.75" customHeight="1" x14ac:dyDescent="0.2">
      <c r="A28" s="1052"/>
      <c r="B28" s="868" t="s">
        <v>880</v>
      </c>
      <c r="C28" s="869"/>
      <c r="D28" s="373"/>
      <c r="E28" s="373"/>
      <c r="F28" s="870"/>
      <c r="G28" s="373"/>
      <c r="H28" s="373"/>
      <c r="I28" s="373"/>
      <c r="J28" s="618"/>
      <c r="K28" s="374">
        <v>0</v>
      </c>
      <c r="L28" s="869"/>
      <c r="M28" s="373"/>
      <c r="N28" s="373"/>
      <c r="O28" s="870"/>
      <c r="P28" s="373"/>
      <c r="Q28" s="373"/>
      <c r="R28" s="373"/>
      <c r="S28" s="618"/>
      <c r="T28" s="374">
        <v>0</v>
      </c>
      <c r="U28" s="869"/>
      <c r="V28" s="373"/>
      <c r="W28" s="373"/>
      <c r="X28" s="870"/>
      <c r="Y28" s="373"/>
      <c r="Z28" s="373"/>
      <c r="AA28" s="373"/>
      <c r="AB28" s="618"/>
      <c r="AC28" s="374">
        <v>0</v>
      </c>
      <c r="AD28" s="869">
        <v>1</v>
      </c>
      <c r="AE28" s="373"/>
      <c r="AF28" s="373"/>
      <c r="AG28" s="870"/>
      <c r="AH28" s="373"/>
      <c r="AI28" s="373">
        <v>1</v>
      </c>
      <c r="AJ28" s="373"/>
      <c r="AK28" s="618">
        <v>1</v>
      </c>
      <c r="AL28" s="374">
        <v>0</v>
      </c>
      <c r="AM28" s="869"/>
      <c r="AN28" s="373"/>
      <c r="AO28" s="373"/>
      <c r="AP28" s="870"/>
      <c r="AQ28" s="373"/>
      <c r="AR28" s="373"/>
      <c r="AS28" s="373"/>
      <c r="AT28" s="618"/>
      <c r="AU28" s="374">
        <v>0</v>
      </c>
      <c r="AV28" s="869"/>
      <c r="AW28" s="373"/>
      <c r="AX28" s="373"/>
      <c r="AY28" s="870"/>
      <c r="AZ28" s="373"/>
      <c r="BA28" s="373"/>
      <c r="BB28" s="373"/>
      <c r="BC28" s="618"/>
      <c r="BD28" s="374">
        <v>0</v>
      </c>
      <c r="BE28" s="869">
        <v>3</v>
      </c>
      <c r="BF28" s="373"/>
      <c r="BG28" s="373"/>
      <c r="BH28" s="870"/>
      <c r="BI28" s="373"/>
      <c r="BJ28" s="373"/>
      <c r="BK28" s="373"/>
      <c r="BL28" s="618"/>
      <c r="BM28" s="374">
        <v>0</v>
      </c>
      <c r="BN28" s="869"/>
      <c r="BO28" s="373"/>
      <c r="BP28" s="373"/>
      <c r="BQ28" s="870"/>
      <c r="BR28" s="373"/>
      <c r="BS28" s="373"/>
      <c r="BT28" s="373"/>
      <c r="BU28" s="618"/>
      <c r="BV28" s="374">
        <v>0</v>
      </c>
      <c r="BW28" s="869"/>
      <c r="BX28" s="373"/>
      <c r="BY28" s="373"/>
      <c r="BZ28" s="870"/>
      <c r="CA28" s="373"/>
      <c r="CB28" s="373">
        <v>1</v>
      </c>
      <c r="CC28" s="373"/>
      <c r="CD28" s="618">
        <v>1</v>
      </c>
      <c r="CE28" s="374">
        <v>0</v>
      </c>
      <c r="CF28" s="869"/>
      <c r="CG28" s="373"/>
      <c r="CH28" s="373">
        <v>1</v>
      </c>
      <c r="CI28" s="870"/>
      <c r="CJ28" s="373"/>
      <c r="CK28" s="373"/>
      <c r="CL28" s="373"/>
      <c r="CM28" s="618"/>
      <c r="CN28" s="374">
        <v>0</v>
      </c>
      <c r="CO28" s="869"/>
      <c r="CP28" s="373"/>
      <c r="CQ28" s="373"/>
      <c r="CR28" s="870"/>
      <c r="CS28" s="373"/>
      <c r="CT28" s="373"/>
      <c r="CU28" s="373"/>
      <c r="CV28" s="618"/>
      <c r="CW28" s="374">
        <v>0</v>
      </c>
      <c r="CX28" s="869">
        <v>5</v>
      </c>
      <c r="CY28" s="373">
        <v>4</v>
      </c>
      <c r="CZ28" s="373"/>
      <c r="DA28" s="870"/>
      <c r="DB28" s="373">
        <v>2</v>
      </c>
      <c r="DC28" s="373">
        <v>2</v>
      </c>
      <c r="DD28" s="373"/>
      <c r="DE28" s="618">
        <v>1</v>
      </c>
      <c r="DF28" s="374">
        <v>0</v>
      </c>
      <c r="DG28" s="869"/>
      <c r="DH28" s="373"/>
      <c r="DI28" s="373"/>
      <c r="DJ28" s="870"/>
      <c r="DK28" s="373"/>
      <c r="DL28" s="373"/>
      <c r="DM28" s="373"/>
      <c r="DN28" s="618"/>
      <c r="DO28" s="374">
        <v>0</v>
      </c>
      <c r="DP28" s="869"/>
      <c r="DQ28" s="373"/>
      <c r="DR28" s="373"/>
      <c r="DS28" s="870"/>
      <c r="DT28" s="373"/>
      <c r="DU28" s="373"/>
      <c r="DV28" s="373"/>
      <c r="DW28" s="618"/>
      <c r="DX28" s="374">
        <v>0</v>
      </c>
      <c r="DY28" s="869"/>
      <c r="DZ28" s="373"/>
      <c r="EA28" s="373"/>
      <c r="EB28" s="870"/>
      <c r="EC28" s="373"/>
      <c r="ED28" s="373">
        <v>1</v>
      </c>
      <c r="EE28" s="373"/>
      <c r="EF28" s="618"/>
      <c r="EG28" s="374">
        <v>0</v>
      </c>
      <c r="EH28" s="869"/>
      <c r="EI28" s="373"/>
      <c r="EJ28" s="373"/>
      <c r="EK28" s="870"/>
      <c r="EL28" s="373"/>
      <c r="EM28" s="373"/>
      <c r="EN28" s="373"/>
      <c r="EO28" s="618"/>
      <c r="EP28" s="374">
        <v>0</v>
      </c>
      <c r="EQ28" s="869"/>
      <c r="ER28" s="373"/>
      <c r="ES28" s="373"/>
      <c r="ET28" s="870"/>
      <c r="EU28" s="373"/>
      <c r="EV28" s="373"/>
      <c r="EW28" s="373"/>
      <c r="EX28" s="618"/>
      <c r="EY28" s="374">
        <v>0</v>
      </c>
      <c r="EZ28" s="869"/>
      <c r="FA28" s="373"/>
      <c r="FB28" s="373"/>
      <c r="FC28" s="870"/>
      <c r="FD28" s="373"/>
      <c r="FE28" s="373"/>
      <c r="FF28" s="373"/>
      <c r="FG28" s="618"/>
      <c r="FH28" s="374">
        <v>0</v>
      </c>
      <c r="FI28" s="869"/>
      <c r="FJ28" s="373"/>
      <c r="FK28" s="373"/>
      <c r="FL28" s="870"/>
      <c r="FM28" s="373">
        <v>1</v>
      </c>
      <c r="FN28" s="373"/>
      <c r="FO28" s="373"/>
      <c r="FP28" s="618"/>
      <c r="FQ28" s="374">
        <v>0</v>
      </c>
      <c r="FR28" s="869"/>
      <c r="FS28" s="373"/>
      <c r="FT28" s="373"/>
      <c r="FU28" s="870"/>
      <c r="FV28" s="373"/>
      <c r="FW28" s="373"/>
      <c r="FX28" s="373"/>
      <c r="FY28" s="618"/>
      <c r="FZ28" s="374">
        <v>0</v>
      </c>
      <c r="GA28" s="869"/>
      <c r="GB28" s="373"/>
      <c r="GC28" s="373"/>
      <c r="GD28" s="870"/>
      <c r="GE28" s="373"/>
      <c r="GF28" s="373"/>
      <c r="GG28" s="373"/>
      <c r="GH28" s="618"/>
      <c r="GI28" s="374">
        <v>0</v>
      </c>
      <c r="GJ28" s="869">
        <v>9</v>
      </c>
      <c r="GK28" s="373">
        <v>4</v>
      </c>
      <c r="GL28" s="373">
        <v>1</v>
      </c>
      <c r="GM28" s="870"/>
      <c r="GN28" s="373">
        <v>3</v>
      </c>
      <c r="GO28" s="373">
        <v>4</v>
      </c>
      <c r="GP28" s="373"/>
      <c r="GQ28" s="618">
        <v>3</v>
      </c>
      <c r="GR28" s="374">
        <v>0</v>
      </c>
      <c r="GS28" s="869">
        <v>1</v>
      </c>
      <c r="GT28" s="373">
        <v>3</v>
      </c>
      <c r="GU28" s="373"/>
      <c r="GV28" s="870"/>
      <c r="GW28" s="373"/>
      <c r="GX28" s="373">
        <v>1</v>
      </c>
      <c r="GY28" s="373"/>
      <c r="GZ28" s="618">
        <v>1</v>
      </c>
      <c r="HA28" s="374">
        <v>0</v>
      </c>
      <c r="HB28" s="869"/>
      <c r="HC28" s="373"/>
      <c r="HD28" s="373"/>
      <c r="HE28" s="870"/>
      <c r="HF28" s="373"/>
      <c r="HG28" s="373"/>
      <c r="HH28" s="373"/>
      <c r="HI28" s="618"/>
      <c r="HJ28" s="374">
        <v>0</v>
      </c>
      <c r="HK28" s="869"/>
      <c r="HL28" s="373"/>
      <c r="HM28" s="373"/>
      <c r="HN28" s="870"/>
      <c r="HO28" s="373"/>
      <c r="HP28" s="373"/>
      <c r="HQ28" s="373"/>
      <c r="HR28" s="618"/>
      <c r="HS28" s="374">
        <v>0</v>
      </c>
      <c r="HT28" s="869">
        <v>2</v>
      </c>
      <c r="HU28" s="373">
        <v>3</v>
      </c>
      <c r="HV28" s="373">
        <v>1</v>
      </c>
      <c r="HW28" s="870"/>
      <c r="HX28" s="373"/>
      <c r="HY28" s="373">
        <v>1</v>
      </c>
      <c r="HZ28" s="373"/>
      <c r="IA28" s="618">
        <v>1</v>
      </c>
      <c r="IB28" s="374">
        <v>1</v>
      </c>
      <c r="IC28" s="869">
        <v>12</v>
      </c>
      <c r="ID28" s="373">
        <v>4</v>
      </c>
      <c r="IE28" s="373">
        <v>2</v>
      </c>
      <c r="IF28" s="870">
        <v>2</v>
      </c>
      <c r="IG28" s="373">
        <v>5</v>
      </c>
      <c r="IH28" s="373">
        <v>5</v>
      </c>
      <c r="II28" s="373">
        <v>3</v>
      </c>
      <c r="IJ28" s="618">
        <v>10</v>
      </c>
      <c r="IK28" s="374">
        <v>3</v>
      </c>
      <c r="IL28" s="377">
        <v>2</v>
      </c>
      <c r="IM28" s="373"/>
      <c r="IN28" s="373"/>
      <c r="IO28" s="871"/>
      <c r="IP28" s="871"/>
      <c r="IQ28" s="373">
        <v>1</v>
      </c>
      <c r="IR28" s="373"/>
      <c r="IS28" s="618"/>
      <c r="IT28" s="374">
        <v>0</v>
      </c>
    </row>
    <row r="29" spans="1:254" s="245" customFormat="1" ht="12.75" customHeight="1" x14ac:dyDescent="0.2">
      <c r="A29" s="1052"/>
      <c r="B29" s="868" t="s">
        <v>881</v>
      </c>
      <c r="C29" s="869"/>
      <c r="D29" s="373"/>
      <c r="E29" s="373"/>
      <c r="F29" s="870"/>
      <c r="G29" s="373"/>
      <c r="H29" s="373"/>
      <c r="I29" s="373"/>
      <c r="J29" s="618"/>
      <c r="K29" s="374">
        <v>0</v>
      </c>
      <c r="L29" s="869"/>
      <c r="M29" s="373"/>
      <c r="N29" s="373"/>
      <c r="O29" s="870"/>
      <c r="P29" s="373"/>
      <c r="Q29" s="373"/>
      <c r="R29" s="373"/>
      <c r="S29" s="618"/>
      <c r="T29" s="374">
        <v>0</v>
      </c>
      <c r="U29" s="869"/>
      <c r="V29" s="373"/>
      <c r="W29" s="373"/>
      <c r="X29" s="870"/>
      <c r="Y29" s="373"/>
      <c r="Z29" s="373"/>
      <c r="AA29" s="373"/>
      <c r="AB29" s="618"/>
      <c r="AC29" s="374">
        <v>0</v>
      </c>
      <c r="AD29" s="869"/>
      <c r="AE29" s="373"/>
      <c r="AF29" s="373"/>
      <c r="AG29" s="870"/>
      <c r="AH29" s="373"/>
      <c r="AI29" s="373"/>
      <c r="AJ29" s="373"/>
      <c r="AK29" s="618"/>
      <c r="AL29" s="374">
        <v>0</v>
      </c>
      <c r="AM29" s="869"/>
      <c r="AN29" s="373"/>
      <c r="AO29" s="373"/>
      <c r="AP29" s="870"/>
      <c r="AQ29" s="373"/>
      <c r="AR29" s="373"/>
      <c r="AS29" s="373"/>
      <c r="AT29" s="618"/>
      <c r="AU29" s="374">
        <v>0</v>
      </c>
      <c r="AV29" s="869"/>
      <c r="AW29" s="373"/>
      <c r="AX29" s="373"/>
      <c r="AY29" s="870"/>
      <c r="AZ29" s="373"/>
      <c r="BA29" s="373"/>
      <c r="BB29" s="373"/>
      <c r="BC29" s="618"/>
      <c r="BD29" s="374">
        <v>0</v>
      </c>
      <c r="BE29" s="869"/>
      <c r="BF29" s="373"/>
      <c r="BG29" s="373"/>
      <c r="BH29" s="870"/>
      <c r="BI29" s="373"/>
      <c r="BJ29" s="373"/>
      <c r="BK29" s="373"/>
      <c r="BL29" s="618"/>
      <c r="BM29" s="374">
        <v>0</v>
      </c>
      <c r="BN29" s="869"/>
      <c r="BO29" s="373"/>
      <c r="BP29" s="373"/>
      <c r="BQ29" s="870"/>
      <c r="BR29" s="373"/>
      <c r="BS29" s="373"/>
      <c r="BT29" s="373"/>
      <c r="BU29" s="618"/>
      <c r="BV29" s="374">
        <v>0</v>
      </c>
      <c r="BW29" s="869"/>
      <c r="BX29" s="373"/>
      <c r="BY29" s="373"/>
      <c r="BZ29" s="870"/>
      <c r="CA29" s="373"/>
      <c r="CB29" s="373">
        <v>1</v>
      </c>
      <c r="CC29" s="373"/>
      <c r="CD29" s="618">
        <v>1</v>
      </c>
      <c r="CE29" s="374">
        <v>0</v>
      </c>
      <c r="CF29" s="869"/>
      <c r="CG29" s="373"/>
      <c r="CH29" s="373"/>
      <c r="CI29" s="870"/>
      <c r="CJ29" s="373"/>
      <c r="CK29" s="373"/>
      <c r="CL29" s="373"/>
      <c r="CM29" s="618"/>
      <c r="CN29" s="374">
        <v>0</v>
      </c>
      <c r="CO29" s="869"/>
      <c r="CP29" s="373"/>
      <c r="CQ29" s="373"/>
      <c r="CR29" s="870"/>
      <c r="CS29" s="373"/>
      <c r="CT29" s="373"/>
      <c r="CU29" s="373"/>
      <c r="CV29" s="618"/>
      <c r="CW29" s="374">
        <v>0</v>
      </c>
      <c r="CX29" s="869">
        <v>3</v>
      </c>
      <c r="CY29" s="373">
        <v>4</v>
      </c>
      <c r="CZ29" s="373">
        <v>6</v>
      </c>
      <c r="DA29" s="870">
        <v>3</v>
      </c>
      <c r="DB29" s="373">
        <v>4</v>
      </c>
      <c r="DC29" s="373">
        <v>3</v>
      </c>
      <c r="DD29" s="373">
        <v>1</v>
      </c>
      <c r="DE29" s="618"/>
      <c r="DF29" s="374">
        <v>0</v>
      </c>
      <c r="DG29" s="869"/>
      <c r="DH29" s="373"/>
      <c r="DI29" s="373"/>
      <c r="DJ29" s="870"/>
      <c r="DK29" s="373"/>
      <c r="DL29" s="373">
        <v>1</v>
      </c>
      <c r="DM29" s="373"/>
      <c r="DN29" s="618"/>
      <c r="DO29" s="374">
        <v>0</v>
      </c>
      <c r="DP29" s="869"/>
      <c r="DQ29" s="373"/>
      <c r="DR29" s="373">
        <v>1</v>
      </c>
      <c r="DS29" s="870"/>
      <c r="DT29" s="373"/>
      <c r="DU29" s="373">
        <v>1</v>
      </c>
      <c r="DV29" s="373"/>
      <c r="DW29" s="618"/>
      <c r="DX29" s="374">
        <v>0</v>
      </c>
      <c r="DY29" s="869"/>
      <c r="DZ29" s="373">
        <v>1</v>
      </c>
      <c r="EA29" s="373"/>
      <c r="EB29" s="870"/>
      <c r="EC29" s="373"/>
      <c r="ED29" s="373">
        <v>1</v>
      </c>
      <c r="EE29" s="373">
        <v>1</v>
      </c>
      <c r="EF29" s="618"/>
      <c r="EG29" s="374">
        <v>0</v>
      </c>
      <c r="EH29" s="869"/>
      <c r="EI29" s="373"/>
      <c r="EJ29" s="373"/>
      <c r="EK29" s="870"/>
      <c r="EL29" s="373"/>
      <c r="EM29" s="373"/>
      <c r="EN29" s="373"/>
      <c r="EO29" s="618"/>
      <c r="EP29" s="374">
        <v>0</v>
      </c>
      <c r="EQ29" s="869"/>
      <c r="ER29" s="373"/>
      <c r="ES29" s="373"/>
      <c r="ET29" s="870"/>
      <c r="EU29" s="373"/>
      <c r="EV29" s="373"/>
      <c r="EW29" s="373"/>
      <c r="EX29" s="618"/>
      <c r="EY29" s="374">
        <v>0</v>
      </c>
      <c r="EZ29" s="869"/>
      <c r="FA29" s="373"/>
      <c r="FB29" s="373"/>
      <c r="FC29" s="870"/>
      <c r="FD29" s="373"/>
      <c r="FE29" s="373"/>
      <c r="FF29" s="373"/>
      <c r="FG29" s="618"/>
      <c r="FH29" s="374">
        <v>0</v>
      </c>
      <c r="FI29" s="869"/>
      <c r="FJ29" s="373"/>
      <c r="FK29" s="373"/>
      <c r="FL29" s="870"/>
      <c r="FM29" s="373">
        <v>1</v>
      </c>
      <c r="FN29" s="373"/>
      <c r="FO29" s="373"/>
      <c r="FP29" s="618">
        <v>1</v>
      </c>
      <c r="FQ29" s="374">
        <v>0</v>
      </c>
      <c r="FR29" s="869"/>
      <c r="FS29" s="373"/>
      <c r="FT29" s="373"/>
      <c r="FU29" s="870"/>
      <c r="FV29" s="373"/>
      <c r="FW29" s="373"/>
      <c r="FX29" s="373"/>
      <c r="FY29" s="618"/>
      <c r="FZ29" s="374">
        <v>0</v>
      </c>
      <c r="GA29" s="869"/>
      <c r="GB29" s="373"/>
      <c r="GC29" s="373"/>
      <c r="GD29" s="870"/>
      <c r="GE29" s="373"/>
      <c r="GF29" s="373"/>
      <c r="GG29" s="373"/>
      <c r="GH29" s="618"/>
      <c r="GI29" s="374">
        <v>0</v>
      </c>
      <c r="GJ29" s="869">
        <v>3</v>
      </c>
      <c r="GK29" s="373">
        <v>4</v>
      </c>
      <c r="GL29" s="373">
        <v>6</v>
      </c>
      <c r="GM29" s="870">
        <v>3</v>
      </c>
      <c r="GN29" s="373">
        <v>5</v>
      </c>
      <c r="GO29" s="373">
        <v>4</v>
      </c>
      <c r="GP29" s="373">
        <v>1</v>
      </c>
      <c r="GQ29" s="618">
        <v>2</v>
      </c>
      <c r="GR29" s="374">
        <v>0</v>
      </c>
      <c r="GS29" s="869">
        <v>1</v>
      </c>
      <c r="GT29" s="373">
        <v>1</v>
      </c>
      <c r="GU29" s="373"/>
      <c r="GV29" s="870"/>
      <c r="GW29" s="373"/>
      <c r="GX29" s="373">
        <v>1</v>
      </c>
      <c r="GY29" s="373"/>
      <c r="GZ29" s="618">
        <v>2</v>
      </c>
      <c r="HA29" s="374">
        <v>0</v>
      </c>
      <c r="HB29" s="869"/>
      <c r="HC29" s="373"/>
      <c r="HD29" s="373"/>
      <c r="HE29" s="870"/>
      <c r="HF29" s="373"/>
      <c r="HG29" s="373"/>
      <c r="HH29" s="373"/>
      <c r="HI29" s="618"/>
      <c r="HJ29" s="374">
        <v>0</v>
      </c>
      <c r="HK29" s="869"/>
      <c r="HL29" s="373"/>
      <c r="HM29" s="373"/>
      <c r="HN29" s="870"/>
      <c r="HO29" s="373"/>
      <c r="HP29" s="373"/>
      <c r="HQ29" s="373"/>
      <c r="HR29" s="618"/>
      <c r="HS29" s="374">
        <v>0</v>
      </c>
      <c r="HT29" s="869">
        <v>1</v>
      </c>
      <c r="HU29" s="373">
        <v>4</v>
      </c>
      <c r="HV29" s="373"/>
      <c r="HW29" s="870">
        <v>2</v>
      </c>
      <c r="HX29" s="373">
        <v>2</v>
      </c>
      <c r="HY29" s="373">
        <v>2</v>
      </c>
      <c r="HZ29" s="373"/>
      <c r="IA29" s="618">
        <v>2</v>
      </c>
      <c r="IB29" s="374">
        <v>0</v>
      </c>
      <c r="IC29" s="869">
        <v>7</v>
      </c>
      <c r="ID29" s="373">
        <v>7</v>
      </c>
      <c r="IE29" s="373">
        <v>6</v>
      </c>
      <c r="IF29" s="870">
        <v>7</v>
      </c>
      <c r="IG29" s="373">
        <v>7</v>
      </c>
      <c r="IH29" s="373">
        <v>9</v>
      </c>
      <c r="II29" s="373">
        <v>5</v>
      </c>
      <c r="IJ29" s="618">
        <v>4</v>
      </c>
      <c r="IK29" s="374">
        <v>2</v>
      </c>
      <c r="IL29" s="377">
        <v>1</v>
      </c>
      <c r="IM29" s="373">
        <v>3</v>
      </c>
      <c r="IN29" s="373">
        <v>2</v>
      </c>
      <c r="IO29" s="871">
        <v>1</v>
      </c>
      <c r="IP29" s="871"/>
      <c r="IQ29" s="373">
        <v>1</v>
      </c>
      <c r="IR29" s="373">
        <v>1</v>
      </c>
      <c r="IS29" s="618"/>
      <c r="IT29" s="374">
        <v>0</v>
      </c>
    </row>
    <row r="30" spans="1:254" s="245" customFormat="1" ht="12.75" customHeight="1" x14ac:dyDescent="0.2">
      <c r="A30" s="1052"/>
      <c r="B30" s="868" t="s">
        <v>882</v>
      </c>
      <c r="C30" s="869"/>
      <c r="D30" s="373"/>
      <c r="E30" s="373"/>
      <c r="F30" s="870"/>
      <c r="G30" s="373">
        <v>1</v>
      </c>
      <c r="H30" s="373"/>
      <c r="I30" s="373"/>
      <c r="J30" s="618"/>
      <c r="K30" s="374">
        <v>0</v>
      </c>
      <c r="L30" s="869"/>
      <c r="M30" s="373"/>
      <c r="N30" s="373"/>
      <c r="O30" s="870"/>
      <c r="P30" s="373">
        <v>1</v>
      </c>
      <c r="Q30" s="373"/>
      <c r="R30" s="373"/>
      <c r="S30" s="618"/>
      <c r="T30" s="374">
        <v>0</v>
      </c>
      <c r="U30" s="869"/>
      <c r="V30" s="373"/>
      <c r="W30" s="373"/>
      <c r="X30" s="870"/>
      <c r="Y30" s="373"/>
      <c r="Z30" s="373"/>
      <c r="AA30" s="373"/>
      <c r="AB30" s="618"/>
      <c r="AC30" s="374">
        <v>0</v>
      </c>
      <c r="AD30" s="869">
        <v>2</v>
      </c>
      <c r="AE30" s="373">
        <v>2</v>
      </c>
      <c r="AF30" s="373">
        <v>4</v>
      </c>
      <c r="AG30" s="870">
        <v>2</v>
      </c>
      <c r="AH30" s="373">
        <v>6</v>
      </c>
      <c r="AI30" s="373"/>
      <c r="AJ30" s="373">
        <v>2</v>
      </c>
      <c r="AK30" s="618">
        <v>2</v>
      </c>
      <c r="AL30" s="374">
        <v>5</v>
      </c>
      <c r="AM30" s="869"/>
      <c r="AN30" s="373"/>
      <c r="AO30" s="373"/>
      <c r="AP30" s="870"/>
      <c r="AQ30" s="373">
        <v>3</v>
      </c>
      <c r="AR30" s="373"/>
      <c r="AS30" s="373"/>
      <c r="AT30" s="618">
        <v>1</v>
      </c>
      <c r="AU30" s="374">
        <v>0</v>
      </c>
      <c r="AV30" s="869"/>
      <c r="AW30" s="373"/>
      <c r="AX30" s="373"/>
      <c r="AY30" s="870"/>
      <c r="AZ30" s="373"/>
      <c r="BA30" s="373"/>
      <c r="BB30" s="373"/>
      <c r="BC30" s="618"/>
      <c r="BD30" s="374">
        <v>0</v>
      </c>
      <c r="BE30" s="869"/>
      <c r="BF30" s="373"/>
      <c r="BG30" s="373"/>
      <c r="BH30" s="870"/>
      <c r="BI30" s="373"/>
      <c r="BJ30" s="373"/>
      <c r="BK30" s="373">
        <v>4</v>
      </c>
      <c r="BL30" s="618"/>
      <c r="BM30" s="374">
        <v>0</v>
      </c>
      <c r="BN30" s="869"/>
      <c r="BO30" s="373"/>
      <c r="BP30" s="373"/>
      <c r="BQ30" s="870"/>
      <c r="BR30" s="373"/>
      <c r="BS30" s="373"/>
      <c r="BT30" s="373"/>
      <c r="BU30" s="618"/>
      <c r="BV30" s="374">
        <v>0</v>
      </c>
      <c r="BW30" s="869">
        <v>4</v>
      </c>
      <c r="BX30" s="373">
        <v>1</v>
      </c>
      <c r="BY30" s="373">
        <v>2</v>
      </c>
      <c r="BZ30" s="870">
        <v>3</v>
      </c>
      <c r="CA30" s="373">
        <v>5</v>
      </c>
      <c r="CB30" s="373">
        <v>3</v>
      </c>
      <c r="CC30" s="373">
        <v>1</v>
      </c>
      <c r="CD30" s="618">
        <v>3</v>
      </c>
      <c r="CE30" s="374">
        <v>4</v>
      </c>
      <c r="CF30" s="869"/>
      <c r="CG30" s="373"/>
      <c r="CH30" s="373"/>
      <c r="CI30" s="870"/>
      <c r="CJ30" s="373"/>
      <c r="CK30" s="373"/>
      <c r="CL30" s="373"/>
      <c r="CM30" s="618"/>
      <c r="CN30" s="374">
        <v>0</v>
      </c>
      <c r="CO30" s="869"/>
      <c r="CP30" s="373"/>
      <c r="CQ30" s="373"/>
      <c r="CR30" s="870"/>
      <c r="CS30" s="373"/>
      <c r="CT30" s="373"/>
      <c r="CU30" s="373"/>
      <c r="CV30" s="618">
        <v>1</v>
      </c>
      <c r="CW30" s="374">
        <v>0</v>
      </c>
      <c r="CX30" s="869">
        <v>28</v>
      </c>
      <c r="CY30" s="373">
        <v>26</v>
      </c>
      <c r="CZ30" s="373">
        <v>26</v>
      </c>
      <c r="DA30" s="870">
        <v>25</v>
      </c>
      <c r="DB30" s="373">
        <v>17</v>
      </c>
      <c r="DC30" s="373">
        <v>10</v>
      </c>
      <c r="DD30" s="373">
        <v>6</v>
      </c>
      <c r="DE30" s="618">
        <v>15</v>
      </c>
      <c r="DF30" s="374">
        <v>23</v>
      </c>
      <c r="DG30" s="869"/>
      <c r="DH30" s="373"/>
      <c r="DI30" s="373"/>
      <c r="DJ30" s="870"/>
      <c r="DK30" s="373"/>
      <c r="DL30" s="373"/>
      <c r="DM30" s="373"/>
      <c r="DN30" s="618"/>
      <c r="DO30" s="374">
        <v>0</v>
      </c>
      <c r="DP30" s="869"/>
      <c r="DQ30" s="373">
        <v>1</v>
      </c>
      <c r="DR30" s="373">
        <v>1</v>
      </c>
      <c r="DS30" s="870"/>
      <c r="DT30" s="373"/>
      <c r="DU30" s="373"/>
      <c r="DV30" s="373"/>
      <c r="DW30" s="618">
        <v>1</v>
      </c>
      <c r="DX30" s="374">
        <v>1</v>
      </c>
      <c r="DY30" s="869">
        <v>6</v>
      </c>
      <c r="DZ30" s="373">
        <v>4</v>
      </c>
      <c r="EA30" s="373">
        <v>4</v>
      </c>
      <c r="EB30" s="870">
        <v>8</v>
      </c>
      <c r="EC30" s="373">
        <v>4</v>
      </c>
      <c r="ED30" s="373">
        <v>2</v>
      </c>
      <c r="EE30" s="373">
        <v>1</v>
      </c>
      <c r="EF30" s="618">
        <v>5</v>
      </c>
      <c r="EG30" s="374">
        <v>14</v>
      </c>
      <c r="EH30" s="869"/>
      <c r="EI30" s="373"/>
      <c r="EJ30" s="373"/>
      <c r="EK30" s="870">
        <v>1</v>
      </c>
      <c r="EL30" s="373"/>
      <c r="EM30" s="373"/>
      <c r="EN30" s="373"/>
      <c r="EO30" s="618"/>
      <c r="EP30" s="374">
        <v>0</v>
      </c>
      <c r="EQ30" s="869"/>
      <c r="ER30" s="373"/>
      <c r="ES30" s="373"/>
      <c r="ET30" s="870"/>
      <c r="EU30" s="373">
        <v>2</v>
      </c>
      <c r="EV30" s="373"/>
      <c r="EW30" s="373"/>
      <c r="EX30" s="618"/>
      <c r="EY30" s="374">
        <v>0</v>
      </c>
      <c r="EZ30" s="869"/>
      <c r="FA30" s="373"/>
      <c r="FB30" s="373">
        <v>1</v>
      </c>
      <c r="FC30" s="870"/>
      <c r="FD30" s="373"/>
      <c r="FE30" s="373"/>
      <c r="FF30" s="373"/>
      <c r="FG30" s="618"/>
      <c r="FH30" s="374">
        <v>0</v>
      </c>
      <c r="FI30" s="869">
        <v>2</v>
      </c>
      <c r="FJ30" s="373">
        <v>1</v>
      </c>
      <c r="FK30" s="373">
        <v>1</v>
      </c>
      <c r="FL30" s="870">
        <v>1</v>
      </c>
      <c r="FM30" s="373"/>
      <c r="FN30" s="373">
        <v>1</v>
      </c>
      <c r="FO30" s="373"/>
      <c r="FP30" s="618">
        <v>2</v>
      </c>
      <c r="FQ30" s="374">
        <v>0</v>
      </c>
      <c r="FR30" s="869">
        <v>1</v>
      </c>
      <c r="FS30" s="373"/>
      <c r="FT30" s="373"/>
      <c r="FU30" s="870"/>
      <c r="FV30" s="373"/>
      <c r="FW30" s="373"/>
      <c r="FX30" s="373"/>
      <c r="FY30" s="618">
        <v>2</v>
      </c>
      <c r="FZ30" s="374">
        <v>0</v>
      </c>
      <c r="GA30" s="869"/>
      <c r="GB30" s="373"/>
      <c r="GC30" s="373"/>
      <c r="GD30" s="870"/>
      <c r="GE30" s="373">
        <v>1</v>
      </c>
      <c r="GF30" s="373"/>
      <c r="GG30" s="373"/>
      <c r="GH30" s="618"/>
      <c r="GI30" s="374">
        <v>0</v>
      </c>
      <c r="GJ30" s="869">
        <v>37</v>
      </c>
      <c r="GK30" s="373">
        <v>30</v>
      </c>
      <c r="GL30" s="373">
        <v>34</v>
      </c>
      <c r="GM30" s="870">
        <v>32</v>
      </c>
      <c r="GN30" s="373">
        <v>32</v>
      </c>
      <c r="GO30" s="373">
        <v>14</v>
      </c>
      <c r="GP30" s="373">
        <v>13</v>
      </c>
      <c r="GQ30" s="618">
        <v>25</v>
      </c>
      <c r="GR30" s="374">
        <v>32</v>
      </c>
      <c r="GS30" s="869">
        <v>5</v>
      </c>
      <c r="GT30" s="373">
        <v>10</v>
      </c>
      <c r="GU30" s="373">
        <v>9</v>
      </c>
      <c r="GV30" s="870">
        <v>9</v>
      </c>
      <c r="GW30" s="373">
        <v>4</v>
      </c>
      <c r="GX30" s="373">
        <v>3</v>
      </c>
      <c r="GY30" s="373">
        <v>1</v>
      </c>
      <c r="GZ30" s="618">
        <v>4</v>
      </c>
      <c r="HA30" s="374">
        <v>10</v>
      </c>
      <c r="HB30" s="869"/>
      <c r="HC30" s="373"/>
      <c r="HD30" s="373">
        <v>1</v>
      </c>
      <c r="HE30" s="870"/>
      <c r="HF30" s="373"/>
      <c r="HG30" s="373">
        <v>1</v>
      </c>
      <c r="HH30" s="373"/>
      <c r="HI30" s="618"/>
      <c r="HJ30" s="374">
        <v>0</v>
      </c>
      <c r="HK30" s="869"/>
      <c r="HL30" s="373">
        <v>1</v>
      </c>
      <c r="HM30" s="373"/>
      <c r="HN30" s="870"/>
      <c r="HO30" s="373"/>
      <c r="HP30" s="373"/>
      <c r="HQ30" s="373"/>
      <c r="HR30" s="618"/>
      <c r="HS30" s="374">
        <v>0</v>
      </c>
      <c r="HT30" s="869">
        <v>8</v>
      </c>
      <c r="HU30" s="373">
        <v>18</v>
      </c>
      <c r="HV30" s="373">
        <v>14</v>
      </c>
      <c r="HW30" s="870">
        <v>16</v>
      </c>
      <c r="HX30" s="373">
        <v>8</v>
      </c>
      <c r="HY30" s="373">
        <v>8</v>
      </c>
      <c r="HZ30" s="373">
        <v>6</v>
      </c>
      <c r="IA30" s="618">
        <v>8</v>
      </c>
      <c r="IB30" s="374">
        <v>21</v>
      </c>
      <c r="IC30" s="869">
        <v>64</v>
      </c>
      <c r="ID30" s="373">
        <v>80</v>
      </c>
      <c r="IE30" s="373">
        <v>47</v>
      </c>
      <c r="IF30" s="870">
        <v>54</v>
      </c>
      <c r="IG30" s="373">
        <v>50</v>
      </c>
      <c r="IH30" s="373">
        <v>27</v>
      </c>
      <c r="II30" s="373">
        <v>33</v>
      </c>
      <c r="IJ30" s="618">
        <v>42</v>
      </c>
      <c r="IK30" s="374">
        <v>76</v>
      </c>
      <c r="IL30" s="377">
        <v>12</v>
      </c>
      <c r="IM30" s="373">
        <v>7</v>
      </c>
      <c r="IN30" s="373">
        <v>7</v>
      </c>
      <c r="IO30" s="871">
        <v>9</v>
      </c>
      <c r="IP30" s="871">
        <v>2</v>
      </c>
      <c r="IQ30" s="373">
        <v>3</v>
      </c>
      <c r="IR30" s="373">
        <v>1</v>
      </c>
      <c r="IS30" s="618">
        <v>6</v>
      </c>
      <c r="IT30" s="374">
        <v>15</v>
      </c>
    </row>
    <row r="31" spans="1:254" s="245" customFormat="1" ht="12.75" customHeight="1" x14ac:dyDescent="0.2">
      <c r="A31" s="1052"/>
      <c r="B31" s="868" t="s">
        <v>883</v>
      </c>
      <c r="C31" s="869"/>
      <c r="D31" s="373"/>
      <c r="E31" s="373"/>
      <c r="F31" s="870"/>
      <c r="G31" s="373"/>
      <c r="H31" s="373"/>
      <c r="I31" s="373"/>
      <c r="J31" s="618"/>
      <c r="K31" s="374">
        <v>0</v>
      </c>
      <c r="L31" s="869"/>
      <c r="M31" s="373"/>
      <c r="N31" s="373"/>
      <c r="O31" s="870"/>
      <c r="P31" s="373"/>
      <c r="Q31" s="373"/>
      <c r="R31" s="373"/>
      <c r="S31" s="618"/>
      <c r="T31" s="374">
        <v>0</v>
      </c>
      <c r="U31" s="869"/>
      <c r="V31" s="373"/>
      <c r="W31" s="373"/>
      <c r="X31" s="870"/>
      <c r="Y31" s="373"/>
      <c r="Z31" s="373"/>
      <c r="AA31" s="373"/>
      <c r="AB31" s="618"/>
      <c r="AC31" s="374">
        <v>0</v>
      </c>
      <c r="AD31" s="869">
        <v>3</v>
      </c>
      <c r="AE31" s="373"/>
      <c r="AF31" s="373"/>
      <c r="AG31" s="870"/>
      <c r="AH31" s="373">
        <v>1</v>
      </c>
      <c r="AI31" s="373">
        <v>1</v>
      </c>
      <c r="AJ31" s="373"/>
      <c r="AK31" s="618">
        <v>3</v>
      </c>
      <c r="AL31" s="374">
        <v>3</v>
      </c>
      <c r="AM31" s="869"/>
      <c r="AN31" s="373"/>
      <c r="AO31" s="373"/>
      <c r="AP31" s="870"/>
      <c r="AQ31" s="373"/>
      <c r="AR31" s="373"/>
      <c r="AS31" s="373"/>
      <c r="AT31" s="618"/>
      <c r="AU31" s="374">
        <v>0</v>
      </c>
      <c r="AV31" s="869"/>
      <c r="AW31" s="373"/>
      <c r="AX31" s="373"/>
      <c r="AY31" s="870"/>
      <c r="AZ31" s="373"/>
      <c r="BA31" s="373"/>
      <c r="BB31" s="373"/>
      <c r="BC31" s="618"/>
      <c r="BD31" s="374">
        <v>0</v>
      </c>
      <c r="BE31" s="869"/>
      <c r="BF31" s="373"/>
      <c r="BG31" s="373"/>
      <c r="BH31" s="870"/>
      <c r="BI31" s="373"/>
      <c r="BJ31" s="373"/>
      <c r="BK31" s="373"/>
      <c r="BL31" s="618"/>
      <c r="BM31" s="374">
        <v>0</v>
      </c>
      <c r="BN31" s="869"/>
      <c r="BO31" s="373"/>
      <c r="BP31" s="373"/>
      <c r="BQ31" s="870"/>
      <c r="BR31" s="373"/>
      <c r="BS31" s="373"/>
      <c r="BT31" s="373"/>
      <c r="BU31" s="618"/>
      <c r="BV31" s="374">
        <v>0</v>
      </c>
      <c r="BW31" s="869">
        <v>2</v>
      </c>
      <c r="BX31" s="373"/>
      <c r="BY31" s="373">
        <v>2</v>
      </c>
      <c r="BZ31" s="870"/>
      <c r="CA31" s="373">
        <v>1</v>
      </c>
      <c r="CB31" s="373"/>
      <c r="CC31" s="373">
        <v>1</v>
      </c>
      <c r="CD31" s="618">
        <v>2</v>
      </c>
      <c r="CE31" s="374">
        <v>0</v>
      </c>
      <c r="CF31" s="869"/>
      <c r="CG31" s="373"/>
      <c r="CH31" s="373"/>
      <c r="CI31" s="870"/>
      <c r="CJ31" s="373"/>
      <c r="CK31" s="373"/>
      <c r="CL31" s="373"/>
      <c r="CM31" s="618"/>
      <c r="CN31" s="374">
        <v>0</v>
      </c>
      <c r="CO31" s="869"/>
      <c r="CP31" s="373"/>
      <c r="CQ31" s="373"/>
      <c r="CR31" s="870"/>
      <c r="CS31" s="373"/>
      <c r="CT31" s="373"/>
      <c r="CU31" s="373"/>
      <c r="CV31" s="618"/>
      <c r="CW31" s="374">
        <v>0</v>
      </c>
      <c r="CX31" s="869">
        <v>2</v>
      </c>
      <c r="CY31" s="373">
        <v>4</v>
      </c>
      <c r="CZ31" s="373">
        <v>5</v>
      </c>
      <c r="DA31" s="870">
        <v>6</v>
      </c>
      <c r="DB31" s="373">
        <v>4</v>
      </c>
      <c r="DC31" s="373">
        <v>3</v>
      </c>
      <c r="DD31" s="373">
        <v>1</v>
      </c>
      <c r="DE31" s="618">
        <v>5</v>
      </c>
      <c r="DF31" s="374">
        <v>2</v>
      </c>
      <c r="DG31" s="869"/>
      <c r="DH31" s="373"/>
      <c r="DI31" s="373"/>
      <c r="DJ31" s="870"/>
      <c r="DK31" s="373"/>
      <c r="DL31" s="373"/>
      <c r="DM31" s="373"/>
      <c r="DN31" s="618"/>
      <c r="DO31" s="374">
        <v>0</v>
      </c>
      <c r="DP31" s="869"/>
      <c r="DQ31" s="373"/>
      <c r="DR31" s="373"/>
      <c r="DS31" s="870"/>
      <c r="DT31" s="373"/>
      <c r="DU31" s="373"/>
      <c r="DV31" s="373"/>
      <c r="DW31" s="618"/>
      <c r="DX31" s="374">
        <v>0</v>
      </c>
      <c r="DY31" s="869"/>
      <c r="DZ31" s="373">
        <v>1</v>
      </c>
      <c r="EA31" s="373">
        <v>2</v>
      </c>
      <c r="EB31" s="870"/>
      <c r="EC31" s="373"/>
      <c r="ED31" s="373">
        <v>1</v>
      </c>
      <c r="EE31" s="373"/>
      <c r="EF31" s="618"/>
      <c r="EG31" s="374">
        <v>0</v>
      </c>
      <c r="EH31" s="869"/>
      <c r="EI31" s="373"/>
      <c r="EJ31" s="373"/>
      <c r="EK31" s="870"/>
      <c r="EL31" s="373"/>
      <c r="EM31" s="373"/>
      <c r="EN31" s="373"/>
      <c r="EO31" s="618"/>
      <c r="EP31" s="374">
        <v>0</v>
      </c>
      <c r="EQ31" s="869"/>
      <c r="ER31" s="373"/>
      <c r="ES31" s="373"/>
      <c r="ET31" s="870"/>
      <c r="EU31" s="373"/>
      <c r="EV31" s="373"/>
      <c r="EW31" s="373"/>
      <c r="EX31" s="618"/>
      <c r="EY31" s="374">
        <v>0</v>
      </c>
      <c r="EZ31" s="869"/>
      <c r="FA31" s="373"/>
      <c r="FB31" s="373"/>
      <c r="FC31" s="870"/>
      <c r="FD31" s="373"/>
      <c r="FE31" s="373"/>
      <c r="FF31" s="373"/>
      <c r="FG31" s="618"/>
      <c r="FH31" s="374">
        <v>0</v>
      </c>
      <c r="FI31" s="869"/>
      <c r="FJ31" s="373">
        <v>1</v>
      </c>
      <c r="FK31" s="373"/>
      <c r="FL31" s="870"/>
      <c r="FM31" s="373"/>
      <c r="FN31" s="373"/>
      <c r="FO31" s="373"/>
      <c r="FP31" s="618"/>
      <c r="FQ31" s="374">
        <v>0</v>
      </c>
      <c r="FR31" s="869"/>
      <c r="FS31" s="373"/>
      <c r="FT31" s="373"/>
      <c r="FU31" s="870"/>
      <c r="FV31" s="373"/>
      <c r="FW31" s="373"/>
      <c r="FX31" s="373"/>
      <c r="FY31" s="618"/>
      <c r="FZ31" s="374">
        <v>0</v>
      </c>
      <c r="GA31" s="869"/>
      <c r="GB31" s="373">
        <v>1</v>
      </c>
      <c r="GC31" s="373"/>
      <c r="GD31" s="870"/>
      <c r="GE31" s="373">
        <v>1</v>
      </c>
      <c r="GF31" s="373"/>
      <c r="GG31" s="373"/>
      <c r="GH31" s="618"/>
      <c r="GI31" s="374">
        <v>0</v>
      </c>
      <c r="GJ31" s="869">
        <v>7</v>
      </c>
      <c r="GK31" s="373">
        <v>6</v>
      </c>
      <c r="GL31" s="373">
        <v>7</v>
      </c>
      <c r="GM31" s="870">
        <v>6</v>
      </c>
      <c r="GN31" s="373">
        <v>7</v>
      </c>
      <c r="GO31" s="373">
        <v>4</v>
      </c>
      <c r="GP31" s="373">
        <v>2</v>
      </c>
      <c r="GQ31" s="618">
        <v>10</v>
      </c>
      <c r="GR31" s="374">
        <v>5</v>
      </c>
      <c r="GS31" s="869">
        <v>6</v>
      </c>
      <c r="GT31" s="373">
        <v>1</v>
      </c>
      <c r="GU31" s="373">
        <v>1</v>
      </c>
      <c r="GV31" s="870">
        <v>2</v>
      </c>
      <c r="GW31" s="373">
        <v>2</v>
      </c>
      <c r="GX31" s="373"/>
      <c r="GY31" s="373">
        <v>1</v>
      </c>
      <c r="GZ31" s="618">
        <v>3</v>
      </c>
      <c r="HA31" s="374">
        <v>0</v>
      </c>
      <c r="HB31" s="869"/>
      <c r="HC31" s="373"/>
      <c r="HD31" s="373"/>
      <c r="HE31" s="870"/>
      <c r="HF31" s="373"/>
      <c r="HG31" s="373"/>
      <c r="HH31" s="373"/>
      <c r="HI31" s="618"/>
      <c r="HJ31" s="374">
        <v>0</v>
      </c>
      <c r="HK31" s="869"/>
      <c r="HL31" s="373"/>
      <c r="HM31" s="373"/>
      <c r="HN31" s="870"/>
      <c r="HO31" s="373"/>
      <c r="HP31" s="373"/>
      <c r="HQ31" s="373"/>
      <c r="HR31" s="618"/>
      <c r="HS31" s="374">
        <v>0</v>
      </c>
      <c r="HT31" s="869">
        <v>8</v>
      </c>
      <c r="HU31" s="373">
        <v>2</v>
      </c>
      <c r="HV31" s="373">
        <v>1</v>
      </c>
      <c r="HW31" s="870">
        <v>2</v>
      </c>
      <c r="HX31" s="373">
        <v>2</v>
      </c>
      <c r="HY31" s="373"/>
      <c r="HZ31" s="373">
        <v>1</v>
      </c>
      <c r="IA31" s="618">
        <v>5</v>
      </c>
      <c r="IB31" s="374">
        <v>0</v>
      </c>
      <c r="IC31" s="869">
        <v>9</v>
      </c>
      <c r="ID31" s="373">
        <v>9</v>
      </c>
      <c r="IE31" s="373">
        <v>9</v>
      </c>
      <c r="IF31" s="870">
        <v>6</v>
      </c>
      <c r="IG31" s="373">
        <v>7</v>
      </c>
      <c r="IH31" s="373">
        <v>4</v>
      </c>
      <c r="II31" s="373">
        <v>4</v>
      </c>
      <c r="IJ31" s="618">
        <v>13</v>
      </c>
      <c r="IK31" s="374">
        <v>5</v>
      </c>
      <c r="IL31" s="377"/>
      <c r="IM31" s="373">
        <v>2</v>
      </c>
      <c r="IN31" s="373">
        <v>4</v>
      </c>
      <c r="IO31" s="871"/>
      <c r="IP31" s="871"/>
      <c r="IQ31" s="373">
        <v>1</v>
      </c>
      <c r="IR31" s="373"/>
      <c r="IS31" s="618"/>
      <c r="IT31" s="374">
        <v>1</v>
      </c>
    </row>
    <row r="32" spans="1:254" s="245" customFormat="1" ht="12.75" customHeight="1" x14ac:dyDescent="0.2">
      <c r="A32" s="1052"/>
      <c r="B32" s="868" t="s">
        <v>884</v>
      </c>
      <c r="C32" s="869"/>
      <c r="D32" s="373"/>
      <c r="E32" s="373"/>
      <c r="F32" s="870"/>
      <c r="G32" s="373"/>
      <c r="H32" s="373"/>
      <c r="I32" s="373"/>
      <c r="J32" s="618"/>
      <c r="K32" s="374">
        <v>0</v>
      </c>
      <c r="L32" s="869"/>
      <c r="M32" s="373"/>
      <c r="N32" s="373"/>
      <c r="O32" s="870"/>
      <c r="P32" s="373"/>
      <c r="Q32" s="373"/>
      <c r="R32" s="373"/>
      <c r="S32" s="618"/>
      <c r="T32" s="374">
        <v>0</v>
      </c>
      <c r="U32" s="869"/>
      <c r="V32" s="373"/>
      <c r="W32" s="373"/>
      <c r="X32" s="870"/>
      <c r="Y32" s="373"/>
      <c r="Z32" s="373"/>
      <c r="AA32" s="373"/>
      <c r="AB32" s="618"/>
      <c r="AC32" s="374">
        <v>0</v>
      </c>
      <c r="AD32" s="869"/>
      <c r="AE32" s="373"/>
      <c r="AF32" s="373"/>
      <c r="AG32" s="870"/>
      <c r="AH32" s="373">
        <v>3</v>
      </c>
      <c r="AI32" s="373"/>
      <c r="AJ32" s="373">
        <v>1</v>
      </c>
      <c r="AK32" s="618">
        <v>1</v>
      </c>
      <c r="AL32" s="374">
        <v>0</v>
      </c>
      <c r="AM32" s="869"/>
      <c r="AN32" s="373"/>
      <c r="AO32" s="373"/>
      <c r="AP32" s="870"/>
      <c r="AQ32" s="373">
        <v>2</v>
      </c>
      <c r="AR32" s="373"/>
      <c r="AS32" s="373"/>
      <c r="AT32" s="618"/>
      <c r="AU32" s="374">
        <v>0</v>
      </c>
      <c r="AV32" s="869"/>
      <c r="AW32" s="373"/>
      <c r="AX32" s="373"/>
      <c r="AY32" s="870"/>
      <c r="AZ32" s="373"/>
      <c r="BA32" s="373"/>
      <c r="BB32" s="373"/>
      <c r="BC32" s="618"/>
      <c r="BD32" s="374">
        <v>0</v>
      </c>
      <c r="BE32" s="869"/>
      <c r="BF32" s="373"/>
      <c r="BG32" s="373"/>
      <c r="BH32" s="870"/>
      <c r="BI32" s="373"/>
      <c r="BJ32" s="373"/>
      <c r="BK32" s="373"/>
      <c r="BL32" s="618"/>
      <c r="BM32" s="374">
        <v>0</v>
      </c>
      <c r="BN32" s="869"/>
      <c r="BO32" s="373"/>
      <c r="BP32" s="373"/>
      <c r="BQ32" s="870"/>
      <c r="BR32" s="373"/>
      <c r="BS32" s="373"/>
      <c r="BT32" s="373"/>
      <c r="BU32" s="618"/>
      <c r="BV32" s="374">
        <v>0</v>
      </c>
      <c r="BW32" s="869"/>
      <c r="BX32" s="373"/>
      <c r="BY32" s="373"/>
      <c r="BZ32" s="870">
        <v>1</v>
      </c>
      <c r="CA32" s="373">
        <v>2</v>
      </c>
      <c r="CB32" s="373"/>
      <c r="CC32" s="373">
        <v>1</v>
      </c>
      <c r="CD32" s="618"/>
      <c r="CE32" s="374">
        <v>0</v>
      </c>
      <c r="CF32" s="869"/>
      <c r="CG32" s="373"/>
      <c r="CH32" s="373"/>
      <c r="CI32" s="870"/>
      <c r="CJ32" s="373"/>
      <c r="CK32" s="373"/>
      <c r="CL32" s="373"/>
      <c r="CM32" s="618"/>
      <c r="CN32" s="374">
        <v>0</v>
      </c>
      <c r="CO32" s="869"/>
      <c r="CP32" s="373"/>
      <c r="CQ32" s="373"/>
      <c r="CR32" s="870"/>
      <c r="CS32" s="373"/>
      <c r="CT32" s="373"/>
      <c r="CU32" s="373"/>
      <c r="CV32" s="618"/>
      <c r="CW32" s="374">
        <v>0</v>
      </c>
      <c r="CX32" s="869">
        <v>10</v>
      </c>
      <c r="CY32" s="373">
        <v>1</v>
      </c>
      <c r="CZ32" s="373">
        <v>3</v>
      </c>
      <c r="DA32" s="870">
        <v>6</v>
      </c>
      <c r="DB32" s="373">
        <v>8</v>
      </c>
      <c r="DC32" s="373">
        <v>3</v>
      </c>
      <c r="DD32" s="373"/>
      <c r="DE32" s="618"/>
      <c r="DF32" s="374">
        <v>0</v>
      </c>
      <c r="DG32" s="869"/>
      <c r="DH32" s="373"/>
      <c r="DI32" s="373"/>
      <c r="DJ32" s="870"/>
      <c r="DK32" s="373"/>
      <c r="DL32" s="373"/>
      <c r="DM32" s="373"/>
      <c r="DN32" s="618"/>
      <c r="DO32" s="374">
        <v>0</v>
      </c>
      <c r="DP32" s="869"/>
      <c r="DQ32" s="373"/>
      <c r="DR32" s="373"/>
      <c r="DS32" s="870"/>
      <c r="DT32" s="373"/>
      <c r="DU32" s="373"/>
      <c r="DV32" s="373"/>
      <c r="DW32" s="618"/>
      <c r="DX32" s="374">
        <v>0</v>
      </c>
      <c r="DY32" s="869">
        <v>1</v>
      </c>
      <c r="DZ32" s="373"/>
      <c r="EA32" s="373"/>
      <c r="EB32" s="870">
        <v>1</v>
      </c>
      <c r="EC32" s="373">
        <v>3</v>
      </c>
      <c r="ED32" s="373">
        <v>1</v>
      </c>
      <c r="EE32" s="373"/>
      <c r="EF32" s="618"/>
      <c r="EG32" s="374">
        <v>0</v>
      </c>
      <c r="EH32" s="869"/>
      <c r="EI32" s="373"/>
      <c r="EJ32" s="373"/>
      <c r="EK32" s="870"/>
      <c r="EL32" s="373"/>
      <c r="EM32" s="373"/>
      <c r="EN32" s="373"/>
      <c r="EO32" s="618"/>
      <c r="EP32" s="374">
        <v>0</v>
      </c>
      <c r="EQ32" s="869"/>
      <c r="ER32" s="373"/>
      <c r="ES32" s="373"/>
      <c r="ET32" s="870"/>
      <c r="EU32" s="373"/>
      <c r="EV32" s="373"/>
      <c r="EW32" s="373"/>
      <c r="EX32" s="618"/>
      <c r="EY32" s="374">
        <v>0</v>
      </c>
      <c r="EZ32" s="869"/>
      <c r="FA32" s="373"/>
      <c r="FB32" s="373">
        <v>1</v>
      </c>
      <c r="FC32" s="870"/>
      <c r="FD32" s="373"/>
      <c r="FE32" s="373"/>
      <c r="FF32" s="373"/>
      <c r="FG32" s="618"/>
      <c r="FH32" s="374">
        <v>0</v>
      </c>
      <c r="FI32" s="869"/>
      <c r="FJ32" s="373"/>
      <c r="FK32" s="373">
        <v>1</v>
      </c>
      <c r="FL32" s="870"/>
      <c r="FM32" s="373">
        <v>1</v>
      </c>
      <c r="FN32" s="373"/>
      <c r="FO32" s="373"/>
      <c r="FP32" s="618"/>
      <c r="FQ32" s="374">
        <v>0</v>
      </c>
      <c r="FR32" s="869"/>
      <c r="FS32" s="373"/>
      <c r="FT32" s="373"/>
      <c r="FU32" s="870"/>
      <c r="FV32" s="373"/>
      <c r="FW32" s="373"/>
      <c r="FX32" s="373"/>
      <c r="FY32" s="618"/>
      <c r="FZ32" s="374">
        <v>0</v>
      </c>
      <c r="GA32" s="869"/>
      <c r="GB32" s="373"/>
      <c r="GC32" s="373"/>
      <c r="GD32" s="870"/>
      <c r="GE32" s="373"/>
      <c r="GF32" s="373"/>
      <c r="GG32" s="373"/>
      <c r="GH32" s="618"/>
      <c r="GI32" s="374">
        <v>0</v>
      </c>
      <c r="GJ32" s="869">
        <v>10</v>
      </c>
      <c r="GK32" s="373">
        <v>1</v>
      </c>
      <c r="GL32" s="373">
        <v>5</v>
      </c>
      <c r="GM32" s="870">
        <v>7</v>
      </c>
      <c r="GN32" s="373">
        <v>14</v>
      </c>
      <c r="GO32" s="373">
        <v>3</v>
      </c>
      <c r="GP32" s="373">
        <v>2</v>
      </c>
      <c r="GQ32" s="618">
        <v>1</v>
      </c>
      <c r="GR32" s="374">
        <v>0</v>
      </c>
      <c r="GS32" s="869"/>
      <c r="GT32" s="373"/>
      <c r="GU32" s="373">
        <v>2</v>
      </c>
      <c r="GV32" s="870">
        <v>2</v>
      </c>
      <c r="GW32" s="373">
        <v>1</v>
      </c>
      <c r="GX32" s="373"/>
      <c r="GY32" s="373">
        <v>1</v>
      </c>
      <c r="GZ32" s="618"/>
      <c r="HA32" s="374">
        <v>0</v>
      </c>
      <c r="HB32" s="869"/>
      <c r="HC32" s="373"/>
      <c r="HD32" s="373"/>
      <c r="HE32" s="870"/>
      <c r="HF32" s="373"/>
      <c r="HG32" s="373"/>
      <c r="HH32" s="373"/>
      <c r="HI32" s="618"/>
      <c r="HJ32" s="374">
        <v>0</v>
      </c>
      <c r="HK32" s="869"/>
      <c r="HL32" s="373"/>
      <c r="HM32" s="373"/>
      <c r="HN32" s="870"/>
      <c r="HO32" s="373"/>
      <c r="HP32" s="373"/>
      <c r="HQ32" s="373"/>
      <c r="HR32" s="618"/>
      <c r="HS32" s="374">
        <v>0</v>
      </c>
      <c r="HT32" s="869"/>
      <c r="HU32" s="373">
        <v>1</v>
      </c>
      <c r="HV32" s="373">
        <v>2</v>
      </c>
      <c r="HW32" s="870">
        <v>2</v>
      </c>
      <c r="HX32" s="373">
        <v>2</v>
      </c>
      <c r="HY32" s="373">
        <v>1</v>
      </c>
      <c r="HZ32" s="373">
        <v>1</v>
      </c>
      <c r="IA32" s="618"/>
      <c r="IB32" s="374">
        <v>0</v>
      </c>
      <c r="IC32" s="869">
        <v>11</v>
      </c>
      <c r="ID32" s="373">
        <v>4</v>
      </c>
      <c r="IE32" s="373">
        <v>11</v>
      </c>
      <c r="IF32" s="870">
        <v>9</v>
      </c>
      <c r="IG32" s="373">
        <v>15</v>
      </c>
      <c r="IH32" s="373">
        <v>7</v>
      </c>
      <c r="II32" s="373">
        <v>3</v>
      </c>
      <c r="IJ32" s="618">
        <v>2</v>
      </c>
      <c r="IK32" s="374">
        <v>0</v>
      </c>
      <c r="IL32" s="377">
        <v>7</v>
      </c>
      <c r="IM32" s="373"/>
      <c r="IN32" s="373"/>
      <c r="IO32" s="871">
        <v>1</v>
      </c>
      <c r="IP32" s="871">
        <v>1</v>
      </c>
      <c r="IQ32" s="373">
        <v>1</v>
      </c>
      <c r="IR32" s="373"/>
      <c r="IS32" s="618"/>
      <c r="IT32" s="374">
        <v>0</v>
      </c>
    </row>
    <row r="33" spans="1:254" s="245" customFormat="1" ht="12.75" customHeight="1" x14ac:dyDescent="0.2">
      <c r="A33" s="1052"/>
      <c r="B33" s="868" t="s">
        <v>885</v>
      </c>
      <c r="C33" s="869"/>
      <c r="D33" s="373"/>
      <c r="E33" s="373"/>
      <c r="F33" s="870"/>
      <c r="G33" s="373"/>
      <c r="H33" s="373"/>
      <c r="I33" s="373"/>
      <c r="J33" s="618"/>
      <c r="K33" s="374">
        <v>0</v>
      </c>
      <c r="L33" s="869"/>
      <c r="M33" s="373"/>
      <c r="N33" s="373"/>
      <c r="O33" s="870"/>
      <c r="P33" s="373"/>
      <c r="Q33" s="373"/>
      <c r="R33" s="373"/>
      <c r="S33" s="618"/>
      <c r="T33" s="374">
        <v>0</v>
      </c>
      <c r="U33" s="869"/>
      <c r="V33" s="373"/>
      <c r="W33" s="373"/>
      <c r="X33" s="870"/>
      <c r="Y33" s="373"/>
      <c r="Z33" s="373"/>
      <c r="AA33" s="373"/>
      <c r="AB33" s="618"/>
      <c r="AC33" s="374">
        <v>0</v>
      </c>
      <c r="AD33" s="869">
        <v>1</v>
      </c>
      <c r="AE33" s="373"/>
      <c r="AF33" s="373"/>
      <c r="AG33" s="870">
        <v>1</v>
      </c>
      <c r="AH33" s="373">
        <v>1</v>
      </c>
      <c r="AI33" s="373">
        <v>1</v>
      </c>
      <c r="AJ33" s="373">
        <v>1</v>
      </c>
      <c r="AK33" s="618">
        <v>5</v>
      </c>
      <c r="AL33" s="374">
        <v>0</v>
      </c>
      <c r="AM33" s="869">
        <v>1</v>
      </c>
      <c r="AN33" s="373"/>
      <c r="AO33" s="373"/>
      <c r="AP33" s="870">
        <v>1</v>
      </c>
      <c r="AQ33" s="373">
        <v>1</v>
      </c>
      <c r="AR33" s="373">
        <v>1</v>
      </c>
      <c r="AS33" s="373"/>
      <c r="AT33" s="618">
        <v>1</v>
      </c>
      <c r="AU33" s="374">
        <v>0</v>
      </c>
      <c r="AV33" s="869"/>
      <c r="AW33" s="373"/>
      <c r="AX33" s="373"/>
      <c r="AY33" s="870"/>
      <c r="AZ33" s="373"/>
      <c r="BA33" s="373"/>
      <c r="BB33" s="373"/>
      <c r="BC33" s="618"/>
      <c r="BD33" s="374">
        <v>0</v>
      </c>
      <c r="BE33" s="869"/>
      <c r="BF33" s="373"/>
      <c r="BG33" s="373"/>
      <c r="BH33" s="870"/>
      <c r="BI33" s="373"/>
      <c r="BJ33" s="373"/>
      <c r="BK33" s="373">
        <v>5</v>
      </c>
      <c r="BL33" s="618">
        <v>1</v>
      </c>
      <c r="BM33" s="374">
        <v>2</v>
      </c>
      <c r="BN33" s="869"/>
      <c r="BO33" s="373"/>
      <c r="BP33" s="373"/>
      <c r="BQ33" s="870"/>
      <c r="BR33" s="373"/>
      <c r="BS33" s="373"/>
      <c r="BT33" s="373"/>
      <c r="BU33" s="618"/>
      <c r="BV33" s="374">
        <v>0</v>
      </c>
      <c r="BW33" s="869"/>
      <c r="BX33" s="373">
        <v>1</v>
      </c>
      <c r="BY33" s="373">
        <v>3</v>
      </c>
      <c r="BZ33" s="870">
        <v>1</v>
      </c>
      <c r="CA33" s="373">
        <v>1</v>
      </c>
      <c r="CB33" s="373">
        <v>4</v>
      </c>
      <c r="CC33" s="373">
        <v>1</v>
      </c>
      <c r="CD33" s="618">
        <v>4</v>
      </c>
      <c r="CE33" s="374">
        <v>1</v>
      </c>
      <c r="CF33" s="869"/>
      <c r="CG33" s="373"/>
      <c r="CH33" s="373"/>
      <c r="CI33" s="870"/>
      <c r="CJ33" s="373"/>
      <c r="CK33" s="373"/>
      <c r="CL33" s="373"/>
      <c r="CM33" s="618"/>
      <c r="CN33" s="374">
        <v>0</v>
      </c>
      <c r="CO33" s="869"/>
      <c r="CP33" s="373"/>
      <c r="CQ33" s="373"/>
      <c r="CR33" s="870"/>
      <c r="CS33" s="373"/>
      <c r="CT33" s="373"/>
      <c r="CU33" s="373"/>
      <c r="CV33" s="618"/>
      <c r="CW33" s="374">
        <v>0</v>
      </c>
      <c r="CX33" s="869">
        <v>11</v>
      </c>
      <c r="CY33" s="373">
        <v>10</v>
      </c>
      <c r="CZ33" s="373">
        <v>8</v>
      </c>
      <c r="DA33" s="870">
        <v>5</v>
      </c>
      <c r="DB33" s="373">
        <v>2</v>
      </c>
      <c r="DC33" s="373">
        <v>1</v>
      </c>
      <c r="DD33" s="373">
        <v>1</v>
      </c>
      <c r="DE33" s="618">
        <v>4</v>
      </c>
      <c r="DF33" s="374">
        <v>1</v>
      </c>
      <c r="DG33" s="869"/>
      <c r="DH33" s="373"/>
      <c r="DI33" s="373"/>
      <c r="DJ33" s="870"/>
      <c r="DK33" s="373"/>
      <c r="DL33" s="373"/>
      <c r="DM33" s="373"/>
      <c r="DN33" s="618"/>
      <c r="DO33" s="374">
        <v>0</v>
      </c>
      <c r="DP33" s="869"/>
      <c r="DQ33" s="373"/>
      <c r="DR33" s="373"/>
      <c r="DS33" s="870"/>
      <c r="DT33" s="373">
        <v>1</v>
      </c>
      <c r="DU33" s="373"/>
      <c r="DV33" s="373"/>
      <c r="DW33" s="618"/>
      <c r="DX33" s="374">
        <v>0</v>
      </c>
      <c r="DY33" s="869">
        <v>1</v>
      </c>
      <c r="DZ33" s="373"/>
      <c r="EA33" s="373">
        <v>1</v>
      </c>
      <c r="EB33" s="870"/>
      <c r="EC33" s="373"/>
      <c r="ED33" s="373"/>
      <c r="EE33" s="373"/>
      <c r="EF33" s="618"/>
      <c r="EG33" s="374">
        <v>0</v>
      </c>
      <c r="EH33" s="869"/>
      <c r="EI33" s="373">
        <v>1</v>
      </c>
      <c r="EJ33" s="373"/>
      <c r="EK33" s="870"/>
      <c r="EL33" s="373"/>
      <c r="EM33" s="373"/>
      <c r="EN33" s="373"/>
      <c r="EO33" s="618"/>
      <c r="EP33" s="374">
        <v>0</v>
      </c>
      <c r="EQ33" s="869"/>
      <c r="ER33" s="373"/>
      <c r="ES33" s="373"/>
      <c r="ET33" s="870"/>
      <c r="EU33" s="373"/>
      <c r="EV33" s="373"/>
      <c r="EW33" s="373"/>
      <c r="EX33" s="618"/>
      <c r="EY33" s="374">
        <v>0</v>
      </c>
      <c r="EZ33" s="869"/>
      <c r="FA33" s="373"/>
      <c r="FB33" s="373"/>
      <c r="FC33" s="870"/>
      <c r="FD33" s="373"/>
      <c r="FE33" s="373"/>
      <c r="FF33" s="373"/>
      <c r="FG33" s="618"/>
      <c r="FH33" s="374">
        <v>0</v>
      </c>
      <c r="FI33" s="869"/>
      <c r="FJ33" s="373"/>
      <c r="FK33" s="373">
        <v>1</v>
      </c>
      <c r="FL33" s="870">
        <v>1</v>
      </c>
      <c r="FM33" s="373">
        <v>1</v>
      </c>
      <c r="FN33" s="373"/>
      <c r="FO33" s="373"/>
      <c r="FP33" s="618"/>
      <c r="FQ33" s="374">
        <v>0</v>
      </c>
      <c r="FR33" s="869"/>
      <c r="FS33" s="373"/>
      <c r="FT33" s="373"/>
      <c r="FU33" s="870"/>
      <c r="FV33" s="373"/>
      <c r="FW33" s="373"/>
      <c r="FX33" s="373">
        <v>1</v>
      </c>
      <c r="FY33" s="618"/>
      <c r="FZ33" s="374">
        <v>0</v>
      </c>
      <c r="GA33" s="869"/>
      <c r="GB33" s="373"/>
      <c r="GC33" s="373"/>
      <c r="GD33" s="870"/>
      <c r="GE33" s="373"/>
      <c r="GF33" s="373"/>
      <c r="GG33" s="373"/>
      <c r="GH33" s="618"/>
      <c r="GI33" s="374">
        <v>0</v>
      </c>
      <c r="GJ33" s="869">
        <v>12</v>
      </c>
      <c r="GK33" s="373">
        <v>12</v>
      </c>
      <c r="GL33" s="373">
        <v>12</v>
      </c>
      <c r="GM33" s="870">
        <v>8</v>
      </c>
      <c r="GN33" s="373">
        <v>5</v>
      </c>
      <c r="GO33" s="373">
        <v>6</v>
      </c>
      <c r="GP33" s="373">
        <v>9</v>
      </c>
      <c r="GQ33" s="618">
        <v>14</v>
      </c>
      <c r="GR33" s="374">
        <v>4</v>
      </c>
      <c r="GS33" s="869">
        <v>1</v>
      </c>
      <c r="GT33" s="373">
        <v>1</v>
      </c>
      <c r="GU33" s="373">
        <v>3</v>
      </c>
      <c r="GV33" s="870">
        <v>2</v>
      </c>
      <c r="GW33" s="373">
        <v>2</v>
      </c>
      <c r="GX33" s="373">
        <v>3</v>
      </c>
      <c r="GY33" s="373">
        <v>1</v>
      </c>
      <c r="GZ33" s="618">
        <v>5</v>
      </c>
      <c r="HA33" s="374">
        <v>2</v>
      </c>
      <c r="HB33" s="869"/>
      <c r="HC33" s="373"/>
      <c r="HD33" s="373"/>
      <c r="HE33" s="870"/>
      <c r="HF33" s="373"/>
      <c r="HG33" s="373"/>
      <c r="HH33" s="373"/>
      <c r="HI33" s="618"/>
      <c r="HJ33" s="374">
        <v>0</v>
      </c>
      <c r="HK33" s="869"/>
      <c r="HL33" s="373"/>
      <c r="HM33" s="373"/>
      <c r="HN33" s="870"/>
      <c r="HO33" s="373"/>
      <c r="HP33" s="373"/>
      <c r="HQ33" s="373"/>
      <c r="HR33" s="618"/>
      <c r="HS33" s="374">
        <v>0</v>
      </c>
      <c r="HT33" s="869">
        <v>1</v>
      </c>
      <c r="HU33" s="373">
        <v>2</v>
      </c>
      <c r="HV33" s="373">
        <v>3</v>
      </c>
      <c r="HW33" s="870">
        <v>3</v>
      </c>
      <c r="HX33" s="373">
        <v>3</v>
      </c>
      <c r="HY33" s="373">
        <v>4</v>
      </c>
      <c r="HZ33" s="373">
        <v>2</v>
      </c>
      <c r="IA33" s="618">
        <v>7</v>
      </c>
      <c r="IB33" s="374">
        <v>3</v>
      </c>
      <c r="IC33" s="869">
        <v>15</v>
      </c>
      <c r="ID33" s="373">
        <v>15</v>
      </c>
      <c r="IE33" s="373">
        <v>16</v>
      </c>
      <c r="IF33" s="870">
        <v>14</v>
      </c>
      <c r="IG33" s="373">
        <v>12</v>
      </c>
      <c r="IH33" s="373">
        <v>15</v>
      </c>
      <c r="II33" s="373">
        <v>13</v>
      </c>
      <c r="IJ33" s="618">
        <v>26</v>
      </c>
      <c r="IK33" s="374">
        <v>13</v>
      </c>
      <c r="IL33" s="377">
        <v>4</v>
      </c>
      <c r="IM33" s="373">
        <v>3</v>
      </c>
      <c r="IN33" s="373">
        <v>1</v>
      </c>
      <c r="IO33" s="871"/>
      <c r="IP33" s="871"/>
      <c r="IQ33" s="373"/>
      <c r="IR33" s="373"/>
      <c r="IS33" s="618"/>
      <c r="IT33" s="374">
        <v>0</v>
      </c>
    </row>
    <row r="34" spans="1:254" s="245" customFormat="1" ht="12.75" customHeight="1" x14ac:dyDescent="0.2">
      <c r="A34" s="1052"/>
      <c r="B34" s="868" t="s">
        <v>886</v>
      </c>
      <c r="C34" s="869"/>
      <c r="D34" s="373"/>
      <c r="E34" s="373"/>
      <c r="F34" s="870"/>
      <c r="G34" s="373"/>
      <c r="H34" s="373"/>
      <c r="I34" s="373"/>
      <c r="J34" s="618"/>
      <c r="K34" s="374">
        <v>0</v>
      </c>
      <c r="L34" s="869"/>
      <c r="M34" s="373"/>
      <c r="N34" s="373"/>
      <c r="O34" s="870"/>
      <c r="P34" s="373"/>
      <c r="Q34" s="373"/>
      <c r="R34" s="373"/>
      <c r="S34" s="618"/>
      <c r="T34" s="374">
        <v>0</v>
      </c>
      <c r="U34" s="869"/>
      <c r="V34" s="373"/>
      <c r="W34" s="373"/>
      <c r="X34" s="870"/>
      <c r="Y34" s="373"/>
      <c r="Z34" s="373"/>
      <c r="AA34" s="373"/>
      <c r="AB34" s="618"/>
      <c r="AC34" s="374">
        <v>0</v>
      </c>
      <c r="AD34" s="869"/>
      <c r="AE34" s="373"/>
      <c r="AF34" s="373"/>
      <c r="AG34" s="870"/>
      <c r="AH34" s="373"/>
      <c r="AI34" s="373">
        <v>1</v>
      </c>
      <c r="AJ34" s="373"/>
      <c r="AK34" s="618"/>
      <c r="AL34" s="374">
        <v>0</v>
      </c>
      <c r="AM34" s="869"/>
      <c r="AN34" s="373"/>
      <c r="AO34" s="373"/>
      <c r="AP34" s="870"/>
      <c r="AQ34" s="373"/>
      <c r="AR34" s="373">
        <v>1</v>
      </c>
      <c r="AS34" s="373"/>
      <c r="AT34" s="618"/>
      <c r="AU34" s="374">
        <v>0</v>
      </c>
      <c r="AV34" s="869"/>
      <c r="AW34" s="373"/>
      <c r="AX34" s="373"/>
      <c r="AY34" s="870"/>
      <c r="AZ34" s="373"/>
      <c r="BA34" s="373"/>
      <c r="BB34" s="373"/>
      <c r="BC34" s="618"/>
      <c r="BD34" s="374">
        <v>0</v>
      </c>
      <c r="BE34" s="869"/>
      <c r="BF34" s="373"/>
      <c r="BG34" s="373"/>
      <c r="BH34" s="870"/>
      <c r="BI34" s="373"/>
      <c r="BJ34" s="373"/>
      <c r="BK34" s="373"/>
      <c r="BL34" s="618"/>
      <c r="BM34" s="374">
        <v>0</v>
      </c>
      <c r="BN34" s="869"/>
      <c r="BO34" s="373"/>
      <c r="BP34" s="373"/>
      <c r="BQ34" s="870"/>
      <c r="BR34" s="373"/>
      <c r="BS34" s="373"/>
      <c r="BT34" s="373"/>
      <c r="BU34" s="618"/>
      <c r="BV34" s="374">
        <v>0</v>
      </c>
      <c r="BW34" s="869"/>
      <c r="BX34" s="373"/>
      <c r="BY34" s="373"/>
      <c r="BZ34" s="870">
        <v>1</v>
      </c>
      <c r="CA34" s="373"/>
      <c r="CB34" s="373"/>
      <c r="CC34" s="373"/>
      <c r="CD34" s="618"/>
      <c r="CE34" s="374">
        <v>0</v>
      </c>
      <c r="CF34" s="869"/>
      <c r="CG34" s="373"/>
      <c r="CH34" s="373"/>
      <c r="CI34" s="870"/>
      <c r="CJ34" s="373"/>
      <c r="CK34" s="373"/>
      <c r="CL34" s="373"/>
      <c r="CM34" s="618"/>
      <c r="CN34" s="374">
        <v>0</v>
      </c>
      <c r="CO34" s="869"/>
      <c r="CP34" s="373"/>
      <c r="CQ34" s="373"/>
      <c r="CR34" s="870"/>
      <c r="CS34" s="373"/>
      <c r="CT34" s="373"/>
      <c r="CU34" s="373"/>
      <c r="CV34" s="618"/>
      <c r="CW34" s="374">
        <v>0</v>
      </c>
      <c r="CX34" s="869">
        <v>1</v>
      </c>
      <c r="CY34" s="373">
        <v>3</v>
      </c>
      <c r="CZ34" s="373">
        <v>2</v>
      </c>
      <c r="DA34" s="870">
        <v>2</v>
      </c>
      <c r="DB34" s="373">
        <v>1</v>
      </c>
      <c r="DC34" s="373">
        <v>1</v>
      </c>
      <c r="DD34" s="373">
        <v>1</v>
      </c>
      <c r="DE34" s="618"/>
      <c r="DF34" s="374">
        <v>0</v>
      </c>
      <c r="DG34" s="869"/>
      <c r="DH34" s="373"/>
      <c r="DI34" s="373"/>
      <c r="DJ34" s="870"/>
      <c r="DK34" s="373"/>
      <c r="DL34" s="373"/>
      <c r="DM34" s="373"/>
      <c r="DN34" s="618"/>
      <c r="DO34" s="374">
        <v>0</v>
      </c>
      <c r="DP34" s="869"/>
      <c r="DQ34" s="373"/>
      <c r="DR34" s="373"/>
      <c r="DS34" s="870"/>
      <c r="DT34" s="373"/>
      <c r="DU34" s="373"/>
      <c r="DV34" s="373"/>
      <c r="DW34" s="618"/>
      <c r="DX34" s="374">
        <v>0</v>
      </c>
      <c r="DY34" s="869"/>
      <c r="DZ34" s="373">
        <v>1</v>
      </c>
      <c r="EA34" s="373">
        <v>1</v>
      </c>
      <c r="EB34" s="870">
        <v>1</v>
      </c>
      <c r="EC34" s="373"/>
      <c r="ED34" s="373"/>
      <c r="EE34" s="373"/>
      <c r="EF34" s="618"/>
      <c r="EG34" s="374">
        <v>0</v>
      </c>
      <c r="EH34" s="869"/>
      <c r="EI34" s="373"/>
      <c r="EJ34" s="373"/>
      <c r="EK34" s="870"/>
      <c r="EL34" s="373"/>
      <c r="EM34" s="373"/>
      <c r="EN34" s="373"/>
      <c r="EO34" s="618"/>
      <c r="EP34" s="374">
        <v>0</v>
      </c>
      <c r="EQ34" s="869"/>
      <c r="ER34" s="373"/>
      <c r="ES34" s="373"/>
      <c r="ET34" s="870"/>
      <c r="EU34" s="373"/>
      <c r="EV34" s="373"/>
      <c r="EW34" s="373"/>
      <c r="EX34" s="618"/>
      <c r="EY34" s="374">
        <v>0</v>
      </c>
      <c r="EZ34" s="869"/>
      <c r="FA34" s="373"/>
      <c r="FB34" s="373"/>
      <c r="FC34" s="870"/>
      <c r="FD34" s="373"/>
      <c r="FE34" s="373"/>
      <c r="FF34" s="373"/>
      <c r="FG34" s="618"/>
      <c r="FH34" s="374">
        <v>0</v>
      </c>
      <c r="FI34" s="869"/>
      <c r="FJ34" s="373"/>
      <c r="FK34" s="373"/>
      <c r="FL34" s="870"/>
      <c r="FM34" s="373"/>
      <c r="FN34" s="373"/>
      <c r="FO34" s="373"/>
      <c r="FP34" s="618"/>
      <c r="FQ34" s="374">
        <v>0</v>
      </c>
      <c r="FR34" s="869"/>
      <c r="FS34" s="373"/>
      <c r="FT34" s="373"/>
      <c r="FU34" s="870"/>
      <c r="FV34" s="373"/>
      <c r="FW34" s="373"/>
      <c r="FX34" s="373"/>
      <c r="FY34" s="618"/>
      <c r="FZ34" s="374">
        <v>0</v>
      </c>
      <c r="GA34" s="869"/>
      <c r="GB34" s="373"/>
      <c r="GC34" s="373"/>
      <c r="GD34" s="870"/>
      <c r="GE34" s="373"/>
      <c r="GF34" s="373"/>
      <c r="GG34" s="373"/>
      <c r="GH34" s="618"/>
      <c r="GI34" s="374">
        <v>0</v>
      </c>
      <c r="GJ34" s="869">
        <v>1</v>
      </c>
      <c r="GK34" s="373">
        <v>3</v>
      </c>
      <c r="GL34" s="373">
        <v>2</v>
      </c>
      <c r="GM34" s="870">
        <v>3</v>
      </c>
      <c r="GN34" s="373">
        <v>1</v>
      </c>
      <c r="GO34" s="373">
        <v>2</v>
      </c>
      <c r="GP34" s="373">
        <v>1</v>
      </c>
      <c r="GQ34" s="618"/>
      <c r="GR34" s="374">
        <v>0</v>
      </c>
      <c r="GS34" s="869">
        <v>1</v>
      </c>
      <c r="GT34" s="373">
        <v>1</v>
      </c>
      <c r="GU34" s="373">
        <v>1</v>
      </c>
      <c r="GV34" s="870">
        <v>1</v>
      </c>
      <c r="GW34" s="373"/>
      <c r="GX34" s="373"/>
      <c r="GY34" s="373"/>
      <c r="GZ34" s="618"/>
      <c r="HA34" s="374">
        <v>0</v>
      </c>
      <c r="HB34" s="869"/>
      <c r="HC34" s="373"/>
      <c r="HD34" s="373"/>
      <c r="HE34" s="870"/>
      <c r="HF34" s="373"/>
      <c r="HG34" s="373"/>
      <c r="HH34" s="373"/>
      <c r="HI34" s="618"/>
      <c r="HJ34" s="374">
        <v>0</v>
      </c>
      <c r="HK34" s="869"/>
      <c r="HL34" s="373"/>
      <c r="HM34" s="373"/>
      <c r="HN34" s="870"/>
      <c r="HO34" s="373"/>
      <c r="HP34" s="373"/>
      <c r="HQ34" s="373"/>
      <c r="HR34" s="618"/>
      <c r="HS34" s="374">
        <v>0</v>
      </c>
      <c r="HT34" s="869">
        <v>1</v>
      </c>
      <c r="HU34" s="373">
        <v>1</v>
      </c>
      <c r="HV34" s="373">
        <v>1</v>
      </c>
      <c r="HW34" s="870">
        <v>1</v>
      </c>
      <c r="HX34" s="373"/>
      <c r="HY34" s="373"/>
      <c r="HZ34" s="373"/>
      <c r="IA34" s="618"/>
      <c r="IB34" s="374">
        <v>0</v>
      </c>
      <c r="IC34" s="869">
        <v>1</v>
      </c>
      <c r="ID34" s="373">
        <v>4</v>
      </c>
      <c r="IE34" s="373">
        <v>2</v>
      </c>
      <c r="IF34" s="870">
        <v>3</v>
      </c>
      <c r="IG34" s="373">
        <v>3</v>
      </c>
      <c r="IH34" s="373">
        <v>2</v>
      </c>
      <c r="II34" s="373">
        <v>1</v>
      </c>
      <c r="IJ34" s="618"/>
      <c r="IK34" s="374">
        <v>0</v>
      </c>
      <c r="IL34" s="377"/>
      <c r="IM34" s="373">
        <v>1</v>
      </c>
      <c r="IN34" s="373">
        <v>1</v>
      </c>
      <c r="IO34" s="871"/>
      <c r="IP34" s="871"/>
      <c r="IQ34" s="373">
        <v>1</v>
      </c>
      <c r="IR34" s="373"/>
      <c r="IS34" s="618"/>
      <c r="IT34" s="374">
        <v>0</v>
      </c>
    </row>
    <row r="35" spans="1:254" s="245" customFormat="1" ht="12.75" customHeight="1" x14ac:dyDescent="0.2">
      <c r="A35" s="1052"/>
      <c r="B35" s="868" t="s">
        <v>887</v>
      </c>
      <c r="C35" s="869"/>
      <c r="D35" s="373"/>
      <c r="E35" s="373"/>
      <c r="F35" s="870"/>
      <c r="G35" s="373"/>
      <c r="H35" s="373"/>
      <c r="I35" s="373"/>
      <c r="J35" s="618"/>
      <c r="K35" s="374">
        <v>0</v>
      </c>
      <c r="L35" s="869"/>
      <c r="M35" s="373"/>
      <c r="N35" s="373"/>
      <c r="O35" s="870"/>
      <c r="P35" s="373"/>
      <c r="Q35" s="373"/>
      <c r="R35" s="373"/>
      <c r="S35" s="618"/>
      <c r="T35" s="374">
        <v>0</v>
      </c>
      <c r="U35" s="869"/>
      <c r="V35" s="373"/>
      <c r="W35" s="373"/>
      <c r="X35" s="870"/>
      <c r="Y35" s="373"/>
      <c r="Z35" s="373"/>
      <c r="AA35" s="373"/>
      <c r="AB35" s="618"/>
      <c r="AC35" s="374">
        <v>0</v>
      </c>
      <c r="AD35" s="869"/>
      <c r="AE35" s="373"/>
      <c r="AF35" s="373"/>
      <c r="AG35" s="870"/>
      <c r="AH35" s="373"/>
      <c r="AI35" s="373"/>
      <c r="AJ35" s="373"/>
      <c r="AK35" s="618"/>
      <c r="AL35" s="374">
        <v>0</v>
      </c>
      <c r="AM35" s="869"/>
      <c r="AN35" s="373"/>
      <c r="AO35" s="373"/>
      <c r="AP35" s="870"/>
      <c r="AQ35" s="373"/>
      <c r="AR35" s="373"/>
      <c r="AS35" s="373"/>
      <c r="AT35" s="618"/>
      <c r="AU35" s="374">
        <v>0</v>
      </c>
      <c r="AV35" s="869"/>
      <c r="AW35" s="373"/>
      <c r="AX35" s="373"/>
      <c r="AY35" s="870"/>
      <c r="AZ35" s="373"/>
      <c r="BA35" s="373"/>
      <c r="BB35" s="373"/>
      <c r="BC35" s="618"/>
      <c r="BD35" s="374">
        <v>0</v>
      </c>
      <c r="BE35" s="869"/>
      <c r="BF35" s="373"/>
      <c r="BG35" s="373"/>
      <c r="BH35" s="870"/>
      <c r="BI35" s="373"/>
      <c r="BJ35" s="373"/>
      <c r="BK35" s="373"/>
      <c r="BL35" s="618"/>
      <c r="BM35" s="374">
        <v>0</v>
      </c>
      <c r="BN35" s="869"/>
      <c r="BO35" s="373"/>
      <c r="BP35" s="373"/>
      <c r="BQ35" s="870"/>
      <c r="BR35" s="373"/>
      <c r="BS35" s="373"/>
      <c r="BT35" s="373"/>
      <c r="BU35" s="618"/>
      <c r="BV35" s="374">
        <v>0</v>
      </c>
      <c r="BW35" s="869"/>
      <c r="BX35" s="373"/>
      <c r="BY35" s="373"/>
      <c r="BZ35" s="870"/>
      <c r="CA35" s="373"/>
      <c r="CB35" s="373"/>
      <c r="CC35" s="373"/>
      <c r="CD35" s="618"/>
      <c r="CE35" s="374">
        <v>0</v>
      </c>
      <c r="CF35" s="869"/>
      <c r="CG35" s="373"/>
      <c r="CH35" s="373"/>
      <c r="CI35" s="870"/>
      <c r="CJ35" s="373"/>
      <c r="CK35" s="373"/>
      <c r="CL35" s="373"/>
      <c r="CM35" s="618"/>
      <c r="CN35" s="374">
        <v>0</v>
      </c>
      <c r="CO35" s="869"/>
      <c r="CP35" s="373"/>
      <c r="CQ35" s="373"/>
      <c r="CR35" s="870"/>
      <c r="CS35" s="373"/>
      <c r="CT35" s="373"/>
      <c r="CU35" s="373"/>
      <c r="CV35" s="618"/>
      <c r="CW35" s="374">
        <v>0</v>
      </c>
      <c r="CX35" s="869"/>
      <c r="CY35" s="373">
        <v>2</v>
      </c>
      <c r="CZ35" s="373"/>
      <c r="DA35" s="870">
        <v>3</v>
      </c>
      <c r="DB35" s="373">
        <v>1</v>
      </c>
      <c r="DC35" s="373">
        <v>1</v>
      </c>
      <c r="DD35" s="373"/>
      <c r="DE35" s="618"/>
      <c r="DF35" s="374">
        <v>1</v>
      </c>
      <c r="DG35" s="869"/>
      <c r="DH35" s="373"/>
      <c r="DI35" s="373"/>
      <c r="DJ35" s="870"/>
      <c r="DK35" s="373"/>
      <c r="DL35" s="373"/>
      <c r="DM35" s="373"/>
      <c r="DN35" s="618"/>
      <c r="DO35" s="374">
        <v>0</v>
      </c>
      <c r="DP35" s="869"/>
      <c r="DQ35" s="373"/>
      <c r="DR35" s="373"/>
      <c r="DS35" s="870"/>
      <c r="DT35" s="373"/>
      <c r="DU35" s="373"/>
      <c r="DV35" s="373"/>
      <c r="DW35" s="618"/>
      <c r="DX35" s="374">
        <v>0</v>
      </c>
      <c r="DY35" s="869"/>
      <c r="DZ35" s="373"/>
      <c r="EA35" s="373"/>
      <c r="EB35" s="870"/>
      <c r="EC35" s="373"/>
      <c r="ED35" s="373"/>
      <c r="EE35" s="373"/>
      <c r="EF35" s="618"/>
      <c r="EG35" s="374">
        <v>1</v>
      </c>
      <c r="EH35" s="869"/>
      <c r="EI35" s="373"/>
      <c r="EJ35" s="373"/>
      <c r="EK35" s="870"/>
      <c r="EL35" s="373"/>
      <c r="EM35" s="373"/>
      <c r="EN35" s="373"/>
      <c r="EO35" s="618"/>
      <c r="EP35" s="374">
        <v>0</v>
      </c>
      <c r="EQ35" s="869"/>
      <c r="ER35" s="373"/>
      <c r="ES35" s="373"/>
      <c r="ET35" s="870"/>
      <c r="EU35" s="373"/>
      <c r="EV35" s="373"/>
      <c r="EW35" s="373"/>
      <c r="EX35" s="618"/>
      <c r="EY35" s="374">
        <v>0</v>
      </c>
      <c r="EZ35" s="869"/>
      <c r="FA35" s="373"/>
      <c r="FB35" s="373"/>
      <c r="FC35" s="870"/>
      <c r="FD35" s="373"/>
      <c r="FE35" s="373"/>
      <c r="FF35" s="373"/>
      <c r="FG35" s="618"/>
      <c r="FH35" s="374">
        <v>0</v>
      </c>
      <c r="FI35" s="869"/>
      <c r="FJ35" s="373"/>
      <c r="FK35" s="373"/>
      <c r="FL35" s="870">
        <v>1</v>
      </c>
      <c r="FM35" s="373"/>
      <c r="FN35" s="373"/>
      <c r="FO35" s="373"/>
      <c r="FP35" s="618"/>
      <c r="FQ35" s="374">
        <v>0</v>
      </c>
      <c r="FR35" s="869"/>
      <c r="FS35" s="373"/>
      <c r="FT35" s="373"/>
      <c r="FU35" s="870"/>
      <c r="FV35" s="373"/>
      <c r="FW35" s="373"/>
      <c r="FX35" s="373"/>
      <c r="FY35" s="618"/>
      <c r="FZ35" s="374">
        <v>0</v>
      </c>
      <c r="GA35" s="869"/>
      <c r="GB35" s="373"/>
      <c r="GC35" s="373"/>
      <c r="GD35" s="870"/>
      <c r="GE35" s="373"/>
      <c r="GF35" s="373"/>
      <c r="GG35" s="373"/>
      <c r="GH35" s="618"/>
      <c r="GI35" s="374">
        <v>0</v>
      </c>
      <c r="GJ35" s="869"/>
      <c r="GK35" s="373">
        <v>2</v>
      </c>
      <c r="GL35" s="373"/>
      <c r="GM35" s="870">
        <v>4</v>
      </c>
      <c r="GN35" s="373">
        <v>1</v>
      </c>
      <c r="GO35" s="373">
        <v>1</v>
      </c>
      <c r="GP35" s="373"/>
      <c r="GQ35" s="618"/>
      <c r="GR35" s="374">
        <v>1</v>
      </c>
      <c r="GS35" s="869"/>
      <c r="GT35" s="373">
        <v>1</v>
      </c>
      <c r="GU35" s="373"/>
      <c r="GV35" s="870">
        <v>3</v>
      </c>
      <c r="GW35" s="373"/>
      <c r="GX35" s="373">
        <v>1</v>
      </c>
      <c r="GY35" s="373"/>
      <c r="GZ35" s="618"/>
      <c r="HA35" s="374">
        <v>0</v>
      </c>
      <c r="HB35" s="869"/>
      <c r="HC35" s="373"/>
      <c r="HD35" s="373"/>
      <c r="HE35" s="870"/>
      <c r="HF35" s="373"/>
      <c r="HG35" s="373"/>
      <c r="HH35" s="373"/>
      <c r="HI35" s="618"/>
      <c r="HJ35" s="374">
        <v>0</v>
      </c>
      <c r="HK35" s="869"/>
      <c r="HL35" s="373"/>
      <c r="HM35" s="373"/>
      <c r="HN35" s="870"/>
      <c r="HO35" s="373"/>
      <c r="HP35" s="373"/>
      <c r="HQ35" s="373"/>
      <c r="HR35" s="618"/>
      <c r="HS35" s="374">
        <v>0</v>
      </c>
      <c r="HT35" s="869"/>
      <c r="HU35" s="373">
        <v>1</v>
      </c>
      <c r="HV35" s="373"/>
      <c r="HW35" s="870">
        <v>3</v>
      </c>
      <c r="HX35" s="373">
        <v>1</v>
      </c>
      <c r="HY35" s="373">
        <v>1</v>
      </c>
      <c r="HZ35" s="373"/>
      <c r="IA35" s="618"/>
      <c r="IB35" s="374">
        <v>2</v>
      </c>
      <c r="IC35" s="869"/>
      <c r="ID35" s="373">
        <v>3</v>
      </c>
      <c r="IE35" s="373"/>
      <c r="IF35" s="870">
        <v>4</v>
      </c>
      <c r="IG35" s="373">
        <v>2</v>
      </c>
      <c r="IH35" s="373">
        <v>1</v>
      </c>
      <c r="II35" s="373">
        <v>1</v>
      </c>
      <c r="IJ35" s="618">
        <v>3</v>
      </c>
      <c r="IK35" s="374">
        <v>5</v>
      </c>
      <c r="IL35" s="377"/>
      <c r="IM35" s="373">
        <v>1</v>
      </c>
      <c r="IN35" s="373"/>
      <c r="IO35" s="871"/>
      <c r="IP35" s="871"/>
      <c r="IQ35" s="373"/>
      <c r="IR35" s="373"/>
      <c r="IS35" s="618"/>
      <c r="IT35" s="374">
        <v>1</v>
      </c>
    </row>
    <row r="36" spans="1:254" s="245" customFormat="1" ht="12.75" customHeight="1" x14ac:dyDescent="0.2">
      <c r="A36" s="1052"/>
      <c r="B36" s="868" t="s">
        <v>888</v>
      </c>
      <c r="C36" s="869"/>
      <c r="D36" s="373"/>
      <c r="E36" s="373"/>
      <c r="F36" s="870"/>
      <c r="G36" s="373"/>
      <c r="H36" s="373"/>
      <c r="I36" s="373"/>
      <c r="J36" s="618"/>
      <c r="K36" s="374">
        <v>0</v>
      </c>
      <c r="L36" s="869"/>
      <c r="M36" s="373"/>
      <c r="N36" s="373"/>
      <c r="O36" s="870"/>
      <c r="P36" s="373"/>
      <c r="Q36" s="373"/>
      <c r="R36" s="373"/>
      <c r="S36" s="618"/>
      <c r="T36" s="374">
        <v>0</v>
      </c>
      <c r="U36" s="869"/>
      <c r="V36" s="373"/>
      <c r="W36" s="373"/>
      <c r="X36" s="870"/>
      <c r="Y36" s="373"/>
      <c r="Z36" s="373"/>
      <c r="AA36" s="373"/>
      <c r="AB36" s="618"/>
      <c r="AC36" s="374">
        <v>0</v>
      </c>
      <c r="AD36" s="869"/>
      <c r="AE36" s="373"/>
      <c r="AF36" s="373"/>
      <c r="AG36" s="870"/>
      <c r="AH36" s="373"/>
      <c r="AI36" s="373"/>
      <c r="AJ36" s="373"/>
      <c r="AK36" s="618"/>
      <c r="AL36" s="374">
        <v>0</v>
      </c>
      <c r="AM36" s="869"/>
      <c r="AN36" s="373"/>
      <c r="AO36" s="373"/>
      <c r="AP36" s="870"/>
      <c r="AQ36" s="373"/>
      <c r="AR36" s="373"/>
      <c r="AS36" s="373"/>
      <c r="AT36" s="618"/>
      <c r="AU36" s="374">
        <v>0</v>
      </c>
      <c r="AV36" s="869"/>
      <c r="AW36" s="373"/>
      <c r="AX36" s="373"/>
      <c r="AY36" s="870"/>
      <c r="AZ36" s="373"/>
      <c r="BA36" s="373"/>
      <c r="BB36" s="373"/>
      <c r="BC36" s="618"/>
      <c r="BD36" s="374">
        <v>0</v>
      </c>
      <c r="BE36" s="869"/>
      <c r="BF36" s="373"/>
      <c r="BG36" s="373"/>
      <c r="BH36" s="870"/>
      <c r="BI36" s="373"/>
      <c r="BJ36" s="373"/>
      <c r="BK36" s="373"/>
      <c r="BL36" s="618"/>
      <c r="BM36" s="374">
        <v>0</v>
      </c>
      <c r="BN36" s="869"/>
      <c r="BO36" s="373"/>
      <c r="BP36" s="373"/>
      <c r="BQ36" s="870"/>
      <c r="BR36" s="373"/>
      <c r="BS36" s="373"/>
      <c r="BT36" s="373"/>
      <c r="BU36" s="618"/>
      <c r="BV36" s="374">
        <v>0</v>
      </c>
      <c r="BW36" s="869"/>
      <c r="BX36" s="373"/>
      <c r="BY36" s="373"/>
      <c r="BZ36" s="870"/>
      <c r="CA36" s="373"/>
      <c r="CB36" s="373"/>
      <c r="CC36" s="373"/>
      <c r="CD36" s="618"/>
      <c r="CE36" s="374">
        <v>0</v>
      </c>
      <c r="CF36" s="869"/>
      <c r="CG36" s="373"/>
      <c r="CH36" s="373"/>
      <c r="CI36" s="870"/>
      <c r="CJ36" s="373"/>
      <c r="CK36" s="373"/>
      <c r="CL36" s="373"/>
      <c r="CM36" s="618"/>
      <c r="CN36" s="374">
        <v>0</v>
      </c>
      <c r="CO36" s="869"/>
      <c r="CP36" s="373"/>
      <c r="CQ36" s="373"/>
      <c r="CR36" s="870"/>
      <c r="CS36" s="373"/>
      <c r="CT36" s="373"/>
      <c r="CU36" s="373"/>
      <c r="CV36" s="618"/>
      <c r="CW36" s="374">
        <v>0</v>
      </c>
      <c r="CX36" s="869">
        <v>4</v>
      </c>
      <c r="CY36" s="373">
        <v>3</v>
      </c>
      <c r="CZ36" s="373"/>
      <c r="DA36" s="870">
        <v>2</v>
      </c>
      <c r="DB36" s="373">
        <v>2</v>
      </c>
      <c r="DC36" s="373">
        <v>8</v>
      </c>
      <c r="DD36" s="373">
        <v>2</v>
      </c>
      <c r="DE36" s="618">
        <v>4</v>
      </c>
      <c r="DF36" s="374">
        <v>1</v>
      </c>
      <c r="DG36" s="869"/>
      <c r="DH36" s="373"/>
      <c r="DI36" s="373"/>
      <c r="DJ36" s="870"/>
      <c r="DK36" s="373"/>
      <c r="DL36" s="373"/>
      <c r="DM36" s="373"/>
      <c r="DN36" s="618"/>
      <c r="DO36" s="374">
        <v>0</v>
      </c>
      <c r="DP36" s="869"/>
      <c r="DQ36" s="373"/>
      <c r="DR36" s="373"/>
      <c r="DS36" s="870"/>
      <c r="DT36" s="373"/>
      <c r="DU36" s="373"/>
      <c r="DV36" s="373"/>
      <c r="DW36" s="618"/>
      <c r="DX36" s="374">
        <v>0</v>
      </c>
      <c r="DY36" s="869">
        <v>1</v>
      </c>
      <c r="DZ36" s="373">
        <v>2</v>
      </c>
      <c r="EA36" s="373"/>
      <c r="EB36" s="870"/>
      <c r="EC36" s="373"/>
      <c r="ED36" s="373">
        <v>1</v>
      </c>
      <c r="EE36" s="373"/>
      <c r="EF36" s="618"/>
      <c r="EG36" s="374">
        <v>1</v>
      </c>
      <c r="EH36" s="869"/>
      <c r="EI36" s="373"/>
      <c r="EJ36" s="373"/>
      <c r="EK36" s="870"/>
      <c r="EL36" s="373"/>
      <c r="EM36" s="373"/>
      <c r="EN36" s="373"/>
      <c r="EO36" s="618"/>
      <c r="EP36" s="374">
        <v>0</v>
      </c>
      <c r="EQ36" s="869"/>
      <c r="ER36" s="373"/>
      <c r="ES36" s="373"/>
      <c r="ET36" s="870"/>
      <c r="EU36" s="373"/>
      <c r="EV36" s="373"/>
      <c r="EW36" s="373"/>
      <c r="EX36" s="618"/>
      <c r="EY36" s="374">
        <v>0</v>
      </c>
      <c r="EZ36" s="869"/>
      <c r="FA36" s="373"/>
      <c r="FB36" s="373"/>
      <c r="FC36" s="870"/>
      <c r="FD36" s="373"/>
      <c r="FE36" s="373"/>
      <c r="FF36" s="373"/>
      <c r="FG36" s="618"/>
      <c r="FH36" s="374">
        <v>0</v>
      </c>
      <c r="FI36" s="869"/>
      <c r="FJ36" s="373"/>
      <c r="FK36" s="373"/>
      <c r="FL36" s="870"/>
      <c r="FM36" s="373"/>
      <c r="FN36" s="373"/>
      <c r="FO36" s="373"/>
      <c r="FP36" s="618"/>
      <c r="FQ36" s="374">
        <v>0</v>
      </c>
      <c r="FR36" s="869"/>
      <c r="FS36" s="373"/>
      <c r="FT36" s="373"/>
      <c r="FU36" s="870"/>
      <c r="FV36" s="373"/>
      <c r="FW36" s="373"/>
      <c r="FX36" s="373"/>
      <c r="FY36" s="618"/>
      <c r="FZ36" s="374">
        <v>0</v>
      </c>
      <c r="GA36" s="869"/>
      <c r="GB36" s="373"/>
      <c r="GC36" s="373"/>
      <c r="GD36" s="870"/>
      <c r="GE36" s="373"/>
      <c r="GF36" s="373"/>
      <c r="GG36" s="373"/>
      <c r="GH36" s="618"/>
      <c r="GI36" s="374">
        <v>0</v>
      </c>
      <c r="GJ36" s="869">
        <v>4</v>
      </c>
      <c r="GK36" s="373">
        <v>3</v>
      </c>
      <c r="GL36" s="373"/>
      <c r="GM36" s="870">
        <v>2</v>
      </c>
      <c r="GN36" s="373">
        <v>2</v>
      </c>
      <c r="GO36" s="373">
        <v>8</v>
      </c>
      <c r="GP36" s="373">
        <v>2</v>
      </c>
      <c r="GQ36" s="618">
        <v>4</v>
      </c>
      <c r="GR36" s="374">
        <v>1</v>
      </c>
      <c r="GS36" s="869"/>
      <c r="GT36" s="373"/>
      <c r="GU36" s="373"/>
      <c r="GV36" s="870">
        <v>1</v>
      </c>
      <c r="GW36" s="373"/>
      <c r="GX36" s="373"/>
      <c r="GY36" s="373"/>
      <c r="GZ36" s="618">
        <v>1</v>
      </c>
      <c r="HA36" s="374">
        <v>0</v>
      </c>
      <c r="HB36" s="869"/>
      <c r="HC36" s="373"/>
      <c r="HD36" s="373"/>
      <c r="HE36" s="870"/>
      <c r="HF36" s="373"/>
      <c r="HG36" s="373"/>
      <c r="HH36" s="373"/>
      <c r="HI36" s="618"/>
      <c r="HJ36" s="374">
        <v>0</v>
      </c>
      <c r="HK36" s="869"/>
      <c r="HL36" s="373"/>
      <c r="HM36" s="373"/>
      <c r="HN36" s="870"/>
      <c r="HO36" s="373"/>
      <c r="HP36" s="373"/>
      <c r="HQ36" s="373"/>
      <c r="HR36" s="618"/>
      <c r="HS36" s="374">
        <v>0</v>
      </c>
      <c r="HT36" s="869"/>
      <c r="HU36" s="373"/>
      <c r="HV36" s="373"/>
      <c r="HW36" s="870">
        <v>1</v>
      </c>
      <c r="HX36" s="373"/>
      <c r="HY36" s="373"/>
      <c r="HZ36" s="373">
        <v>1</v>
      </c>
      <c r="IA36" s="618">
        <v>3</v>
      </c>
      <c r="IB36" s="374">
        <v>2</v>
      </c>
      <c r="IC36" s="869">
        <v>6</v>
      </c>
      <c r="ID36" s="373">
        <v>3</v>
      </c>
      <c r="IE36" s="373"/>
      <c r="IF36" s="870">
        <v>2</v>
      </c>
      <c r="IG36" s="373">
        <v>3</v>
      </c>
      <c r="IH36" s="373">
        <v>8</v>
      </c>
      <c r="II36" s="373">
        <v>4</v>
      </c>
      <c r="IJ36" s="618">
        <v>6</v>
      </c>
      <c r="IK36" s="374">
        <v>4</v>
      </c>
      <c r="IL36" s="377">
        <v>3</v>
      </c>
      <c r="IM36" s="373">
        <v>2</v>
      </c>
      <c r="IN36" s="373"/>
      <c r="IO36" s="871"/>
      <c r="IP36" s="871"/>
      <c r="IQ36" s="373">
        <v>8</v>
      </c>
      <c r="IR36" s="373"/>
      <c r="IS36" s="618"/>
      <c r="IT36" s="374">
        <v>1</v>
      </c>
    </row>
    <row r="37" spans="1:254" s="245" customFormat="1" ht="12.75" customHeight="1" x14ac:dyDescent="0.2">
      <c r="A37" s="1052"/>
      <c r="B37" s="868" t="s">
        <v>889</v>
      </c>
      <c r="C37" s="869"/>
      <c r="D37" s="373"/>
      <c r="E37" s="373"/>
      <c r="F37" s="870"/>
      <c r="G37" s="373"/>
      <c r="H37" s="373"/>
      <c r="I37" s="373"/>
      <c r="J37" s="618"/>
      <c r="K37" s="374">
        <v>0</v>
      </c>
      <c r="L37" s="869"/>
      <c r="M37" s="373"/>
      <c r="N37" s="373"/>
      <c r="O37" s="870"/>
      <c r="P37" s="373"/>
      <c r="Q37" s="373"/>
      <c r="R37" s="373"/>
      <c r="S37" s="618"/>
      <c r="T37" s="374">
        <v>0</v>
      </c>
      <c r="U37" s="869"/>
      <c r="V37" s="373"/>
      <c r="W37" s="373"/>
      <c r="X37" s="870"/>
      <c r="Y37" s="373"/>
      <c r="Z37" s="373"/>
      <c r="AA37" s="373"/>
      <c r="AB37" s="618"/>
      <c r="AC37" s="374">
        <v>0</v>
      </c>
      <c r="AD37" s="869"/>
      <c r="AE37" s="373"/>
      <c r="AF37" s="373"/>
      <c r="AG37" s="870"/>
      <c r="AH37" s="373">
        <v>1</v>
      </c>
      <c r="AI37" s="373"/>
      <c r="AJ37" s="373"/>
      <c r="AK37" s="618"/>
      <c r="AL37" s="374">
        <v>0</v>
      </c>
      <c r="AM37" s="869"/>
      <c r="AN37" s="373"/>
      <c r="AO37" s="373"/>
      <c r="AP37" s="870"/>
      <c r="AQ37" s="373"/>
      <c r="AR37" s="373"/>
      <c r="AS37" s="373"/>
      <c r="AT37" s="618"/>
      <c r="AU37" s="374">
        <v>0</v>
      </c>
      <c r="AV37" s="869"/>
      <c r="AW37" s="373"/>
      <c r="AX37" s="373"/>
      <c r="AY37" s="870"/>
      <c r="AZ37" s="373"/>
      <c r="BA37" s="373"/>
      <c r="BB37" s="373"/>
      <c r="BC37" s="618"/>
      <c r="BD37" s="374">
        <v>0</v>
      </c>
      <c r="BE37" s="869"/>
      <c r="BF37" s="373"/>
      <c r="BG37" s="373">
        <v>1</v>
      </c>
      <c r="BH37" s="870"/>
      <c r="BI37" s="373"/>
      <c r="BJ37" s="373"/>
      <c r="BK37" s="373"/>
      <c r="BL37" s="618"/>
      <c r="BM37" s="374">
        <v>0</v>
      </c>
      <c r="BN37" s="869"/>
      <c r="BO37" s="373"/>
      <c r="BP37" s="373"/>
      <c r="BQ37" s="870"/>
      <c r="BR37" s="373"/>
      <c r="BS37" s="373"/>
      <c r="BT37" s="373"/>
      <c r="BU37" s="618"/>
      <c r="BV37" s="374">
        <v>0</v>
      </c>
      <c r="BW37" s="869"/>
      <c r="BX37" s="373"/>
      <c r="BY37" s="373"/>
      <c r="BZ37" s="870"/>
      <c r="CA37" s="373"/>
      <c r="CB37" s="373"/>
      <c r="CC37" s="373"/>
      <c r="CD37" s="618"/>
      <c r="CE37" s="374">
        <v>0</v>
      </c>
      <c r="CF37" s="869"/>
      <c r="CG37" s="373"/>
      <c r="CH37" s="373"/>
      <c r="CI37" s="870"/>
      <c r="CJ37" s="373"/>
      <c r="CK37" s="373"/>
      <c r="CL37" s="373"/>
      <c r="CM37" s="618"/>
      <c r="CN37" s="374">
        <v>0</v>
      </c>
      <c r="CO37" s="869"/>
      <c r="CP37" s="373"/>
      <c r="CQ37" s="373"/>
      <c r="CR37" s="870"/>
      <c r="CS37" s="373"/>
      <c r="CT37" s="373"/>
      <c r="CU37" s="373"/>
      <c r="CV37" s="618"/>
      <c r="CW37" s="374">
        <v>0</v>
      </c>
      <c r="CX37" s="869">
        <v>8</v>
      </c>
      <c r="CY37" s="373">
        <v>1</v>
      </c>
      <c r="CZ37" s="373">
        <v>4</v>
      </c>
      <c r="DA37" s="870">
        <v>1</v>
      </c>
      <c r="DB37" s="373">
        <v>1</v>
      </c>
      <c r="DC37" s="373">
        <v>3</v>
      </c>
      <c r="DD37" s="373">
        <v>2</v>
      </c>
      <c r="DE37" s="618"/>
      <c r="DF37" s="374">
        <v>1</v>
      </c>
      <c r="DG37" s="869"/>
      <c r="DH37" s="373"/>
      <c r="DI37" s="373"/>
      <c r="DJ37" s="870"/>
      <c r="DK37" s="373"/>
      <c r="DL37" s="373"/>
      <c r="DM37" s="373"/>
      <c r="DN37" s="618"/>
      <c r="DO37" s="374">
        <v>0</v>
      </c>
      <c r="DP37" s="869"/>
      <c r="DQ37" s="373"/>
      <c r="DR37" s="373"/>
      <c r="DS37" s="870"/>
      <c r="DT37" s="373"/>
      <c r="DU37" s="373">
        <v>1</v>
      </c>
      <c r="DV37" s="373"/>
      <c r="DW37" s="618"/>
      <c r="DX37" s="374">
        <v>0</v>
      </c>
      <c r="DY37" s="869">
        <v>1</v>
      </c>
      <c r="DZ37" s="373"/>
      <c r="EA37" s="373"/>
      <c r="EB37" s="870"/>
      <c r="EC37" s="373">
        <v>1</v>
      </c>
      <c r="ED37" s="373"/>
      <c r="EE37" s="373"/>
      <c r="EF37" s="618"/>
      <c r="EG37" s="374">
        <v>0</v>
      </c>
      <c r="EH37" s="869"/>
      <c r="EI37" s="373"/>
      <c r="EJ37" s="373"/>
      <c r="EK37" s="870"/>
      <c r="EL37" s="373"/>
      <c r="EM37" s="373"/>
      <c r="EN37" s="373"/>
      <c r="EO37" s="618"/>
      <c r="EP37" s="374">
        <v>0</v>
      </c>
      <c r="EQ37" s="869"/>
      <c r="ER37" s="373"/>
      <c r="ES37" s="373"/>
      <c r="ET37" s="870"/>
      <c r="EU37" s="373"/>
      <c r="EV37" s="373"/>
      <c r="EW37" s="373"/>
      <c r="EX37" s="618"/>
      <c r="EY37" s="374">
        <v>0</v>
      </c>
      <c r="EZ37" s="869"/>
      <c r="FA37" s="373"/>
      <c r="FB37" s="373"/>
      <c r="FC37" s="870"/>
      <c r="FD37" s="373"/>
      <c r="FE37" s="373"/>
      <c r="FF37" s="373"/>
      <c r="FG37" s="618"/>
      <c r="FH37" s="374">
        <v>0</v>
      </c>
      <c r="FI37" s="869"/>
      <c r="FJ37" s="373"/>
      <c r="FK37" s="373"/>
      <c r="FL37" s="870"/>
      <c r="FM37" s="373"/>
      <c r="FN37" s="373"/>
      <c r="FO37" s="373">
        <v>1</v>
      </c>
      <c r="FP37" s="618"/>
      <c r="FQ37" s="374">
        <v>0</v>
      </c>
      <c r="FR37" s="869"/>
      <c r="FS37" s="373"/>
      <c r="FT37" s="373"/>
      <c r="FU37" s="870"/>
      <c r="FV37" s="373"/>
      <c r="FW37" s="373"/>
      <c r="FX37" s="373"/>
      <c r="FY37" s="618"/>
      <c r="FZ37" s="374">
        <v>0</v>
      </c>
      <c r="GA37" s="869"/>
      <c r="GB37" s="373"/>
      <c r="GC37" s="373"/>
      <c r="GD37" s="870"/>
      <c r="GE37" s="373"/>
      <c r="GF37" s="373"/>
      <c r="GG37" s="373"/>
      <c r="GH37" s="618"/>
      <c r="GI37" s="374">
        <v>0</v>
      </c>
      <c r="GJ37" s="869">
        <v>8</v>
      </c>
      <c r="GK37" s="373">
        <v>1</v>
      </c>
      <c r="GL37" s="373">
        <v>5</v>
      </c>
      <c r="GM37" s="870">
        <v>1</v>
      </c>
      <c r="GN37" s="373">
        <v>2</v>
      </c>
      <c r="GO37" s="373">
        <v>3</v>
      </c>
      <c r="GP37" s="373">
        <v>3</v>
      </c>
      <c r="GQ37" s="618"/>
      <c r="GR37" s="374">
        <v>1</v>
      </c>
      <c r="GS37" s="869">
        <v>1</v>
      </c>
      <c r="GT37" s="373">
        <v>1</v>
      </c>
      <c r="GU37" s="373">
        <v>3</v>
      </c>
      <c r="GV37" s="870"/>
      <c r="GW37" s="373"/>
      <c r="GX37" s="373">
        <v>1</v>
      </c>
      <c r="GY37" s="373">
        <v>1</v>
      </c>
      <c r="GZ37" s="618"/>
      <c r="HA37" s="374">
        <v>0</v>
      </c>
      <c r="HB37" s="869"/>
      <c r="HC37" s="373"/>
      <c r="HD37" s="373"/>
      <c r="HE37" s="870"/>
      <c r="HF37" s="373"/>
      <c r="HG37" s="373"/>
      <c r="HH37" s="373"/>
      <c r="HI37" s="618"/>
      <c r="HJ37" s="374">
        <v>0</v>
      </c>
      <c r="HK37" s="869"/>
      <c r="HL37" s="373"/>
      <c r="HM37" s="373"/>
      <c r="HN37" s="870"/>
      <c r="HO37" s="373"/>
      <c r="HP37" s="373"/>
      <c r="HQ37" s="373"/>
      <c r="HR37" s="618"/>
      <c r="HS37" s="374">
        <v>0</v>
      </c>
      <c r="HT37" s="869">
        <v>2</v>
      </c>
      <c r="HU37" s="373">
        <v>1</v>
      </c>
      <c r="HV37" s="373">
        <v>3</v>
      </c>
      <c r="HW37" s="870"/>
      <c r="HX37" s="373"/>
      <c r="HY37" s="373">
        <v>1</v>
      </c>
      <c r="HZ37" s="373">
        <v>1</v>
      </c>
      <c r="IA37" s="618"/>
      <c r="IB37" s="374">
        <v>1</v>
      </c>
      <c r="IC37" s="869">
        <v>15</v>
      </c>
      <c r="ID37" s="373">
        <v>1</v>
      </c>
      <c r="IE37" s="373">
        <v>5</v>
      </c>
      <c r="IF37" s="870">
        <v>2</v>
      </c>
      <c r="IG37" s="373">
        <v>2</v>
      </c>
      <c r="IH37" s="373">
        <v>4</v>
      </c>
      <c r="II37" s="373">
        <v>3</v>
      </c>
      <c r="IJ37" s="618">
        <v>1</v>
      </c>
      <c r="IK37" s="374">
        <v>2</v>
      </c>
      <c r="IL37" s="377">
        <v>3</v>
      </c>
      <c r="IM37" s="373"/>
      <c r="IN37" s="373"/>
      <c r="IO37" s="871">
        <v>1</v>
      </c>
      <c r="IP37" s="871"/>
      <c r="IQ37" s="373">
        <v>1</v>
      </c>
      <c r="IR37" s="373">
        <v>1</v>
      </c>
      <c r="IS37" s="618"/>
      <c r="IT37" s="374">
        <v>1</v>
      </c>
    </row>
    <row r="38" spans="1:254" s="245" customFormat="1" ht="12.75" customHeight="1" x14ac:dyDescent="0.2">
      <c r="A38" s="1052"/>
      <c r="B38" s="868" t="s">
        <v>890</v>
      </c>
      <c r="C38" s="869"/>
      <c r="D38" s="373"/>
      <c r="E38" s="373"/>
      <c r="F38" s="870"/>
      <c r="G38" s="373"/>
      <c r="H38" s="373"/>
      <c r="I38" s="373"/>
      <c r="J38" s="618"/>
      <c r="K38" s="374">
        <v>0</v>
      </c>
      <c r="L38" s="869"/>
      <c r="M38" s="373"/>
      <c r="N38" s="373"/>
      <c r="O38" s="870"/>
      <c r="P38" s="373"/>
      <c r="Q38" s="373"/>
      <c r="R38" s="373"/>
      <c r="S38" s="618"/>
      <c r="T38" s="374">
        <v>0</v>
      </c>
      <c r="U38" s="869"/>
      <c r="V38" s="373"/>
      <c r="W38" s="373"/>
      <c r="X38" s="870"/>
      <c r="Y38" s="373"/>
      <c r="Z38" s="373"/>
      <c r="AA38" s="373"/>
      <c r="AB38" s="618"/>
      <c r="AC38" s="374">
        <v>0</v>
      </c>
      <c r="AD38" s="869"/>
      <c r="AE38" s="373">
        <v>1</v>
      </c>
      <c r="AF38" s="373"/>
      <c r="AG38" s="870"/>
      <c r="AH38" s="373"/>
      <c r="AI38" s="373">
        <v>1</v>
      </c>
      <c r="AJ38" s="373"/>
      <c r="AK38" s="618"/>
      <c r="AL38" s="374">
        <v>0</v>
      </c>
      <c r="AM38" s="869"/>
      <c r="AN38" s="373">
        <v>1</v>
      </c>
      <c r="AO38" s="373"/>
      <c r="AP38" s="870"/>
      <c r="AQ38" s="373"/>
      <c r="AR38" s="373">
        <v>1</v>
      </c>
      <c r="AS38" s="373"/>
      <c r="AT38" s="618"/>
      <c r="AU38" s="374">
        <v>0</v>
      </c>
      <c r="AV38" s="869"/>
      <c r="AW38" s="373"/>
      <c r="AX38" s="373"/>
      <c r="AY38" s="870"/>
      <c r="AZ38" s="373"/>
      <c r="BA38" s="373"/>
      <c r="BB38" s="373"/>
      <c r="BC38" s="618"/>
      <c r="BD38" s="374">
        <v>0</v>
      </c>
      <c r="BE38" s="869"/>
      <c r="BF38" s="373"/>
      <c r="BG38" s="373"/>
      <c r="BH38" s="870"/>
      <c r="BI38" s="373"/>
      <c r="BJ38" s="373"/>
      <c r="BK38" s="373"/>
      <c r="BL38" s="618"/>
      <c r="BM38" s="374">
        <v>0</v>
      </c>
      <c r="BN38" s="869"/>
      <c r="BO38" s="373"/>
      <c r="BP38" s="373"/>
      <c r="BQ38" s="870"/>
      <c r="BR38" s="373"/>
      <c r="BS38" s="373"/>
      <c r="BT38" s="373"/>
      <c r="BU38" s="618"/>
      <c r="BV38" s="374">
        <v>0</v>
      </c>
      <c r="BW38" s="869"/>
      <c r="BX38" s="373">
        <v>1</v>
      </c>
      <c r="BY38" s="373"/>
      <c r="BZ38" s="870"/>
      <c r="CA38" s="373">
        <v>1</v>
      </c>
      <c r="CB38" s="373"/>
      <c r="CC38" s="373"/>
      <c r="CD38" s="618"/>
      <c r="CE38" s="374">
        <v>1</v>
      </c>
      <c r="CF38" s="869"/>
      <c r="CG38" s="373"/>
      <c r="CH38" s="373"/>
      <c r="CI38" s="870"/>
      <c r="CJ38" s="373"/>
      <c r="CK38" s="373"/>
      <c r="CL38" s="373"/>
      <c r="CM38" s="618"/>
      <c r="CN38" s="374">
        <v>0</v>
      </c>
      <c r="CO38" s="869"/>
      <c r="CP38" s="373"/>
      <c r="CQ38" s="373"/>
      <c r="CR38" s="870"/>
      <c r="CS38" s="373"/>
      <c r="CT38" s="373"/>
      <c r="CU38" s="373"/>
      <c r="CV38" s="618"/>
      <c r="CW38" s="374">
        <v>0</v>
      </c>
      <c r="CX38" s="869">
        <v>4</v>
      </c>
      <c r="CY38" s="373">
        <v>2</v>
      </c>
      <c r="CZ38" s="373">
        <v>1</v>
      </c>
      <c r="DA38" s="870">
        <v>2</v>
      </c>
      <c r="DB38" s="373">
        <v>5</v>
      </c>
      <c r="DC38" s="373">
        <v>1</v>
      </c>
      <c r="DD38" s="373"/>
      <c r="DE38" s="618">
        <v>8</v>
      </c>
      <c r="DF38" s="374">
        <v>1</v>
      </c>
      <c r="DG38" s="869"/>
      <c r="DH38" s="373"/>
      <c r="DI38" s="373"/>
      <c r="DJ38" s="870"/>
      <c r="DK38" s="373"/>
      <c r="DL38" s="373"/>
      <c r="DM38" s="373"/>
      <c r="DN38" s="618"/>
      <c r="DO38" s="374">
        <v>0</v>
      </c>
      <c r="DP38" s="869">
        <v>1</v>
      </c>
      <c r="DQ38" s="373"/>
      <c r="DR38" s="373"/>
      <c r="DS38" s="870"/>
      <c r="DT38" s="373">
        <v>1</v>
      </c>
      <c r="DU38" s="373"/>
      <c r="DV38" s="373"/>
      <c r="DW38" s="618"/>
      <c r="DX38" s="374">
        <v>0</v>
      </c>
      <c r="DY38" s="869">
        <v>1</v>
      </c>
      <c r="DZ38" s="373"/>
      <c r="EA38" s="373"/>
      <c r="EB38" s="870">
        <v>1</v>
      </c>
      <c r="EC38" s="373">
        <v>2</v>
      </c>
      <c r="ED38" s="373"/>
      <c r="EE38" s="373"/>
      <c r="EF38" s="618">
        <v>3</v>
      </c>
      <c r="EG38" s="374">
        <v>0</v>
      </c>
      <c r="EH38" s="869"/>
      <c r="EI38" s="373"/>
      <c r="EJ38" s="373"/>
      <c r="EK38" s="870"/>
      <c r="EL38" s="373"/>
      <c r="EM38" s="373"/>
      <c r="EN38" s="373"/>
      <c r="EO38" s="618"/>
      <c r="EP38" s="374">
        <v>0</v>
      </c>
      <c r="EQ38" s="869"/>
      <c r="ER38" s="373"/>
      <c r="ES38" s="373"/>
      <c r="ET38" s="870"/>
      <c r="EU38" s="373"/>
      <c r="EV38" s="373"/>
      <c r="EW38" s="373"/>
      <c r="EX38" s="618"/>
      <c r="EY38" s="374">
        <v>0</v>
      </c>
      <c r="EZ38" s="869"/>
      <c r="FA38" s="373"/>
      <c r="FB38" s="373"/>
      <c r="FC38" s="870"/>
      <c r="FD38" s="373"/>
      <c r="FE38" s="373"/>
      <c r="FF38" s="373"/>
      <c r="FG38" s="618"/>
      <c r="FH38" s="374">
        <v>0</v>
      </c>
      <c r="FI38" s="869"/>
      <c r="FJ38" s="373"/>
      <c r="FK38" s="373"/>
      <c r="FL38" s="870"/>
      <c r="FM38" s="373"/>
      <c r="FN38" s="373"/>
      <c r="FO38" s="373"/>
      <c r="FP38" s="618"/>
      <c r="FQ38" s="374">
        <v>0</v>
      </c>
      <c r="FR38" s="869"/>
      <c r="FS38" s="373"/>
      <c r="FT38" s="373"/>
      <c r="FU38" s="870"/>
      <c r="FV38" s="373"/>
      <c r="FW38" s="373"/>
      <c r="FX38" s="373"/>
      <c r="FY38" s="618"/>
      <c r="FZ38" s="374">
        <v>0</v>
      </c>
      <c r="GA38" s="869"/>
      <c r="GB38" s="373"/>
      <c r="GC38" s="373"/>
      <c r="GD38" s="870"/>
      <c r="GE38" s="373"/>
      <c r="GF38" s="373"/>
      <c r="GG38" s="373"/>
      <c r="GH38" s="618"/>
      <c r="GI38" s="374">
        <v>0</v>
      </c>
      <c r="GJ38" s="869">
        <v>4</v>
      </c>
      <c r="GK38" s="373">
        <v>4</v>
      </c>
      <c r="GL38" s="373">
        <v>1</v>
      </c>
      <c r="GM38" s="870">
        <v>2</v>
      </c>
      <c r="GN38" s="373">
        <v>6</v>
      </c>
      <c r="GO38" s="373">
        <v>2</v>
      </c>
      <c r="GP38" s="373"/>
      <c r="GQ38" s="618">
        <v>8</v>
      </c>
      <c r="GR38" s="374">
        <v>2</v>
      </c>
      <c r="GS38" s="869">
        <v>2</v>
      </c>
      <c r="GT38" s="373">
        <v>1</v>
      </c>
      <c r="GU38" s="373"/>
      <c r="GV38" s="870">
        <v>1</v>
      </c>
      <c r="GW38" s="373"/>
      <c r="GX38" s="373"/>
      <c r="GY38" s="373"/>
      <c r="GZ38" s="618"/>
      <c r="HA38" s="374">
        <v>1</v>
      </c>
      <c r="HB38" s="869"/>
      <c r="HC38" s="373"/>
      <c r="HD38" s="373"/>
      <c r="HE38" s="870"/>
      <c r="HF38" s="373"/>
      <c r="HG38" s="373"/>
      <c r="HH38" s="373"/>
      <c r="HI38" s="618"/>
      <c r="HJ38" s="374">
        <v>0</v>
      </c>
      <c r="HK38" s="869"/>
      <c r="HL38" s="373"/>
      <c r="HM38" s="373"/>
      <c r="HN38" s="870"/>
      <c r="HO38" s="373"/>
      <c r="HP38" s="373"/>
      <c r="HQ38" s="373"/>
      <c r="HR38" s="618"/>
      <c r="HS38" s="374">
        <v>0</v>
      </c>
      <c r="HT38" s="869">
        <v>4</v>
      </c>
      <c r="HU38" s="373">
        <v>3</v>
      </c>
      <c r="HV38" s="373">
        <v>1</v>
      </c>
      <c r="HW38" s="870">
        <v>1</v>
      </c>
      <c r="HX38" s="373">
        <v>2</v>
      </c>
      <c r="HY38" s="373"/>
      <c r="HZ38" s="373">
        <v>1</v>
      </c>
      <c r="IA38" s="618">
        <v>1</v>
      </c>
      <c r="IB38" s="374">
        <v>1</v>
      </c>
      <c r="IC38" s="869">
        <v>11</v>
      </c>
      <c r="ID38" s="373">
        <v>11</v>
      </c>
      <c r="IE38" s="373">
        <v>6</v>
      </c>
      <c r="IF38" s="870">
        <v>3</v>
      </c>
      <c r="IG38" s="373">
        <v>8</v>
      </c>
      <c r="IH38" s="373">
        <v>5</v>
      </c>
      <c r="II38" s="373">
        <v>3</v>
      </c>
      <c r="IJ38" s="618">
        <v>9</v>
      </c>
      <c r="IK38" s="374">
        <v>4</v>
      </c>
      <c r="IL38" s="377">
        <v>1</v>
      </c>
      <c r="IM38" s="373"/>
      <c r="IN38" s="373"/>
      <c r="IO38" s="871">
        <v>1</v>
      </c>
      <c r="IP38" s="871">
        <v>2</v>
      </c>
      <c r="IQ38" s="373"/>
      <c r="IR38" s="373"/>
      <c r="IS38" s="618">
        <v>4</v>
      </c>
      <c r="IT38" s="374">
        <v>0</v>
      </c>
    </row>
    <row r="39" spans="1:254" s="245" customFormat="1" ht="12.75" customHeight="1" x14ac:dyDescent="0.2">
      <c r="A39" s="1052"/>
      <c r="B39" s="868" t="s">
        <v>891</v>
      </c>
      <c r="C39" s="869"/>
      <c r="D39" s="373"/>
      <c r="E39" s="373"/>
      <c r="F39" s="870"/>
      <c r="G39" s="373"/>
      <c r="H39" s="373"/>
      <c r="I39" s="373"/>
      <c r="J39" s="618"/>
      <c r="K39" s="374">
        <v>0</v>
      </c>
      <c r="L39" s="869"/>
      <c r="M39" s="373"/>
      <c r="N39" s="373"/>
      <c r="O39" s="870"/>
      <c r="P39" s="373"/>
      <c r="Q39" s="373"/>
      <c r="R39" s="373"/>
      <c r="S39" s="618"/>
      <c r="T39" s="374">
        <v>0</v>
      </c>
      <c r="U39" s="869"/>
      <c r="V39" s="373"/>
      <c r="W39" s="373"/>
      <c r="X39" s="870"/>
      <c r="Y39" s="373"/>
      <c r="Z39" s="373"/>
      <c r="AA39" s="373"/>
      <c r="AB39" s="618"/>
      <c r="AC39" s="374">
        <v>0</v>
      </c>
      <c r="AD39" s="869"/>
      <c r="AE39" s="373">
        <v>1</v>
      </c>
      <c r="AF39" s="373"/>
      <c r="AG39" s="870">
        <v>2</v>
      </c>
      <c r="AH39" s="373">
        <v>1</v>
      </c>
      <c r="AI39" s="373">
        <v>2</v>
      </c>
      <c r="AJ39" s="373"/>
      <c r="AK39" s="618">
        <v>2</v>
      </c>
      <c r="AL39" s="374">
        <v>0</v>
      </c>
      <c r="AM39" s="869"/>
      <c r="AN39" s="373"/>
      <c r="AO39" s="373"/>
      <c r="AP39" s="870"/>
      <c r="AQ39" s="373"/>
      <c r="AR39" s="373"/>
      <c r="AS39" s="373"/>
      <c r="AT39" s="618">
        <v>1</v>
      </c>
      <c r="AU39" s="374">
        <v>0</v>
      </c>
      <c r="AV39" s="869"/>
      <c r="AW39" s="373"/>
      <c r="AX39" s="373"/>
      <c r="AY39" s="870"/>
      <c r="AZ39" s="373"/>
      <c r="BA39" s="373"/>
      <c r="BB39" s="373"/>
      <c r="BC39" s="618"/>
      <c r="BD39" s="374">
        <v>0</v>
      </c>
      <c r="BE39" s="869"/>
      <c r="BF39" s="373"/>
      <c r="BG39" s="373"/>
      <c r="BH39" s="870"/>
      <c r="BI39" s="373"/>
      <c r="BJ39" s="373">
        <v>1</v>
      </c>
      <c r="BK39" s="373"/>
      <c r="BL39" s="618"/>
      <c r="BM39" s="374">
        <v>3</v>
      </c>
      <c r="BN39" s="869"/>
      <c r="BO39" s="373"/>
      <c r="BP39" s="373"/>
      <c r="BQ39" s="870"/>
      <c r="BR39" s="373"/>
      <c r="BS39" s="373"/>
      <c r="BT39" s="373"/>
      <c r="BU39" s="618"/>
      <c r="BV39" s="374">
        <v>0</v>
      </c>
      <c r="BW39" s="869"/>
      <c r="BX39" s="373">
        <v>1</v>
      </c>
      <c r="BY39" s="373"/>
      <c r="BZ39" s="870">
        <v>1</v>
      </c>
      <c r="CA39" s="373">
        <v>2</v>
      </c>
      <c r="CB39" s="373">
        <v>1</v>
      </c>
      <c r="CC39" s="373"/>
      <c r="CD39" s="618"/>
      <c r="CE39" s="374">
        <v>0</v>
      </c>
      <c r="CF39" s="869"/>
      <c r="CG39" s="373"/>
      <c r="CH39" s="373"/>
      <c r="CI39" s="870"/>
      <c r="CJ39" s="373"/>
      <c r="CK39" s="373"/>
      <c r="CL39" s="373"/>
      <c r="CM39" s="618"/>
      <c r="CN39" s="374">
        <v>0</v>
      </c>
      <c r="CO39" s="869"/>
      <c r="CP39" s="373"/>
      <c r="CQ39" s="373"/>
      <c r="CR39" s="870"/>
      <c r="CS39" s="373"/>
      <c r="CT39" s="373"/>
      <c r="CU39" s="373"/>
      <c r="CV39" s="618"/>
      <c r="CW39" s="374">
        <v>0</v>
      </c>
      <c r="CX39" s="869">
        <v>1</v>
      </c>
      <c r="CY39" s="373">
        <v>5</v>
      </c>
      <c r="CZ39" s="373">
        <v>2</v>
      </c>
      <c r="DA39" s="870">
        <v>5</v>
      </c>
      <c r="DB39" s="373">
        <v>3</v>
      </c>
      <c r="DC39" s="373"/>
      <c r="DD39" s="373">
        <v>1</v>
      </c>
      <c r="DE39" s="618"/>
      <c r="DF39" s="374">
        <v>1</v>
      </c>
      <c r="DG39" s="869"/>
      <c r="DH39" s="373"/>
      <c r="DI39" s="373"/>
      <c r="DJ39" s="870"/>
      <c r="DK39" s="373"/>
      <c r="DL39" s="373"/>
      <c r="DM39" s="373"/>
      <c r="DN39" s="618"/>
      <c r="DO39" s="374">
        <v>0</v>
      </c>
      <c r="DP39" s="869"/>
      <c r="DQ39" s="373"/>
      <c r="DR39" s="373"/>
      <c r="DS39" s="870"/>
      <c r="DT39" s="373"/>
      <c r="DU39" s="373"/>
      <c r="DV39" s="373"/>
      <c r="DW39" s="618"/>
      <c r="DX39" s="374">
        <v>0</v>
      </c>
      <c r="DY39" s="869">
        <v>1</v>
      </c>
      <c r="DZ39" s="373">
        <v>1</v>
      </c>
      <c r="EA39" s="373"/>
      <c r="EB39" s="870"/>
      <c r="EC39" s="373"/>
      <c r="ED39" s="373"/>
      <c r="EE39" s="373"/>
      <c r="EF39" s="618"/>
      <c r="EG39" s="374">
        <v>0</v>
      </c>
      <c r="EH39" s="869"/>
      <c r="EI39" s="373"/>
      <c r="EJ39" s="373"/>
      <c r="EK39" s="870"/>
      <c r="EL39" s="373"/>
      <c r="EM39" s="373"/>
      <c r="EN39" s="373"/>
      <c r="EO39" s="618"/>
      <c r="EP39" s="374">
        <v>0</v>
      </c>
      <c r="EQ39" s="869"/>
      <c r="ER39" s="373"/>
      <c r="ES39" s="373"/>
      <c r="ET39" s="870"/>
      <c r="EU39" s="373"/>
      <c r="EV39" s="373"/>
      <c r="EW39" s="373"/>
      <c r="EX39" s="618"/>
      <c r="EY39" s="374">
        <v>0</v>
      </c>
      <c r="EZ39" s="869"/>
      <c r="FA39" s="373"/>
      <c r="FB39" s="373"/>
      <c r="FC39" s="870"/>
      <c r="FD39" s="373"/>
      <c r="FE39" s="373"/>
      <c r="FF39" s="373"/>
      <c r="FG39" s="618"/>
      <c r="FH39" s="374">
        <v>0</v>
      </c>
      <c r="FI39" s="869">
        <v>1</v>
      </c>
      <c r="FJ39" s="373"/>
      <c r="FK39" s="373"/>
      <c r="FL39" s="870"/>
      <c r="FM39" s="373"/>
      <c r="FN39" s="373"/>
      <c r="FO39" s="373"/>
      <c r="FP39" s="618"/>
      <c r="FQ39" s="374">
        <v>0</v>
      </c>
      <c r="FR39" s="869"/>
      <c r="FS39" s="373"/>
      <c r="FT39" s="373"/>
      <c r="FU39" s="870"/>
      <c r="FV39" s="373"/>
      <c r="FW39" s="373"/>
      <c r="FX39" s="373"/>
      <c r="FY39" s="618"/>
      <c r="FZ39" s="374">
        <v>0</v>
      </c>
      <c r="GA39" s="869"/>
      <c r="GB39" s="373"/>
      <c r="GC39" s="373"/>
      <c r="GD39" s="870"/>
      <c r="GE39" s="373"/>
      <c r="GF39" s="373"/>
      <c r="GG39" s="373"/>
      <c r="GH39" s="618"/>
      <c r="GI39" s="374">
        <v>0</v>
      </c>
      <c r="GJ39" s="869">
        <v>2</v>
      </c>
      <c r="GK39" s="373">
        <v>7</v>
      </c>
      <c r="GL39" s="373">
        <v>2</v>
      </c>
      <c r="GM39" s="870">
        <v>8</v>
      </c>
      <c r="GN39" s="373">
        <v>6</v>
      </c>
      <c r="GO39" s="373">
        <v>4</v>
      </c>
      <c r="GP39" s="373">
        <v>1</v>
      </c>
      <c r="GQ39" s="618">
        <v>2</v>
      </c>
      <c r="GR39" s="374">
        <v>4</v>
      </c>
      <c r="GS39" s="869"/>
      <c r="GT39" s="373">
        <v>2</v>
      </c>
      <c r="GU39" s="373">
        <v>1</v>
      </c>
      <c r="GV39" s="870">
        <v>3</v>
      </c>
      <c r="GW39" s="373">
        <v>2</v>
      </c>
      <c r="GX39" s="373">
        <v>3</v>
      </c>
      <c r="GY39" s="373"/>
      <c r="GZ39" s="618">
        <v>1</v>
      </c>
      <c r="HA39" s="374">
        <v>0</v>
      </c>
      <c r="HB39" s="869"/>
      <c r="HC39" s="373"/>
      <c r="HD39" s="373"/>
      <c r="HE39" s="870"/>
      <c r="HF39" s="373"/>
      <c r="HG39" s="373"/>
      <c r="HH39" s="373"/>
      <c r="HI39" s="618"/>
      <c r="HJ39" s="374">
        <v>0</v>
      </c>
      <c r="HK39" s="869"/>
      <c r="HL39" s="373"/>
      <c r="HM39" s="373"/>
      <c r="HN39" s="870"/>
      <c r="HO39" s="373"/>
      <c r="HP39" s="373"/>
      <c r="HQ39" s="373"/>
      <c r="HR39" s="618"/>
      <c r="HS39" s="374">
        <v>0</v>
      </c>
      <c r="HT39" s="869"/>
      <c r="HU39" s="373">
        <v>2</v>
      </c>
      <c r="HV39" s="373">
        <v>2</v>
      </c>
      <c r="HW39" s="870">
        <v>3</v>
      </c>
      <c r="HX39" s="373">
        <v>2</v>
      </c>
      <c r="HY39" s="373">
        <v>3</v>
      </c>
      <c r="HZ39" s="373"/>
      <c r="IA39" s="618">
        <v>2</v>
      </c>
      <c r="IB39" s="374">
        <v>2</v>
      </c>
      <c r="IC39" s="869">
        <v>5</v>
      </c>
      <c r="ID39" s="373">
        <v>9</v>
      </c>
      <c r="IE39" s="373">
        <v>3</v>
      </c>
      <c r="IF39" s="870">
        <v>8</v>
      </c>
      <c r="IG39" s="373">
        <v>8</v>
      </c>
      <c r="IH39" s="373">
        <v>6</v>
      </c>
      <c r="II39" s="373">
        <v>1</v>
      </c>
      <c r="IJ39" s="618">
        <v>5</v>
      </c>
      <c r="IK39" s="374">
        <v>9</v>
      </c>
      <c r="IL39" s="377">
        <v>1</v>
      </c>
      <c r="IM39" s="373">
        <v>1</v>
      </c>
      <c r="IN39" s="373"/>
      <c r="IO39" s="871">
        <v>1</v>
      </c>
      <c r="IP39" s="871"/>
      <c r="IQ39" s="373"/>
      <c r="IR39" s="373"/>
      <c r="IS39" s="618"/>
      <c r="IT39" s="374">
        <v>0</v>
      </c>
    </row>
    <row r="40" spans="1:254" s="245" customFormat="1" ht="12.75" customHeight="1" x14ac:dyDescent="0.2">
      <c r="A40" s="1052"/>
      <c r="B40" s="868" t="s">
        <v>892</v>
      </c>
      <c r="C40" s="869"/>
      <c r="D40" s="373"/>
      <c r="E40" s="373"/>
      <c r="F40" s="870"/>
      <c r="G40" s="373"/>
      <c r="H40" s="373"/>
      <c r="I40" s="373"/>
      <c r="J40" s="618"/>
      <c r="K40" s="374">
        <v>0</v>
      </c>
      <c r="L40" s="869"/>
      <c r="M40" s="373"/>
      <c r="N40" s="373"/>
      <c r="O40" s="870"/>
      <c r="P40" s="373"/>
      <c r="Q40" s="373"/>
      <c r="R40" s="373"/>
      <c r="S40" s="618"/>
      <c r="T40" s="374">
        <v>0</v>
      </c>
      <c r="U40" s="869"/>
      <c r="V40" s="373"/>
      <c r="W40" s="373"/>
      <c r="X40" s="870"/>
      <c r="Y40" s="373"/>
      <c r="Z40" s="373"/>
      <c r="AA40" s="373"/>
      <c r="AB40" s="618"/>
      <c r="AC40" s="374">
        <v>0</v>
      </c>
      <c r="AD40" s="869"/>
      <c r="AE40" s="373"/>
      <c r="AF40" s="373"/>
      <c r="AG40" s="870"/>
      <c r="AH40" s="373"/>
      <c r="AI40" s="373"/>
      <c r="AJ40" s="373"/>
      <c r="AK40" s="618"/>
      <c r="AL40" s="374">
        <v>0</v>
      </c>
      <c r="AM40" s="869"/>
      <c r="AN40" s="373"/>
      <c r="AO40" s="373"/>
      <c r="AP40" s="870"/>
      <c r="AQ40" s="373"/>
      <c r="AR40" s="373"/>
      <c r="AS40" s="373"/>
      <c r="AT40" s="618"/>
      <c r="AU40" s="374">
        <v>0</v>
      </c>
      <c r="AV40" s="869"/>
      <c r="AW40" s="373"/>
      <c r="AX40" s="373"/>
      <c r="AY40" s="870"/>
      <c r="AZ40" s="373"/>
      <c r="BA40" s="373"/>
      <c r="BB40" s="373"/>
      <c r="BC40" s="618"/>
      <c r="BD40" s="374">
        <v>0</v>
      </c>
      <c r="BE40" s="869">
        <v>1</v>
      </c>
      <c r="BF40" s="373"/>
      <c r="BG40" s="373"/>
      <c r="BH40" s="870"/>
      <c r="BI40" s="373"/>
      <c r="BJ40" s="373"/>
      <c r="BK40" s="373"/>
      <c r="BL40" s="618"/>
      <c r="BM40" s="374">
        <v>0</v>
      </c>
      <c r="BN40" s="869"/>
      <c r="BO40" s="373"/>
      <c r="BP40" s="373"/>
      <c r="BQ40" s="870"/>
      <c r="BR40" s="373"/>
      <c r="BS40" s="373"/>
      <c r="BT40" s="373"/>
      <c r="BU40" s="618"/>
      <c r="BV40" s="374">
        <v>0</v>
      </c>
      <c r="BW40" s="869"/>
      <c r="BX40" s="373">
        <v>1</v>
      </c>
      <c r="BY40" s="373"/>
      <c r="BZ40" s="870"/>
      <c r="CA40" s="373"/>
      <c r="CB40" s="373"/>
      <c r="CC40" s="373">
        <v>2</v>
      </c>
      <c r="CD40" s="618"/>
      <c r="CE40" s="374">
        <v>0</v>
      </c>
      <c r="CF40" s="869"/>
      <c r="CG40" s="373"/>
      <c r="CH40" s="373"/>
      <c r="CI40" s="870"/>
      <c r="CJ40" s="373"/>
      <c r="CK40" s="373"/>
      <c r="CL40" s="373"/>
      <c r="CM40" s="618"/>
      <c r="CN40" s="374">
        <v>0</v>
      </c>
      <c r="CO40" s="869"/>
      <c r="CP40" s="373"/>
      <c r="CQ40" s="373"/>
      <c r="CR40" s="870"/>
      <c r="CS40" s="373"/>
      <c r="CT40" s="373"/>
      <c r="CU40" s="373"/>
      <c r="CV40" s="618"/>
      <c r="CW40" s="374">
        <v>0</v>
      </c>
      <c r="CX40" s="869">
        <v>5</v>
      </c>
      <c r="CY40" s="373">
        <v>3</v>
      </c>
      <c r="CZ40" s="373">
        <v>3</v>
      </c>
      <c r="DA40" s="870">
        <v>8</v>
      </c>
      <c r="DB40" s="373">
        <v>4</v>
      </c>
      <c r="DC40" s="373">
        <v>2</v>
      </c>
      <c r="DD40" s="373"/>
      <c r="DE40" s="618">
        <v>1</v>
      </c>
      <c r="DF40" s="374">
        <v>0</v>
      </c>
      <c r="DG40" s="869"/>
      <c r="DH40" s="373"/>
      <c r="DI40" s="373"/>
      <c r="DJ40" s="870"/>
      <c r="DK40" s="373"/>
      <c r="DL40" s="373"/>
      <c r="DM40" s="373"/>
      <c r="DN40" s="618"/>
      <c r="DO40" s="374">
        <v>0</v>
      </c>
      <c r="DP40" s="869"/>
      <c r="DQ40" s="373"/>
      <c r="DR40" s="373"/>
      <c r="DS40" s="870"/>
      <c r="DT40" s="373">
        <v>1</v>
      </c>
      <c r="DU40" s="373"/>
      <c r="DV40" s="373"/>
      <c r="DW40" s="618"/>
      <c r="DX40" s="374">
        <v>0</v>
      </c>
      <c r="DY40" s="869"/>
      <c r="DZ40" s="373"/>
      <c r="EA40" s="373"/>
      <c r="EB40" s="870"/>
      <c r="EC40" s="373">
        <v>1</v>
      </c>
      <c r="ED40" s="373">
        <v>1</v>
      </c>
      <c r="EE40" s="373"/>
      <c r="EF40" s="618"/>
      <c r="EG40" s="374">
        <v>0</v>
      </c>
      <c r="EH40" s="869"/>
      <c r="EI40" s="373"/>
      <c r="EJ40" s="373"/>
      <c r="EK40" s="870"/>
      <c r="EL40" s="373"/>
      <c r="EM40" s="373"/>
      <c r="EN40" s="373"/>
      <c r="EO40" s="618"/>
      <c r="EP40" s="374">
        <v>0</v>
      </c>
      <c r="EQ40" s="869"/>
      <c r="ER40" s="373"/>
      <c r="ES40" s="373"/>
      <c r="ET40" s="870"/>
      <c r="EU40" s="373"/>
      <c r="EV40" s="373"/>
      <c r="EW40" s="373"/>
      <c r="EX40" s="618"/>
      <c r="EY40" s="374">
        <v>0</v>
      </c>
      <c r="EZ40" s="869"/>
      <c r="FA40" s="373"/>
      <c r="FB40" s="373"/>
      <c r="FC40" s="870"/>
      <c r="FD40" s="373"/>
      <c r="FE40" s="373"/>
      <c r="FF40" s="373"/>
      <c r="FG40" s="618"/>
      <c r="FH40" s="374">
        <v>0</v>
      </c>
      <c r="FI40" s="869">
        <v>1</v>
      </c>
      <c r="FJ40" s="373">
        <v>1</v>
      </c>
      <c r="FK40" s="373"/>
      <c r="FL40" s="870"/>
      <c r="FM40" s="373"/>
      <c r="FN40" s="373"/>
      <c r="FO40" s="373">
        <v>1</v>
      </c>
      <c r="FP40" s="618"/>
      <c r="FQ40" s="374">
        <v>0</v>
      </c>
      <c r="FR40" s="869"/>
      <c r="FS40" s="373"/>
      <c r="FT40" s="373"/>
      <c r="FU40" s="870"/>
      <c r="FV40" s="373"/>
      <c r="FW40" s="373"/>
      <c r="FX40" s="373"/>
      <c r="FY40" s="618"/>
      <c r="FZ40" s="374">
        <v>0</v>
      </c>
      <c r="GA40" s="869"/>
      <c r="GB40" s="373">
        <v>2</v>
      </c>
      <c r="GC40" s="373"/>
      <c r="GD40" s="870"/>
      <c r="GE40" s="373"/>
      <c r="GF40" s="373"/>
      <c r="GG40" s="373"/>
      <c r="GH40" s="618"/>
      <c r="GI40" s="374">
        <v>0</v>
      </c>
      <c r="GJ40" s="869">
        <v>7</v>
      </c>
      <c r="GK40" s="373">
        <v>7</v>
      </c>
      <c r="GL40" s="373">
        <v>3</v>
      </c>
      <c r="GM40" s="870">
        <v>8</v>
      </c>
      <c r="GN40" s="373">
        <v>4</v>
      </c>
      <c r="GO40" s="373">
        <v>2</v>
      </c>
      <c r="GP40" s="373">
        <v>3</v>
      </c>
      <c r="GQ40" s="618">
        <v>1</v>
      </c>
      <c r="GR40" s="374">
        <v>0</v>
      </c>
      <c r="GS40" s="869"/>
      <c r="GT40" s="373">
        <v>1</v>
      </c>
      <c r="GU40" s="373">
        <v>1</v>
      </c>
      <c r="GV40" s="870">
        <v>2</v>
      </c>
      <c r="GW40" s="373"/>
      <c r="GX40" s="373"/>
      <c r="GY40" s="373">
        <v>1</v>
      </c>
      <c r="GZ40" s="618"/>
      <c r="HA40" s="374">
        <v>0</v>
      </c>
      <c r="HB40" s="869"/>
      <c r="HC40" s="373"/>
      <c r="HD40" s="373"/>
      <c r="HE40" s="870"/>
      <c r="HF40" s="373"/>
      <c r="HG40" s="373"/>
      <c r="HH40" s="373"/>
      <c r="HI40" s="618"/>
      <c r="HJ40" s="374">
        <v>0</v>
      </c>
      <c r="HK40" s="869"/>
      <c r="HL40" s="373"/>
      <c r="HM40" s="373"/>
      <c r="HN40" s="870"/>
      <c r="HO40" s="373"/>
      <c r="HP40" s="373"/>
      <c r="HQ40" s="373"/>
      <c r="HR40" s="618"/>
      <c r="HS40" s="374">
        <v>0</v>
      </c>
      <c r="HT40" s="869"/>
      <c r="HU40" s="373">
        <v>1</v>
      </c>
      <c r="HV40" s="373">
        <v>1</v>
      </c>
      <c r="HW40" s="870">
        <v>2</v>
      </c>
      <c r="HX40" s="373">
        <v>1</v>
      </c>
      <c r="HY40" s="373"/>
      <c r="HZ40" s="373">
        <v>2</v>
      </c>
      <c r="IA40" s="618"/>
      <c r="IB40" s="374">
        <v>1</v>
      </c>
      <c r="IC40" s="869">
        <v>21</v>
      </c>
      <c r="ID40" s="373">
        <v>8</v>
      </c>
      <c r="IE40" s="373">
        <v>4</v>
      </c>
      <c r="IF40" s="870">
        <v>9</v>
      </c>
      <c r="IG40" s="373">
        <v>7</v>
      </c>
      <c r="IH40" s="373">
        <v>3</v>
      </c>
      <c r="II40" s="373">
        <v>9</v>
      </c>
      <c r="IJ40" s="618">
        <v>1</v>
      </c>
      <c r="IK40" s="374">
        <v>1</v>
      </c>
      <c r="IL40" s="377">
        <v>3</v>
      </c>
      <c r="IM40" s="373">
        <v>1</v>
      </c>
      <c r="IN40" s="373">
        <v>1</v>
      </c>
      <c r="IO40" s="871">
        <v>1</v>
      </c>
      <c r="IP40" s="871">
        <v>2</v>
      </c>
      <c r="IQ40" s="373">
        <v>1</v>
      </c>
      <c r="IR40" s="373"/>
      <c r="IS40" s="618"/>
      <c r="IT40" s="374">
        <v>0</v>
      </c>
    </row>
    <row r="41" spans="1:254" s="245" customFormat="1" ht="12.75" customHeight="1" x14ac:dyDescent="0.2">
      <c r="A41" s="1052"/>
      <c r="B41" s="868" t="s">
        <v>893</v>
      </c>
      <c r="C41" s="869"/>
      <c r="D41" s="373"/>
      <c r="E41" s="373"/>
      <c r="F41" s="870"/>
      <c r="G41" s="373"/>
      <c r="H41" s="373"/>
      <c r="I41" s="373"/>
      <c r="J41" s="618"/>
      <c r="K41" s="374">
        <v>0</v>
      </c>
      <c r="L41" s="869"/>
      <c r="M41" s="373"/>
      <c r="N41" s="373"/>
      <c r="O41" s="870"/>
      <c r="P41" s="373"/>
      <c r="Q41" s="373"/>
      <c r="R41" s="373"/>
      <c r="S41" s="618"/>
      <c r="T41" s="374">
        <v>0</v>
      </c>
      <c r="U41" s="869"/>
      <c r="V41" s="373"/>
      <c r="W41" s="373"/>
      <c r="X41" s="870"/>
      <c r="Y41" s="373"/>
      <c r="Z41" s="373"/>
      <c r="AA41" s="373"/>
      <c r="AB41" s="618"/>
      <c r="AC41" s="374">
        <v>0</v>
      </c>
      <c r="AD41" s="869">
        <v>1</v>
      </c>
      <c r="AE41" s="373"/>
      <c r="AF41" s="373"/>
      <c r="AG41" s="870"/>
      <c r="AH41" s="373"/>
      <c r="AI41" s="373"/>
      <c r="AJ41" s="373"/>
      <c r="AK41" s="618">
        <v>1</v>
      </c>
      <c r="AL41" s="374">
        <v>1</v>
      </c>
      <c r="AM41" s="869"/>
      <c r="AN41" s="373"/>
      <c r="AO41" s="373"/>
      <c r="AP41" s="870"/>
      <c r="AQ41" s="373"/>
      <c r="AR41" s="373"/>
      <c r="AS41" s="373"/>
      <c r="AT41" s="618"/>
      <c r="AU41" s="374">
        <v>1</v>
      </c>
      <c r="AV41" s="869"/>
      <c r="AW41" s="373"/>
      <c r="AX41" s="373"/>
      <c r="AY41" s="870"/>
      <c r="AZ41" s="373"/>
      <c r="BA41" s="373"/>
      <c r="BB41" s="373"/>
      <c r="BC41" s="618"/>
      <c r="BD41" s="374">
        <v>0</v>
      </c>
      <c r="BE41" s="869"/>
      <c r="BF41" s="373"/>
      <c r="BG41" s="373"/>
      <c r="BH41" s="870"/>
      <c r="BI41" s="373"/>
      <c r="BJ41" s="373"/>
      <c r="BK41" s="373"/>
      <c r="BL41" s="618"/>
      <c r="BM41" s="374">
        <v>0</v>
      </c>
      <c r="BN41" s="869"/>
      <c r="BO41" s="373"/>
      <c r="BP41" s="373"/>
      <c r="BQ41" s="870"/>
      <c r="BR41" s="373"/>
      <c r="BS41" s="373"/>
      <c r="BT41" s="373"/>
      <c r="BU41" s="618"/>
      <c r="BV41" s="374">
        <v>0</v>
      </c>
      <c r="BW41" s="869">
        <v>1</v>
      </c>
      <c r="BX41" s="373">
        <v>1</v>
      </c>
      <c r="BY41" s="373"/>
      <c r="BZ41" s="870"/>
      <c r="CA41" s="373"/>
      <c r="CB41" s="373">
        <v>1</v>
      </c>
      <c r="CC41" s="373"/>
      <c r="CD41" s="618"/>
      <c r="CE41" s="374">
        <v>0</v>
      </c>
      <c r="CF41" s="869"/>
      <c r="CG41" s="373"/>
      <c r="CH41" s="373"/>
      <c r="CI41" s="870"/>
      <c r="CJ41" s="373"/>
      <c r="CK41" s="373"/>
      <c r="CL41" s="373"/>
      <c r="CM41" s="618"/>
      <c r="CN41" s="374">
        <v>0</v>
      </c>
      <c r="CO41" s="869"/>
      <c r="CP41" s="373"/>
      <c r="CQ41" s="373"/>
      <c r="CR41" s="870"/>
      <c r="CS41" s="373"/>
      <c r="CT41" s="373"/>
      <c r="CU41" s="373"/>
      <c r="CV41" s="618"/>
      <c r="CW41" s="374">
        <v>0</v>
      </c>
      <c r="CX41" s="869">
        <v>1</v>
      </c>
      <c r="CY41" s="373">
        <v>2</v>
      </c>
      <c r="CZ41" s="373">
        <v>6</v>
      </c>
      <c r="DA41" s="870">
        <v>4</v>
      </c>
      <c r="DB41" s="373">
        <v>3</v>
      </c>
      <c r="DC41" s="373">
        <v>2</v>
      </c>
      <c r="DD41" s="373"/>
      <c r="DE41" s="618"/>
      <c r="DF41" s="374">
        <v>1</v>
      </c>
      <c r="DG41" s="869"/>
      <c r="DH41" s="373"/>
      <c r="DI41" s="373"/>
      <c r="DJ41" s="870"/>
      <c r="DK41" s="373"/>
      <c r="DL41" s="373"/>
      <c r="DM41" s="373"/>
      <c r="DN41" s="618"/>
      <c r="DO41" s="374">
        <v>0</v>
      </c>
      <c r="DP41" s="869"/>
      <c r="DQ41" s="373"/>
      <c r="DR41" s="373"/>
      <c r="DS41" s="870"/>
      <c r="DT41" s="373"/>
      <c r="DU41" s="373"/>
      <c r="DV41" s="373"/>
      <c r="DW41" s="618"/>
      <c r="DX41" s="374">
        <v>1</v>
      </c>
      <c r="DY41" s="869"/>
      <c r="DZ41" s="373"/>
      <c r="EA41" s="373">
        <v>1</v>
      </c>
      <c r="EB41" s="870">
        <v>1</v>
      </c>
      <c r="EC41" s="373">
        <v>1</v>
      </c>
      <c r="ED41" s="373">
        <v>1</v>
      </c>
      <c r="EE41" s="373"/>
      <c r="EF41" s="618"/>
      <c r="EG41" s="374">
        <v>0</v>
      </c>
      <c r="EH41" s="869"/>
      <c r="EI41" s="373"/>
      <c r="EJ41" s="373"/>
      <c r="EK41" s="870"/>
      <c r="EL41" s="373"/>
      <c r="EM41" s="373"/>
      <c r="EN41" s="373"/>
      <c r="EO41" s="618"/>
      <c r="EP41" s="374">
        <v>0</v>
      </c>
      <c r="EQ41" s="869"/>
      <c r="ER41" s="373"/>
      <c r="ES41" s="373"/>
      <c r="ET41" s="870"/>
      <c r="EU41" s="373"/>
      <c r="EV41" s="373"/>
      <c r="EW41" s="373"/>
      <c r="EX41" s="618"/>
      <c r="EY41" s="374">
        <v>0</v>
      </c>
      <c r="EZ41" s="869"/>
      <c r="FA41" s="373"/>
      <c r="FB41" s="373"/>
      <c r="FC41" s="870"/>
      <c r="FD41" s="373"/>
      <c r="FE41" s="373"/>
      <c r="FF41" s="373"/>
      <c r="FG41" s="618"/>
      <c r="FH41" s="374">
        <v>0</v>
      </c>
      <c r="FI41" s="869">
        <v>1</v>
      </c>
      <c r="FJ41" s="373">
        <v>1</v>
      </c>
      <c r="FK41" s="373">
        <v>1</v>
      </c>
      <c r="FL41" s="870"/>
      <c r="FM41" s="373"/>
      <c r="FN41" s="373"/>
      <c r="FO41" s="373">
        <v>1</v>
      </c>
      <c r="FP41" s="618"/>
      <c r="FQ41" s="374">
        <v>1</v>
      </c>
      <c r="FR41" s="869"/>
      <c r="FS41" s="373"/>
      <c r="FT41" s="373"/>
      <c r="FU41" s="870"/>
      <c r="FV41" s="373"/>
      <c r="FW41" s="373"/>
      <c r="FX41" s="373"/>
      <c r="FY41" s="618"/>
      <c r="FZ41" s="374">
        <v>0</v>
      </c>
      <c r="GA41" s="869"/>
      <c r="GB41" s="373"/>
      <c r="GC41" s="373"/>
      <c r="GD41" s="870"/>
      <c r="GE41" s="373"/>
      <c r="GF41" s="373"/>
      <c r="GG41" s="373"/>
      <c r="GH41" s="618"/>
      <c r="GI41" s="374">
        <v>0</v>
      </c>
      <c r="GJ41" s="869">
        <v>4</v>
      </c>
      <c r="GK41" s="373">
        <v>4</v>
      </c>
      <c r="GL41" s="373">
        <v>7</v>
      </c>
      <c r="GM41" s="870">
        <v>4</v>
      </c>
      <c r="GN41" s="373">
        <v>3</v>
      </c>
      <c r="GO41" s="373">
        <v>3</v>
      </c>
      <c r="GP41" s="373">
        <v>1</v>
      </c>
      <c r="GQ41" s="618">
        <v>1</v>
      </c>
      <c r="GR41" s="374">
        <v>3</v>
      </c>
      <c r="GS41" s="869">
        <v>2</v>
      </c>
      <c r="GT41" s="373">
        <v>2</v>
      </c>
      <c r="GU41" s="373">
        <v>3</v>
      </c>
      <c r="GV41" s="870">
        <v>1</v>
      </c>
      <c r="GW41" s="373"/>
      <c r="GX41" s="373"/>
      <c r="GY41" s="373">
        <v>1</v>
      </c>
      <c r="GZ41" s="618"/>
      <c r="HA41" s="374">
        <v>0</v>
      </c>
      <c r="HB41" s="869"/>
      <c r="HC41" s="373"/>
      <c r="HD41" s="373"/>
      <c r="HE41" s="870"/>
      <c r="HF41" s="373"/>
      <c r="HG41" s="373"/>
      <c r="HH41" s="373"/>
      <c r="HI41" s="618"/>
      <c r="HJ41" s="374">
        <v>0</v>
      </c>
      <c r="HK41" s="869"/>
      <c r="HL41" s="373"/>
      <c r="HM41" s="373"/>
      <c r="HN41" s="870"/>
      <c r="HO41" s="373"/>
      <c r="HP41" s="373"/>
      <c r="HQ41" s="373"/>
      <c r="HR41" s="618"/>
      <c r="HS41" s="374">
        <v>0</v>
      </c>
      <c r="HT41" s="869">
        <v>3</v>
      </c>
      <c r="HU41" s="373">
        <v>3</v>
      </c>
      <c r="HV41" s="373">
        <v>4</v>
      </c>
      <c r="HW41" s="870">
        <v>2</v>
      </c>
      <c r="HX41" s="373"/>
      <c r="HY41" s="373"/>
      <c r="HZ41" s="373">
        <v>1</v>
      </c>
      <c r="IA41" s="618">
        <v>1</v>
      </c>
      <c r="IB41" s="374">
        <v>0</v>
      </c>
      <c r="IC41" s="869">
        <v>12</v>
      </c>
      <c r="ID41" s="373">
        <v>11</v>
      </c>
      <c r="IE41" s="373">
        <v>9</v>
      </c>
      <c r="IF41" s="870">
        <v>5</v>
      </c>
      <c r="IG41" s="373">
        <v>4</v>
      </c>
      <c r="IH41" s="373">
        <v>5</v>
      </c>
      <c r="II41" s="373">
        <v>2</v>
      </c>
      <c r="IJ41" s="618">
        <v>5</v>
      </c>
      <c r="IK41" s="374">
        <v>5</v>
      </c>
      <c r="IL41" s="377">
        <v>1</v>
      </c>
      <c r="IM41" s="373"/>
      <c r="IN41" s="373">
        <v>1</v>
      </c>
      <c r="IO41" s="871">
        <v>2</v>
      </c>
      <c r="IP41" s="871"/>
      <c r="IQ41" s="373">
        <v>1</v>
      </c>
      <c r="IR41" s="373"/>
      <c r="IS41" s="618"/>
      <c r="IT41" s="374">
        <v>0</v>
      </c>
    </row>
    <row r="42" spans="1:254" s="245" customFormat="1" ht="12.75" customHeight="1" x14ac:dyDescent="0.2">
      <c r="A42" s="1052"/>
      <c r="B42" s="868" t="s">
        <v>894</v>
      </c>
      <c r="C42" s="869"/>
      <c r="D42" s="373"/>
      <c r="E42" s="373"/>
      <c r="F42" s="870"/>
      <c r="G42" s="373"/>
      <c r="H42" s="373"/>
      <c r="I42" s="373"/>
      <c r="J42" s="618"/>
      <c r="K42" s="374">
        <v>0</v>
      </c>
      <c r="L42" s="869"/>
      <c r="M42" s="373"/>
      <c r="N42" s="373"/>
      <c r="O42" s="870"/>
      <c r="P42" s="373"/>
      <c r="Q42" s="373"/>
      <c r="R42" s="373"/>
      <c r="S42" s="618"/>
      <c r="T42" s="374">
        <v>0</v>
      </c>
      <c r="U42" s="869"/>
      <c r="V42" s="373"/>
      <c r="W42" s="373"/>
      <c r="X42" s="870"/>
      <c r="Y42" s="373"/>
      <c r="Z42" s="373"/>
      <c r="AA42" s="373"/>
      <c r="AB42" s="618"/>
      <c r="AC42" s="374">
        <v>0</v>
      </c>
      <c r="AD42" s="869"/>
      <c r="AE42" s="373">
        <v>1</v>
      </c>
      <c r="AF42" s="373">
        <v>3</v>
      </c>
      <c r="AG42" s="870"/>
      <c r="AH42" s="373"/>
      <c r="AI42" s="373"/>
      <c r="AJ42" s="373">
        <v>1</v>
      </c>
      <c r="AK42" s="618"/>
      <c r="AL42" s="374">
        <v>1</v>
      </c>
      <c r="AM42" s="869"/>
      <c r="AN42" s="373"/>
      <c r="AO42" s="373">
        <v>1</v>
      </c>
      <c r="AP42" s="870"/>
      <c r="AQ42" s="373"/>
      <c r="AR42" s="373"/>
      <c r="AS42" s="373"/>
      <c r="AT42" s="618"/>
      <c r="AU42" s="374">
        <v>0</v>
      </c>
      <c r="AV42" s="869"/>
      <c r="AW42" s="373"/>
      <c r="AX42" s="373"/>
      <c r="AY42" s="870"/>
      <c r="AZ42" s="373"/>
      <c r="BA42" s="373"/>
      <c r="BB42" s="373"/>
      <c r="BC42" s="618"/>
      <c r="BD42" s="374">
        <v>0</v>
      </c>
      <c r="BE42" s="869"/>
      <c r="BF42" s="373"/>
      <c r="BG42" s="373"/>
      <c r="BH42" s="870"/>
      <c r="BI42" s="373"/>
      <c r="BJ42" s="373"/>
      <c r="BK42" s="373"/>
      <c r="BL42" s="618"/>
      <c r="BM42" s="374">
        <v>0</v>
      </c>
      <c r="BN42" s="869"/>
      <c r="BO42" s="373"/>
      <c r="BP42" s="373"/>
      <c r="BQ42" s="870"/>
      <c r="BR42" s="373"/>
      <c r="BS42" s="373"/>
      <c r="BT42" s="373"/>
      <c r="BU42" s="618"/>
      <c r="BV42" s="374">
        <v>0</v>
      </c>
      <c r="BW42" s="869">
        <v>1</v>
      </c>
      <c r="BX42" s="373">
        <v>1</v>
      </c>
      <c r="BY42" s="373">
        <v>5</v>
      </c>
      <c r="BZ42" s="870">
        <v>1</v>
      </c>
      <c r="CA42" s="373">
        <v>3</v>
      </c>
      <c r="CB42" s="373"/>
      <c r="CC42" s="373"/>
      <c r="CD42" s="618"/>
      <c r="CE42" s="374">
        <v>0</v>
      </c>
      <c r="CF42" s="869"/>
      <c r="CG42" s="373"/>
      <c r="CH42" s="373"/>
      <c r="CI42" s="870"/>
      <c r="CJ42" s="373"/>
      <c r="CK42" s="373"/>
      <c r="CL42" s="373"/>
      <c r="CM42" s="618"/>
      <c r="CN42" s="374">
        <v>0</v>
      </c>
      <c r="CO42" s="869"/>
      <c r="CP42" s="373"/>
      <c r="CQ42" s="373"/>
      <c r="CR42" s="870"/>
      <c r="CS42" s="373"/>
      <c r="CT42" s="373"/>
      <c r="CU42" s="373"/>
      <c r="CV42" s="618"/>
      <c r="CW42" s="374">
        <v>0</v>
      </c>
      <c r="CX42" s="869">
        <v>12</v>
      </c>
      <c r="CY42" s="373">
        <v>9</v>
      </c>
      <c r="CZ42" s="373">
        <v>9</v>
      </c>
      <c r="DA42" s="870">
        <v>1</v>
      </c>
      <c r="DB42" s="373">
        <v>5</v>
      </c>
      <c r="DC42" s="373">
        <v>4</v>
      </c>
      <c r="DD42" s="373">
        <v>2</v>
      </c>
      <c r="DE42" s="618">
        <v>3</v>
      </c>
      <c r="DF42" s="374">
        <v>3</v>
      </c>
      <c r="DG42" s="869"/>
      <c r="DH42" s="373"/>
      <c r="DI42" s="373"/>
      <c r="DJ42" s="870"/>
      <c r="DK42" s="373"/>
      <c r="DL42" s="373"/>
      <c r="DM42" s="373"/>
      <c r="DN42" s="618">
        <v>1</v>
      </c>
      <c r="DO42" s="374">
        <v>0</v>
      </c>
      <c r="DP42" s="869">
        <v>3</v>
      </c>
      <c r="DQ42" s="373"/>
      <c r="DR42" s="373"/>
      <c r="DS42" s="870"/>
      <c r="DT42" s="373"/>
      <c r="DU42" s="373"/>
      <c r="DV42" s="373"/>
      <c r="DW42" s="618"/>
      <c r="DX42" s="374">
        <v>0</v>
      </c>
      <c r="DY42" s="869"/>
      <c r="DZ42" s="373">
        <v>1</v>
      </c>
      <c r="EA42" s="373"/>
      <c r="EB42" s="870"/>
      <c r="EC42" s="373"/>
      <c r="ED42" s="373"/>
      <c r="EE42" s="373">
        <v>1</v>
      </c>
      <c r="EF42" s="618">
        <v>2</v>
      </c>
      <c r="EG42" s="374">
        <v>0</v>
      </c>
      <c r="EH42" s="869"/>
      <c r="EI42" s="373"/>
      <c r="EJ42" s="373"/>
      <c r="EK42" s="870"/>
      <c r="EL42" s="373"/>
      <c r="EM42" s="373"/>
      <c r="EN42" s="373"/>
      <c r="EO42" s="618"/>
      <c r="EP42" s="374">
        <v>0</v>
      </c>
      <c r="EQ42" s="869"/>
      <c r="ER42" s="373"/>
      <c r="ES42" s="373"/>
      <c r="ET42" s="870"/>
      <c r="EU42" s="373"/>
      <c r="EV42" s="373"/>
      <c r="EW42" s="373"/>
      <c r="EX42" s="618"/>
      <c r="EY42" s="374">
        <v>0</v>
      </c>
      <c r="EZ42" s="869"/>
      <c r="FA42" s="373"/>
      <c r="FB42" s="373"/>
      <c r="FC42" s="870"/>
      <c r="FD42" s="373"/>
      <c r="FE42" s="373"/>
      <c r="FF42" s="373"/>
      <c r="FG42" s="618"/>
      <c r="FH42" s="374">
        <v>0</v>
      </c>
      <c r="FI42" s="869">
        <v>2</v>
      </c>
      <c r="FJ42" s="373"/>
      <c r="FK42" s="373">
        <v>4</v>
      </c>
      <c r="FL42" s="870"/>
      <c r="FM42" s="373"/>
      <c r="FN42" s="373"/>
      <c r="FO42" s="373"/>
      <c r="FP42" s="618"/>
      <c r="FQ42" s="374">
        <v>0</v>
      </c>
      <c r="FR42" s="869">
        <v>1</v>
      </c>
      <c r="FS42" s="373"/>
      <c r="FT42" s="373">
        <v>1</v>
      </c>
      <c r="FU42" s="870"/>
      <c r="FV42" s="373"/>
      <c r="FW42" s="373"/>
      <c r="FX42" s="373"/>
      <c r="FY42" s="618"/>
      <c r="FZ42" s="374">
        <v>0</v>
      </c>
      <c r="GA42" s="869"/>
      <c r="GB42" s="373"/>
      <c r="GC42" s="373"/>
      <c r="GD42" s="870"/>
      <c r="GE42" s="373"/>
      <c r="GF42" s="373"/>
      <c r="GG42" s="373"/>
      <c r="GH42" s="618"/>
      <c r="GI42" s="374">
        <v>0</v>
      </c>
      <c r="GJ42" s="869">
        <v>16</v>
      </c>
      <c r="GK42" s="373">
        <v>11</v>
      </c>
      <c r="GL42" s="373">
        <v>22</v>
      </c>
      <c r="GM42" s="870">
        <v>2</v>
      </c>
      <c r="GN42" s="373">
        <v>8</v>
      </c>
      <c r="GO42" s="373">
        <v>4</v>
      </c>
      <c r="GP42" s="373">
        <v>3</v>
      </c>
      <c r="GQ42" s="618">
        <v>3</v>
      </c>
      <c r="GR42" s="374">
        <v>4</v>
      </c>
      <c r="GS42" s="869">
        <v>7</v>
      </c>
      <c r="GT42" s="373"/>
      <c r="GU42" s="373">
        <v>12</v>
      </c>
      <c r="GV42" s="870"/>
      <c r="GW42" s="373">
        <v>3</v>
      </c>
      <c r="GX42" s="373"/>
      <c r="GY42" s="373"/>
      <c r="GZ42" s="618"/>
      <c r="HA42" s="374">
        <v>1</v>
      </c>
      <c r="HB42" s="869"/>
      <c r="HC42" s="373"/>
      <c r="HD42" s="373"/>
      <c r="HE42" s="870"/>
      <c r="HF42" s="373">
        <v>1</v>
      </c>
      <c r="HG42" s="373"/>
      <c r="HH42" s="373"/>
      <c r="HI42" s="618"/>
      <c r="HJ42" s="374">
        <v>0</v>
      </c>
      <c r="HK42" s="869"/>
      <c r="HL42" s="373"/>
      <c r="HM42" s="373"/>
      <c r="HN42" s="870"/>
      <c r="HO42" s="373">
        <v>1</v>
      </c>
      <c r="HP42" s="373"/>
      <c r="HQ42" s="373"/>
      <c r="HR42" s="618"/>
      <c r="HS42" s="374">
        <v>0</v>
      </c>
      <c r="HT42" s="869">
        <v>10</v>
      </c>
      <c r="HU42" s="373">
        <v>4</v>
      </c>
      <c r="HV42" s="373">
        <v>16</v>
      </c>
      <c r="HW42" s="870">
        <v>1</v>
      </c>
      <c r="HX42" s="373">
        <v>9</v>
      </c>
      <c r="HY42" s="373">
        <v>1</v>
      </c>
      <c r="HZ42" s="373">
        <v>1</v>
      </c>
      <c r="IA42" s="618">
        <v>3</v>
      </c>
      <c r="IB42" s="374">
        <v>2</v>
      </c>
      <c r="IC42" s="869">
        <v>20</v>
      </c>
      <c r="ID42" s="373">
        <v>33</v>
      </c>
      <c r="IE42" s="373">
        <v>28</v>
      </c>
      <c r="IF42" s="870">
        <v>4</v>
      </c>
      <c r="IG42" s="373">
        <v>21</v>
      </c>
      <c r="IH42" s="373">
        <v>11</v>
      </c>
      <c r="II42" s="373">
        <v>12</v>
      </c>
      <c r="IJ42" s="618">
        <v>9</v>
      </c>
      <c r="IK42" s="374">
        <v>7</v>
      </c>
      <c r="IL42" s="377">
        <v>3</v>
      </c>
      <c r="IM42" s="373">
        <v>2</v>
      </c>
      <c r="IN42" s="373">
        <v>1</v>
      </c>
      <c r="IO42" s="871"/>
      <c r="IP42" s="871">
        <v>1</v>
      </c>
      <c r="IQ42" s="373">
        <v>2</v>
      </c>
      <c r="IR42" s="373">
        <v>1</v>
      </c>
      <c r="IS42" s="618">
        <v>2</v>
      </c>
      <c r="IT42" s="374">
        <v>0</v>
      </c>
    </row>
    <row r="43" spans="1:254" s="245" customFormat="1" ht="12.75" customHeight="1" x14ac:dyDescent="0.2">
      <c r="A43" s="1052"/>
      <c r="B43" s="868" t="s">
        <v>895</v>
      </c>
      <c r="C43" s="869"/>
      <c r="D43" s="373"/>
      <c r="E43" s="373"/>
      <c r="F43" s="870"/>
      <c r="G43" s="373"/>
      <c r="H43" s="373"/>
      <c r="I43" s="373"/>
      <c r="J43" s="618"/>
      <c r="K43" s="374">
        <v>0</v>
      </c>
      <c r="L43" s="869"/>
      <c r="M43" s="373"/>
      <c r="N43" s="373"/>
      <c r="O43" s="870"/>
      <c r="P43" s="373"/>
      <c r="Q43" s="373"/>
      <c r="R43" s="373"/>
      <c r="S43" s="618"/>
      <c r="T43" s="374">
        <v>0</v>
      </c>
      <c r="U43" s="869"/>
      <c r="V43" s="373"/>
      <c r="W43" s="373"/>
      <c r="X43" s="870"/>
      <c r="Y43" s="373"/>
      <c r="Z43" s="373"/>
      <c r="AA43" s="373"/>
      <c r="AB43" s="618"/>
      <c r="AC43" s="374">
        <v>0</v>
      </c>
      <c r="AD43" s="869"/>
      <c r="AE43" s="373"/>
      <c r="AF43" s="373">
        <v>2</v>
      </c>
      <c r="AG43" s="870"/>
      <c r="AH43" s="373">
        <v>1</v>
      </c>
      <c r="AI43" s="373"/>
      <c r="AJ43" s="373"/>
      <c r="AK43" s="618"/>
      <c r="AL43" s="374">
        <v>0</v>
      </c>
      <c r="AM43" s="869"/>
      <c r="AN43" s="373"/>
      <c r="AO43" s="373"/>
      <c r="AP43" s="870"/>
      <c r="AQ43" s="373"/>
      <c r="AR43" s="373"/>
      <c r="AS43" s="373"/>
      <c r="AT43" s="618"/>
      <c r="AU43" s="374">
        <v>0</v>
      </c>
      <c r="AV43" s="869"/>
      <c r="AW43" s="373"/>
      <c r="AX43" s="373"/>
      <c r="AY43" s="870"/>
      <c r="AZ43" s="373"/>
      <c r="BA43" s="373"/>
      <c r="BB43" s="373"/>
      <c r="BC43" s="618"/>
      <c r="BD43" s="374">
        <v>0</v>
      </c>
      <c r="BE43" s="869"/>
      <c r="BF43" s="373"/>
      <c r="BG43" s="373"/>
      <c r="BH43" s="870"/>
      <c r="BI43" s="373"/>
      <c r="BJ43" s="373"/>
      <c r="BK43" s="373"/>
      <c r="BL43" s="618"/>
      <c r="BM43" s="374">
        <v>0</v>
      </c>
      <c r="BN43" s="869"/>
      <c r="BO43" s="373"/>
      <c r="BP43" s="373"/>
      <c r="BQ43" s="870"/>
      <c r="BR43" s="373"/>
      <c r="BS43" s="373"/>
      <c r="BT43" s="373"/>
      <c r="BU43" s="618"/>
      <c r="BV43" s="374">
        <v>0</v>
      </c>
      <c r="BW43" s="869"/>
      <c r="BX43" s="373"/>
      <c r="BY43" s="373">
        <v>1</v>
      </c>
      <c r="BZ43" s="870"/>
      <c r="CA43" s="373">
        <v>1</v>
      </c>
      <c r="CB43" s="373"/>
      <c r="CC43" s="373"/>
      <c r="CD43" s="618"/>
      <c r="CE43" s="374">
        <v>0</v>
      </c>
      <c r="CF43" s="869"/>
      <c r="CG43" s="373"/>
      <c r="CH43" s="373"/>
      <c r="CI43" s="870"/>
      <c r="CJ43" s="373"/>
      <c r="CK43" s="373"/>
      <c r="CL43" s="373"/>
      <c r="CM43" s="618"/>
      <c r="CN43" s="374">
        <v>0</v>
      </c>
      <c r="CO43" s="869"/>
      <c r="CP43" s="373">
        <v>1</v>
      </c>
      <c r="CQ43" s="373"/>
      <c r="CR43" s="870"/>
      <c r="CS43" s="373"/>
      <c r="CT43" s="373"/>
      <c r="CU43" s="373"/>
      <c r="CV43" s="618"/>
      <c r="CW43" s="374">
        <v>0</v>
      </c>
      <c r="CX43" s="869">
        <v>11</v>
      </c>
      <c r="CY43" s="373">
        <v>5</v>
      </c>
      <c r="CZ43" s="373">
        <v>6</v>
      </c>
      <c r="DA43" s="870">
        <v>5</v>
      </c>
      <c r="DB43" s="373">
        <v>3</v>
      </c>
      <c r="DC43" s="373">
        <v>4</v>
      </c>
      <c r="DD43" s="373">
        <v>2</v>
      </c>
      <c r="DE43" s="618">
        <v>2</v>
      </c>
      <c r="DF43" s="374">
        <v>2</v>
      </c>
      <c r="DG43" s="869"/>
      <c r="DH43" s="373"/>
      <c r="DI43" s="373"/>
      <c r="DJ43" s="870"/>
      <c r="DK43" s="373"/>
      <c r="DL43" s="373"/>
      <c r="DM43" s="373"/>
      <c r="DN43" s="618"/>
      <c r="DO43" s="374">
        <v>0</v>
      </c>
      <c r="DP43" s="869"/>
      <c r="DQ43" s="373"/>
      <c r="DR43" s="373"/>
      <c r="DS43" s="870"/>
      <c r="DT43" s="373"/>
      <c r="DU43" s="373">
        <v>2</v>
      </c>
      <c r="DV43" s="373"/>
      <c r="DW43" s="618"/>
      <c r="DX43" s="374">
        <v>0</v>
      </c>
      <c r="DY43" s="869">
        <v>1</v>
      </c>
      <c r="DZ43" s="373"/>
      <c r="EA43" s="373"/>
      <c r="EB43" s="870"/>
      <c r="EC43" s="373"/>
      <c r="ED43" s="373"/>
      <c r="EE43" s="373"/>
      <c r="EF43" s="618"/>
      <c r="EG43" s="374">
        <v>0</v>
      </c>
      <c r="EH43" s="869"/>
      <c r="EI43" s="373"/>
      <c r="EJ43" s="373"/>
      <c r="EK43" s="870"/>
      <c r="EL43" s="373"/>
      <c r="EM43" s="373"/>
      <c r="EN43" s="373"/>
      <c r="EO43" s="618"/>
      <c r="EP43" s="374">
        <v>0</v>
      </c>
      <c r="EQ43" s="869"/>
      <c r="ER43" s="373"/>
      <c r="ES43" s="373"/>
      <c r="ET43" s="870"/>
      <c r="EU43" s="373"/>
      <c r="EV43" s="373"/>
      <c r="EW43" s="373"/>
      <c r="EX43" s="618"/>
      <c r="EY43" s="374">
        <v>0</v>
      </c>
      <c r="EZ43" s="869"/>
      <c r="FA43" s="373"/>
      <c r="FB43" s="373"/>
      <c r="FC43" s="870"/>
      <c r="FD43" s="373"/>
      <c r="FE43" s="373"/>
      <c r="FF43" s="373"/>
      <c r="FG43" s="618"/>
      <c r="FH43" s="374">
        <v>0</v>
      </c>
      <c r="FI43" s="869"/>
      <c r="FJ43" s="373"/>
      <c r="FK43" s="373"/>
      <c r="FL43" s="870">
        <v>1</v>
      </c>
      <c r="FM43" s="373"/>
      <c r="FN43" s="373">
        <v>1</v>
      </c>
      <c r="FO43" s="373"/>
      <c r="FP43" s="618"/>
      <c r="FQ43" s="374">
        <v>0</v>
      </c>
      <c r="FR43" s="869"/>
      <c r="FS43" s="373"/>
      <c r="FT43" s="373">
        <v>1</v>
      </c>
      <c r="FU43" s="870"/>
      <c r="FV43" s="373"/>
      <c r="FW43" s="373"/>
      <c r="FX43" s="373"/>
      <c r="FY43" s="618"/>
      <c r="FZ43" s="374">
        <v>0</v>
      </c>
      <c r="GA43" s="869"/>
      <c r="GB43" s="373"/>
      <c r="GC43" s="373"/>
      <c r="GD43" s="870"/>
      <c r="GE43" s="373"/>
      <c r="GF43" s="373"/>
      <c r="GG43" s="373"/>
      <c r="GH43" s="618"/>
      <c r="GI43" s="374">
        <v>0</v>
      </c>
      <c r="GJ43" s="869">
        <v>11</v>
      </c>
      <c r="GK43" s="373">
        <v>6</v>
      </c>
      <c r="GL43" s="373">
        <v>10</v>
      </c>
      <c r="GM43" s="870">
        <v>6</v>
      </c>
      <c r="GN43" s="373">
        <v>5</v>
      </c>
      <c r="GO43" s="373">
        <v>5</v>
      </c>
      <c r="GP43" s="373">
        <v>2</v>
      </c>
      <c r="GQ43" s="618">
        <v>2</v>
      </c>
      <c r="GR43" s="374">
        <v>2</v>
      </c>
      <c r="GS43" s="869">
        <v>4</v>
      </c>
      <c r="GT43" s="373"/>
      <c r="GU43" s="373">
        <v>1</v>
      </c>
      <c r="GV43" s="870"/>
      <c r="GW43" s="373"/>
      <c r="GX43" s="373">
        <v>3</v>
      </c>
      <c r="GY43" s="373">
        <v>1</v>
      </c>
      <c r="GZ43" s="618"/>
      <c r="HA43" s="374">
        <v>0</v>
      </c>
      <c r="HB43" s="869"/>
      <c r="HC43" s="373"/>
      <c r="HD43" s="373"/>
      <c r="HE43" s="870"/>
      <c r="HF43" s="373"/>
      <c r="HG43" s="373"/>
      <c r="HH43" s="373"/>
      <c r="HI43" s="618"/>
      <c r="HJ43" s="374">
        <v>0</v>
      </c>
      <c r="HK43" s="869"/>
      <c r="HL43" s="373"/>
      <c r="HM43" s="373"/>
      <c r="HN43" s="870"/>
      <c r="HO43" s="373"/>
      <c r="HP43" s="373"/>
      <c r="HQ43" s="373"/>
      <c r="HR43" s="618"/>
      <c r="HS43" s="374">
        <v>0</v>
      </c>
      <c r="HT43" s="869">
        <v>6</v>
      </c>
      <c r="HU43" s="373">
        <v>4</v>
      </c>
      <c r="HV43" s="373">
        <v>1</v>
      </c>
      <c r="HW43" s="870">
        <v>1</v>
      </c>
      <c r="HX43" s="373">
        <v>2</v>
      </c>
      <c r="HY43" s="373">
        <v>4</v>
      </c>
      <c r="HZ43" s="373">
        <v>1</v>
      </c>
      <c r="IA43" s="618"/>
      <c r="IB43" s="374">
        <v>0</v>
      </c>
      <c r="IC43" s="869">
        <v>14</v>
      </c>
      <c r="ID43" s="373">
        <v>14</v>
      </c>
      <c r="IE43" s="373">
        <v>11</v>
      </c>
      <c r="IF43" s="870">
        <v>8</v>
      </c>
      <c r="IG43" s="373">
        <v>8</v>
      </c>
      <c r="IH43" s="373">
        <v>8</v>
      </c>
      <c r="II43" s="373">
        <v>2</v>
      </c>
      <c r="IJ43" s="618">
        <v>4</v>
      </c>
      <c r="IK43" s="374">
        <v>4</v>
      </c>
      <c r="IL43" s="377">
        <v>4</v>
      </c>
      <c r="IM43" s="373">
        <v>2</v>
      </c>
      <c r="IN43" s="373">
        <v>3</v>
      </c>
      <c r="IO43" s="871">
        <v>2</v>
      </c>
      <c r="IP43" s="871"/>
      <c r="IQ43" s="373"/>
      <c r="IR43" s="373"/>
      <c r="IS43" s="618"/>
      <c r="IT43" s="374">
        <v>0</v>
      </c>
    </row>
    <row r="44" spans="1:254" s="245" customFormat="1" ht="12.75" customHeight="1" x14ac:dyDescent="0.2">
      <c r="A44" s="1052"/>
      <c r="B44" s="868" t="s">
        <v>896</v>
      </c>
      <c r="C44" s="869"/>
      <c r="D44" s="373"/>
      <c r="E44" s="373"/>
      <c r="F44" s="870"/>
      <c r="G44" s="373"/>
      <c r="H44" s="373"/>
      <c r="I44" s="373"/>
      <c r="J44" s="618"/>
      <c r="K44" s="374">
        <v>0</v>
      </c>
      <c r="L44" s="869"/>
      <c r="M44" s="373"/>
      <c r="N44" s="373"/>
      <c r="O44" s="870"/>
      <c r="P44" s="373"/>
      <c r="Q44" s="373"/>
      <c r="R44" s="373"/>
      <c r="S44" s="618"/>
      <c r="T44" s="374">
        <v>0</v>
      </c>
      <c r="U44" s="869"/>
      <c r="V44" s="373"/>
      <c r="W44" s="373"/>
      <c r="X44" s="870"/>
      <c r="Y44" s="373"/>
      <c r="Z44" s="373"/>
      <c r="AA44" s="373"/>
      <c r="AB44" s="618"/>
      <c r="AC44" s="374">
        <v>0</v>
      </c>
      <c r="AD44" s="869"/>
      <c r="AE44" s="373"/>
      <c r="AF44" s="373"/>
      <c r="AG44" s="870"/>
      <c r="AH44" s="373"/>
      <c r="AI44" s="373"/>
      <c r="AJ44" s="373"/>
      <c r="AK44" s="618"/>
      <c r="AL44" s="374">
        <v>0</v>
      </c>
      <c r="AM44" s="869"/>
      <c r="AN44" s="373"/>
      <c r="AO44" s="373"/>
      <c r="AP44" s="870"/>
      <c r="AQ44" s="373"/>
      <c r="AR44" s="373"/>
      <c r="AS44" s="373"/>
      <c r="AT44" s="618"/>
      <c r="AU44" s="374">
        <v>0</v>
      </c>
      <c r="AV44" s="869"/>
      <c r="AW44" s="373"/>
      <c r="AX44" s="373"/>
      <c r="AY44" s="870"/>
      <c r="AZ44" s="373"/>
      <c r="BA44" s="373"/>
      <c r="BB44" s="373"/>
      <c r="BC44" s="618"/>
      <c r="BD44" s="374">
        <v>0</v>
      </c>
      <c r="BE44" s="869"/>
      <c r="BF44" s="373"/>
      <c r="BG44" s="373"/>
      <c r="BH44" s="870"/>
      <c r="BI44" s="373"/>
      <c r="BJ44" s="373"/>
      <c r="BK44" s="373"/>
      <c r="BL44" s="618"/>
      <c r="BM44" s="374">
        <v>0</v>
      </c>
      <c r="BN44" s="869"/>
      <c r="BO44" s="373"/>
      <c r="BP44" s="373"/>
      <c r="BQ44" s="870"/>
      <c r="BR44" s="373"/>
      <c r="BS44" s="373"/>
      <c r="BT44" s="373"/>
      <c r="BU44" s="618"/>
      <c r="BV44" s="374">
        <v>0</v>
      </c>
      <c r="BW44" s="869"/>
      <c r="BX44" s="373"/>
      <c r="BY44" s="373"/>
      <c r="BZ44" s="870"/>
      <c r="CA44" s="373"/>
      <c r="CB44" s="373"/>
      <c r="CC44" s="373"/>
      <c r="CD44" s="618"/>
      <c r="CE44" s="374">
        <v>0</v>
      </c>
      <c r="CF44" s="869"/>
      <c r="CG44" s="373"/>
      <c r="CH44" s="373"/>
      <c r="CI44" s="870"/>
      <c r="CJ44" s="373"/>
      <c r="CK44" s="373"/>
      <c r="CL44" s="373"/>
      <c r="CM44" s="618"/>
      <c r="CN44" s="374">
        <v>0</v>
      </c>
      <c r="CO44" s="869"/>
      <c r="CP44" s="373"/>
      <c r="CQ44" s="373"/>
      <c r="CR44" s="870"/>
      <c r="CS44" s="373"/>
      <c r="CT44" s="373"/>
      <c r="CU44" s="373"/>
      <c r="CV44" s="618"/>
      <c r="CW44" s="374">
        <v>0</v>
      </c>
      <c r="CX44" s="869">
        <v>2</v>
      </c>
      <c r="CY44" s="373"/>
      <c r="CZ44" s="373">
        <v>1</v>
      </c>
      <c r="DA44" s="870"/>
      <c r="DB44" s="373">
        <v>1</v>
      </c>
      <c r="DC44" s="373"/>
      <c r="DD44" s="373"/>
      <c r="DE44" s="618"/>
      <c r="DF44" s="374">
        <v>0</v>
      </c>
      <c r="DG44" s="869"/>
      <c r="DH44" s="373"/>
      <c r="DI44" s="373"/>
      <c r="DJ44" s="870"/>
      <c r="DK44" s="373"/>
      <c r="DL44" s="373"/>
      <c r="DM44" s="373"/>
      <c r="DN44" s="618"/>
      <c r="DO44" s="374">
        <v>0</v>
      </c>
      <c r="DP44" s="869"/>
      <c r="DQ44" s="373"/>
      <c r="DR44" s="373"/>
      <c r="DS44" s="870"/>
      <c r="DT44" s="373"/>
      <c r="DU44" s="373"/>
      <c r="DV44" s="373"/>
      <c r="DW44" s="618"/>
      <c r="DX44" s="374">
        <v>0</v>
      </c>
      <c r="DY44" s="869">
        <v>1</v>
      </c>
      <c r="DZ44" s="373"/>
      <c r="EA44" s="373"/>
      <c r="EB44" s="870"/>
      <c r="EC44" s="373"/>
      <c r="ED44" s="373"/>
      <c r="EE44" s="373"/>
      <c r="EF44" s="618"/>
      <c r="EG44" s="374">
        <v>0</v>
      </c>
      <c r="EH44" s="869"/>
      <c r="EI44" s="373"/>
      <c r="EJ44" s="373"/>
      <c r="EK44" s="870"/>
      <c r="EL44" s="373"/>
      <c r="EM44" s="373"/>
      <c r="EN44" s="373"/>
      <c r="EO44" s="618"/>
      <c r="EP44" s="374">
        <v>0</v>
      </c>
      <c r="EQ44" s="869"/>
      <c r="ER44" s="373"/>
      <c r="ES44" s="373"/>
      <c r="ET44" s="870"/>
      <c r="EU44" s="373"/>
      <c r="EV44" s="373"/>
      <c r="EW44" s="373"/>
      <c r="EX44" s="618"/>
      <c r="EY44" s="374">
        <v>0</v>
      </c>
      <c r="EZ44" s="869"/>
      <c r="FA44" s="373"/>
      <c r="FB44" s="373"/>
      <c r="FC44" s="870"/>
      <c r="FD44" s="373"/>
      <c r="FE44" s="373"/>
      <c r="FF44" s="373"/>
      <c r="FG44" s="618"/>
      <c r="FH44" s="374">
        <v>0</v>
      </c>
      <c r="FI44" s="869"/>
      <c r="FJ44" s="373"/>
      <c r="FK44" s="373"/>
      <c r="FL44" s="870"/>
      <c r="FM44" s="373"/>
      <c r="FN44" s="373"/>
      <c r="FO44" s="373"/>
      <c r="FP44" s="618"/>
      <c r="FQ44" s="374">
        <v>0</v>
      </c>
      <c r="FR44" s="869"/>
      <c r="FS44" s="373"/>
      <c r="FT44" s="373"/>
      <c r="FU44" s="870"/>
      <c r="FV44" s="373"/>
      <c r="FW44" s="373"/>
      <c r="FX44" s="373"/>
      <c r="FY44" s="618"/>
      <c r="FZ44" s="374">
        <v>0</v>
      </c>
      <c r="GA44" s="869"/>
      <c r="GB44" s="373"/>
      <c r="GC44" s="373"/>
      <c r="GD44" s="870"/>
      <c r="GE44" s="373"/>
      <c r="GF44" s="373"/>
      <c r="GG44" s="373"/>
      <c r="GH44" s="618"/>
      <c r="GI44" s="374">
        <v>0</v>
      </c>
      <c r="GJ44" s="869">
        <v>2</v>
      </c>
      <c r="GK44" s="373"/>
      <c r="GL44" s="373">
        <v>1</v>
      </c>
      <c r="GM44" s="870"/>
      <c r="GN44" s="373">
        <v>1</v>
      </c>
      <c r="GO44" s="373"/>
      <c r="GP44" s="373"/>
      <c r="GQ44" s="618"/>
      <c r="GR44" s="374">
        <v>0</v>
      </c>
      <c r="GS44" s="869"/>
      <c r="GT44" s="373"/>
      <c r="GU44" s="373">
        <v>1</v>
      </c>
      <c r="GV44" s="870"/>
      <c r="GW44" s="373"/>
      <c r="GX44" s="373"/>
      <c r="GY44" s="373"/>
      <c r="GZ44" s="618"/>
      <c r="HA44" s="374">
        <v>0</v>
      </c>
      <c r="HB44" s="869"/>
      <c r="HC44" s="373"/>
      <c r="HD44" s="373"/>
      <c r="HE44" s="870"/>
      <c r="HF44" s="373"/>
      <c r="HG44" s="373"/>
      <c r="HH44" s="373"/>
      <c r="HI44" s="618"/>
      <c r="HJ44" s="374">
        <v>0</v>
      </c>
      <c r="HK44" s="869"/>
      <c r="HL44" s="373"/>
      <c r="HM44" s="373"/>
      <c r="HN44" s="870"/>
      <c r="HO44" s="373"/>
      <c r="HP44" s="373"/>
      <c r="HQ44" s="373"/>
      <c r="HR44" s="618"/>
      <c r="HS44" s="374">
        <v>0</v>
      </c>
      <c r="HT44" s="869"/>
      <c r="HU44" s="373"/>
      <c r="HV44" s="373">
        <v>1</v>
      </c>
      <c r="HW44" s="870">
        <v>1</v>
      </c>
      <c r="HX44" s="373">
        <v>1</v>
      </c>
      <c r="HY44" s="373"/>
      <c r="HZ44" s="373">
        <v>1</v>
      </c>
      <c r="IA44" s="618"/>
      <c r="IB44" s="374">
        <v>0</v>
      </c>
      <c r="IC44" s="869">
        <v>3</v>
      </c>
      <c r="ID44" s="373"/>
      <c r="IE44" s="373">
        <v>1</v>
      </c>
      <c r="IF44" s="870">
        <v>1</v>
      </c>
      <c r="IG44" s="373">
        <v>2</v>
      </c>
      <c r="IH44" s="373"/>
      <c r="II44" s="373">
        <v>1</v>
      </c>
      <c r="IJ44" s="618"/>
      <c r="IK44" s="374">
        <v>0</v>
      </c>
      <c r="IL44" s="377">
        <v>1</v>
      </c>
      <c r="IM44" s="373"/>
      <c r="IN44" s="373"/>
      <c r="IO44" s="871"/>
      <c r="IP44" s="871"/>
      <c r="IQ44" s="373"/>
      <c r="IR44" s="373"/>
      <c r="IS44" s="618"/>
      <c r="IT44" s="374">
        <v>0</v>
      </c>
    </row>
    <row r="45" spans="1:254" s="245" customFormat="1" ht="12.75" customHeight="1" x14ac:dyDescent="0.2">
      <c r="A45" s="1052"/>
      <c r="B45" s="868" t="s">
        <v>897</v>
      </c>
      <c r="C45" s="869"/>
      <c r="D45" s="373"/>
      <c r="E45" s="373"/>
      <c r="F45" s="870"/>
      <c r="G45" s="373"/>
      <c r="H45" s="373"/>
      <c r="I45" s="373"/>
      <c r="J45" s="618"/>
      <c r="K45" s="374">
        <v>0</v>
      </c>
      <c r="L45" s="869"/>
      <c r="M45" s="373"/>
      <c r="N45" s="373"/>
      <c r="O45" s="870"/>
      <c r="P45" s="373"/>
      <c r="Q45" s="373"/>
      <c r="R45" s="373"/>
      <c r="S45" s="618"/>
      <c r="T45" s="374">
        <v>0</v>
      </c>
      <c r="U45" s="869"/>
      <c r="V45" s="373"/>
      <c r="W45" s="373"/>
      <c r="X45" s="870"/>
      <c r="Y45" s="373"/>
      <c r="Z45" s="373"/>
      <c r="AA45" s="373"/>
      <c r="AB45" s="618"/>
      <c r="AC45" s="374">
        <v>0</v>
      </c>
      <c r="AD45" s="869"/>
      <c r="AE45" s="373"/>
      <c r="AF45" s="373"/>
      <c r="AG45" s="870"/>
      <c r="AH45" s="373">
        <v>1</v>
      </c>
      <c r="AI45" s="373"/>
      <c r="AJ45" s="373"/>
      <c r="AK45" s="618"/>
      <c r="AL45" s="374">
        <v>0</v>
      </c>
      <c r="AM45" s="869"/>
      <c r="AN45" s="373"/>
      <c r="AO45" s="373"/>
      <c r="AP45" s="870"/>
      <c r="AQ45" s="373">
        <v>1</v>
      </c>
      <c r="AR45" s="373"/>
      <c r="AS45" s="373"/>
      <c r="AT45" s="618"/>
      <c r="AU45" s="374">
        <v>0</v>
      </c>
      <c r="AV45" s="869"/>
      <c r="AW45" s="373"/>
      <c r="AX45" s="373"/>
      <c r="AY45" s="870"/>
      <c r="AZ45" s="373">
        <v>1</v>
      </c>
      <c r="BA45" s="373"/>
      <c r="BB45" s="373"/>
      <c r="BC45" s="618"/>
      <c r="BD45" s="374">
        <v>0</v>
      </c>
      <c r="BE45" s="869"/>
      <c r="BF45" s="373"/>
      <c r="BG45" s="373">
        <v>1</v>
      </c>
      <c r="BH45" s="870"/>
      <c r="BI45" s="373"/>
      <c r="BJ45" s="373"/>
      <c r="BK45" s="373"/>
      <c r="BL45" s="618"/>
      <c r="BM45" s="374">
        <v>0</v>
      </c>
      <c r="BN45" s="869"/>
      <c r="BO45" s="373"/>
      <c r="BP45" s="373"/>
      <c r="BQ45" s="870"/>
      <c r="BR45" s="373"/>
      <c r="BS45" s="373"/>
      <c r="BT45" s="373"/>
      <c r="BU45" s="618"/>
      <c r="BV45" s="374">
        <v>0</v>
      </c>
      <c r="BW45" s="869"/>
      <c r="BX45" s="373"/>
      <c r="BY45" s="373"/>
      <c r="BZ45" s="870"/>
      <c r="CA45" s="373"/>
      <c r="CB45" s="373"/>
      <c r="CC45" s="373"/>
      <c r="CD45" s="618"/>
      <c r="CE45" s="374">
        <v>0</v>
      </c>
      <c r="CF45" s="869"/>
      <c r="CG45" s="373"/>
      <c r="CH45" s="373"/>
      <c r="CI45" s="870"/>
      <c r="CJ45" s="373"/>
      <c r="CK45" s="373"/>
      <c r="CL45" s="373"/>
      <c r="CM45" s="618"/>
      <c r="CN45" s="374">
        <v>0</v>
      </c>
      <c r="CO45" s="869"/>
      <c r="CP45" s="373"/>
      <c r="CQ45" s="373"/>
      <c r="CR45" s="870"/>
      <c r="CS45" s="373"/>
      <c r="CT45" s="373"/>
      <c r="CU45" s="373"/>
      <c r="CV45" s="618"/>
      <c r="CW45" s="374">
        <v>0</v>
      </c>
      <c r="CX45" s="869"/>
      <c r="CY45" s="373">
        <v>1</v>
      </c>
      <c r="CZ45" s="373">
        <v>3</v>
      </c>
      <c r="DA45" s="870">
        <v>2</v>
      </c>
      <c r="DB45" s="373"/>
      <c r="DC45" s="373">
        <v>1</v>
      </c>
      <c r="DD45" s="373">
        <v>2</v>
      </c>
      <c r="DE45" s="618">
        <v>1</v>
      </c>
      <c r="DF45" s="374">
        <v>0</v>
      </c>
      <c r="DG45" s="869"/>
      <c r="DH45" s="373"/>
      <c r="DI45" s="373"/>
      <c r="DJ45" s="870"/>
      <c r="DK45" s="373"/>
      <c r="DL45" s="373"/>
      <c r="DM45" s="373"/>
      <c r="DN45" s="618"/>
      <c r="DO45" s="374">
        <v>0</v>
      </c>
      <c r="DP45" s="869"/>
      <c r="DQ45" s="373"/>
      <c r="DR45" s="373"/>
      <c r="DS45" s="870"/>
      <c r="DT45" s="373"/>
      <c r="DU45" s="373"/>
      <c r="DV45" s="373"/>
      <c r="DW45" s="618"/>
      <c r="DX45" s="374">
        <v>0</v>
      </c>
      <c r="DY45" s="869"/>
      <c r="DZ45" s="373">
        <v>1</v>
      </c>
      <c r="EA45" s="373">
        <v>2</v>
      </c>
      <c r="EB45" s="870">
        <v>1</v>
      </c>
      <c r="EC45" s="373"/>
      <c r="ED45" s="373"/>
      <c r="EE45" s="373"/>
      <c r="EF45" s="618"/>
      <c r="EG45" s="374">
        <v>0</v>
      </c>
      <c r="EH45" s="869"/>
      <c r="EI45" s="373"/>
      <c r="EJ45" s="373"/>
      <c r="EK45" s="870"/>
      <c r="EL45" s="373"/>
      <c r="EM45" s="373"/>
      <c r="EN45" s="373"/>
      <c r="EO45" s="618"/>
      <c r="EP45" s="374">
        <v>0</v>
      </c>
      <c r="EQ45" s="869"/>
      <c r="ER45" s="373"/>
      <c r="ES45" s="373"/>
      <c r="ET45" s="870"/>
      <c r="EU45" s="373"/>
      <c r="EV45" s="373"/>
      <c r="EW45" s="373"/>
      <c r="EX45" s="618"/>
      <c r="EY45" s="374">
        <v>0</v>
      </c>
      <c r="EZ45" s="869"/>
      <c r="FA45" s="373"/>
      <c r="FB45" s="373"/>
      <c r="FC45" s="870"/>
      <c r="FD45" s="373"/>
      <c r="FE45" s="373"/>
      <c r="FF45" s="373"/>
      <c r="FG45" s="618"/>
      <c r="FH45" s="374">
        <v>0</v>
      </c>
      <c r="FI45" s="869"/>
      <c r="FJ45" s="373"/>
      <c r="FK45" s="373"/>
      <c r="FL45" s="870"/>
      <c r="FM45" s="373"/>
      <c r="FN45" s="373"/>
      <c r="FO45" s="373"/>
      <c r="FP45" s="618"/>
      <c r="FQ45" s="374">
        <v>0</v>
      </c>
      <c r="FR45" s="869"/>
      <c r="FS45" s="373"/>
      <c r="FT45" s="373"/>
      <c r="FU45" s="870"/>
      <c r="FV45" s="373"/>
      <c r="FW45" s="373"/>
      <c r="FX45" s="373"/>
      <c r="FY45" s="618"/>
      <c r="FZ45" s="374">
        <v>0</v>
      </c>
      <c r="GA45" s="869"/>
      <c r="GB45" s="373"/>
      <c r="GC45" s="373"/>
      <c r="GD45" s="870"/>
      <c r="GE45" s="373"/>
      <c r="GF45" s="373"/>
      <c r="GG45" s="373"/>
      <c r="GH45" s="618"/>
      <c r="GI45" s="374">
        <v>0</v>
      </c>
      <c r="GJ45" s="869"/>
      <c r="GK45" s="373">
        <v>1</v>
      </c>
      <c r="GL45" s="373">
        <v>4</v>
      </c>
      <c r="GM45" s="870">
        <v>2</v>
      </c>
      <c r="GN45" s="373">
        <v>1</v>
      </c>
      <c r="GO45" s="373">
        <v>1</v>
      </c>
      <c r="GP45" s="373">
        <v>2</v>
      </c>
      <c r="GQ45" s="618">
        <v>1</v>
      </c>
      <c r="GR45" s="374">
        <v>0</v>
      </c>
      <c r="GS45" s="869"/>
      <c r="GT45" s="373"/>
      <c r="GU45" s="373">
        <v>1</v>
      </c>
      <c r="GV45" s="870">
        <v>1</v>
      </c>
      <c r="GW45" s="373"/>
      <c r="GX45" s="373"/>
      <c r="GY45" s="373"/>
      <c r="GZ45" s="618"/>
      <c r="HA45" s="374">
        <v>0</v>
      </c>
      <c r="HB45" s="869"/>
      <c r="HC45" s="373"/>
      <c r="HD45" s="373"/>
      <c r="HE45" s="870"/>
      <c r="HF45" s="373"/>
      <c r="HG45" s="373"/>
      <c r="HH45" s="373"/>
      <c r="HI45" s="618"/>
      <c r="HJ45" s="374">
        <v>0</v>
      </c>
      <c r="HK45" s="869"/>
      <c r="HL45" s="373"/>
      <c r="HM45" s="373"/>
      <c r="HN45" s="870"/>
      <c r="HO45" s="373"/>
      <c r="HP45" s="373"/>
      <c r="HQ45" s="373"/>
      <c r="HR45" s="618"/>
      <c r="HS45" s="374">
        <v>0</v>
      </c>
      <c r="HT45" s="869"/>
      <c r="HU45" s="373"/>
      <c r="HV45" s="373">
        <v>1</v>
      </c>
      <c r="HW45" s="870">
        <v>2</v>
      </c>
      <c r="HX45" s="373"/>
      <c r="HY45" s="373"/>
      <c r="HZ45" s="373"/>
      <c r="IA45" s="618"/>
      <c r="IB45" s="374">
        <v>0</v>
      </c>
      <c r="IC45" s="869"/>
      <c r="ID45" s="373">
        <v>3</v>
      </c>
      <c r="IE45" s="373">
        <v>4</v>
      </c>
      <c r="IF45" s="870">
        <v>4</v>
      </c>
      <c r="IG45" s="373">
        <v>3</v>
      </c>
      <c r="IH45" s="373">
        <v>3</v>
      </c>
      <c r="II45" s="373">
        <v>2</v>
      </c>
      <c r="IJ45" s="618">
        <v>3</v>
      </c>
      <c r="IK45" s="374">
        <v>1</v>
      </c>
      <c r="IL45" s="377"/>
      <c r="IM45" s="373">
        <v>1</v>
      </c>
      <c r="IN45" s="373">
        <v>2</v>
      </c>
      <c r="IO45" s="871"/>
      <c r="IP45" s="871"/>
      <c r="IQ45" s="373"/>
      <c r="IR45" s="373"/>
      <c r="IS45" s="618">
        <v>1</v>
      </c>
      <c r="IT45" s="374">
        <v>0</v>
      </c>
    </row>
    <row r="46" spans="1:254" s="245" customFormat="1" ht="12.75" customHeight="1" x14ac:dyDescent="0.2">
      <c r="A46" s="1052"/>
      <c r="B46" s="868" t="s">
        <v>898</v>
      </c>
      <c r="C46" s="869"/>
      <c r="D46" s="373"/>
      <c r="E46" s="373"/>
      <c r="F46" s="870"/>
      <c r="G46" s="373"/>
      <c r="H46" s="373"/>
      <c r="I46" s="373"/>
      <c r="J46" s="618"/>
      <c r="K46" s="374">
        <v>0</v>
      </c>
      <c r="L46" s="869"/>
      <c r="M46" s="373"/>
      <c r="N46" s="373"/>
      <c r="O46" s="870"/>
      <c r="P46" s="373"/>
      <c r="Q46" s="373"/>
      <c r="R46" s="373"/>
      <c r="S46" s="618"/>
      <c r="T46" s="374">
        <v>0</v>
      </c>
      <c r="U46" s="869"/>
      <c r="V46" s="373"/>
      <c r="W46" s="373"/>
      <c r="X46" s="870"/>
      <c r="Y46" s="373"/>
      <c r="Z46" s="373"/>
      <c r="AA46" s="373"/>
      <c r="AB46" s="618"/>
      <c r="AC46" s="374">
        <v>0</v>
      </c>
      <c r="AD46" s="869"/>
      <c r="AE46" s="373"/>
      <c r="AF46" s="373"/>
      <c r="AG46" s="870"/>
      <c r="AH46" s="373"/>
      <c r="AI46" s="373"/>
      <c r="AJ46" s="373"/>
      <c r="AK46" s="618"/>
      <c r="AL46" s="374">
        <v>0</v>
      </c>
      <c r="AM46" s="869"/>
      <c r="AN46" s="373"/>
      <c r="AO46" s="373"/>
      <c r="AP46" s="870"/>
      <c r="AQ46" s="373"/>
      <c r="AR46" s="373"/>
      <c r="AS46" s="373"/>
      <c r="AT46" s="618"/>
      <c r="AU46" s="374">
        <v>0</v>
      </c>
      <c r="AV46" s="869"/>
      <c r="AW46" s="373"/>
      <c r="AX46" s="373"/>
      <c r="AY46" s="870"/>
      <c r="AZ46" s="373"/>
      <c r="BA46" s="373"/>
      <c r="BB46" s="373"/>
      <c r="BC46" s="618"/>
      <c r="BD46" s="374">
        <v>0</v>
      </c>
      <c r="BE46" s="869"/>
      <c r="BF46" s="373"/>
      <c r="BG46" s="373"/>
      <c r="BH46" s="870"/>
      <c r="BI46" s="373"/>
      <c r="BJ46" s="373"/>
      <c r="BK46" s="373"/>
      <c r="BL46" s="618"/>
      <c r="BM46" s="374">
        <v>0</v>
      </c>
      <c r="BN46" s="869"/>
      <c r="BO46" s="373">
        <v>1</v>
      </c>
      <c r="BP46" s="373"/>
      <c r="BQ46" s="870"/>
      <c r="BR46" s="373"/>
      <c r="BS46" s="373"/>
      <c r="BT46" s="373"/>
      <c r="BU46" s="618"/>
      <c r="BV46" s="374">
        <v>0</v>
      </c>
      <c r="BW46" s="869"/>
      <c r="BX46" s="373"/>
      <c r="BY46" s="373"/>
      <c r="BZ46" s="870"/>
      <c r="CA46" s="373"/>
      <c r="CB46" s="373">
        <v>1</v>
      </c>
      <c r="CC46" s="373"/>
      <c r="CD46" s="618"/>
      <c r="CE46" s="374">
        <v>0</v>
      </c>
      <c r="CF46" s="869"/>
      <c r="CG46" s="373"/>
      <c r="CH46" s="373"/>
      <c r="CI46" s="870"/>
      <c r="CJ46" s="373"/>
      <c r="CK46" s="373"/>
      <c r="CL46" s="373"/>
      <c r="CM46" s="618"/>
      <c r="CN46" s="374">
        <v>0</v>
      </c>
      <c r="CO46" s="869"/>
      <c r="CP46" s="373"/>
      <c r="CQ46" s="373"/>
      <c r="CR46" s="870"/>
      <c r="CS46" s="373"/>
      <c r="CT46" s="373"/>
      <c r="CU46" s="373"/>
      <c r="CV46" s="618"/>
      <c r="CW46" s="374">
        <v>0</v>
      </c>
      <c r="CX46" s="869">
        <v>1</v>
      </c>
      <c r="CY46" s="373">
        <v>2</v>
      </c>
      <c r="CZ46" s="373">
        <v>2</v>
      </c>
      <c r="DA46" s="870">
        <v>3</v>
      </c>
      <c r="DB46" s="373">
        <v>2</v>
      </c>
      <c r="DC46" s="373">
        <v>1</v>
      </c>
      <c r="DD46" s="373"/>
      <c r="DE46" s="618"/>
      <c r="DF46" s="374">
        <v>2</v>
      </c>
      <c r="DG46" s="869"/>
      <c r="DH46" s="373"/>
      <c r="DI46" s="373"/>
      <c r="DJ46" s="870"/>
      <c r="DK46" s="373"/>
      <c r="DL46" s="373"/>
      <c r="DM46" s="373"/>
      <c r="DN46" s="618"/>
      <c r="DO46" s="374">
        <v>0</v>
      </c>
      <c r="DP46" s="869"/>
      <c r="DQ46" s="373"/>
      <c r="DR46" s="373"/>
      <c r="DS46" s="870"/>
      <c r="DT46" s="373"/>
      <c r="DU46" s="373"/>
      <c r="DV46" s="373"/>
      <c r="DW46" s="618"/>
      <c r="DX46" s="374">
        <v>0</v>
      </c>
      <c r="DY46" s="869"/>
      <c r="DZ46" s="373">
        <v>1</v>
      </c>
      <c r="EA46" s="373"/>
      <c r="EB46" s="870"/>
      <c r="EC46" s="373"/>
      <c r="ED46" s="373"/>
      <c r="EE46" s="373"/>
      <c r="EF46" s="618"/>
      <c r="EG46" s="374">
        <v>1</v>
      </c>
      <c r="EH46" s="869"/>
      <c r="EI46" s="373"/>
      <c r="EJ46" s="373"/>
      <c r="EK46" s="870"/>
      <c r="EL46" s="373"/>
      <c r="EM46" s="373"/>
      <c r="EN46" s="373"/>
      <c r="EO46" s="618"/>
      <c r="EP46" s="374">
        <v>0</v>
      </c>
      <c r="EQ46" s="869"/>
      <c r="ER46" s="373"/>
      <c r="ES46" s="373"/>
      <c r="ET46" s="870"/>
      <c r="EU46" s="373"/>
      <c r="EV46" s="373"/>
      <c r="EW46" s="373"/>
      <c r="EX46" s="618"/>
      <c r="EY46" s="374">
        <v>0</v>
      </c>
      <c r="EZ46" s="869"/>
      <c r="FA46" s="373"/>
      <c r="FB46" s="373"/>
      <c r="FC46" s="870"/>
      <c r="FD46" s="373"/>
      <c r="FE46" s="373"/>
      <c r="FF46" s="373"/>
      <c r="FG46" s="618"/>
      <c r="FH46" s="374">
        <v>0</v>
      </c>
      <c r="FI46" s="869"/>
      <c r="FJ46" s="373"/>
      <c r="FK46" s="373"/>
      <c r="FL46" s="870"/>
      <c r="FM46" s="373"/>
      <c r="FN46" s="373"/>
      <c r="FO46" s="373"/>
      <c r="FP46" s="618"/>
      <c r="FQ46" s="374">
        <v>0</v>
      </c>
      <c r="FR46" s="869"/>
      <c r="FS46" s="373"/>
      <c r="FT46" s="373"/>
      <c r="FU46" s="870"/>
      <c r="FV46" s="373"/>
      <c r="FW46" s="373"/>
      <c r="FX46" s="373"/>
      <c r="FY46" s="618"/>
      <c r="FZ46" s="374">
        <v>0</v>
      </c>
      <c r="GA46" s="869"/>
      <c r="GB46" s="373"/>
      <c r="GC46" s="373"/>
      <c r="GD46" s="870"/>
      <c r="GE46" s="373"/>
      <c r="GF46" s="373"/>
      <c r="GG46" s="373"/>
      <c r="GH46" s="618"/>
      <c r="GI46" s="374">
        <v>0</v>
      </c>
      <c r="GJ46" s="869">
        <v>1</v>
      </c>
      <c r="GK46" s="373">
        <v>3</v>
      </c>
      <c r="GL46" s="373">
        <v>2</v>
      </c>
      <c r="GM46" s="870">
        <v>3</v>
      </c>
      <c r="GN46" s="373">
        <v>2</v>
      </c>
      <c r="GO46" s="373">
        <v>2</v>
      </c>
      <c r="GP46" s="373"/>
      <c r="GQ46" s="618"/>
      <c r="GR46" s="374">
        <v>2</v>
      </c>
      <c r="GS46" s="869">
        <v>1</v>
      </c>
      <c r="GT46" s="373"/>
      <c r="GU46" s="373">
        <v>2</v>
      </c>
      <c r="GV46" s="870"/>
      <c r="GW46" s="373">
        <v>2</v>
      </c>
      <c r="GX46" s="373">
        <v>1</v>
      </c>
      <c r="GY46" s="373"/>
      <c r="GZ46" s="618"/>
      <c r="HA46" s="374">
        <v>1</v>
      </c>
      <c r="HB46" s="869"/>
      <c r="HC46" s="373"/>
      <c r="HD46" s="373"/>
      <c r="HE46" s="870"/>
      <c r="HF46" s="373"/>
      <c r="HG46" s="373"/>
      <c r="HH46" s="373"/>
      <c r="HI46" s="618"/>
      <c r="HJ46" s="374">
        <v>0</v>
      </c>
      <c r="HK46" s="869"/>
      <c r="HL46" s="373"/>
      <c r="HM46" s="373"/>
      <c r="HN46" s="870"/>
      <c r="HO46" s="373"/>
      <c r="HP46" s="373"/>
      <c r="HQ46" s="373"/>
      <c r="HR46" s="618"/>
      <c r="HS46" s="374">
        <v>0</v>
      </c>
      <c r="HT46" s="869">
        <v>1</v>
      </c>
      <c r="HU46" s="373"/>
      <c r="HV46" s="373">
        <v>3</v>
      </c>
      <c r="HW46" s="870"/>
      <c r="HX46" s="373">
        <v>2</v>
      </c>
      <c r="HY46" s="373">
        <v>1</v>
      </c>
      <c r="HZ46" s="373"/>
      <c r="IA46" s="618"/>
      <c r="IB46" s="374">
        <v>2</v>
      </c>
      <c r="IC46" s="869">
        <v>1</v>
      </c>
      <c r="ID46" s="373">
        <v>3</v>
      </c>
      <c r="IE46" s="373">
        <v>9</v>
      </c>
      <c r="IF46" s="870">
        <v>3</v>
      </c>
      <c r="IG46" s="373">
        <v>4</v>
      </c>
      <c r="IH46" s="373">
        <v>3</v>
      </c>
      <c r="II46" s="373">
        <v>1</v>
      </c>
      <c r="IJ46" s="618"/>
      <c r="IK46" s="374">
        <v>8</v>
      </c>
      <c r="IL46" s="377"/>
      <c r="IM46" s="373">
        <v>1</v>
      </c>
      <c r="IN46" s="373"/>
      <c r="IO46" s="871"/>
      <c r="IP46" s="871"/>
      <c r="IQ46" s="373"/>
      <c r="IR46" s="373"/>
      <c r="IS46" s="618"/>
      <c r="IT46" s="374">
        <v>1</v>
      </c>
    </row>
    <row r="47" spans="1:254" s="245" customFormat="1" ht="12.75" customHeight="1" x14ac:dyDescent="0.2">
      <c r="A47" s="1052"/>
      <c r="B47" s="868" t="s">
        <v>899</v>
      </c>
      <c r="C47" s="869"/>
      <c r="D47" s="373"/>
      <c r="E47" s="373"/>
      <c r="F47" s="870"/>
      <c r="G47" s="373"/>
      <c r="H47" s="373"/>
      <c r="I47" s="373"/>
      <c r="J47" s="618"/>
      <c r="K47" s="374">
        <v>0</v>
      </c>
      <c r="L47" s="869"/>
      <c r="M47" s="373"/>
      <c r="N47" s="373"/>
      <c r="O47" s="870"/>
      <c r="P47" s="373"/>
      <c r="Q47" s="373"/>
      <c r="R47" s="373"/>
      <c r="S47" s="618"/>
      <c r="T47" s="374">
        <v>0</v>
      </c>
      <c r="U47" s="869"/>
      <c r="V47" s="373"/>
      <c r="W47" s="373"/>
      <c r="X47" s="870"/>
      <c r="Y47" s="373"/>
      <c r="Z47" s="373"/>
      <c r="AA47" s="373"/>
      <c r="AB47" s="618"/>
      <c r="AC47" s="374">
        <v>0</v>
      </c>
      <c r="AD47" s="869"/>
      <c r="AE47" s="373"/>
      <c r="AF47" s="373"/>
      <c r="AG47" s="870"/>
      <c r="AH47" s="373"/>
      <c r="AI47" s="373"/>
      <c r="AJ47" s="373">
        <v>1</v>
      </c>
      <c r="AK47" s="618">
        <v>1</v>
      </c>
      <c r="AL47" s="374">
        <v>0</v>
      </c>
      <c r="AM47" s="869"/>
      <c r="AN47" s="373"/>
      <c r="AO47" s="373"/>
      <c r="AP47" s="870"/>
      <c r="AQ47" s="373"/>
      <c r="AR47" s="373"/>
      <c r="AS47" s="373"/>
      <c r="AT47" s="618"/>
      <c r="AU47" s="374">
        <v>0</v>
      </c>
      <c r="AV47" s="869"/>
      <c r="AW47" s="373"/>
      <c r="AX47" s="373"/>
      <c r="AY47" s="870"/>
      <c r="AZ47" s="373"/>
      <c r="BA47" s="373"/>
      <c r="BB47" s="373"/>
      <c r="BC47" s="618"/>
      <c r="BD47" s="374">
        <v>0</v>
      </c>
      <c r="BE47" s="869"/>
      <c r="BF47" s="373"/>
      <c r="BG47" s="373"/>
      <c r="BH47" s="870">
        <v>1</v>
      </c>
      <c r="BI47" s="373"/>
      <c r="BJ47" s="373"/>
      <c r="BK47" s="373"/>
      <c r="BL47" s="618"/>
      <c r="BM47" s="374">
        <v>0</v>
      </c>
      <c r="BN47" s="869"/>
      <c r="BO47" s="373"/>
      <c r="BP47" s="373"/>
      <c r="BQ47" s="870"/>
      <c r="BR47" s="373"/>
      <c r="BS47" s="373"/>
      <c r="BT47" s="373"/>
      <c r="BU47" s="618"/>
      <c r="BV47" s="374">
        <v>0</v>
      </c>
      <c r="BW47" s="869"/>
      <c r="BX47" s="373"/>
      <c r="BY47" s="373"/>
      <c r="BZ47" s="870"/>
      <c r="CA47" s="373"/>
      <c r="CB47" s="373"/>
      <c r="CC47" s="373"/>
      <c r="CD47" s="618"/>
      <c r="CE47" s="374">
        <v>0</v>
      </c>
      <c r="CF47" s="869"/>
      <c r="CG47" s="373"/>
      <c r="CH47" s="373"/>
      <c r="CI47" s="870"/>
      <c r="CJ47" s="373"/>
      <c r="CK47" s="373"/>
      <c r="CL47" s="373"/>
      <c r="CM47" s="618"/>
      <c r="CN47" s="374">
        <v>0</v>
      </c>
      <c r="CO47" s="869"/>
      <c r="CP47" s="373"/>
      <c r="CQ47" s="373"/>
      <c r="CR47" s="870">
        <v>1</v>
      </c>
      <c r="CS47" s="373"/>
      <c r="CT47" s="373"/>
      <c r="CU47" s="373"/>
      <c r="CV47" s="618"/>
      <c r="CW47" s="374">
        <v>0</v>
      </c>
      <c r="CX47" s="869">
        <v>1</v>
      </c>
      <c r="CY47" s="373">
        <v>4</v>
      </c>
      <c r="CZ47" s="373">
        <v>2</v>
      </c>
      <c r="DA47" s="870">
        <v>4</v>
      </c>
      <c r="DB47" s="373"/>
      <c r="DC47" s="373">
        <v>4</v>
      </c>
      <c r="DD47" s="373">
        <v>3</v>
      </c>
      <c r="DE47" s="618"/>
      <c r="DF47" s="374">
        <v>0</v>
      </c>
      <c r="DG47" s="869"/>
      <c r="DH47" s="373"/>
      <c r="DI47" s="373"/>
      <c r="DJ47" s="870"/>
      <c r="DK47" s="373"/>
      <c r="DL47" s="373"/>
      <c r="DM47" s="373"/>
      <c r="DN47" s="618"/>
      <c r="DO47" s="374">
        <v>0</v>
      </c>
      <c r="DP47" s="869"/>
      <c r="DQ47" s="373"/>
      <c r="DR47" s="373"/>
      <c r="DS47" s="870"/>
      <c r="DT47" s="373"/>
      <c r="DU47" s="373"/>
      <c r="DV47" s="373"/>
      <c r="DW47" s="618"/>
      <c r="DX47" s="374">
        <v>0</v>
      </c>
      <c r="DY47" s="869"/>
      <c r="DZ47" s="373"/>
      <c r="EA47" s="373"/>
      <c r="EB47" s="870"/>
      <c r="EC47" s="373"/>
      <c r="ED47" s="373"/>
      <c r="EE47" s="373">
        <v>1</v>
      </c>
      <c r="EF47" s="618"/>
      <c r="EG47" s="374">
        <v>0</v>
      </c>
      <c r="EH47" s="869"/>
      <c r="EI47" s="373"/>
      <c r="EJ47" s="373"/>
      <c r="EK47" s="870">
        <v>1</v>
      </c>
      <c r="EL47" s="373"/>
      <c r="EM47" s="373"/>
      <c r="EN47" s="373"/>
      <c r="EO47" s="618"/>
      <c r="EP47" s="374">
        <v>0</v>
      </c>
      <c r="EQ47" s="869"/>
      <c r="ER47" s="373"/>
      <c r="ES47" s="373"/>
      <c r="ET47" s="870"/>
      <c r="EU47" s="373"/>
      <c r="EV47" s="373"/>
      <c r="EW47" s="373"/>
      <c r="EX47" s="618"/>
      <c r="EY47" s="374">
        <v>0</v>
      </c>
      <c r="EZ47" s="869"/>
      <c r="FA47" s="373"/>
      <c r="FB47" s="373"/>
      <c r="FC47" s="870"/>
      <c r="FD47" s="373"/>
      <c r="FE47" s="373"/>
      <c r="FF47" s="373"/>
      <c r="FG47" s="618"/>
      <c r="FH47" s="374">
        <v>0</v>
      </c>
      <c r="FI47" s="869"/>
      <c r="FJ47" s="373"/>
      <c r="FK47" s="373"/>
      <c r="FL47" s="870"/>
      <c r="FM47" s="373"/>
      <c r="FN47" s="373"/>
      <c r="FO47" s="373"/>
      <c r="FP47" s="618"/>
      <c r="FQ47" s="374">
        <v>0</v>
      </c>
      <c r="FR47" s="869"/>
      <c r="FS47" s="373"/>
      <c r="FT47" s="373"/>
      <c r="FU47" s="870"/>
      <c r="FV47" s="373"/>
      <c r="FW47" s="373"/>
      <c r="FX47" s="373"/>
      <c r="FY47" s="618"/>
      <c r="FZ47" s="374">
        <v>0</v>
      </c>
      <c r="GA47" s="869"/>
      <c r="GB47" s="373"/>
      <c r="GC47" s="373"/>
      <c r="GD47" s="870"/>
      <c r="GE47" s="373"/>
      <c r="GF47" s="373"/>
      <c r="GG47" s="373"/>
      <c r="GH47" s="618"/>
      <c r="GI47" s="374">
        <v>0</v>
      </c>
      <c r="GJ47" s="869">
        <v>1</v>
      </c>
      <c r="GK47" s="373">
        <v>4</v>
      </c>
      <c r="GL47" s="373">
        <v>2</v>
      </c>
      <c r="GM47" s="870">
        <v>7</v>
      </c>
      <c r="GN47" s="373"/>
      <c r="GO47" s="373">
        <v>4</v>
      </c>
      <c r="GP47" s="373">
        <v>4</v>
      </c>
      <c r="GQ47" s="618">
        <v>1</v>
      </c>
      <c r="GR47" s="374">
        <v>0</v>
      </c>
      <c r="GS47" s="869"/>
      <c r="GT47" s="373"/>
      <c r="GU47" s="373"/>
      <c r="GV47" s="870">
        <v>1</v>
      </c>
      <c r="GW47" s="373"/>
      <c r="GX47" s="373"/>
      <c r="GY47" s="373"/>
      <c r="GZ47" s="618"/>
      <c r="HA47" s="374">
        <v>0</v>
      </c>
      <c r="HB47" s="869">
        <v>1</v>
      </c>
      <c r="HC47" s="373"/>
      <c r="HD47" s="373"/>
      <c r="HE47" s="870"/>
      <c r="HF47" s="373"/>
      <c r="HG47" s="373"/>
      <c r="HH47" s="373"/>
      <c r="HI47" s="618"/>
      <c r="HJ47" s="374">
        <v>0</v>
      </c>
      <c r="HK47" s="869"/>
      <c r="HL47" s="373"/>
      <c r="HM47" s="373"/>
      <c r="HN47" s="870"/>
      <c r="HO47" s="373"/>
      <c r="HP47" s="373"/>
      <c r="HQ47" s="373"/>
      <c r="HR47" s="618"/>
      <c r="HS47" s="374">
        <v>0</v>
      </c>
      <c r="HT47" s="869">
        <v>2</v>
      </c>
      <c r="HU47" s="373"/>
      <c r="HV47" s="373">
        <v>3</v>
      </c>
      <c r="HW47" s="870">
        <v>3</v>
      </c>
      <c r="HX47" s="373"/>
      <c r="HY47" s="373">
        <v>1</v>
      </c>
      <c r="HZ47" s="373"/>
      <c r="IA47" s="618">
        <v>1</v>
      </c>
      <c r="IB47" s="374">
        <v>0</v>
      </c>
      <c r="IC47" s="869">
        <v>4</v>
      </c>
      <c r="ID47" s="373">
        <v>5</v>
      </c>
      <c r="IE47" s="373">
        <v>5</v>
      </c>
      <c r="IF47" s="870">
        <v>13</v>
      </c>
      <c r="IG47" s="373">
        <v>5</v>
      </c>
      <c r="IH47" s="373">
        <v>7</v>
      </c>
      <c r="II47" s="373">
        <v>6</v>
      </c>
      <c r="IJ47" s="618">
        <v>5</v>
      </c>
      <c r="IK47" s="374">
        <v>1</v>
      </c>
      <c r="IL47" s="377">
        <v>1</v>
      </c>
      <c r="IM47" s="373">
        <v>1</v>
      </c>
      <c r="IN47" s="373"/>
      <c r="IO47" s="871">
        <v>1</v>
      </c>
      <c r="IP47" s="871"/>
      <c r="IQ47" s="373">
        <v>1</v>
      </c>
      <c r="IR47" s="373">
        <v>1</v>
      </c>
      <c r="IS47" s="618"/>
      <c r="IT47" s="374">
        <v>0</v>
      </c>
    </row>
    <row r="48" spans="1:254" s="245" customFormat="1" ht="12.75" customHeight="1" x14ac:dyDescent="0.2">
      <c r="A48" s="1052"/>
      <c r="B48" s="868" t="s">
        <v>900</v>
      </c>
      <c r="C48" s="869"/>
      <c r="D48" s="373"/>
      <c r="E48" s="373">
        <v>1</v>
      </c>
      <c r="F48" s="870"/>
      <c r="G48" s="373"/>
      <c r="H48" s="373"/>
      <c r="I48" s="373"/>
      <c r="J48" s="618"/>
      <c r="K48" s="374">
        <v>1</v>
      </c>
      <c r="L48" s="869"/>
      <c r="M48" s="373"/>
      <c r="N48" s="373"/>
      <c r="O48" s="870"/>
      <c r="P48" s="373"/>
      <c r="Q48" s="373"/>
      <c r="R48" s="373"/>
      <c r="S48" s="618"/>
      <c r="T48" s="374">
        <v>0</v>
      </c>
      <c r="U48" s="869"/>
      <c r="V48" s="373"/>
      <c r="W48" s="373">
        <v>1</v>
      </c>
      <c r="X48" s="870"/>
      <c r="Y48" s="373"/>
      <c r="Z48" s="373"/>
      <c r="AA48" s="373"/>
      <c r="AB48" s="618"/>
      <c r="AC48" s="374">
        <v>1</v>
      </c>
      <c r="AD48" s="869"/>
      <c r="AE48" s="373">
        <v>2</v>
      </c>
      <c r="AF48" s="373"/>
      <c r="AG48" s="870"/>
      <c r="AH48" s="373">
        <v>2</v>
      </c>
      <c r="AI48" s="373">
        <v>1</v>
      </c>
      <c r="AJ48" s="373">
        <v>2</v>
      </c>
      <c r="AK48" s="618"/>
      <c r="AL48" s="374">
        <v>1</v>
      </c>
      <c r="AM48" s="869"/>
      <c r="AN48" s="373">
        <v>1</v>
      </c>
      <c r="AO48" s="373"/>
      <c r="AP48" s="870"/>
      <c r="AQ48" s="373">
        <v>2</v>
      </c>
      <c r="AR48" s="373">
        <v>1</v>
      </c>
      <c r="AS48" s="373"/>
      <c r="AT48" s="618"/>
      <c r="AU48" s="374">
        <v>1</v>
      </c>
      <c r="AV48" s="869"/>
      <c r="AW48" s="373"/>
      <c r="AX48" s="373"/>
      <c r="AY48" s="870"/>
      <c r="AZ48" s="373"/>
      <c r="BA48" s="373"/>
      <c r="BB48" s="373"/>
      <c r="BC48" s="618"/>
      <c r="BD48" s="374">
        <v>0</v>
      </c>
      <c r="BE48" s="869"/>
      <c r="BF48" s="373"/>
      <c r="BG48" s="373"/>
      <c r="BH48" s="870"/>
      <c r="BI48" s="373"/>
      <c r="BJ48" s="373"/>
      <c r="BK48" s="373"/>
      <c r="BL48" s="618"/>
      <c r="BM48" s="374">
        <v>0</v>
      </c>
      <c r="BN48" s="869"/>
      <c r="BO48" s="373"/>
      <c r="BP48" s="373"/>
      <c r="BQ48" s="870"/>
      <c r="BR48" s="373"/>
      <c r="BS48" s="373"/>
      <c r="BT48" s="373"/>
      <c r="BU48" s="618"/>
      <c r="BV48" s="374">
        <v>0</v>
      </c>
      <c r="BW48" s="869">
        <v>1</v>
      </c>
      <c r="BX48" s="373">
        <v>1</v>
      </c>
      <c r="BY48" s="373"/>
      <c r="BZ48" s="870">
        <v>4</v>
      </c>
      <c r="CA48" s="373">
        <v>2</v>
      </c>
      <c r="CB48" s="373"/>
      <c r="CC48" s="373">
        <v>2</v>
      </c>
      <c r="CD48" s="618">
        <v>2</v>
      </c>
      <c r="CE48" s="374">
        <v>5</v>
      </c>
      <c r="CF48" s="869"/>
      <c r="CG48" s="373"/>
      <c r="CH48" s="373"/>
      <c r="CI48" s="870"/>
      <c r="CJ48" s="373"/>
      <c r="CK48" s="373"/>
      <c r="CL48" s="373"/>
      <c r="CM48" s="618"/>
      <c r="CN48" s="374">
        <v>1</v>
      </c>
      <c r="CO48" s="869"/>
      <c r="CP48" s="373">
        <v>1</v>
      </c>
      <c r="CQ48" s="373"/>
      <c r="CR48" s="870"/>
      <c r="CS48" s="373"/>
      <c r="CT48" s="373"/>
      <c r="CU48" s="373"/>
      <c r="CV48" s="618"/>
      <c r="CW48" s="374">
        <v>0</v>
      </c>
      <c r="CX48" s="869">
        <v>16</v>
      </c>
      <c r="CY48" s="373">
        <v>13</v>
      </c>
      <c r="CZ48" s="373">
        <v>9</v>
      </c>
      <c r="DA48" s="870">
        <v>5</v>
      </c>
      <c r="DB48" s="373">
        <v>16</v>
      </c>
      <c r="DC48" s="373">
        <v>8</v>
      </c>
      <c r="DD48" s="373">
        <v>7</v>
      </c>
      <c r="DE48" s="618">
        <v>13</v>
      </c>
      <c r="DF48" s="374">
        <v>3</v>
      </c>
      <c r="DG48" s="869"/>
      <c r="DH48" s="373"/>
      <c r="DI48" s="373"/>
      <c r="DJ48" s="870"/>
      <c r="DK48" s="373"/>
      <c r="DL48" s="373"/>
      <c r="DM48" s="373"/>
      <c r="DN48" s="618"/>
      <c r="DO48" s="374">
        <v>0</v>
      </c>
      <c r="DP48" s="869"/>
      <c r="DQ48" s="373"/>
      <c r="DR48" s="373"/>
      <c r="DS48" s="870"/>
      <c r="DT48" s="373"/>
      <c r="DU48" s="373"/>
      <c r="DV48" s="373"/>
      <c r="DW48" s="618"/>
      <c r="DX48" s="374">
        <v>0</v>
      </c>
      <c r="DY48" s="869">
        <v>3</v>
      </c>
      <c r="DZ48" s="373">
        <v>5</v>
      </c>
      <c r="EA48" s="373">
        <v>1</v>
      </c>
      <c r="EB48" s="870">
        <v>1</v>
      </c>
      <c r="EC48" s="373">
        <v>2</v>
      </c>
      <c r="ED48" s="373">
        <v>7</v>
      </c>
      <c r="EE48" s="373">
        <v>4</v>
      </c>
      <c r="EF48" s="618">
        <v>2</v>
      </c>
      <c r="EG48" s="374">
        <v>1</v>
      </c>
      <c r="EH48" s="869"/>
      <c r="EI48" s="373"/>
      <c r="EJ48" s="373"/>
      <c r="EK48" s="870"/>
      <c r="EL48" s="373"/>
      <c r="EM48" s="373"/>
      <c r="EN48" s="373"/>
      <c r="EO48" s="618"/>
      <c r="EP48" s="374">
        <v>0</v>
      </c>
      <c r="EQ48" s="869"/>
      <c r="ER48" s="373"/>
      <c r="ES48" s="373"/>
      <c r="ET48" s="870"/>
      <c r="EU48" s="373"/>
      <c r="EV48" s="373"/>
      <c r="EW48" s="373"/>
      <c r="EX48" s="618"/>
      <c r="EY48" s="374">
        <v>0</v>
      </c>
      <c r="EZ48" s="869"/>
      <c r="FA48" s="373"/>
      <c r="FB48" s="373"/>
      <c r="FC48" s="870"/>
      <c r="FD48" s="373"/>
      <c r="FE48" s="373"/>
      <c r="FF48" s="373"/>
      <c r="FG48" s="618"/>
      <c r="FH48" s="374">
        <v>0</v>
      </c>
      <c r="FI48" s="869"/>
      <c r="FJ48" s="373"/>
      <c r="FK48" s="373">
        <v>2</v>
      </c>
      <c r="FL48" s="870">
        <v>2</v>
      </c>
      <c r="FM48" s="373"/>
      <c r="FN48" s="373">
        <v>1</v>
      </c>
      <c r="FO48" s="373"/>
      <c r="FP48" s="618">
        <v>2</v>
      </c>
      <c r="FQ48" s="374">
        <v>0</v>
      </c>
      <c r="FR48" s="869"/>
      <c r="FS48" s="373"/>
      <c r="FT48" s="373"/>
      <c r="FU48" s="870"/>
      <c r="FV48" s="373"/>
      <c r="FW48" s="373">
        <v>1</v>
      </c>
      <c r="FX48" s="373"/>
      <c r="FY48" s="618"/>
      <c r="FZ48" s="374">
        <v>0</v>
      </c>
      <c r="GA48" s="869"/>
      <c r="GB48" s="373"/>
      <c r="GC48" s="373"/>
      <c r="GD48" s="870"/>
      <c r="GE48" s="373"/>
      <c r="GF48" s="373">
        <v>1</v>
      </c>
      <c r="GG48" s="373"/>
      <c r="GH48" s="618"/>
      <c r="GI48" s="374">
        <v>0</v>
      </c>
      <c r="GJ48" s="869">
        <v>17</v>
      </c>
      <c r="GK48" s="373">
        <v>17</v>
      </c>
      <c r="GL48" s="373">
        <v>12</v>
      </c>
      <c r="GM48" s="870">
        <v>11</v>
      </c>
      <c r="GN48" s="373">
        <v>20</v>
      </c>
      <c r="GO48" s="373">
        <v>12</v>
      </c>
      <c r="GP48" s="373">
        <v>11</v>
      </c>
      <c r="GQ48" s="618">
        <v>17</v>
      </c>
      <c r="GR48" s="374">
        <v>11</v>
      </c>
      <c r="GS48" s="869">
        <v>2</v>
      </c>
      <c r="GT48" s="373">
        <v>2</v>
      </c>
      <c r="GU48" s="373">
        <v>3</v>
      </c>
      <c r="GV48" s="870">
        <v>5</v>
      </c>
      <c r="GW48" s="373">
        <v>4</v>
      </c>
      <c r="GX48" s="373">
        <v>1</v>
      </c>
      <c r="GY48" s="373">
        <v>1</v>
      </c>
      <c r="GZ48" s="618">
        <v>4</v>
      </c>
      <c r="HA48" s="374">
        <v>3</v>
      </c>
      <c r="HB48" s="869"/>
      <c r="HC48" s="373"/>
      <c r="HD48" s="373"/>
      <c r="HE48" s="870"/>
      <c r="HF48" s="373"/>
      <c r="HG48" s="373"/>
      <c r="HH48" s="373">
        <v>1</v>
      </c>
      <c r="HI48" s="618">
        <v>1</v>
      </c>
      <c r="HJ48" s="374">
        <v>0</v>
      </c>
      <c r="HK48" s="869"/>
      <c r="HL48" s="373"/>
      <c r="HM48" s="373"/>
      <c r="HN48" s="870"/>
      <c r="HO48" s="373"/>
      <c r="HP48" s="373"/>
      <c r="HQ48" s="373"/>
      <c r="HR48" s="618"/>
      <c r="HS48" s="374">
        <v>1</v>
      </c>
      <c r="HT48" s="869">
        <v>8</v>
      </c>
      <c r="HU48" s="373">
        <v>9</v>
      </c>
      <c r="HV48" s="373">
        <v>11</v>
      </c>
      <c r="HW48" s="870">
        <v>15</v>
      </c>
      <c r="HX48" s="373">
        <v>6</v>
      </c>
      <c r="HY48" s="373">
        <v>7</v>
      </c>
      <c r="HZ48" s="373">
        <v>5</v>
      </c>
      <c r="IA48" s="618">
        <v>9</v>
      </c>
      <c r="IB48" s="374">
        <v>10</v>
      </c>
      <c r="IC48" s="869">
        <v>32</v>
      </c>
      <c r="ID48" s="373">
        <v>35</v>
      </c>
      <c r="IE48" s="373">
        <v>36</v>
      </c>
      <c r="IF48" s="870">
        <v>34</v>
      </c>
      <c r="IG48" s="373">
        <v>28</v>
      </c>
      <c r="IH48" s="373">
        <v>25</v>
      </c>
      <c r="II48" s="373">
        <v>20</v>
      </c>
      <c r="IJ48" s="618">
        <v>27</v>
      </c>
      <c r="IK48" s="374">
        <v>31</v>
      </c>
      <c r="IL48" s="377">
        <v>6</v>
      </c>
      <c r="IM48" s="373">
        <v>7</v>
      </c>
      <c r="IN48" s="373">
        <v>3</v>
      </c>
      <c r="IO48" s="871"/>
      <c r="IP48" s="871">
        <v>2</v>
      </c>
      <c r="IQ48" s="373">
        <v>7</v>
      </c>
      <c r="IR48" s="373">
        <v>4</v>
      </c>
      <c r="IS48" s="618">
        <v>5</v>
      </c>
      <c r="IT48" s="374">
        <v>1</v>
      </c>
    </row>
    <row r="49" spans="1:254" s="245" customFormat="1" ht="12.75" customHeight="1" x14ac:dyDescent="0.2">
      <c r="A49" s="1052"/>
      <c r="B49" s="868" t="s">
        <v>901</v>
      </c>
      <c r="C49" s="869"/>
      <c r="D49" s="373"/>
      <c r="E49" s="373"/>
      <c r="F49" s="870"/>
      <c r="G49" s="373"/>
      <c r="H49" s="373"/>
      <c r="I49" s="373"/>
      <c r="J49" s="618"/>
      <c r="K49" s="374">
        <v>0</v>
      </c>
      <c r="L49" s="869"/>
      <c r="M49" s="373"/>
      <c r="N49" s="373"/>
      <c r="O49" s="870"/>
      <c r="P49" s="373"/>
      <c r="Q49" s="373"/>
      <c r="R49" s="373"/>
      <c r="S49" s="618"/>
      <c r="T49" s="374">
        <v>0</v>
      </c>
      <c r="U49" s="869"/>
      <c r="V49" s="373"/>
      <c r="W49" s="373"/>
      <c r="X49" s="870"/>
      <c r="Y49" s="373"/>
      <c r="Z49" s="373"/>
      <c r="AA49" s="373"/>
      <c r="AB49" s="618"/>
      <c r="AC49" s="374">
        <v>0</v>
      </c>
      <c r="AD49" s="869"/>
      <c r="AE49" s="373"/>
      <c r="AF49" s="373"/>
      <c r="AG49" s="870"/>
      <c r="AH49" s="373"/>
      <c r="AI49" s="373">
        <v>1</v>
      </c>
      <c r="AJ49" s="373">
        <v>1</v>
      </c>
      <c r="AK49" s="618"/>
      <c r="AL49" s="374">
        <v>0</v>
      </c>
      <c r="AM49" s="869"/>
      <c r="AN49" s="373"/>
      <c r="AO49" s="373"/>
      <c r="AP49" s="870"/>
      <c r="AQ49" s="373"/>
      <c r="AR49" s="373">
        <v>1</v>
      </c>
      <c r="AS49" s="373"/>
      <c r="AT49" s="618"/>
      <c r="AU49" s="374">
        <v>0</v>
      </c>
      <c r="AV49" s="869"/>
      <c r="AW49" s="373"/>
      <c r="AX49" s="373"/>
      <c r="AY49" s="870"/>
      <c r="AZ49" s="373"/>
      <c r="BA49" s="373"/>
      <c r="BB49" s="373"/>
      <c r="BC49" s="618"/>
      <c r="BD49" s="374">
        <v>0</v>
      </c>
      <c r="BE49" s="869">
        <v>3</v>
      </c>
      <c r="BF49" s="373"/>
      <c r="BG49" s="373"/>
      <c r="BH49" s="870"/>
      <c r="BI49" s="373"/>
      <c r="BJ49" s="373"/>
      <c r="BK49" s="373"/>
      <c r="BL49" s="618"/>
      <c r="BM49" s="374">
        <v>0</v>
      </c>
      <c r="BN49" s="869"/>
      <c r="BO49" s="373"/>
      <c r="BP49" s="373"/>
      <c r="BQ49" s="870"/>
      <c r="BR49" s="373"/>
      <c r="BS49" s="373"/>
      <c r="BT49" s="373"/>
      <c r="BU49" s="618"/>
      <c r="BV49" s="374">
        <v>0</v>
      </c>
      <c r="BW49" s="869">
        <v>2</v>
      </c>
      <c r="BX49" s="373">
        <v>2</v>
      </c>
      <c r="BY49" s="373">
        <v>1</v>
      </c>
      <c r="BZ49" s="870">
        <v>1</v>
      </c>
      <c r="CA49" s="373">
        <v>2</v>
      </c>
      <c r="CB49" s="373">
        <v>4</v>
      </c>
      <c r="CC49" s="373">
        <v>1</v>
      </c>
      <c r="CD49" s="618"/>
      <c r="CE49" s="374">
        <v>0</v>
      </c>
      <c r="CF49" s="869"/>
      <c r="CG49" s="373"/>
      <c r="CH49" s="373"/>
      <c r="CI49" s="870"/>
      <c r="CJ49" s="373">
        <v>1</v>
      </c>
      <c r="CK49" s="373"/>
      <c r="CL49" s="373"/>
      <c r="CM49" s="618"/>
      <c r="CN49" s="374">
        <v>0</v>
      </c>
      <c r="CO49" s="869"/>
      <c r="CP49" s="373"/>
      <c r="CQ49" s="373"/>
      <c r="CR49" s="870"/>
      <c r="CS49" s="373"/>
      <c r="CT49" s="373"/>
      <c r="CU49" s="373"/>
      <c r="CV49" s="618"/>
      <c r="CW49" s="374">
        <v>0</v>
      </c>
      <c r="CX49" s="869">
        <v>10</v>
      </c>
      <c r="CY49" s="373">
        <v>12</v>
      </c>
      <c r="CZ49" s="373">
        <v>7</v>
      </c>
      <c r="DA49" s="870">
        <v>10</v>
      </c>
      <c r="DB49" s="373">
        <v>6</v>
      </c>
      <c r="DC49" s="373">
        <v>10</v>
      </c>
      <c r="DD49" s="373">
        <v>4</v>
      </c>
      <c r="DE49" s="618">
        <v>3</v>
      </c>
      <c r="DF49" s="374">
        <v>6</v>
      </c>
      <c r="DG49" s="869"/>
      <c r="DH49" s="373"/>
      <c r="DI49" s="373"/>
      <c r="DJ49" s="870"/>
      <c r="DK49" s="373"/>
      <c r="DL49" s="373"/>
      <c r="DM49" s="373"/>
      <c r="DN49" s="618"/>
      <c r="DO49" s="374">
        <v>0</v>
      </c>
      <c r="DP49" s="869"/>
      <c r="DQ49" s="373">
        <v>1</v>
      </c>
      <c r="DR49" s="373"/>
      <c r="DS49" s="870"/>
      <c r="DT49" s="373"/>
      <c r="DU49" s="373">
        <v>2</v>
      </c>
      <c r="DV49" s="373"/>
      <c r="DW49" s="618"/>
      <c r="DX49" s="374">
        <v>0</v>
      </c>
      <c r="DY49" s="869">
        <v>1</v>
      </c>
      <c r="DZ49" s="373"/>
      <c r="EA49" s="373"/>
      <c r="EB49" s="870">
        <v>3</v>
      </c>
      <c r="EC49" s="373">
        <v>3</v>
      </c>
      <c r="ED49" s="373">
        <v>1</v>
      </c>
      <c r="EE49" s="373">
        <v>1</v>
      </c>
      <c r="EF49" s="618"/>
      <c r="EG49" s="374">
        <v>0</v>
      </c>
      <c r="EH49" s="869"/>
      <c r="EI49" s="373"/>
      <c r="EJ49" s="373"/>
      <c r="EK49" s="870"/>
      <c r="EL49" s="373"/>
      <c r="EM49" s="373"/>
      <c r="EN49" s="373"/>
      <c r="EO49" s="618"/>
      <c r="EP49" s="374">
        <v>0</v>
      </c>
      <c r="EQ49" s="869"/>
      <c r="ER49" s="373"/>
      <c r="ES49" s="373"/>
      <c r="ET49" s="870"/>
      <c r="EU49" s="373"/>
      <c r="EV49" s="373"/>
      <c r="EW49" s="373"/>
      <c r="EX49" s="618"/>
      <c r="EY49" s="374">
        <v>0</v>
      </c>
      <c r="EZ49" s="869"/>
      <c r="FA49" s="373"/>
      <c r="FB49" s="373"/>
      <c r="FC49" s="870"/>
      <c r="FD49" s="373"/>
      <c r="FE49" s="373"/>
      <c r="FF49" s="373"/>
      <c r="FG49" s="618"/>
      <c r="FH49" s="374">
        <v>0</v>
      </c>
      <c r="FI49" s="869"/>
      <c r="FJ49" s="373"/>
      <c r="FK49" s="373"/>
      <c r="FL49" s="870"/>
      <c r="FM49" s="373"/>
      <c r="FN49" s="373"/>
      <c r="FO49" s="373"/>
      <c r="FP49" s="618"/>
      <c r="FQ49" s="374">
        <v>0</v>
      </c>
      <c r="FR49" s="869"/>
      <c r="FS49" s="373"/>
      <c r="FT49" s="373"/>
      <c r="FU49" s="870"/>
      <c r="FV49" s="373"/>
      <c r="FW49" s="373"/>
      <c r="FX49" s="373"/>
      <c r="FY49" s="618"/>
      <c r="FZ49" s="374">
        <v>0</v>
      </c>
      <c r="GA49" s="869"/>
      <c r="GB49" s="373"/>
      <c r="GC49" s="373"/>
      <c r="GD49" s="870">
        <v>1</v>
      </c>
      <c r="GE49" s="373"/>
      <c r="GF49" s="373"/>
      <c r="GG49" s="373"/>
      <c r="GH49" s="618">
        <v>1</v>
      </c>
      <c r="GI49" s="374">
        <v>0</v>
      </c>
      <c r="GJ49" s="869">
        <v>15</v>
      </c>
      <c r="GK49" s="373">
        <v>14</v>
      </c>
      <c r="GL49" s="373">
        <v>8</v>
      </c>
      <c r="GM49" s="870">
        <v>12</v>
      </c>
      <c r="GN49" s="373">
        <v>9</v>
      </c>
      <c r="GO49" s="373">
        <v>15</v>
      </c>
      <c r="GP49" s="373">
        <v>6</v>
      </c>
      <c r="GQ49" s="618">
        <v>4</v>
      </c>
      <c r="GR49" s="374">
        <v>6</v>
      </c>
      <c r="GS49" s="869">
        <v>3</v>
      </c>
      <c r="GT49" s="373">
        <v>4</v>
      </c>
      <c r="GU49" s="373">
        <v>4</v>
      </c>
      <c r="GV49" s="870">
        <v>1</v>
      </c>
      <c r="GW49" s="373">
        <v>2</v>
      </c>
      <c r="GX49" s="373">
        <v>5</v>
      </c>
      <c r="GY49" s="373"/>
      <c r="GZ49" s="618">
        <v>1</v>
      </c>
      <c r="HA49" s="374">
        <v>0</v>
      </c>
      <c r="HB49" s="869"/>
      <c r="HC49" s="373"/>
      <c r="HD49" s="373">
        <v>2</v>
      </c>
      <c r="HE49" s="870"/>
      <c r="HF49" s="373"/>
      <c r="HG49" s="373"/>
      <c r="HH49" s="373"/>
      <c r="HI49" s="618"/>
      <c r="HJ49" s="374">
        <v>0</v>
      </c>
      <c r="HK49" s="869"/>
      <c r="HL49" s="373"/>
      <c r="HM49" s="373"/>
      <c r="HN49" s="870"/>
      <c r="HO49" s="373"/>
      <c r="HP49" s="373"/>
      <c r="HQ49" s="373"/>
      <c r="HR49" s="618"/>
      <c r="HS49" s="374">
        <v>0</v>
      </c>
      <c r="HT49" s="869">
        <v>6</v>
      </c>
      <c r="HU49" s="373">
        <v>7</v>
      </c>
      <c r="HV49" s="373">
        <v>6</v>
      </c>
      <c r="HW49" s="870">
        <v>4</v>
      </c>
      <c r="HX49" s="373">
        <v>2</v>
      </c>
      <c r="HY49" s="373">
        <v>6</v>
      </c>
      <c r="HZ49" s="373">
        <v>4</v>
      </c>
      <c r="IA49" s="618">
        <v>4</v>
      </c>
      <c r="IB49" s="374">
        <v>2</v>
      </c>
      <c r="IC49" s="869">
        <v>25</v>
      </c>
      <c r="ID49" s="373">
        <v>24</v>
      </c>
      <c r="IE49" s="373">
        <v>20</v>
      </c>
      <c r="IF49" s="870">
        <v>18</v>
      </c>
      <c r="IG49" s="373">
        <v>12</v>
      </c>
      <c r="IH49" s="373">
        <v>21</v>
      </c>
      <c r="II49" s="373">
        <v>14</v>
      </c>
      <c r="IJ49" s="618">
        <v>9</v>
      </c>
      <c r="IK49" s="374">
        <v>11</v>
      </c>
      <c r="IL49" s="377">
        <v>3</v>
      </c>
      <c r="IM49" s="373"/>
      <c r="IN49" s="373"/>
      <c r="IO49" s="871">
        <v>5</v>
      </c>
      <c r="IP49" s="871">
        <v>1</v>
      </c>
      <c r="IQ49" s="373">
        <v>2</v>
      </c>
      <c r="IR49" s="373">
        <v>2</v>
      </c>
      <c r="IS49" s="618"/>
      <c r="IT49" s="374">
        <v>0</v>
      </c>
    </row>
    <row r="50" spans="1:254" s="245" customFormat="1" ht="12.75" customHeight="1" x14ac:dyDescent="0.2">
      <c r="A50" s="1052"/>
      <c r="B50" s="868" t="s">
        <v>902</v>
      </c>
      <c r="C50" s="869"/>
      <c r="D50" s="373"/>
      <c r="E50" s="373"/>
      <c r="F50" s="870"/>
      <c r="G50" s="373"/>
      <c r="H50" s="373"/>
      <c r="I50" s="373"/>
      <c r="J50" s="618"/>
      <c r="K50" s="374">
        <v>0</v>
      </c>
      <c r="L50" s="869"/>
      <c r="M50" s="373"/>
      <c r="N50" s="373"/>
      <c r="O50" s="870"/>
      <c r="P50" s="373"/>
      <c r="Q50" s="373"/>
      <c r="R50" s="373"/>
      <c r="S50" s="618"/>
      <c r="T50" s="374">
        <v>0</v>
      </c>
      <c r="U50" s="869"/>
      <c r="V50" s="373"/>
      <c r="W50" s="373"/>
      <c r="X50" s="870"/>
      <c r="Y50" s="373"/>
      <c r="Z50" s="373"/>
      <c r="AA50" s="373"/>
      <c r="AB50" s="618"/>
      <c r="AC50" s="374">
        <v>0</v>
      </c>
      <c r="AD50" s="869">
        <v>2</v>
      </c>
      <c r="AE50" s="373">
        <v>3</v>
      </c>
      <c r="AF50" s="373"/>
      <c r="AG50" s="870">
        <v>1</v>
      </c>
      <c r="AH50" s="373">
        <v>3</v>
      </c>
      <c r="AI50" s="373">
        <v>3</v>
      </c>
      <c r="AJ50" s="373">
        <v>3</v>
      </c>
      <c r="AK50" s="618">
        <v>8</v>
      </c>
      <c r="AL50" s="374">
        <v>0</v>
      </c>
      <c r="AM50" s="869"/>
      <c r="AN50" s="373"/>
      <c r="AO50" s="373"/>
      <c r="AP50" s="870"/>
      <c r="AQ50" s="373"/>
      <c r="AR50" s="373"/>
      <c r="AS50" s="373">
        <v>1</v>
      </c>
      <c r="AT50" s="618"/>
      <c r="AU50" s="374">
        <v>0</v>
      </c>
      <c r="AV50" s="869"/>
      <c r="AW50" s="373"/>
      <c r="AX50" s="373"/>
      <c r="AY50" s="870"/>
      <c r="AZ50" s="373"/>
      <c r="BA50" s="373"/>
      <c r="BB50" s="373"/>
      <c r="BC50" s="618"/>
      <c r="BD50" s="374">
        <v>0</v>
      </c>
      <c r="BE50" s="869"/>
      <c r="BF50" s="373"/>
      <c r="BG50" s="373"/>
      <c r="BH50" s="870"/>
      <c r="BI50" s="373"/>
      <c r="BJ50" s="373"/>
      <c r="BK50" s="373"/>
      <c r="BL50" s="618"/>
      <c r="BM50" s="374">
        <v>0</v>
      </c>
      <c r="BN50" s="869"/>
      <c r="BO50" s="373"/>
      <c r="BP50" s="373"/>
      <c r="BQ50" s="870"/>
      <c r="BR50" s="373"/>
      <c r="BS50" s="373"/>
      <c r="BT50" s="373"/>
      <c r="BU50" s="618"/>
      <c r="BV50" s="374">
        <v>0</v>
      </c>
      <c r="BW50" s="869">
        <v>1</v>
      </c>
      <c r="BX50" s="373">
        <v>4</v>
      </c>
      <c r="BY50" s="373"/>
      <c r="BZ50" s="870">
        <v>3</v>
      </c>
      <c r="CA50" s="373">
        <v>2</v>
      </c>
      <c r="CB50" s="373">
        <v>4</v>
      </c>
      <c r="CC50" s="373">
        <v>2</v>
      </c>
      <c r="CD50" s="618">
        <v>5</v>
      </c>
      <c r="CE50" s="374">
        <v>0</v>
      </c>
      <c r="CF50" s="869"/>
      <c r="CG50" s="373"/>
      <c r="CH50" s="373"/>
      <c r="CI50" s="870"/>
      <c r="CJ50" s="373"/>
      <c r="CK50" s="373"/>
      <c r="CL50" s="373"/>
      <c r="CM50" s="618"/>
      <c r="CN50" s="374">
        <v>0</v>
      </c>
      <c r="CO50" s="869"/>
      <c r="CP50" s="373"/>
      <c r="CQ50" s="373"/>
      <c r="CR50" s="870"/>
      <c r="CS50" s="373"/>
      <c r="CT50" s="373"/>
      <c r="CU50" s="373">
        <v>2</v>
      </c>
      <c r="CV50" s="618"/>
      <c r="CW50" s="374">
        <v>0</v>
      </c>
      <c r="CX50" s="869">
        <v>7</v>
      </c>
      <c r="CY50" s="373">
        <v>11</v>
      </c>
      <c r="CZ50" s="373">
        <v>8</v>
      </c>
      <c r="DA50" s="870">
        <v>5</v>
      </c>
      <c r="DB50" s="373"/>
      <c r="DC50" s="373">
        <v>3</v>
      </c>
      <c r="DD50" s="373">
        <v>6</v>
      </c>
      <c r="DE50" s="618">
        <v>6</v>
      </c>
      <c r="DF50" s="374">
        <v>9</v>
      </c>
      <c r="DG50" s="869"/>
      <c r="DH50" s="373"/>
      <c r="DI50" s="373"/>
      <c r="DJ50" s="870"/>
      <c r="DK50" s="373"/>
      <c r="DL50" s="373"/>
      <c r="DM50" s="373"/>
      <c r="DN50" s="618"/>
      <c r="DO50" s="374">
        <v>0</v>
      </c>
      <c r="DP50" s="869"/>
      <c r="DQ50" s="373"/>
      <c r="DR50" s="373"/>
      <c r="DS50" s="870"/>
      <c r="DT50" s="373"/>
      <c r="DU50" s="373"/>
      <c r="DV50" s="373"/>
      <c r="DW50" s="618"/>
      <c r="DX50" s="374">
        <v>0</v>
      </c>
      <c r="DY50" s="869"/>
      <c r="DZ50" s="373">
        <v>3</v>
      </c>
      <c r="EA50" s="373">
        <v>1</v>
      </c>
      <c r="EB50" s="870"/>
      <c r="EC50" s="373"/>
      <c r="ED50" s="373">
        <v>1</v>
      </c>
      <c r="EE50" s="373">
        <v>1</v>
      </c>
      <c r="EF50" s="618">
        <v>4</v>
      </c>
      <c r="EG50" s="374">
        <v>6</v>
      </c>
      <c r="EH50" s="869"/>
      <c r="EI50" s="373"/>
      <c r="EJ50" s="373">
        <v>1</v>
      </c>
      <c r="EK50" s="870"/>
      <c r="EL50" s="373"/>
      <c r="EM50" s="373"/>
      <c r="EN50" s="373"/>
      <c r="EO50" s="618"/>
      <c r="EP50" s="374">
        <v>0</v>
      </c>
      <c r="EQ50" s="869"/>
      <c r="ER50" s="373"/>
      <c r="ES50" s="373"/>
      <c r="ET50" s="870"/>
      <c r="EU50" s="373"/>
      <c r="EV50" s="373"/>
      <c r="EW50" s="373"/>
      <c r="EX50" s="618"/>
      <c r="EY50" s="374">
        <v>0</v>
      </c>
      <c r="EZ50" s="869"/>
      <c r="FA50" s="373"/>
      <c r="FB50" s="373"/>
      <c r="FC50" s="870"/>
      <c r="FD50" s="373"/>
      <c r="FE50" s="373"/>
      <c r="FF50" s="373"/>
      <c r="FG50" s="618"/>
      <c r="FH50" s="374">
        <v>0</v>
      </c>
      <c r="FI50" s="869"/>
      <c r="FJ50" s="373">
        <v>1</v>
      </c>
      <c r="FK50" s="373">
        <v>1</v>
      </c>
      <c r="FL50" s="870"/>
      <c r="FM50" s="373"/>
      <c r="FN50" s="373"/>
      <c r="FO50" s="373">
        <v>1</v>
      </c>
      <c r="FP50" s="618"/>
      <c r="FQ50" s="374">
        <v>0</v>
      </c>
      <c r="FR50" s="869">
        <v>1</v>
      </c>
      <c r="FS50" s="373"/>
      <c r="FT50" s="373"/>
      <c r="FU50" s="870"/>
      <c r="FV50" s="373"/>
      <c r="FW50" s="373"/>
      <c r="FX50" s="373"/>
      <c r="FY50" s="618"/>
      <c r="FZ50" s="374">
        <v>0</v>
      </c>
      <c r="GA50" s="869"/>
      <c r="GB50" s="373"/>
      <c r="GC50" s="373"/>
      <c r="GD50" s="870"/>
      <c r="GE50" s="373"/>
      <c r="GF50" s="373"/>
      <c r="GG50" s="373"/>
      <c r="GH50" s="618"/>
      <c r="GI50" s="374">
        <v>0</v>
      </c>
      <c r="GJ50" s="869">
        <v>11</v>
      </c>
      <c r="GK50" s="373">
        <v>19</v>
      </c>
      <c r="GL50" s="373">
        <v>10</v>
      </c>
      <c r="GM50" s="870">
        <v>9</v>
      </c>
      <c r="GN50" s="373">
        <v>5</v>
      </c>
      <c r="GO50" s="373">
        <v>10</v>
      </c>
      <c r="GP50" s="373">
        <v>14</v>
      </c>
      <c r="GQ50" s="618">
        <v>19</v>
      </c>
      <c r="GR50" s="374">
        <v>9</v>
      </c>
      <c r="GS50" s="869">
        <v>3</v>
      </c>
      <c r="GT50" s="373">
        <v>5</v>
      </c>
      <c r="GU50" s="373">
        <v>1</v>
      </c>
      <c r="GV50" s="870">
        <v>4</v>
      </c>
      <c r="GW50" s="373">
        <v>5</v>
      </c>
      <c r="GX50" s="373">
        <v>3</v>
      </c>
      <c r="GY50" s="373">
        <v>3</v>
      </c>
      <c r="GZ50" s="618">
        <v>6</v>
      </c>
      <c r="HA50" s="374">
        <v>0</v>
      </c>
      <c r="HB50" s="869"/>
      <c r="HC50" s="373"/>
      <c r="HD50" s="373"/>
      <c r="HE50" s="870"/>
      <c r="HF50" s="373"/>
      <c r="HG50" s="373"/>
      <c r="HH50" s="373"/>
      <c r="HI50" s="618"/>
      <c r="HJ50" s="374">
        <v>0</v>
      </c>
      <c r="HK50" s="869"/>
      <c r="HL50" s="373"/>
      <c r="HM50" s="373"/>
      <c r="HN50" s="870"/>
      <c r="HO50" s="373"/>
      <c r="HP50" s="373"/>
      <c r="HQ50" s="373"/>
      <c r="HR50" s="618"/>
      <c r="HS50" s="374">
        <v>0</v>
      </c>
      <c r="HT50" s="869">
        <v>3</v>
      </c>
      <c r="HU50" s="373">
        <v>6</v>
      </c>
      <c r="HV50" s="373">
        <v>2</v>
      </c>
      <c r="HW50" s="870">
        <v>5</v>
      </c>
      <c r="HX50" s="373">
        <v>6</v>
      </c>
      <c r="HY50" s="373">
        <v>3</v>
      </c>
      <c r="HZ50" s="373">
        <v>4</v>
      </c>
      <c r="IA50" s="618">
        <v>8</v>
      </c>
      <c r="IB50" s="374">
        <v>0</v>
      </c>
      <c r="IC50" s="869">
        <v>14</v>
      </c>
      <c r="ID50" s="373">
        <v>27</v>
      </c>
      <c r="IE50" s="373">
        <v>12</v>
      </c>
      <c r="IF50" s="870">
        <v>12</v>
      </c>
      <c r="IG50" s="373">
        <v>10</v>
      </c>
      <c r="IH50" s="373">
        <v>12</v>
      </c>
      <c r="II50" s="373">
        <v>31</v>
      </c>
      <c r="IJ50" s="618">
        <v>33</v>
      </c>
      <c r="IK50" s="374">
        <v>24</v>
      </c>
      <c r="IL50" s="377">
        <v>2</v>
      </c>
      <c r="IM50" s="373">
        <v>4</v>
      </c>
      <c r="IN50" s="373">
        <v>3</v>
      </c>
      <c r="IO50" s="871">
        <v>1</v>
      </c>
      <c r="IP50" s="871"/>
      <c r="IQ50" s="373">
        <v>1</v>
      </c>
      <c r="IR50" s="373">
        <v>1</v>
      </c>
      <c r="IS50" s="618">
        <v>6</v>
      </c>
      <c r="IT50" s="374">
        <v>7</v>
      </c>
    </row>
    <row r="51" spans="1:254" s="245" customFormat="1" ht="12.75" customHeight="1" x14ac:dyDescent="0.2">
      <c r="A51" s="1052"/>
      <c r="B51" s="868" t="s">
        <v>903</v>
      </c>
      <c r="C51" s="869"/>
      <c r="D51" s="373"/>
      <c r="E51" s="373"/>
      <c r="F51" s="870"/>
      <c r="G51" s="373"/>
      <c r="H51" s="373"/>
      <c r="I51" s="373"/>
      <c r="J51" s="618"/>
      <c r="K51" s="374">
        <v>0</v>
      </c>
      <c r="L51" s="869"/>
      <c r="M51" s="373"/>
      <c r="N51" s="373"/>
      <c r="O51" s="870"/>
      <c r="P51" s="373"/>
      <c r="Q51" s="373"/>
      <c r="R51" s="373"/>
      <c r="S51" s="618"/>
      <c r="T51" s="374">
        <v>0</v>
      </c>
      <c r="U51" s="869"/>
      <c r="V51" s="373"/>
      <c r="W51" s="373"/>
      <c r="X51" s="870"/>
      <c r="Y51" s="373"/>
      <c r="Z51" s="373"/>
      <c r="AA51" s="373"/>
      <c r="AB51" s="618"/>
      <c r="AC51" s="374">
        <v>0</v>
      </c>
      <c r="AD51" s="869"/>
      <c r="AE51" s="373"/>
      <c r="AF51" s="373"/>
      <c r="AG51" s="870"/>
      <c r="AH51" s="373"/>
      <c r="AI51" s="373"/>
      <c r="AJ51" s="373"/>
      <c r="AK51" s="618"/>
      <c r="AL51" s="374">
        <v>0</v>
      </c>
      <c r="AM51" s="869"/>
      <c r="AN51" s="373"/>
      <c r="AO51" s="373"/>
      <c r="AP51" s="870"/>
      <c r="AQ51" s="373"/>
      <c r="AR51" s="373"/>
      <c r="AS51" s="373"/>
      <c r="AT51" s="618"/>
      <c r="AU51" s="374">
        <v>0</v>
      </c>
      <c r="AV51" s="869"/>
      <c r="AW51" s="373"/>
      <c r="AX51" s="373"/>
      <c r="AY51" s="870"/>
      <c r="AZ51" s="373"/>
      <c r="BA51" s="373"/>
      <c r="BB51" s="373"/>
      <c r="BC51" s="618"/>
      <c r="BD51" s="374">
        <v>0</v>
      </c>
      <c r="BE51" s="869"/>
      <c r="BF51" s="373"/>
      <c r="BG51" s="373"/>
      <c r="BH51" s="870"/>
      <c r="BI51" s="373"/>
      <c r="BJ51" s="373"/>
      <c r="BK51" s="373"/>
      <c r="BL51" s="618"/>
      <c r="BM51" s="374">
        <v>0</v>
      </c>
      <c r="BN51" s="869"/>
      <c r="BO51" s="373"/>
      <c r="BP51" s="373"/>
      <c r="BQ51" s="870"/>
      <c r="BR51" s="373"/>
      <c r="BS51" s="373"/>
      <c r="BT51" s="373"/>
      <c r="BU51" s="618"/>
      <c r="BV51" s="374">
        <v>0</v>
      </c>
      <c r="BW51" s="869"/>
      <c r="BX51" s="373"/>
      <c r="BY51" s="373"/>
      <c r="BZ51" s="870"/>
      <c r="CA51" s="373"/>
      <c r="CB51" s="373"/>
      <c r="CC51" s="373"/>
      <c r="CD51" s="618"/>
      <c r="CE51" s="374">
        <v>0</v>
      </c>
      <c r="CF51" s="869"/>
      <c r="CG51" s="373"/>
      <c r="CH51" s="373"/>
      <c r="CI51" s="870"/>
      <c r="CJ51" s="373"/>
      <c r="CK51" s="373"/>
      <c r="CL51" s="373"/>
      <c r="CM51" s="618"/>
      <c r="CN51" s="374">
        <v>0</v>
      </c>
      <c r="CO51" s="869"/>
      <c r="CP51" s="373"/>
      <c r="CQ51" s="373"/>
      <c r="CR51" s="870"/>
      <c r="CS51" s="373"/>
      <c r="CT51" s="373"/>
      <c r="CU51" s="373"/>
      <c r="CV51" s="618"/>
      <c r="CW51" s="374">
        <v>0</v>
      </c>
      <c r="CX51" s="869"/>
      <c r="CY51" s="373"/>
      <c r="CZ51" s="373"/>
      <c r="DA51" s="870">
        <v>2</v>
      </c>
      <c r="DB51" s="373"/>
      <c r="DC51" s="373"/>
      <c r="DD51" s="373"/>
      <c r="DE51" s="618"/>
      <c r="DF51" s="374">
        <v>0</v>
      </c>
      <c r="DG51" s="869"/>
      <c r="DH51" s="373"/>
      <c r="DI51" s="373"/>
      <c r="DJ51" s="870"/>
      <c r="DK51" s="373"/>
      <c r="DL51" s="373"/>
      <c r="DM51" s="373"/>
      <c r="DN51" s="618"/>
      <c r="DO51" s="374">
        <v>0</v>
      </c>
      <c r="DP51" s="869"/>
      <c r="DQ51" s="373"/>
      <c r="DR51" s="373"/>
      <c r="DS51" s="870"/>
      <c r="DT51" s="373"/>
      <c r="DU51" s="373"/>
      <c r="DV51" s="373"/>
      <c r="DW51" s="618"/>
      <c r="DX51" s="374">
        <v>0</v>
      </c>
      <c r="DY51" s="869"/>
      <c r="DZ51" s="373"/>
      <c r="EA51" s="373"/>
      <c r="EB51" s="870">
        <v>1</v>
      </c>
      <c r="EC51" s="373"/>
      <c r="ED51" s="373"/>
      <c r="EE51" s="373"/>
      <c r="EF51" s="618"/>
      <c r="EG51" s="374">
        <v>0</v>
      </c>
      <c r="EH51" s="869"/>
      <c r="EI51" s="373"/>
      <c r="EJ51" s="373"/>
      <c r="EK51" s="870"/>
      <c r="EL51" s="373"/>
      <c r="EM51" s="373"/>
      <c r="EN51" s="373"/>
      <c r="EO51" s="618"/>
      <c r="EP51" s="374">
        <v>0</v>
      </c>
      <c r="EQ51" s="869"/>
      <c r="ER51" s="373"/>
      <c r="ES51" s="373"/>
      <c r="ET51" s="870"/>
      <c r="EU51" s="373"/>
      <c r="EV51" s="373"/>
      <c r="EW51" s="373"/>
      <c r="EX51" s="618"/>
      <c r="EY51" s="374">
        <v>0</v>
      </c>
      <c r="EZ51" s="869"/>
      <c r="FA51" s="373"/>
      <c r="FB51" s="373"/>
      <c r="FC51" s="870"/>
      <c r="FD51" s="373"/>
      <c r="FE51" s="373"/>
      <c r="FF51" s="373"/>
      <c r="FG51" s="618"/>
      <c r="FH51" s="374">
        <v>0</v>
      </c>
      <c r="FI51" s="869"/>
      <c r="FJ51" s="373"/>
      <c r="FK51" s="373"/>
      <c r="FL51" s="870"/>
      <c r="FM51" s="373"/>
      <c r="FN51" s="373"/>
      <c r="FO51" s="373"/>
      <c r="FP51" s="618"/>
      <c r="FQ51" s="374">
        <v>0</v>
      </c>
      <c r="FR51" s="869"/>
      <c r="FS51" s="373"/>
      <c r="FT51" s="373"/>
      <c r="FU51" s="870"/>
      <c r="FV51" s="373"/>
      <c r="FW51" s="373"/>
      <c r="FX51" s="373"/>
      <c r="FY51" s="618"/>
      <c r="FZ51" s="374">
        <v>0</v>
      </c>
      <c r="GA51" s="869"/>
      <c r="GB51" s="373"/>
      <c r="GC51" s="373"/>
      <c r="GD51" s="870"/>
      <c r="GE51" s="373"/>
      <c r="GF51" s="373"/>
      <c r="GG51" s="373"/>
      <c r="GH51" s="618"/>
      <c r="GI51" s="374">
        <v>0</v>
      </c>
      <c r="GJ51" s="869"/>
      <c r="GK51" s="373"/>
      <c r="GL51" s="373"/>
      <c r="GM51" s="870">
        <v>2</v>
      </c>
      <c r="GN51" s="373"/>
      <c r="GO51" s="373"/>
      <c r="GP51" s="373"/>
      <c r="GQ51" s="618"/>
      <c r="GR51" s="374">
        <v>0</v>
      </c>
      <c r="GS51" s="869"/>
      <c r="GT51" s="373"/>
      <c r="GU51" s="373"/>
      <c r="GV51" s="870"/>
      <c r="GW51" s="373"/>
      <c r="GX51" s="373"/>
      <c r="GY51" s="373"/>
      <c r="GZ51" s="618"/>
      <c r="HA51" s="374">
        <v>0</v>
      </c>
      <c r="HB51" s="869"/>
      <c r="HC51" s="373"/>
      <c r="HD51" s="373"/>
      <c r="HE51" s="870"/>
      <c r="HF51" s="373"/>
      <c r="HG51" s="373"/>
      <c r="HH51" s="373"/>
      <c r="HI51" s="618"/>
      <c r="HJ51" s="374">
        <v>0</v>
      </c>
      <c r="HK51" s="869"/>
      <c r="HL51" s="373"/>
      <c r="HM51" s="373"/>
      <c r="HN51" s="870"/>
      <c r="HO51" s="373"/>
      <c r="HP51" s="373"/>
      <c r="HQ51" s="373"/>
      <c r="HR51" s="618"/>
      <c r="HS51" s="374">
        <v>0</v>
      </c>
      <c r="HT51" s="869"/>
      <c r="HU51" s="373"/>
      <c r="HV51" s="373"/>
      <c r="HW51" s="870"/>
      <c r="HX51" s="373"/>
      <c r="HY51" s="373"/>
      <c r="HZ51" s="373"/>
      <c r="IA51" s="618"/>
      <c r="IB51" s="374">
        <v>1</v>
      </c>
      <c r="IC51" s="869">
        <v>2</v>
      </c>
      <c r="ID51" s="373">
        <v>1</v>
      </c>
      <c r="IE51" s="373">
        <v>1</v>
      </c>
      <c r="IF51" s="870">
        <v>2</v>
      </c>
      <c r="IG51" s="373"/>
      <c r="IH51" s="373"/>
      <c r="II51" s="373"/>
      <c r="IJ51" s="618"/>
      <c r="IK51" s="374">
        <v>2</v>
      </c>
      <c r="IL51" s="377"/>
      <c r="IM51" s="373"/>
      <c r="IN51" s="373"/>
      <c r="IO51" s="871">
        <v>2</v>
      </c>
      <c r="IP51" s="871"/>
      <c r="IQ51" s="373"/>
      <c r="IR51" s="373"/>
      <c r="IS51" s="618"/>
      <c r="IT51" s="374">
        <v>0</v>
      </c>
    </row>
    <row r="52" spans="1:254" s="245" customFormat="1" ht="12.75" customHeight="1" x14ac:dyDescent="0.2">
      <c r="A52" s="1052"/>
      <c r="B52" s="868" t="s">
        <v>904</v>
      </c>
      <c r="C52" s="869"/>
      <c r="D52" s="373"/>
      <c r="E52" s="373"/>
      <c r="F52" s="870"/>
      <c r="G52" s="373"/>
      <c r="H52" s="373"/>
      <c r="I52" s="373"/>
      <c r="J52" s="618"/>
      <c r="K52" s="374">
        <v>0</v>
      </c>
      <c r="L52" s="869"/>
      <c r="M52" s="373"/>
      <c r="N52" s="373"/>
      <c r="O52" s="870"/>
      <c r="P52" s="373"/>
      <c r="Q52" s="373"/>
      <c r="R52" s="373"/>
      <c r="S52" s="618"/>
      <c r="T52" s="374">
        <v>0</v>
      </c>
      <c r="U52" s="869"/>
      <c r="V52" s="373"/>
      <c r="W52" s="373"/>
      <c r="X52" s="870"/>
      <c r="Y52" s="373"/>
      <c r="Z52" s="373"/>
      <c r="AA52" s="373"/>
      <c r="AB52" s="618"/>
      <c r="AC52" s="374">
        <v>0</v>
      </c>
      <c r="AD52" s="869"/>
      <c r="AE52" s="373">
        <v>2</v>
      </c>
      <c r="AF52" s="373"/>
      <c r="AG52" s="870"/>
      <c r="AH52" s="373"/>
      <c r="AI52" s="373"/>
      <c r="AJ52" s="373"/>
      <c r="AK52" s="618"/>
      <c r="AL52" s="374">
        <v>0</v>
      </c>
      <c r="AM52" s="869"/>
      <c r="AN52" s="373"/>
      <c r="AO52" s="373"/>
      <c r="AP52" s="870"/>
      <c r="AQ52" s="373"/>
      <c r="AR52" s="373"/>
      <c r="AS52" s="373"/>
      <c r="AT52" s="618"/>
      <c r="AU52" s="374">
        <v>0</v>
      </c>
      <c r="AV52" s="869"/>
      <c r="AW52" s="373"/>
      <c r="AX52" s="373"/>
      <c r="AY52" s="870"/>
      <c r="AZ52" s="373"/>
      <c r="BA52" s="373"/>
      <c r="BB52" s="373"/>
      <c r="BC52" s="618"/>
      <c r="BD52" s="374">
        <v>0</v>
      </c>
      <c r="BE52" s="869"/>
      <c r="BF52" s="373"/>
      <c r="BG52" s="373"/>
      <c r="BH52" s="870"/>
      <c r="BI52" s="373"/>
      <c r="BJ52" s="373"/>
      <c r="BK52" s="373"/>
      <c r="BL52" s="618"/>
      <c r="BM52" s="374">
        <v>0</v>
      </c>
      <c r="BN52" s="869"/>
      <c r="BO52" s="373"/>
      <c r="BP52" s="373"/>
      <c r="BQ52" s="870"/>
      <c r="BR52" s="373"/>
      <c r="BS52" s="373"/>
      <c r="BT52" s="373"/>
      <c r="BU52" s="618"/>
      <c r="BV52" s="374">
        <v>0</v>
      </c>
      <c r="BW52" s="869"/>
      <c r="BX52" s="373">
        <v>2</v>
      </c>
      <c r="BY52" s="373"/>
      <c r="BZ52" s="870"/>
      <c r="CA52" s="373"/>
      <c r="CB52" s="373"/>
      <c r="CC52" s="373"/>
      <c r="CD52" s="618"/>
      <c r="CE52" s="374">
        <v>0</v>
      </c>
      <c r="CF52" s="869"/>
      <c r="CG52" s="373">
        <v>1</v>
      </c>
      <c r="CH52" s="373"/>
      <c r="CI52" s="870"/>
      <c r="CJ52" s="373"/>
      <c r="CK52" s="373"/>
      <c r="CL52" s="373"/>
      <c r="CM52" s="618"/>
      <c r="CN52" s="374">
        <v>0</v>
      </c>
      <c r="CO52" s="869"/>
      <c r="CP52" s="373"/>
      <c r="CQ52" s="373"/>
      <c r="CR52" s="870"/>
      <c r="CS52" s="373"/>
      <c r="CT52" s="373"/>
      <c r="CU52" s="373"/>
      <c r="CV52" s="618"/>
      <c r="CW52" s="374">
        <v>0</v>
      </c>
      <c r="CX52" s="869">
        <v>4</v>
      </c>
      <c r="CY52" s="373"/>
      <c r="CZ52" s="373"/>
      <c r="DA52" s="870">
        <v>2</v>
      </c>
      <c r="DB52" s="373"/>
      <c r="DC52" s="373">
        <v>1</v>
      </c>
      <c r="DD52" s="373"/>
      <c r="DE52" s="618"/>
      <c r="DF52" s="374">
        <v>1</v>
      </c>
      <c r="DG52" s="869"/>
      <c r="DH52" s="373"/>
      <c r="DI52" s="373"/>
      <c r="DJ52" s="870"/>
      <c r="DK52" s="373"/>
      <c r="DL52" s="373"/>
      <c r="DM52" s="373"/>
      <c r="DN52" s="618"/>
      <c r="DO52" s="374">
        <v>0</v>
      </c>
      <c r="DP52" s="869"/>
      <c r="DQ52" s="373"/>
      <c r="DR52" s="373"/>
      <c r="DS52" s="870"/>
      <c r="DT52" s="373"/>
      <c r="DU52" s="373"/>
      <c r="DV52" s="373"/>
      <c r="DW52" s="618"/>
      <c r="DX52" s="374">
        <v>0</v>
      </c>
      <c r="DY52" s="869">
        <v>2</v>
      </c>
      <c r="DZ52" s="373"/>
      <c r="EA52" s="373"/>
      <c r="EB52" s="870">
        <v>1</v>
      </c>
      <c r="EC52" s="373"/>
      <c r="ED52" s="373"/>
      <c r="EE52" s="373"/>
      <c r="EF52" s="618"/>
      <c r="EG52" s="374">
        <v>1</v>
      </c>
      <c r="EH52" s="869"/>
      <c r="EI52" s="373"/>
      <c r="EJ52" s="373"/>
      <c r="EK52" s="870"/>
      <c r="EL52" s="373"/>
      <c r="EM52" s="373"/>
      <c r="EN52" s="373"/>
      <c r="EO52" s="618"/>
      <c r="EP52" s="374">
        <v>0</v>
      </c>
      <c r="EQ52" s="869"/>
      <c r="ER52" s="373"/>
      <c r="ES52" s="373"/>
      <c r="ET52" s="870"/>
      <c r="EU52" s="373"/>
      <c r="EV52" s="373"/>
      <c r="EW52" s="373"/>
      <c r="EX52" s="618"/>
      <c r="EY52" s="374">
        <v>0</v>
      </c>
      <c r="EZ52" s="869"/>
      <c r="FA52" s="373"/>
      <c r="FB52" s="373"/>
      <c r="FC52" s="870"/>
      <c r="FD52" s="373"/>
      <c r="FE52" s="373"/>
      <c r="FF52" s="373"/>
      <c r="FG52" s="618"/>
      <c r="FH52" s="374">
        <v>0</v>
      </c>
      <c r="FI52" s="869"/>
      <c r="FJ52" s="373">
        <v>1</v>
      </c>
      <c r="FK52" s="373"/>
      <c r="FL52" s="870"/>
      <c r="FM52" s="373"/>
      <c r="FN52" s="373"/>
      <c r="FO52" s="373">
        <v>1</v>
      </c>
      <c r="FP52" s="618"/>
      <c r="FQ52" s="374">
        <v>0</v>
      </c>
      <c r="FR52" s="869"/>
      <c r="FS52" s="373"/>
      <c r="FT52" s="373"/>
      <c r="FU52" s="870"/>
      <c r="FV52" s="373"/>
      <c r="FW52" s="373"/>
      <c r="FX52" s="373"/>
      <c r="FY52" s="618"/>
      <c r="FZ52" s="374">
        <v>0</v>
      </c>
      <c r="GA52" s="869"/>
      <c r="GB52" s="373"/>
      <c r="GC52" s="373"/>
      <c r="GD52" s="870"/>
      <c r="GE52" s="373"/>
      <c r="GF52" s="373"/>
      <c r="GG52" s="373"/>
      <c r="GH52" s="618"/>
      <c r="GI52" s="374">
        <v>0</v>
      </c>
      <c r="GJ52" s="869">
        <v>4</v>
      </c>
      <c r="GK52" s="373">
        <v>6</v>
      </c>
      <c r="GL52" s="373"/>
      <c r="GM52" s="870">
        <v>2</v>
      </c>
      <c r="GN52" s="373"/>
      <c r="GO52" s="373">
        <v>1</v>
      </c>
      <c r="GP52" s="373">
        <v>1</v>
      </c>
      <c r="GQ52" s="618"/>
      <c r="GR52" s="374">
        <v>1</v>
      </c>
      <c r="GS52" s="869">
        <v>1</v>
      </c>
      <c r="GT52" s="373">
        <v>5</v>
      </c>
      <c r="GU52" s="373"/>
      <c r="GV52" s="870"/>
      <c r="GW52" s="373"/>
      <c r="GX52" s="373"/>
      <c r="GY52" s="373"/>
      <c r="GZ52" s="618"/>
      <c r="HA52" s="374">
        <v>0</v>
      </c>
      <c r="HB52" s="869"/>
      <c r="HC52" s="373"/>
      <c r="HD52" s="373"/>
      <c r="HE52" s="870"/>
      <c r="HF52" s="373"/>
      <c r="HG52" s="373"/>
      <c r="HH52" s="373"/>
      <c r="HI52" s="618"/>
      <c r="HJ52" s="374">
        <v>0</v>
      </c>
      <c r="HK52" s="869"/>
      <c r="HL52" s="373"/>
      <c r="HM52" s="373"/>
      <c r="HN52" s="870"/>
      <c r="HO52" s="373"/>
      <c r="HP52" s="373"/>
      <c r="HQ52" s="373"/>
      <c r="HR52" s="618"/>
      <c r="HS52" s="374">
        <v>0</v>
      </c>
      <c r="HT52" s="869">
        <v>2</v>
      </c>
      <c r="HU52" s="373">
        <v>6</v>
      </c>
      <c r="HV52" s="373"/>
      <c r="HW52" s="870"/>
      <c r="HX52" s="373"/>
      <c r="HY52" s="373"/>
      <c r="HZ52" s="373"/>
      <c r="IA52" s="618"/>
      <c r="IB52" s="374">
        <v>0</v>
      </c>
      <c r="IC52" s="869">
        <v>5</v>
      </c>
      <c r="ID52" s="373">
        <v>7</v>
      </c>
      <c r="IE52" s="373"/>
      <c r="IF52" s="870">
        <v>2</v>
      </c>
      <c r="IG52" s="373">
        <v>2</v>
      </c>
      <c r="IH52" s="373">
        <v>2</v>
      </c>
      <c r="II52" s="373">
        <v>1</v>
      </c>
      <c r="IJ52" s="618">
        <v>3</v>
      </c>
      <c r="IK52" s="374">
        <v>1</v>
      </c>
      <c r="IL52" s="377">
        <v>3</v>
      </c>
      <c r="IM52" s="373"/>
      <c r="IN52" s="373"/>
      <c r="IO52" s="871">
        <v>1</v>
      </c>
      <c r="IP52" s="871"/>
      <c r="IQ52" s="373">
        <v>1</v>
      </c>
      <c r="IR52" s="373"/>
      <c r="IS52" s="618"/>
      <c r="IT52" s="374">
        <v>1</v>
      </c>
    </row>
    <row r="53" spans="1:254" s="245" customFormat="1" ht="12.75" customHeight="1" x14ac:dyDescent="0.2">
      <c r="A53" s="1052"/>
      <c r="B53" s="868" t="s">
        <v>905</v>
      </c>
      <c r="C53" s="869"/>
      <c r="D53" s="373"/>
      <c r="E53" s="373"/>
      <c r="F53" s="870"/>
      <c r="G53" s="373"/>
      <c r="H53" s="373"/>
      <c r="I53" s="373"/>
      <c r="J53" s="618"/>
      <c r="K53" s="374">
        <v>0</v>
      </c>
      <c r="L53" s="869"/>
      <c r="M53" s="373"/>
      <c r="N53" s="373"/>
      <c r="O53" s="870"/>
      <c r="P53" s="373"/>
      <c r="Q53" s="373"/>
      <c r="R53" s="373"/>
      <c r="S53" s="618"/>
      <c r="T53" s="374">
        <v>0</v>
      </c>
      <c r="U53" s="869"/>
      <c r="V53" s="373"/>
      <c r="W53" s="373"/>
      <c r="X53" s="870"/>
      <c r="Y53" s="373"/>
      <c r="Z53" s="373"/>
      <c r="AA53" s="373"/>
      <c r="AB53" s="618"/>
      <c r="AC53" s="374">
        <v>0</v>
      </c>
      <c r="AD53" s="869"/>
      <c r="AE53" s="373">
        <v>1</v>
      </c>
      <c r="AF53" s="373">
        <v>2</v>
      </c>
      <c r="AG53" s="870"/>
      <c r="AH53" s="373"/>
      <c r="AI53" s="373"/>
      <c r="AJ53" s="373">
        <v>1</v>
      </c>
      <c r="AK53" s="618">
        <v>2</v>
      </c>
      <c r="AL53" s="374">
        <v>0</v>
      </c>
      <c r="AM53" s="869"/>
      <c r="AN53" s="373">
        <v>1</v>
      </c>
      <c r="AO53" s="373">
        <v>1</v>
      </c>
      <c r="AP53" s="870"/>
      <c r="AQ53" s="373"/>
      <c r="AR53" s="373"/>
      <c r="AS53" s="373"/>
      <c r="AT53" s="618">
        <v>2</v>
      </c>
      <c r="AU53" s="374">
        <v>0</v>
      </c>
      <c r="AV53" s="869"/>
      <c r="AW53" s="373"/>
      <c r="AX53" s="373"/>
      <c r="AY53" s="870"/>
      <c r="AZ53" s="373"/>
      <c r="BA53" s="373"/>
      <c r="BB53" s="373"/>
      <c r="BC53" s="618"/>
      <c r="BD53" s="374">
        <v>0</v>
      </c>
      <c r="BE53" s="869"/>
      <c r="BF53" s="373"/>
      <c r="BG53" s="373"/>
      <c r="BH53" s="870"/>
      <c r="BI53" s="373"/>
      <c r="BJ53" s="373"/>
      <c r="BK53" s="373"/>
      <c r="BL53" s="618"/>
      <c r="BM53" s="374">
        <v>0</v>
      </c>
      <c r="BN53" s="869"/>
      <c r="BO53" s="373"/>
      <c r="BP53" s="373"/>
      <c r="BQ53" s="870"/>
      <c r="BR53" s="373"/>
      <c r="BS53" s="373"/>
      <c r="BT53" s="373"/>
      <c r="BU53" s="618"/>
      <c r="BV53" s="374">
        <v>0</v>
      </c>
      <c r="BW53" s="869"/>
      <c r="BX53" s="373">
        <v>1</v>
      </c>
      <c r="BY53" s="373">
        <v>2</v>
      </c>
      <c r="BZ53" s="870">
        <v>1</v>
      </c>
      <c r="CA53" s="373">
        <v>1</v>
      </c>
      <c r="CB53" s="373">
        <v>1</v>
      </c>
      <c r="CC53" s="373">
        <v>1</v>
      </c>
      <c r="CD53" s="618"/>
      <c r="CE53" s="374">
        <v>0</v>
      </c>
      <c r="CF53" s="869"/>
      <c r="CG53" s="373"/>
      <c r="CH53" s="373"/>
      <c r="CI53" s="870"/>
      <c r="CJ53" s="373"/>
      <c r="CK53" s="373"/>
      <c r="CL53" s="373"/>
      <c r="CM53" s="618"/>
      <c r="CN53" s="374">
        <v>0</v>
      </c>
      <c r="CO53" s="869"/>
      <c r="CP53" s="373"/>
      <c r="CQ53" s="373"/>
      <c r="CR53" s="870"/>
      <c r="CS53" s="373"/>
      <c r="CT53" s="373"/>
      <c r="CU53" s="373">
        <v>1</v>
      </c>
      <c r="CV53" s="618"/>
      <c r="CW53" s="374">
        <v>2</v>
      </c>
      <c r="CX53" s="869">
        <v>10</v>
      </c>
      <c r="CY53" s="373">
        <v>5</v>
      </c>
      <c r="CZ53" s="373">
        <v>3</v>
      </c>
      <c r="DA53" s="870">
        <v>2</v>
      </c>
      <c r="DB53" s="373">
        <v>1</v>
      </c>
      <c r="DC53" s="373">
        <v>8</v>
      </c>
      <c r="DD53" s="373">
        <v>4</v>
      </c>
      <c r="DE53" s="618">
        <v>5</v>
      </c>
      <c r="DF53" s="374">
        <v>1</v>
      </c>
      <c r="DG53" s="869"/>
      <c r="DH53" s="373"/>
      <c r="DI53" s="373"/>
      <c r="DJ53" s="870"/>
      <c r="DK53" s="373"/>
      <c r="DL53" s="373"/>
      <c r="DM53" s="373"/>
      <c r="DN53" s="618"/>
      <c r="DO53" s="374">
        <v>0</v>
      </c>
      <c r="DP53" s="869"/>
      <c r="DQ53" s="373"/>
      <c r="DR53" s="373"/>
      <c r="DS53" s="870"/>
      <c r="DT53" s="373"/>
      <c r="DU53" s="373"/>
      <c r="DV53" s="373"/>
      <c r="DW53" s="618"/>
      <c r="DX53" s="374">
        <v>0</v>
      </c>
      <c r="DY53" s="869">
        <v>2</v>
      </c>
      <c r="DZ53" s="373"/>
      <c r="EA53" s="373"/>
      <c r="EB53" s="870"/>
      <c r="EC53" s="373"/>
      <c r="ED53" s="373">
        <v>5</v>
      </c>
      <c r="EE53" s="373">
        <v>4</v>
      </c>
      <c r="EF53" s="618">
        <v>2</v>
      </c>
      <c r="EG53" s="374">
        <v>0</v>
      </c>
      <c r="EH53" s="869"/>
      <c r="EI53" s="373"/>
      <c r="EJ53" s="373"/>
      <c r="EK53" s="870"/>
      <c r="EL53" s="373"/>
      <c r="EM53" s="373"/>
      <c r="EN53" s="373"/>
      <c r="EO53" s="618"/>
      <c r="EP53" s="374">
        <v>0</v>
      </c>
      <c r="EQ53" s="869"/>
      <c r="ER53" s="373"/>
      <c r="ES53" s="373"/>
      <c r="ET53" s="870"/>
      <c r="EU53" s="373"/>
      <c r="EV53" s="373"/>
      <c r="EW53" s="373"/>
      <c r="EX53" s="618"/>
      <c r="EY53" s="374">
        <v>0</v>
      </c>
      <c r="EZ53" s="869"/>
      <c r="FA53" s="373"/>
      <c r="FB53" s="373"/>
      <c r="FC53" s="870"/>
      <c r="FD53" s="373"/>
      <c r="FE53" s="373"/>
      <c r="FF53" s="373"/>
      <c r="FG53" s="618"/>
      <c r="FH53" s="374">
        <v>0</v>
      </c>
      <c r="FI53" s="869"/>
      <c r="FJ53" s="373"/>
      <c r="FK53" s="373"/>
      <c r="FL53" s="870"/>
      <c r="FM53" s="373"/>
      <c r="FN53" s="373"/>
      <c r="FO53" s="373"/>
      <c r="FP53" s="618"/>
      <c r="FQ53" s="374">
        <v>0</v>
      </c>
      <c r="FR53" s="869"/>
      <c r="FS53" s="373"/>
      <c r="FT53" s="373"/>
      <c r="FU53" s="870"/>
      <c r="FV53" s="373">
        <v>2</v>
      </c>
      <c r="FW53" s="373"/>
      <c r="FX53" s="373"/>
      <c r="FY53" s="618"/>
      <c r="FZ53" s="374">
        <v>0</v>
      </c>
      <c r="GA53" s="869"/>
      <c r="GB53" s="373"/>
      <c r="GC53" s="373"/>
      <c r="GD53" s="870"/>
      <c r="GE53" s="373"/>
      <c r="GF53" s="373"/>
      <c r="GG53" s="373"/>
      <c r="GH53" s="618"/>
      <c r="GI53" s="374">
        <v>0</v>
      </c>
      <c r="GJ53" s="869">
        <v>10</v>
      </c>
      <c r="GK53" s="373">
        <v>7</v>
      </c>
      <c r="GL53" s="373">
        <v>7</v>
      </c>
      <c r="GM53" s="870">
        <v>3</v>
      </c>
      <c r="GN53" s="373">
        <v>4</v>
      </c>
      <c r="GO53" s="373">
        <v>9</v>
      </c>
      <c r="GP53" s="373">
        <v>7</v>
      </c>
      <c r="GQ53" s="618">
        <v>7</v>
      </c>
      <c r="GR53" s="374">
        <v>3</v>
      </c>
      <c r="GS53" s="869">
        <v>1</v>
      </c>
      <c r="GT53" s="373">
        <v>2</v>
      </c>
      <c r="GU53" s="373">
        <v>1</v>
      </c>
      <c r="GV53" s="870"/>
      <c r="GW53" s="373">
        <v>1</v>
      </c>
      <c r="GX53" s="373">
        <v>1</v>
      </c>
      <c r="GY53" s="373">
        <v>2</v>
      </c>
      <c r="GZ53" s="618"/>
      <c r="HA53" s="374">
        <v>2</v>
      </c>
      <c r="HB53" s="869"/>
      <c r="HC53" s="373"/>
      <c r="HD53" s="373"/>
      <c r="HE53" s="870"/>
      <c r="HF53" s="373"/>
      <c r="HG53" s="373"/>
      <c r="HH53" s="373"/>
      <c r="HI53" s="618"/>
      <c r="HJ53" s="374">
        <v>0</v>
      </c>
      <c r="HK53" s="869"/>
      <c r="HL53" s="373">
        <v>1</v>
      </c>
      <c r="HM53" s="373"/>
      <c r="HN53" s="870"/>
      <c r="HO53" s="373"/>
      <c r="HP53" s="373"/>
      <c r="HQ53" s="373">
        <v>1</v>
      </c>
      <c r="HR53" s="618"/>
      <c r="HS53" s="374">
        <v>1</v>
      </c>
      <c r="HT53" s="869">
        <v>3</v>
      </c>
      <c r="HU53" s="373">
        <v>4</v>
      </c>
      <c r="HV53" s="373">
        <v>2</v>
      </c>
      <c r="HW53" s="870">
        <v>1</v>
      </c>
      <c r="HX53" s="373">
        <v>4</v>
      </c>
      <c r="HY53" s="373">
        <v>3</v>
      </c>
      <c r="HZ53" s="373">
        <v>8</v>
      </c>
      <c r="IA53" s="618">
        <v>6</v>
      </c>
      <c r="IB53" s="374">
        <v>6</v>
      </c>
      <c r="IC53" s="869">
        <v>19</v>
      </c>
      <c r="ID53" s="373">
        <v>21</v>
      </c>
      <c r="IE53" s="373">
        <v>8</v>
      </c>
      <c r="IF53" s="870">
        <v>8</v>
      </c>
      <c r="IG53" s="373">
        <v>46</v>
      </c>
      <c r="IH53" s="373">
        <v>14</v>
      </c>
      <c r="II53" s="373">
        <v>19</v>
      </c>
      <c r="IJ53" s="618">
        <v>16</v>
      </c>
      <c r="IK53" s="374">
        <v>11</v>
      </c>
      <c r="IL53" s="377">
        <v>6</v>
      </c>
      <c r="IM53" s="373">
        <v>2</v>
      </c>
      <c r="IN53" s="373"/>
      <c r="IO53" s="871"/>
      <c r="IP53" s="871"/>
      <c r="IQ53" s="373">
        <v>5</v>
      </c>
      <c r="IR53" s="373">
        <v>4</v>
      </c>
      <c r="IS53" s="618">
        <v>2</v>
      </c>
      <c r="IT53" s="374">
        <v>0</v>
      </c>
    </row>
    <row r="54" spans="1:254" s="245" customFormat="1" ht="12.75" customHeight="1" x14ac:dyDescent="0.2">
      <c r="A54" s="1052"/>
      <c r="B54" s="868" t="s">
        <v>906</v>
      </c>
      <c r="C54" s="869"/>
      <c r="D54" s="373"/>
      <c r="E54" s="373"/>
      <c r="F54" s="870"/>
      <c r="G54" s="373"/>
      <c r="H54" s="373"/>
      <c r="I54" s="373"/>
      <c r="J54" s="618"/>
      <c r="K54" s="374">
        <v>0</v>
      </c>
      <c r="L54" s="869"/>
      <c r="M54" s="373"/>
      <c r="N54" s="373"/>
      <c r="O54" s="870"/>
      <c r="P54" s="373"/>
      <c r="Q54" s="373"/>
      <c r="R54" s="373"/>
      <c r="S54" s="618"/>
      <c r="T54" s="374">
        <v>0</v>
      </c>
      <c r="U54" s="869"/>
      <c r="V54" s="373"/>
      <c r="W54" s="373"/>
      <c r="X54" s="870"/>
      <c r="Y54" s="373"/>
      <c r="Z54" s="373"/>
      <c r="AA54" s="373"/>
      <c r="AB54" s="618"/>
      <c r="AC54" s="374">
        <v>0</v>
      </c>
      <c r="AD54" s="869"/>
      <c r="AE54" s="373"/>
      <c r="AF54" s="373"/>
      <c r="AG54" s="870">
        <v>2</v>
      </c>
      <c r="AH54" s="373">
        <v>3</v>
      </c>
      <c r="AI54" s="373"/>
      <c r="AJ54" s="373"/>
      <c r="AK54" s="618"/>
      <c r="AL54" s="374">
        <v>0</v>
      </c>
      <c r="AM54" s="869"/>
      <c r="AN54" s="373"/>
      <c r="AO54" s="373"/>
      <c r="AP54" s="870"/>
      <c r="AQ54" s="373">
        <v>2</v>
      </c>
      <c r="AR54" s="373"/>
      <c r="AS54" s="373"/>
      <c r="AT54" s="618"/>
      <c r="AU54" s="374">
        <v>0</v>
      </c>
      <c r="AV54" s="869"/>
      <c r="AW54" s="373"/>
      <c r="AX54" s="373"/>
      <c r="AY54" s="870"/>
      <c r="AZ54" s="373"/>
      <c r="BA54" s="373"/>
      <c r="BB54" s="373"/>
      <c r="BC54" s="618"/>
      <c r="BD54" s="374">
        <v>0</v>
      </c>
      <c r="BE54" s="869"/>
      <c r="BF54" s="373"/>
      <c r="BG54" s="373"/>
      <c r="BH54" s="870"/>
      <c r="BI54" s="373"/>
      <c r="BJ54" s="373"/>
      <c r="BK54" s="373"/>
      <c r="BL54" s="618"/>
      <c r="BM54" s="374">
        <v>0</v>
      </c>
      <c r="BN54" s="869"/>
      <c r="BO54" s="373"/>
      <c r="BP54" s="373"/>
      <c r="BQ54" s="870"/>
      <c r="BR54" s="373"/>
      <c r="BS54" s="373"/>
      <c r="BT54" s="373"/>
      <c r="BU54" s="618"/>
      <c r="BV54" s="374">
        <v>0</v>
      </c>
      <c r="BW54" s="869">
        <v>1</v>
      </c>
      <c r="BX54" s="373">
        <v>2</v>
      </c>
      <c r="BY54" s="373">
        <v>2</v>
      </c>
      <c r="BZ54" s="870">
        <v>2</v>
      </c>
      <c r="CA54" s="373">
        <v>3</v>
      </c>
      <c r="CB54" s="373"/>
      <c r="CC54" s="373"/>
      <c r="CD54" s="618"/>
      <c r="CE54" s="374">
        <v>1</v>
      </c>
      <c r="CF54" s="869"/>
      <c r="CG54" s="373"/>
      <c r="CH54" s="373"/>
      <c r="CI54" s="870"/>
      <c r="CJ54" s="373"/>
      <c r="CK54" s="373"/>
      <c r="CL54" s="373"/>
      <c r="CM54" s="618"/>
      <c r="CN54" s="374">
        <v>0</v>
      </c>
      <c r="CO54" s="869"/>
      <c r="CP54" s="373"/>
      <c r="CQ54" s="373"/>
      <c r="CR54" s="870"/>
      <c r="CS54" s="373"/>
      <c r="CT54" s="373"/>
      <c r="CU54" s="373">
        <v>1</v>
      </c>
      <c r="CV54" s="618"/>
      <c r="CW54" s="374">
        <v>0</v>
      </c>
      <c r="CX54" s="869">
        <v>8</v>
      </c>
      <c r="CY54" s="373">
        <v>10</v>
      </c>
      <c r="CZ54" s="373">
        <v>7</v>
      </c>
      <c r="DA54" s="870">
        <v>4</v>
      </c>
      <c r="DB54" s="373">
        <v>1</v>
      </c>
      <c r="DC54" s="373">
        <v>2</v>
      </c>
      <c r="DD54" s="373">
        <v>2</v>
      </c>
      <c r="DE54" s="618">
        <v>3</v>
      </c>
      <c r="DF54" s="374">
        <v>5</v>
      </c>
      <c r="DG54" s="869"/>
      <c r="DH54" s="373"/>
      <c r="DI54" s="373"/>
      <c r="DJ54" s="870"/>
      <c r="DK54" s="373"/>
      <c r="DL54" s="373"/>
      <c r="DM54" s="373"/>
      <c r="DN54" s="618"/>
      <c r="DO54" s="374">
        <v>0</v>
      </c>
      <c r="DP54" s="869"/>
      <c r="DQ54" s="373"/>
      <c r="DR54" s="373"/>
      <c r="DS54" s="870"/>
      <c r="DT54" s="373"/>
      <c r="DU54" s="373"/>
      <c r="DV54" s="373"/>
      <c r="DW54" s="618"/>
      <c r="DX54" s="374">
        <v>0</v>
      </c>
      <c r="DY54" s="869">
        <v>1</v>
      </c>
      <c r="DZ54" s="373">
        <v>2</v>
      </c>
      <c r="EA54" s="373">
        <v>3</v>
      </c>
      <c r="EB54" s="870">
        <v>1</v>
      </c>
      <c r="EC54" s="373"/>
      <c r="ED54" s="373"/>
      <c r="EE54" s="373">
        <v>1</v>
      </c>
      <c r="EF54" s="618"/>
      <c r="EG54" s="374">
        <v>0</v>
      </c>
      <c r="EH54" s="869"/>
      <c r="EI54" s="373"/>
      <c r="EJ54" s="373"/>
      <c r="EK54" s="870"/>
      <c r="EL54" s="373"/>
      <c r="EM54" s="373"/>
      <c r="EN54" s="373"/>
      <c r="EO54" s="618"/>
      <c r="EP54" s="374">
        <v>0</v>
      </c>
      <c r="EQ54" s="869"/>
      <c r="ER54" s="373"/>
      <c r="ES54" s="373"/>
      <c r="ET54" s="870"/>
      <c r="EU54" s="373">
        <v>1</v>
      </c>
      <c r="EV54" s="373"/>
      <c r="EW54" s="373"/>
      <c r="EX54" s="618"/>
      <c r="EY54" s="374">
        <v>0</v>
      </c>
      <c r="EZ54" s="869"/>
      <c r="FA54" s="373"/>
      <c r="FB54" s="373">
        <v>1</v>
      </c>
      <c r="FC54" s="870"/>
      <c r="FD54" s="373"/>
      <c r="FE54" s="373"/>
      <c r="FF54" s="373"/>
      <c r="FG54" s="618">
        <v>1</v>
      </c>
      <c r="FH54" s="374">
        <v>0</v>
      </c>
      <c r="FI54" s="869"/>
      <c r="FJ54" s="373"/>
      <c r="FK54" s="373"/>
      <c r="FL54" s="870"/>
      <c r="FM54" s="373">
        <v>1</v>
      </c>
      <c r="FN54" s="373"/>
      <c r="FO54" s="373"/>
      <c r="FP54" s="618">
        <v>1</v>
      </c>
      <c r="FQ54" s="374">
        <v>1</v>
      </c>
      <c r="FR54" s="869"/>
      <c r="FS54" s="373"/>
      <c r="FT54" s="373"/>
      <c r="FU54" s="870"/>
      <c r="FV54" s="373"/>
      <c r="FW54" s="373"/>
      <c r="FX54" s="373"/>
      <c r="FY54" s="618"/>
      <c r="FZ54" s="374">
        <v>0</v>
      </c>
      <c r="GA54" s="869"/>
      <c r="GB54" s="373"/>
      <c r="GC54" s="373">
        <v>1</v>
      </c>
      <c r="GD54" s="870"/>
      <c r="GE54" s="373"/>
      <c r="GF54" s="373"/>
      <c r="GG54" s="373"/>
      <c r="GH54" s="618"/>
      <c r="GI54" s="374">
        <v>0</v>
      </c>
      <c r="GJ54" s="869">
        <v>9</v>
      </c>
      <c r="GK54" s="373">
        <v>12</v>
      </c>
      <c r="GL54" s="373">
        <v>11</v>
      </c>
      <c r="GM54" s="870">
        <v>8</v>
      </c>
      <c r="GN54" s="373">
        <v>9</v>
      </c>
      <c r="GO54" s="373">
        <v>2</v>
      </c>
      <c r="GP54" s="373">
        <v>3</v>
      </c>
      <c r="GQ54" s="618">
        <v>5</v>
      </c>
      <c r="GR54" s="374">
        <v>7</v>
      </c>
      <c r="GS54" s="869">
        <v>3</v>
      </c>
      <c r="GT54" s="373">
        <v>2</v>
      </c>
      <c r="GU54" s="373">
        <v>3</v>
      </c>
      <c r="GV54" s="870">
        <v>4</v>
      </c>
      <c r="GW54" s="373">
        <v>1</v>
      </c>
      <c r="GX54" s="373"/>
      <c r="GY54" s="373">
        <v>1</v>
      </c>
      <c r="GZ54" s="618"/>
      <c r="HA54" s="374">
        <v>3</v>
      </c>
      <c r="HB54" s="869"/>
      <c r="HC54" s="373"/>
      <c r="HD54" s="373"/>
      <c r="HE54" s="870"/>
      <c r="HF54" s="373"/>
      <c r="HG54" s="373"/>
      <c r="HH54" s="373"/>
      <c r="HI54" s="618"/>
      <c r="HJ54" s="374">
        <v>0</v>
      </c>
      <c r="HK54" s="869"/>
      <c r="HL54" s="373"/>
      <c r="HM54" s="373"/>
      <c r="HN54" s="870"/>
      <c r="HO54" s="373"/>
      <c r="HP54" s="373"/>
      <c r="HQ54" s="373"/>
      <c r="HR54" s="618"/>
      <c r="HS54" s="374">
        <v>0</v>
      </c>
      <c r="HT54" s="869">
        <v>4</v>
      </c>
      <c r="HU54" s="373">
        <v>4</v>
      </c>
      <c r="HV54" s="373">
        <v>6</v>
      </c>
      <c r="HW54" s="870">
        <v>4</v>
      </c>
      <c r="HX54" s="373">
        <v>5</v>
      </c>
      <c r="HY54" s="373">
        <v>2</v>
      </c>
      <c r="HZ54" s="373">
        <v>3</v>
      </c>
      <c r="IA54" s="618">
        <v>3</v>
      </c>
      <c r="IB54" s="374">
        <v>4</v>
      </c>
      <c r="IC54" s="869">
        <v>15</v>
      </c>
      <c r="ID54" s="373">
        <v>30</v>
      </c>
      <c r="IE54" s="373">
        <v>18</v>
      </c>
      <c r="IF54" s="870">
        <v>10</v>
      </c>
      <c r="IG54" s="373">
        <v>18</v>
      </c>
      <c r="IH54" s="373">
        <v>4</v>
      </c>
      <c r="II54" s="373">
        <v>8</v>
      </c>
      <c r="IJ54" s="618">
        <v>11</v>
      </c>
      <c r="IK54" s="374">
        <v>12</v>
      </c>
      <c r="IL54" s="377">
        <v>1</v>
      </c>
      <c r="IM54" s="373">
        <v>4</v>
      </c>
      <c r="IN54" s="373">
        <v>3</v>
      </c>
      <c r="IO54" s="871">
        <v>1</v>
      </c>
      <c r="IP54" s="871"/>
      <c r="IQ54" s="373"/>
      <c r="IR54" s="373">
        <v>1</v>
      </c>
      <c r="IS54" s="618">
        <v>1</v>
      </c>
      <c r="IT54" s="374">
        <v>1</v>
      </c>
    </row>
    <row r="55" spans="1:254" s="245" customFormat="1" ht="12.75" customHeight="1" x14ac:dyDescent="0.2">
      <c r="A55" s="1052"/>
      <c r="B55" s="868" t="s">
        <v>907</v>
      </c>
      <c r="C55" s="869"/>
      <c r="D55" s="373"/>
      <c r="E55" s="373"/>
      <c r="F55" s="870"/>
      <c r="G55" s="373"/>
      <c r="H55" s="373"/>
      <c r="I55" s="373"/>
      <c r="J55" s="618"/>
      <c r="K55" s="374">
        <v>0</v>
      </c>
      <c r="L55" s="869"/>
      <c r="M55" s="373"/>
      <c r="N55" s="373"/>
      <c r="O55" s="870"/>
      <c r="P55" s="373"/>
      <c r="Q55" s="373"/>
      <c r="R55" s="373"/>
      <c r="S55" s="618"/>
      <c r="T55" s="374">
        <v>0</v>
      </c>
      <c r="U55" s="869"/>
      <c r="V55" s="373"/>
      <c r="W55" s="373"/>
      <c r="X55" s="870"/>
      <c r="Y55" s="373"/>
      <c r="Z55" s="373"/>
      <c r="AA55" s="373"/>
      <c r="AB55" s="618"/>
      <c r="AC55" s="374">
        <v>0</v>
      </c>
      <c r="AD55" s="869">
        <v>2</v>
      </c>
      <c r="AE55" s="373"/>
      <c r="AF55" s="373"/>
      <c r="AG55" s="870"/>
      <c r="AH55" s="373"/>
      <c r="AI55" s="373"/>
      <c r="AJ55" s="373"/>
      <c r="AK55" s="618"/>
      <c r="AL55" s="374">
        <v>0</v>
      </c>
      <c r="AM55" s="869"/>
      <c r="AN55" s="373"/>
      <c r="AO55" s="373"/>
      <c r="AP55" s="870"/>
      <c r="AQ55" s="373"/>
      <c r="AR55" s="373"/>
      <c r="AS55" s="373"/>
      <c r="AT55" s="618"/>
      <c r="AU55" s="374">
        <v>0</v>
      </c>
      <c r="AV55" s="869"/>
      <c r="AW55" s="373"/>
      <c r="AX55" s="373"/>
      <c r="AY55" s="870"/>
      <c r="AZ55" s="373"/>
      <c r="BA55" s="373"/>
      <c r="BB55" s="373"/>
      <c r="BC55" s="618"/>
      <c r="BD55" s="374">
        <v>0</v>
      </c>
      <c r="BE55" s="869"/>
      <c r="BF55" s="373"/>
      <c r="BG55" s="373"/>
      <c r="BH55" s="870"/>
      <c r="BI55" s="373"/>
      <c r="BJ55" s="373"/>
      <c r="BK55" s="373"/>
      <c r="BL55" s="618"/>
      <c r="BM55" s="374">
        <v>0</v>
      </c>
      <c r="BN55" s="869"/>
      <c r="BO55" s="373"/>
      <c r="BP55" s="373"/>
      <c r="BQ55" s="870"/>
      <c r="BR55" s="373"/>
      <c r="BS55" s="373"/>
      <c r="BT55" s="373"/>
      <c r="BU55" s="618"/>
      <c r="BV55" s="374">
        <v>0</v>
      </c>
      <c r="BW55" s="869">
        <v>1</v>
      </c>
      <c r="BX55" s="373"/>
      <c r="BY55" s="373"/>
      <c r="BZ55" s="870"/>
      <c r="CA55" s="373"/>
      <c r="CB55" s="373"/>
      <c r="CC55" s="373"/>
      <c r="CD55" s="618"/>
      <c r="CE55" s="374">
        <v>0</v>
      </c>
      <c r="CF55" s="869"/>
      <c r="CG55" s="373"/>
      <c r="CH55" s="373"/>
      <c r="CI55" s="870"/>
      <c r="CJ55" s="373"/>
      <c r="CK55" s="373"/>
      <c r="CL55" s="373"/>
      <c r="CM55" s="618"/>
      <c r="CN55" s="374">
        <v>0</v>
      </c>
      <c r="CO55" s="869"/>
      <c r="CP55" s="373">
        <v>1</v>
      </c>
      <c r="CQ55" s="373"/>
      <c r="CR55" s="870"/>
      <c r="CS55" s="373"/>
      <c r="CT55" s="373"/>
      <c r="CU55" s="373"/>
      <c r="CV55" s="618"/>
      <c r="CW55" s="374">
        <v>0</v>
      </c>
      <c r="CX55" s="869"/>
      <c r="CY55" s="373">
        <v>2</v>
      </c>
      <c r="CZ55" s="373">
        <v>2</v>
      </c>
      <c r="DA55" s="870"/>
      <c r="DB55" s="373"/>
      <c r="DC55" s="373">
        <v>1</v>
      </c>
      <c r="DD55" s="373"/>
      <c r="DE55" s="618">
        <v>1</v>
      </c>
      <c r="DF55" s="374">
        <v>0</v>
      </c>
      <c r="DG55" s="869"/>
      <c r="DH55" s="373"/>
      <c r="DI55" s="373"/>
      <c r="DJ55" s="870"/>
      <c r="DK55" s="373"/>
      <c r="DL55" s="373"/>
      <c r="DM55" s="373"/>
      <c r="DN55" s="618"/>
      <c r="DO55" s="374">
        <v>0</v>
      </c>
      <c r="DP55" s="869"/>
      <c r="DQ55" s="373"/>
      <c r="DR55" s="373"/>
      <c r="DS55" s="870"/>
      <c r="DT55" s="373"/>
      <c r="DU55" s="373"/>
      <c r="DV55" s="373"/>
      <c r="DW55" s="618"/>
      <c r="DX55" s="374">
        <v>0</v>
      </c>
      <c r="DY55" s="869"/>
      <c r="DZ55" s="373">
        <v>1</v>
      </c>
      <c r="EA55" s="373">
        <v>1</v>
      </c>
      <c r="EB55" s="870"/>
      <c r="EC55" s="373"/>
      <c r="ED55" s="373"/>
      <c r="EE55" s="373"/>
      <c r="EF55" s="618"/>
      <c r="EG55" s="374">
        <v>0</v>
      </c>
      <c r="EH55" s="869"/>
      <c r="EI55" s="373"/>
      <c r="EJ55" s="373"/>
      <c r="EK55" s="870"/>
      <c r="EL55" s="373"/>
      <c r="EM55" s="373"/>
      <c r="EN55" s="373"/>
      <c r="EO55" s="618"/>
      <c r="EP55" s="374">
        <v>0</v>
      </c>
      <c r="EQ55" s="869"/>
      <c r="ER55" s="373"/>
      <c r="ES55" s="373"/>
      <c r="ET55" s="870"/>
      <c r="EU55" s="373"/>
      <c r="EV55" s="373"/>
      <c r="EW55" s="373"/>
      <c r="EX55" s="618"/>
      <c r="EY55" s="374">
        <v>0</v>
      </c>
      <c r="EZ55" s="869"/>
      <c r="FA55" s="373"/>
      <c r="FB55" s="373"/>
      <c r="FC55" s="870"/>
      <c r="FD55" s="373"/>
      <c r="FE55" s="373"/>
      <c r="FF55" s="373"/>
      <c r="FG55" s="618"/>
      <c r="FH55" s="374">
        <v>0</v>
      </c>
      <c r="FI55" s="869"/>
      <c r="FJ55" s="373"/>
      <c r="FK55" s="373"/>
      <c r="FL55" s="870"/>
      <c r="FM55" s="373"/>
      <c r="FN55" s="373"/>
      <c r="FO55" s="373"/>
      <c r="FP55" s="618"/>
      <c r="FQ55" s="374">
        <v>0</v>
      </c>
      <c r="FR55" s="869"/>
      <c r="FS55" s="373"/>
      <c r="FT55" s="373"/>
      <c r="FU55" s="870"/>
      <c r="FV55" s="373"/>
      <c r="FW55" s="373"/>
      <c r="FX55" s="373"/>
      <c r="FY55" s="618"/>
      <c r="FZ55" s="374">
        <v>0</v>
      </c>
      <c r="GA55" s="869"/>
      <c r="GB55" s="373"/>
      <c r="GC55" s="373"/>
      <c r="GD55" s="870"/>
      <c r="GE55" s="373"/>
      <c r="GF55" s="373"/>
      <c r="GG55" s="373"/>
      <c r="GH55" s="618"/>
      <c r="GI55" s="374">
        <v>0</v>
      </c>
      <c r="GJ55" s="869">
        <v>3</v>
      </c>
      <c r="GK55" s="373">
        <v>3</v>
      </c>
      <c r="GL55" s="373">
        <v>2</v>
      </c>
      <c r="GM55" s="870"/>
      <c r="GN55" s="373"/>
      <c r="GO55" s="373">
        <v>1</v>
      </c>
      <c r="GP55" s="373"/>
      <c r="GQ55" s="618">
        <v>1</v>
      </c>
      <c r="GR55" s="374">
        <v>0</v>
      </c>
      <c r="GS55" s="869"/>
      <c r="GT55" s="373"/>
      <c r="GU55" s="373">
        <v>1</v>
      </c>
      <c r="GV55" s="870"/>
      <c r="GW55" s="373"/>
      <c r="GX55" s="373"/>
      <c r="GY55" s="373"/>
      <c r="GZ55" s="618"/>
      <c r="HA55" s="374">
        <v>0</v>
      </c>
      <c r="HB55" s="869"/>
      <c r="HC55" s="373"/>
      <c r="HD55" s="373"/>
      <c r="HE55" s="870"/>
      <c r="HF55" s="373"/>
      <c r="HG55" s="373"/>
      <c r="HH55" s="373"/>
      <c r="HI55" s="618"/>
      <c r="HJ55" s="374">
        <v>0</v>
      </c>
      <c r="HK55" s="869"/>
      <c r="HL55" s="373"/>
      <c r="HM55" s="373"/>
      <c r="HN55" s="870"/>
      <c r="HO55" s="373"/>
      <c r="HP55" s="373"/>
      <c r="HQ55" s="373"/>
      <c r="HR55" s="618"/>
      <c r="HS55" s="374">
        <v>0</v>
      </c>
      <c r="HT55" s="869">
        <v>1</v>
      </c>
      <c r="HU55" s="373"/>
      <c r="HV55" s="373">
        <v>1</v>
      </c>
      <c r="HW55" s="870"/>
      <c r="HX55" s="373">
        <v>1</v>
      </c>
      <c r="HY55" s="373"/>
      <c r="HZ55" s="373"/>
      <c r="IA55" s="618"/>
      <c r="IB55" s="374">
        <v>0</v>
      </c>
      <c r="IC55" s="869">
        <v>4</v>
      </c>
      <c r="ID55" s="373">
        <v>5</v>
      </c>
      <c r="IE55" s="373">
        <v>2</v>
      </c>
      <c r="IF55" s="870"/>
      <c r="IG55" s="373">
        <v>1</v>
      </c>
      <c r="IH55" s="373">
        <v>1</v>
      </c>
      <c r="II55" s="373"/>
      <c r="IJ55" s="618">
        <v>1</v>
      </c>
      <c r="IK55" s="374">
        <v>0</v>
      </c>
      <c r="IL55" s="377"/>
      <c r="IM55" s="373">
        <v>1</v>
      </c>
      <c r="IN55" s="373">
        <v>1</v>
      </c>
      <c r="IO55" s="871"/>
      <c r="IP55" s="871"/>
      <c r="IQ55" s="373"/>
      <c r="IR55" s="373"/>
      <c r="IS55" s="618"/>
      <c r="IT55" s="374">
        <v>0</v>
      </c>
    </row>
    <row r="56" spans="1:254" s="245" customFormat="1" ht="12.75" customHeight="1" x14ac:dyDescent="0.2">
      <c r="A56" s="1052"/>
      <c r="B56" s="868" t="s">
        <v>908</v>
      </c>
      <c r="C56" s="869"/>
      <c r="D56" s="373"/>
      <c r="E56" s="373"/>
      <c r="F56" s="870"/>
      <c r="G56" s="373"/>
      <c r="H56" s="373"/>
      <c r="I56" s="373"/>
      <c r="J56" s="618"/>
      <c r="K56" s="374">
        <v>0</v>
      </c>
      <c r="L56" s="869"/>
      <c r="M56" s="373"/>
      <c r="N56" s="373"/>
      <c r="O56" s="870"/>
      <c r="P56" s="373"/>
      <c r="Q56" s="373"/>
      <c r="R56" s="373"/>
      <c r="S56" s="618"/>
      <c r="T56" s="374">
        <v>0</v>
      </c>
      <c r="U56" s="869"/>
      <c r="V56" s="373"/>
      <c r="W56" s="373"/>
      <c r="X56" s="870"/>
      <c r="Y56" s="373"/>
      <c r="Z56" s="373"/>
      <c r="AA56" s="373"/>
      <c r="AB56" s="618"/>
      <c r="AC56" s="374">
        <v>0</v>
      </c>
      <c r="AD56" s="869"/>
      <c r="AE56" s="373"/>
      <c r="AF56" s="373">
        <v>1</v>
      </c>
      <c r="AG56" s="870"/>
      <c r="AH56" s="373"/>
      <c r="AI56" s="373"/>
      <c r="AJ56" s="373">
        <v>1</v>
      </c>
      <c r="AK56" s="618">
        <v>1</v>
      </c>
      <c r="AL56" s="374">
        <v>0</v>
      </c>
      <c r="AM56" s="869"/>
      <c r="AN56" s="373"/>
      <c r="AO56" s="373"/>
      <c r="AP56" s="870"/>
      <c r="AQ56" s="373"/>
      <c r="AR56" s="373"/>
      <c r="AS56" s="373"/>
      <c r="AT56" s="618"/>
      <c r="AU56" s="374">
        <v>0</v>
      </c>
      <c r="AV56" s="869"/>
      <c r="AW56" s="373"/>
      <c r="AX56" s="373"/>
      <c r="AY56" s="870"/>
      <c r="AZ56" s="373"/>
      <c r="BA56" s="373"/>
      <c r="BB56" s="373"/>
      <c r="BC56" s="618"/>
      <c r="BD56" s="374">
        <v>0</v>
      </c>
      <c r="BE56" s="869"/>
      <c r="BF56" s="373"/>
      <c r="BG56" s="373">
        <v>6</v>
      </c>
      <c r="BH56" s="870"/>
      <c r="BI56" s="373"/>
      <c r="BJ56" s="373"/>
      <c r="BK56" s="373"/>
      <c r="BL56" s="618"/>
      <c r="BM56" s="374">
        <v>0</v>
      </c>
      <c r="BN56" s="869"/>
      <c r="BO56" s="373"/>
      <c r="BP56" s="373"/>
      <c r="BQ56" s="870"/>
      <c r="BR56" s="373"/>
      <c r="BS56" s="373"/>
      <c r="BT56" s="373"/>
      <c r="BU56" s="618"/>
      <c r="BV56" s="374">
        <v>0</v>
      </c>
      <c r="BW56" s="869"/>
      <c r="BX56" s="373">
        <v>1</v>
      </c>
      <c r="BY56" s="373"/>
      <c r="BZ56" s="870"/>
      <c r="CA56" s="373">
        <v>1</v>
      </c>
      <c r="CB56" s="373"/>
      <c r="CC56" s="373"/>
      <c r="CD56" s="618">
        <v>1</v>
      </c>
      <c r="CE56" s="374">
        <v>0</v>
      </c>
      <c r="CF56" s="869"/>
      <c r="CG56" s="373"/>
      <c r="CH56" s="373"/>
      <c r="CI56" s="870"/>
      <c r="CJ56" s="373"/>
      <c r="CK56" s="373"/>
      <c r="CL56" s="373"/>
      <c r="CM56" s="618"/>
      <c r="CN56" s="374">
        <v>0</v>
      </c>
      <c r="CO56" s="869"/>
      <c r="CP56" s="373"/>
      <c r="CQ56" s="373"/>
      <c r="CR56" s="870">
        <v>3</v>
      </c>
      <c r="CS56" s="373"/>
      <c r="CT56" s="373"/>
      <c r="CU56" s="373"/>
      <c r="CV56" s="618">
        <v>1</v>
      </c>
      <c r="CW56" s="374">
        <v>0</v>
      </c>
      <c r="CX56" s="869">
        <v>2</v>
      </c>
      <c r="CY56" s="373">
        <v>2</v>
      </c>
      <c r="CZ56" s="373">
        <v>1</v>
      </c>
      <c r="DA56" s="870">
        <v>1</v>
      </c>
      <c r="DB56" s="373"/>
      <c r="DC56" s="373">
        <v>3</v>
      </c>
      <c r="DD56" s="373">
        <v>1</v>
      </c>
      <c r="DE56" s="618"/>
      <c r="DF56" s="374">
        <v>1</v>
      </c>
      <c r="DG56" s="869"/>
      <c r="DH56" s="373"/>
      <c r="DI56" s="373"/>
      <c r="DJ56" s="870"/>
      <c r="DK56" s="373"/>
      <c r="DL56" s="373"/>
      <c r="DM56" s="373"/>
      <c r="DN56" s="618"/>
      <c r="DO56" s="374">
        <v>0</v>
      </c>
      <c r="DP56" s="869"/>
      <c r="DQ56" s="373"/>
      <c r="DR56" s="373"/>
      <c r="DS56" s="870"/>
      <c r="DT56" s="373"/>
      <c r="DU56" s="373"/>
      <c r="DV56" s="373"/>
      <c r="DW56" s="618"/>
      <c r="DX56" s="374">
        <v>0</v>
      </c>
      <c r="DY56" s="869"/>
      <c r="DZ56" s="373">
        <v>1</v>
      </c>
      <c r="EA56" s="373"/>
      <c r="EB56" s="870"/>
      <c r="EC56" s="373"/>
      <c r="ED56" s="373">
        <v>2</v>
      </c>
      <c r="EE56" s="373"/>
      <c r="EF56" s="618"/>
      <c r="EG56" s="374">
        <v>1</v>
      </c>
      <c r="EH56" s="869"/>
      <c r="EI56" s="373"/>
      <c r="EJ56" s="373"/>
      <c r="EK56" s="870"/>
      <c r="EL56" s="373">
        <v>1</v>
      </c>
      <c r="EM56" s="373"/>
      <c r="EN56" s="373"/>
      <c r="EO56" s="618"/>
      <c r="EP56" s="374">
        <v>0</v>
      </c>
      <c r="EQ56" s="869"/>
      <c r="ER56" s="373"/>
      <c r="ES56" s="373"/>
      <c r="ET56" s="870"/>
      <c r="EU56" s="373"/>
      <c r="EV56" s="373"/>
      <c r="EW56" s="373"/>
      <c r="EX56" s="618"/>
      <c r="EY56" s="374">
        <v>0</v>
      </c>
      <c r="EZ56" s="869"/>
      <c r="FA56" s="373"/>
      <c r="FB56" s="373"/>
      <c r="FC56" s="870"/>
      <c r="FD56" s="373"/>
      <c r="FE56" s="373"/>
      <c r="FF56" s="373"/>
      <c r="FG56" s="618"/>
      <c r="FH56" s="374">
        <v>0</v>
      </c>
      <c r="FI56" s="869">
        <v>1</v>
      </c>
      <c r="FJ56" s="373"/>
      <c r="FK56" s="373"/>
      <c r="FL56" s="870"/>
      <c r="FM56" s="373"/>
      <c r="FN56" s="373"/>
      <c r="FO56" s="373"/>
      <c r="FP56" s="618"/>
      <c r="FQ56" s="374">
        <v>0</v>
      </c>
      <c r="FR56" s="869"/>
      <c r="FS56" s="373"/>
      <c r="FT56" s="373"/>
      <c r="FU56" s="870"/>
      <c r="FV56" s="373"/>
      <c r="FW56" s="373"/>
      <c r="FX56" s="373"/>
      <c r="FY56" s="618"/>
      <c r="FZ56" s="374">
        <v>0</v>
      </c>
      <c r="GA56" s="869"/>
      <c r="GB56" s="373"/>
      <c r="GC56" s="373"/>
      <c r="GD56" s="870"/>
      <c r="GE56" s="373"/>
      <c r="GF56" s="373"/>
      <c r="GG56" s="373">
        <v>1</v>
      </c>
      <c r="GH56" s="618"/>
      <c r="GI56" s="374">
        <v>0</v>
      </c>
      <c r="GJ56" s="869">
        <v>3</v>
      </c>
      <c r="GK56" s="373">
        <v>3</v>
      </c>
      <c r="GL56" s="373">
        <v>8</v>
      </c>
      <c r="GM56" s="870">
        <v>4</v>
      </c>
      <c r="GN56" s="373">
        <v>2</v>
      </c>
      <c r="GO56" s="373">
        <v>3</v>
      </c>
      <c r="GP56" s="373">
        <v>3</v>
      </c>
      <c r="GQ56" s="618">
        <v>3</v>
      </c>
      <c r="GR56" s="374">
        <v>1</v>
      </c>
      <c r="GS56" s="869">
        <v>1</v>
      </c>
      <c r="GT56" s="373"/>
      <c r="GU56" s="373">
        <v>1</v>
      </c>
      <c r="GV56" s="870"/>
      <c r="GW56" s="373">
        <v>1</v>
      </c>
      <c r="GX56" s="373"/>
      <c r="GY56" s="373">
        <v>1</v>
      </c>
      <c r="GZ56" s="618">
        <v>3</v>
      </c>
      <c r="HA56" s="374">
        <v>0</v>
      </c>
      <c r="HB56" s="869"/>
      <c r="HC56" s="373"/>
      <c r="HD56" s="373"/>
      <c r="HE56" s="870"/>
      <c r="HF56" s="373"/>
      <c r="HG56" s="373"/>
      <c r="HH56" s="373"/>
      <c r="HI56" s="618"/>
      <c r="HJ56" s="374">
        <v>0</v>
      </c>
      <c r="HK56" s="869"/>
      <c r="HL56" s="373"/>
      <c r="HM56" s="373"/>
      <c r="HN56" s="870"/>
      <c r="HO56" s="373"/>
      <c r="HP56" s="373"/>
      <c r="HQ56" s="373"/>
      <c r="HR56" s="618"/>
      <c r="HS56" s="374">
        <v>0</v>
      </c>
      <c r="HT56" s="869">
        <v>2</v>
      </c>
      <c r="HU56" s="373">
        <v>1</v>
      </c>
      <c r="HV56" s="373">
        <v>1</v>
      </c>
      <c r="HW56" s="870"/>
      <c r="HX56" s="373">
        <v>4</v>
      </c>
      <c r="HY56" s="373"/>
      <c r="HZ56" s="373">
        <v>2</v>
      </c>
      <c r="IA56" s="618">
        <v>8</v>
      </c>
      <c r="IB56" s="374">
        <v>1</v>
      </c>
      <c r="IC56" s="869">
        <v>5</v>
      </c>
      <c r="ID56" s="373">
        <v>8</v>
      </c>
      <c r="IE56" s="373">
        <v>8</v>
      </c>
      <c r="IF56" s="870">
        <v>8</v>
      </c>
      <c r="IG56" s="373">
        <v>8</v>
      </c>
      <c r="IH56" s="373">
        <v>3</v>
      </c>
      <c r="II56" s="373">
        <v>6</v>
      </c>
      <c r="IJ56" s="618">
        <v>15</v>
      </c>
      <c r="IK56" s="374">
        <v>2</v>
      </c>
      <c r="IL56" s="377">
        <v>1</v>
      </c>
      <c r="IM56" s="373">
        <v>1</v>
      </c>
      <c r="IN56" s="373"/>
      <c r="IO56" s="871"/>
      <c r="IP56" s="871"/>
      <c r="IQ56" s="373">
        <v>2</v>
      </c>
      <c r="IR56" s="373"/>
      <c r="IS56" s="618"/>
      <c r="IT56" s="374">
        <v>1</v>
      </c>
    </row>
    <row r="57" spans="1:254" s="245" customFormat="1" ht="12.75" customHeight="1" x14ac:dyDescent="0.2">
      <c r="A57" s="1052"/>
      <c r="B57" s="868" t="s">
        <v>909</v>
      </c>
      <c r="C57" s="869"/>
      <c r="D57" s="373"/>
      <c r="E57" s="373"/>
      <c r="F57" s="870"/>
      <c r="G57" s="373"/>
      <c r="H57" s="373"/>
      <c r="I57" s="373"/>
      <c r="J57" s="618"/>
      <c r="K57" s="374">
        <v>0</v>
      </c>
      <c r="L57" s="869"/>
      <c r="M57" s="373"/>
      <c r="N57" s="373"/>
      <c r="O57" s="870"/>
      <c r="P57" s="373"/>
      <c r="Q57" s="373"/>
      <c r="R57" s="373"/>
      <c r="S57" s="618"/>
      <c r="T57" s="374">
        <v>0</v>
      </c>
      <c r="U57" s="869"/>
      <c r="V57" s="373"/>
      <c r="W57" s="373"/>
      <c r="X57" s="870"/>
      <c r="Y57" s="373"/>
      <c r="Z57" s="373"/>
      <c r="AA57" s="373"/>
      <c r="AB57" s="618"/>
      <c r="AC57" s="374">
        <v>0</v>
      </c>
      <c r="AD57" s="869"/>
      <c r="AE57" s="373"/>
      <c r="AF57" s="373"/>
      <c r="AG57" s="870"/>
      <c r="AH57" s="373"/>
      <c r="AI57" s="373"/>
      <c r="AJ57" s="373">
        <v>1</v>
      </c>
      <c r="AK57" s="618"/>
      <c r="AL57" s="374">
        <v>0</v>
      </c>
      <c r="AM57" s="869"/>
      <c r="AN57" s="373"/>
      <c r="AO57" s="373"/>
      <c r="AP57" s="870"/>
      <c r="AQ57" s="373"/>
      <c r="AR57" s="373"/>
      <c r="AS57" s="373"/>
      <c r="AT57" s="618"/>
      <c r="AU57" s="374">
        <v>0</v>
      </c>
      <c r="AV57" s="869"/>
      <c r="AW57" s="373"/>
      <c r="AX57" s="373"/>
      <c r="AY57" s="870"/>
      <c r="AZ57" s="373"/>
      <c r="BA57" s="373"/>
      <c r="BB57" s="373"/>
      <c r="BC57" s="618"/>
      <c r="BD57" s="374">
        <v>0</v>
      </c>
      <c r="BE57" s="869"/>
      <c r="BF57" s="373"/>
      <c r="BG57" s="373"/>
      <c r="BH57" s="870"/>
      <c r="BI57" s="373"/>
      <c r="BJ57" s="373"/>
      <c r="BK57" s="373"/>
      <c r="BL57" s="618"/>
      <c r="BM57" s="374">
        <v>0</v>
      </c>
      <c r="BN57" s="869"/>
      <c r="BO57" s="373"/>
      <c r="BP57" s="373"/>
      <c r="BQ57" s="870"/>
      <c r="BR57" s="373"/>
      <c r="BS57" s="373"/>
      <c r="BT57" s="373"/>
      <c r="BU57" s="618"/>
      <c r="BV57" s="374">
        <v>0</v>
      </c>
      <c r="BW57" s="869"/>
      <c r="BX57" s="373"/>
      <c r="BY57" s="373"/>
      <c r="BZ57" s="870"/>
      <c r="CA57" s="373"/>
      <c r="CB57" s="373">
        <v>1</v>
      </c>
      <c r="CC57" s="373"/>
      <c r="CD57" s="618"/>
      <c r="CE57" s="374">
        <v>0</v>
      </c>
      <c r="CF57" s="869"/>
      <c r="CG57" s="373"/>
      <c r="CH57" s="373"/>
      <c r="CI57" s="870"/>
      <c r="CJ57" s="373"/>
      <c r="CK57" s="373"/>
      <c r="CL57" s="373"/>
      <c r="CM57" s="618"/>
      <c r="CN57" s="374">
        <v>0</v>
      </c>
      <c r="CO57" s="869"/>
      <c r="CP57" s="373"/>
      <c r="CQ57" s="373"/>
      <c r="CR57" s="870"/>
      <c r="CS57" s="373"/>
      <c r="CT57" s="373"/>
      <c r="CU57" s="373"/>
      <c r="CV57" s="618"/>
      <c r="CW57" s="374">
        <v>0</v>
      </c>
      <c r="CX57" s="869">
        <v>3</v>
      </c>
      <c r="CY57" s="373">
        <v>4</v>
      </c>
      <c r="CZ57" s="373"/>
      <c r="DA57" s="870"/>
      <c r="DB57" s="373"/>
      <c r="DC57" s="373"/>
      <c r="DD57" s="373"/>
      <c r="DE57" s="618"/>
      <c r="DF57" s="374">
        <v>0</v>
      </c>
      <c r="DG57" s="869"/>
      <c r="DH57" s="373"/>
      <c r="DI57" s="373"/>
      <c r="DJ57" s="870"/>
      <c r="DK57" s="373"/>
      <c r="DL57" s="373"/>
      <c r="DM57" s="373"/>
      <c r="DN57" s="618"/>
      <c r="DO57" s="374">
        <v>0</v>
      </c>
      <c r="DP57" s="869">
        <v>1</v>
      </c>
      <c r="DQ57" s="373">
        <v>1</v>
      </c>
      <c r="DR57" s="373"/>
      <c r="DS57" s="870"/>
      <c r="DT57" s="373"/>
      <c r="DU57" s="373"/>
      <c r="DV57" s="373"/>
      <c r="DW57" s="618"/>
      <c r="DX57" s="374">
        <v>0</v>
      </c>
      <c r="DY57" s="869"/>
      <c r="DZ57" s="373"/>
      <c r="EA57" s="373"/>
      <c r="EB57" s="870"/>
      <c r="EC57" s="373"/>
      <c r="ED57" s="373"/>
      <c r="EE57" s="373"/>
      <c r="EF57" s="618"/>
      <c r="EG57" s="374">
        <v>0</v>
      </c>
      <c r="EH57" s="869"/>
      <c r="EI57" s="373"/>
      <c r="EJ57" s="373"/>
      <c r="EK57" s="870"/>
      <c r="EL57" s="373"/>
      <c r="EM57" s="373"/>
      <c r="EN57" s="373"/>
      <c r="EO57" s="618"/>
      <c r="EP57" s="374">
        <v>0</v>
      </c>
      <c r="EQ57" s="869"/>
      <c r="ER57" s="373"/>
      <c r="ES57" s="373"/>
      <c r="ET57" s="870"/>
      <c r="EU57" s="373"/>
      <c r="EV57" s="373"/>
      <c r="EW57" s="373"/>
      <c r="EX57" s="618"/>
      <c r="EY57" s="374">
        <v>0</v>
      </c>
      <c r="EZ57" s="869"/>
      <c r="FA57" s="373"/>
      <c r="FB57" s="373"/>
      <c r="FC57" s="870"/>
      <c r="FD57" s="373"/>
      <c r="FE57" s="373"/>
      <c r="FF57" s="373"/>
      <c r="FG57" s="618"/>
      <c r="FH57" s="374">
        <v>0</v>
      </c>
      <c r="FI57" s="869"/>
      <c r="FJ57" s="373"/>
      <c r="FK57" s="373"/>
      <c r="FL57" s="870"/>
      <c r="FM57" s="373"/>
      <c r="FN57" s="373"/>
      <c r="FO57" s="373"/>
      <c r="FP57" s="618"/>
      <c r="FQ57" s="374">
        <v>1</v>
      </c>
      <c r="FR57" s="869"/>
      <c r="FS57" s="373"/>
      <c r="FT57" s="373"/>
      <c r="FU57" s="870"/>
      <c r="FV57" s="373"/>
      <c r="FW57" s="373"/>
      <c r="FX57" s="373"/>
      <c r="FY57" s="618"/>
      <c r="FZ57" s="374">
        <v>0</v>
      </c>
      <c r="GA57" s="869"/>
      <c r="GB57" s="373"/>
      <c r="GC57" s="373"/>
      <c r="GD57" s="870"/>
      <c r="GE57" s="373"/>
      <c r="GF57" s="373"/>
      <c r="GG57" s="373"/>
      <c r="GH57" s="618"/>
      <c r="GI57" s="374">
        <v>0</v>
      </c>
      <c r="GJ57" s="869">
        <v>3</v>
      </c>
      <c r="GK57" s="373">
        <v>4</v>
      </c>
      <c r="GL57" s="373"/>
      <c r="GM57" s="870"/>
      <c r="GN57" s="373"/>
      <c r="GO57" s="373">
        <v>1</v>
      </c>
      <c r="GP57" s="373">
        <v>1</v>
      </c>
      <c r="GQ57" s="618"/>
      <c r="GR57" s="374">
        <v>1</v>
      </c>
      <c r="GS57" s="869"/>
      <c r="GT57" s="373">
        <v>2</v>
      </c>
      <c r="GU57" s="373"/>
      <c r="GV57" s="870"/>
      <c r="GW57" s="373"/>
      <c r="GX57" s="373">
        <v>1</v>
      </c>
      <c r="GY57" s="373"/>
      <c r="GZ57" s="618"/>
      <c r="HA57" s="374">
        <v>1</v>
      </c>
      <c r="HB57" s="869"/>
      <c r="HC57" s="373"/>
      <c r="HD57" s="373"/>
      <c r="HE57" s="870"/>
      <c r="HF57" s="373"/>
      <c r="HG57" s="373"/>
      <c r="HH57" s="373"/>
      <c r="HI57" s="618"/>
      <c r="HJ57" s="374">
        <v>0</v>
      </c>
      <c r="HK57" s="869"/>
      <c r="HL57" s="373"/>
      <c r="HM57" s="373"/>
      <c r="HN57" s="870"/>
      <c r="HO57" s="373"/>
      <c r="HP57" s="373"/>
      <c r="HQ57" s="373"/>
      <c r="HR57" s="618"/>
      <c r="HS57" s="374">
        <v>0</v>
      </c>
      <c r="HT57" s="869"/>
      <c r="HU57" s="373">
        <v>2</v>
      </c>
      <c r="HV57" s="373"/>
      <c r="HW57" s="870"/>
      <c r="HX57" s="373"/>
      <c r="HY57" s="373">
        <v>1</v>
      </c>
      <c r="HZ57" s="373"/>
      <c r="IA57" s="618">
        <v>2</v>
      </c>
      <c r="IB57" s="374">
        <v>1</v>
      </c>
      <c r="IC57" s="869">
        <v>3</v>
      </c>
      <c r="ID57" s="373">
        <v>5</v>
      </c>
      <c r="IE57" s="373"/>
      <c r="IF57" s="870">
        <v>1</v>
      </c>
      <c r="IG57" s="373"/>
      <c r="IH57" s="373">
        <v>2</v>
      </c>
      <c r="II57" s="373">
        <v>1</v>
      </c>
      <c r="IJ57" s="618">
        <v>4</v>
      </c>
      <c r="IK57" s="374">
        <v>1</v>
      </c>
      <c r="IL57" s="377"/>
      <c r="IM57" s="373">
        <v>1</v>
      </c>
      <c r="IN57" s="373"/>
      <c r="IO57" s="871"/>
      <c r="IP57" s="871"/>
      <c r="IQ57" s="373"/>
      <c r="IR57" s="373"/>
      <c r="IS57" s="618"/>
      <c r="IT57" s="374">
        <v>0</v>
      </c>
    </row>
    <row r="58" spans="1:254" s="245" customFormat="1" ht="12.75" customHeight="1" x14ac:dyDescent="0.2">
      <c r="A58" s="1052"/>
      <c r="B58" s="868" t="s">
        <v>910</v>
      </c>
      <c r="C58" s="869"/>
      <c r="D58" s="373"/>
      <c r="E58" s="373"/>
      <c r="F58" s="870"/>
      <c r="G58" s="373"/>
      <c r="H58" s="373"/>
      <c r="I58" s="373"/>
      <c r="J58" s="618"/>
      <c r="K58" s="374">
        <v>1</v>
      </c>
      <c r="L58" s="869"/>
      <c r="M58" s="373"/>
      <c r="N58" s="373"/>
      <c r="O58" s="870"/>
      <c r="P58" s="373"/>
      <c r="Q58" s="373"/>
      <c r="R58" s="373"/>
      <c r="S58" s="618"/>
      <c r="T58" s="374">
        <v>0</v>
      </c>
      <c r="U58" s="869"/>
      <c r="V58" s="373"/>
      <c r="W58" s="373"/>
      <c r="X58" s="870"/>
      <c r="Y58" s="373"/>
      <c r="Z58" s="373"/>
      <c r="AA58" s="373"/>
      <c r="AB58" s="618"/>
      <c r="AC58" s="374">
        <v>1</v>
      </c>
      <c r="AD58" s="869"/>
      <c r="AE58" s="373"/>
      <c r="AF58" s="373"/>
      <c r="AG58" s="870">
        <v>1</v>
      </c>
      <c r="AH58" s="373"/>
      <c r="AI58" s="373"/>
      <c r="AJ58" s="373"/>
      <c r="AK58" s="618"/>
      <c r="AL58" s="374">
        <v>0</v>
      </c>
      <c r="AM58" s="869"/>
      <c r="AN58" s="373"/>
      <c r="AO58" s="373"/>
      <c r="AP58" s="870">
        <v>1</v>
      </c>
      <c r="AQ58" s="373"/>
      <c r="AR58" s="373"/>
      <c r="AS58" s="373"/>
      <c r="AT58" s="618"/>
      <c r="AU58" s="374">
        <v>0</v>
      </c>
      <c r="AV58" s="869"/>
      <c r="AW58" s="373"/>
      <c r="AX58" s="373"/>
      <c r="AY58" s="870"/>
      <c r="AZ58" s="373"/>
      <c r="BA58" s="373"/>
      <c r="BB58" s="373"/>
      <c r="BC58" s="618"/>
      <c r="BD58" s="374">
        <v>0</v>
      </c>
      <c r="BE58" s="869"/>
      <c r="BF58" s="373"/>
      <c r="BG58" s="373"/>
      <c r="BH58" s="870">
        <v>1</v>
      </c>
      <c r="BI58" s="373"/>
      <c r="BJ58" s="373"/>
      <c r="BK58" s="373"/>
      <c r="BL58" s="618"/>
      <c r="BM58" s="374">
        <v>0</v>
      </c>
      <c r="BN58" s="869"/>
      <c r="BO58" s="373"/>
      <c r="BP58" s="373"/>
      <c r="BQ58" s="870"/>
      <c r="BR58" s="373"/>
      <c r="BS58" s="373"/>
      <c r="BT58" s="373"/>
      <c r="BU58" s="618"/>
      <c r="BV58" s="374">
        <v>0</v>
      </c>
      <c r="BW58" s="869"/>
      <c r="BX58" s="373"/>
      <c r="BY58" s="373"/>
      <c r="BZ58" s="870"/>
      <c r="CA58" s="373"/>
      <c r="CB58" s="373"/>
      <c r="CC58" s="373">
        <v>1</v>
      </c>
      <c r="CD58" s="618">
        <v>1</v>
      </c>
      <c r="CE58" s="374">
        <v>0</v>
      </c>
      <c r="CF58" s="869"/>
      <c r="CG58" s="373"/>
      <c r="CH58" s="373"/>
      <c r="CI58" s="870"/>
      <c r="CJ58" s="373"/>
      <c r="CK58" s="373"/>
      <c r="CL58" s="373"/>
      <c r="CM58" s="618"/>
      <c r="CN58" s="374">
        <v>0</v>
      </c>
      <c r="CO58" s="869"/>
      <c r="CP58" s="373"/>
      <c r="CQ58" s="373"/>
      <c r="CR58" s="870"/>
      <c r="CS58" s="373"/>
      <c r="CT58" s="373"/>
      <c r="CU58" s="373"/>
      <c r="CV58" s="618"/>
      <c r="CW58" s="374">
        <v>0</v>
      </c>
      <c r="CX58" s="869"/>
      <c r="CY58" s="373">
        <v>3</v>
      </c>
      <c r="CZ58" s="373">
        <v>6</v>
      </c>
      <c r="DA58" s="870">
        <v>7</v>
      </c>
      <c r="DB58" s="373">
        <v>8</v>
      </c>
      <c r="DC58" s="373">
        <v>2</v>
      </c>
      <c r="DD58" s="373"/>
      <c r="DE58" s="618"/>
      <c r="DF58" s="374">
        <v>2</v>
      </c>
      <c r="DG58" s="869"/>
      <c r="DH58" s="373"/>
      <c r="DI58" s="373"/>
      <c r="DJ58" s="870">
        <v>1</v>
      </c>
      <c r="DK58" s="373"/>
      <c r="DL58" s="373"/>
      <c r="DM58" s="373"/>
      <c r="DN58" s="618"/>
      <c r="DO58" s="374">
        <v>0</v>
      </c>
      <c r="DP58" s="869"/>
      <c r="DQ58" s="373"/>
      <c r="DR58" s="373">
        <v>1</v>
      </c>
      <c r="DS58" s="870">
        <v>2</v>
      </c>
      <c r="DT58" s="373"/>
      <c r="DU58" s="373"/>
      <c r="DV58" s="373"/>
      <c r="DW58" s="618"/>
      <c r="DX58" s="374">
        <v>0</v>
      </c>
      <c r="DY58" s="869"/>
      <c r="DZ58" s="373"/>
      <c r="EA58" s="373">
        <v>1</v>
      </c>
      <c r="EB58" s="870"/>
      <c r="EC58" s="373">
        <v>1</v>
      </c>
      <c r="ED58" s="373"/>
      <c r="EE58" s="373"/>
      <c r="EF58" s="618"/>
      <c r="EG58" s="374">
        <v>0</v>
      </c>
      <c r="EH58" s="869"/>
      <c r="EI58" s="373"/>
      <c r="EJ58" s="373"/>
      <c r="EK58" s="870"/>
      <c r="EL58" s="373"/>
      <c r="EM58" s="373"/>
      <c r="EN58" s="373"/>
      <c r="EO58" s="618"/>
      <c r="EP58" s="374">
        <v>0</v>
      </c>
      <c r="EQ58" s="869"/>
      <c r="ER58" s="373"/>
      <c r="ES58" s="373"/>
      <c r="ET58" s="870"/>
      <c r="EU58" s="373"/>
      <c r="EV58" s="373"/>
      <c r="EW58" s="373"/>
      <c r="EX58" s="618"/>
      <c r="EY58" s="374">
        <v>0</v>
      </c>
      <c r="EZ58" s="869"/>
      <c r="FA58" s="373"/>
      <c r="FB58" s="373"/>
      <c r="FC58" s="870"/>
      <c r="FD58" s="373"/>
      <c r="FE58" s="373"/>
      <c r="FF58" s="373"/>
      <c r="FG58" s="618"/>
      <c r="FH58" s="374">
        <v>0</v>
      </c>
      <c r="FI58" s="869"/>
      <c r="FJ58" s="373"/>
      <c r="FK58" s="373"/>
      <c r="FL58" s="870"/>
      <c r="FM58" s="373"/>
      <c r="FN58" s="373"/>
      <c r="FO58" s="373"/>
      <c r="FP58" s="618"/>
      <c r="FQ58" s="374">
        <v>0</v>
      </c>
      <c r="FR58" s="869"/>
      <c r="FS58" s="373"/>
      <c r="FT58" s="373"/>
      <c r="FU58" s="870"/>
      <c r="FV58" s="373"/>
      <c r="FW58" s="373"/>
      <c r="FX58" s="373"/>
      <c r="FY58" s="618"/>
      <c r="FZ58" s="374">
        <v>0</v>
      </c>
      <c r="GA58" s="869"/>
      <c r="GB58" s="373"/>
      <c r="GC58" s="373"/>
      <c r="GD58" s="870"/>
      <c r="GE58" s="373"/>
      <c r="GF58" s="373"/>
      <c r="GG58" s="373"/>
      <c r="GH58" s="618"/>
      <c r="GI58" s="374">
        <v>0</v>
      </c>
      <c r="GJ58" s="869"/>
      <c r="GK58" s="373">
        <v>3</v>
      </c>
      <c r="GL58" s="373">
        <v>6</v>
      </c>
      <c r="GM58" s="870">
        <v>9</v>
      </c>
      <c r="GN58" s="373">
        <v>8</v>
      </c>
      <c r="GO58" s="373">
        <v>2</v>
      </c>
      <c r="GP58" s="373">
        <v>1</v>
      </c>
      <c r="GQ58" s="618">
        <v>1</v>
      </c>
      <c r="GR58" s="374">
        <v>3</v>
      </c>
      <c r="GS58" s="869"/>
      <c r="GT58" s="373">
        <v>1</v>
      </c>
      <c r="GU58" s="373">
        <v>3</v>
      </c>
      <c r="GV58" s="870">
        <v>4</v>
      </c>
      <c r="GW58" s="373"/>
      <c r="GX58" s="373"/>
      <c r="GY58" s="373"/>
      <c r="GZ58" s="618">
        <v>1</v>
      </c>
      <c r="HA58" s="374">
        <v>0</v>
      </c>
      <c r="HB58" s="869"/>
      <c r="HC58" s="373"/>
      <c r="HD58" s="373"/>
      <c r="HE58" s="870"/>
      <c r="HF58" s="373"/>
      <c r="HG58" s="373"/>
      <c r="HH58" s="373"/>
      <c r="HI58" s="618"/>
      <c r="HJ58" s="374">
        <v>0</v>
      </c>
      <c r="HK58" s="869"/>
      <c r="HL58" s="373"/>
      <c r="HM58" s="373"/>
      <c r="HN58" s="870"/>
      <c r="HO58" s="373"/>
      <c r="HP58" s="373"/>
      <c r="HQ58" s="373"/>
      <c r="HR58" s="618"/>
      <c r="HS58" s="374">
        <v>0</v>
      </c>
      <c r="HT58" s="869">
        <v>5</v>
      </c>
      <c r="HU58" s="373">
        <v>5</v>
      </c>
      <c r="HV58" s="373">
        <v>6</v>
      </c>
      <c r="HW58" s="870">
        <v>6</v>
      </c>
      <c r="HX58" s="373">
        <v>1</v>
      </c>
      <c r="HY58" s="373"/>
      <c r="HZ58" s="373">
        <v>1</v>
      </c>
      <c r="IA58" s="618">
        <v>1</v>
      </c>
      <c r="IB58" s="374">
        <v>1</v>
      </c>
      <c r="IC58" s="869">
        <v>9</v>
      </c>
      <c r="ID58" s="373">
        <v>12</v>
      </c>
      <c r="IE58" s="373">
        <v>10</v>
      </c>
      <c r="IF58" s="870">
        <v>13</v>
      </c>
      <c r="IG58" s="373">
        <v>10</v>
      </c>
      <c r="IH58" s="373">
        <v>2</v>
      </c>
      <c r="II58" s="373">
        <v>6</v>
      </c>
      <c r="IJ58" s="618">
        <v>5</v>
      </c>
      <c r="IK58" s="374">
        <v>7</v>
      </c>
      <c r="IL58" s="377"/>
      <c r="IM58" s="373">
        <v>1</v>
      </c>
      <c r="IN58" s="373">
        <v>2</v>
      </c>
      <c r="IO58" s="871">
        <v>3</v>
      </c>
      <c r="IP58" s="871"/>
      <c r="IQ58" s="373"/>
      <c r="IR58" s="373"/>
      <c r="IS58" s="618"/>
      <c r="IT58" s="374">
        <v>0</v>
      </c>
    </row>
    <row r="59" spans="1:254" s="245" customFormat="1" ht="12.75" customHeight="1" x14ac:dyDescent="0.2">
      <c r="A59" s="1052"/>
      <c r="B59" s="868" t="s">
        <v>911</v>
      </c>
      <c r="C59" s="869"/>
      <c r="D59" s="373"/>
      <c r="E59" s="373"/>
      <c r="F59" s="870"/>
      <c r="G59" s="373"/>
      <c r="H59" s="373"/>
      <c r="I59" s="373"/>
      <c r="J59" s="618"/>
      <c r="K59" s="374">
        <v>0</v>
      </c>
      <c r="L59" s="869"/>
      <c r="M59" s="373"/>
      <c r="N59" s="373"/>
      <c r="O59" s="870"/>
      <c r="P59" s="373"/>
      <c r="Q59" s="373"/>
      <c r="R59" s="373"/>
      <c r="S59" s="618"/>
      <c r="T59" s="374">
        <v>0</v>
      </c>
      <c r="U59" s="869"/>
      <c r="V59" s="373"/>
      <c r="W59" s="373"/>
      <c r="X59" s="870"/>
      <c r="Y59" s="373"/>
      <c r="Z59" s="373"/>
      <c r="AA59" s="373"/>
      <c r="AB59" s="618"/>
      <c r="AC59" s="374">
        <v>0</v>
      </c>
      <c r="AD59" s="869"/>
      <c r="AE59" s="373"/>
      <c r="AF59" s="373"/>
      <c r="AG59" s="870">
        <v>3</v>
      </c>
      <c r="AH59" s="373"/>
      <c r="AI59" s="373"/>
      <c r="AJ59" s="373"/>
      <c r="AK59" s="618"/>
      <c r="AL59" s="374">
        <v>0</v>
      </c>
      <c r="AM59" s="869"/>
      <c r="AN59" s="373"/>
      <c r="AO59" s="373"/>
      <c r="AP59" s="870"/>
      <c r="AQ59" s="373"/>
      <c r="AR59" s="373"/>
      <c r="AS59" s="373"/>
      <c r="AT59" s="618"/>
      <c r="AU59" s="374">
        <v>0</v>
      </c>
      <c r="AV59" s="869"/>
      <c r="AW59" s="373"/>
      <c r="AX59" s="373"/>
      <c r="AY59" s="870"/>
      <c r="AZ59" s="373"/>
      <c r="BA59" s="373"/>
      <c r="BB59" s="373"/>
      <c r="BC59" s="618"/>
      <c r="BD59" s="374">
        <v>0</v>
      </c>
      <c r="BE59" s="869"/>
      <c r="BF59" s="373"/>
      <c r="BG59" s="373"/>
      <c r="BH59" s="870"/>
      <c r="BI59" s="373"/>
      <c r="BJ59" s="373"/>
      <c r="BK59" s="373"/>
      <c r="BL59" s="618"/>
      <c r="BM59" s="374">
        <v>0</v>
      </c>
      <c r="BN59" s="869"/>
      <c r="BO59" s="373"/>
      <c r="BP59" s="373"/>
      <c r="BQ59" s="870"/>
      <c r="BR59" s="373"/>
      <c r="BS59" s="373"/>
      <c r="BT59" s="373">
        <v>1</v>
      </c>
      <c r="BU59" s="618"/>
      <c r="BV59" s="374">
        <v>0</v>
      </c>
      <c r="BW59" s="869"/>
      <c r="BX59" s="373"/>
      <c r="BY59" s="373"/>
      <c r="BZ59" s="870">
        <v>1</v>
      </c>
      <c r="CA59" s="373"/>
      <c r="CB59" s="373"/>
      <c r="CC59" s="373"/>
      <c r="CD59" s="618"/>
      <c r="CE59" s="374">
        <v>0</v>
      </c>
      <c r="CF59" s="869"/>
      <c r="CG59" s="373"/>
      <c r="CH59" s="373"/>
      <c r="CI59" s="870"/>
      <c r="CJ59" s="373"/>
      <c r="CK59" s="373"/>
      <c r="CL59" s="373"/>
      <c r="CM59" s="618"/>
      <c r="CN59" s="374">
        <v>0</v>
      </c>
      <c r="CO59" s="869"/>
      <c r="CP59" s="373"/>
      <c r="CQ59" s="373"/>
      <c r="CR59" s="870"/>
      <c r="CS59" s="373"/>
      <c r="CT59" s="373"/>
      <c r="CU59" s="373"/>
      <c r="CV59" s="618"/>
      <c r="CW59" s="374">
        <v>0</v>
      </c>
      <c r="CX59" s="869">
        <v>6</v>
      </c>
      <c r="CY59" s="373">
        <v>5</v>
      </c>
      <c r="CZ59" s="373"/>
      <c r="DA59" s="870">
        <v>2</v>
      </c>
      <c r="DB59" s="373">
        <v>1</v>
      </c>
      <c r="DC59" s="373">
        <v>1</v>
      </c>
      <c r="DD59" s="373">
        <v>1</v>
      </c>
      <c r="DE59" s="618"/>
      <c r="DF59" s="374">
        <v>0</v>
      </c>
      <c r="DG59" s="869"/>
      <c r="DH59" s="373"/>
      <c r="DI59" s="373"/>
      <c r="DJ59" s="870"/>
      <c r="DK59" s="373"/>
      <c r="DL59" s="373"/>
      <c r="DM59" s="373"/>
      <c r="DN59" s="618"/>
      <c r="DO59" s="374">
        <v>0</v>
      </c>
      <c r="DP59" s="869"/>
      <c r="DQ59" s="373"/>
      <c r="DR59" s="373"/>
      <c r="DS59" s="870"/>
      <c r="DT59" s="373"/>
      <c r="DU59" s="373"/>
      <c r="DV59" s="373"/>
      <c r="DW59" s="618"/>
      <c r="DX59" s="374">
        <v>0</v>
      </c>
      <c r="DY59" s="869"/>
      <c r="DZ59" s="373"/>
      <c r="EA59" s="373"/>
      <c r="EB59" s="870"/>
      <c r="EC59" s="373"/>
      <c r="ED59" s="373"/>
      <c r="EE59" s="373"/>
      <c r="EF59" s="618"/>
      <c r="EG59" s="374">
        <v>0</v>
      </c>
      <c r="EH59" s="869"/>
      <c r="EI59" s="373"/>
      <c r="EJ59" s="373"/>
      <c r="EK59" s="870"/>
      <c r="EL59" s="373"/>
      <c r="EM59" s="373"/>
      <c r="EN59" s="373"/>
      <c r="EO59" s="618"/>
      <c r="EP59" s="374">
        <v>0</v>
      </c>
      <c r="EQ59" s="869"/>
      <c r="ER59" s="373"/>
      <c r="ES59" s="373"/>
      <c r="ET59" s="870"/>
      <c r="EU59" s="373"/>
      <c r="EV59" s="373"/>
      <c r="EW59" s="373"/>
      <c r="EX59" s="618"/>
      <c r="EY59" s="374">
        <v>0</v>
      </c>
      <c r="EZ59" s="869"/>
      <c r="FA59" s="373"/>
      <c r="FB59" s="373"/>
      <c r="FC59" s="870"/>
      <c r="FD59" s="373"/>
      <c r="FE59" s="373"/>
      <c r="FF59" s="373"/>
      <c r="FG59" s="618"/>
      <c r="FH59" s="374">
        <v>0</v>
      </c>
      <c r="FI59" s="869"/>
      <c r="FJ59" s="373"/>
      <c r="FK59" s="373"/>
      <c r="FL59" s="870"/>
      <c r="FM59" s="373">
        <v>1</v>
      </c>
      <c r="FN59" s="373"/>
      <c r="FO59" s="373"/>
      <c r="FP59" s="618"/>
      <c r="FQ59" s="374">
        <v>0</v>
      </c>
      <c r="FR59" s="869"/>
      <c r="FS59" s="373"/>
      <c r="FT59" s="373"/>
      <c r="FU59" s="870"/>
      <c r="FV59" s="373"/>
      <c r="FW59" s="373"/>
      <c r="FX59" s="373"/>
      <c r="FY59" s="618"/>
      <c r="FZ59" s="374">
        <v>0</v>
      </c>
      <c r="GA59" s="869"/>
      <c r="GB59" s="373"/>
      <c r="GC59" s="373">
        <v>1</v>
      </c>
      <c r="GD59" s="870"/>
      <c r="GE59" s="373"/>
      <c r="GF59" s="373"/>
      <c r="GG59" s="373"/>
      <c r="GH59" s="618"/>
      <c r="GI59" s="374">
        <v>0</v>
      </c>
      <c r="GJ59" s="869">
        <v>6</v>
      </c>
      <c r="GK59" s="373">
        <v>5</v>
      </c>
      <c r="GL59" s="373">
        <v>1</v>
      </c>
      <c r="GM59" s="870">
        <v>6</v>
      </c>
      <c r="GN59" s="373">
        <v>2</v>
      </c>
      <c r="GO59" s="373">
        <v>1</v>
      </c>
      <c r="GP59" s="373">
        <v>2</v>
      </c>
      <c r="GQ59" s="618"/>
      <c r="GR59" s="374">
        <v>0</v>
      </c>
      <c r="GS59" s="869">
        <v>1</v>
      </c>
      <c r="GT59" s="373"/>
      <c r="GU59" s="373"/>
      <c r="GV59" s="870">
        <v>2</v>
      </c>
      <c r="GW59" s="373">
        <v>1</v>
      </c>
      <c r="GX59" s="373"/>
      <c r="GY59" s="373">
        <v>1</v>
      </c>
      <c r="GZ59" s="618"/>
      <c r="HA59" s="374">
        <v>0</v>
      </c>
      <c r="HB59" s="869"/>
      <c r="HC59" s="373"/>
      <c r="HD59" s="373"/>
      <c r="HE59" s="870"/>
      <c r="HF59" s="373"/>
      <c r="HG59" s="373"/>
      <c r="HH59" s="373"/>
      <c r="HI59" s="618"/>
      <c r="HJ59" s="374">
        <v>0</v>
      </c>
      <c r="HK59" s="869"/>
      <c r="HL59" s="373"/>
      <c r="HM59" s="373"/>
      <c r="HN59" s="870"/>
      <c r="HO59" s="373"/>
      <c r="HP59" s="373"/>
      <c r="HQ59" s="373"/>
      <c r="HR59" s="618"/>
      <c r="HS59" s="374">
        <v>0</v>
      </c>
      <c r="HT59" s="869">
        <v>1</v>
      </c>
      <c r="HU59" s="373"/>
      <c r="HV59" s="373"/>
      <c r="HW59" s="870">
        <v>2</v>
      </c>
      <c r="HX59" s="373">
        <v>2</v>
      </c>
      <c r="HY59" s="373"/>
      <c r="HZ59" s="373">
        <v>3</v>
      </c>
      <c r="IA59" s="618">
        <v>1</v>
      </c>
      <c r="IB59" s="374">
        <v>0</v>
      </c>
      <c r="IC59" s="869">
        <v>6</v>
      </c>
      <c r="ID59" s="373">
        <v>6</v>
      </c>
      <c r="IE59" s="373">
        <v>1</v>
      </c>
      <c r="IF59" s="870">
        <v>7</v>
      </c>
      <c r="IG59" s="373">
        <v>6</v>
      </c>
      <c r="IH59" s="373">
        <v>1</v>
      </c>
      <c r="II59" s="373">
        <v>4</v>
      </c>
      <c r="IJ59" s="618">
        <v>1</v>
      </c>
      <c r="IK59" s="374">
        <v>0</v>
      </c>
      <c r="IL59" s="377">
        <v>5</v>
      </c>
      <c r="IM59" s="373">
        <v>5</v>
      </c>
      <c r="IN59" s="373"/>
      <c r="IO59" s="871"/>
      <c r="IP59" s="871"/>
      <c r="IQ59" s="373"/>
      <c r="IR59" s="373">
        <v>1</v>
      </c>
      <c r="IS59" s="618"/>
      <c r="IT59" s="374">
        <v>0</v>
      </c>
    </row>
    <row r="60" spans="1:254" s="245" customFormat="1" ht="12.75" customHeight="1" x14ac:dyDescent="0.2">
      <c r="A60" s="1052"/>
      <c r="B60" s="868" t="s">
        <v>912</v>
      </c>
      <c r="C60" s="869"/>
      <c r="D60" s="373"/>
      <c r="E60" s="373"/>
      <c r="F60" s="870"/>
      <c r="G60" s="373"/>
      <c r="H60" s="373"/>
      <c r="I60" s="373"/>
      <c r="J60" s="618"/>
      <c r="K60" s="374">
        <v>0</v>
      </c>
      <c r="L60" s="869"/>
      <c r="M60" s="373"/>
      <c r="N60" s="373"/>
      <c r="O60" s="870"/>
      <c r="P60" s="373"/>
      <c r="Q60" s="373"/>
      <c r="R60" s="373"/>
      <c r="S60" s="618"/>
      <c r="T60" s="374">
        <v>0</v>
      </c>
      <c r="U60" s="869"/>
      <c r="V60" s="373"/>
      <c r="W60" s="373"/>
      <c r="X60" s="870"/>
      <c r="Y60" s="373"/>
      <c r="Z60" s="373"/>
      <c r="AA60" s="373"/>
      <c r="AB60" s="618"/>
      <c r="AC60" s="374">
        <v>0</v>
      </c>
      <c r="AD60" s="869"/>
      <c r="AE60" s="373">
        <v>1</v>
      </c>
      <c r="AF60" s="373"/>
      <c r="AG60" s="870"/>
      <c r="AH60" s="373">
        <v>2</v>
      </c>
      <c r="AI60" s="373"/>
      <c r="AJ60" s="373"/>
      <c r="AK60" s="618"/>
      <c r="AL60" s="374">
        <v>0</v>
      </c>
      <c r="AM60" s="869"/>
      <c r="AN60" s="373">
        <v>1</v>
      </c>
      <c r="AO60" s="373"/>
      <c r="AP60" s="870"/>
      <c r="AQ60" s="373"/>
      <c r="AR60" s="373"/>
      <c r="AS60" s="373"/>
      <c r="AT60" s="618"/>
      <c r="AU60" s="374">
        <v>0</v>
      </c>
      <c r="AV60" s="869"/>
      <c r="AW60" s="373"/>
      <c r="AX60" s="373"/>
      <c r="AY60" s="870"/>
      <c r="AZ60" s="373"/>
      <c r="BA60" s="373"/>
      <c r="BB60" s="373"/>
      <c r="BC60" s="618"/>
      <c r="BD60" s="374">
        <v>0</v>
      </c>
      <c r="BE60" s="869"/>
      <c r="BF60" s="373"/>
      <c r="BG60" s="373"/>
      <c r="BH60" s="870"/>
      <c r="BI60" s="373"/>
      <c r="BJ60" s="373"/>
      <c r="BK60" s="373"/>
      <c r="BL60" s="618"/>
      <c r="BM60" s="374">
        <v>0</v>
      </c>
      <c r="BN60" s="869"/>
      <c r="BO60" s="373"/>
      <c r="BP60" s="373"/>
      <c r="BQ60" s="870"/>
      <c r="BR60" s="373"/>
      <c r="BS60" s="373"/>
      <c r="BT60" s="373"/>
      <c r="BU60" s="618"/>
      <c r="BV60" s="374">
        <v>0</v>
      </c>
      <c r="BW60" s="869"/>
      <c r="BX60" s="373"/>
      <c r="BY60" s="373"/>
      <c r="BZ60" s="870"/>
      <c r="CA60" s="373"/>
      <c r="CB60" s="373"/>
      <c r="CC60" s="373"/>
      <c r="CD60" s="618"/>
      <c r="CE60" s="374">
        <v>0</v>
      </c>
      <c r="CF60" s="869"/>
      <c r="CG60" s="373"/>
      <c r="CH60" s="373"/>
      <c r="CI60" s="870"/>
      <c r="CJ60" s="373"/>
      <c r="CK60" s="373"/>
      <c r="CL60" s="373"/>
      <c r="CM60" s="618"/>
      <c r="CN60" s="374">
        <v>0</v>
      </c>
      <c r="CO60" s="869"/>
      <c r="CP60" s="373"/>
      <c r="CQ60" s="373"/>
      <c r="CR60" s="870"/>
      <c r="CS60" s="373"/>
      <c r="CT60" s="373"/>
      <c r="CU60" s="373"/>
      <c r="CV60" s="618"/>
      <c r="CW60" s="374">
        <v>0</v>
      </c>
      <c r="CX60" s="869">
        <v>6</v>
      </c>
      <c r="CY60" s="373">
        <v>8</v>
      </c>
      <c r="CZ60" s="373">
        <v>9</v>
      </c>
      <c r="DA60" s="870"/>
      <c r="DB60" s="373">
        <v>1</v>
      </c>
      <c r="DC60" s="373">
        <v>2</v>
      </c>
      <c r="DD60" s="373"/>
      <c r="DE60" s="618">
        <v>2</v>
      </c>
      <c r="DF60" s="374">
        <v>1</v>
      </c>
      <c r="DG60" s="869"/>
      <c r="DH60" s="373"/>
      <c r="DI60" s="373"/>
      <c r="DJ60" s="870"/>
      <c r="DK60" s="373"/>
      <c r="DL60" s="373"/>
      <c r="DM60" s="373"/>
      <c r="DN60" s="618"/>
      <c r="DO60" s="374">
        <v>0</v>
      </c>
      <c r="DP60" s="869"/>
      <c r="DQ60" s="373"/>
      <c r="DR60" s="373"/>
      <c r="DS60" s="870"/>
      <c r="DT60" s="373"/>
      <c r="DU60" s="373"/>
      <c r="DV60" s="373"/>
      <c r="DW60" s="618"/>
      <c r="DX60" s="374">
        <v>0</v>
      </c>
      <c r="DY60" s="869">
        <v>2</v>
      </c>
      <c r="DZ60" s="373">
        <v>2</v>
      </c>
      <c r="EA60" s="373">
        <v>6</v>
      </c>
      <c r="EB60" s="870"/>
      <c r="EC60" s="373"/>
      <c r="ED60" s="373"/>
      <c r="EE60" s="373"/>
      <c r="EF60" s="618"/>
      <c r="EG60" s="374">
        <v>0</v>
      </c>
      <c r="EH60" s="869"/>
      <c r="EI60" s="373"/>
      <c r="EJ60" s="373"/>
      <c r="EK60" s="870"/>
      <c r="EL60" s="373"/>
      <c r="EM60" s="373"/>
      <c r="EN60" s="373"/>
      <c r="EO60" s="618"/>
      <c r="EP60" s="374">
        <v>0</v>
      </c>
      <c r="EQ60" s="869"/>
      <c r="ER60" s="373"/>
      <c r="ES60" s="373"/>
      <c r="ET60" s="870"/>
      <c r="EU60" s="373"/>
      <c r="EV60" s="373"/>
      <c r="EW60" s="373"/>
      <c r="EX60" s="618"/>
      <c r="EY60" s="374">
        <v>0</v>
      </c>
      <c r="EZ60" s="869"/>
      <c r="FA60" s="373"/>
      <c r="FB60" s="373"/>
      <c r="FC60" s="870"/>
      <c r="FD60" s="373"/>
      <c r="FE60" s="373"/>
      <c r="FF60" s="373"/>
      <c r="FG60" s="618"/>
      <c r="FH60" s="374">
        <v>0</v>
      </c>
      <c r="FI60" s="869"/>
      <c r="FJ60" s="373"/>
      <c r="FK60" s="373"/>
      <c r="FL60" s="870"/>
      <c r="FM60" s="373"/>
      <c r="FN60" s="373"/>
      <c r="FO60" s="373"/>
      <c r="FP60" s="618"/>
      <c r="FQ60" s="374">
        <v>0</v>
      </c>
      <c r="FR60" s="869"/>
      <c r="FS60" s="373"/>
      <c r="FT60" s="373"/>
      <c r="FU60" s="870"/>
      <c r="FV60" s="373"/>
      <c r="FW60" s="373"/>
      <c r="FX60" s="373"/>
      <c r="FY60" s="618"/>
      <c r="FZ60" s="374">
        <v>0</v>
      </c>
      <c r="GA60" s="869"/>
      <c r="GB60" s="373"/>
      <c r="GC60" s="373"/>
      <c r="GD60" s="870"/>
      <c r="GE60" s="373"/>
      <c r="GF60" s="373"/>
      <c r="GG60" s="373"/>
      <c r="GH60" s="618"/>
      <c r="GI60" s="374">
        <v>0</v>
      </c>
      <c r="GJ60" s="869">
        <v>6</v>
      </c>
      <c r="GK60" s="373">
        <v>9</v>
      </c>
      <c r="GL60" s="373">
        <v>9</v>
      </c>
      <c r="GM60" s="870"/>
      <c r="GN60" s="373">
        <v>3</v>
      </c>
      <c r="GO60" s="373">
        <v>2</v>
      </c>
      <c r="GP60" s="373"/>
      <c r="GQ60" s="618">
        <v>2</v>
      </c>
      <c r="GR60" s="374">
        <v>1</v>
      </c>
      <c r="GS60" s="869"/>
      <c r="GT60" s="373"/>
      <c r="GU60" s="373">
        <v>1</v>
      </c>
      <c r="GV60" s="870"/>
      <c r="GW60" s="373"/>
      <c r="GX60" s="373">
        <v>1</v>
      </c>
      <c r="GY60" s="373"/>
      <c r="GZ60" s="618"/>
      <c r="HA60" s="374">
        <v>0</v>
      </c>
      <c r="HB60" s="869"/>
      <c r="HC60" s="373"/>
      <c r="HD60" s="373"/>
      <c r="HE60" s="870"/>
      <c r="HF60" s="373"/>
      <c r="HG60" s="373"/>
      <c r="HH60" s="373"/>
      <c r="HI60" s="618"/>
      <c r="HJ60" s="374">
        <v>0</v>
      </c>
      <c r="HK60" s="869"/>
      <c r="HL60" s="373"/>
      <c r="HM60" s="373"/>
      <c r="HN60" s="870"/>
      <c r="HO60" s="373"/>
      <c r="HP60" s="373"/>
      <c r="HQ60" s="373"/>
      <c r="HR60" s="618"/>
      <c r="HS60" s="374">
        <v>0</v>
      </c>
      <c r="HT60" s="869"/>
      <c r="HU60" s="373"/>
      <c r="HV60" s="373">
        <v>1</v>
      </c>
      <c r="HW60" s="870"/>
      <c r="HX60" s="373"/>
      <c r="HY60" s="373">
        <v>3</v>
      </c>
      <c r="HZ60" s="373"/>
      <c r="IA60" s="618">
        <v>2</v>
      </c>
      <c r="IB60" s="374">
        <v>0</v>
      </c>
      <c r="IC60" s="869">
        <v>6</v>
      </c>
      <c r="ID60" s="373">
        <v>16</v>
      </c>
      <c r="IE60" s="373">
        <v>9</v>
      </c>
      <c r="IF60" s="870"/>
      <c r="IG60" s="373">
        <v>3</v>
      </c>
      <c r="IH60" s="373">
        <v>4</v>
      </c>
      <c r="II60" s="373"/>
      <c r="IJ60" s="618">
        <v>5</v>
      </c>
      <c r="IK60" s="374">
        <v>1</v>
      </c>
      <c r="IL60" s="377">
        <v>3</v>
      </c>
      <c r="IM60" s="373">
        <v>4</v>
      </c>
      <c r="IN60" s="373">
        <v>8</v>
      </c>
      <c r="IO60" s="871"/>
      <c r="IP60" s="871"/>
      <c r="IQ60" s="373"/>
      <c r="IR60" s="373"/>
      <c r="IS60" s="618">
        <v>1</v>
      </c>
      <c r="IT60" s="374">
        <v>0</v>
      </c>
    </row>
    <row r="61" spans="1:254" s="245" customFormat="1" ht="12.75" customHeight="1" x14ac:dyDescent="0.2">
      <c r="A61" s="1052"/>
      <c r="B61" s="868" t="s">
        <v>913</v>
      </c>
      <c r="C61" s="869"/>
      <c r="D61" s="373"/>
      <c r="E61" s="373"/>
      <c r="F61" s="870"/>
      <c r="G61" s="373"/>
      <c r="H61" s="373"/>
      <c r="I61" s="373"/>
      <c r="J61" s="618"/>
      <c r="K61" s="374">
        <v>0</v>
      </c>
      <c r="L61" s="869"/>
      <c r="M61" s="373"/>
      <c r="N61" s="373"/>
      <c r="O61" s="870"/>
      <c r="P61" s="373"/>
      <c r="Q61" s="373"/>
      <c r="R61" s="373"/>
      <c r="S61" s="618"/>
      <c r="T61" s="374">
        <v>0</v>
      </c>
      <c r="U61" s="869"/>
      <c r="V61" s="373"/>
      <c r="W61" s="373"/>
      <c r="X61" s="870"/>
      <c r="Y61" s="373"/>
      <c r="Z61" s="373"/>
      <c r="AA61" s="373"/>
      <c r="AB61" s="618"/>
      <c r="AC61" s="374">
        <v>0</v>
      </c>
      <c r="AD61" s="869">
        <v>2</v>
      </c>
      <c r="AE61" s="373"/>
      <c r="AF61" s="373"/>
      <c r="AG61" s="870"/>
      <c r="AH61" s="373">
        <v>1</v>
      </c>
      <c r="AI61" s="373"/>
      <c r="AJ61" s="373"/>
      <c r="AK61" s="618"/>
      <c r="AL61" s="374">
        <v>3</v>
      </c>
      <c r="AM61" s="869">
        <v>1</v>
      </c>
      <c r="AN61" s="373"/>
      <c r="AO61" s="373"/>
      <c r="AP61" s="870"/>
      <c r="AQ61" s="373"/>
      <c r="AR61" s="373"/>
      <c r="AS61" s="373"/>
      <c r="AT61" s="618"/>
      <c r="AU61" s="374">
        <v>0</v>
      </c>
      <c r="AV61" s="869"/>
      <c r="AW61" s="373"/>
      <c r="AX61" s="373"/>
      <c r="AY61" s="870"/>
      <c r="AZ61" s="373"/>
      <c r="BA61" s="373"/>
      <c r="BB61" s="373"/>
      <c r="BC61" s="618"/>
      <c r="BD61" s="374">
        <v>0</v>
      </c>
      <c r="BE61" s="869"/>
      <c r="BF61" s="373"/>
      <c r="BG61" s="373"/>
      <c r="BH61" s="870"/>
      <c r="BI61" s="373"/>
      <c r="BJ61" s="373"/>
      <c r="BK61" s="373"/>
      <c r="BL61" s="618"/>
      <c r="BM61" s="374">
        <v>0</v>
      </c>
      <c r="BN61" s="869"/>
      <c r="BO61" s="373"/>
      <c r="BP61" s="373"/>
      <c r="BQ61" s="870"/>
      <c r="BR61" s="373"/>
      <c r="BS61" s="373"/>
      <c r="BT61" s="373"/>
      <c r="BU61" s="618"/>
      <c r="BV61" s="374">
        <v>0</v>
      </c>
      <c r="BW61" s="869">
        <v>2</v>
      </c>
      <c r="BX61" s="373"/>
      <c r="BY61" s="373"/>
      <c r="BZ61" s="870"/>
      <c r="CA61" s="373">
        <v>1</v>
      </c>
      <c r="CB61" s="373">
        <v>1</v>
      </c>
      <c r="CC61" s="373"/>
      <c r="CD61" s="618"/>
      <c r="CE61" s="374">
        <v>0</v>
      </c>
      <c r="CF61" s="869"/>
      <c r="CG61" s="373"/>
      <c r="CH61" s="373"/>
      <c r="CI61" s="870"/>
      <c r="CJ61" s="373"/>
      <c r="CK61" s="373"/>
      <c r="CL61" s="373"/>
      <c r="CM61" s="618"/>
      <c r="CN61" s="374">
        <v>0</v>
      </c>
      <c r="CO61" s="869"/>
      <c r="CP61" s="373"/>
      <c r="CQ61" s="373"/>
      <c r="CR61" s="870"/>
      <c r="CS61" s="373"/>
      <c r="CT61" s="373"/>
      <c r="CU61" s="373"/>
      <c r="CV61" s="618"/>
      <c r="CW61" s="374">
        <v>0</v>
      </c>
      <c r="CX61" s="869">
        <v>3</v>
      </c>
      <c r="CY61" s="373">
        <v>6</v>
      </c>
      <c r="CZ61" s="373">
        <v>1</v>
      </c>
      <c r="DA61" s="870">
        <v>1</v>
      </c>
      <c r="DB61" s="373">
        <v>3</v>
      </c>
      <c r="DC61" s="373">
        <v>1</v>
      </c>
      <c r="DD61" s="373"/>
      <c r="DE61" s="618">
        <v>2</v>
      </c>
      <c r="DF61" s="374">
        <v>1</v>
      </c>
      <c r="DG61" s="869"/>
      <c r="DH61" s="373"/>
      <c r="DI61" s="373"/>
      <c r="DJ61" s="870"/>
      <c r="DK61" s="373"/>
      <c r="DL61" s="373"/>
      <c r="DM61" s="373"/>
      <c r="DN61" s="618"/>
      <c r="DO61" s="374">
        <v>0</v>
      </c>
      <c r="DP61" s="869"/>
      <c r="DQ61" s="373">
        <v>1</v>
      </c>
      <c r="DR61" s="373"/>
      <c r="DS61" s="870"/>
      <c r="DT61" s="373"/>
      <c r="DU61" s="373"/>
      <c r="DV61" s="373"/>
      <c r="DW61" s="618"/>
      <c r="DX61" s="374">
        <v>0</v>
      </c>
      <c r="DY61" s="869"/>
      <c r="DZ61" s="373"/>
      <c r="EA61" s="373"/>
      <c r="EB61" s="870"/>
      <c r="EC61" s="373">
        <v>1</v>
      </c>
      <c r="ED61" s="373"/>
      <c r="EE61" s="373"/>
      <c r="EF61" s="618">
        <v>1</v>
      </c>
      <c r="EG61" s="374">
        <v>0</v>
      </c>
      <c r="EH61" s="869"/>
      <c r="EI61" s="373"/>
      <c r="EJ61" s="373"/>
      <c r="EK61" s="870"/>
      <c r="EL61" s="373"/>
      <c r="EM61" s="373"/>
      <c r="EN61" s="373"/>
      <c r="EO61" s="618"/>
      <c r="EP61" s="374">
        <v>0</v>
      </c>
      <c r="EQ61" s="869"/>
      <c r="ER61" s="373"/>
      <c r="ES61" s="373"/>
      <c r="ET61" s="870"/>
      <c r="EU61" s="373"/>
      <c r="EV61" s="373"/>
      <c r="EW61" s="373"/>
      <c r="EX61" s="618"/>
      <c r="EY61" s="374">
        <v>0</v>
      </c>
      <c r="EZ61" s="869"/>
      <c r="FA61" s="373"/>
      <c r="FB61" s="373"/>
      <c r="FC61" s="870"/>
      <c r="FD61" s="373"/>
      <c r="FE61" s="373"/>
      <c r="FF61" s="373"/>
      <c r="FG61" s="618"/>
      <c r="FH61" s="374">
        <v>0</v>
      </c>
      <c r="FI61" s="869">
        <v>1</v>
      </c>
      <c r="FJ61" s="373">
        <v>1</v>
      </c>
      <c r="FK61" s="373">
        <v>1</v>
      </c>
      <c r="FL61" s="870"/>
      <c r="FM61" s="373"/>
      <c r="FN61" s="373"/>
      <c r="FO61" s="373"/>
      <c r="FP61" s="618">
        <v>1</v>
      </c>
      <c r="FQ61" s="374">
        <v>0</v>
      </c>
      <c r="FR61" s="869"/>
      <c r="FS61" s="373"/>
      <c r="FT61" s="373"/>
      <c r="FU61" s="870"/>
      <c r="FV61" s="373"/>
      <c r="FW61" s="373"/>
      <c r="FX61" s="373"/>
      <c r="FY61" s="618"/>
      <c r="FZ61" s="374">
        <v>0</v>
      </c>
      <c r="GA61" s="869"/>
      <c r="GB61" s="373"/>
      <c r="GC61" s="373"/>
      <c r="GD61" s="870"/>
      <c r="GE61" s="373"/>
      <c r="GF61" s="373"/>
      <c r="GG61" s="373"/>
      <c r="GH61" s="618"/>
      <c r="GI61" s="374">
        <v>0</v>
      </c>
      <c r="GJ61" s="869">
        <v>8</v>
      </c>
      <c r="GK61" s="373">
        <v>7</v>
      </c>
      <c r="GL61" s="373">
        <v>2</v>
      </c>
      <c r="GM61" s="870">
        <v>1</v>
      </c>
      <c r="GN61" s="373">
        <v>5</v>
      </c>
      <c r="GO61" s="373">
        <v>2</v>
      </c>
      <c r="GP61" s="373"/>
      <c r="GQ61" s="618">
        <v>3</v>
      </c>
      <c r="GR61" s="374">
        <v>4</v>
      </c>
      <c r="GS61" s="869">
        <v>6</v>
      </c>
      <c r="GT61" s="373">
        <v>3</v>
      </c>
      <c r="GU61" s="373">
        <v>1</v>
      </c>
      <c r="GV61" s="870">
        <v>1</v>
      </c>
      <c r="GW61" s="373">
        <v>2</v>
      </c>
      <c r="GX61" s="373"/>
      <c r="GY61" s="373"/>
      <c r="GZ61" s="618"/>
      <c r="HA61" s="374">
        <v>0</v>
      </c>
      <c r="HB61" s="869"/>
      <c r="HC61" s="373"/>
      <c r="HD61" s="373"/>
      <c r="HE61" s="870"/>
      <c r="HF61" s="373"/>
      <c r="HG61" s="373"/>
      <c r="HH61" s="373"/>
      <c r="HI61" s="618"/>
      <c r="HJ61" s="374">
        <v>0</v>
      </c>
      <c r="HK61" s="869"/>
      <c r="HL61" s="373"/>
      <c r="HM61" s="373"/>
      <c r="HN61" s="870"/>
      <c r="HO61" s="373"/>
      <c r="HP61" s="373"/>
      <c r="HQ61" s="373"/>
      <c r="HR61" s="618"/>
      <c r="HS61" s="374">
        <v>0</v>
      </c>
      <c r="HT61" s="869">
        <v>7</v>
      </c>
      <c r="HU61" s="373">
        <v>4</v>
      </c>
      <c r="HV61" s="373">
        <v>1</v>
      </c>
      <c r="HW61" s="870">
        <v>3</v>
      </c>
      <c r="HX61" s="373">
        <v>2</v>
      </c>
      <c r="HY61" s="373"/>
      <c r="HZ61" s="373">
        <v>1</v>
      </c>
      <c r="IA61" s="618">
        <v>1</v>
      </c>
      <c r="IB61" s="374">
        <v>0</v>
      </c>
      <c r="IC61" s="869">
        <v>11</v>
      </c>
      <c r="ID61" s="373">
        <v>8</v>
      </c>
      <c r="IE61" s="373">
        <v>2</v>
      </c>
      <c r="IF61" s="870">
        <v>5</v>
      </c>
      <c r="IG61" s="373">
        <v>8</v>
      </c>
      <c r="IH61" s="373">
        <v>2</v>
      </c>
      <c r="II61" s="373">
        <v>1</v>
      </c>
      <c r="IJ61" s="618">
        <v>4</v>
      </c>
      <c r="IK61" s="374">
        <v>4</v>
      </c>
      <c r="IL61" s="377">
        <v>1</v>
      </c>
      <c r="IM61" s="373">
        <v>2</v>
      </c>
      <c r="IN61" s="373">
        <v>1</v>
      </c>
      <c r="IO61" s="871"/>
      <c r="IP61" s="871">
        <v>1</v>
      </c>
      <c r="IQ61" s="373"/>
      <c r="IR61" s="373"/>
      <c r="IS61" s="618">
        <v>1</v>
      </c>
      <c r="IT61" s="374">
        <v>0</v>
      </c>
    </row>
    <row r="62" spans="1:254" s="245" customFormat="1" ht="12.75" customHeight="1" x14ac:dyDescent="0.2">
      <c r="A62" s="1052"/>
      <c r="B62" s="868" t="s">
        <v>914</v>
      </c>
      <c r="C62" s="869"/>
      <c r="D62" s="373"/>
      <c r="E62" s="373"/>
      <c r="F62" s="870"/>
      <c r="G62" s="373"/>
      <c r="H62" s="373"/>
      <c r="I62" s="373"/>
      <c r="J62" s="618"/>
      <c r="K62" s="374">
        <v>0</v>
      </c>
      <c r="L62" s="869"/>
      <c r="M62" s="373"/>
      <c r="N62" s="373"/>
      <c r="O62" s="870"/>
      <c r="P62" s="373"/>
      <c r="Q62" s="373"/>
      <c r="R62" s="373"/>
      <c r="S62" s="618"/>
      <c r="T62" s="374">
        <v>0</v>
      </c>
      <c r="U62" s="869"/>
      <c r="V62" s="373"/>
      <c r="W62" s="373"/>
      <c r="X62" s="870"/>
      <c r="Y62" s="373"/>
      <c r="Z62" s="373"/>
      <c r="AA62" s="373"/>
      <c r="AB62" s="618"/>
      <c r="AC62" s="374">
        <v>0</v>
      </c>
      <c r="AD62" s="869"/>
      <c r="AE62" s="373"/>
      <c r="AF62" s="373"/>
      <c r="AG62" s="870"/>
      <c r="AH62" s="373"/>
      <c r="AI62" s="373"/>
      <c r="AJ62" s="373"/>
      <c r="AK62" s="618"/>
      <c r="AL62" s="374">
        <v>0</v>
      </c>
      <c r="AM62" s="869"/>
      <c r="AN62" s="373"/>
      <c r="AO62" s="373"/>
      <c r="AP62" s="870"/>
      <c r="AQ62" s="373"/>
      <c r="AR62" s="373"/>
      <c r="AS62" s="373"/>
      <c r="AT62" s="618"/>
      <c r="AU62" s="374">
        <v>0</v>
      </c>
      <c r="AV62" s="869"/>
      <c r="AW62" s="373"/>
      <c r="AX62" s="373"/>
      <c r="AY62" s="870"/>
      <c r="AZ62" s="373"/>
      <c r="BA62" s="373"/>
      <c r="BB62" s="373"/>
      <c r="BC62" s="618"/>
      <c r="BD62" s="374">
        <v>0</v>
      </c>
      <c r="BE62" s="869"/>
      <c r="BF62" s="373"/>
      <c r="BG62" s="373"/>
      <c r="BH62" s="870"/>
      <c r="BI62" s="373"/>
      <c r="BJ62" s="373"/>
      <c r="BK62" s="373"/>
      <c r="BL62" s="618"/>
      <c r="BM62" s="374">
        <v>0</v>
      </c>
      <c r="BN62" s="869"/>
      <c r="BO62" s="373"/>
      <c r="BP62" s="373"/>
      <c r="BQ62" s="870"/>
      <c r="BR62" s="373"/>
      <c r="BS62" s="373"/>
      <c r="BT62" s="373"/>
      <c r="BU62" s="618"/>
      <c r="BV62" s="374">
        <v>0</v>
      </c>
      <c r="BW62" s="869"/>
      <c r="BX62" s="373"/>
      <c r="BY62" s="373"/>
      <c r="BZ62" s="870"/>
      <c r="CA62" s="373"/>
      <c r="CB62" s="373"/>
      <c r="CC62" s="373"/>
      <c r="CD62" s="618"/>
      <c r="CE62" s="374">
        <v>0</v>
      </c>
      <c r="CF62" s="869"/>
      <c r="CG62" s="373"/>
      <c r="CH62" s="373"/>
      <c r="CI62" s="870"/>
      <c r="CJ62" s="373"/>
      <c r="CK62" s="373"/>
      <c r="CL62" s="373"/>
      <c r="CM62" s="618"/>
      <c r="CN62" s="374">
        <v>0</v>
      </c>
      <c r="CO62" s="869"/>
      <c r="CP62" s="373"/>
      <c r="CQ62" s="373"/>
      <c r="CR62" s="870"/>
      <c r="CS62" s="373"/>
      <c r="CT62" s="373"/>
      <c r="CU62" s="373"/>
      <c r="CV62" s="618"/>
      <c r="CW62" s="374">
        <v>0</v>
      </c>
      <c r="CX62" s="869">
        <v>3</v>
      </c>
      <c r="CY62" s="373">
        <v>1</v>
      </c>
      <c r="CZ62" s="373"/>
      <c r="DA62" s="870"/>
      <c r="DB62" s="373"/>
      <c r="DC62" s="373"/>
      <c r="DD62" s="373">
        <v>1</v>
      </c>
      <c r="DE62" s="618"/>
      <c r="DF62" s="374">
        <v>0</v>
      </c>
      <c r="DG62" s="869"/>
      <c r="DH62" s="373"/>
      <c r="DI62" s="373"/>
      <c r="DJ62" s="870"/>
      <c r="DK62" s="373"/>
      <c r="DL62" s="373"/>
      <c r="DM62" s="373"/>
      <c r="DN62" s="618"/>
      <c r="DO62" s="374">
        <v>0</v>
      </c>
      <c r="DP62" s="869"/>
      <c r="DQ62" s="373"/>
      <c r="DR62" s="373"/>
      <c r="DS62" s="870"/>
      <c r="DT62" s="373"/>
      <c r="DU62" s="373"/>
      <c r="DV62" s="373"/>
      <c r="DW62" s="618"/>
      <c r="DX62" s="374">
        <v>0</v>
      </c>
      <c r="DY62" s="869"/>
      <c r="DZ62" s="373"/>
      <c r="EA62" s="373"/>
      <c r="EB62" s="870"/>
      <c r="EC62" s="373"/>
      <c r="ED62" s="373"/>
      <c r="EE62" s="373"/>
      <c r="EF62" s="618"/>
      <c r="EG62" s="374">
        <v>0</v>
      </c>
      <c r="EH62" s="869"/>
      <c r="EI62" s="373"/>
      <c r="EJ62" s="373"/>
      <c r="EK62" s="870"/>
      <c r="EL62" s="373"/>
      <c r="EM62" s="373"/>
      <c r="EN62" s="373"/>
      <c r="EO62" s="618"/>
      <c r="EP62" s="374">
        <v>0</v>
      </c>
      <c r="EQ62" s="869"/>
      <c r="ER62" s="373"/>
      <c r="ES62" s="373"/>
      <c r="ET62" s="870"/>
      <c r="EU62" s="373"/>
      <c r="EV62" s="373"/>
      <c r="EW62" s="373"/>
      <c r="EX62" s="618"/>
      <c r="EY62" s="374">
        <v>0</v>
      </c>
      <c r="EZ62" s="869"/>
      <c r="FA62" s="373"/>
      <c r="FB62" s="373"/>
      <c r="FC62" s="870"/>
      <c r="FD62" s="373"/>
      <c r="FE62" s="373"/>
      <c r="FF62" s="373"/>
      <c r="FG62" s="618"/>
      <c r="FH62" s="374">
        <v>0</v>
      </c>
      <c r="FI62" s="869"/>
      <c r="FJ62" s="373"/>
      <c r="FK62" s="373"/>
      <c r="FL62" s="870"/>
      <c r="FM62" s="373"/>
      <c r="FN62" s="373"/>
      <c r="FO62" s="373"/>
      <c r="FP62" s="618"/>
      <c r="FQ62" s="374">
        <v>0</v>
      </c>
      <c r="FR62" s="869"/>
      <c r="FS62" s="373"/>
      <c r="FT62" s="373"/>
      <c r="FU62" s="870"/>
      <c r="FV62" s="373"/>
      <c r="FW62" s="373"/>
      <c r="FX62" s="373"/>
      <c r="FY62" s="618"/>
      <c r="FZ62" s="374">
        <v>0</v>
      </c>
      <c r="GA62" s="869"/>
      <c r="GB62" s="373"/>
      <c r="GC62" s="373"/>
      <c r="GD62" s="870"/>
      <c r="GE62" s="373"/>
      <c r="GF62" s="373"/>
      <c r="GG62" s="373"/>
      <c r="GH62" s="618"/>
      <c r="GI62" s="374">
        <v>0</v>
      </c>
      <c r="GJ62" s="869">
        <v>3</v>
      </c>
      <c r="GK62" s="373">
        <v>1</v>
      </c>
      <c r="GL62" s="373"/>
      <c r="GM62" s="870"/>
      <c r="GN62" s="373"/>
      <c r="GO62" s="373"/>
      <c r="GP62" s="373">
        <v>1</v>
      </c>
      <c r="GQ62" s="618"/>
      <c r="GR62" s="374">
        <v>0</v>
      </c>
      <c r="GS62" s="869">
        <v>2</v>
      </c>
      <c r="GT62" s="373">
        <v>1</v>
      </c>
      <c r="GU62" s="373"/>
      <c r="GV62" s="870"/>
      <c r="GW62" s="373"/>
      <c r="GX62" s="373"/>
      <c r="GY62" s="373"/>
      <c r="GZ62" s="618"/>
      <c r="HA62" s="374">
        <v>0</v>
      </c>
      <c r="HB62" s="869"/>
      <c r="HC62" s="373"/>
      <c r="HD62" s="373"/>
      <c r="HE62" s="870"/>
      <c r="HF62" s="373"/>
      <c r="HG62" s="373"/>
      <c r="HH62" s="373"/>
      <c r="HI62" s="618"/>
      <c r="HJ62" s="374">
        <v>0</v>
      </c>
      <c r="HK62" s="869"/>
      <c r="HL62" s="373"/>
      <c r="HM62" s="373"/>
      <c r="HN62" s="870"/>
      <c r="HO62" s="373"/>
      <c r="HP62" s="373"/>
      <c r="HQ62" s="373"/>
      <c r="HR62" s="618"/>
      <c r="HS62" s="374">
        <v>0</v>
      </c>
      <c r="HT62" s="869">
        <v>2</v>
      </c>
      <c r="HU62" s="373">
        <v>3</v>
      </c>
      <c r="HV62" s="373"/>
      <c r="HW62" s="870"/>
      <c r="HX62" s="373"/>
      <c r="HY62" s="373"/>
      <c r="HZ62" s="373"/>
      <c r="IA62" s="618"/>
      <c r="IB62" s="374">
        <v>0</v>
      </c>
      <c r="IC62" s="869">
        <v>3</v>
      </c>
      <c r="ID62" s="373">
        <v>3</v>
      </c>
      <c r="IE62" s="373"/>
      <c r="IF62" s="870"/>
      <c r="IG62" s="373"/>
      <c r="IH62" s="373"/>
      <c r="II62" s="373">
        <v>1</v>
      </c>
      <c r="IJ62" s="618"/>
      <c r="IK62" s="374">
        <v>0</v>
      </c>
      <c r="IL62" s="377"/>
      <c r="IM62" s="373"/>
      <c r="IN62" s="373"/>
      <c r="IO62" s="871"/>
      <c r="IP62" s="871"/>
      <c r="IQ62" s="373"/>
      <c r="IR62" s="373"/>
      <c r="IS62" s="618"/>
      <c r="IT62" s="374">
        <v>0</v>
      </c>
    </row>
    <row r="63" spans="1:254" s="245" customFormat="1" ht="12.75" customHeight="1" x14ac:dyDescent="0.2">
      <c r="A63" s="1052"/>
      <c r="B63" s="868" t="s">
        <v>915</v>
      </c>
      <c r="C63" s="869"/>
      <c r="D63" s="373"/>
      <c r="E63" s="373"/>
      <c r="F63" s="870"/>
      <c r="G63" s="373"/>
      <c r="H63" s="373"/>
      <c r="I63" s="373"/>
      <c r="J63" s="618"/>
      <c r="K63" s="374">
        <v>0</v>
      </c>
      <c r="L63" s="869"/>
      <c r="M63" s="373"/>
      <c r="N63" s="373"/>
      <c r="O63" s="870"/>
      <c r="P63" s="373"/>
      <c r="Q63" s="373"/>
      <c r="R63" s="373"/>
      <c r="S63" s="618"/>
      <c r="T63" s="374">
        <v>0</v>
      </c>
      <c r="U63" s="869"/>
      <c r="V63" s="373"/>
      <c r="W63" s="373"/>
      <c r="X63" s="870"/>
      <c r="Y63" s="373"/>
      <c r="Z63" s="373"/>
      <c r="AA63" s="373"/>
      <c r="AB63" s="618"/>
      <c r="AC63" s="374">
        <v>0</v>
      </c>
      <c r="AD63" s="869"/>
      <c r="AE63" s="373"/>
      <c r="AF63" s="373"/>
      <c r="AG63" s="870"/>
      <c r="AH63" s="373"/>
      <c r="AI63" s="373"/>
      <c r="AJ63" s="373"/>
      <c r="AK63" s="618"/>
      <c r="AL63" s="374">
        <v>0</v>
      </c>
      <c r="AM63" s="869"/>
      <c r="AN63" s="373"/>
      <c r="AO63" s="373"/>
      <c r="AP63" s="870"/>
      <c r="AQ63" s="373"/>
      <c r="AR63" s="373"/>
      <c r="AS63" s="373"/>
      <c r="AT63" s="618"/>
      <c r="AU63" s="374">
        <v>0</v>
      </c>
      <c r="AV63" s="869"/>
      <c r="AW63" s="373"/>
      <c r="AX63" s="373"/>
      <c r="AY63" s="870"/>
      <c r="AZ63" s="373"/>
      <c r="BA63" s="373"/>
      <c r="BB63" s="373"/>
      <c r="BC63" s="618"/>
      <c r="BD63" s="374">
        <v>0</v>
      </c>
      <c r="BE63" s="869"/>
      <c r="BF63" s="373"/>
      <c r="BG63" s="373"/>
      <c r="BH63" s="870"/>
      <c r="BI63" s="373"/>
      <c r="BJ63" s="373"/>
      <c r="BK63" s="373"/>
      <c r="BL63" s="618"/>
      <c r="BM63" s="374">
        <v>0</v>
      </c>
      <c r="BN63" s="869"/>
      <c r="BO63" s="373"/>
      <c r="BP63" s="373"/>
      <c r="BQ63" s="870"/>
      <c r="BR63" s="373"/>
      <c r="BS63" s="373"/>
      <c r="BT63" s="373"/>
      <c r="BU63" s="618"/>
      <c r="BV63" s="374">
        <v>0</v>
      </c>
      <c r="BW63" s="869"/>
      <c r="BX63" s="373"/>
      <c r="BY63" s="373"/>
      <c r="BZ63" s="870"/>
      <c r="CA63" s="373">
        <v>2</v>
      </c>
      <c r="CB63" s="373"/>
      <c r="CC63" s="373"/>
      <c r="CD63" s="618"/>
      <c r="CE63" s="374">
        <v>0</v>
      </c>
      <c r="CF63" s="869"/>
      <c r="CG63" s="373"/>
      <c r="CH63" s="373"/>
      <c r="CI63" s="870"/>
      <c r="CJ63" s="373"/>
      <c r="CK63" s="373"/>
      <c r="CL63" s="373"/>
      <c r="CM63" s="618"/>
      <c r="CN63" s="374">
        <v>0</v>
      </c>
      <c r="CO63" s="869"/>
      <c r="CP63" s="373"/>
      <c r="CQ63" s="373"/>
      <c r="CR63" s="870"/>
      <c r="CS63" s="373"/>
      <c r="CT63" s="373"/>
      <c r="CU63" s="373"/>
      <c r="CV63" s="618"/>
      <c r="CW63" s="374">
        <v>0</v>
      </c>
      <c r="CX63" s="869">
        <v>3</v>
      </c>
      <c r="CY63" s="373"/>
      <c r="CZ63" s="373">
        <v>1</v>
      </c>
      <c r="DA63" s="870">
        <v>4</v>
      </c>
      <c r="DB63" s="373">
        <v>4</v>
      </c>
      <c r="DC63" s="373"/>
      <c r="DD63" s="373"/>
      <c r="DE63" s="618">
        <v>1</v>
      </c>
      <c r="DF63" s="374">
        <v>2</v>
      </c>
      <c r="DG63" s="869"/>
      <c r="DH63" s="373"/>
      <c r="DI63" s="373"/>
      <c r="DJ63" s="870"/>
      <c r="DK63" s="373"/>
      <c r="DL63" s="373"/>
      <c r="DM63" s="373"/>
      <c r="DN63" s="618"/>
      <c r="DO63" s="374">
        <v>0</v>
      </c>
      <c r="DP63" s="869"/>
      <c r="DQ63" s="373"/>
      <c r="DR63" s="373"/>
      <c r="DS63" s="870">
        <v>1</v>
      </c>
      <c r="DT63" s="373"/>
      <c r="DU63" s="373"/>
      <c r="DV63" s="373"/>
      <c r="DW63" s="618"/>
      <c r="DX63" s="374">
        <v>0</v>
      </c>
      <c r="DY63" s="869"/>
      <c r="DZ63" s="373"/>
      <c r="EA63" s="373">
        <v>1</v>
      </c>
      <c r="EB63" s="870"/>
      <c r="EC63" s="373"/>
      <c r="ED63" s="373"/>
      <c r="EE63" s="373"/>
      <c r="EF63" s="618"/>
      <c r="EG63" s="374">
        <v>1</v>
      </c>
      <c r="EH63" s="869"/>
      <c r="EI63" s="373"/>
      <c r="EJ63" s="373"/>
      <c r="EK63" s="870"/>
      <c r="EL63" s="373"/>
      <c r="EM63" s="373"/>
      <c r="EN63" s="373"/>
      <c r="EO63" s="618"/>
      <c r="EP63" s="374">
        <v>0</v>
      </c>
      <c r="EQ63" s="869"/>
      <c r="ER63" s="373"/>
      <c r="ES63" s="373"/>
      <c r="ET63" s="870"/>
      <c r="EU63" s="373"/>
      <c r="EV63" s="373"/>
      <c r="EW63" s="373"/>
      <c r="EX63" s="618"/>
      <c r="EY63" s="374">
        <v>0</v>
      </c>
      <c r="EZ63" s="869"/>
      <c r="FA63" s="373"/>
      <c r="FB63" s="373"/>
      <c r="FC63" s="870"/>
      <c r="FD63" s="373"/>
      <c r="FE63" s="373"/>
      <c r="FF63" s="373"/>
      <c r="FG63" s="618"/>
      <c r="FH63" s="374">
        <v>0</v>
      </c>
      <c r="FI63" s="869"/>
      <c r="FJ63" s="373"/>
      <c r="FK63" s="373"/>
      <c r="FL63" s="870"/>
      <c r="FM63" s="373"/>
      <c r="FN63" s="373"/>
      <c r="FO63" s="373"/>
      <c r="FP63" s="618"/>
      <c r="FQ63" s="374">
        <v>0</v>
      </c>
      <c r="FR63" s="869"/>
      <c r="FS63" s="373"/>
      <c r="FT63" s="373"/>
      <c r="FU63" s="870"/>
      <c r="FV63" s="373"/>
      <c r="FW63" s="373"/>
      <c r="FX63" s="373"/>
      <c r="FY63" s="618"/>
      <c r="FZ63" s="374">
        <v>0</v>
      </c>
      <c r="GA63" s="869"/>
      <c r="GB63" s="373"/>
      <c r="GC63" s="373"/>
      <c r="GD63" s="870"/>
      <c r="GE63" s="373"/>
      <c r="GF63" s="373"/>
      <c r="GG63" s="373"/>
      <c r="GH63" s="618"/>
      <c r="GI63" s="374">
        <v>0</v>
      </c>
      <c r="GJ63" s="869">
        <v>3</v>
      </c>
      <c r="GK63" s="373"/>
      <c r="GL63" s="373">
        <v>1</v>
      </c>
      <c r="GM63" s="870">
        <v>4</v>
      </c>
      <c r="GN63" s="373">
        <v>6</v>
      </c>
      <c r="GO63" s="373"/>
      <c r="GP63" s="373"/>
      <c r="GQ63" s="618">
        <v>1</v>
      </c>
      <c r="GR63" s="374">
        <v>2</v>
      </c>
      <c r="GS63" s="869">
        <v>1</v>
      </c>
      <c r="GT63" s="373"/>
      <c r="GU63" s="373"/>
      <c r="GV63" s="870"/>
      <c r="GW63" s="373">
        <v>2</v>
      </c>
      <c r="GX63" s="373"/>
      <c r="GY63" s="373"/>
      <c r="GZ63" s="618"/>
      <c r="HA63" s="374">
        <v>0</v>
      </c>
      <c r="HB63" s="869"/>
      <c r="HC63" s="373"/>
      <c r="HD63" s="373"/>
      <c r="HE63" s="870"/>
      <c r="HF63" s="373"/>
      <c r="HG63" s="373"/>
      <c r="HH63" s="373"/>
      <c r="HI63" s="618"/>
      <c r="HJ63" s="374">
        <v>0</v>
      </c>
      <c r="HK63" s="869"/>
      <c r="HL63" s="373"/>
      <c r="HM63" s="373"/>
      <c r="HN63" s="870"/>
      <c r="HO63" s="373"/>
      <c r="HP63" s="373"/>
      <c r="HQ63" s="373"/>
      <c r="HR63" s="618"/>
      <c r="HS63" s="374">
        <v>0</v>
      </c>
      <c r="HT63" s="869">
        <v>1</v>
      </c>
      <c r="HU63" s="373"/>
      <c r="HV63" s="373"/>
      <c r="HW63" s="870"/>
      <c r="HX63" s="373">
        <v>2</v>
      </c>
      <c r="HY63" s="373">
        <v>1</v>
      </c>
      <c r="HZ63" s="373"/>
      <c r="IA63" s="618"/>
      <c r="IB63" s="374">
        <v>0</v>
      </c>
      <c r="IC63" s="869">
        <v>4</v>
      </c>
      <c r="ID63" s="373">
        <v>1</v>
      </c>
      <c r="IE63" s="373">
        <v>7</v>
      </c>
      <c r="IF63" s="870">
        <v>7</v>
      </c>
      <c r="IG63" s="373">
        <v>8</v>
      </c>
      <c r="IH63" s="373">
        <v>1</v>
      </c>
      <c r="II63" s="373"/>
      <c r="IJ63" s="618">
        <v>1</v>
      </c>
      <c r="IK63" s="374">
        <v>2</v>
      </c>
      <c r="IL63" s="377">
        <v>1</v>
      </c>
      <c r="IM63" s="373"/>
      <c r="IN63" s="373">
        <v>1</v>
      </c>
      <c r="IO63" s="871"/>
      <c r="IP63" s="871"/>
      <c r="IQ63" s="373"/>
      <c r="IR63" s="373"/>
      <c r="IS63" s="618">
        <v>1</v>
      </c>
      <c r="IT63" s="374">
        <v>2</v>
      </c>
    </row>
    <row r="64" spans="1:254" s="245" customFormat="1" ht="12.75" customHeight="1" x14ac:dyDescent="0.2">
      <c r="A64" s="1052"/>
      <c r="B64" s="868" t="s">
        <v>916</v>
      </c>
      <c r="C64" s="869"/>
      <c r="D64" s="373"/>
      <c r="E64" s="373"/>
      <c r="F64" s="870"/>
      <c r="G64" s="373"/>
      <c r="H64" s="373"/>
      <c r="I64" s="373"/>
      <c r="J64" s="618"/>
      <c r="K64" s="374">
        <v>0</v>
      </c>
      <c r="L64" s="869"/>
      <c r="M64" s="373"/>
      <c r="N64" s="373"/>
      <c r="O64" s="870"/>
      <c r="P64" s="373"/>
      <c r="Q64" s="373"/>
      <c r="R64" s="373"/>
      <c r="S64" s="618"/>
      <c r="T64" s="374">
        <v>0</v>
      </c>
      <c r="U64" s="869"/>
      <c r="V64" s="373"/>
      <c r="W64" s="373"/>
      <c r="X64" s="870"/>
      <c r="Y64" s="373"/>
      <c r="Z64" s="373"/>
      <c r="AA64" s="373"/>
      <c r="AB64" s="618"/>
      <c r="AC64" s="374">
        <v>0</v>
      </c>
      <c r="AD64" s="869"/>
      <c r="AE64" s="373"/>
      <c r="AF64" s="373"/>
      <c r="AG64" s="870"/>
      <c r="AH64" s="373"/>
      <c r="AI64" s="373"/>
      <c r="AJ64" s="373"/>
      <c r="AK64" s="618"/>
      <c r="AL64" s="374">
        <v>0</v>
      </c>
      <c r="AM64" s="869"/>
      <c r="AN64" s="373"/>
      <c r="AO64" s="373"/>
      <c r="AP64" s="870"/>
      <c r="AQ64" s="373"/>
      <c r="AR64" s="373"/>
      <c r="AS64" s="373"/>
      <c r="AT64" s="618"/>
      <c r="AU64" s="374">
        <v>0</v>
      </c>
      <c r="AV64" s="869"/>
      <c r="AW64" s="373"/>
      <c r="AX64" s="373"/>
      <c r="AY64" s="870"/>
      <c r="AZ64" s="373"/>
      <c r="BA64" s="373"/>
      <c r="BB64" s="373"/>
      <c r="BC64" s="618"/>
      <c r="BD64" s="374">
        <v>0</v>
      </c>
      <c r="BE64" s="869"/>
      <c r="BF64" s="373"/>
      <c r="BG64" s="373"/>
      <c r="BH64" s="870"/>
      <c r="BI64" s="373"/>
      <c r="BJ64" s="373"/>
      <c r="BK64" s="373"/>
      <c r="BL64" s="618"/>
      <c r="BM64" s="374">
        <v>0</v>
      </c>
      <c r="BN64" s="869"/>
      <c r="BO64" s="373"/>
      <c r="BP64" s="373"/>
      <c r="BQ64" s="870"/>
      <c r="BR64" s="373"/>
      <c r="BS64" s="373"/>
      <c r="BT64" s="373"/>
      <c r="BU64" s="618"/>
      <c r="BV64" s="374">
        <v>0</v>
      </c>
      <c r="BW64" s="869"/>
      <c r="BX64" s="373"/>
      <c r="BY64" s="373"/>
      <c r="BZ64" s="870"/>
      <c r="CA64" s="373"/>
      <c r="CB64" s="373"/>
      <c r="CC64" s="373"/>
      <c r="CD64" s="618">
        <v>1</v>
      </c>
      <c r="CE64" s="374">
        <v>0</v>
      </c>
      <c r="CF64" s="869"/>
      <c r="CG64" s="373"/>
      <c r="CH64" s="373"/>
      <c r="CI64" s="870"/>
      <c r="CJ64" s="373"/>
      <c r="CK64" s="373"/>
      <c r="CL64" s="373"/>
      <c r="CM64" s="618"/>
      <c r="CN64" s="374">
        <v>0</v>
      </c>
      <c r="CO64" s="869"/>
      <c r="CP64" s="373"/>
      <c r="CQ64" s="373"/>
      <c r="CR64" s="870"/>
      <c r="CS64" s="373"/>
      <c r="CT64" s="373"/>
      <c r="CU64" s="373"/>
      <c r="CV64" s="618"/>
      <c r="CW64" s="374">
        <v>0</v>
      </c>
      <c r="CX64" s="869">
        <v>5</v>
      </c>
      <c r="CY64" s="373">
        <v>1</v>
      </c>
      <c r="CZ64" s="373">
        <v>4</v>
      </c>
      <c r="DA64" s="870">
        <v>1</v>
      </c>
      <c r="DB64" s="373">
        <v>1</v>
      </c>
      <c r="DC64" s="373"/>
      <c r="DD64" s="373"/>
      <c r="DE64" s="618">
        <v>2</v>
      </c>
      <c r="DF64" s="374">
        <v>1</v>
      </c>
      <c r="DG64" s="869"/>
      <c r="DH64" s="373"/>
      <c r="DI64" s="373"/>
      <c r="DJ64" s="870"/>
      <c r="DK64" s="373"/>
      <c r="DL64" s="373"/>
      <c r="DM64" s="373"/>
      <c r="DN64" s="618"/>
      <c r="DO64" s="374">
        <v>0</v>
      </c>
      <c r="DP64" s="869"/>
      <c r="DQ64" s="373"/>
      <c r="DR64" s="373"/>
      <c r="DS64" s="870"/>
      <c r="DT64" s="373"/>
      <c r="DU64" s="373"/>
      <c r="DV64" s="373"/>
      <c r="DW64" s="618"/>
      <c r="DX64" s="374">
        <v>0</v>
      </c>
      <c r="DY64" s="869">
        <v>3</v>
      </c>
      <c r="DZ64" s="373"/>
      <c r="EA64" s="373"/>
      <c r="EB64" s="870"/>
      <c r="EC64" s="373"/>
      <c r="ED64" s="373"/>
      <c r="EE64" s="373"/>
      <c r="EF64" s="618">
        <v>1</v>
      </c>
      <c r="EG64" s="374">
        <v>1</v>
      </c>
      <c r="EH64" s="869"/>
      <c r="EI64" s="373"/>
      <c r="EJ64" s="373"/>
      <c r="EK64" s="870"/>
      <c r="EL64" s="373"/>
      <c r="EM64" s="373"/>
      <c r="EN64" s="373"/>
      <c r="EO64" s="618"/>
      <c r="EP64" s="374">
        <v>0</v>
      </c>
      <c r="EQ64" s="869"/>
      <c r="ER64" s="373"/>
      <c r="ES64" s="373"/>
      <c r="ET64" s="870"/>
      <c r="EU64" s="373"/>
      <c r="EV64" s="373"/>
      <c r="EW64" s="373"/>
      <c r="EX64" s="618"/>
      <c r="EY64" s="374">
        <v>0</v>
      </c>
      <c r="EZ64" s="869"/>
      <c r="FA64" s="373"/>
      <c r="FB64" s="373"/>
      <c r="FC64" s="870"/>
      <c r="FD64" s="373"/>
      <c r="FE64" s="373"/>
      <c r="FF64" s="373"/>
      <c r="FG64" s="618"/>
      <c r="FH64" s="374">
        <v>0</v>
      </c>
      <c r="FI64" s="869"/>
      <c r="FJ64" s="373"/>
      <c r="FK64" s="373"/>
      <c r="FL64" s="870"/>
      <c r="FM64" s="373"/>
      <c r="FN64" s="373"/>
      <c r="FO64" s="373"/>
      <c r="FP64" s="618"/>
      <c r="FQ64" s="374">
        <v>0</v>
      </c>
      <c r="FR64" s="869"/>
      <c r="FS64" s="373"/>
      <c r="FT64" s="373"/>
      <c r="FU64" s="870"/>
      <c r="FV64" s="373"/>
      <c r="FW64" s="373"/>
      <c r="FX64" s="373"/>
      <c r="FY64" s="618"/>
      <c r="FZ64" s="374">
        <v>0</v>
      </c>
      <c r="GA64" s="869"/>
      <c r="GB64" s="373"/>
      <c r="GC64" s="373"/>
      <c r="GD64" s="870"/>
      <c r="GE64" s="373"/>
      <c r="GF64" s="373"/>
      <c r="GG64" s="373"/>
      <c r="GH64" s="618"/>
      <c r="GI64" s="374">
        <v>0</v>
      </c>
      <c r="GJ64" s="869">
        <v>5</v>
      </c>
      <c r="GK64" s="373">
        <v>1</v>
      </c>
      <c r="GL64" s="373">
        <v>4</v>
      </c>
      <c r="GM64" s="870">
        <v>1</v>
      </c>
      <c r="GN64" s="373">
        <v>1</v>
      </c>
      <c r="GO64" s="373"/>
      <c r="GP64" s="373"/>
      <c r="GQ64" s="618">
        <v>3</v>
      </c>
      <c r="GR64" s="374">
        <v>1</v>
      </c>
      <c r="GS64" s="869">
        <v>1</v>
      </c>
      <c r="GT64" s="373"/>
      <c r="GU64" s="373"/>
      <c r="GV64" s="870"/>
      <c r="GW64" s="373"/>
      <c r="GX64" s="373"/>
      <c r="GY64" s="373"/>
      <c r="GZ64" s="618">
        <v>1</v>
      </c>
      <c r="HA64" s="374">
        <v>0</v>
      </c>
      <c r="HB64" s="869"/>
      <c r="HC64" s="373"/>
      <c r="HD64" s="373"/>
      <c r="HE64" s="870"/>
      <c r="HF64" s="373"/>
      <c r="HG64" s="373"/>
      <c r="HH64" s="373"/>
      <c r="HI64" s="618"/>
      <c r="HJ64" s="374">
        <v>0</v>
      </c>
      <c r="HK64" s="869"/>
      <c r="HL64" s="373"/>
      <c r="HM64" s="373"/>
      <c r="HN64" s="870"/>
      <c r="HO64" s="373"/>
      <c r="HP64" s="373"/>
      <c r="HQ64" s="373"/>
      <c r="HR64" s="618"/>
      <c r="HS64" s="374">
        <v>0</v>
      </c>
      <c r="HT64" s="869">
        <v>1</v>
      </c>
      <c r="HU64" s="373"/>
      <c r="HV64" s="373"/>
      <c r="HW64" s="870"/>
      <c r="HX64" s="373"/>
      <c r="HY64" s="373"/>
      <c r="HZ64" s="373"/>
      <c r="IA64" s="618">
        <v>2</v>
      </c>
      <c r="IB64" s="374">
        <v>1</v>
      </c>
      <c r="IC64" s="869">
        <v>7</v>
      </c>
      <c r="ID64" s="373">
        <v>2</v>
      </c>
      <c r="IE64" s="373">
        <v>7</v>
      </c>
      <c r="IF64" s="870">
        <v>3</v>
      </c>
      <c r="IG64" s="373">
        <v>2</v>
      </c>
      <c r="IH64" s="373"/>
      <c r="II64" s="373"/>
      <c r="IJ64" s="618">
        <v>5</v>
      </c>
      <c r="IK64" s="374">
        <v>2</v>
      </c>
      <c r="IL64" s="377">
        <v>5</v>
      </c>
      <c r="IM64" s="373"/>
      <c r="IN64" s="373">
        <v>3</v>
      </c>
      <c r="IO64" s="871"/>
      <c r="IP64" s="871"/>
      <c r="IQ64" s="373"/>
      <c r="IR64" s="373"/>
      <c r="IS64" s="618">
        <v>1</v>
      </c>
      <c r="IT64" s="374">
        <v>1</v>
      </c>
    </row>
    <row r="65" spans="1:254" s="245" customFormat="1" ht="12.75" customHeight="1" x14ac:dyDescent="0.2">
      <c r="A65" s="1052"/>
      <c r="B65" s="868" t="s">
        <v>917</v>
      </c>
      <c r="C65" s="869"/>
      <c r="D65" s="373"/>
      <c r="E65" s="373"/>
      <c r="F65" s="870"/>
      <c r="G65" s="373"/>
      <c r="H65" s="373"/>
      <c r="I65" s="373"/>
      <c r="J65" s="618"/>
      <c r="K65" s="374">
        <v>0</v>
      </c>
      <c r="L65" s="869"/>
      <c r="M65" s="373"/>
      <c r="N65" s="373"/>
      <c r="O65" s="870"/>
      <c r="P65" s="373"/>
      <c r="Q65" s="373"/>
      <c r="R65" s="373"/>
      <c r="S65" s="618"/>
      <c r="T65" s="374">
        <v>0</v>
      </c>
      <c r="U65" s="869"/>
      <c r="V65" s="373"/>
      <c r="W65" s="373"/>
      <c r="X65" s="870"/>
      <c r="Y65" s="373"/>
      <c r="Z65" s="373"/>
      <c r="AA65" s="373"/>
      <c r="AB65" s="618"/>
      <c r="AC65" s="374">
        <v>0</v>
      </c>
      <c r="AD65" s="869"/>
      <c r="AE65" s="373"/>
      <c r="AF65" s="373"/>
      <c r="AG65" s="870"/>
      <c r="AH65" s="373">
        <v>2</v>
      </c>
      <c r="AI65" s="373"/>
      <c r="AJ65" s="373"/>
      <c r="AK65" s="618">
        <v>1</v>
      </c>
      <c r="AL65" s="374">
        <v>0</v>
      </c>
      <c r="AM65" s="869"/>
      <c r="AN65" s="373"/>
      <c r="AO65" s="373"/>
      <c r="AP65" s="870"/>
      <c r="AQ65" s="373">
        <v>1</v>
      </c>
      <c r="AR65" s="373"/>
      <c r="AS65" s="373"/>
      <c r="AT65" s="618">
        <v>1</v>
      </c>
      <c r="AU65" s="374">
        <v>0</v>
      </c>
      <c r="AV65" s="869"/>
      <c r="AW65" s="373"/>
      <c r="AX65" s="373"/>
      <c r="AY65" s="870"/>
      <c r="AZ65" s="373"/>
      <c r="BA65" s="373"/>
      <c r="BB65" s="373"/>
      <c r="BC65" s="618"/>
      <c r="BD65" s="374">
        <v>0</v>
      </c>
      <c r="BE65" s="869"/>
      <c r="BF65" s="373"/>
      <c r="BG65" s="373"/>
      <c r="BH65" s="870"/>
      <c r="BI65" s="373"/>
      <c r="BJ65" s="373"/>
      <c r="BK65" s="373"/>
      <c r="BL65" s="618"/>
      <c r="BM65" s="374">
        <v>0</v>
      </c>
      <c r="BN65" s="869"/>
      <c r="BO65" s="373"/>
      <c r="BP65" s="373"/>
      <c r="BQ65" s="870"/>
      <c r="BR65" s="373"/>
      <c r="BS65" s="373">
        <v>1</v>
      </c>
      <c r="BT65" s="373"/>
      <c r="BU65" s="618"/>
      <c r="BV65" s="374">
        <v>0</v>
      </c>
      <c r="BW65" s="869"/>
      <c r="BX65" s="373"/>
      <c r="BY65" s="373"/>
      <c r="BZ65" s="870"/>
      <c r="CA65" s="373"/>
      <c r="CB65" s="373"/>
      <c r="CC65" s="373">
        <v>2</v>
      </c>
      <c r="CD65" s="618"/>
      <c r="CE65" s="374">
        <v>0</v>
      </c>
      <c r="CF65" s="869"/>
      <c r="CG65" s="373"/>
      <c r="CH65" s="373"/>
      <c r="CI65" s="870"/>
      <c r="CJ65" s="373"/>
      <c r="CK65" s="373"/>
      <c r="CL65" s="373"/>
      <c r="CM65" s="618"/>
      <c r="CN65" s="374">
        <v>0</v>
      </c>
      <c r="CO65" s="869"/>
      <c r="CP65" s="373"/>
      <c r="CQ65" s="373"/>
      <c r="CR65" s="870"/>
      <c r="CS65" s="373"/>
      <c r="CT65" s="373"/>
      <c r="CU65" s="373">
        <v>1</v>
      </c>
      <c r="CV65" s="618"/>
      <c r="CW65" s="374">
        <v>0</v>
      </c>
      <c r="CX65" s="869">
        <v>6</v>
      </c>
      <c r="CY65" s="373">
        <v>2</v>
      </c>
      <c r="CZ65" s="373">
        <v>7</v>
      </c>
      <c r="DA65" s="870">
        <v>2</v>
      </c>
      <c r="DB65" s="373">
        <v>1</v>
      </c>
      <c r="DC65" s="373">
        <v>1</v>
      </c>
      <c r="DD65" s="373">
        <v>5</v>
      </c>
      <c r="DE65" s="618">
        <v>1</v>
      </c>
      <c r="DF65" s="374">
        <v>0</v>
      </c>
      <c r="DG65" s="869"/>
      <c r="DH65" s="373"/>
      <c r="DI65" s="373"/>
      <c r="DJ65" s="870"/>
      <c r="DK65" s="373"/>
      <c r="DL65" s="373"/>
      <c r="DM65" s="373"/>
      <c r="DN65" s="618"/>
      <c r="DO65" s="374">
        <v>0</v>
      </c>
      <c r="DP65" s="869"/>
      <c r="DQ65" s="373"/>
      <c r="DR65" s="373"/>
      <c r="DS65" s="870"/>
      <c r="DT65" s="373"/>
      <c r="DU65" s="373"/>
      <c r="DV65" s="373"/>
      <c r="DW65" s="618"/>
      <c r="DX65" s="374">
        <v>0</v>
      </c>
      <c r="DY65" s="869">
        <v>2</v>
      </c>
      <c r="DZ65" s="373"/>
      <c r="EA65" s="373"/>
      <c r="EB65" s="870">
        <v>2</v>
      </c>
      <c r="EC65" s="373"/>
      <c r="ED65" s="373"/>
      <c r="EE65" s="373">
        <v>2</v>
      </c>
      <c r="EF65" s="618"/>
      <c r="EG65" s="374">
        <v>0</v>
      </c>
      <c r="EH65" s="869"/>
      <c r="EI65" s="373"/>
      <c r="EJ65" s="373"/>
      <c r="EK65" s="870"/>
      <c r="EL65" s="373"/>
      <c r="EM65" s="373"/>
      <c r="EN65" s="373"/>
      <c r="EO65" s="618"/>
      <c r="EP65" s="374">
        <v>0</v>
      </c>
      <c r="EQ65" s="869"/>
      <c r="ER65" s="373"/>
      <c r="ES65" s="373"/>
      <c r="ET65" s="870"/>
      <c r="EU65" s="373"/>
      <c r="EV65" s="373"/>
      <c r="EW65" s="373"/>
      <c r="EX65" s="618"/>
      <c r="EY65" s="374">
        <v>0</v>
      </c>
      <c r="EZ65" s="869"/>
      <c r="FA65" s="373"/>
      <c r="FB65" s="373">
        <v>1</v>
      </c>
      <c r="FC65" s="870"/>
      <c r="FD65" s="373"/>
      <c r="FE65" s="373"/>
      <c r="FF65" s="373"/>
      <c r="FG65" s="618"/>
      <c r="FH65" s="374">
        <v>0</v>
      </c>
      <c r="FI65" s="869"/>
      <c r="FJ65" s="373"/>
      <c r="FK65" s="373">
        <v>1</v>
      </c>
      <c r="FL65" s="870">
        <v>1</v>
      </c>
      <c r="FM65" s="373"/>
      <c r="FN65" s="373"/>
      <c r="FO65" s="373"/>
      <c r="FP65" s="618"/>
      <c r="FQ65" s="374">
        <v>0</v>
      </c>
      <c r="FR65" s="869"/>
      <c r="FS65" s="373"/>
      <c r="FT65" s="373"/>
      <c r="FU65" s="870"/>
      <c r="FV65" s="373"/>
      <c r="FW65" s="373"/>
      <c r="FX65" s="373"/>
      <c r="FY65" s="618"/>
      <c r="FZ65" s="374">
        <v>0</v>
      </c>
      <c r="GA65" s="869"/>
      <c r="GB65" s="373"/>
      <c r="GC65" s="373"/>
      <c r="GD65" s="870"/>
      <c r="GE65" s="373"/>
      <c r="GF65" s="373"/>
      <c r="GG65" s="373"/>
      <c r="GH65" s="618"/>
      <c r="GI65" s="374">
        <v>0</v>
      </c>
      <c r="GJ65" s="869">
        <v>6</v>
      </c>
      <c r="GK65" s="373">
        <v>2</v>
      </c>
      <c r="GL65" s="373">
        <v>9</v>
      </c>
      <c r="GM65" s="870">
        <v>3</v>
      </c>
      <c r="GN65" s="373">
        <v>3</v>
      </c>
      <c r="GO65" s="373">
        <v>2</v>
      </c>
      <c r="GP65" s="373">
        <v>8</v>
      </c>
      <c r="GQ65" s="618">
        <v>2</v>
      </c>
      <c r="GR65" s="374">
        <v>0</v>
      </c>
      <c r="GS65" s="869">
        <v>2</v>
      </c>
      <c r="GT65" s="373"/>
      <c r="GU65" s="373">
        <v>3</v>
      </c>
      <c r="GV65" s="870">
        <v>1</v>
      </c>
      <c r="GW65" s="373"/>
      <c r="GX65" s="373">
        <v>2</v>
      </c>
      <c r="GY65" s="373"/>
      <c r="GZ65" s="618"/>
      <c r="HA65" s="374">
        <v>0</v>
      </c>
      <c r="HB65" s="869">
        <v>1</v>
      </c>
      <c r="HC65" s="373"/>
      <c r="HD65" s="373"/>
      <c r="HE65" s="870"/>
      <c r="HF65" s="373"/>
      <c r="HG65" s="373"/>
      <c r="HH65" s="373"/>
      <c r="HI65" s="618"/>
      <c r="HJ65" s="374">
        <v>0</v>
      </c>
      <c r="HK65" s="869">
        <v>1</v>
      </c>
      <c r="HL65" s="373"/>
      <c r="HM65" s="373"/>
      <c r="HN65" s="870"/>
      <c r="HO65" s="373"/>
      <c r="HP65" s="373"/>
      <c r="HQ65" s="373"/>
      <c r="HR65" s="618"/>
      <c r="HS65" s="374">
        <v>0</v>
      </c>
      <c r="HT65" s="869">
        <v>6</v>
      </c>
      <c r="HU65" s="373">
        <v>1</v>
      </c>
      <c r="HV65" s="373">
        <v>3</v>
      </c>
      <c r="HW65" s="870">
        <v>3</v>
      </c>
      <c r="HX65" s="373">
        <v>1</v>
      </c>
      <c r="HY65" s="373">
        <v>4</v>
      </c>
      <c r="HZ65" s="373">
        <v>3</v>
      </c>
      <c r="IA65" s="618">
        <v>2</v>
      </c>
      <c r="IB65" s="374">
        <v>2</v>
      </c>
      <c r="IC65" s="869">
        <v>12</v>
      </c>
      <c r="ID65" s="373">
        <v>7</v>
      </c>
      <c r="IE65" s="373">
        <v>13</v>
      </c>
      <c r="IF65" s="870">
        <v>9</v>
      </c>
      <c r="IG65" s="373">
        <v>11</v>
      </c>
      <c r="IH65" s="373">
        <v>7</v>
      </c>
      <c r="II65" s="373">
        <v>12</v>
      </c>
      <c r="IJ65" s="618">
        <v>4</v>
      </c>
      <c r="IK65" s="374">
        <v>2</v>
      </c>
      <c r="IL65" s="377">
        <v>2</v>
      </c>
      <c r="IM65" s="373">
        <v>1</v>
      </c>
      <c r="IN65" s="373">
        <v>3</v>
      </c>
      <c r="IO65" s="871">
        <v>2</v>
      </c>
      <c r="IP65" s="871"/>
      <c r="IQ65" s="373"/>
      <c r="IR65" s="373">
        <v>2</v>
      </c>
      <c r="IS65" s="618"/>
      <c r="IT65" s="374">
        <v>0</v>
      </c>
    </row>
    <row r="66" spans="1:254" s="245" customFormat="1" ht="12.75" customHeight="1" x14ac:dyDescent="0.2">
      <c r="A66" s="1052"/>
      <c r="B66" s="868" t="s">
        <v>918</v>
      </c>
      <c r="C66" s="869"/>
      <c r="D66" s="373"/>
      <c r="E66" s="373"/>
      <c r="F66" s="870"/>
      <c r="G66" s="373"/>
      <c r="H66" s="373"/>
      <c r="I66" s="373"/>
      <c r="J66" s="618"/>
      <c r="K66" s="374">
        <v>0</v>
      </c>
      <c r="L66" s="869"/>
      <c r="M66" s="373"/>
      <c r="N66" s="373"/>
      <c r="O66" s="870"/>
      <c r="P66" s="373"/>
      <c r="Q66" s="373"/>
      <c r="R66" s="373"/>
      <c r="S66" s="618"/>
      <c r="T66" s="374">
        <v>0</v>
      </c>
      <c r="U66" s="869"/>
      <c r="V66" s="373"/>
      <c r="W66" s="373"/>
      <c r="X66" s="870"/>
      <c r="Y66" s="373"/>
      <c r="Z66" s="373"/>
      <c r="AA66" s="373"/>
      <c r="AB66" s="618"/>
      <c r="AC66" s="374">
        <v>0</v>
      </c>
      <c r="AD66" s="869"/>
      <c r="AE66" s="373">
        <v>1</v>
      </c>
      <c r="AF66" s="373"/>
      <c r="AG66" s="870">
        <v>1</v>
      </c>
      <c r="AH66" s="373"/>
      <c r="AI66" s="373"/>
      <c r="AJ66" s="373">
        <v>1</v>
      </c>
      <c r="AK66" s="618">
        <v>1</v>
      </c>
      <c r="AL66" s="374">
        <v>0</v>
      </c>
      <c r="AM66" s="869"/>
      <c r="AN66" s="373"/>
      <c r="AO66" s="373"/>
      <c r="AP66" s="870"/>
      <c r="AQ66" s="373"/>
      <c r="AR66" s="373"/>
      <c r="AS66" s="373"/>
      <c r="AT66" s="618">
        <v>1</v>
      </c>
      <c r="AU66" s="374">
        <v>0</v>
      </c>
      <c r="AV66" s="869"/>
      <c r="AW66" s="373"/>
      <c r="AX66" s="373"/>
      <c r="AY66" s="870"/>
      <c r="AZ66" s="373"/>
      <c r="BA66" s="373"/>
      <c r="BB66" s="373"/>
      <c r="BC66" s="618"/>
      <c r="BD66" s="374">
        <v>0</v>
      </c>
      <c r="BE66" s="869"/>
      <c r="BF66" s="373"/>
      <c r="BG66" s="373"/>
      <c r="BH66" s="870"/>
      <c r="BI66" s="373"/>
      <c r="BJ66" s="373"/>
      <c r="BK66" s="373"/>
      <c r="BL66" s="618"/>
      <c r="BM66" s="374">
        <v>0</v>
      </c>
      <c r="BN66" s="869"/>
      <c r="BO66" s="373"/>
      <c r="BP66" s="373"/>
      <c r="BQ66" s="870"/>
      <c r="BR66" s="373"/>
      <c r="BS66" s="373"/>
      <c r="BT66" s="373"/>
      <c r="BU66" s="618"/>
      <c r="BV66" s="374">
        <v>0</v>
      </c>
      <c r="BW66" s="869"/>
      <c r="BX66" s="373">
        <v>2</v>
      </c>
      <c r="BY66" s="373">
        <v>1</v>
      </c>
      <c r="BZ66" s="870"/>
      <c r="CA66" s="373"/>
      <c r="CB66" s="373"/>
      <c r="CC66" s="373">
        <v>1</v>
      </c>
      <c r="CD66" s="618">
        <v>1</v>
      </c>
      <c r="CE66" s="374">
        <v>0</v>
      </c>
      <c r="CF66" s="869"/>
      <c r="CG66" s="373"/>
      <c r="CH66" s="373"/>
      <c r="CI66" s="870"/>
      <c r="CJ66" s="373"/>
      <c r="CK66" s="373"/>
      <c r="CL66" s="373"/>
      <c r="CM66" s="618"/>
      <c r="CN66" s="374">
        <v>0</v>
      </c>
      <c r="CO66" s="869"/>
      <c r="CP66" s="373"/>
      <c r="CQ66" s="373"/>
      <c r="CR66" s="870"/>
      <c r="CS66" s="373"/>
      <c r="CT66" s="373"/>
      <c r="CU66" s="373">
        <v>1</v>
      </c>
      <c r="CV66" s="618"/>
      <c r="CW66" s="374">
        <v>0</v>
      </c>
      <c r="CX66" s="869">
        <v>2</v>
      </c>
      <c r="CY66" s="373"/>
      <c r="CZ66" s="373">
        <v>7</v>
      </c>
      <c r="DA66" s="870">
        <v>1</v>
      </c>
      <c r="DB66" s="373">
        <v>4</v>
      </c>
      <c r="DC66" s="373">
        <v>2</v>
      </c>
      <c r="DD66" s="373">
        <v>6</v>
      </c>
      <c r="DE66" s="618">
        <v>5</v>
      </c>
      <c r="DF66" s="374">
        <v>5</v>
      </c>
      <c r="DG66" s="869"/>
      <c r="DH66" s="373"/>
      <c r="DI66" s="373"/>
      <c r="DJ66" s="870"/>
      <c r="DK66" s="373"/>
      <c r="DL66" s="373"/>
      <c r="DM66" s="373"/>
      <c r="DN66" s="618">
        <v>1</v>
      </c>
      <c r="DO66" s="374">
        <v>0</v>
      </c>
      <c r="DP66" s="869"/>
      <c r="DQ66" s="373"/>
      <c r="DR66" s="373"/>
      <c r="DS66" s="870"/>
      <c r="DT66" s="373">
        <v>1</v>
      </c>
      <c r="DU66" s="373"/>
      <c r="DV66" s="373"/>
      <c r="DW66" s="618"/>
      <c r="DX66" s="374">
        <v>0</v>
      </c>
      <c r="DY66" s="869"/>
      <c r="DZ66" s="373"/>
      <c r="EA66" s="373">
        <v>1</v>
      </c>
      <c r="EB66" s="870"/>
      <c r="EC66" s="373">
        <v>1</v>
      </c>
      <c r="ED66" s="373"/>
      <c r="EE66" s="373">
        <v>2</v>
      </c>
      <c r="EF66" s="618">
        <v>1</v>
      </c>
      <c r="EG66" s="374">
        <v>0</v>
      </c>
      <c r="EH66" s="869"/>
      <c r="EI66" s="373"/>
      <c r="EJ66" s="373"/>
      <c r="EK66" s="870"/>
      <c r="EL66" s="373"/>
      <c r="EM66" s="373"/>
      <c r="EN66" s="373"/>
      <c r="EO66" s="618"/>
      <c r="EP66" s="374">
        <v>0</v>
      </c>
      <c r="EQ66" s="869"/>
      <c r="ER66" s="373"/>
      <c r="ES66" s="373"/>
      <c r="ET66" s="870"/>
      <c r="EU66" s="373"/>
      <c r="EV66" s="373"/>
      <c r="EW66" s="373"/>
      <c r="EX66" s="618"/>
      <c r="EY66" s="374">
        <v>0</v>
      </c>
      <c r="EZ66" s="869"/>
      <c r="FA66" s="373"/>
      <c r="FB66" s="373"/>
      <c r="FC66" s="870"/>
      <c r="FD66" s="373"/>
      <c r="FE66" s="373"/>
      <c r="FF66" s="373"/>
      <c r="FG66" s="618"/>
      <c r="FH66" s="374">
        <v>0</v>
      </c>
      <c r="FI66" s="869"/>
      <c r="FJ66" s="373"/>
      <c r="FK66" s="373">
        <v>1</v>
      </c>
      <c r="FL66" s="870">
        <v>1</v>
      </c>
      <c r="FM66" s="373"/>
      <c r="FN66" s="373"/>
      <c r="FO66" s="373"/>
      <c r="FP66" s="618">
        <v>1</v>
      </c>
      <c r="FQ66" s="374">
        <v>1</v>
      </c>
      <c r="FR66" s="869"/>
      <c r="FS66" s="373"/>
      <c r="FT66" s="373"/>
      <c r="FU66" s="870"/>
      <c r="FV66" s="373"/>
      <c r="FW66" s="373"/>
      <c r="FX66" s="373"/>
      <c r="FY66" s="618"/>
      <c r="FZ66" s="374">
        <v>0</v>
      </c>
      <c r="GA66" s="869"/>
      <c r="GB66" s="373"/>
      <c r="GC66" s="373"/>
      <c r="GD66" s="870"/>
      <c r="GE66" s="373"/>
      <c r="GF66" s="373"/>
      <c r="GG66" s="373"/>
      <c r="GH66" s="618"/>
      <c r="GI66" s="374">
        <v>0</v>
      </c>
      <c r="GJ66" s="869">
        <v>2</v>
      </c>
      <c r="GK66" s="373">
        <v>3</v>
      </c>
      <c r="GL66" s="373">
        <v>9</v>
      </c>
      <c r="GM66" s="870">
        <v>3</v>
      </c>
      <c r="GN66" s="373">
        <v>4</v>
      </c>
      <c r="GO66" s="373">
        <v>2</v>
      </c>
      <c r="GP66" s="373">
        <v>9</v>
      </c>
      <c r="GQ66" s="618">
        <v>8</v>
      </c>
      <c r="GR66" s="374">
        <v>6</v>
      </c>
      <c r="GS66" s="869">
        <v>1</v>
      </c>
      <c r="GT66" s="373">
        <v>1</v>
      </c>
      <c r="GU66" s="373">
        <v>6</v>
      </c>
      <c r="GV66" s="870"/>
      <c r="GW66" s="373"/>
      <c r="GX66" s="373"/>
      <c r="GY66" s="373">
        <v>3</v>
      </c>
      <c r="GZ66" s="618">
        <v>1</v>
      </c>
      <c r="HA66" s="374">
        <v>1</v>
      </c>
      <c r="HB66" s="869"/>
      <c r="HC66" s="373"/>
      <c r="HD66" s="373"/>
      <c r="HE66" s="870"/>
      <c r="HF66" s="373"/>
      <c r="HG66" s="373"/>
      <c r="HH66" s="373"/>
      <c r="HI66" s="618"/>
      <c r="HJ66" s="374">
        <v>0</v>
      </c>
      <c r="HK66" s="869"/>
      <c r="HL66" s="373"/>
      <c r="HM66" s="373"/>
      <c r="HN66" s="870"/>
      <c r="HO66" s="373"/>
      <c r="HP66" s="373"/>
      <c r="HQ66" s="373"/>
      <c r="HR66" s="618"/>
      <c r="HS66" s="374">
        <v>0</v>
      </c>
      <c r="HT66" s="869">
        <v>1</v>
      </c>
      <c r="HU66" s="373">
        <v>1</v>
      </c>
      <c r="HV66" s="373">
        <v>8</v>
      </c>
      <c r="HW66" s="870"/>
      <c r="HX66" s="373">
        <v>1</v>
      </c>
      <c r="HY66" s="373">
        <v>3</v>
      </c>
      <c r="HZ66" s="373">
        <v>6</v>
      </c>
      <c r="IA66" s="618">
        <v>4</v>
      </c>
      <c r="IB66" s="374">
        <v>2</v>
      </c>
      <c r="IC66" s="869">
        <v>2</v>
      </c>
      <c r="ID66" s="373">
        <v>5</v>
      </c>
      <c r="IE66" s="373">
        <v>17</v>
      </c>
      <c r="IF66" s="870">
        <v>7</v>
      </c>
      <c r="IG66" s="373">
        <v>8</v>
      </c>
      <c r="IH66" s="373">
        <v>7</v>
      </c>
      <c r="II66" s="373">
        <v>16</v>
      </c>
      <c r="IJ66" s="618">
        <v>12</v>
      </c>
      <c r="IK66" s="374">
        <v>8</v>
      </c>
      <c r="IL66" s="377"/>
      <c r="IM66" s="373"/>
      <c r="IN66" s="373">
        <v>1</v>
      </c>
      <c r="IO66" s="871"/>
      <c r="IP66" s="871">
        <v>1</v>
      </c>
      <c r="IQ66" s="373"/>
      <c r="IR66" s="373">
        <v>2</v>
      </c>
      <c r="IS66" s="618">
        <v>2</v>
      </c>
      <c r="IT66" s="374">
        <v>1</v>
      </c>
    </row>
    <row r="67" spans="1:254" s="245" customFormat="1" ht="12.75" customHeight="1" x14ac:dyDescent="0.2">
      <c r="A67" s="1052"/>
      <c r="B67" s="868" t="s">
        <v>919</v>
      </c>
      <c r="C67" s="869"/>
      <c r="D67" s="373"/>
      <c r="E67" s="373"/>
      <c r="F67" s="870"/>
      <c r="G67" s="373"/>
      <c r="H67" s="373"/>
      <c r="I67" s="373"/>
      <c r="J67" s="618"/>
      <c r="K67" s="374">
        <v>0</v>
      </c>
      <c r="L67" s="869"/>
      <c r="M67" s="373"/>
      <c r="N67" s="373"/>
      <c r="O67" s="870"/>
      <c r="P67" s="373"/>
      <c r="Q67" s="373"/>
      <c r="R67" s="373"/>
      <c r="S67" s="618"/>
      <c r="T67" s="374">
        <v>0</v>
      </c>
      <c r="U67" s="869"/>
      <c r="V67" s="373"/>
      <c r="W67" s="373"/>
      <c r="X67" s="870"/>
      <c r="Y67" s="373"/>
      <c r="Z67" s="373"/>
      <c r="AA67" s="373"/>
      <c r="AB67" s="618"/>
      <c r="AC67" s="374">
        <v>0</v>
      </c>
      <c r="AD67" s="869"/>
      <c r="AE67" s="373">
        <v>1</v>
      </c>
      <c r="AF67" s="373"/>
      <c r="AG67" s="870">
        <v>2</v>
      </c>
      <c r="AH67" s="373"/>
      <c r="AI67" s="373">
        <v>4</v>
      </c>
      <c r="AJ67" s="373">
        <v>2</v>
      </c>
      <c r="AK67" s="618">
        <v>1</v>
      </c>
      <c r="AL67" s="374">
        <v>0</v>
      </c>
      <c r="AM67" s="869"/>
      <c r="AN67" s="373"/>
      <c r="AO67" s="373"/>
      <c r="AP67" s="870">
        <v>1</v>
      </c>
      <c r="AQ67" s="373"/>
      <c r="AR67" s="373"/>
      <c r="AS67" s="373">
        <v>1</v>
      </c>
      <c r="AT67" s="618"/>
      <c r="AU67" s="374">
        <v>0</v>
      </c>
      <c r="AV67" s="869"/>
      <c r="AW67" s="373"/>
      <c r="AX67" s="373"/>
      <c r="AY67" s="870"/>
      <c r="AZ67" s="373"/>
      <c r="BA67" s="373"/>
      <c r="BB67" s="373"/>
      <c r="BC67" s="618"/>
      <c r="BD67" s="374">
        <v>0</v>
      </c>
      <c r="BE67" s="869"/>
      <c r="BF67" s="373"/>
      <c r="BG67" s="373"/>
      <c r="BH67" s="870"/>
      <c r="BI67" s="373"/>
      <c r="BJ67" s="373"/>
      <c r="BK67" s="373"/>
      <c r="BL67" s="618">
        <v>1</v>
      </c>
      <c r="BM67" s="374">
        <v>0</v>
      </c>
      <c r="BN67" s="869"/>
      <c r="BO67" s="373"/>
      <c r="BP67" s="373"/>
      <c r="BQ67" s="870"/>
      <c r="BR67" s="373"/>
      <c r="BS67" s="373"/>
      <c r="BT67" s="373"/>
      <c r="BU67" s="618"/>
      <c r="BV67" s="374">
        <v>0</v>
      </c>
      <c r="BW67" s="869"/>
      <c r="BX67" s="373">
        <v>5</v>
      </c>
      <c r="BY67" s="373">
        <v>1</v>
      </c>
      <c r="BZ67" s="870">
        <v>4</v>
      </c>
      <c r="CA67" s="373">
        <v>2</v>
      </c>
      <c r="CB67" s="373">
        <v>2</v>
      </c>
      <c r="CC67" s="373">
        <v>4</v>
      </c>
      <c r="CD67" s="618">
        <v>5</v>
      </c>
      <c r="CE67" s="374">
        <v>0</v>
      </c>
      <c r="CF67" s="869"/>
      <c r="CG67" s="373">
        <v>1</v>
      </c>
      <c r="CH67" s="373"/>
      <c r="CI67" s="870"/>
      <c r="CJ67" s="373"/>
      <c r="CK67" s="373"/>
      <c r="CL67" s="373"/>
      <c r="CM67" s="618"/>
      <c r="CN67" s="374">
        <v>0</v>
      </c>
      <c r="CO67" s="869"/>
      <c r="CP67" s="373"/>
      <c r="CQ67" s="373"/>
      <c r="CR67" s="870"/>
      <c r="CS67" s="373"/>
      <c r="CT67" s="373">
        <v>2</v>
      </c>
      <c r="CU67" s="373"/>
      <c r="CV67" s="618"/>
      <c r="CW67" s="374">
        <v>0</v>
      </c>
      <c r="CX67" s="869">
        <v>9</v>
      </c>
      <c r="CY67" s="373">
        <v>8</v>
      </c>
      <c r="CZ67" s="373">
        <v>8</v>
      </c>
      <c r="DA67" s="870">
        <v>5</v>
      </c>
      <c r="DB67" s="373">
        <v>3</v>
      </c>
      <c r="DC67" s="373">
        <v>11</v>
      </c>
      <c r="DD67" s="373">
        <v>2</v>
      </c>
      <c r="DE67" s="618">
        <v>4</v>
      </c>
      <c r="DF67" s="374">
        <v>1</v>
      </c>
      <c r="DG67" s="869"/>
      <c r="DH67" s="373"/>
      <c r="DI67" s="373"/>
      <c r="DJ67" s="870"/>
      <c r="DK67" s="373"/>
      <c r="DL67" s="373"/>
      <c r="DM67" s="373"/>
      <c r="DN67" s="618"/>
      <c r="DO67" s="374">
        <v>0</v>
      </c>
      <c r="DP67" s="869"/>
      <c r="DQ67" s="373"/>
      <c r="DR67" s="373"/>
      <c r="DS67" s="870"/>
      <c r="DT67" s="373"/>
      <c r="DU67" s="373"/>
      <c r="DV67" s="373"/>
      <c r="DW67" s="618"/>
      <c r="DX67" s="374">
        <v>0</v>
      </c>
      <c r="DY67" s="869"/>
      <c r="DZ67" s="373">
        <v>1</v>
      </c>
      <c r="EA67" s="373"/>
      <c r="EB67" s="870"/>
      <c r="EC67" s="373"/>
      <c r="ED67" s="373">
        <v>1</v>
      </c>
      <c r="EE67" s="373"/>
      <c r="EF67" s="618"/>
      <c r="EG67" s="374">
        <v>0</v>
      </c>
      <c r="EH67" s="869"/>
      <c r="EI67" s="373"/>
      <c r="EJ67" s="373"/>
      <c r="EK67" s="870"/>
      <c r="EL67" s="373"/>
      <c r="EM67" s="373"/>
      <c r="EN67" s="373"/>
      <c r="EO67" s="618"/>
      <c r="EP67" s="374">
        <v>0</v>
      </c>
      <c r="EQ67" s="869"/>
      <c r="ER67" s="373"/>
      <c r="ES67" s="373"/>
      <c r="ET67" s="870"/>
      <c r="EU67" s="373"/>
      <c r="EV67" s="373"/>
      <c r="EW67" s="373"/>
      <c r="EX67" s="618">
        <v>2</v>
      </c>
      <c r="EY67" s="374">
        <v>0</v>
      </c>
      <c r="EZ67" s="869"/>
      <c r="FA67" s="373"/>
      <c r="FB67" s="373"/>
      <c r="FC67" s="870"/>
      <c r="FD67" s="373"/>
      <c r="FE67" s="373"/>
      <c r="FF67" s="373"/>
      <c r="FG67" s="618"/>
      <c r="FH67" s="374">
        <v>0</v>
      </c>
      <c r="FI67" s="869">
        <v>3</v>
      </c>
      <c r="FJ67" s="373"/>
      <c r="FK67" s="373">
        <v>1</v>
      </c>
      <c r="FL67" s="870"/>
      <c r="FM67" s="373"/>
      <c r="FN67" s="373">
        <v>1</v>
      </c>
      <c r="FO67" s="373">
        <v>1</v>
      </c>
      <c r="FP67" s="618"/>
      <c r="FQ67" s="374">
        <v>1</v>
      </c>
      <c r="FR67" s="869"/>
      <c r="FS67" s="373"/>
      <c r="FT67" s="373"/>
      <c r="FU67" s="870"/>
      <c r="FV67" s="373"/>
      <c r="FW67" s="373"/>
      <c r="FX67" s="373"/>
      <c r="FY67" s="618"/>
      <c r="FZ67" s="374">
        <v>0</v>
      </c>
      <c r="GA67" s="869"/>
      <c r="GB67" s="373"/>
      <c r="GC67" s="373"/>
      <c r="GD67" s="870"/>
      <c r="GE67" s="373"/>
      <c r="GF67" s="373"/>
      <c r="GG67" s="373"/>
      <c r="GH67" s="618"/>
      <c r="GI67" s="374">
        <v>0</v>
      </c>
      <c r="GJ67" s="869">
        <v>12</v>
      </c>
      <c r="GK67" s="373">
        <v>15</v>
      </c>
      <c r="GL67" s="373">
        <v>10</v>
      </c>
      <c r="GM67" s="870">
        <v>11</v>
      </c>
      <c r="GN67" s="373">
        <v>5</v>
      </c>
      <c r="GO67" s="373">
        <v>20</v>
      </c>
      <c r="GP67" s="373">
        <v>9</v>
      </c>
      <c r="GQ67" s="618">
        <v>13</v>
      </c>
      <c r="GR67" s="374">
        <v>2</v>
      </c>
      <c r="GS67" s="869">
        <v>6</v>
      </c>
      <c r="GT67" s="373">
        <v>5</v>
      </c>
      <c r="GU67" s="373">
        <v>1</v>
      </c>
      <c r="GV67" s="870">
        <v>1</v>
      </c>
      <c r="GW67" s="373">
        <v>2</v>
      </c>
      <c r="GX67" s="373">
        <v>2</v>
      </c>
      <c r="GY67" s="373">
        <v>1</v>
      </c>
      <c r="GZ67" s="618">
        <v>1</v>
      </c>
      <c r="HA67" s="374">
        <v>0</v>
      </c>
      <c r="HB67" s="869"/>
      <c r="HC67" s="373"/>
      <c r="HD67" s="373"/>
      <c r="HE67" s="870"/>
      <c r="HF67" s="373"/>
      <c r="HG67" s="373"/>
      <c r="HH67" s="373"/>
      <c r="HI67" s="618"/>
      <c r="HJ67" s="374">
        <v>0</v>
      </c>
      <c r="HK67" s="869"/>
      <c r="HL67" s="373"/>
      <c r="HM67" s="373"/>
      <c r="HN67" s="870"/>
      <c r="HO67" s="373"/>
      <c r="HP67" s="373"/>
      <c r="HQ67" s="373"/>
      <c r="HR67" s="618"/>
      <c r="HS67" s="374">
        <v>0</v>
      </c>
      <c r="HT67" s="869">
        <v>8</v>
      </c>
      <c r="HU67" s="373">
        <v>7</v>
      </c>
      <c r="HV67" s="373">
        <v>1</v>
      </c>
      <c r="HW67" s="870">
        <v>3</v>
      </c>
      <c r="HX67" s="373">
        <v>5</v>
      </c>
      <c r="HY67" s="373">
        <v>4</v>
      </c>
      <c r="HZ67" s="373">
        <v>5</v>
      </c>
      <c r="IA67" s="618">
        <v>2</v>
      </c>
      <c r="IB67" s="374">
        <v>3</v>
      </c>
      <c r="IC67" s="869">
        <v>31</v>
      </c>
      <c r="ID67" s="373">
        <v>25</v>
      </c>
      <c r="IE67" s="373">
        <v>13</v>
      </c>
      <c r="IF67" s="870">
        <v>20</v>
      </c>
      <c r="IG67" s="373">
        <v>21</v>
      </c>
      <c r="IH67" s="373">
        <v>24</v>
      </c>
      <c r="II67" s="373">
        <v>15</v>
      </c>
      <c r="IJ67" s="618">
        <v>19</v>
      </c>
      <c r="IK67" s="374">
        <v>8</v>
      </c>
      <c r="IL67" s="377">
        <v>1</v>
      </c>
      <c r="IM67" s="373">
        <v>1</v>
      </c>
      <c r="IN67" s="373">
        <v>2</v>
      </c>
      <c r="IO67" s="871"/>
      <c r="IP67" s="871"/>
      <c r="IQ67" s="373">
        <v>1</v>
      </c>
      <c r="IR67" s="373"/>
      <c r="IS67" s="618"/>
      <c r="IT67" s="374">
        <v>1</v>
      </c>
    </row>
    <row r="68" spans="1:254" s="245" customFormat="1" ht="12.75" customHeight="1" x14ac:dyDescent="0.2">
      <c r="A68" s="1052"/>
      <c r="B68" s="868" t="s">
        <v>920</v>
      </c>
      <c r="C68" s="869"/>
      <c r="D68" s="373"/>
      <c r="E68" s="373"/>
      <c r="F68" s="870"/>
      <c r="G68" s="373"/>
      <c r="H68" s="373"/>
      <c r="I68" s="373"/>
      <c r="J68" s="618"/>
      <c r="K68" s="374">
        <v>0</v>
      </c>
      <c r="L68" s="869"/>
      <c r="M68" s="373"/>
      <c r="N68" s="373"/>
      <c r="O68" s="870"/>
      <c r="P68" s="373"/>
      <c r="Q68" s="373"/>
      <c r="R68" s="373"/>
      <c r="S68" s="618"/>
      <c r="T68" s="374">
        <v>0</v>
      </c>
      <c r="U68" s="869"/>
      <c r="V68" s="373"/>
      <c r="W68" s="373"/>
      <c r="X68" s="870"/>
      <c r="Y68" s="373"/>
      <c r="Z68" s="373"/>
      <c r="AA68" s="373"/>
      <c r="AB68" s="618"/>
      <c r="AC68" s="374">
        <v>0</v>
      </c>
      <c r="AD68" s="869"/>
      <c r="AE68" s="373"/>
      <c r="AF68" s="373"/>
      <c r="AG68" s="870"/>
      <c r="AH68" s="373"/>
      <c r="AI68" s="373"/>
      <c r="AJ68" s="373"/>
      <c r="AK68" s="618"/>
      <c r="AL68" s="374">
        <v>0</v>
      </c>
      <c r="AM68" s="869"/>
      <c r="AN68" s="373"/>
      <c r="AO68" s="373"/>
      <c r="AP68" s="870"/>
      <c r="AQ68" s="373"/>
      <c r="AR68" s="373"/>
      <c r="AS68" s="373"/>
      <c r="AT68" s="618"/>
      <c r="AU68" s="374">
        <v>0</v>
      </c>
      <c r="AV68" s="869"/>
      <c r="AW68" s="373"/>
      <c r="AX68" s="373"/>
      <c r="AY68" s="870"/>
      <c r="AZ68" s="373"/>
      <c r="BA68" s="373"/>
      <c r="BB68" s="373"/>
      <c r="BC68" s="618"/>
      <c r="BD68" s="374">
        <v>0</v>
      </c>
      <c r="BE68" s="869"/>
      <c r="BF68" s="373"/>
      <c r="BG68" s="373"/>
      <c r="BH68" s="870"/>
      <c r="BI68" s="373"/>
      <c r="BJ68" s="373"/>
      <c r="BK68" s="373"/>
      <c r="BL68" s="618"/>
      <c r="BM68" s="374">
        <v>0</v>
      </c>
      <c r="BN68" s="869"/>
      <c r="BO68" s="373"/>
      <c r="BP68" s="373"/>
      <c r="BQ68" s="870"/>
      <c r="BR68" s="373"/>
      <c r="BS68" s="373"/>
      <c r="BT68" s="373"/>
      <c r="BU68" s="618"/>
      <c r="BV68" s="374">
        <v>0</v>
      </c>
      <c r="BW68" s="869"/>
      <c r="BX68" s="373"/>
      <c r="BY68" s="373"/>
      <c r="BZ68" s="870"/>
      <c r="CA68" s="373"/>
      <c r="CB68" s="373"/>
      <c r="CC68" s="373"/>
      <c r="CD68" s="618"/>
      <c r="CE68" s="374">
        <v>0</v>
      </c>
      <c r="CF68" s="869"/>
      <c r="CG68" s="373"/>
      <c r="CH68" s="373"/>
      <c r="CI68" s="870"/>
      <c r="CJ68" s="373"/>
      <c r="CK68" s="373"/>
      <c r="CL68" s="373"/>
      <c r="CM68" s="618"/>
      <c r="CN68" s="374">
        <v>0</v>
      </c>
      <c r="CO68" s="869"/>
      <c r="CP68" s="373"/>
      <c r="CQ68" s="373"/>
      <c r="CR68" s="870"/>
      <c r="CS68" s="373"/>
      <c r="CT68" s="373"/>
      <c r="CU68" s="373"/>
      <c r="CV68" s="618"/>
      <c r="CW68" s="374">
        <v>0</v>
      </c>
      <c r="CX68" s="869">
        <v>2</v>
      </c>
      <c r="CY68" s="373">
        <v>1</v>
      </c>
      <c r="CZ68" s="373"/>
      <c r="DA68" s="870">
        <v>1</v>
      </c>
      <c r="DB68" s="373"/>
      <c r="DC68" s="373"/>
      <c r="DD68" s="373"/>
      <c r="DE68" s="618"/>
      <c r="DF68" s="374">
        <v>0</v>
      </c>
      <c r="DG68" s="869"/>
      <c r="DH68" s="373"/>
      <c r="DI68" s="373"/>
      <c r="DJ68" s="870"/>
      <c r="DK68" s="373"/>
      <c r="DL68" s="373"/>
      <c r="DM68" s="373"/>
      <c r="DN68" s="618"/>
      <c r="DO68" s="374">
        <v>0</v>
      </c>
      <c r="DP68" s="869"/>
      <c r="DQ68" s="373"/>
      <c r="DR68" s="373"/>
      <c r="DS68" s="870"/>
      <c r="DT68" s="373"/>
      <c r="DU68" s="373"/>
      <c r="DV68" s="373"/>
      <c r="DW68" s="618"/>
      <c r="DX68" s="374">
        <v>0</v>
      </c>
      <c r="DY68" s="869">
        <v>1</v>
      </c>
      <c r="DZ68" s="373">
        <v>1</v>
      </c>
      <c r="EA68" s="373"/>
      <c r="EB68" s="870">
        <v>1</v>
      </c>
      <c r="EC68" s="373"/>
      <c r="ED68" s="373"/>
      <c r="EE68" s="373"/>
      <c r="EF68" s="618"/>
      <c r="EG68" s="374">
        <v>0</v>
      </c>
      <c r="EH68" s="869"/>
      <c r="EI68" s="373"/>
      <c r="EJ68" s="373"/>
      <c r="EK68" s="870"/>
      <c r="EL68" s="373"/>
      <c r="EM68" s="373"/>
      <c r="EN68" s="373"/>
      <c r="EO68" s="618"/>
      <c r="EP68" s="374">
        <v>0</v>
      </c>
      <c r="EQ68" s="869"/>
      <c r="ER68" s="373"/>
      <c r="ES68" s="373"/>
      <c r="ET68" s="870"/>
      <c r="EU68" s="373"/>
      <c r="EV68" s="373"/>
      <c r="EW68" s="373"/>
      <c r="EX68" s="618"/>
      <c r="EY68" s="374">
        <v>0</v>
      </c>
      <c r="EZ68" s="869"/>
      <c r="FA68" s="373"/>
      <c r="FB68" s="373"/>
      <c r="FC68" s="870"/>
      <c r="FD68" s="373"/>
      <c r="FE68" s="373"/>
      <c r="FF68" s="373"/>
      <c r="FG68" s="618"/>
      <c r="FH68" s="374">
        <v>0</v>
      </c>
      <c r="FI68" s="869"/>
      <c r="FJ68" s="373"/>
      <c r="FK68" s="373"/>
      <c r="FL68" s="870"/>
      <c r="FM68" s="373"/>
      <c r="FN68" s="373"/>
      <c r="FO68" s="373"/>
      <c r="FP68" s="618"/>
      <c r="FQ68" s="374">
        <v>0</v>
      </c>
      <c r="FR68" s="869"/>
      <c r="FS68" s="373"/>
      <c r="FT68" s="373"/>
      <c r="FU68" s="870"/>
      <c r="FV68" s="373"/>
      <c r="FW68" s="373"/>
      <c r="FX68" s="373"/>
      <c r="FY68" s="618"/>
      <c r="FZ68" s="374">
        <v>0</v>
      </c>
      <c r="GA68" s="869"/>
      <c r="GB68" s="373"/>
      <c r="GC68" s="373"/>
      <c r="GD68" s="870"/>
      <c r="GE68" s="373"/>
      <c r="GF68" s="373"/>
      <c r="GG68" s="373"/>
      <c r="GH68" s="618"/>
      <c r="GI68" s="374">
        <v>0</v>
      </c>
      <c r="GJ68" s="869">
        <v>2</v>
      </c>
      <c r="GK68" s="373">
        <v>1</v>
      </c>
      <c r="GL68" s="373"/>
      <c r="GM68" s="870">
        <v>1</v>
      </c>
      <c r="GN68" s="373"/>
      <c r="GO68" s="373"/>
      <c r="GP68" s="373"/>
      <c r="GQ68" s="618"/>
      <c r="GR68" s="374">
        <v>0</v>
      </c>
      <c r="GS68" s="869"/>
      <c r="GT68" s="373"/>
      <c r="GU68" s="373"/>
      <c r="GV68" s="870"/>
      <c r="GW68" s="373"/>
      <c r="GX68" s="373"/>
      <c r="GY68" s="373"/>
      <c r="GZ68" s="618"/>
      <c r="HA68" s="374">
        <v>0</v>
      </c>
      <c r="HB68" s="869"/>
      <c r="HC68" s="373"/>
      <c r="HD68" s="373"/>
      <c r="HE68" s="870"/>
      <c r="HF68" s="373"/>
      <c r="HG68" s="373"/>
      <c r="HH68" s="373"/>
      <c r="HI68" s="618"/>
      <c r="HJ68" s="374">
        <v>0</v>
      </c>
      <c r="HK68" s="869"/>
      <c r="HL68" s="373"/>
      <c r="HM68" s="373"/>
      <c r="HN68" s="870"/>
      <c r="HO68" s="373"/>
      <c r="HP68" s="373"/>
      <c r="HQ68" s="373"/>
      <c r="HR68" s="618"/>
      <c r="HS68" s="374">
        <v>0</v>
      </c>
      <c r="HT68" s="869"/>
      <c r="HU68" s="373">
        <v>1</v>
      </c>
      <c r="HV68" s="373"/>
      <c r="HW68" s="870"/>
      <c r="HX68" s="373"/>
      <c r="HY68" s="373"/>
      <c r="HZ68" s="373"/>
      <c r="IA68" s="618"/>
      <c r="IB68" s="374">
        <v>0</v>
      </c>
      <c r="IC68" s="869">
        <v>2</v>
      </c>
      <c r="ID68" s="373">
        <v>2</v>
      </c>
      <c r="IE68" s="373"/>
      <c r="IF68" s="870">
        <v>1</v>
      </c>
      <c r="IG68" s="373"/>
      <c r="IH68" s="373"/>
      <c r="II68" s="373"/>
      <c r="IJ68" s="618"/>
      <c r="IK68" s="374">
        <v>0</v>
      </c>
      <c r="IL68" s="377">
        <v>2</v>
      </c>
      <c r="IM68" s="373">
        <v>1</v>
      </c>
      <c r="IN68" s="373"/>
      <c r="IO68" s="871">
        <v>1</v>
      </c>
      <c r="IP68" s="871"/>
      <c r="IQ68" s="373"/>
      <c r="IR68" s="373"/>
      <c r="IS68" s="618"/>
      <c r="IT68" s="374">
        <v>0</v>
      </c>
    </row>
    <row r="69" spans="1:254" s="245" customFormat="1" ht="12.75" customHeight="1" x14ac:dyDescent="0.2">
      <c r="A69" s="1052"/>
      <c r="B69" s="868" t="s">
        <v>921</v>
      </c>
      <c r="C69" s="869"/>
      <c r="D69" s="373"/>
      <c r="E69" s="373"/>
      <c r="F69" s="870"/>
      <c r="G69" s="373"/>
      <c r="H69" s="373"/>
      <c r="I69" s="373"/>
      <c r="J69" s="618"/>
      <c r="K69" s="374">
        <v>0</v>
      </c>
      <c r="L69" s="869"/>
      <c r="M69" s="373"/>
      <c r="N69" s="373"/>
      <c r="O69" s="870"/>
      <c r="P69" s="373"/>
      <c r="Q69" s="373"/>
      <c r="R69" s="373"/>
      <c r="S69" s="618"/>
      <c r="T69" s="374">
        <v>0</v>
      </c>
      <c r="U69" s="869"/>
      <c r="V69" s="373"/>
      <c r="W69" s="373"/>
      <c r="X69" s="870"/>
      <c r="Y69" s="373"/>
      <c r="Z69" s="373"/>
      <c r="AA69" s="373"/>
      <c r="AB69" s="618"/>
      <c r="AC69" s="374">
        <v>0</v>
      </c>
      <c r="AD69" s="869"/>
      <c r="AE69" s="373"/>
      <c r="AF69" s="373"/>
      <c r="AG69" s="870"/>
      <c r="AH69" s="373"/>
      <c r="AI69" s="373"/>
      <c r="AJ69" s="373"/>
      <c r="AK69" s="618"/>
      <c r="AL69" s="374">
        <v>0</v>
      </c>
      <c r="AM69" s="869"/>
      <c r="AN69" s="373"/>
      <c r="AO69" s="373"/>
      <c r="AP69" s="870"/>
      <c r="AQ69" s="373"/>
      <c r="AR69" s="373"/>
      <c r="AS69" s="373"/>
      <c r="AT69" s="618"/>
      <c r="AU69" s="374">
        <v>0</v>
      </c>
      <c r="AV69" s="869"/>
      <c r="AW69" s="373"/>
      <c r="AX69" s="373"/>
      <c r="AY69" s="870"/>
      <c r="AZ69" s="373"/>
      <c r="BA69" s="373"/>
      <c r="BB69" s="373"/>
      <c r="BC69" s="618"/>
      <c r="BD69" s="374">
        <v>0</v>
      </c>
      <c r="BE69" s="869"/>
      <c r="BF69" s="373"/>
      <c r="BG69" s="373"/>
      <c r="BH69" s="870"/>
      <c r="BI69" s="373"/>
      <c r="BJ69" s="373"/>
      <c r="BK69" s="373"/>
      <c r="BL69" s="618"/>
      <c r="BM69" s="374">
        <v>0</v>
      </c>
      <c r="BN69" s="869"/>
      <c r="BO69" s="373"/>
      <c r="BP69" s="373"/>
      <c r="BQ69" s="870"/>
      <c r="BR69" s="373"/>
      <c r="BS69" s="373"/>
      <c r="BT69" s="373"/>
      <c r="BU69" s="618"/>
      <c r="BV69" s="374">
        <v>0</v>
      </c>
      <c r="BW69" s="869"/>
      <c r="BX69" s="373"/>
      <c r="BY69" s="373"/>
      <c r="BZ69" s="870"/>
      <c r="CA69" s="373"/>
      <c r="CB69" s="373"/>
      <c r="CC69" s="373"/>
      <c r="CD69" s="618"/>
      <c r="CE69" s="374">
        <v>0</v>
      </c>
      <c r="CF69" s="869"/>
      <c r="CG69" s="373"/>
      <c r="CH69" s="373"/>
      <c r="CI69" s="870"/>
      <c r="CJ69" s="373"/>
      <c r="CK69" s="373"/>
      <c r="CL69" s="373"/>
      <c r="CM69" s="618"/>
      <c r="CN69" s="374">
        <v>0</v>
      </c>
      <c r="CO69" s="869"/>
      <c r="CP69" s="373"/>
      <c r="CQ69" s="373"/>
      <c r="CR69" s="870"/>
      <c r="CS69" s="373"/>
      <c r="CT69" s="373"/>
      <c r="CU69" s="373"/>
      <c r="CV69" s="618"/>
      <c r="CW69" s="374">
        <v>0</v>
      </c>
      <c r="CX69" s="869"/>
      <c r="CY69" s="373"/>
      <c r="CZ69" s="373"/>
      <c r="DA69" s="870">
        <v>2</v>
      </c>
      <c r="DB69" s="373"/>
      <c r="DC69" s="373"/>
      <c r="DD69" s="373">
        <v>10</v>
      </c>
      <c r="DE69" s="618">
        <v>1</v>
      </c>
      <c r="DF69" s="374">
        <v>0</v>
      </c>
      <c r="DG69" s="869"/>
      <c r="DH69" s="373"/>
      <c r="DI69" s="373"/>
      <c r="DJ69" s="870"/>
      <c r="DK69" s="373"/>
      <c r="DL69" s="373"/>
      <c r="DM69" s="373"/>
      <c r="DN69" s="618"/>
      <c r="DO69" s="374">
        <v>0</v>
      </c>
      <c r="DP69" s="869"/>
      <c r="DQ69" s="373"/>
      <c r="DR69" s="373"/>
      <c r="DS69" s="870"/>
      <c r="DT69" s="373"/>
      <c r="DU69" s="373"/>
      <c r="DV69" s="373"/>
      <c r="DW69" s="618"/>
      <c r="DX69" s="374">
        <v>0</v>
      </c>
      <c r="DY69" s="869"/>
      <c r="DZ69" s="373"/>
      <c r="EA69" s="373"/>
      <c r="EB69" s="870"/>
      <c r="EC69" s="373"/>
      <c r="ED69" s="373"/>
      <c r="EE69" s="373"/>
      <c r="EF69" s="618"/>
      <c r="EG69" s="374">
        <v>0</v>
      </c>
      <c r="EH69" s="869"/>
      <c r="EI69" s="373"/>
      <c r="EJ69" s="373"/>
      <c r="EK69" s="870"/>
      <c r="EL69" s="373"/>
      <c r="EM69" s="373"/>
      <c r="EN69" s="373"/>
      <c r="EO69" s="618"/>
      <c r="EP69" s="374">
        <v>0</v>
      </c>
      <c r="EQ69" s="869"/>
      <c r="ER69" s="373"/>
      <c r="ES69" s="373"/>
      <c r="ET69" s="870"/>
      <c r="EU69" s="373"/>
      <c r="EV69" s="373"/>
      <c r="EW69" s="373"/>
      <c r="EX69" s="618"/>
      <c r="EY69" s="374">
        <v>0</v>
      </c>
      <c r="EZ69" s="869"/>
      <c r="FA69" s="373"/>
      <c r="FB69" s="373"/>
      <c r="FC69" s="870"/>
      <c r="FD69" s="373"/>
      <c r="FE69" s="373"/>
      <c r="FF69" s="373"/>
      <c r="FG69" s="618"/>
      <c r="FH69" s="374">
        <v>0</v>
      </c>
      <c r="FI69" s="869"/>
      <c r="FJ69" s="373"/>
      <c r="FK69" s="373"/>
      <c r="FL69" s="870"/>
      <c r="FM69" s="373"/>
      <c r="FN69" s="373"/>
      <c r="FO69" s="373"/>
      <c r="FP69" s="618"/>
      <c r="FQ69" s="374">
        <v>0</v>
      </c>
      <c r="FR69" s="869"/>
      <c r="FS69" s="373"/>
      <c r="FT69" s="373"/>
      <c r="FU69" s="870"/>
      <c r="FV69" s="373"/>
      <c r="FW69" s="373"/>
      <c r="FX69" s="373"/>
      <c r="FY69" s="618"/>
      <c r="FZ69" s="374">
        <v>0</v>
      </c>
      <c r="GA69" s="869"/>
      <c r="GB69" s="373"/>
      <c r="GC69" s="373"/>
      <c r="GD69" s="870"/>
      <c r="GE69" s="373"/>
      <c r="GF69" s="373"/>
      <c r="GG69" s="373"/>
      <c r="GH69" s="618"/>
      <c r="GI69" s="374">
        <v>0</v>
      </c>
      <c r="GJ69" s="869"/>
      <c r="GK69" s="373"/>
      <c r="GL69" s="373"/>
      <c r="GM69" s="870">
        <v>2</v>
      </c>
      <c r="GN69" s="373"/>
      <c r="GO69" s="373"/>
      <c r="GP69" s="373">
        <v>10</v>
      </c>
      <c r="GQ69" s="618">
        <v>1</v>
      </c>
      <c r="GR69" s="374">
        <v>0</v>
      </c>
      <c r="GS69" s="869"/>
      <c r="GT69" s="373"/>
      <c r="GU69" s="373"/>
      <c r="GV69" s="870"/>
      <c r="GW69" s="373"/>
      <c r="GX69" s="373"/>
      <c r="GY69" s="373"/>
      <c r="GZ69" s="618"/>
      <c r="HA69" s="374">
        <v>0</v>
      </c>
      <c r="HB69" s="869"/>
      <c r="HC69" s="373"/>
      <c r="HD69" s="373"/>
      <c r="HE69" s="870"/>
      <c r="HF69" s="373"/>
      <c r="HG69" s="373"/>
      <c r="HH69" s="373"/>
      <c r="HI69" s="618"/>
      <c r="HJ69" s="374">
        <v>0</v>
      </c>
      <c r="HK69" s="869"/>
      <c r="HL69" s="373"/>
      <c r="HM69" s="373"/>
      <c r="HN69" s="870"/>
      <c r="HO69" s="373"/>
      <c r="HP69" s="373"/>
      <c r="HQ69" s="373"/>
      <c r="HR69" s="618"/>
      <c r="HS69" s="374">
        <v>0</v>
      </c>
      <c r="HT69" s="869">
        <v>1</v>
      </c>
      <c r="HU69" s="373">
        <v>1</v>
      </c>
      <c r="HV69" s="373"/>
      <c r="HW69" s="870"/>
      <c r="HX69" s="373">
        <v>1</v>
      </c>
      <c r="HY69" s="373"/>
      <c r="HZ69" s="373"/>
      <c r="IA69" s="618"/>
      <c r="IB69" s="374">
        <v>0</v>
      </c>
      <c r="IC69" s="869">
        <v>1</v>
      </c>
      <c r="ID69" s="373">
        <v>1</v>
      </c>
      <c r="IE69" s="373">
        <v>1</v>
      </c>
      <c r="IF69" s="870">
        <v>2</v>
      </c>
      <c r="IG69" s="373">
        <v>1</v>
      </c>
      <c r="IH69" s="373"/>
      <c r="II69" s="373">
        <v>10</v>
      </c>
      <c r="IJ69" s="618">
        <v>1</v>
      </c>
      <c r="IK69" s="374">
        <v>0</v>
      </c>
      <c r="IL69" s="377"/>
      <c r="IM69" s="373"/>
      <c r="IN69" s="373"/>
      <c r="IO69" s="871"/>
      <c r="IP69" s="871"/>
      <c r="IQ69" s="373"/>
      <c r="IR69" s="373"/>
      <c r="IS69" s="618"/>
      <c r="IT69" s="374">
        <v>0</v>
      </c>
    </row>
    <row r="70" spans="1:254" s="245" customFormat="1" ht="12.75" customHeight="1" x14ac:dyDescent="0.2">
      <c r="A70" s="1052"/>
      <c r="B70" s="868" t="s">
        <v>922</v>
      </c>
      <c r="C70" s="869"/>
      <c r="D70" s="373"/>
      <c r="E70" s="373"/>
      <c r="F70" s="870"/>
      <c r="G70" s="373"/>
      <c r="H70" s="373"/>
      <c r="I70" s="373"/>
      <c r="J70" s="618"/>
      <c r="K70" s="374">
        <v>0</v>
      </c>
      <c r="L70" s="869"/>
      <c r="M70" s="373"/>
      <c r="N70" s="373"/>
      <c r="O70" s="870"/>
      <c r="P70" s="373"/>
      <c r="Q70" s="373"/>
      <c r="R70" s="373"/>
      <c r="S70" s="618"/>
      <c r="T70" s="374">
        <v>0</v>
      </c>
      <c r="U70" s="869"/>
      <c r="V70" s="373"/>
      <c r="W70" s="373"/>
      <c r="X70" s="870"/>
      <c r="Y70" s="373"/>
      <c r="Z70" s="373"/>
      <c r="AA70" s="373"/>
      <c r="AB70" s="618"/>
      <c r="AC70" s="374">
        <v>0</v>
      </c>
      <c r="AD70" s="869"/>
      <c r="AE70" s="373"/>
      <c r="AF70" s="373"/>
      <c r="AG70" s="870"/>
      <c r="AH70" s="373">
        <v>1</v>
      </c>
      <c r="AI70" s="373"/>
      <c r="AJ70" s="373"/>
      <c r="AK70" s="618"/>
      <c r="AL70" s="374">
        <v>0</v>
      </c>
      <c r="AM70" s="869"/>
      <c r="AN70" s="373"/>
      <c r="AO70" s="373"/>
      <c r="AP70" s="870"/>
      <c r="AQ70" s="373"/>
      <c r="AR70" s="373"/>
      <c r="AS70" s="373"/>
      <c r="AT70" s="618"/>
      <c r="AU70" s="374">
        <v>0</v>
      </c>
      <c r="AV70" s="869"/>
      <c r="AW70" s="373"/>
      <c r="AX70" s="373"/>
      <c r="AY70" s="870"/>
      <c r="AZ70" s="373"/>
      <c r="BA70" s="373"/>
      <c r="BB70" s="373"/>
      <c r="BC70" s="618"/>
      <c r="BD70" s="374">
        <v>0</v>
      </c>
      <c r="BE70" s="869"/>
      <c r="BF70" s="373"/>
      <c r="BG70" s="373"/>
      <c r="BH70" s="870">
        <v>1</v>
      </c>
      <c r="BI70" s="373"/>
      <c r="BJ70" s="373"/>
      <c r="BK70" s="373"/>
      <c r="BL70" s="618"/>
      <c r="BM70" s="374">
        <v>0</v>
      </c>
      <c r="BN70" s="869"/>
      <c r="BO70" s="373"/>
      <c r="BP70" s="373"/>
      <c r="BQ70" s="870"/>
      <c r="BR70" s="373"/>
      <c r="BS70" s="373"/>
      <c r="BT70" s="373"/>
      <c r="BU70" s="618"/>
      <c r="BV70" s="374">
        <v>0</v>
      </c>
      <c r="BW70" s="869"/>
      <c r="BX70" s="373"/>
      <c r="BY70" s="373"/>
      <c r="BZ70" s="870"/>
      <c r="CA70" s="373"/>
      <c r="CB70" s="373"/>
      <c r="CC70" s="373">
        <v>1</v>
      </c>
      <c r="CD70" s="618"/>
      <c r="CE70" s="374">
        <v>1</v>
      </c>
      <c r="CF70" s="869"/>
      <c r="CG70" s="373"/>
      <c r="CH70" s="373"/>
      <c r="CI70" s="870"/>
      <c r="CJ70" s="373"/>
      <c r="CK70" s="373"/>
      <c r="CL70" s="373"/>
      <c r="CM70" s="618"/>
      <c r="CN70" s="374">
        <v>0</v>
      </c>
      <c r="CO70" s="869"/>
      <c r="CP70" s="373"/>
      <c r="CQ70" s="373"/>
      <c r="CR70" s="870"/>
      <c r="CS70" s="373"/>
      <c r="CT70" s="373"/>
      <c r="CU70" s="373"/>
      <c r="CV70" s="618"/>
      <c r="CW70" s="374">
        <v>0</v>
      </c>
      <c r="CX70" s="869">
        <v>1</v>
      </c>
      <c r="CY70" s="373"/>
      <c r="CZ70" s="373">
        <v>1</v>
      </c>
      <c r="DA70" s="870"/>
      <c r="DB70" s="373"/>
      <c r="DC70" s="373">
        <v>1</v>
      </c>
      <c r="DD70" s="373"/>
      <c r="DE70" s="618">
        <v>2</v>
      </c>
      <c r="DF70" s="374">
        <v>1</v>
      </c>
      <c r="DG70" s="869"/>
      <c r="DH70" s="373"/>
      <c r="DI70" s="373"/>
      <c r="DJ70" s="870"/>
      <c r="DK70" s="373"/>
      <c r="DL70" s="373"/>
      <c r="DM70" s="373"/>
      <c r="DN70" s="618">
        <v>1</v>
      </c>
      <c r="DO70" s="374">
        <v>0</v>
      </c>
      <c r="DP70" s="869"/>
      <c r="DQ70" s="373"/>
      <c r="DR70" s="373"/>
      <c r="DS70" s="870"/>
      <c r="DT70" s="373"/>
      <c r="DU70" s="373"/>
      <c r="DV70" s="373"/>
      <c r="DW70" s="618"/>
      <c r="DX70" s="374">
        <v>0</v>
      </c>
      <c r="DY70" s="869"/>
      <c r="DZ70" s="373"/>
      <c r="EA70" s="373"/>
      <c r="EB70" s="870"/>
      <c r="EC70" s="373"/>
      <c r="ED70" s="373"/>
      <c r="EE70" s="373"/>
      <c r="EF70" s="618">
        <v>1</v>
      </c>
      <c r="EG70" s="374">
        <v>0</v>
      </c>
      <c r="EH70" s="869"/>
      <c r="EI70" s="373"/>
      <c r="EJ70" s="373"/>
      <c r="EK70" s="870"/>
      <c r="EL70" s="373"/>
      <c r="EM70" s="373"/>
      <c r="EN70" s="373"/>
      <c r="EO70" s="618"/>
      <c r="EP70" s="374">
        <v>0</v>
      </c>
      <c r="EQ70" s="869"/>
      <c r="ER70" s="373"/>
      <c r="ES70" s="373"/>
      <c r="ET70" s="870"/>
      <c r="EU70" s="373"/>
      <c r="EV70" s="373"/>
      <c r="EW70" s="373"/>
      <c r="EX70" s="618"/>
      <c r="EY70" s="374">
        <v>0</v>
      </c>
      <c r="EZ70" s="869"/>
      <c r="FA70" s="373"/>
      <c r="FB70" s="373"/>
      <c r="FC70" s="870"/>
      <c r="FD70" s="373"/>
      <c r="FE70" s="373"/>
      <c r="FF70" s="373"/>
      <c r="FG70" s="618"/>
      <c r="FH70" s="374">
        <v>0</v>
      </c>
      <c r="FI70" s="869"/>
      <c r="FJ70" s="373">
        <v>1</v>
      </c>
      <c r="FK70" s="373"/>
      <c r="FL70" s="870"/>
      <c r="FM70" s="373"/>
      <c r="FN70" s="373"/>
      <c r="FO70" s="373"/>
      <c r="FP70" s="618"/>
      <c r="FQ70" s="374">
        <v>0</v>
      </c>
      <c r="FR70" s="869"/>
      <c r="FS70" s="373"/>
      <c r="FT70" s="373"/>
      <c r="FU70" s="870"/>
      <c r="FV70" s="373"/>
      <c r="FW70" s="373"/>
      <c r="FX70" s="373"/>
      <c r="FY70" s="618"/>
      <c r="FZ70" s="374">
        <v>0</v>
      </c>
      <c r="GA70" s="869"/>
      <c r="GB70" s="373"/>
      <c r="GC70" s="373"/>
      <c r="GD70" s="870"/>
      <c r="GE70" s="373"/>
      <c r="GF70" s="373"/>
      <c r="GG70" s="373"/>
      <c r="GH70" s="618"/>
      <c r="GI70" s="374">
        <v>0</v>
      </c>
      <c r="GJ70" s="869">
        <v>1</v>
      </c>
      <c r="GK70" s="373">
        <v>1</v>
      </c>
      <c r="GL70" s="373">
        <v>1</v>
      </c>
      <c r="GM70" s="870">
        <v>1</v>
      </c>
      <c r="GN70" s="373">
        <v>1</v>
      </c>
      <c r="GO70" s="373">
        <v>1</v>
      </c>
      <c r="GP70" s="373">
        <v>1</v>
      </c>
      <c r="GQ70" s="618">
        <v>2</v>
      </c>
      <c r="GR70" s="374">
        <v>2</v>
      </c>
      <c r="GS70" s="869"/>
      <c r="GT70" s="373"/>
      <c r="GU70" s="373">
        <v>1</v>
      </c>
      <c r="GV70" s="870"/>
      <c r="GW70" s="373"/>
      <c r="GX70" s="373"/>
      <c r="GY70" s="373"/>
      <c r="GZ70" s="618">
        <v>1</v>
      </c>
      <c r="HA70" s="374">
        <v>2</v>
      </c>
      <c r="HB70" s="869"/>
      <c r="HC70" s="373"/>
      <c r="HD70" s="373"/>
      <c r="HE70" s="870"/>
      <c r="HF70" s="373"/>
      <c r="HG70" s="373"/>
      <c r="HH70" s="373"/>
      <c r="HI70" s="618"/>
      <c r="HJ70" s="374">
        <v>0</v>
      </c>
      <c r="HK70" s="869"/>
      <c r="HL70" s="373">
        <v>1</v>
      </c>
      <c r="HM70" s="373"/>
      <c r="HN70" s="870"/>
      <c r="HO70" s="373"/>
      <c r="HP70" s="373"/>
      <c r="HQ70" s="373"/>
      <c r="HR70" s="618"/>
      <c r="HS70" s="374">
        <v>0</v>
      </c>
      <c r="HT70" s="869">
        <v>2</v>
      </c>
      <c r="HU70" s="373">
        <v>1</v>
      </c>
      <c r="HV70" s="373">
        <v>2</v>
      </c>
      <c r="HW70" s="870">
        <v>1</v>
      </c>
      <c r="HX70" s="373">
        <v>1</v>
      </c>
      <c r="HY70" s="373">
        <v>2</v>
      </c>
      <c r="HZ70" s="373"/>
      <c r="IA70" s="618">
        <v>1</v>
      </c>
      <c r="IB70" s="374">
        <v>3</v>
      </c>
      <c r="IC70" s="869">
        <v>7</v>
      </c>
      <c r="ID70" s="373">
        <v>4</v>
      </c>
      <c r="IE70" s="373">
        <v>15</v>
      </c>
      <c r="IF70" s="870">
        <v>4</v>
      </c>
      <c r="IG70" s="373">
        <v>5</v>
      </c>
      <c r="IH70" s="373">
        <v>4</v>
      </c>
      <c r="II70" s="373">
        <v>3</v>
      </c>
      <c r="IJ70" s="618">
        <v>7</v>
      </c>
      <c r="IK70" s="374">
        <v>13</v>
      </c>
      <c r="IL70" s="377"/>
      <c r="IM70" s="373"/>
      <c r="IN70" s="373"/>
      <c r="IO70" s="871"/>
      <c r="IP70" s="871"/>
      <c r="IQ70" s="373"/>
      <c r="IR70" s="373"/>
      <c r="IS70" s="618">
        <v>1</v>
      </c>
      <c r="IT70" s="374">
        <v>0</v>
      </c>
    </row>
    <row r="71" spans="1:254" s="245" customFormat="1" ht="12.75" customHeight="1" x14ac:dyDescent="0.2">
      <c r="A71" s="1052"/>
      <c r="B71" s="868" t="s">
        <v>923</v>
      </c>
      <c r="C71" s="869"/>
      <c r="D71" s="373"/>
      <c r="E71" s="373"/>
      <c r="F71" s="870"/>
      <c r="G71" s="373"/>
      <c r="H71" s="373"/>
      <c r="I71" s="373"/>
      <c r="J71" s="618"/>
      <c r="K71" s="374">
        <v>0</v>
      </c>
      <c r="L71" s="869"/>
      <c r="M71" s="373"/>
      <c r="N71" s="373"/>
      <c r="O71" s="870"/>
      <c r="P71" s="373"/>
      <c r="Q71" s="373"/>
      <c r="R71" s="373"/>
      <c r="S71" s="618"/>
      <c r="T71" s="374">
        <v>0</v>
      </c>
      <c r="U71" s="869"/>
      <c r="V71" s="373"/>
      <c r="W71" s="373"/>
      <c r="X71" s="870"/>
      <c r="Y71" s="373"/>
      <c r="Z71" s="373"/>
      <c r="AA71" s="373"/>
      <c r="AB71" s="618"/>
      <c r="AC71" s="374">
        <v>0</v>
      </c>
      <c r="AD71" s="869">
        <v>3</v>
      </c>
      <c r="AE71" s="373">
        <v>1</v>
      </c>
      <c r="AF71" s="373">
        <v>1</v>
      </c>
      <c r="AG71" s="870">
        <v>2</v>
      </c>
      <c r="AH71" s="373">
        <v>4</v>
      </c>
      <c r="AI71" s="373"/>
      <c r="AJ71" s="373"/>
      <c r="AK71" s="618">
        <v>3</v>
      </c>
      <c r="AL71" s="374">
        <v>2</v>
      </c>
      <c r="AM71" s="869"/>
      <c r="AN71" s="373"/>
      <c r="AO71" s="373"/>
      <c r="AP71" s="870">
        <v>1</v>
      </c>
      <c r="AQ71" s="373">
        <v>2</v>
      </c>
      <c r="AR71" s="373"/>
      <c r="AS71" s="373"/>
      <c r="AT71" s="618"/>
      <c r="AU71" s="374">
        <v>2</v>
      </c>
      <c r="AV71" s="869"/>
      <c r="AW71" s="373"/>
      <c r="AX71" s="373"/>
      <c r="AY71" s="870"/>
      <c r="AZ71" s="373"/>
      <c r="BA71" s="373"/>
      <c r="BB71" s="373"/>
      <c r="BC71" s="618"/>
      <c r="BD71" s="374">
        <v>0</v>
      </c>
      <c r="BE71" s="869"/>
      <c r="BF71" s="373"/>
      <c r="BG71" s="373"/>
      <c r="BH71" s="870"/>
      <c r="BI71" s="373"/>
      <c r="BJ71" s="373"/>
      <c r="BK71" s="373">
        <v>2</v>
      </c>
      <c r="BL71" s="618"/>
      <c r="BM71" s="374">
        <v>2</v>
      </c>
      <c r="BN71" s="869"/>
      <c r="BO71" s="373"/>
      <c r="BP71" s="373"/>
      <c r="BQ71" s="870"/>
      <c r="BR71" s="373"/>
      <c r="BS71" s="373"/>
      <c r="BT71" s="373"/>
      <c r="BU71" s="618"/>
      <c r="BV71" s="374">
        <v>0</v>
      </c>
      <c r="BW71" s="869">
        <v>6</v>
      </c>
      <c r="BX71" s="373">
        <v>2</v>
      </c>
      <c r="BY71" s="373">
        <v>4</v>
      </c>
      <c r="BZ71" s="870">
        <v>4</v>
      </c>
      <c r="CA71" s="373">
        <v>3</v>
      </c>
      <c r="CB71" s="373"/>
      <c r="CC71" s="373"/>
      <c r="CD71" s="618">
        <v>1</v>
      </c>
      <c r="CE71" s="374">
        <v>2</v>
      </c>
      <c r="CF71" s="869"/>
      <c r="CG71" s="373"/>
      <c r="CH71" s="373"/>
      <c r="CI71" s="870"/>
      <c r="CJ71" s="373"/>
      <c r="CK71" s="373"/>
      <c r="CL71" s="373"/>
      <c r="CM71" s="618"/>
      <c r="CN71" s="374">
        <v>0</v>
      </c>
      <c r="CO71" s="869">
        <v>1</v>
      </c>
      <c r="CP71" s="373"/>
      <c r="CQ71" s="373"/>
      <c r="CR71" s="870"/>
      <c r="CS71" s="373"/>
      <c r="CT71" s="373"/>
      <c r="CU71" s="373"/>
      <c r="CV71" s="618"/>
      <c r="CW71" s="374">
        <v>0</v>
      </c>
      <c r="CX71" s="869">
        <v>17</v>
      </c>
      <c r="CY71" s="373">
        <v>9</v>
      </c>
      <c r="CZ71" s="373">
        <v>12</v>
      </c>
      <c r="DA71" s="870">
        <v>8</v>
      </c>
      <c r="DB71" s="373">
        <v>4</v>
      </c>
      <c r="DC71" s="373">
        <v>4</v>
      </c>
      <c r="DD71" s="373">
        <v>2</v>
      </c>
      <c r="DE71" s="618">
        <v>7</v>
      </c>
      <c r="DF71" s="374">
        <v>2</v>
      </c>
      <c r="DG71" s="869"/>
      <c r="DH71" s="373"/>
      <c r="DI71" s="373"/>
      <c r="DJ71" s="870"/>
      <c r="DK71" s="373"/>
      <c r="DL71" s="373"/>
      <c r="DM71" s="373"/>
      <c r="DN71" s="618"/>
      <c r="DO71" s="374">
        <v>0</v>
      </c>
      <c r="DP71" s="869"/>
      <c r="DQ71" s="373"/>
      <c r="DR71" s="373">
        <v>1</v>
      </c>
      <c r="DS71" s="870">
        <v>1</v>
      </c>
      <c r="DT71" s="373"/>
      <c r="DU71" s="373"/>
      <c r="DV71" s="373"/>
      <c r="DW71" s="618"/>
      <c r="DX71" s="374">
        <v>0</v>
      </c>
      <c r="DY71" s="869">
        <v>4</v>
      </c>
      <c r="DZ71" s="373">
        <v>1</v>
      </c>
      <c r="EA71" s="373"/>
      <c r="EB71" s="870"/>
      <c r="EC71" s="373"/>
      <c r="ED71" s="373"/>
      <c r="EE71" s="373"/>
      <c r="EF71" s="618">
        <v>1</v>
      </c>
      <c r="EG71" s="374">
        <v>0</v>
      </c>
      <c r="EH71" s="869"/>
      <c r="EI71" s="373"/>
      <c r="EJ71" s="373"/>
      <c r="EK71" s="870"/>
      <c r="EL71" s="373"/>
      <c r="EM71" s="373"/>
      <c r="EN71" s="373"/>
      <c r="EO71" s="618"/>
      <c r="EP71" s="374">
        <v>0</v>
      </c>
      <c r="EQ71" s="869"/>
      <c r="ER71" s="373"/>
      <c r="ES71" s="373"/>
      <c r="ET71" s="870"/>
      <c r="EU71" s="373"/>
      <c r="EV71" s="373"/>
      <c r="EW71" s="373"/>
      <c r="EX71" s="618"/>
      <c r="EY71" s="374">
        <v>0</v>
      </c>
      <c r="EZ71" s="869"/>
      <c r="FA71" s="373"/>
      <c r="FB71" s="373"/>
      <c r="FC71" s="870"/>
      <c r="FD71" s="373"/>
      <c r="FE71" s="373"/>
      <c r="FF71" s="373"/>
      <c r="FG71" s="618"/>
      <c r="FH71" s="374">
        <v>0</v>
      </c>
      <c r="FI71" s="869">
        <v>3</v>
      </c>
      <c r="FJ71" s="373">
        <v>2</v>
      </c>
      <c r="FK71" s="373">
        <v>2</v>
      </c>
      <c r="FL71" s="870">
        <v>1</v>
      </c>
      <c r="FM71" s="373">
        <v>2</v>
      </c>
      <c r="FN71" s="373"/>
      <c r="FO71" s="373"/>
      <c r="FP71" s="618">
        <v>2</v>
      </c>
      <c r="FQ71" s="374">
        <v>0</v>
      </c>
      <c r="FR71" s="869"/>
      <c r="FS71" s="373">
        <v>2</v>
      </c>
      <c r="FT71" s="373"/>
      <c r="FU71" s="870"/>
      <c r="FV71" s="373"/>
      <c r="FW71" s="373"/>
      <c r="FX71" s="373"/>
      <c r="FY71" s="618"/>
      <c r="FZ71" s="374">
        <v>0</v>
      </c>
      <c r="GA71" s="869"/>
      <c r="GB71" s="373"/>
      <c r="GC71" s="373"/>
      <c r="GD71" s="870"/>
      <c r="GE71" s="373"/>
      <c r="GF71" s="373"/>
      <c r="GG71" s="373"/>
      <c r="GH71" s="618"/>
      <c r="GI71" s="374">
        <v>0</v>
      </c>
      <c r="GJ71" s="869">
        <v>30</v>
      </c>
      <c r="GK71" s="373">
        <v>16</v>
      </c>
      <c r="GL71" s="373">
        <v>19</v>
      </c>
      <c r="GM71" s="870">
        <v>15</v>
      </c>
      <c r="GN71" s="373">
        <v>13</v>
      </c>
      <c r="GO71" s="373">
        <v>4</v>
      </c>
      <c r="GP71" s="373">
        <v>4</v>
      </c>
      <c r="GQ71" s="618">
        <v>13</v>
      </c>
      <c r="GR71" s="374">
        <v>8</v>
      </c>
      <c r="GS71" s="869">
        <v>9</v>
      </c>
      <c r="GT71" s="373">
        <v>6</v>
      </c>
      <c r="GU71" s="373">
        <v>9</v>
      </c>
      <c r="GV71" s="870">
        <v>4</v>
      </c>
      <c r="GW71" s="373">
        <v>3</v>
      </c>
      <c r="GX71" s="373"/>
      <c r="GY71" s="373"/>
      <c r="GZ71" s="618">
        <v>5</v>
      </c>
      <c r="HA71" s="374">
        <v>1</v>
      </c>
      <c r="HB71" s="869"/>
      <c r="HC71" s="373"/>
      <c r="HD71" s="373"/>
      <c r="HE71" s="870"/>
      <c r="HF71" s="373"/>
      <c r="HG71" s="373"/>
      <c r="HH71" s="373"/>
      <c r="HI71" s="618"/>
      <c r="HJ71" s="374">
        <v>0</v>
      </c>
      <c r="HK71" s="869"/>
      <c r="HL71" s="373"/>
      <c r="HM71" s="373">
        <v>1</v>
      </c>
      <c r="HN71" s="870"/>
      <c r="HO71" s="373"/>
      <c r="HP71" s="373"/>
      <c r="HQ71" s="373"/>
      <c r="HR71" s="618"/>
      <c r="HS71" s="374">
        <v>0</v>
      </c>
      <c r="HT71" s="869">
        <v>15</v>
      </c>
      <c r="HU71" s="373">
        <v>7</v>
      </c>
      <c r="HV71" s="373">
        <v>15</v>
      </c>
      <c r="HW71" s="870">
        <v>8</v>
      </c>
      <c r="HX71" s="373">
        <v>7</v>
      </c>
      <c r="HY71" s="373">
        <v>5</v>
      </c>
      <c r="HZ71" s="373">
        <v>4</v>
      </c>
      <c r="IA71" s="618">
        <v>11</v>
      </c>
      <c r="IB71" s="374">
        <v>1</v>
      </c>
      <c r="IC71" s="869">
        <v>45</v>
      </c>
      <c r="ID71" s="373">
        <v>25</v>
      </c>
      <c r="IE71" s="373">
        <v>37</v>
      </c>
      <c r="IF71" s="870">
        <v>41</v>
      </c>
      <c r="IG71" s="373">
        <v>27</v>
      </c>
      <c r="IH71" s="373">
        <v>19</v>
      </c>
      <c r="II71" s="373">
        <v>15</v>
      </c>
      <c r="IJ71" s="618">
        <v>23</v>
      </c>
      <c r="IK71" s="374">
        <v>15</v>
      </c>
      <c r="IL71" s="377">
        <v>6</v>
      </c>
      <c r="IM71" s="373">
        <v>1</v>
      </c>
      <c r="IN71" s="373">
        <v>3</v>
      </c>
      <c r="IO71" s="871"/>
      <c r="IP71" s="871"/>
      <c r="IQ71" s="373"/>
      <c r="IR71" s="373"/>
      <c r="IS71" s="618">
        <v>1</v>
      </c>
      <c r="IT71" s="374">
        <v>0</v>
      </c>
    </row>
    <row r="72" spans="1:254" s="245" customFormat="1" ht="12.75" customHeight="1" x14ac:dyDescent="0.2">
      <c r="A72" s="1052"/>
      <c r="B72" s="868" t="s">
        <v>924</v>
      </c>
      <c r="C72" s="869"/>
      <c r="D72" s="373"/>
      <c r="E72" s="373"/>
      <c r="F72" s="870"/>
      <c r="G72" s="373"/>
      <c r="H72" s="373"/>
      <c r="I72" s="373"/>
      <c r="J72" s="618"/>
      <c r="K72" s="374">
        <v>0</v>
      </c>
      <c r="L72" s="869"/>
      <c r="M72" s="373"/>
      <c r="N72" s="373"/>
      <c r="O72" s="870"/>
      <c r="P72" s="373"/>
      <c r="Q72" s="373"/>
      <c r="R72" s="373"/>
      <c r="S72" s="618"/>
      <c r="T72" s="374">
        <v>0</v>
      </c>
      <c r="U72" s="869"/>
      <c r="V72" s="373"/>
      <c r="W72" s="373"/>
      <c r="X72" s="870"/>
      <c r="Y72" s="373"/>
      <c r="Z72" s="373"/>
      <c r="AA72" s="373"/>
      <c r="AB72" s="618"/>
      <c r="AC72" s="374">
        <v>0</v>
      </c>
      <c r="AD72" s="869">
        <v>1</v>
      </c>
      <c r="AE72" s="373"/>
      <c r="AF72" s="373">
        <v>1</v>
      </c>
      <c r="AG72" s="870">
        <v>1</v>
      </c>
      <c r="AH72" s="373"/>
      <c r="AI72" s="373">
        <v>1</v>
      </c>
      <c r="AJ72" s="373"/>
      <c r="AK72" s="618">
        <v>1</v>
      </c>
      <c r="AL72" s="374">
        <v>0</v>
      </c>
      <c r="AM72" s="869">
        <v>1</v>
      </c>
      <c r="AN72" s="373"/>
      <c r="AO72" s="373">
        <v>1</v>
      </c>
      <c r="AP72" s="870"/>
      <c r="AQ72" s="373"/>
      <c r="AR72" s="373">
        <v>1</v>
      </c>
      <c r="AS72" s="373"/>
      <c r="AT72" s="618">
        <v>1</v>
      </c>
      <c r="AU72" s="374">
        <v>0</v>
      </c>
      <c r="AV72" s="869"/>
      <c r="AW72" s="373"/>
      <c r="AX72" s="373"/>
      <c r="AY72" s="870"/>
      <c r="AZ72" s="373"/>
      <c r="BA72" s="373"/>
      <c r="BB72" s="373"/>
      <c r="BC72" s="618"/>
      <c r="BD72" s="374">
        <v>0</v>
      </c>
      <c r="BE72" s="869"/>
      <c r="BF72" s="373"/>
      <c r="BG72" s="373"/>
      <c r="BH72" s="870"/>
      <c r="BI72" s="373"/>
      <c r="BJ72" s="373"/>
      <c r="BK72" s="373"/>
      <c r="BL72" s="618"/>
      <c r="BM72" s="374">
        <v>0</v>
      </c>
      <c r="BN72" s="869"/>
      <c r="BO72" s="373"/>
      <c r="BP72" s="373"/>
      <c r="BQ72" s="870"/>
      <c r="BR72" s="373"/>
      <c r="BS72" s="373"/>
      <c r="BT72" s="373"/>
      <c r="BU72" s="618"/>
      <c r="BV72" s="374">
        <v>0</v>
      </c>
      <c r="BW72" s="869"/>
      <c r="BX72" s="373">
        <v>1</v>
      </c>
      <c r="BY72" s="373"/>
      <c r="BZ72" s="870">
        <v>1</v>
      </c>
      <c r="CA72" s="373"/>
      <c r="CB72" s="373">
        <v>2</v>
      </c>
      <c r="CC72" s="373">
        <v>1</v>
      </c>
      <c r="CD72" s="618">
        <v>1</v>
      </c>
      <c r="CE72" s="374">
        <v>0</v>
      </c>
      <c r="CF72" s="869"/>
      <c r="CG72" s="373"/>
      <c r="CH72" s="373"/>
      <c r="CI72" s="870"/>
      <c r="CJ72" s="373"/>
      <c r="CK72" s="373"/>
      <c r="CL72" s="373"/>
      <c r="CM72" s="618"/>
      <c r="CN72" s="374">
        <v>0</v>
      </c>
      <c r="CO72" s="869"/>
      <c r="CP72" s="373"/>
      <c r="CQ72" s="373"/>
      <c r="CR72" s="870"/>
      <c r="CS72" s="373"/>
      <c r="CT72" s="373"/>
      <c r="CU72" s="373"/>
      <c r="CV72" s="618"/>
      <c r="CW72" s="374">
        <v>0</v>
      </c>
      <c r="CX72" s="869">
        <v>2</v>
      </c>
      <c r="CY72" s="373">
        <v>1</v>
      </c>
      <c r="CZ72" s="373">
        <v>2</v>
      </c>
      <c r="DA72" s="870">
        <v>1</v>
      </c>
      <c r="DB72" s="373">
        <v>1</v>
      </c>
      <c r="DC72" s="373">
        <v>1</v>
      </c>
      <c r="DD72" s="373">
        <v>1</v>
      </c>
      <c r="DE72" s="618">
        <v>7</v>
      </c>
      <c r="DF72" s="374">
        <v>0</v>
      </c>
      <c r="DG72" s="869"/>
      <c r="DH72" s="373"/>
      <c r="DI72" s="373"/>
      <c r="DJ72" s="870"/>
      <c r="DK72" s="373"/>
      <c r="DL72" s="373"/>
      <c r="DM72" s="373"/>
      <c r="DN72" s="618"/>
      <c r="DO72" s="374">
        <v>0</v>
      </c>
      <c r="DP72" s="869"/>
      <c r="DQ72" s="373"/>
      <c r="DR72" s="373"/>
      <c r="DS72" s="870"/>
      <c r="DT72" s="373"/>
      <c r="DU72" s="373"/>
      <c r="DV72" s="373"/>
      <c r="DW72" s="618"/>
      <c r="DX72" s="374">
        <v>0</v>
      </c>
      <c r="DY72" s="869"/>
      <c r="DZ72" s="373"/>
      <c r="EA72" s="373"/>
      <c r="EB72" s="870"/>
      <c r="EC72" s="373"/>
      <c r="ED72" s="373">
        <v>1</v>
      </c>
      <c r="EE72" s="373">
        <v>1</v>
      </c>
      <c r="EF72" s="618">
        <v>5</v>
      </c>
      <c r="EG72" s="374">
        <v>0</v>
      </c>
      <c r="EH72" s="869"/>
      <c r="EI72" s="373"/>
      <c r="EJ72" s="373"/>
      <c r="EK72" s="870"/>
      <c r="EL72" s="373"/>
      <c r="EM72" s="373"/>
      <c r="EN72" s="373"/>
      <c r="EO72" s="618"/>
      <c r="EP72" s="374">
        <v>0</v>
      </c>
      <c r="EQ72" s="869"/>
      <c r="ER72" s="373"/>
      <c r="ES72" s="373"/>
      <c r="ET72" s="870"/>
      <c r="EU72" s="373"/>
      <c r="EV72" s="373"/>
      <c r="EW72" s="373"/>
      <c r="EX72" s="618"/>
      <c r="EY72" s="374">
        <v>0</v>
      </c>
      <c r="EZ72" s="869"/>
      <c r="FA72" s="373"/>
      <c r="FB72" s="373"/>
      <c r="FC72" s="870"/>
      <c r="FD72" s="373"/>
      <c r="FE72" s="373"/>
      <c r="FF72" s="373"/>
      <c r="FG72" s="618"/>
      <c r="FH72" s="374">
        <v>0</v>
      </c>
      <c r="FI72" s="869"/>
      <c r="FJ72" s="373">
        <v>2</v>
      </c>
      <c r="FK72" s="373"/>
      <c r="FL72" s="870"/>
      <c r="FM72" s="373">
        <v>1</v>
      </c>
      <c r="FN72" s="373"/>
      <c r="FO72" s="373"/>
      <c r="FP72" s="618"/>
      <c r="FQ72" s="374">
        <v>0</v>
      </c>
      <c r="FR72" s="869"/>
      <c r="FS72" s="373"/>
      <c r="FT72" s="373"/>
      <c r="FU72" s="870"/>
      <c r="FV72" s="373"/>
      <c r="FW72" s="373"/>
      <c r="FX72" s="373"/>
      <c r="FY72" s="618">
        <v>1</v>
      </c>
      <c r="FZ72" s="374">
        <v>0</v>
      </c>
      <c r="GA72" s="869"/>
      <c r="GB72" s="373"/>
      <c r="GC72" s="373">
        <v>1</v>
      </c>
      <c r="GD72" s="870"/>
      <c r="GE72" s="373"/>
      <c r="GF72" s="373"/>
      <c r="GG72" s="373"/>
      <c r="GH72" s="618"/>
      <c r="GI72" s="374">
        <v>0</v>
      </c>
      <c r="GJ72" s="869">
        <v>3</v>
      </c>
      <c r="GK72" s="373">
        <v>4</v>
      </c>
      <c r="GL72" s="373">
        <v>4</v>
      </c>
      <c r="GM72" s="870">
        <v>3</v>
      </c>
      <c r="GN72" s="373">
        <v>2</v>
      </c>
      <c r="GO72" s="373">
        <v>4</v>
      </c>
      <c r="GP72" s="373">
        <v>2</v>
      </c>
      <c r="GQ72" s="618">
        <v>10</v>
      </c>
      <c r="GR72" s="374">
        <v>0</v>
      </c>
      <c r="GS72" s="869">
        <v>2</v>
      </c>
      <c r="GT72" s="373">
        <v>3</v>
      </c>
      <c r="GU72" s="373">
        <v>1</v>
      </c>
      <c r="GV72" s="870">
        <v>1</v>
      </c>
      <c r="GW72" s="373">
        <v>1</v>
      </c>
      <c r="GX72" s="373">
        <v>2</v>
      </c>
      <c r="GY72" s="373"/>
      <c r="GZ72" s="618">
        <v>3</v>
      </c>
      <c r="HA72" s="374">
        <v>0</v>
      </c>
      <c r="HB72" s="869"/>
      <c r="HC72" s="373"/>
      <c r="HD72" s="373"/>
      <c r="HE72" s="870"/>
      <c r="HF72" s="373"/>
      <c r="HG72" s="373"/>
      <c r="HH72" s="373"/>
      <c r="HI72" s="618"/>
      <c r="HJ72" s="374">
        <v>0</v>
      </c>
      <c r="HK72" s="869"/>
      <c r="HL72" s="373"/>
      <c r="HM72" s="373"/>
      <c r="HN72" s="870"/>
      <c r="HO72" s="373"/>
      <c r="HP72" s="373"/>
      <c r="HQ72" s="373"/>
      <c r="HR72" s="618"/>
      <c r="HS72" s="374">
        <v>0</v>
      </c>
      <c r="HT72" s="869">
        <v>4</v>
      </c>
      <c r="HU72" s="373">
        <v>6</v>
      </c>
      <c r="HV72" s="373">
        <v>1</v>
      </c>
      <c r="HW72" s="870">
        <v>3</v>
      </c>
      <c r="HX72" s="373">
        <v>2</v>
      </c>
      <c r="HY72" s="373">
        <v>2</v>
      </c>
      <c r="HZ72" s="373"/>
      <c r="IA72" s="618">
        <v>4</v>
      </c>
      <c r="IB72" s="374">
        <v>0</v>
      </c>
      <c r="IC72" s="869">
        <v>6</v>
      </c>
      <c r="ID72" s="373">
        <v>8</v>
      </c>
      <c r="IE72" s="373">
        <v>7</v>
      </c>
      <c r="IF72" s="870">
        <v>10</v>
      </c>
      <c r="IG72" s="373">
        <v>5</v>
      </c>
      <c r="IH72" s="373">
        <v>5</v>
      </c>
      <c r="II72" s="373">
        <v>4</v>
      </c>
      <c r="IJ72" s="618">
        <v>13</v>
      </c>
      <c r="IK72" s="374">
        <v>1</v>
      </c>
      <c r="IL72" s="377"/>
      <c r="IM72" s="373"/>
      <c r="IN72" s="373"/>
      <c r="IO72" s="871">
        <v>1</v>
      </c>
      <c r="IP72" s="871"/>
      <c r="IQ72" s="373">
        <v>1</v>
      </c>
      <c r="IR72" s="373">
        <v>1</v>
      </c>
      <c r="IS72" s="618">
        <v>5</v>
      </c>
      <c r="IT72" s="374">
        <v>0</v>
      </c>
    </row>
    <row r="73" spans="1:254" s="245" customFormat="1" ht="12.75" customHeight="1" x14ac:dyDescent="0.2">
      <c r="A73" s="1052"/>
      <c r="B73" s="868" t="s">
        <v>925</v>
      </c>
      <c r="C73" s="869"/>
      <c r="D73" s="373">
        <v>1</v>
      </c>
      <c r="E73" s="373"/>
      <c r="F73" s="870"/>
      <c r="G73" s="373"/>
      <c r="H73" s="373"/>
      <c r="I73" s="373"/>
      <c r="J73" s="618"/>
      <c r="K73" s="374">
        <v>0</v>
      </c>
      <c r="L73" s="869"/>
      <c r="M73" s="373"/>
      <c r="N73" s="373"/>
      <c r="O73" s="870"/>
      <c r="P73" s="373"/>
      <c r="Q73" s="373"/>
      <c r="R73" s="373"/>
      <c r="S73" s="618"/>
      <c r="T73" s="374">
        <v>0</v>
      </c>
      <c r="U73" s="869"/>
      <c r="V73" s="373"/>
      <c r="W73" s="373"/>
      <c r="X73" s="870"/>
      <c r="Y73" s="373"/>
      <c r="Z73" s="373"/>
      <c r="AA73" s="373"/>
      <c r="AB73" s="618"/>
      <c r="AC73" s="374">
        <v>0</v>
      </c>
      <c r="AD73" s="869"/>
      <c r="AE73" s="373">
        <v>2</v>
      </c>
      <c r="AF73" s="373"/>
      <c r="AG73" s="870">
        <v>2</v>
      </c>
      <c r="AH73" s="373">
        <v>1</v>
      </c>
      <c r="AI73" s="373">
        <v>1</v>
      </c>
      <c r="AJ73" s="373">
        <v>3</v>
      </c>
      <c r="AK73" s="618">
        <v>3</v>
      </c>
      <c r="AL73" s="374">
        <v>2</v>
      </c>
      <c r="AM73" s="869"/>
      <c r="AN73" s="373">
        <v>2</v>
      </c>
      <c r="AO73" s="373"/>
      <c r="AP73" s="870">
        <v>2</v>
      </c>
      <c r="AQ73" s="373"/>
      <c r="AR73" s="373"/>
      <c r="AS73" s="373">
        <v>1</v>
      </c>
      <c r="AT73" s="618"/>
      <c r="AU73" s="374">
        <v>1</v>
      </c>
      <c r="AV73" s="869"/>
      <c r="AW73" s="373"/>
      <c r="AX73" s="373"/>
      <c r="AY73" s="870"/>
      <c r="AZ73" s="373"/>
      <c r="BA73" s="373"/>
      <c r="BB73" s="373"/>
      <c r="BC73" s="618"/>
      <c r="BD73" s="374">
        <v>0</v>
      </c>
      <c r="BE73" s="869"/>
      <c r="BF73" s="373"/>
      <c r="BG73" s="373"/>
      <c r="BH73" s="870"/>
      <c r="BI73" s="373"/>
      <c r="BJ73" s="373"/>
      <c r="BK73" s="373"/>
      <c r="BL73" s="618"/>
      <c r="BM73" s="374">
        <v>0</v>
      </c>
      <c r="BN73" s="869"/>
      <c r="BO73" s="373"/>
      <c r="BP73" s="373"/>
      <c r="BQ73" s="870"/>
      <c r="BR73" s="373"/>
      <c r="BS73" s="373"/>
      <c r="BT73" s="373"/>
      <c r="BU73" s="618"/>
      <c r="BV73" s="374">
        <v>0</v>
      </c>
      <c r="BW73" s="869">
        <v>3</v>
      </c>
      <c r="BX73" s="373">
        <v>3</v>
      </c>
      <c r="BY73" s="373">
        <v>4</v>
      </c>
      <c r="BZ73" s="870">
        <v>4</v>
      </c>
      <c r="CA73" s="373">
        <v>4</v>
      </c>
      <c r="CB73" s="373">
        <v>5</v>
      </c>
      <c r="CC73" s="373">
        <v>3</v>
      </c>
      <c r="CD73" s="618">
        <v>8</v>
      </c>
      <c r="CE73" s="374">
        <v>3</v>
      </c>
      <c r="CF73" s="869"/>
      <c r="CG73" s="373"/>
      <c r="CH73" s="373"/>
      <c r="CI73" s="870"/>
      <c r="CJ73" s="373"/>
      <c r="CK73" s="373"/>
      <c r="CL73" s="373">
        <v>1</v>
      </c>
      <c r="CM73" s="618"/>
      <c r="CN73" s="374">
        <v>0</v>
      </c>
      <c r="CO73" s="869"/>
      <c r="CP73" s="373"/>
      <c r="CQ73" s="373"/>
      <c r="CR73" s="870"/>
      <c r="CS73" s="373"/>
      <c r="CT73" s="373"/>
      <c r="CU73" s="373"/>
      <c r="CV73" s="618"/>
      <c r="CW73" s="374">
        <v>0</v>
      </c>
      <c r="CX73" s="869">
        <v>24</v>
      </c>
      <c r="CY73" s="373">
        <v>13</v>
      </c>
      <c r="CZ73" s="373">
        <v>32</v>
      </c>
      <c r="DA73" s="870">
        <v>22</v>
      </c>
      <c r="DB73" s="373">
        <v>34</v>
      </c>
      <c r="DC73" s="373">
        <v>21</v>
      </c>
      <c r="DD73" s="373">
        <v>7</v>
      </c>
      <c r="DE73" s="618">
        <v>21</v>
      </c>
      <c r="DF73" s="374">
        <v>7</v>
      </c>
      <c r="DG73" s="869"/>
      <c r="DH73" s="373">
        <v>1</v>
      </c>
      <c r="DI73" s="373"/>
      <c r="DJ73" s="870"/>
      <c r="DK73" s="373"/>
      <c r="DL73" s="373"/>
      <c r="DM73" s="373"/>
      <c r="DN73" s="618">
        <v>6</v>
      </c>
      <c r="DO73" s="374">
        <v>0</v>
      </c>
      <c r="DP73" s="869">
        <v>1</v>
      </c>
      <c r="DQ73" s="373"/>
      <c r="DR73" s="373"/>
      <c r="DS73" s="870"/>
      <c r="DT73" s="373">
        <v>3</v>
      </c>
      <c r="DU73" s="373">
        <v>1</v>
      </c>
      <c r="DV73" s="373"/>
      <c r="DW73" s="618"/>
      <c r="DX73" s="374">
        <v>1</v>
      </c>
      <c r="DY73" s="869">
        <v>7</v>
      </c>
      <c r="DZ73" s="373">
        <v>3</v>
      </c>
      <c r="EA73" s="373">
        <v>4</v>
      </c>
      <c r="EB73" s="870">
        <v>3</v>
      </c>
      <c r="EC73" s="373">
        <v>6</v>
      </c>
      <c r="ED73" s="373">
        <v>13</v>
      </c>
      <c r="EE73" s="373">
        <v>3</v>
      </c>
      <c r="EF73" s="618">
        <v>2</v>
      </c>
      <c r="EG73" s="374">
        <v>2</v>
      </c>
      <c r="EH73" s="869"/>
      <c r="EI73" s="373">
        <v>1</v>
      </c>
      <c r="EJ73" s="373"/>
      <c r="EK73" s="870">
        <v>1</v>
      </c>
      <c r="EL73" s="373"/>
      <c r="EM73" s="373"/>
      <c r="EN73" s="373"/>
      <c r="EO73" s="618"/>
      <c r="EP73" s="374">
        <v>0</v>
      </c>
      <c r="EQ73" s="869"/>
      <c r="ER73" s="373"/>
      <c r="ES73" s="373"/>
      <c r="ET73" s="870"/>
      <c r="EU73" s="373"/>
      <c r="EV73" s="373"/>
      <c r="EW73" s="373"/>
      <c r="EX73" s="618"/>
      <c r="EY73" s="374">
        <v>0</v>
      </c>
      <c r="EZ73" s="869"/>
      <c r="FA73" s="373"/>
      <c r="FB73" s="373"/>
      <c r="FC73" s="870"/>
      <c r="FD73" s="373"/>
      <c r="FE73" s="373">
        <v>2</v>
      </c>
      <c r="FF73" s="373"/>
      <c r="FG73" s="618"/>
      <c r="FH73" s="374">
        <v>0</v>
      </c>
      <c r="FI73" s="869">
        <v>1</v>
      </c>
      <c r="FJ73" s="373">
        <v>2</v>
      </c>
      <c r="FK73" s="373">
        <v>3</v>
      </c>
      <c r="FL73" s="870">
        <v>1</v>
      </c>
      <c r="FM73" s="373"/>
      <c r="FN73" s="373"/>
      <c r="FO73" s="373">
        <v>3</v>
      </c>
      <c r="FP73" s="618">
        <v>1</v>
      </c>
      <c r="FQ73" s="374">
        <v>3</v>
      </c>
      <c r="FR73" s="869"/>
      <c r="FS73" s="373"/>
      <c r="FT73" s="373"/>
      <c r="FU73" s="870"/>
      <c r="FV73" s="373"/>
      <c r="FW73" s="373">
        <v>1</v>
      </c>
      <c r="FX73" s="373"/>
      <c r="FY73" s="618"/>
      <c r="FZ73" s="374">
        <v>0</v>
      </c>
      <c r="GA73" s="869"/>
      <c r="GB73" s="373">
        <v>2</v>
      </c>
      <c r="GC73" s="373"/>
      <c r="GD73" s="870"/>
      <c r="GE73" s="373"/>
      <c r="GF73" s="373"/>
      <c r="GG73" s="373"/>
      <c r="GH73" s="618">
        <v>1</v>
      </c>
      <c r="GI73" s="374">
        <v>1</v>
      </c>
      <c r="GJ73" s="869">
        <v>28</v>
      </c>
      <c r="GK73" s="373">
        <v>24</v>
      </c>
      <c r="GL73" s="373">
        <v>39</v>
      </c>
      <c r="GM73" s="870">
        <v>30</v>
      </c>
      <c r="GN73" s="373">
        <v>39</v>
      </c>
      <c r="GO73" s="373">
        <v>30</v>
      </c>
      <c r="GP73" s="373">
        <v>17</v>
      </c>
      <c r="GQ73" s="618">
        <v>34</v>
      </c>
      <c r="GR73" s="374">
        <v>16</v>
      </c>
      <c r="GS73" s="869">
        <v>10</v>
      </c>
      <c r="GT73" s="373">
        <v>7</v>
      </c>
      <c r="GU73" s="373">
        <v>12</v>
      </c>
      <c r="GV73" s="870">
        <v>7</v>
      </c>
      <c r="GW73" s="373">
        <v>5</v>
      </c>
      <c r="GX73" s="373">
        <v>2</v>
      </c>
      <c r="GY73" s="373">
        <v>7</v>
      </c>
      <c r="GZ73" s="618">
        <v>15</v>
      </c>
      <c r="HA73" s="374">
        <v>7</v>
      </c>
      <c r="HB73" s="869"/>
      <c r="HC73" s="373"/>
      <c r="HD73" s="373"/>
      <c r="HE73" s="870"/>
      <c r="HF73" s="373"/>
      <c r="HG73" s="373"/>
      <c r="HH73" s="373"/>
      <c r="HI73" s="618"/>
      <c r="HJ73" s="374">
        <v>0</v>
      </c>
      <c r="HK73" s="869"/>
      <c r="HL73" s="373"/>
      <c r="HM73" s="373"/>
      <c r="HN73" s="870"/>
      <c r="HO73" s="373"/>
      <c r="HP73" s="373"/>
      <c r="HQ73" s="373"/>
      <c r="HR73" s="618"/>
      <c r="HS73" s="374">
        <v>0</v>
      </c>
      <c r="HT73" s="869">
        <v>14</v>
      </c>
      <c r="HU73" s="373">
        <v>11</v>
      </c>
      <c r="HV73" s="373">
        <v>15</v>
      </c>
      <c r="HW73" s="870">
        <v>9</v>
      </c>
      <c r="HX73" s="373">
        <v>20</v>
      </c>
      <c r="HY73" s="373">
        <v>16</v>
      </c>
      <c r="HZ73" s="373">
        <v>23</v>
      </c>
      <c r="IA73" s="618">
        <v>29</v>
      </c>
      <c r="IB73" s="374">
        <v>23</v>
      </c>
      <c r="IC73" s="869">
        <v>37</v>
      </c>
      <c r="ID73" s="373">
        <v>46</v>
      </c>
      <c r="IE73" s="373">
        <v>53</v>
      </c>
      <c r="IF73" s="870">
        <v>47</v>
      </c>
      <c r="IG73" s="373">
        <v>76</v>
      </c>
      <c r="IH73" s="373">
        <v>61</v>
      </c>
      <c r="II73" s="373">
        <v>46</v>
      </c>
      <c r="IJ73" s="618">
        <v>71</v>
      </c>
      <c r="IK73" s="374">
        <v>41</v>
      </c>
      <c r="IL73" s="377">
        <v>10</v>
      </c>
      <c r="IM73" s="373">
        <v>3</v>
      </c>
      <c r="IN73" s="373">
        <v>7</v>
      </c>
      <c r="IO73" s="871">
        <v>3</v>
      </c>
      <c r="IP73" s="871">
        <v>4</v>
      </c>
      <c r="IQ73" s="373">
        <v>13</v>
      </c>
      <c r="IR73" s="373">
        <v>3</v>
      </c>
      <c r="IS73" s="618">
        <v>2</v>
      </c>
      <c r="IT73" s="374">
        <v>3</v>
      </c>
    </row>
    <row r="74" spans="1:254" s="245" customFormat="1" ht="12.75" customHeight="1" x14ac:dyDescent="0.2">
      <c r="A74" s="1052"/>
      <c r="B74" s="868" t="s">
        <v>926</v>
      </c>
      <c r="C74" s="869"/>
      <c r="D74" s="373"/>
      <c r="E74" s="373"/>
      <c r="F74" s="870"/>
      <c r="G74" s="373"/>
      <c r="H74" s="373"/>
      <c r="I74" s="373"/>
      <c r="J74" s="618"/>
      <c r="K74" s="374">
        <v>0</v>
      </c>
      <c r="L74" s="869"/>
      <c r="M74" s="373"/>
      <c r="N74" s="373"/>
      <c r="O74" s="870"/>
      <c r="P74" s="373"/>
      <c r="Q74" s="373"/>
      <c r="R74" s="373"/>
      <c r="S74" s="618"/>
      <c r="T74" s="374">
        <v>0</v>
      </c>
      <c r="U74" s="869"/>
      <c r="V74" s="373"/>
      <c r="W74" s="373"/>
      <c r="X74" s="870"/>
      <c r="Y74" s="373"/>
      <c r="Z74" s="373"/>
      <c r="AA74" s="373"/>
      <c r="AB74" s="618"/>
      <c r="AC74" s="374">
        <v>0</v>
      </c>
      <c r="AD74" s="869">
        <v>3</v>
      </c>
      <c r="AE74" s="373">
        <v>2</v>
      </c>
      <c r="AF74" s="373"/>
      <c r="AG74" s="870"/>
      <c r="AH74" s="373"/>
      <c r="AI74" s="373"/>
      <c r="AJ74" s="373"/>
      <c r="AK74" s="618">
        <v>3</v>
      </c>
      <c r="AL74" s="374">
        <v>1</v>
      </c>
      <c r="AM74" s="869">
        <v>3</v>
      </c>
      <c r="AN74" s="373">
        <v>2</v>
      </c>
      <c r="AO74" s="373"/>
      <c r="AP74" s="870"/>
      <c r="AQ74" s="373"/>
      <c r="AR74" s="373"/>
      <c r="AS74" s="373"/>
      <c r="AT74" s="618"/>
      <c r="AU74" s="374">
        <v>0</v>
      </c>
      <c r="AV74" s="869"/>
      <c r="AW74" s="373"/>
      <c r="AX74" s="373"/>
      <c r="AY74" s="870"/>
      <c r="AZ74" s="373"/>
      <c r="BA74" s="373"/>
      <c r="BB74" s="373"/>
      <c r="BC74" s="618"/>
      <c r="BD74" s="374">
        <v>0</v>
      </c>
      <c r="BE74" s="869"/>
      <c r="BF74" s="373">
        <v>2</v>
      </c>
      <c r="BG74" s="373"/>
      <c r="BH74" s="870"/>
      <c r="BI74" s="373"/>
      <c r="BJ74" s="373"/>
      <c r="BK74" s="373"/>
      <c r="BL74" s="618">
        <v>1</v>
      </c>
      <c r="BM74" s="374">
        <v>0</v>
      </c>
      <c r="BN74" s="869"/>
      <c r="BO74" s="373"/>
      <c r="BP74" s="373"/>
      <c r="BQ74" s="870"/>
      <c r="BR74" s="373"/>
      <c r="BS74" s="373"/>
      <c r="BT74" s="373"/>
      <c r="BU74" s="618"/>
      <c r="BV74" s="374">
        <v>0</v>
      </c>
      <c r="BW74" s="869">
        <v>3</v>
      </c>
      <c r="BX74" s="373">
        <v>2</v>
      </c>
      <c r="BY74" s="373">
        <v>1</v>
      </c>
      <c r="BZ74" s="870"/>
      <c r="CA74" s="373">
        <v>1</v>
      </c>
      <c r="CB74" s="373"/>
      <c r="CC74" s="373">
        <v>1</v>
      </c>
      <c r="CD74" s="618">
        <v>2</v>
      </c>
      <c r="CE74" s="374">
        <v>0</v>
      </c>
      <c r="CF74" s="869"/>
      <c r="CG74" s="373"/>
      <c r="CH74" s="373"/>
      <c r="CI74" s="870"/>
      <c r="CJ74" s="373"/>
      <c r="CK74" s="373"/>
      <c r="CL74" s="373"/>
      <c r="CM74" s="618"/>
      <c r="CN74" s="374">
        <v>0</v>
      </c>
      <c r="CO74" s="869"/>
      <c r="CP74" s="373"/>
      <c r="CQ74" s="373"/>
      <c r="CR74" s="870"/>
      <c r="CS74" s="373"/>
      <c r="CT74" s="373"/>
      <c r="CU74" s="373"/>
      <c r="CV74" s="618"/>
      <c r="CW74" s="374">
        <v>0</v>
      </c>
      <c r="CX74" s="869">
        <v>4</v>
      </c>
      <c r="CY74" s="373">
        <v>1</v>
      </c>
      <c r="CZ74" s="373">
        <v>9</v>
      </c>
      <c r="DA74" s="870">
        <v>8</v>
      </c>
      <c r="DB74" s="373">
        <v>5</v>
      </c>
      <c r="DC74" s="373">
        <v>3</v>
      </c>
      <c r="DD74" s="373">
        <v>3</v>
      </c>
      <c r="DE74" s="618">
        <v>4</v>
      </c>
      <c r="DF74" s="374">
        <v>3</v>
      </c>
      <c r="DG74" s="869"/>
      <c r="DH74" s="373"/>
      <c r="DI74" s="373"/>
      <c r="DJ74" s="870"/>
      <c r="DK74" s="373"/>
      <c r="DL74" s="373"/>
      <c r="DM74" s="373"/>
      <c r="DN74" s="618"/>
      <c r="DO74" s="374">
        <v>0</v>
      </c>
      <c r="DP74" s="869"/>
      <c r="DQ74" s="373"/>
      <c r="DR74" s="373"/>
      <c r="DS74" s="870"/>
      <c r="DT74" s="373"/>
      <c r="DU74" s="373"/>
      <c r="DV74" s="373"/>
      <c r="DW74" s="618"/>
      <c r="DX74" s="374">
        <v>0</v>
      </c>
      <c r="DY74" s="869"/>
      <c r="DZ74" s="373"/>
      <c r="EA74" s="373"/>
      <c r="EB74" s="870">
        <v>1</v>
      </c>
      <c r="EC74" s="373"/>
      <c r="ED74" s="373">
        <v>1</v>
      </c>
      <c r="EE74" s="373">
        <v>1</v>
      </c>
      <c r="EF74" s="618"/>
      <c r="EG74" s="374">
        <v>1</v>
      </c>
      <c r="EH74" s="869"/>
      <c r="EI74" s="373"/>
      <c r="EJ74" s="373"/>
      <c r="EK74" s="870"/>
      <c r="EL74" s="373"/>
      <c r="EM74" s="373"/>
      <c r="EN74" s="373"/>
      <c r="EO74" s="618"/>
      <c r="EP74" s="374">
        <v>0</v>
      </c>
      <c r="EQ74" s="869"/>
      <c r="ER74" s="373"/>
      <c r="ES74" s="373"/>
      <c r="ET74" s="870"/>
      <c r="EU74" s="373"/>
      <c r="EV74" s="373">
        <v>2</v>
      </c>
      <c r="EW74" s="373">
        <v>1</v>
      </c>
      <c r="EX74" s="618"/>
      <c r="EY74" s="374">
        <v>0</v>
      </c>
      <c r="EZ74" s="869"/>
      <c r="FA74" s="373"/>
      <c r="FB74" s="373"/>
      <c r="FC74" s="870"/>
      <c r="FD74" s="373"/>
      <c r="FE74" s="373"/>
      <c r="FF74" s="373"/>
      <c r="FG74" s="618"/>
      <c r="FH74" s="374">
        <v>0</v>
      </c>
      <c r="FI74" s="869"/>
      <c r="FJ74" s="373"/>
      <c r="FK74" s="373"/>
      <c r="FL74" s="870"/>
      <c r="FM74" s="373"/>
      <c r="FN74" s="373"/>
      <c r="FO74" s="373"/>
      <c r="FP74" s="618"/>
      <c r="FQ74" s="374">
        <v>0</v>
      </c>
      <c r="FR74" s="869"/>
      <c r="FS74" s="373"/>
      <c r="FT74" s="373"/>
      <c r="FU74" s="870"/>
      <c r="FV74" s="373"/>
      <c r="FW74" s="373"/>
      <c r="FX74" s="373"/>
      <c r="FY74" s="618"/>
      <c r="FZ74" s="374">
        <v>0</v>
      </c>
      <c r="GA74" s="869"/>
      <c r="GB74" s="373"/>
      <c r="GC74" s="373"/>
      <c r="GD74" s="870"/>
      <c r="GE74" s="373"/>
      <c r="GF74" s="373"/>
      <c r="GG74" s="373"/>
      <c r="GH74" s="618"/>
      <c r="GI74" s="374">
        <v>0</v>
      </c>
      <c r="GJ74" s="869">
        <v>10</v>
      </c>
      <c r="GK74" s="373">
        <v>7</v>
      </c>
      <c r="GL74" s="373">
        <v>10</v>
      </c>
      <c r="GM74" s="870">
        <v>8</v>
      </c>
      <c r="GN74" s="373">
        <v>6</v>
      </c>
      <c r="GO74" s="373">
        <v>5</v>
      </c>
      <c r="GP74" s="373">
        <v>5</v>
      </c>
      <c r="GQ74" s="618">
        <v>10</v>
      </c>
      <c r="GR74" s="374">
        <v>4</v>
      </c>
      <c r="GS74" s="869">
        <v>5</v>
      </c>
      <c r="GT74" s="373">
        <v>1</v>
      </c>
      <c r="GU74" s="373">
        <v>5</v>
      </c>
      <c r="GV74" s="870">
        <v>1</v>
      </c>
      <c r="GW74" s="373">
        <v>3</v>
      </c>
      <c r="GX74" s="373"/>
      <c r="GY74" s="373">
        <v>1</v>
      </c>
      <c r="GZ74" s="618">
        <v>2</v>
      </c>
      <c r="HA74" s="374">
        <v>0</v>
      </c>
      <c r="HB74" s="869"/>
      <c r="HC74" s="373"/>
      <c r="HD74" s="373"/>
      <c r="HE74" s="870"/>
      <c r="HF74" s="373"/>
      <c r="HG74" s="373"/>
      <c r="HH74" s="373"/>
      <c r="HI74" s="618"/>
      <c r="HJ74" s="374">
        <v>0</v>
      </c>
      <c r="HK74" s="869"/>
      <c r="HL74" s="373"/>
      <c r="HM74" s="373"/>
      <c r="HN74" s="870"/>
      <c r="HO74" s="373"/>
      <c r="HP74" s="373"/>
      <c r="HQ74" s="373"/>
      <c r="HR74" s="618"/>
      <c r="HS74" s="374">
        <v>0</v>
      </c>
      <c r="HT74" s="869">
        <v>5</v>
      </c>
      <c r="HU74" s="373">
        <v>2</v>
      </c>
      <c r="HV74" s="373">
        <v>7</v>
      </c>
      <c r="HW74" s="870">
        <v>3</v>
      </c>
      <c r="HX74" s="373">
        <v>4</v>
      </c>
      <c r="HY74" s="373">
        <v>4</v>
      </c>
      <c r="HZ74" s="373">
        <v>3</v>
      </c>
      <c r="IA74" s="618">
        <v>5</v>
      </c>
      <c r="IB74" s="374">
        <v>0</v>
      </c>
      <c r="IC74" s="869">
        <v>14</v>
      </c>
      <c r="ID74" s="373">
        <v>26</v>
      </c>
      <c r="IE74" s="373">
        <v>25</v>
      </c>
      <c r="IF74" s="870">
        <v>11</v>
      </c>
      <c r="IG74" s="373">
        <v>13</v>
      </c>
      <c r="IH74" s="373">
        <v>14</v>
      </c>
      <c r="II74" s="373">
        <v>9</v>
      </c>
      <c r="IJ74" s="618">
        <v>17</v>
      </c>
      <c r="IK74" s="374">
        <v>5</v>
      </c>
      <c r="IL74" s="377"/>
      <c r="IM74" s="373"/>
      <c r="IN74" s="373"/>
      <c r="IO74" s="871">
        <v>1</v>
      </c>
      <c r="IP74" s="871"/>
      <c r="IQ74" s="373">
        <v>2</v>
      </c>
      <c r="IR74" s="373">
        <v>2</v>
      </c>
      <c r="IS74" s="618">
        <v>1</v>
      </c>
      <c r="IT74" s="374">
        <v>1</v>
      </c>
    </row>
    <row r="75" spans="1:254" s="245" customFormat="1" ht="12.75" customHeight="1" x14ac:dyDescent="0.2">
      <c r="A75" s="1052"/>
      <c r="B75" s="868" t="s">
        <v>927</v>
      </c>
      <c r="C75" s="869"/>
      <c r="D75" s="373"/>
      <c r="E75" s="373"/>
      <c r="F75" s="870"/>
      <c r="G75" s="373"/>
      <c r="H75" s="373"/>
      <c r="I75" s="373"/>
      <c r="J75" s="618"/>
      <c r="K75" s="374">
        <v>0</v>
      </c>
      <c r="L75" s="869"/>
      <c r="M75" s="373"/>
      <c r="N75" s="373"/>
      <c r="O75" s="870"/>
      <c r="P75" s="373"/>
      <c r="Q75" s="373"/>
      <c r="R75" s="373"/>
      <c r="S75" s="618"/>
      <c r="T75" s="374">
        <v>0</v>
      </c>
      <c r="U75" s="869"/>
      <c r="V75" s="373"/>
      <c r="W75" s="373"/>
      <c r="X75" s="870"/>
      <c r="Y75" s="373"/>
      <c r="Z75" s="373"/>
      <c r="AA75" s="373"/>
      <c r="AB75" s="618"/>
      <c r="AC75" s="374">
        <v>0</v>
      </c>
      <c r="AD75" s="869">
        <v>1</v>
      </c>
      <c r="AE75" s="373"/>
      <c r="AF75" s="373"/>
      <c r="AG75" s="870"/>
      <c r="AH75" s="373">
        <v>2</v>
      </c>
      <c r="AI75" s="373">
        <v>4</v>
      </c>
      <c r="AJ75" s="373"/>
      <c r="AK75" s="618">
        <v>2</v>
      </c>
      <c r="AL75" s="374">
        <v>1</v>
      </c>
      <c r="AM75" s="869"/>
      <c r="AN75" s="373"/>
      <c r="AO75" s="373"/>
      <c r="AP75" s="870"/>
      <c r="AQ75" s="373"/>
      <c r="AR75" s="373"/>
      <c r="AS75" s="373"/>
      <c r="AT75" s="618">
        <v>1</v>
      </c>
      <c r="AU75" s="374">
        <v>0</v>
      </c>
      <c r="AV75" s="869"/>
      <c r="AW75" s="373"/>
      <c r="AX75" s="373"/>
      <c r="AY75" s="870"/>
      <c r="AZ75" s="373"/>
      <c r="BA75" s="373"/>
      <c r="BB75" s="373"/>
      <c r="BC75" s="618"/>
      <c r="BD75" s="374">
        <v>0</v>
      </c>
      <c r="BE75" s="869"/>
      <c r="BF75" s="373"/>
      <c r="BG75" s="373"/>
      <c r="BH75" s="870"/>
      <c r="BI75" s="373"/>
      <c r="BJ75" s="373"/>
      <c r="BK75" s="373"/>
      <c r="BL75" s="618"/>
      <c r="BM75" s="374">
        <v>0</v>
      </c>
      <c r="BN75" s="869"/>
      <c r="BO75" s="373"/>
      <c r="BP75" s="373"/>
      <c r="BQ75" s="870"/>
      <c r="BR75" s="373"/>
      <c r="BS75" s="373"/>
      <c r="BT75" s="373"/>
      <c r="BU75" s="618"/>
      <c r="BV75" s="374">
        <v>0</v>
      </c>
      <c r="BW75" s="869">
        <v>2</v>
      </c>
      <c r="BX75" s="373">
        <v>1</v>
      </c>
      <c r="BY75" s="373">
        <v>2</v>
      </c>
      <c r="BZ75" s="870"/>
      <c r="CA75" s="373">
        <v>5</v>
      </c>
      <c r="CB75" s="373">
        <v>5</v>
      </c>
      <c r="CC75" s="373">
        <v>1</v>
      </c>
      <c r="CD75" s="618">
        <v>2</v>
      </c>
      <c r="CE75" s="374">
        <v>0</v>
      </c>
      <c r="CF75" s="869">
        <v>1</v>
      </c>
      <c r="CG75" s="373">
        <v>1</v>
      </c>
      <c r="CH75" s="373"/>
      <c r="CI75" s="870"/>
      <c r="CJ75" s="373"/>
      <c r="CK75" s="373"/>
      <c r="CL75" s="373"/>
      <c r="CM75" s="618"/>
      <c r="CN75" s="374">
        <v>0</v>
      </c>
      <c r="CO75" s="869"/>
      <c r="CP75" s="373">
        <v>3</v>
      </c>
      <c r="CQ75" s="373"/>
      <c r="CR75" s="870"/>
      <c r="CS75" s="373"/>
      <c r="CT75" s="373"/>
      <c r="CU75" s="373"/>
      <c r="CV75" s="618"/>
      <c r="CW75" s="374">
        <v>0</v>
      </c>
      <c r="CX75" s="869">
        <v>7</v>
      </c>
      <c r="CY75" s="373">
        <v>7</v>
      </c>
      <c r="CZ75" s="373">
        <v>4</v>
      </c>
      <c r="DA75" s="870">
        <v>2</v>
      </c>
      <c r="DB75" s="373">
        <v>9</v>
      </c>
      <c r="DC75" s="373">
        <v>1</v>
      </c>
      <c r="DD75" s="373"/>
      <c r="DE75" s="618">
        <v>1</v>
      </c>
      <c r="DF75" s="374">
        <v>1</v>
      </c>
      <c r="DG75" s="869"/>
      <c r="DH75" s="373"/>
      <c r="DI75" s="373"/>
      <c r="DJ75" s="870"/>
      <c r="DK75" s="373"/>
      <c r="DL75" s="373"/>
      <c r="DM75" s="373"/>
      <c r="DN75" s="618"/>
      <c r="DO75" s="374">
        <v>0</v>
      </c>
      <c r="DP75" s="869"/>
      <c r="DQ75" s="373"/>
      <c r="DR75" s="373">
        <v>1</v>
      </c>
      <c r="DS75" s="870"/>
      <c r="DT75" s="373"/>
      <c r="DU75" s="373"/>
      <c r="DV75" s="373"/>
      <c r="DW75" s="618"/>
      <c r="DX75" s="374">
        <v>0</v>
      </c>
      <c r="DY75" s="869">
        <v>2</v>
      </c>
      <c r="DZ75" s="373"/>
      <c r="EA75" s="373">
        <v>1</v>
      </c>
      <c r="EB75" s="870">
        <v>1</v>
      </c>
      <c r="EC75" s="373">
        <v>3</v>
      </c>
      <c r="ED75" s="373"/>
      <c r="EE75" s="373"/>
      <c r="EF75" s="618"/>
      <c r="EG75" s="374">
        <v>1</v>
      </c>
      <c r="EH75" s="869">
        <v>1</v>
      </c>
      <c r="EI75" s="373"/>
      <c r="EJ75" s="373"/>
      <c r="EK75" s="870"/>
      <c r="EL75" s="373"/>
      <c r="EM75" s="373"/>
      <c r="EN75" s="373"/>
      <c r="EO75" s="618"/>
      <c r="EP75" s="374">
        <v>0</v>
      </c>
      <c r="EQ75" s="869"/>
      <c r="ER75" s="373"/>
      <c r="ES75" s="373"/>
      <c r="ET75" s="870"/>
      <c r="EU75" s="373"/>
      <c r="EV75" s="373"/>
      <c r="EW75" s="373"/>
      <c r="EX75" s="618"/>
      <c r="EY75" s="374">
        <v>0</v>
      </c>
      <c r="EZ75" s="869"/>
      <c r="FA75" s="373"/>
      <c r="FB75" s="373"/>
      <c r="FC75" s="870"/>
      <c r="FD75" s="373"/>
      <c r="FE75" s="373"/>
      <c r="FF75" s="373"/>
      <c r="FG75" s="618"/>
      <c r="FH75" s="374">
        <v>0</v>
      </c>
      <c r="FI75" s="869"/>
      <c r="FJ75" s="373">
        <v>1</v>
      </c>
      <c r="FK75" s="373"/>
      <c r="FL75" s="870"/>
      <c r="FM75" s="373"/>
      <c r="FN75" s="373"/>
      <c r="FO75" s="373"/>
      <c r="FP75" s="618"/>
      <c r="FQ75" s="374">
        <v>0</v>
      </c>
      <c r="FR75" s="869"/>
      <c r="FS75" s="373"/>
      <c r="FT75" s="373"/>
      <c r="FU75" s="870"/>
      <c r="FV75" s="373"/>
      <c r="FW75" s="373"/>
      <c r="FX75" s="373"/>
      <c r="FY75" s="618"/>
      <c r="FZ75" s="374">
        <v>0</v>
      </c>
      <c r="GA75" s="869"/>
      <c r="GB75" s="373"/>
      <c r="GC75" s="373"/>
      <c r="GD75" s="870"/>
      <c r="GE75" s="373">
        <v>1</v>
      </c>
      <c r="GF75" s="373"/>
      <c r="GG75" s="373"/>
      <c r="GH75" s="618"/>
      <c r="GI75" s="374">
        <v>0</v>
      </c>
      <c r="GJ75" s="869">
        <v>12</v>
      </c>
      <c r="GK75" s="373">
        <v>13</v>
      </c>
      <c r="GL75" s="373">
        <v>6</v>
      </c>
      <c r="GM75" s="870">
        <v>2</v>
      </c>
      <c r="GN75" s="373">
        <v>17</v>
      </c>
      <c r="GO75" s="373">
        <v>10</v>
      </c>
      <c r="GP75" s="373">
        <v>1</v>
      </c>
      <c r="GQ75" s="618">
        <v>5</v>
      </c>
      <c r="GR75" s="374">
        <v>2</v>
      </c>
      <c r="GS75" s="869">
        <v>5</v>
      </c>
      <c r="GT75" s="373">
        <v>3</v>
      </c>
      <c r="GU75" s="373">
        <v>4</v>
      </c>
      <c r="GV75" s="870"/>
      <c r="GW75" s="373">
        <v>5</v>
      </c>
      <c r="GX75" s="373">
        <v>3</v>
      </c>
      <c r="GY75" s="373">
        <v>1</v>
      </c>
      <c r="GZ75" s="618">
        <v>3</v>
      </c>
      <c r="HA75" s="374">
        <v>0</v>
      </c>
      <c r="HB75" s="869"/>
      <c r="HC75" s="373"/>
      <c r="HD75" s="373"/>
      <c r="HE75" s="870"/>
      <c r="HF75" s="373"/>
      <c r="HG75" s="373"/>
      <c r="HH75" s="373"/>
      <c r="HI75" s="618"/>
      <c r="HJ75" s="374">
        <v>0</v>
      </c>
      <c r="HK75" s="869"/>
      <c r="HL75" s="373">
        <v>2</v>
      </c>
      <c r="HM75" s="373"/>
      <c r="HN75" s="870"/>
      <c r="HO75" s="373"/>
      <c r="HP75" s="373"/>
      <c r="HQ75" s="373"/>
      <c r="HR75" s="618"/>
      <c r="HS75" s="374">
        <v>0</v>
      </c>
      <c r="HT75" s="869">
        <v>8</v>
      </c>
      <c r="HU75" s="373">
        <v>7</v>
      </c>
      <c r="HV75" s="373">
        <v>8</v>
      </c>
      <c r="HW75" s="870"/>
      <c r="HX75" s="373">
        <v>7</v>
      </c>
      <c r="HY75" s="373">
        <v>3</v>
      </c>
      <c r="HZ75" s="373">
        <v>4</v>
      </c>
      <c r="IA75" s="618">
        <v>4</v>
      </c>
      <c r="IB75" s="374">
        <v>1</v>
      </c>
      <c r="IC75" s="869">
        <v>17</v>
      </c>
      <c r="ID75" s="373">
        <v>30</v>
      </c>
      <c r="IE75" s="373">
        <v>12</v>
      </c>
      <c r="IF75" s="870">
        <v>8</v>
      </c>
      <c r="IG75" s="373">
        <v>21</v>
      </c>
      <c r="IH75" s="373">
        <v>11</v>
      </c>
      <c r="II75" s="373">
        <v>11</v>
      </c>
      <c r="IJ75" s="618">
        <v>9</v>
      </c>
      <c r="IK75" s="374">
        <v>6</v>
      </c>
      <c r="IL75" s="377">
        <v>3</v>
      </c>
      <c r="IM75" s="373">
        <v>1</v>
      </c>
      <c r="IN75" s="373">
        <v>1</v>
      </c>
      <c r="IO75" s="871"/>
      <c r="IP75" s="871">
        <v>4</v>
      </c>
      <c r="IQ75" s="373"/>
      <c r="IR75" s="373"/>
      <c r="IS75" s="618"/>
      <c r="IT75" s="374">
        <v>1</v>
      </c>
    </row>
    <row r="76" spans="1:254" s="245" customFormat="1" ht="12.75" customHeight="1" x14ac:dyDescent="0.2">
      <c r="A76" s="1052"/>
      <c r="B76" s="868" t="s">
        <v>928</v>
      </c>
      <c r="C76" s="869"/>
      <c r="D76" s="373"/>
      <c r="E76" s="373"/>
      <c r="F76" s="870"/>
      <c r="G76" s="373"/>
      <c r="H76" s="373"/>
      <c r="I76" s="373"/>
      <c r="J76" s="618"/>
      <c r="K76" s="374">
        <v>0</v>
      </c>
      <c r="L76" s="869"/>
      <c r="M76" s="373"/>
      <c r="N76" s="373"/>
      <c r="O76" s="870"/>
      <c r="P76" s="373"/>
      <c r="Q76" s="373"/>
      <c r="R76" s="373"/>
      <c r="S76" s="618"/>
      <c r="T76" s="374">
        <v>0</v>
      </c>
      <c r="U76" s="869"/>
      <c r="V76" s="373"/>
      <c r="W76" s="373"/>
      <c r="X76" s="870"/>
      <c r="Y76" s="373"/>
      <c r="Z76" s="373"/>
      <c r="AA76" s="373"/>
      <c r="AB76" s="618"/>
      <c r="AC76" s="374">
        <v>0</v>
      </c>
      <c r="AD76" s="869"/>
      <c r="AE76" s="373"/>
      <c r="AF76" s="373">
        <v>1</v>
      </c>
      <c r="AG76" s="870"/>
      <c r="AH76" s="373"/>
      <c r="AI76" s="373"/>
      <c r="AJ76" s="373"/>
      <c r="AK76" s="618"/>
      <c r="AL76" s="374">
        <v>0</v>
      </c>
      <c r="AM76" s="869"/>
      <c r="AN76" s="373"/>
      <c r="AO76" s="373">
        <v>1</v>
      </c>
      <c r="AP76" s="870"/>
      <c r="AQ76" s="373"/>
      <c r="AR76" s="373"/>
      <c r="AS76" s="373"/>
      <c r="AT76" s="618"/>
      <c r="AU76" s="374">
        <v>0</v>
      </c>
      <c r="AV76" s="869"/>
      <c r="AW76" s="373"/>
      <c r="AX76" s="373"/>
      <c r="AY76" s="870"/>
      <c r="AZ76" s="373"/>
      <c r="BA76" s="373"/>
      <c r="BB76" s="373"/>
      <c r="BC76" s="618"/>
      <c r="BD76" s="374">
        <v>0</v>
      </c>
      <c r="BE76" s="869"/>
      <c r="BF76" s="373"/>
      <c r="BG76" s="373"/>
      <c r="BH76" s="870"/>
      <c r="BI76" s="373"/>
      <c r="BJ76" s="373"/>
      <c r="BK76" s="373"/>
      <c r="BL76" s="618"/>
      <c r="BM76" s="374">
        <v>0</v>
      </c>
      <c r="BN76" s="869"/>
      <c r="BO76" s="373"/>
      <c r="BP76" s="373"/>
      <c r="BQ76" s="870"/>
      <c r="BR76" s="373"/>
      <c r="BS76" s="373"/>
      <c r="BT76" s="373"/>
      <c r="BU76" s="618"/>
      <c r="BV76" s="374">
        <v>0</v>
      </c>
      <c r="BW76" s="869"/>
      <c r="BX76" s="373"/>
      <c r="BY76" s="373"/>
      <c r="BZ76" s="870">
        <v>2</v>
      </c>
      <c r="CA76" s="373">
        <v>1</v>
      </c>
      <c r="CB76" s="373"/>
      <c r="CC76" s="373"/>
      <c r="CD76" s="618"/>
      <c r="CE76" s="374">
        <v>0</v>
      </c>
      <c r="CF76" s="869"/>
      <c r="CG76" s="373"/>
      <c r="CH76" s="373"/>
      <c r="CI76" s="870"/>
      <c r="CJ76" s="373"/>
      <c r="CK76" s="373"/>
      <c r="CL76" s="373"/>
      <c r="CM76" s="618"/>
      <c r="CN76" s="374">
        <v>0</v>
      </c>
      <c r="CO76" s="869"/>
      <c r="CP76" s="373"/>
      <c r="CQ76" s="373"/>
      <c r="CR76" s="870"/>
      <c r="CS76" s="373"/>
      <c r="CT76" s="373"/>
      <c r="CU76" s="373"/>
      <c r="CV76" s="618"/>
      <c r="CW76" s="374">
        <v>0</v>
      </c>
      <c r="CX76" s="869">
        <v>1</v>
      </c>
      <c r="CY76" s="373">
        <v>1</v>
      </c>
      <c r="CZ76" s="373">
        <v>2</v>
      </c>
      <c r="DA76" s="870">
        <v>5</v>
      </c>
      <c r="DB76" s="373">
        <v>2</v>
      </c>
      <c r="DC76" s="373">
        <v>5</v>
      </c>
      <c r="DD76" s="373">
        <v>2</v>
      </c>
      <c r="DE76" s="618"/>
      <c r="DF76" s="374">
        <v>1</v>
      </c>
      <c r="DG76" s="869"/>
      <c r="DH76" s="373"/>
      <c r="DI76" s="373"/>
      <c r="DJ76" s="870"/>
      <c r="DK76" s="373"/>
      <c r="DL76" s="373">
        <v>1</v>
      </c>
      <c r="DM76" s="373"/>
      <c r="DN76" s="618"/>
      <c r="DO76" s="374">
        <v>0</v>
      </c>
      <c r="DP76" s="869"/>
      <c r="DQ76" s="373"/>
      <c r="DR76" s="373"/>
      <c r="DS76" s="870"/>
      <c r="DT76" s="373"/>
      <c r="DU76" s="373"/>
      <c r="DV76" s="373"/>
      <c r="DW76" s="618"/>
      <c r="DX76" s="374">
        <v>0</v>
      </c>
      <c r="DY76" s="869">
        <v>1</v>
      </c>
      <c r="DZ76" s="373"/>
      <c r="EA76" s="373"/>
      <c r="EB76" s="870">
        <v>2</v>
      </c>
      <c r="EC76" s="373">
        <v>1</v>
      </c>
      <c r="ED76" s="373">
        <v>2</v>
      </c>
      <c r="EE76" s="373">
        <v>2</v>
      </c>
      <c r="EF76" s="618"/>
      <c r="EG76" s="374">
        <v>1</v>
      </c>
      <c r="EH76" s="869"/>
      <c r="EI76" s="373"/>
      <c r="EJ76" s="373"/>
      <c r="EK76" s="870"/>
      <c r="EL76" s="373"/>
      <c r="EM76" s="373">
        <v>1</v>
      </c>
      <c r="EN76" s="373"/>
      <c r="EO76" s="618"/>
      <c r="EP76" s="374">
        <v>0</v>
      </c>
      <c r="EQ76" s="869"/>
      <c r="ER76" s="373"/>
      <c r="ES76" s="373"/>
      <c r="ET76" s="870"/>
      <c r="EU76" s="373"/>
      <c r="EV76" s="373"/>
      <c r="EW76" s="373"/>
      <c r="EX76" s="618"/>
      <c r="EY76" s="374">
        <v>0</v>
      </c>
      <c r="EZ76" s="869"/>
      <c r="FA76" s="373"/>
      <c r="FB76" s="373"/>
      <c r="FC76" s="870"/>
      <c r="FD76" s="373"/>
      <c r="FE76" s="373"/>
      <c r="FF76" s="373"/>
      <c r="FG76" s="618"/>
      <c r="FH76" s="374">
        <v>0</v>
      </c>
      <c r="FI76" s="869">
        <v>1</v>
      </c>
      <c r="FJ76" s="373"/>
      <c r="FK76" s="373"/>
      <c r="FL76" s="870"/>
      <c r="FM76" s="373"/>
      <c r="FN76" s="373"/>
      <c r="FO76" s="373"/>
      <c r="FP76" s="618"/>
      <c r="FQ76" s="374">
        <v>0</v>
      </c>
      <c r="FR76" s="869"/>
      <c r="FS76" s="373"/>
      <c r="FT76" s="373"/>
      <c r="FU76" s="870"/>
      <c r="FV76" s="373"/>
      <c r="FW76" s="373"/>
      <c r="FX76" s="373"/>
      <c r="FY76" s="618"/>
      <c r="FZ76" s="374">
        <v>0</v>
      </c>
      <c r="GA76" s="869"/>
      <c r="GB76" s="373"/>
      <c r="GC76" s="373"/>
      <c r="GD76" s="870"/>
      <c r="GE76" s="373"/>
      <c r="GF76" s="373"/>
      <c r="GG76" s="373"/>
      <c r="GH76" s="618"/>
      <c r="GI76" s="374">
        <v>0</v>
      </c>
      <c r="GJ76" s="869">
        <v>2</v>
      </c>
      <c r="GK76" s="373">
        <v>1</v>
      </c>
      <c r="GL76" s="373">
        <v>3</v>
      </c>
      <c r="GM76" s="870">
        <v>7</v>
      </c>
      <c r="GN76" s="373">
        <v>3</v>
      </c>
      <c r="GO76" s="373">
        <v>6</v>
      </c>
      <c r="GP76" s="373">
        <v>2</v>
      </c>
      <c r="GQ76" s="618"/>
      <c r="GR76" s="374">
        <v>1</v>
      </c>
      <c r="GS76" s="869"/>
      <c r="GT76" s="373"/>
      <c r="GU76" s="373">
        <v>2</v>
      </c>
      <c r="GV76" s="870"/>
      <c r="GW76" s="373">
        <v>1</v>
      </c>
      <c r="GX76" s="373">
        <v>2</v>
      </c>
      <c r="GY76" s="373"/>
      <c r="GZ76" s="618"/>
      <c r="HA76" s="374">
        <v>0</v>
      </c>
      <c r="HB76" s="869">
        <v>2</v>
      </c>
      <c r="HC76" s="373"/>
      <c r="HD76" s="373"/>
      <c r="HE76" s="870"/>
      <c r="HF76" s="373"/>
      <c r="HG76" s="373"/>
      <c r="HH76" s="373"/>
      <c r="HI76" s="618"/>
      <c r="HJ76" s="374">
        <v>0</v>
      </c>
      <c r="HK76" s="869"/>
      <c r="HL76" s="373"/>
      <c r="HM76" s="373"/>
      <c r="HN76" s="870"/>
      <c r="HO76" s="373"/>
      <c r="HP76" s="373"/>
      <c r="HQ76" s="373"/>
      <c r="HR76" s="618"/>
      <c r="HS76" s="374">
        <v>0</v>
      </c>
      <c r="HT76" s="869">
        <v>3</v>
      </c>
      <c r="HU76" s="373">
        <v>1</v>
      </c>
      <c r="HV76" s="373">
        <v>2</v>
      </c>
      <c r="HW76" s="870"/>
      <c r="HX76" s="373">
        <v>1</v>
      </c>
      <c r="HY76" s="373">
        <v>5</v>
      </c>
      <c r="HZ76" s="373"/>
      <c r="IA76" s="618">
        <v>2</v>
      </c>
      <c r="IB76" s="374">
        <v>1</v>
      </c>
      <c r="IC76" s="869">
        <v>8</v>
      </c>
      <c r="ID76" s="373">
        <v>2</v>
      </c>
      <c r="IE76" s="373">
        <v>3</v>
      </c>
      <c r="IF76" s="870">
        <v>8</v>
      </c>
      <c r="IG76" s="373">
        <v>6</v>
      </c>
      <c r="IH76" s="373">
        <v>11</v>
      </c>
      <c r="II76" s="373">
        <v>3</v>
      </c>
      <c r="IJ76" s="618">
        <v>3</v>
      </c>
      <c r="IK76" s="374">
        <v>3</v>
      </c>
      <c r="IL76" s="377">
        <v>1</v>
      </c>
      <c r="IM76" s="373"/>
      <c r="IN76" s="373">
        <v>1</v>
      </c>
      <c r="IO76" s="871">
        <v>3</v>
      </c>
      <c r="IP76" s="871"/>
      <c r="IQ76" s="373">
        <v>3</v>
      </c>
      <c r="IR76" s="373">
        <v>2</v>
      </c>
      <c r="IS76" s="618"/>
      <c r="IT76" s="374">
        <v>1</v>
      </c>
    </row>
    <row r="77" spans="1:254" s="245" customFormat="1" ht="12.75" customHeight="1" x14ac:dyDescent="0.2">
      <c r="A77" s="1052"/>
      <c r="B77" s="868" t="s">
        <v>929</v>
      </c>
      <c r="C77" s="869"/>
      <c r="D77" s="373"/>
      <c r="E77" s="373"/>
      <c r="F77" s="870"/>
      <c r="G77" s="373"/>
      <c r="H77" s="373"/>
      <c r="I77" s="373"/>
      <c r="J77" s="618"/>
      <c r="K77" s="374">
        <v>0</v>
      </c>
      <c r="L77" s="869"/>
      <c r="M77" s="373"/>
      <c r="N77" s="373"/>
      <c r="O77" s="870"/>
      <c r="P77" s="373"/>
      <c r="Q77" s="373"/>
      <c r="R77" s="373"/>
      <c r="S77" s="618"/>
      <c r="T77" s="374">
        <v>0</v>
      </c>
      <c r="U77" s="869"/>
      <c r="V77" s="373"/>
      <c r="W77" s="373"/>
      <c r="X77" s="870"/>
      <c r="Y77" s="373"/>
      <c r="Z77" s="373"/>
      <c r="AA77" s="373"/>
      <c r="AB77" s="618"/>
      <c r="AC77" s="374">
        <v>0</v>
      </c>
      <c r="AD77" s="869">
        <v>1</v>
      </c>
      <c r="AE77" s="373"/>
      <c r="AF77" s="373"/>
      <c r="AG77" s="870">
        <v>1</v>
      </c>
      <c r="AH77" s="373"/>
      <c r="AI77" s="373"/>
      <c r="AJ77" s="373"/>
      <c r="AK77" s="618"/>
      <c r="AL77" s="374">
        <v>2</v>
      </c>
      <c r="AM77" s="869">
        <v>1</v>
      </c>
      <c r="AN77" s="373"/>
      <c r="AO77" s="373"/>
      <c r="AP77" s="870">
        <v>1</v>
      </c>
      <c r="AQ77" s="373"/>
      <c r="AR77" s="373"/>
      <c r="AS77" s="373"/>
      <c r="AT77" s="618"/>
      <c r="AU77" s="374">
        <v>1</v>
      </c>
      <c r="AV77" s="869"/>
      <c r="AW77" s="373"/>
      <c r="AX77" s="373"/>
      <c r="AY77" s="870"/>
      <c r="AZ77" s="373"/>
      <c r="BA77" s="373"/>
      <c r="BB77" s="373"/>
      <c r="BC77" s="618"/>
      <c r="BD77" s="374">
        <v>0</v>
      </c>
      <c r="BE77" s="869"/>
      <c r="BF77" s="373"/>
      <c r="BG77" s="373"/>
      <c r="BH77" s="870"/>
      <c r="BI77" s="373"/>
      <c r="BJ77" s="373"/>
      <c r="BK77" s="373"/>
      <c r="BL77" s="618"/>
      <c r="BM77" s="374">
        <v>0</v>
      </c>
      <c r="BN77" s="869"/>
      <c r="BO77" s="373"/>
      <c r="BP77" s="373"/>
      <c r="BQ77" s="870"/>
      <c r="BR77" s="373"/>
      <c r="BS77" s="373"/>
      <c r="BT77" s="373"/>
      <c r="BU77" s="618"/>
      <c r="BV77" s="374">
        <v>0</v>
      </c>
      <c r="BW77" s="869"/>
      <c r="BX77" s="373"/>
      <c r="BY77" s="373"/>
      <c r="BZ77" s="870"/>
      <c r="CA77" s="373"/>
      <c r="CB77" s="373"/>
      <c r="CC77" s="373"/>
      <c r="CD77" s="618"/>
      <c r="CE77" s="374">
        <v>1</v>
      </c>
      <c r="CF77" s="869"/>
      <c r="CG77" s="373"/>
      <c r="CH77" s="373"/>
      <c r="CI77" s="870"/>
      <c r="CJ77" s="373"/>
      <c r="CK77" s="373"/>
      <c r="CL77" s="373"/>
      <c r="CM77" s="618"/>
      <c r="CN77" s="374">
        <v>0</v>
      </c>
      <c r="CO77" s="869"/>
      <c r="CP77" s="373"/>
      <c r="CQ77" s="373"/>
      <c r="CR77" s="870"/>
      <c r="CS77" s="373"/>
      <c r="CT77" s="373"/>
      <c r="CU77" s="373"/>
      <c r="CV77" s="618"/>
      <c r="CW77" s="374">
        <v>0</v>
      </c>
      <c r="CX77" s="869">
        <v>6</v>
      </c>
      <c r="CY77" s="373">
        <v>8</v>
      </c>
      <c r="CZ77" s="373">
        <v>3</v>
      </c>
      <c r="DA77" s="870"/>
      <c r="DB77" s="373">
        <v>2</v>
      </c>
      <c r="DC77" s="373"/>
      <c r="DD77" s="373"/>
      <c r="DE77" s="618">
        <v>2</v>
      </c>
      <c r="DF77" s="374">
        <v>0</v>
      </c>
      <c r="DG77" s="869"/>
      <c r="DH77" s="373"/>
      <c r="DI77" s="373"/>
      <c r="DJ77" s="870"/>
      <c r="DK77" s="373"/>
      <c r="DL77" s="373"/>
      <c r="DM77" s="373"/>
      <c r="DN77" s="618"/>
      <c r="DO77" s="374">
        <v>0</v>
      </c>
      <c r="DP77" s="869"/>
      <c r="DQ77" s="373">
        <v>1</v>
      </c>
      <c r="DR77" s="373"/>
      <c r="DS77" s="870"/>
      <c r="DT77" s="373"/>
      <c r="DU77" s="373"/>
      <c r="DV77" s="373"/>
      <c r="DW77" s="618"/>
      <c r="DX77" s="374">
        <v>0</v>
      </c>
      <c r="DY77" s="869">
        <v>3</v>
      </c>
      <c r="DZ77" s="373">
        <v>3</v>
      </c>
      <c r="EA77" s="373"/>
      <c r="EB77" s="870"/>
      <c r="EC77" s="373">
        <v>1</v>
      </c>
      <c r="ED77" s="373"/>
      <c r="EE77" s="373"/>
      <c r="EF77" s="618"/>
      <c r="EG77" s="374">
        <v>0</v>
      </c>
      <c r="EH77" s="869"/>
      <c r="EI77" s="373">
        <v>1</v>
      </c>
      <c r="EJ77" s="373"/>
      <c r="EK77" s="870"/>
      <c r="EL77" s="373"/>
      <c r="EM77" s="373"/>
      <c r="EN77" s="373"/>
      <c r="EO77" s="618"/>
      <c r="EP77" s="374">
        <v>0</v>
      </c>
      <c r="EQ77" s="869"/>
      <c r="ER77" s="373"/>
      <c r="ES77" s="373"/>
      <c r="ET77" s="870"/>
      <c r="EU77" s="373"/>
      <c r="EV77" s="373"/>
      <c r="EW77" s="373"/>
      <c r="EX77" s="618"/>
      <c r="EY77" s="374">
        <v>0</v>
      </c>
      <c r="EZ77" s="869"/>
      <c r="FA77" s="373"/>
      <c r="FB77" s="373"/>
      <c r="FC77" s="870"/>
      <c r="FD77" s="373"/>
      <c r="FE77" s="373"/>
      <c r="FF77" s="373"/>
      <c r="FG77" s="618"/>
      <c r="FH77" s="374">
        <v>0</v>
      </c>
      <c r="FI77" s="869"/>
      <c r="FJ77" s="373">
        <v>2</v>
      </c>
      <c r="FK77" s="373"/>
      <c r="FL77" s="870"/>
      <c r="FM77" s="373"/>
      <c r="FN77" s="373"/>
      <c r="FO77" s="373"/>
      <c r="FP77" s="618"/>
      <c r="FQ77" s="374">
        <v>0</v>
      </c>
      <c r="FR77" s="869"/>
      <c r="FS77" s="373"/>
      <c r="FT77" s="373"/>
      <c r="FU77" s="870"/>
      <c r="FV77" s="373"/>
      <c r="FW77" s="373"/>
      <c r="FX77" s="373"/>
      <c r="FY77" s="618"/>
      <c r="FZ77" s="374">
        <v>0</v>
      </c>
      <c r="GA77" s="869"/>
      <c r="GB77" s="373">
        <v>1</v>
      </c>
      <c r="GC77" s="373"/>
      <c r="GD77" s="870"/>
      <c r="GE77" s="373"/>
      <c r="GF77" s="373"/>
      <c r="GG77" s="373">
        <v>1</v>
      </c>
      <c r="GH77" s="618"/>
      <c r="GI77" s="374">
        <v>0</v>
      </c>
      <c r="GJ77" s="869">
        <v>7</v>
      </c>
      <c r="GK77" s="373">
        <v>12</v>
      </c>
      <c r="GL77" s="373">
        <v>3</v>
      </c>
      <c r="GM77" s="870">
        <v>1</v>
      </c>
      <c r="GN77" s="373">
        <v>2</v>
      </c>
      <c r="GO77" s="373"/>
      <c r="GP77" s="373">
        <v>1</v>
      </c>
      <c r="GQ77" s="618">
        <v>2</v>
      </c>
      <c r="GR77" s="374">
        <v>3</v>
      </c>
      <c r="GS77" s="869">
        <v>2</v>
      </c>
      <c r="GT77" s="373">
        <v>5</v>
      </c>
      <c r="GU77" s="373">
        <v>1</v>
      </c>
      <c r="GV77" s="870"/>
      <c r="GW77" s="373"/>
      <c r="GX77" s="373"/>
      <c r="GY77" s="373">
        <v>1</v>
      </c>
      <c r="GZ77" s="618">
        <v>1</v>
      </c>
      <c r="HA77" s="374">
        <v>3</v>
      </c>
      <c r="HB77" s="869"/>
      <c r="HC77" s="373"/>
      <c r="HD77" s="373"/>
      <c r="HE77" s="870"/>
      <c r="HF77" s="373"/>
      <c r="HG77" s="373"/>
      <c r="HH77" s="373"/>
      <c r="HI77" s="618"/>
      <c r="HJ77" s="374">
        <v>0</v>
      </c>
      <c r="HK77" s="869"/>
      <c r="HL77" s="373">
        <v>1</v>
      </c>
      <c r="HM77" s="373"/>
      <c r="HN77" s="870"/>
      <c r="HO77" s="373"/>
      <c r="HP77" s="373"/>
      <c r="HQ77" s="373"/>
      <c r="HR77" s="618">
        <v>1</v>
      </c>
      <c r="HS77" s="374">
        <v>0</v>
      </c>
      <c r="HT77" s="869">
        <v>2</v>
      </c>
      <c r="HU77" s="373">
        <v>7</v>
      </c>
      <c r="HV77" s="373">
        <v>1</v>
      </c>
      <c r="HW77" s="870">
        <v>1</v>
      </c>
      <c r="HX77" s="373">
        <v>2</v>
      </c>
      <c r="HY77" s="373"/>
      <c r="HZ77" s="373">
        <v>3</v>
      </c>
      <c r="IA77" s="618">
        <v>2</v>
      </c>
      <c r="IB77" s="374">
        <v>6</v>
      </c>
      <c r="IC77" s="869">
        <v>12</v>
      </c>
      <c r="ID77" s="373">
        <v>18</v>
      </c>
      <c r="IE77" s="373">
        <v>3</v>
      </c>
      <c r="IF77" s="870">
        <v>3</v>
      </c>
      <c r="IG77" s="373">
        <v>6</v>
      </c>
      <c r="IH77" s="373">
        <v>1</v>
      </c>
      <c r="II77" s="373">
        <v>3</v>
      </c>
      <c r="IJ77" s="618">
        <v>3</v>
      </c>
      <c r="IK77" s="374">
        <v>7</v>
      </c>
      <c r="IL77" s="377">
        <v>4</v>
      </c>
      <c r="IM77" s="373">
        <v>4</v>
      </c>
      <c r="IN77" s="373"/>
      <c r="IO77" s="871"/>
      <c r="IP77" s="871">
        <v>1</v>
      </c>
      <c r="IQ77" s="373"/>
      <c r="IR77" s="373"/>
      <c r="IS77" s="618"/>
      <c r="IT77" s="374">
        <v>0</v>
      </c>
    </row>
    <row r="78" spans="1:254" s="245" customFormat="1" ht="12.75" customHeight="1" x14ac:dyDescent="0.2">
      <c r="A78" s="1052"/>
      <c r="B78" s="868" t="s">
        <v>930</v>
      </c>
      <c r="C78" s="869"/>
      <c r="D78" s="373"/>
      <c r="E78" s="373"/>
      <c r="F78" s="870"/>
      <c r="G78" s="373"/>
      <c r="H78" s="373"/>
      <c r="I78" s="373"/>
      <c r="J78" s="618"/>
      <c r="K78" s="374">
        <v>0</v>
      </c>
      <c r="L78" s="869"/>
      <c r="M78" s="373"/>
      <c r="N78" s="373"/>
      <c r="O78" s="870"/>
      <c r="P78" s="373"/>
      <c r="Q78" s="373"/>
      <c r="R78" s="373"/>
      <c r="S78" s="618"/>
      <c r="T78" s="374">
        <v>0</v>
      </c>
      <c r="U78" s="869"/>
      <c r="V78" s="373"/>
      <c r="W78" s="373"/>
      <c r="X78" s="870"/>
      <c r="Y78" s="373"/>
      <c r="Z78" s="373"/>
      <c r="AA78" s="373"/>
      <c r="AB78" s="618"/>
      <c r="AC78" s="374">
        <v>0</v>
      </c>
      <c r="AD78" s="869"/>
      <c r="AE78" s="373"/>
      <c r="AF78" s="373"/>
      <c r="AG78" s="870"/>
      <c r="AH78" s="373"/>
      <c r="AI78" s="373"/>
      <c r="AJ78" s="373"/>
      <c r="AK78" s="618"/>
      <c r="AL78" s="374">
        <v>0</v>
      </c>
      <c r="AM78" s="869"/>
      <c r="AN78" s="373"/>
      <c r="AO78" s="373"/>
      <c r="AP78" s="870"/>
      <c r="AQ78" s="373"/>
      <c r="AR78" s="373"/>
      <c r="AS78" s="373"/>
      <c r="AT78" s="618"/>
      <c r="AU78" s="374">
        <v>0</v>
      </c>
      <c r="AV78" s="869"/>
      <c r="AW78" s="373"/>
      <c r="AX78" s="373"/>
      <c r="AY78" s="870"/>
      <c r="AZ78" s="373"/>
      <c r="BA78" s="373"/>
      <c r="BB78" s="373"/>
      <c r="BC78" s="618"/>
      <c r="BD78" s="374">
        <v>0</v>
      </c>
      <c r="BE78" s="869"/>
      <c r="BF78" s="373"/>
      <c r="BG78" s="373"/>
      <c r="BH78" s="870"/>
      <c r="BI78" s="373"/>
      <c r="BJ78" s="373"/>
      <c r="BK78" s="373"/>
      <c r="BL78" s="618"/>
      <c r="BM78" s="374">
        <v>0</v>
      </c>
      <c r="BN78" s="869"/>
      <c r="BO78" s="373"/>
      <c r="BP78" s="373"/>
      <c r="BQ78" s="870"/>
      <c r="BR78" s="373"/>
      <c r="BS78" s="373"/>
      <c r="BT78" s="373"/>
      <c r="BU78" s="618"/>
      <c r="BV78" s="374">
        <v>0</v>
      </c>
      <c r="BW78" s="869"/>
      <c r="BX78" s="373"/>
      <c r="BY78" s="373"/>
      <c r="BZ78" s="870"/>
      <c r="CA78" s="373"/>
      <c r="CB78" s="373"/>
      <c r="CC78" s="373"/>
      <c r="CD78" s="618"/>
      <c r="CE78" s="374">
        <v>0</v>
      </c>
      <c r="CF78" s="869"/>
      <c r="CG78" s="373"/>
      <c r="CH78" s="373"/>
      <c r="CI78" s="870"/>
      <c r="CJ78" s="373"/>
      <c r="CK78" s="373"/>
      <c r="CL78" s="373"/>
      <c r="CM78" s="618"/>
      <c r="CN78" s="374">
        <v>0</v>
      </c>
      <c r="CO78" s="869"/>
      <c r="CP78" s="373"/>
      <c r="CQ78" s="373"/>
      <c r="CR78" s="870"/>
      <c r="CS78" s="373"/>
      <c r="CT78" s="373"/>
      <c r="CU78" s="373"/>
      <c r="CV78" s="618"/>
      <c r="CW78" s="374">
        <v>0</v>
      </c>
      <c r="CX78" s="869">
        <v>3</v>
      </c>
      <c r="CY78" s="373"/>
      <c r="CZ78" s="373">
        <v>2</v>
      </c>
      <c r="DA78" s="870">
        <v>1</v>
      </c>
      <c r="DB78" s="373">
        <v>1</v>
      </c>
      <c r="DC78" s="373">
        <v>1</v>
      </c>
      <c r="DD78" s="373">
        <v>1</v>
      </c>
      <c r="DE78" s="618"/>
      <c r="DF78" s="374">
        <v>0</v>
      </c>
      <c r="DG78" s="869"/>
      <c r="DH78" s="373"/>
      <c r="DI78" s="373"/>
      <c r="DJ78" s="870"/>
      <c r="DK78" s="373"/>
      <c r="DL78" s="373"/>
      <c r="DM78" s="373"/>
      <c r="DN78" s="618"/>
      <c r="DO78" s="374">
        <v>0</v>
      </c>
      <c r="DP78" s="869"/>
      <c r="DQ78" s="373"/>
      <c r="DR78" s="373"/>
      <c r="DS78" s="870"/>
      <c r="DT78" s="373">
        <v>1</v>
      </c>
      <c r="DU78" s="373"/>
      <c r="DV78" s="373"/>
      <c r="DW78" s="618"/>
      <c r="DX78" s="374">
        <v>0</v>
      </c>
      <c r="DY78" s="869">
        <v>1</v>
      </c>
      <c r="DZ78" s="373"/>
      <c r="EA78" s="373">
        <v>1</v>
      </c>
      <c r="EB78" s="870">
        <v>1</v>
      </c>
      <c r="EC78" s="373"/>
      <c r="ED78" s="373"/>
      <c r="EE78" s="373"/>
      <c r="EF78" s="618"/>
      <c r="EG78" s="374">
        <v>0</v>
      </c>
      <c r="EH78" s="869"/>
      <c r="EI78" s="373"/>
      <c r="EJ78" s="373"/>
      <c r="EK78" s="870"/>
      <c r="EL78" s="373"/>
      <c r="EM78" s="373"/>
      <c r="EN78" s="373"/>
      <c r="EO78" s="618"/>
      <c r="EP78" s="374">
        <v>0</v>
      </c>
      <c r="EQ78" s="869"/>
      <c r="ER78" s="373"/>
      <c r="ES78" s="373"/>
      <c r="ET78" s="870"/>
      <c r="EU78" s="373"/>
      <c r="EV78" s="373"/>
      <c r="EW78" s="373"/>
      <c r="EX78" s="618"/>
      <c r="EY78" s="374">
        <v>0</v>
      </c>
      <c r="EZ78" s="869"/>
      <c r="FA78" s="373"/>
      <c r="FB78" s="373"/>
      <c r="FC78" s="870"/>
      <c r="FD78" s="373"/>
      <c r="FE78" s="373"/>
      <c r="FF78" s="373"/>
      <c r="FG78" s="618"/>
      <c r="FH78" s="374">
        <v>0</v>
      </c>
      <c r="FI78" s="869"/>
      <c r="FJ78" s="373"/>
      <c r="FK78" s="373"/>
      <c r="FL78" s="870"/>
      <c r="FM78" s="373"/>
      <c r="FN78" s="373"/>
      <c r="FO78" s="373"/>
      <c r="FP78" s="618"/>
      <c r="FQ78" s="374">
        <v>0</v>
      </c>
      <c r="FR78" s="869"/>
      <c r="FS78" s="373"/>
      <c r="FT78" s="373"/>
      <c r="FU78" s="870"/>
      <c r="FV78" s="373"/>
      <c r="FW78" s="373"/>
      <c r="FX78" s="373"/>
      <c r="FY78" s="618"/>
      <c r="FZ78" s="374">
        <v>0</v>
      </c>
      <c r="GA78" s="869"/>
      <c r="GB78" s="373">
        <v>1</v>
      </c>
      <c r="GC78" s="373"/>
      <c r="GD78" s="870"/>
      <c r="GE78" s="373"/>
      <c r="GF78" s="373"/>
      <c r="GG78" s="373"/>
      <c r="GH78" s="618"/>
      <c r="GI78" s="374">
        <v>0</v>
      </c>
      <c r="GJ78" s="869">
        <v>3</v>
      </c>
      <c r="GK78" s="373">
        <v>1</v>
      </c>
      <c r="GL78" s="373">
        <v>2</v>
      </c>
      <c r="GM78" s="870">
        <v>1</v>
      </c>
      <c r="GN78" s="373">
        <v>1</v>
      </c>
      <c r="GO78" s="373">
        <v>1</v>
      </c>
      <c r="GP78" s="373">
        <v>1</v>
      </c>
      <c r="GQ78" s="618"/>
      <c r="GR78" s="374">
        <v>0</v>
      </c>
      <c r="GS78" s="869">
        <v>1</v>
      </c>
      <c r="GT78" s="373">
        <v>1</v>
      </c>
      <c r="GU78" s="373">
        <v>1</v>
      </c>
      <c r="GV78" s="870"/>
      <c r="GW78" s="373"/>
      <c r="GX78" s="373"/>
      <c r="GY78" s="373"/>
      <c r="GZ78" s="618"/>
      <c r="HA78" s="374">
        <v>0</v>
      </c>
      <c r="HB78" s="869"/>
      <c r="HC78" s="373"/>
      <c r="HD78" s="373"/>
      <c r="HE78" s="870"/>
      <c r="HF78" s="373"/>
      <c r="HG78" s="373"/>
      <c r="HH78" s="373"/>
      <c r="HI78" s="618"/>
      <c r="HJ78" s="374">
        <v>0</v>
      </c>
      <c r="HK78" s="869"/>
      <c r="HL78" s="373"/>
      <c r="HM78" s="373"/>
      <c r="HN78" s="870"/>
      <c r="HO78" s="373"/>
      <c r="HP78" s="373"/>
      <c r="HQ78" s="373"/>
      <c r="HR78" s="618"/>
      <c r="HS78" s="374">
        <v>0</v>
      </c>
      <c r="HT78" s="869">
        <v>1</v>
      </c>
      <c r="HU78" s="373">
        <v>1</v>
      </c>
      <c r="HV78" s="373">
        <v>1</v>
      </c>
      <c r="HW78" s="870"/>
      <c r="HX78" s="373">
        <v>1</v>
      </c>
      <c r="HY78" s="373"/>
      <c r="HZ78" s="373"/>
      <c r="IA78" s="618"/>
      <c r="IB78" s="374">
        <v>0</v>
      </c>
      <c r="IC78" s="869">
        <v>3</v>
      </c>
      <c r="ID78" s="373">
        <v>1</v>
      </c>
      <c r="IE78" s="373">
        <v>3</v>
      </c>
      <c r="IF78" s="870">
        <v>1</v>
      </c>
      <c r="IG78" s="373">
        <v>2</v>
      </c>
      <c r="IH78" s="373">
        <v>2</v>
      </c>
      <c r="II78" s="373">
        <v>2</v>
      </c>
      <c r="IJ78" s="618"/>
      <c r="IK78" s="374">
        <v>0</v>
      </c>
      <c r="IL78" s="377">
        <v>2</v>
      </c>
      <c r="IM78" s="373"/>
      <c r="IN78" s="373">
        <v>1</v>
      </c>
      <c r="IO78" s="871"/>
      <c r="IP78" s="871"/>
      <c r="IQ78" s="373"/>
      <c r="IR78" s="373"/>
      <c r="IS78" s="618"/>
      <c r="IT78" s="374">
        <v>0</v>
      </c>
    </row>
    <row r="79" spans="1:254" s="245" customFormat="1" ht="12.75" customHeight="1" x14ac:dyDescent="0.2">
      <c r="A79" s="1052"/>
      <c r="B79" s="868" t="s">
        <v>931</v>
      </c>
      <c r="C79" s="869"/>
      <c r="D79" s="373"/>
      <c r="E79" s="373"/>
      <c r="F79" s="870"/>
      <c r="G79" s="373"/>
      <c r="H79" s="373"/>
      <c r="I79" s="373"/>
      <c r="J79" s="618"/>
      <c r="K79" s="374">
        <v>0</v>
      </c>
      <c r="L79" s="869"/>
      <c r="M79" s="373"/>
      <c r="N79" s="373"/>
      <c r="O79" s="870"/>
      <c r="P79" s="373"/>
      <c r="Q79" s="373"/>
      <c r="R79" s="373"/>
      <c r="S79" s="618"/>
      <c r="T79" s="374">
        <v>0</v>
      </c>
      <c r="U79" s="869"/>
      <c r="V79" s="373"/>
      <c r="W79" s="373"/>
      <c r="X79" s="870"/>
      <c r="Y79" s="373"/>
      <c r="Z79" s="373"/>
      <c r="AA79" s="373"/>
      <c r="AB79" s="618"/>
      <c r="AC79" s="374">
        <v>0</v>
      </c>
      <c r="AD79" s="869">
        <v>1</v>
      </c>
      <c r="AE79" s="373"/>
      <c r="AF79" s="373"/>
      <c r="AG79" s="870"/>
      <c r="AH79" s="373"/>
      <c r="AI79" s="373"/>
      <c r="AJ79" s="373"/>
      <c r="AK79" s="618"/>
      <c r="AL79" s="374">
        <v>0</v>
      </c>
      <c r="AM79" s="869"/>
      <c r="AN79" s="373"/>
      <c r="AO79" s="373"/>
      <c r="AP79" s="870"/>
      <c r="AQ79" s="373"/>
      <c r="AR79" s="373"/>
      <c r="AS79" s="373"/>
      <c r="AT79" s="618"/>
      <c r="AU79" s="374">
        <v>0</v>
      </c>
      <c r="AV79" s="869"/>
      <c r="AW79" s="373"/>
      <c r="AX79" s="373"/>
      <c r="AY79" s="870"/>
      <c r="AZ79" s="373"/>
      <c r="BA79" s="373"/>
      <c r="BB79" s="373"/>
      <c r="BC79" s="618"/>
      <c r="BD79" s="374">
        <v>0</v>
      </c>
      <c r="BE79" s="869"/>
      <c r="BF79" s="373"/>
      <c r="BG79" s="373"/>
      <c r="BH79" s="870"/>
      <c r="BI79" s="373"/>
      <c r="BJ79" s="373"/>
      <c r="BK79" s="373"/>
      <c r="BL79" s="618"/>
      <c r="BM79" s="374">
        <v>0</v>
      </c>
      <c r="BN79" s="869"/>
      <c r="BO79" s="373"/>
      <c r="BP79" s="373"/>
      <c r="BQ79" s="870"/>
      <c r="BR79" s="373"/>
      <c r="BS79" s="373"/>
      <c r="BT79" s="373"/>
      <c r="BU79" s="618"/>
      <c r="BV79" s="374">
        <v>0</v>
      </c>
      <c r="BW79" s="869"/>
      <c r="BX79" s="373"/>
      <c r="BY79" s="373"/>
      <c r="BZ79" s="870"/>
      <c r="CA79" s="373"/>
      <c r="CB79" s="373"/>
      <c r="CC79" s="373"/>
      <c r="CD79" s="618"/>
      <c r="CE79" s="374">
        <v>0</v>
      </c>
      <c r="CF79" s="869"/>
      <c r="CG79" s="373"/>
      <c r="CH79" s="373"/>
      <c r="CI79" s="870"/>
      <c r="CJ79" s="373"/>
      <c r="CK79" s="373"/>
      <c r="CL79" s="373"/>
      <c r="CM79" s="618"/>
      <c r="CN79" s="374">
        <v>0</v>
      </c>
      <c r="CO79" s="869"/>
      <c r="CP79" s="373"/>
      <c r="CQ79" s="373"/>
      <c r="CR79" s="870"/>
      <c r="CS79" s="373"/>
      <c r="CT79" s="373"/>
      <c r="CU79" s="373"/>
      <c r="CV79" s="618"/>
      <c r="CW79" s="374">
        <v>0</v>
      </c>
      <c r="CX79" s="869">
        <v>1</v>
      </c>
      <c r="CY79" s="373">
        <v>3</v>
      </c>
      <c r="CZ79" s="373">
        <v>2</v>
      </c>
      <c r="DA79" s="870">
        <v>1</v>
      </c>
      <c r="DB79" s="373">
        <v>1</v>
      </c>
      <c r="DC79" s="373"/>
      <c r="DD79" s="373"/>
      <c r="DE79" s="618"/>
      <c r="DF79" s="374">
        <v>0</v>
      </c>
      <c r="DG79" s="869"/>
      <c r="DH79" s="373"/>
      <c r="DI79" s="373"/>
      <c r="DJ79" s="870"/>
      <c r="DK79" s="373"/>
      <c r="DL79" s="373"/>
      <c r="DM79" s="373"/>
      <c r="DN79" s="618"/>
      <c r="DO79" s="374">
        <v>0</v>
      </c>
      <c r="DP79" s="869"/>
      <c r="DQ79" s="373"/>
      <c r="DR79" s="373"/>
      <c r="DS79" s="870"/>
      <c r="DT79" s="373"/>
      <c r="DU79" s="373"/>
      <c r="DV79" s="373"/>
      <c r="DW79" s="618"/>
      <c r="DX79" s="374">
        <v>0</v>
      </c>
      <c r="DY79" s="869">
        <v>1</v>
      </c>
      <c r="DZ79" s="373">
        <v>1</v>
      </c>
      <c r="EA79" s="373"/>
      <c r="EB79" s="870"/>
      <c r="EC79" s="373">
        <v>1</v>
      </c>
      <c r="ED79" s="373"/>
      <c r="EE79" s="373"/>
      <c r="EF79" s="618"/>
      <c r="EG79" s="374">
        <v>0</v>
      </c>
      <c r="EH79" s="869"/>
      <c r="EI79" s="373"/>
      <c r="EJ79" s="373"/>
      <c r="EK79" s="870"/>
      <c r="EL79" s="373"/>
      <c r="EM79" s="373"/>
      <c r="EN79" s="373"/>
      <c r="EO79" s="618"/>
      <c r="EP79" s="374">
        <v>0</v>
      </c>
      <c r="EQ79" s="869"/>
      <c r="ER79" s="373"/>
      <c r="ES79" s="373"/>
      <c r="ET79" s="870"/>
      <c r="EU79" s="373"/>
      <c r="EV79" s="373"/>
      <c r="EW79" s="373"/>
      <c r="EX79" s="618"/>
      <c r="EY79" s="374">
        <v>0</v>
      </c>
      <c r="EZ79" s="869"/>
      <c r="FA79" s="373"/>
      <c r="FB79" s="373"/>
      <c r="FC79" s="870"/>
      <c r="FD79" s="373"/>
      <c r="FE79" s="373"/>
      <c r="FF79" s="373"/>
      <c r="FG79" s="618"/>
      <c r="FH79" s="374">
        <v>0</v>
      </c>
      <c r="FI79" s="869"/>
      <c r="FJ79" s="373"/>
      <c r="FK79" s="373"/>
      <c r="FL79" s="870"/>
      <c r="FM79" s="373"/>
      <c r="FN79" s="373"/>
      <c r="FO79" s="373"/>
      <c r="FP79" s="618"/>
      <c r="FQ79" s="374">
        <v>0</v>
      </c>
      <c r="FR79" s="869"/>
      <c r="FS79" s="373"/>
      <c r="FT79" s="373"/>
      <c r="FU79" s="870"/>
      <c r="FV79" s="373"/>
      <c r="FW79" s="373"/>
      <c r="FX79" s="373"/>
      <c r="FY79" s="618"/>
      <c r="FZ79" s="374">
        <v>0</v>
      </c>
      <c r="GA79" s="869"/>
      <c r="GB79" s="373"/>
      <c r="GC79" s="373"/>
      <c r="GD79" s="870"/>
      <c r="GE79" s="373"/>
      <c r="GF79" s="373"/>
      <c r="GG79" s="373"/>
      <c r="GH79" s="618"/>
      <c r="GI79" s="374">
        <v>0</v>
      </c>
      <c r="GJ79" s="869">
        <v>2</v>
      </c>
      <c r="GK79" s="373">
        <v>3</v>
      </c>
      <c r="GL79" s="373">
        <v>2</v>
      </c>
      <c r="GM79" s="870">
        <v>1</v>
      </c>
      <c r="GN79" s="373">
        <v>1</v>
      </c>
      <c r="GO79" s="373"/>
      <c r="GP79" s="373"/>
      <c r="GQ79" s="618"/>
      <c r="GR79" s="374">
        <v>0</v>
      </c>
      <c r="GS79" s="869"/>
      <c r="GT79" s="373"/>
      <c r="GU79" s="373"/>
      <c r="GV79" s="870">
        <v>1</v>
      </c>
      <c r="GW79" s="373"/>
      <c r="GX79" s="373"/>
      <c r="GY79" s="373"/>
      <c r="GZ79" s="618"/>
      <c r="HA79" s="374">
        <v>0</v>
      </c>
      <c r="HB79" s="869"/>
      <c r="HC79" s="373"/>
      <c r="HD79" s="373"/>
      <c r="HE79" s="870"/>
      <c r="HF79" s="373"/>
      <c r="HG79" s="373"/>
      <c r="HH79" s="373"/>
      <c r="HI79" s="618"/>
      <c r="HJ79" s="374">
        <v>0</v>
      </c>
      <c r="HK79" s="869"/>
      <c r="HL79" s="373"/>
      <c r="HM79" s="373"/>
      <c r="HN79" s="870"/>
      <c r="HO79" s="373"/>
      <c r="HP79" s="373"/>
      <c r="HQ79" s="373"/>
      <c r="HR79" s="618"/>
      <c r="HS79" s="374">
        <v>0</v>
      </c>
      <c r="HT79" s="869"/>
      <c r="HU79" s="373"/>
      <c r="HV79" s="373"/>
      <c r="HW79" s="870">
        <v>1</v>
      </c>
      <c r="HX79" s="373"/>
      <c r="HY79" s="373">
        <v>1</v>
      </c>
      <c r="HZ79" s="373">
        <v>1</v>
      </c>
      <c r="IA79" s="618"/>
      <c r="IB79" s="374">
        <v>0</v>
      </c>
      <c r="IC79" s="869">
        <v>3</v>
      </c>
      <c r="ID79" s="373">
        <v>4</v>
      </c>
      <c r="IE79" s="373">
        <v>2</v>
      </c>
      <c r="IF79" s="870">
        <v>1</v>
      </c>
      <c r="IG79" s="373">
        <v>1</v>
      </c>
      <c r="IH79" s="373">
        <v>1</v>
      </c>
      <c r="II79" s="373">
        <v>2</v>
      </c>
      <c r="IJ79" s="618"/>
      <c r="IK79" s="374">
        <v>1</v>
      </c>
      <c r="IL79" s="377">
        <v>1</v>
      </c>
      <c r="IM79" s="373">
        <v>2</v>
      </c>
      <c r="IN79" s="373"/>
      <c r="IO79" s="871"/>
      <c r="IP79" s="871">
        <v>1</v>
      </c>
      <c r="IQ79" s="373"/>
      <c r="IR79" s="373"/>
      <c r="IS79" s="618"/>
      <c r="IT79" s="374">
        <v>0</v>
      </c>
    </row>
    <row r="80" spans="1:254" s="245" customFormat="1" ht="12.75" customHeight="1" x14ac:dyDescent="0.2">
      <c r="A80" s="1052"/>
      <c r="B80" s="868" t="s">
        <v>932</v>
      </c>
      <c r="C80" s="869"/>
      <c r="D80" s="373"/>
      <c r="E80" s="373">
        <v>1</v>
      </c>
      <c r="F80" s="870"/>
      <c r="G80" s="373">
        <v>1</v>
      </c>
      <c r="H80" s="373"/>
      <c r="I80" s="373"/>
      <c r="J80" s="618"/>
      <c r="K80" s="374">
        <v>0</v>
      </c>
      <c r="L80" s="869"/>
      <c r="M80" s="373"/>
      <c r="N80" s="373">
        <v>1</v>
      </c>
      <c r="O80" s="870"/>
      <c r="P80" s="373"/>
      <c r="Q80" s="373"/>
      <c r="R80" s="373"/>
      <c r="S80" s="618"/>
      <c r="T80" s="374">
        <v>0</v>
      </c>
      <c r="U80" s="869"/>
      <c r="V80" s="373"/>
      <c r="W80" s="373"/>
      <c r="X80" s="870"/>
      <c r="Y80" s="373">
        <v>1</v>
      </c>
      <c r="Z80" s="373"/>
      <c r="AA80" s="373"/>
      <c r="AB80" s="618"/>
      <c r="AC80" s="374">
        <v>0</v>
      </c>
      <c r="AD80" s="869"/>
      <c r="AE80" s="373"/>
      <c r="AF80" s="373"/>
      <c r="AG80" s="870">
        <v>1</v>
      </c>
      <c r="AH80" s="373">
        <v>1</v>
      </c>
      <c r="AI80" s="373">
        <v>3</v>
      </c>
      <c r="AJ80" s="373"/>
      <c r="AK80" s="618">
        <v>2</v>
      </c>
      <c r="AL80" s="374">
        <v>0</v>
      </c>
      <c r="AM80" s="869"/>
      <c r="AN80" s="373"/>
      <c r="AO80" s="373"/>
      <c r="AP80" s="870">
        <v>1</v>
      </c>
      <c r="AQ80" s="373"/>
      <c r="AR80" s="373">
        <v>1</v>
      </c>
      <c r="AS80" s="373"/>
      <c r="AT80" s="618"/>
      <c r="AU80" s="374">
        <v>0</v>
      </c>
      <c r="AV80" s="869"/>
      <c r="AW80" s="373"/>
      <c r="AX80" s="373"/>
      <c r="AY80" s="870"/>
      <c r="AZ80" s="373"/>
      <c r="BA80" s="373"/>
      <c r="BB80" s="373"/>
      <c r="BC80" s="618"/>
      <c r="BD80" s="374">
        <v>0</v>
      </c>
      <c r="BE80" s="869"/>
      <c r="BF80" s="373"/>
      <c r="BG80" s="373"/>
      <c r="BH80" s="870">
        <v>1</v>
      </c>
      <c r="BI80" s="373"/>
      <c r="BJ80" s="373"/>
      <c r="BK80" s="373"/>
      <c r="BL80" s="618"/>
      <c r="BM80" s="374">
        <v>1</v>
      </c>
      <c r="BN80" s="869"/>
      <c r="BO80" s="373"/>
      <c r="BP80" s="373"/>
      <c r="BQ80" s="870"/>
      <c r="BR80" s="373"/>
      <c r="BS80" s="373"/>
      <c r="BT80" s="373"/>
      <c r="BU80" s="618"/>
      <c r="BV80" s="374">
        <v>0</v>
      </c>
      <c r="BW80" s="869"/>
      <c r="BX80" s="373"/>
      <c r="BY80" s="373">
        <v>1</v>
      </c>
      <c r="BZ80" s="870">
        <v>1</v>
      </c>
      <c r="CA80" s="373">
        <v>1</v>
      </c>
      <c r="CB80" s="373">
        <v>1</v>
      </c>
      <c r="CC80" s="373"/>
      <c r="CD80" s="618">
        <v>1</v>
      </c>
      <c r="CE80" s="374">
        <v>0</v>
      </c>
      <c r="CF80" s="869"/>
      <c r="CG80" s="373">
        <v>1</v>
      </c>
      <c r="CH80" s="373">
        <v>1</v>
      </c>
      <c r="CI80" s="870"/>
      <c r="CJ80" s="373"/>
      <c r="CK80" s="373"/>
      <c r="CL80" s="373"/>
      <c r="CM80" s="618"/>
      <c r="CN80" s="374">
        <v>0</v>
      </c>
      <c r="CO80" s="869"/>
      <c r="CP80" s="373"/>
      <c r="CQ80" s="373"/>
      <c r="CR80" s="870"/>
      <c r="CS80" s="373"/>
      <c r="CT80" s="373"/>
      <c r="CU80" s="373"/>
      <c r="CV80" s="618"/>
      <c r="CW80" s="374">
        <v>0</v>
      </c>
      <c r="CX80" s="869">
        <v>2</v>
      </c>
      <c r="CY80" s="373">
        <v>5</v>
      </c>
      <c r="CZ80" s="373">
        <v>2</v>
      </c>
      <c r="DA80" s="870">
        <v>5</v>
      </c>
      <c r="DB80" s="373">
        <v>3</v>
      </c>
      <c r="DC80" s="373">
        <v>5</v>
      </c>
      <c r="DD80" s="373">
        <v>3</v>
      </c>
      <c r="DE80" s="618">
        <v>3</v>
      </c>
      <c r="DF80" s="374">
        <v>4</v>
      </c>
      <c r="DG80" s="869"/>
      <c r="DH80" s="373"/>
      <c r="DI80" s="373"/>
      <c r="DJ80" s="870"/>
      <c r="DK80" s="373"/>
      <c r="DL80" s="373"/>
      <c r="DM80" s="373"/>
      <c r="DN80" s="618"/>
      <c r="DO80" s="374">
        <v>0</v>
      </c>
      <c r="DP80" s="869"/>
      <c r="DQ80" s="373"/>
      <c r="DR80" s="373"/>
      <c r="DS80" s="870"/>
      <c r="DT80" s="373"/>
      <c r="DU80" s="373"/>
      <c r="DV80" s="373"/>
      <c r="DW80" s="618"/>
      <c r="DX80" s="374">
        <v>0</v>
      </c>
      <c r="DY80" s="869">
        <v>1</v>
      </c>
      <c r="DZ80" s="373"/>
      <c r="EA80" s="373">
        <v>1</v>
      </c>
      <c r="EB80" s="870"/>
      <c r="EC80" s="373"/>
      <c r="ED80" s="373">
        <v>1</v>
      </c>
      <c r="EE80" s="373"/>
      <c r="EF80" s="618">
        <v>2</v>
      </c>
      <c r="EG80" s="374">
        <v>1</v>
      </c>
      <c r="EH80" s="869"/>
      <c r="EI80" s="373"/>
      <c r="EJ80" s="373"/>
      <c r="EK80" s="870"/>
      <c r="EL80" s="373"/>
      <c r="EM80" s="373"/>
      <c r="EN80" s="373"/>
      <c r="EO80" s="618"/>
      <c r="EP80" s="374">
        <v>0</v>
      </c>
      <c r="EQ80" s="869"/>
      <c r="ER80" s="373"/>
      <c r="ES80" s="373"/>
      <c r="ET80" s="870"/>
      <c r="EU80" s="373"/>
      <c r="EV80" s="373"/>
      <c r="EW80" s="373"/>
      <c r="EX80" s="618"/>
      <c r="EY80" s="374">
        <v>0</v>
      </c>
      <c r="EZ80" s="869"/>
      <c r="FA80" s="373"/>
      <c r="FB80" s="373"/>
      <c r="FC80" s="870"/>
      <c r="FD80" s="373"/>
      <c r="FE80" s="373"/>
      <c r="FF80" s="373"/>
      <c r="FG80" s="618"/>
      <c r="FH80" s="374">
        <v>0</v>
      </c>
      <c r="FI80" s="869"/>
      <c r="FJ80" s="373">
        <v>4</v>
      </c>
      <c r="FK80" s="373">
        <v>1</v>
      </c>
      <c r="FL80" s="870">
        <v>1</v>
      </c>
      <c r="FM80" s="373"/>
      <c r="FN80" s="373"/>
      <c r="FO80" s="373"/>
      <c r="FP80" s="618"/>
      <c r="FQ80" s="374">
        <v>2</v>
      </c>
      <c r="FR80" s="869"/>
      <c r="FS80" s="373"/>
      <c r="FT80" s="373"/>
      <c r="FU80" s="870"/>
      <c r="FV80" s="373"/>
      <c r="FW80" s="373"/>
      <c r="FX80" s="373"/>
      <c r="FY80" s="618"/>
      <c r="FZ80" s="374">
        <v>0</v>
      </c>
      <c r="GA80" s="869"/>
      <c r="GB80" s="373"/>
      <c r="GC80" s="373"/>
      <c r="GD80" s="870"/>
      <c r="GE80" s="373"/>
      <c r="GF80" s="373"/>
      <c r="GG80" s="373"/>
      <c r="GH80" s="618"/>
      <c r="GI80" s="374">
        <v>0</v>
      </c>
      <c r="GJ80" s="869">
        <v>2</v>
      </c>
      <c r="GK80" s="373">
        <v>10</v>
      </c>
      <c r="GL80" s="373">
        <v>6</v>
      </c>
      <c r="GM80" s="870">
        <v>9</v>
      </c>
      <c r="GN80" s="373">
        <v>6</v>
      </c>
      <c r="GO80" s="373">
        <v>9</v>
      </c>
      <c r="GP80" s="373">
        <v>3</v>
      </c>
      <c r="GQ80" s="618">
        <v>6</v>
      </c>
      <c r="GR80" s="374">
        <v>7</v>
      </c>
      <c r="GS80" s="869"/>
      <c r="GT80" s="373"/>
      <c r="GU80" s="373"/>
      <c r="GV80" s="870">
        <v>3</v>
      </c>
      <c r="GW80" s="373">
        <v>2</v>
      </c>
      <c r="GX80" s="373"/>
      <c r="GY80" s="373">
        <v>1</v>
      </c>
      <c r="GZ80" s="618"/>
      <c r="HA80" s="374">
        <v>0</v>
      </c>
      <c r="HB80" s="869"/>
      <c r="HC80" s="373"/>
      <c r="HD80" s="373"/>
      <c r="HE80" s="870"/>
      <c r="HF80" s="373"/>
      <c r="HG80" s="373"/>
      <c r="HH80" s="373"/>
      <c r="HI80" s="618"/>
      <c r="HJ80" s="374">
        <v>0</v>
      </c>
      <c r="HK80" s="869"/>
      <c r="HL80" s="373"/>
      <c r="HM80" s="373"/>
      <c r="HN80" s="870"/>
      <c r="HO80" s="373"/>
      <c r="HP80" s="373"/>
      <c r="HQ80" s="373"/>
      <c r="HR80" s="618"/>
      <c r="HS80" s="374">
        <v>0</v>
      </c>
      <c r="HT80" s="869"/>
      <c r="HU80" s="373">
        <v>1</v>
      </c>
      <c r="HV80" s="373">
        <v>1</v>
      </c>
      <c r="HW80" s="870">
        <v>3</v>
      </c>
      <c r="HX80" s="373">
        <v>3</v>
      </c>
      <c r="HY80" s="373"/>
      <c r="HZ80" s="373">
        <v>3</v>
      </c>
      <c r="IA80" s="618"/>
      <c r="IB80" s="374">
        <v>2</v>
      </c>
      <c r="IC80" s="869">
        <v>5</v>
      </c>
      <c r="ID80" s="373">
        <v>14</v>
      </c>
      <c r="IE80" s="373">
        <v>8</v>
      </c>
      <c r="IF80" s="870">
        <v>11</v>
      </c>
      <c r="IG80" s="373">
        <v>9</v>
      </c>
      <c r="IH80" s="373">
        <v>11</v>
      </c>
      <c r="II80" s="373">
        <v>16</v>
      </c>
      <c r="IJ80" s="618">
        <v>7</v>
      </c>
      <c r="IK80" s="374">
        <v>12</v>
      </c>
      <c r="IL80" s="377">
        <v>1</v>
      </c>
      <c r="IM80" s="373">
        <v>1</v>
      </c>
      <c r="IN80" s="373">
        <v>1</v>
      </c>
      <c r="IO80" s="871"/>
      <c r="IP80" s="871">
        <v>1</v>
      </c>
      <c r="IQ80" s="373">
        <v>1</v>
      </c>
      <c r="IR80" s="373"/>
      <c r="IS80" s="618">
        <v>2</v>
      </c>
      <c r="IT80" s="374">
        <v>2</v>
      </c>
    </row>
    <row r="81" spans="1:254" s="245" customFormat="1" ht="12.75" customHeight="1" x14ac:dyDescent="0.2">
      <c r="A81" s="1052"/>
      <c r="B81" s="868" t="s">
        <v>933</v>
      </c>
      <c r="C81" s="869"/>
      <c r="D81" s="373"/>
      <c r="E81" s="373"/>
      <c r="F81" s="870"/>
      <c r="G81" s="373"/>
      <c r="H81" s="373"/>
      <c r="I81" s="373"/>
      <c r="J81" s="618"/>
      <c r="K81" s="374">
        <v>0</v>
      </c>
      <c r="L81" s="869"/>
      <c r="M81" s="373"/>
      <c r="N81" s="373"/>
      <c r="O81" s="870"/>
      <c r="P81" s="373"/>
      <c r="Q81" s="373"/>
      <c r="R81" s="373"/>
      <c r="S81" s="618"/>
      <c r="T81" s="374">
        <v>0</v>
      </c>
      <c r="U81" s="869"/>
      <c r="V81" s="373"/>
      <c r="W81" s="373"/>
      <c r="X81" s="870"/>
      <c r="Y81" s="373"/>
      <c r="Z81" s="373"/>
      <c r="AA81" s="373"/>
      <c r="AB81" s="618"/>
      <c r="AC81" s="374">
        <v>0</v>
      </c>
      <c r="AD81" s="869"/>
      <c r="AE81" s="373"/>
      <c r="AF81" s="373">
        <v>1</v>
      </c>
      <c r="AG81" s="870"/>
      <c r="AH81" s="373"/>
      <c r="AI81" s="373"/>
      <c r="AJ81" s="373"/>
      <c r="AK81" s="618"/>
      <c r="AL81" s="374">
        <v>0</v>
      </c>
      <c r="AM81" s="869"/>
      <c r="AN81" s="373"/>
      <c r="AO81" s="373">
        <v>1</v>
      </c>
      <c r="AP81" s="870"/>
      <c r="AQ81" s="373"/>
      <c r="AR81" s="373"/>
      <c r="AS81" s="373"/>
      <c r="AT81" s="618"/>
      <c r="AU81" s="374">
        <v>0</v>
      </c>
      <c r="AV81" s="869"/>
      <c r="AW81" s="373"/>
      <c r="AX81" s="373"/>
      <c r="AY81" s="870"/>
      <c r="AZ81" s="373"/>
      <c r="BA81" s="373"/>
      <c r="BB81" s="373"/>
      <c r="BC81" s="618"/>
      <c r="BD81" s="374">
        <v>0</v>
      </c>
      <c r="BE81" s="869"/>
      <c r="BF81" s="373"/>
      <c r="BG81" s="373"/>
      <c r="BH81" s="870"/>
      <c r="BI81" s="373"/>
      <c r="BJ81" s="373"/>
      <c r="BK81" s="373"/>
      <c r="BL81" s="618"/>
      <c r="BM81" s="374">
        <v>0</v>
      </c>
      <c r="BN81" s="869"/>
      <c r="BO81" s="373"/>
      <c r="BP81" s="373"/>
      <c r="BQ81" s="870"/>
      <c r="BR81" s="373"/>
      <c r="BS81" s="373"/>
      <c r="BT81" s="373"/>
      <c r="BU81" s="618"/>
      <c r="BV81" s="374">
        <v>0</v>
      </c>
      <c r="BW81" s="869"/>
      <c r="BX81" s="373"/>
      <c r="BY81" s="373"/>
      <c r="BZ81" s="870"/>
      <c r="CA81" s="373"/>
      <c r="CB81" s="373"/>
      <c r="CC81" s="373"/>
      <c r="CD81" s="618"/>
      <c r="CE81" s="374">
        <v>0</v>
      </c>
      <c r="CF81" s="869"/>
      <c r="CG81" s="373"/>
      <c r="CH81" s="373"/>
      <c r="CI81" s="870"/>
      <c r="CJ81" s="373"/>
      <c r="CK81" s="373"/>
      <c r="CL81" s="373"/>
      <c r="CM81" s="618"/>
      <c r="CN81" s="374">
        <v>0</v>
      </c>
      <c r="CO81" s="869"/>
      <c r="CP81" s="373"/>
      <c r="CQ81" s="373"/>
      <c r="CR81" s="870"/>
      <c r="CS81" s="373"/>
      <c r="CT81" s="373"/>
      <c r="CU81" s="373"/>
      <c r="CV81" s="618"/>
      <c r="CW81" s="374">
        <v>0</v>
      </c>
      <c r="CX81" s="869">
        <v>7</v>
      </c>
      <c r="CY81" s="373">
        <v>3</v>
      </c>
      <c r="CZ81" s="373">
        <v>4</v>
      </c>
      <c r="DA81" s="870">
        <v>2</v>
      </c>
      <c r="DB81" s="373">
        <v>8</v>
      </c>
      <c r="DC81" s="373">
        <v>4</v>
      </c>
      <c r="DD81" s="373"/>
      <c r="DE81" s="618">
        <v>7</v>
      </c>
      <c r="DF81" s="374">
        <v>1</v>
      </c>
      <c r="DG81" s="869"/>
      <c r="DH81" s="373"/>
      <c r="DI81" s="373"/>
      <c r="DJ81" s="870"/>
      <c r="DK81" s="373"/>
      <c r="DL81" s="373"/>
      <c r="DM81" s="373"/>
      <c r="DN81" s="618"/>
      <c r="DO81" s="374">
        <v>0</v>
      </c>
      <c r="DP81" s="869"/>
      <c r="DQ81" s="373"/>
      <c r="DR81" s="373"/>
      <c r="DS81" s="870"/>
      <c r="DT81" s="373"/>
      <c r="DU81" s="373"/>
      <c r="DV81" s="373"/>
      <c r="DW81" s="618"/>
      <c r="DX81" s="374">
        <v>0</v>
      </c>
      <c r="DY81" s="869"/>
      <c r="DZ81" s="373"/>
      <c r="EA81" s="373">
        <v>1</v>
      </c>
      <c r="EB81" s="870"/>
      <c r="EC81" s="373">
        <v>2</v>
      </c>
      <c r="ED81" s="373"/>
      <c r="EE81" s="373"/>
      <c r="EF81" s="618"/>
      <c r="EG81" s="374">
        <v>0</v>
      </c>
      <c r="EH81" s="869"/>
      <c r="EI81" s="373"/>
      <c r="EJ81" s="373"/>
      <c r="EK81" s="870"/>
      <c r="EL81" s="373"/>
      <c r="EM81" s="373"/>
      <c r="EN81" s="373"/>
      <c r="EO81" s="618"/>
      <c r="EP81" s="374">
        <v>0</v>
      </c>
      <c r="EQ81" s="869"/>
      <c r="ER81" s="373"/>
      <c r="ES81" s="373"/>
      <c r="ET81" s="870"/>
      <c r="EU81" s="373"/>
      <c r="EV81" s="373">
        <v>1</v>
      </c>
      <c r="EW81" s="373"/>
      <c r="EX81" s="618"/>
      <c r="EY81" s="374">
        <v>0</v>
      </c>
      <c r="EZ81" s="869"/>
      <c r="FA81" s="373"/>
      <c r="FB81" s="373"/>
      <c r="FC81" s="870"/>
      <c r="FD81" s="373"/>
      <c r="FE81" s="373"/>
      <c r="FF81" s="373"/>
      <c r="FG81" s="618"/>
      <c r="FH81" s="374">
        <v>0</v>
      </c>
      <c r="FI81" s="869"/>
      <c r="FJ81" s="373"/>
      <c r="FK81" s="373"/>
      <c r="FL81" s="870"/>
      <c r="FM81" s="373"/>
      <c r="FN81" s="373"/>
      <c r="FO81" s="373"/>
      <c r="FP81" s="618"/>
      <c r="FQ81" s="374">
        <v>0</v>
      </c>
      <c r="FR81" s="869"/>
      <c r="FS81" s="373"/>
      <c r="FT81" s="373"/>
      <c r="FU81" s="870"/>
      <c r="FV81" s="373"/>
      <c r="FW81" s="373"/>
      <c r="FX81" s="373"/>
      <c r="FY81" s="618"/>
      <c r="FZ81" s="374">
        <v>0</v>
      </c>
      <c r="GA81" s="869"/>
      <c r="GB81" s="373"/>
      <c r="GC81" s="373"/>
      <c r="GD81" s="870"/>
      <c r="GE81" s="373"/>
      <c r="GF81" s="373"/>
      <c r="GG81" s="373"/>
      <c r="GH81" s="618"/>
      <c r="GI81" s="374">
        <v>0</v>
      </c>
      <c r="GJ81" s="869">
        <v>7</v>
      </c>
      <c r="GK81" s="373">
        <v>3</v>
      </c>
      <c r="GL81" s="373">
        <v>5</v>
      </c>
      <c r="GM81" s="870">
        <v>2</v>
      </c>
      <c r="GN81" s="373">
        <v>8</v>
      </c>
      <c r="GO81" s="373">
        <v>5</v>
      </c>
      <c r="GP81" s="373"/>
      <c r="GQ81" s="618">
        <v>7</v>
      </c>
      <c r="GR81" s="374">
        <v>1</v>
      </c>
      <c r="GS81" s="869">
        <v>3</v>
      </c>
      <c r="GT81" s="373">
        <v>1</v>
      </c>
      <c r="GU81" s="373">
        <v>2</v>
      </c>
      <c r="GV81" s="870"/>
      <c r="GW81" s="373"/>
      <c r="GX81" s="373"/>
      <c r="GY81" s="373"/>
      <c r="GZ81" s="618">
        <v>1</v>
      </c>
      <c r="HA81" s="374">
        <v>0</v>
      </c>
      <c r="HB81" s="869"/>
      <c r="HC81" s="373"/>
      <c r="HD81" s="373"/>
      <c r="HE81" s="870"/>
      <c r="HF81" s="373"/>
      <c r="HG81" s="373"/>
      <c r="HH81" s="373"/>
      <c r="HI81" s="618"/>
      <c r="HJ81" s="374">
        <v>0</v>
      </c>
      <c r="HK81" s="869"/>
      <c r="HL81" s="373"/>
      <c r="HM81" s="373"/>
      <c r="HN81" s="870"/>
      <c r="HO81" s="373"/>
      <c r="HP81" s="373"/>
      <c r="HQ81" s="373"/>
      <c r="HR81" s="618"/>
      <c r="HS81" s="374">
        <v>0</v>
      </c>
      <c r="HT81" s="869">
        <v>4</v>
      </c>
      <c r="HU81" s="373">
        <v>1</v>
      </c>
      <c r="HV81" s="373">
        <v>3</v>
      </c>
      <c r="HW81" s="870">
        <v>1</v>
      </c>
      <c r="HX81" s="373">
        <v>1</v>
      </c>
      <c r="HY81" s="373">
        <v>1</v>
      </c>
      <c r="HZ81" s="373"/>
      <c r="IA81" s="618">
        <v>3</v>
      </c>
      <c r="IB81" s="374">
        <v>0</v>
      </c>
      <c r="IC81" s="869">
        <v>9</v>
      </c>
      <c r="ID81" s="373">
        <v>3</v>
      </c>
      <c r="IE81" s="373">
        <v>6</v>
      </c>
      <c r="IF81" s="870">
        <v>3</v>
      </c>
      <c r="IG81" s="373">
        <v>10</v>
      </c>
      <c r="IH81" s="373">
        <v>6</v>
      </c>
      <c r="II81" s="373"/>
      <c r="IJ81" s="618">
        <v>12</v>
      </c>
      <c r="IK81" s="374">
        <v>1</v>
      </c>
      <c r="IL81" s="377">
        <v>3</v>
      </c>
      <c r="IM81" s="373"/>
      <c r="IN81" s="373">
        <v>2</v>
      </c>
      <c r="IO81" s="871"/>
      <c r="IP81" s="871">
        <v>1</v>
      </c>
      <c r="IQ81" s="373"/>
      <c r="IR81" s="373"/>
      <c r="IS81" s="618"/>
      <c r="IT81" s="374">
        <v>0</v>
      </c>
    </row>
    <row r="82" spans="1:254" s="245" customFormat="1" ht="12.75" customHeight="1" x14ac:dyDescent="0.2">
      <c r="A82" s="1052"/>
      <c r="B82" s="868" t="s">
        <v>934</v>
      </c>
      <c r="C82" s="869"/>
      <c r="D82" s="373"/>
      <c r="E82" s="373"/>
      <c r="F82" s="870"/>
      <c r="G82" s="373"/>
      <c r="H82" s="373"/>
      <c r="I82" s="373"/>
      <c r="J82" s="618"/>
      <c r="K82" s="374">
        <v>0</v>
      </c>
      <c r="L82" s="869"/>
      <c r="M82" s="373"/>
      <c r="N82" s="373"/>
      <c r="O82" s="870"/>
      <c r="P82" s="373"/>
      <c r="Q82" s="373"/>
      <c r="R82" s="373"/>
      <c r="S82" s="618"/>
      <c r="T82" s="374">
        <v>0</v>
      </c>
      <c r="U82" s="869"/>
      <c r="V82" s="373"/>
      <c r="W82" s="373"/>
      <c r="X82" s="870"/>
      <c r="Y82" s="373"/>
      <c r="Z82" s="373"/>
      <c r="AA82" s="373"/>
      <c r="AB82" s="618"/>
      <c r="AC82" s="374">
        <v>0</v>
      </c>
      <c r="AD82" s="869"/>
      <c r="AE82" s="373"/>
      <c r="AF82" s="373"/>
      <c r="AG82" s="870"/>
      <c r="AH82" s="373"/>
      <c r="AI82" s="373"/>
      <c r="AJ82" s="373"/>
      <c r="AK82" s="618"/>
      <c r="AL82" s="374">
        <v>0</v>
      </c>
      <c r="AM82" s="869"/>
      <c r="AN82" s="373"/>
      <c r="AO82" s="373"/>
      <c r="AP82" s="870"/>
      <c r="AQ82" s="373"/>
      <c r="AR82" s="373"/>
      <c r="AS82" s="373"/>
      <c r="AT82" s="618"/>
      <c r="AU82" s="374">
        <v>0</v>
      </c>
      <c r="AV82" s="869"/>
      <c r="AW82" s="373"/>
      <c r="AX82" s="373"/>
      <c r="AY82" s="870"/>
      <c r="AZ82" s="373"/>
      <c r="BA82" s="373"/>
      <c r="BB82" s="373"/>
      <c r="BC82" s="618"/>
      <c r="BD82" s="374">
        <v>0</v>
      </c>
      <c r="BE82" s="869"/>
      <c r="BF82" s="373"/>
      <c r="BG82" s="373">
        <v>2</v>
      </c>
      <c r="BH82" s="870"/>
      <c r="BI82" s="373"/>
      <c r="BJ82" s="373"/>
      <c r="BK82" s="373"/>
      <c r="BL82" s="618"/>
      <c r="BM82" s="374">
        <v>0</v>
      </c>
      <c r="BN82" s="869"/>
      <c r="BO82" s="373"/>
      <c r="BP82" s="373"/>
      <c r="BQ82" s="870"/>
      <c r="BR82" s="373"/>
      <c r="BS82" s="373"/>
      <c r="BT82" s="373"/>
      <c r="BU82" s="618"/>
      <c r="BV82" s="374">
        <v>0</v>
      </c>
      <c r="BW82" s="869"/>
      <c r="BX82" s="373"/>
      <c r="BY82" s="373"/>
      <c r="BZ82" s="870"/>
      <c r="CA82" s="373"/>
      <c r="CB82" s="373"/>
      <c r="CC82" s="373">
        <v>1</v>
      </c>
      <c r="CD82" s="618"/>
      <c r="CE82" s="374">
        <v>0</v>
      </c>
      <c r="CF82" s="869"/>
      <c r="CG82" s="373"/>
      <c r="CH82" s="373"/>
      <c r="CI82" s="870"/>
      <c r="CJ82" s="373"/>
      <c r="CK82" s="373"/>
      <c r="CL82" s="373"/>
      <c r="CM82" s="618"/>
      <c r="CN82" s="374">
        <v>0</v>
      </c>
      <c r="CO82" s="869"/>
      <c r="CP82" s="373"/>
      <c r="CQ82" s="373"/>
      <c r="CR82" s="870"/>
      <c r="CS82" s="373"/>
      <c r="CT82" s="373"/>
      <c r="CU82" s="373"/>
      <c r="CV82" s="618"/>
      <c r="CW82" s="374">
        <v>0</v>
      </c>
      <c r="CX82" s="869">
        <v>2</v>
      </c>
      <c r="CY82" s="373">
        <v>2</v>
      </c>
      <c r="CZ82" s="373">
        <v>2</v>
      </c>
      <c r="DA82" s="870">
        <v>2</v>
      </c>
      <c r="DB82" s="373">
        <v>5</v>
      </c>
      <c r="DC82" s="373">
        <v>1</v>
      </c>
      <c r="DD82" s="373"/>
      <c r="DE82" s="618">
        <v>1</v>
      </c>
      <c r="DF82" s="374">
        <v>0</v>
      </c>
      <c r="DG82" s="869"/>
      <c r="DH82" s="373"/>
      <c r="DI82" s="373"/>
      <c r="DJ82" s="870"/>
      <c r="DK82" s="373"/>
      <c r="DL82" s="373"/>
      <c r="DM82" s="373"/>
      <c r="DN82" s="618"/>
      <c r="DO82" s="374">
        <v>0</v>
      </c>
      <c r="DP82" s="869"/>
      <c r="DQ82" s="373"/>
      <c r="DR82" s="373"/>
      <c r="DS82" s="870"/>
      <c r="DT82" s="373">
        <v>1</v>
      </c>
      <c r="DU82" s="373"/>
      <c r="DV82" s="373"/>
      <c r="DW82" s="618"/>
      <c r="DX82" s="374">
        <v>0</v>
      </c>
      <c r="DY82" s="869"/>
      <c r="DZ82" s="373">
        <v>1</v>
      </c>
      <c r="EA82" s="373"/>
      <c r="EB82" s="870"/>
      <c r="EC82" s="373"/>
      <c r="ED82" s="373"/>
      <c r="EE82" s="373"/>
      <c r="EF82" s="618"/>
      <c r="EG82" s="374">
        <v>0</v>
      </c>
      <c r="EH82" s="869"/>
      <c r="EI82" s="373"/>
      <c r="EJ82" s="373"/>
      <c r="EK82" s="870"/>
      <c r="EL82" s="373"/>
      <c r="EM82" s="373"/>
      <c r="EN82" s="373"/>
      <c r="EO82" s="618"/>
      <c r="EP82" s="374">
        <v>0</v>
      </c>
      <c r="EQ82" s="869"/>
      <c r="ER82" s="373"/>
      <c r="ES82" s="373"/>
      <c r="ET82" s="870"/>
      <c r="EU82" s="373"/>
      <c r="EV82" s="373"/>
      <c r="EW82" s="373"/>
      <c r="EX82" s="618"/>
      <c r="EY82" s="374">
        <v>0</v>
      </c>
      <c r="EZ82" s="869"/>
      <c r="FA82" s="373"/>
      <c r="FB82" s="373"/>
      <c r="FC82" s="870"/>
      <c r="FD82" s="373"/>
      <c r="FE82" s="373"/>
      <c r="FF82" s="373"/>
      <c r="FG82" s="618"/>
      <c r="FH82" s="374">
        <v>0</v>
      </c>
      <c r="FI82" s="869"/>
      <c r="FJ82" s="373"/>
      <c r="FK82" s="373"/>
      <c r="FL82" s="870"/>
      <c r="FM82" s="373"/>
      <c r="FN82" s="373"/>
      <c r="FO82" s="373"/>
      <c r="FP82" s="618"/>
      <c r="FQ82" s="374">
        <v>0</v>
      </c>
      <c r="FR82" s="869"/>
      <c r="FS82" s="373"/>
      <c r="FT82" s="373"/>
      <c r="FU82" s="870"/>
      <c r="FV82" s="373"/>
      <c r="FW82" s="373"/>
      <c r="FX82" s="373"/>
      <c r="FY82" s="618"/>
      <c r="FZ82" s="374">
        <v>0</v>
      </c>
      <c r="GA82" s="869"/>
      <c r="GB82" s="373"/>
      <c r="GC82" s="373"/>
      <c r="GD82" s="870"/>
      <c r="GE82" s="373"/>
      <c r="GF82" s="373"/>
      <c r="GG82" s="373"/>
      <c r="GH82" s="618"/>
      <c r="GI82" s="374">
        <v>0</v>
      </c>
      <c r="GJ82" s="869">
        <v>2</v>
      </c>
      <c r="GK82" s="373">
        <v>2</v>
      </c>
      <c r="GL82" s="373">
        <v>4</v>
      </c>
      <c r="GM82" s="870">
        <v>2</v>
      </c>
      <c r="GN82" s="373">
        <v>5</v>
      </c>
      <c r="GO82" s="373">
        <v>1</v>
      </c>
      <c r="GP82" s="373">
        <v>1</v>
      </c>
      <c r="GQ82" s="618">
        <v>1</v>
      </c>
      <c r="GR82" s="374">
        <v>0</v>
      </c>
      <c r="GS82" s="869">
        <v>1</v>
      </c>
      <c r="GT82" s="373"/>
      <c r="GU82" s="373">
        <v>1</v>
      </c>
      <c r="GV82" s="870">
        <v>1</v>
      </c>
      <c r="GW82" s="373"/>
      <c r="GX82" s="373"/>
      <c r="GY82" s="373">
        <v>1</v>
      </c>
      <c r="GZ82" s="618"/>
      <c r="HA82" s="374">
        <v>0</v>
      </c>
      <c r="HB82" s="869"/>
      <c r="HC82" s="373"/>
      <c r="HD82" s="373"/>
      <c r="HE82" s="870"/>
      <c r="HF82" s="373"/>
      <c r="HG82" s="373"/>
      <c r="HH82" s="373"/>
      <c r="HI82" s="618"/>
      <c r="HJ82" s="374">
        <v>0</v>
      </c>
      <c r="HK82" s="869"/>
      <c r="HL82" s="373"/>
      <c r="HM82" s="373"/>
      <c r="HN82" s="870"/>
      <c r="HO82" s="373"/>
      <c r="HP82" s="373"/>
      <c r="HQ82" s="373"/>
      <c r="HR82" s="618"/>
      <c r="HS82" s="374">
        <v>0</v>
      </c>
      <c r="HT82" s="869">
        <v>1</v>
      </c>
      <c r="HU82" s="373">
        <v>1</v>
      </c>
      <c r="HV82" s="373">
        <v>1</v>
      </c>
      <c r="HW82" s="870">
        <v>3</v>
      </c>
      <c r="HX82" s="373"/>
      <c r="HY82" s="373">
        <v>1</v>
      </c>
      <c r="HZ82" s="373">
        <v>1</v>
      </c>
      <c r="IA82" s="618">
        <v>1</v>
      </c>
      <c r="IB82" s="374">
        <v>0</v>
      </c>
      <c r="IC82" s="869">
        <v>7</v>
      </c>
      <c r="ID82" s="373">
        <v>5</v>
      </c>
      <c r="IE82" s="373">
        <v>4</v>
      </c>
      <c r="IF82" s="870">
        <v>6</v>
      </c>
      <c r="IG82" s="373">
        <v>8</v>
      </c>
      <c r="IH82" s="373">
        <v>3</v>
      </c>
      <c r="II82" s="373">
        <v>1</v>
      </c>
      <c r="IJ82" s="618">
        <v>3</v>
      </c>
      <c r="IK82" s="374">
        <v>0</v>
      </c>
      <c r="IL82" s="377"/>
      <c r="IM82" s="373">
        <v>1</v>
      </c>
      <c r="IN82" s="373"/>
      <c r="IO82" s="871"/>
      <c r="IP82" s="871"/>
      <c r="IQ82" s="373"/>
      <c r="IR82" s="373"/>
      <c r="IS82" s="618"/>
      <c r="IT82" s="374">
        <v>0</v>
      </c>
    </row>
    <row r="83" spans="1:254" s="245" customFormat="1" ht="12.75" customHeight="1" x14ac:dyDescent="0.2">
      <c r="A83" s="1052"/>
      <c r="B83" s="868" t="s">
        <v>935</v>
      </c>
      <c r="C83" s="869"/>
      <c r="D83" s="373"/>
      <c r="E83" s="373"/>
      <c r="F83" s="870"/>
      <c r="G83" s="373"/>
      <c r="H83" s="373"/>
      <c r="I83" s="373"/>
      <c r="J83" s="618"/>
      <c r="K83" s="374">
        <v>0</v>
      </c>
      <c r="L83" s="869"/>
      <c r="M83" s="373"/>
      <c r="N83" s="373"/>
      <c r="O83" s="870"/>
      <c r="P83" s="373"/>
      <c r="Q83" s="373"/>
      <c r="R83" s="373"/>
      <c r="S83" s="618"/>
      <c r="T83" s="374">
        <v>0</v>
      </c>
      <c r="U83" s="869"/>
      <c r="V83" s="373"/>
      <c r="W83" s="373"/>
      <c r="X83" s="870"/>
      <c r="Y83" s="373"/>
      <c r="Z83" s="373"/>
      <c r="AA83" s="373"/>
      <c r="AB83" s="618"/>
      <c r="AC83" s="374">
        <v>0</v>
      </c>
      <c r="AD83" s="869"/>
      <c r="AE83" s="373"/>
      <c r="AF83" s="373"/>
      <c r="AG83" s="870"/>
      <c r="AH83" s="373"/>
      <c r="AI83" s="373"/>
      <c r="AJ83" s="373">
        <v>2</v>
      </c>
      <c r="AK83" s="618">
        <v>2</v>
      </c>
      <c r="AL83" s="374">
        <v>1</v>
      </c>
      <c r="AM83" s="869"/>
      <c r="AN83" s="373"/>
      <c r="AO83" s="373"/>
      <c r="AP83" s="870"/>
      <c r="AQ83" s="373"/>
      <c r="AR83" s="373"/>
      <c r="AS83" s="373">
        <v>1</v>
      </c>
      <c r="AT83" s="618"/>
      <c r="AU83" s="374">
        <v>1</v>
      </c>
      <c r="AV83" s="869"/>
      <c r="AW83" s="373"/>
      <c r="AX83" s="373"/>
      <c r="AY83" s="870"/>
      <c r="AZ83" s="373"/>
      <c r="BA83" s="373"/>
      <c r="BB83" s="373"/>
      <c r="BC83" s="618"/>
      <c r="BD83" s="374">
        <v>0</v>
      </c>
      <c r="BE83" s="869"/>
      <c r="BF83" s="373"/>
      <c r="BG83" s="373"/>
      <c r="BH83" s="870"/>
      <c r="BI83" s="373"/>
      <c r="BJ83" s="373"/>
      <c r="BK83" s="373"/>
      <c r="BL83" s="618"/>
      <c r="BM83" s="374">
        <v>0</v>
      </c>
      <c r="BN83" s="869"/>
      <c r="BO83" s="373"/>
      <c r="BP83" s="373"/>
      <c r="BQ83" s="870"/>
      <c r="BR83" s="373"/>
      <c r="BS83" s="373"/>
      <c r="BT83" s="373"/>
      <c r="BU83" s="618"/>
      <c r="BV83" s="374">
        <v>0</v>
      </c>
      <c r="BW83" s="869"/>
      <c r="BX83" s="373"/>
      <c r="BY83" s="373"/>
      <c r="BZ83" s="870"/>
      <c r="CA83" s="373"/>
      <c r="CB83" s="373"/>
      <c r="CC83" s="373"/>
      <c r="CD83" s="618"/>
      <c r="CE83" s="374">
        <v>1</v>
      </c>
      <c r="CF83" s="869"/>
      <c r="CG83" s="373"/>
      <c r="CH83" s="373"/>
      <c r="CI83" s="870"/>
      <c r="CJ83" s="373"/>
      <c r="CK83" s="373"/>
      <c r="CL83" s="373"/>
      <c r="CM83" s="618"/>
      <c r="CN83" s="374">
        <v>0</v>
      </c>
      <c r="CO83" s="869"/>
      <c r="CP83" s="373"/>
      <c r="CQ83" s="373"/>
      <c r="CR83" s="870"/>
      <c r="CS83" s="373"/>
      <c r="CT83" s="373"/>
      <c r="CU83" s="373"/>
      <c r="CV83" s="618"/>
      <c r="CW83" s="374">
        <v>0</v>
      </c>
      <c r="CX83" s="869">
        <v>1</v>
      </c>
      <c r="CY83" s="373">
        <v>2</v>
      </c>
      <c r="CZ83" s="373">
        <v>2</v>
      </c>
      <c r="DA83" s="870">
        <v>10</v>
      </c>
      <c r="DB83" s="373">
        <v>1</v>
      </c>
      <c r="DC83" s="373">
        <v>1</v>
      </c>
      <c r="DD83" s="373">
        <v>1</v>
      </c>
      <c r="DE83" s="618">
        <v>2</v>
      </c>
      <c r="DF83" s="374">
        <v>0</v>
      </c>
      <c r="DG83" s="869"/>
      <c r="DH83" s="373"/>
      <c r="DI83" s="373"/>
      <c r="DJ83" s="870"/>
      <c r="DK83" s="373"/>
      <c r="DL83" s="373"/>
      <c r="DM83" s="373"/>
      <c r="DN83" s="618"/>
      <c r="DO83" s="374">
        <v>0</v>
      </c>
      <c r="DP83" s="869"/>
      <c r="DQ83" s="373"/>
      <c r="DR83" s="373"/>
      <c r="DS83" s="870"/>
      <c r="DT83" s="373"/>
      <c r="DU83" s="373"/>
      <c r="DV83" s="373"/>
      <c r="DW83" s="618"/>
      <c r="DX83" s="374">
        <v>0</v>
      </c>
      <c r="DY83" s="869"/>
      <c r="DZ83" s="373"/>
      <c r="EA83" s="373">
        <v>1</v>
      </c>
      <c r="EB83" s="870"/>
      <c r="EC83" s="373"/>
      <c r="ED83" s="373"/>
      <c r="EE83" s="373"/>
      <c r="EF83" s="618"/>
      <c r="EG83" s="374">
        <v>0</v>
      </c>
      <c r="EH83" s="869"/>
      <c r="EI83" s="373"/>
      <c r="EJ83" s="373"/>
      <c r="EK83" s="870"/>
      <c r="EL83" s="373"/>
      <c r="EM83" s="373"/>
      <c r="EN83" s="373"/>
      <c r="EO83" s="618"/>
      <c r="EP83" s="374">
        <v>0</v>
      </c>
      <c r="EQ83" s="869"/>
      <c r="ER83" s="373"/>
      <c r="ES83" s="373"/>
      <c r="ET83" s="870"/>
      <c r="EU83" s="373"/>
      <c r="EV83" s="373"/>
      <c r="EW83" s="373"/>
      <c r="EX83" s="618"/>
      <c r="EY83" s="374">
        <v>0</v>
      </c>
      <c r="EZ83" s="869"/>
      <c r="FA83" s="373"/>
      <c r="FB83" s="373"/>
      <c r="FC83" s="870"/>
      <c r="FD83" s="373"/>
      <c r="FE83" s="373"/>
      <c r="FF83" s="373"/>
      <c r="FG83" s="618"/>
      <c r="FH83" s="374">
        <v>0</v>
      </c>
      <c r="FI83" s="869"/>
      <c r="FJ83" s="373"/>
      <c r="FK83" s="373"/>
      <c r="FL83" s="870"/>
      <c r="FM83" s="373"/>
      <c r="FN83" s="373"/>
      <c r="FO83" s="373"/>
      <c r="FP83" s="618"/>
      <c r="FQ83" s="374">
        <v>1</v>
      </c>
      <c r="FR83" s="869"/>
      <c r="FS83" s="373"/>
      <c r="FT83" s="373"/>
      <c r="FU83" s="870"/>
      <c r="FV83" s="373"/>
      <c r="FW83" s="373"/>
      <c r="FX83" s="373"/>
      <c r="FY83" s="618"/>
      <c r="FZ83" s="374">
        <v>0</v>
      </c>
      <c r="GA83" s="869"/>
      <c r="GB83" s="373"/>
      <c r="GC83" s="373"/>
      <c r="GD83" s="870"/>
      <c r="GE83" s="373"/>
      <c r="GF83" s="373"/>
      <c r="GG83" s="373"/>
      <c r="GH83" s="618"/>
      <c r="GI83" s="374">
        <v>0</v>
      </c>
      <c r="GJ83" s="869">
        <v>1</v>
      </c>
      <c r="GK83" s="373">
        <v>2</v>
      </c>
      <c r="GL83" s="373">
        <v>2</v>
      </c>
      <c r="GM83" s="870">
        <v>10</v>
      </c>
      <c r="GN83" s="373">
        <v>1</v>
      </c>
      <c r="GO83" s="373">
        <v>1</v>
      </c>
      <c r="GP83" s="373">
        <v>3</v>
      </c>
      <c r="GQ83" s="618">
        <v>4</v>
      </c>
      <c r="GR83" s="374">
        <v>3</v>
      </c>
      <c r="GS83" s="869"/>
      <c r="GT83" s="373"/>
      <c r="GU83" s="373"/>
      <c r="GV83" s="870">
        <v>4</v>
      </c>
      <c r="GW83" s="373"/>
      <c r="GX83" s="373"/>
      <c r="GY83" s="373"/>
      <c r="GZ83" s="618"/>
      <c r="HA83" s="374">
        <v>2</v>
      </c>
      <c r="HB83" s="869"/>
      <c r="HC83" s="373"/>
      <c r="HD83" s="373"/>
      <c r="HE83" s="870"/>
      <c r="HF83" s="373"/>
      <c r="HG83" s="373"/>
      <c r="HH83" s="373"/>
      <c r="HI83" s="618"/>
      <c r="HJ83" s="374">
        <v>0</v>
      </c>
      <c r="HK83" s="869"/>
      <c r="HL83" s="373"/>
      <c r="HM83" s="373"/>
      <c r="HN83" s="870"/>
      <c r="HO83" s="373"/>
      <c r="HP83" s="373"/>
      <c r="HQ83" s="373"/>
      <c r="HR83" s="618"/>
      <c r="HS83" s="374">
        <v>0</v>
      </c>
      <c r="HT83" s="869">
        <v>2</v>
      </c>
      <c r="HU83" s="373"/>
      <c r="HV83" s="373"/>
      <c r="HW83" s="870">
        <v>5</v>
      </c>
      <c r="HX83" s="373"/>
      <c r="HY83" s="373"/>
      <c r="HZ83" s="373">
        <v>2</v>
      </c>
      <c r="IA83" s="618">
        <v>2</v>
      </c>
      <c r="IB83" s="374">
        <v>2</v>
      </c>
      <c r="IC83" s="869">
        <v>4</v>
      </c>
      <c r="ID83" s="373">
        <v>3</v>
      </c>
      <c r="IE83" s="373">
        <v>10</v>
      </c>
      <c r="IF83" s="870">
        <v>14</v>
      </c>
      <c r="IG83" s="373">
        <v>3</v>
      </c>
      <c r="IH83" s="373">
        <v>1</v>
      </c>
      <c r="II83" s="373">
        <v>5</v>
      </c>
      <c r="IJ83" s="618">
        <v>6</v>
      </c>
      <c r="IK83" s="374">
        <v>3</v>
      </c>
      <c r="IL83" s="377"/>
      <c r="IM83" s="373"/>
      <c r="IN83" s="373">
        <v>2</v>
      </c>
      <c r="IO83" s="871"/>
      <c r="IP83" s="871"/>
      <c r="IQ83" s="373"/>
      <c r="IR83" s="373"/>
      <c r="IS83" s="618"/>
      <c r="IT83" s="374">
        <v>0</v>
      </c>
    </row>
    <row r="84" spans="1:254" s="245" customFormat="1" ht="12.75" customHeight="1" x14ac:dyDescent="0.2">
      <c r="A84" s="1052"/>
      <c r="B84" s="868" t="s">
        <v>936</v>
      </c>
      <c r="C84" s="869"/>
      <c r="D84" s="373"/>
      <c r="E84" s="373"/>
      <c r="F84" s="870"/>
      <c r="G84" s="373"/>
      <c r="H84" s="373"/>
      <c r="I84" s="373"/>
      <c r="J84" s="618"/>
      <c r="K84" s="374">
        <v>0</v>
      </c>
      <c r="L84" s="869"/>
      <c r="M84" s="373"/>
      <c r="N84" s="373"/>
      <c r="O84" s="870"/>
      <c r="P84" s="373"/>
      <c r="Q84" s="373"/>
      <c r="R84" s="373"/>
      <c r="S84" s="618"/>
      <c r="T84" s="374">
        <v>0</v>
      </c>
      <c r="U84" s="869"/>
      <c r="V84" s="373"/>
      <c r="W84" s="373"/>
      <c r="X84" s="870"/>
      <c r="Y84" s="373"/>
      <c r="Z84" s="373"/>
      <c r="AA84" s="373"/>
      <c r="AB84" s="618"/>
      <c r="AC84" s="374">
        <v>0</v>
      </c>
      <c r="AD84" s="869"/>
      <c r="AE84" s="373"/>
      <c r="AF84" s="373"/>
      <c r="AG84" s="870"/>
      <c r="AH84" s="373"/>
      <c r="AI84" s="373"/>
      <c r="AJ84" s="373"/>
      <c r="AK84" s="618"/>
      <c r="AL84" s="374">
        <v>0</v>
      </c>
      <c r="AM84" s="869"/>
      <c r="AN84" s="373"/>
      <c r="AO84" s="373"/>
      <c r="AP84" s="870"/>
      <c r="AQ84" s="373"/>
      <c r="AR84" s="373"/>
      <c r="AS84" s="373"/>
      <c r="AT84" s="618"/>
      <c r="AU84" s="374">
        <v>0</v>
      </c>
      <c r="AV84" s="869"/>
      <c r="AW84" s="373"/>
      <c r="AX84" s="373"/>
      <c r="AY84" s="870"/>
      <c r="AZ84" s="373"/>
      <c r="BA84" s="373"/>
      <c r="BB84" s="373"/>
      <c r="BC84" s="618"/>
      <c r="BD84" s="374">
        <v>0</v>
      </c>
      <c r="BE84" s="869"/>
      <c r="BF84" s="373"/>
      <c r="BG84" s="373"/>
      <c r="BH84" s="870"/>
      <c r="BI84" s="373"/>
      <c r="BJ84" s="373"/>
      <c r="BK84" s="373"/>
      <c r="BL84" s="618"/>
      <c r="BM84" s="374">
        <v>0</v>
      </c>
      <c r="BN84" s="869"/>
      <c r="BO84" s="373"/>
      <c r="BP84" s="373"/>
      <c r="BQ84" s="870"/>
      <c r="BR84" s="373"/>
      <c r="BS84" s="373"/>
      <c r="BT84" s="373"/>
      <c r="BU84" s="618"/>
      <c r="BV84" s="374">
        <v>0</v>
      </c>
      <c r="BW84" s="869"/>
      <c r="BX84" s="373"/>
      <c r="BY84" s="373"/>
      <c r="BZ84" s="870">
        <v>1</v>
      </c>
      <c r="CA84" s="373"/>
      <c r="CB84" s="373"/>
      <c r="CC84" s="373"/>
      <c r="CD84" s="618"/>
      <c r="CE84" s="374">
        <v>0</v>
      </c>
      <c r="CF84" s="869"/>
      <c r="CG84" s="373"/>
      <c r="CH84" s="373"/>
      <c r="CI84" s="870"/>
      <c r="CJ84" s="373"/>
      <c r="CK84" s="373"/>
      <c r="CL84" s="373"/>
      <c r="CM84" s="618"/>
      <c r="CN84" s="374">
        <v>0</v>
      </c>
      <c r="CO84" s="869"/>
      <c r="CP84" s="373"/>
      <c r="CQ84" s="373"/>
      <c r="CR84" s="870"/>
      <c r="CS84" s="373"/>
      <c r="CT84" s="373"/>
      <c r="CU84" s="373"/>
      <c r="CV84" s="618"/>
      <c r="CW84" s="374">
        <v>0</v>
      </c>
      <c r="CX84" s="869"/>
      <c r="CY84" s="373"/>
      <c r="CZ84" s="373"/>
      <c r="DA84" s="870"/>
      <c r="DB84" s="373">
        <v>2</v>
      </c>
      <c r="DC84" s="373">
        <v>1</v>
      </c>
      <c r="DD84" s="373"/>
      <c r="DE84" s="618"/>
      <c r="DF84" s="374">
        <v>0</v>
      </c>
      <c r="DG84" s="869"/>
      <c r="DH84" s="373"/>
      <c r="DI84" s="373"/>
      <c r="DJ84" s="870"/>
      <c r="DK84" s="373"/>
      <c r="DL84" s="373"/>
      <c r="DM84" s="373"/>
      <c r="DN84" s="618"/>
      <c r="DO84" s="374">
        <v>0</v>
      </c>
      <c r="DP84" s="869"/>
      <c r="DQ84" s="373"/>
      <c r="DR84" s="373"/>
      <c r="DS84" s="870"/>
      <c r="DT84" s="373"/>
      <c r="DU84" s="373"/>
      <c r="DV84" s="373"/>
      <c r="DW84" s="618"/>
      <c r="DX84" s="374">
        <v>0</v>
      </c>
      <c r="DY84" s="869"/>
      <c r="DZ84" s="373"/>
      <c r="EA84" s="373"/>
      <c r="EB84" s="870"/>
      <c r="EC84" s="373"/>
      <c r="ED84" s="373"/>
      <c r="EE84" s="373"/>
      <c r="EF84" s="618"/>
      <c r="EG84" s="374">
        <v>0</v>
      </c>
      <c r="EH84" s="869"/>
      <c r="EI84" s="373"/>
      <c r="EJ84" s="373"/>
      <c r="EK84" s="870"/>
      <c r="EL84" s="373"/>
      <c r="EM84" s="373"/>
      <c r="EN84" s="373"/>
      <c r="EO84" s="618"/>
      <c r="EP84" s="374">
        <v>0</v>
      </c>
      <c r="EQ84" s="869"/>
      <c r="ER84" s="373"/>
      <c r="ES84" s="373"/>
      <c r="ET84" s="870"/>
      <c r="EU84" s="373"/>
      <c r="EV84" s="373"/>
      <c r="EW84" s="373"/>
      <c r="EX84" s="618"/>
      <c r="EY84" s="374">
        <v>0</v>
      </c>
      <c r="EZ84" s="869"/>
      <c r="FA84" s="373"/>
      <c r="FB84" s="373"/>
      <c r="FC84" s="870"/>
      <c r="FD84" s="373"/>
      <c r="FE84" s="373"/>
      <c r="FF84" s="373"/>
      <c r="FG84" s="618"/>
      <c r="FH84" s="374">
        <v>0</v>
      </c>
      <c r="FI84" s="869"/>
      <c r="FJ84" s="373"/>
      <c r="FK84" s="373"/>
      <c r="FL84" s="870">
        <v>1</v>
      </c>
      <c r="FM84" s="373"/>
      <c r="FN84" s="373"/>
      <c r="FO84" s="373"/>
      <c r="FP84" s="618"/>
      <c r="FQ84" s="374">
        <v>0</v>
      </c>
      <c r="FR84" s="869"/>
      <c r="FS84" s="373"/>
      <c r="FT84" s="373"/>
      <c r="FU84" s="870"/>
      <c r="FV84" s="373"/>
      <c r="FW84" s="373"/>
      <c r="FX84" s="373"/>
      <c r="FY84" s="618"/>
      <c r="FZ84" s="374">
        <v>0</v>
      </c>
      <c r="GA84" s="869"/>
      <c r="GB84" s="373"/>
      <c r="GC84" s="373"/>
      <c r="GD84" s="870"/>
      <c r="GE84" s="373"/>
      <c r="GF84" s="373"/>
      <c r="GG84" s="373"/>
      <c r="GH84" s="618"/>
      <c r="GI84" s="374">
        <v>0</v>
      </c>
      <c r="GJ84" s="869"/>
      <c r="GK84" s="373"/>
      <c r="GL84" s="373"/>
      <c r="GM84" s="870">
        <v>2</v>
      </c>
      <c r="GN84" s="373">
        <v>2</v>
      </c>
      <c r="GO84" s="373">
        <v>1</v>
      </c>
      <c r="GP84" s="373"/>
      <c r="GQ84" s="618"/>
      <c r="GR84" s="374">
        <v>0</v>
      </c>
      <c r="GS84" s="869"/>
      <c r="GT84" s="373"/>
      <c r="GU84" s="373"/>
      <c r="GV84" s="870"/>
      <c r="GW84" s="373"/>
      <c r="GX84" s="373"/>
      <c r="GY84" s="373"/>
      <c r="GZ84" s="618"/>
      <c r="HA84" s="374">
        <v>0</v>
      </c>
      <c r="HB84" s="869"/>
      <c r="HC84" s="373"/>
      <c r="HD84" s="373"/>
      <c r="HE84" s="870"/>
      <c r="HF84" s="373"/>
      <c r="HG84" s="373"/>
      <c r="HH84" s="373"/>
      <c r="HI84" s="618"/>
      <c r="HJ84" s="374">
        <v>0</v>
      </c>
      <c r="HK84" s="869"/>
      <c r="HL84" s="373"/>
      <c r="HM84" s="373"/>
      <c r="HN84" s="870"/>
      <c r="HO84" s="373"/>
      <c r="HP84" s="373"/>
      <c r="HQ84" s="373"/>
      <c r="HR84" s="618"/>
      <c r="HS84" s="374">
        <v>0</v>
      </c>
      <c r="HT84" s="869">
        <v>1</v>
      </c>
      <c r="HU84" s="373"/>
      <c r="HV84" s="373"/>
      <c r="HW84" s="870">
        <v>1</v>
      </c>
      <c r="HX84" s="373"/>
      <c r="HY84" s="373"/>
      <c r="HZ84" s="373"/>
      <c r="IA84" s="618">
        <v>1</v>
      </c>
      <c r="IB84" s="374">
        <v>0</v>
      </c>
      <c r="IC84" s="869">
        <v>1</v>
      </c>
      <c r="ID84" s="373">
        <v>2</v>
      </c>
      <c r="IE84" s="373"/>
      <c r="IF84" s="870">
        <v>3</v>
      </c>
      <c r="IG84" s="373">
        <v>3</v>
      </c>
      <c r="IH84" s="373">
        <v>1</v>
      </c>
      <c r="II84" s="373"/>
      <c r="IJ84" s="618">
        <v>2</v>
      </c>
      <c r="IK84" s="374">
        <v>0</v>
      </c>
      <c r="IL84" s="377"/>
      <c r="IM84" s="373"/>
      <c r="IN84" s="373"/>
      <c r="IO84" s="871"/>
      <c r="IP84" s="871">
        <v>1</v>
      </c>
      <c r="IQ84" s="373"/>
      <c r="IR84" s="373"/>
      <c r="IS84" s="618"/>
      <c r="IT84" s="374">
        <v>0</v>
      </c>
    </row>
    <row r="85" spans="1:254" s="245" customFormat="1" ht="12.75" customHeight="1" x14ac:dyDescent="0.2">
      <c r="A85" s="1052"/>
      <c r="B85" s="868" t="s">
        <v>937</v>
      </c>
      <c r="C85" s="869"/>
      <c r="D85" s="373"/>
      <c r="E85" s="373"/>
      <c r="F85" s="870"/>
      <c r="G85" s="373"/>
      <c r="H85" s="373"/>
      <c r="I85" s="373"/>
      <c r="J85" s="618"/>
      <c r="K85" s="374">
        <v>0</v>
      </c>
      <c r="L85" s="869"/>
      <c r="M85" s="373"/>
      <c r="N85" s="373"/>
      <c r="O85" s="870"/>
      <c r="P85" s="373"/>
      <c r="Q85" s="373"/>
      <c r="R85" s="373"/>
      <c r="S85" s="618"/>
      <c r="T85" s="374">
        <v>0</v>
      </c>
      <c r="U85" s="869"/>
      <c r="V85" s="373"/>
      <c r="W85" s="373"/>
      <c r="X85" s="870"/>
      <c r="Y85" s="373"/>
      <c r="Z85" s="373"/>
      <c r="AA85" s="373"/>
      <c r="AB85" s="618"/>
      <c r="AC85" s="374">
        <v>0</v>
      </c>
      <c r="AD85" s="869"/>
      <c r="AE85" s="373">
        <v>1</v>
      </c>
      <c r="AF85" s="373">
        <v>5</v>
      </c>
      <c r="AG85" s="870"/>
      <c r="AH85" s="373"/>
      <c r="AI85" s="373"/>
      <c r="AJ85" s="373"/>
      <c r="AK85" s="618"/>
      <c r="AL85" s="374">
        <v>0</v>
      </c>
      <c r="AM85" s="869"/>
      <c r="AN85" s="373">
        <v>1</v>
      </c>
      <c r="AO85" s="373">
        <v>2</v>
      </c>
      <c r="AP85" s="870"/>
      <c r="AQ85" s="373"/>
      <c r="AR85" s="373"/>
      <c r="AS85" s="373"/>
      <c r="AT85" s="618"/>
      <c r="AU85" s="374">
        <v>0</v>
      </c>
      <c r="AV85" s="869"/>
      <c r="AW85" s="373"/>
      <c r="AX85" s="373"/>
      <c r="AY85" s="870"/>
      <c r="AZ85" s="373"/>
      <c r="BA85" s="373"/>
      <c r="BB85" s="373"/>
      <c r="BC85" s="618"/>
      <c r="BD85" s="374">
        <v>0</v>
      </c>
      <c r="BE85" s="869"/>
      <c r="BF85" s="373"/>
      <c r="BG85" s="373"/>
      <c r="BH85" s="870"/>
      <c r="BI85" s="373"/>
      <c r="BJ85" s="373"/>
      <c r="BK85" s="373"/>
      <c r="BL85" s="618"/>
      <c r="BM85" s="374">
        <v>0</v>
      </c>
      <c r="BN85" s="869"/>
      <c r="BO85" s="373"/>
      <c r="BP85" s="373"/>
      <c r="BQ85" s="870"/>
      <c r="BR85" s="373"/>
      <c r="BS85" s="373"/>
      <c r="BT85" s="373"/>
      <c r="BU85" s="618"/>
      <c r="BV85" s="374">
        <v>0</v>
      </c>
      <c r="BW85" s="869"/>
      <c r="BX85" s="373"/>
      <c r="BY85" s="373">
        <v>3</v>
      </c>
      <c r="BZ85" s="870"/>
      <c r="CA85" s="373"/>
      <c r="CB85" s="373"/>
      <c r="CC85" s="373"/>
      <c r="CD85" s="618"/>
      <c r="CE85" s="374">
        <v>0</v>
      </c>
      <c r="CF85" s="869"/>
      <c r="CG85" s="373"/>
      <c r="CH85" s="373"/>
      <c r="CI85" s="870"/>
      <c r="CJ85" s="373"/>
      <c r="CK85" s="373"/>
      <c r="CL85" s="373"/>
      <c r="CM85" s="618"/>
      <c r="CN85" s="374">
        <v>0</v>
      </c>
      <c r="CO85" s="869"/>
      <c r="CP85" s="373"/>
      <c r="CQ85" s="373"/>
      <c r="CR85" s="870"/>
      <c r="CS85" s="373"/>
      <c r="CT85" s="373"/>
      <c r="CU85" s="373"/>
      <c r="CV85" s="618"/>
      <c r="CW85" s="374">
        <v>0</v>
      </c>
      <c r="CX85" s="869">
        <v>3</v>
      </c>
      <c r="CY85" s="373">
        <v>3</v>
      </c>
      <c r="CZ85" s="373">
        <v>4</v>
      </c>
      <c r="DA85" s="870"/>
      <c r="DB85" s="373">
        <v>2</v>
      </c>
      <c r="DC85" s="373">
        <v>2</v>
      </c>
      <c r="DD85" s="373"/>
      <c r="DE85" s="618"/>
      <c r="DF85" s="374">
        <v>0</v>
      </c>
      <c r="DG85" s="869"/>
      <c r="DH85" s="373"/>
      <c r="DI85" s="373"/>
      <c r="DJ85" s="870"/>
      <c r="DK85" s="373"/>
      <c r="DL85" s="373"/>
      <c r="DM85" s="373"/>
      <c r="DN85" s="618"/>
      <c r="DO85" s="374">
        <v>0</v>
      </c>
      <c r="DP85" s="869"/>
      <c r="DQ85" s="373"/>
      <c r="DR85" s="373"/>
      <c r="DS85" s="870"/>
      <c r="DT85" s="373"/>
      <c r="DU85" s="373"/>
      <c r="DV85" s="373"/>
      <c r="DW85" s="618"/>
      <c r="DX85" s="374">
        <v>0</v>
      </c>
      <c r="DY85" s="869"/>
      <c r="DZ85" s="373"/>
      <c r="EA85" s="373">
        <v>1</v>
      </c>
      <c r="EB85" s="870"/>
      <c r="EC85" s="373"/>
      <c r="ED85" s="373"/>
      <c r="EE85" s="373"/>
      <c r="EF85" s="618"/>
      <c r="EG85" s="374">
        <v>0</v>
      </c>
      <c r="EH85" s="869"/>
      <c r="EI85" s="373"/>
      <c r="EJ85" s="373">
        <v>1</v>
      </c>
      <c r="EK85" s="870"/>
      <c r="EL85" s="373"/>
      <c r="EM85" s="373"/>
      <c r="EN85" s="373"/>
      <c r="EO85" s="618"/>
      <c r="EP85" s="374">
        <v>0</v>
      </c>
      <c r="EQ85" s="869"/>
      <c r="ER85" s="373"/>
      <c r="ES85" s="373"/>
      <c r="ET85" s="870"/>
      <c r="EU85" s="373"/>
      <c r="EV85" s="373"/>
      <c r="EW85" s="373"/>
      <c r="EX85" s="618"/>
      <c r="EY85" s="374">
        <v>0</v>
      </c>
      <c r="EZ85" s="869"/>
      <c r="FA85" s="373"/>
      <c r="FB85" s="373"/>
      <c r="FC85" s="870"/>
      <c r="FD85" s="373"/>
      <c r="FE85" s="373"/>
      <c r="FF85" s="373"/>
      <c r="FG85" s="618"/>
      <c r="FH85" s="374">
        <v>0</v>
      </c>
      <c r="FI85" s="869"/>
      <c r="FJ85" s="373"/>
      <c r="FK85" s="373"/>
      <c r="FL85" s="870"/>
      <c r="FM85" s="373"/>
      <c r="FN85" s="373"/>
      <c r="FO85" s="373"/>
      <c r="FP85" s="618"/>
      <c r="FQ85" s="374">
        <v>0</v>
      </c>
      <c r="FR85" s="869"/>
      <c r="FS85" s="373"/>
      <c r="FT85" s="373"/>
      <c r="FU85" s="870"/>
      <c r="FV85" s="373"/>
      <c r="FW85" s="373"/>
      <c r="FX85" s="373"/>
      <c r="FY85" s="618"/>
      <c r="FZ85" s="374">
        <v>0</v>
      </c>
      <c r="GA85" s="869"/>
      <c r="GB85" s="373"/>
      <c r="GC85" s="373"/>
      <c r="GD85" s="870"/>
      <c r="GE85" s="373"/>
      <c r="GF85" s="373"/>
      <c r="GG85" s="373"/>
      <c r="GH85" s="618"/>
      <c r="GI85" s="374">
        <v>0</v>
      </c>
      <c r="GJ85" s="869">
        <v>3</v>
      </c>
      <c r="GK85" s="373">
        <v>4</v>
      </c>
      <c r="GL85" s="373">
        <v>13</v>
      </c>
      <c r="GM85" s="870"/>
      <c r="GN85" s="373">
        <v>2</v>
      </c>
      <c r="GO85" s="373">
        <v>2</v>
      </c>
      <c r="GP85" s="373"/>
      <c r="GQ85" s="618"/>
      <c r="GR85" s="374">
        <v>0</v>
      </c>
      <c r="GS85" s="869"/>
      <c r="GT85" s="373">
        <v>1</v>
      </c>
      <c r="GU85" s="373">
        <v>5</v>
      </c>
      <c r="GV85" s="870"/>
      <c r="GW85" s="373"/>
      <c r="GX85" s="373"/>
      <c r="GY85" s="373"/>
      <c r="GZ85" s="618"/>
      <c r="HA85" s="374">
        <v>0</v>
      </c>
      <c r="HB85" s="869"/>
      <c r="HC85" s="373"/>
      <c r="HD85" s="373"/>
      <c r="HE85" s="870"/>
      <c r="HF85" s="373"/>
      <c r="HG85" s="373"/>
      <c r="HH85" s="373"/>
      <c r="HI85" s="618"/>
      <c r="HJ85" s="374">
        <v>0</v>
      </c>
      <c r="HK85" s="869"/>
      <c r="HL85" s="373"/>
      <c r="HM85" s="373"/>
      <c r="HN85" s="870"/>
      <c r="HO85" s="373"/>
      <c r="HP85" s="373"/>
      <c r="HQ85" s="373"/>
      <c r="HR85" s="618"/>
      <c r="HS85" s="374">
        <v>0</v>
      </c>
      <c r="HT85" s="869"/>
      <c r="HU85" s="373">
        <v>1</v>
      </c>
      <c r="HV85" s="373">
        <v>5</v>
      </c>
      <c r="HW85" s="870">
        <v>2</v>
      </c>
      <c r="HX85" s="373"/>
      <c r="HY85" s="373"/>
      <c r="HZ85" s="373"/>
      <c r="IA85" s="618"/>
      <c r="IB85" s="374">
        <v>0</v>
      </c>
      <c r="IC85" s="869">
        <v>4</v>
      </c>
      <c r="ID85" s="373">
        <v>4</v>
      </c>
      <c r="IE85" s="373">
        <v>13</v>
      </c>
      <c r="IF85" s="870">
        <v>2</v>
      </c>
      <c r="IG85" s="373">
        <v>3</v>
      </c>
      <c r="IH85" s="373">
        <v>2</v>
      </c>
      <c r="II85" s="373">
        <v>2</v>
      </c>
      <c r="IJ85" s="618"/>
      <c r="IK85" s="374">
        <v>1</v>
      </c>
      <c r="IL85" s="377">
        <v>2</v>
      </c>
      <c r="IM85" s="373">
        <v>2</v>
      </c>
      <c r="IN85" s="373">
        <v>2</v>
      </c>
      <c r="IO85" s="871"/>
      <c r="IP85" s="871"/>
      <c r="IQ85" s="373"/>
      <c r="IR85" s="373"/>
      <c r="IS85" s="618"/>
      <c r="IT85" s="374">
        <v>0</v>
      </c>
    </row>
    <row r="86" spans="1:254" s="245" customFormat="1" ht="12.75" customHeight="1" x14ac:dyDescent="0.2">
      <c r="A86" s="1052"/>
      <c r="B86" s="868" t="s">
        <v>938</v>
      </c>
      <c r="C86" s="869"/>
      <c r="D86" s="373"/>
      <c r="E86" s="373"/>
      <c r="F86" s="870"/>
      <c r="G86" s="373"/>
      <c r="H86" s="373"/>
      <c r="I86" s="373"/>
      <c r="J86" s="618"/>
      <c r="K86" s="374">
        <v>1</v>
      </c>
      <c r="L86" s="869"/>
      <c r="M86" s="373"/>
      <c r="N86" s="373"/>
      <c r="O86" s="870"/>
      <c r="P86" s="373"/>
      <c r="Q86" s="373"/>
      <c r="R86" s="373"/>
      <c r="S86" s="618"/>
      <c r="T86" s="374">
        <v>1</v>
      </c>
      <c r="U86" s="869"/>
      <c r="V86" s="373"/>
      <c r="W86" s="373"/>
      <c r="X86" s="870"/>
      <c r="Y86" s="373"/>
      <c r="Z86" s="373"/>
      <c r="AA86" s="373"/>
      <c r="AB86" s="618"/>
      <c r="AC86" s="374">
        <v>0</v>
      </c>
      <c r="AD86" s="869"/>
      <c r="AE86" s="373"/>
      <c r="AF86" s="373"/>
      <c r="AG86" s="870"/>
      <c r="AH86" s="373"/>
      <c r="AI86" s="373"/>
      <c r="AJ86" s="373"/>
      <c r="AK86" s="618"/>
      <c r="AL86" s="374">
        <v>0</v>
      </c>
      <c r="AM86" s="869"/>
      <c r="AN86" s="373"/>
      <c r="AO86" s="373"/>
      <c r="AP86" s="870"/>
      <c r="AQ86" s="373"/>
      <c r="AR86" s="373"/>
      <c r="AS86" s="373"/>
      <c r="AT86" s="618"/>
      <c r="AU86" s="374">
        <v>0</v>
      </c>
      <c r="AV86" s="869"/>
      <c r="AW86" s="373"/>
      <c r="AX86" s="373"/>
      <c r="AY86" s="870"/>
      <c r="AZ86" s="373"/>
      <c r="BA86" s="373"/>
      <c r="BB86" s="373"/>
      <c r="BC86" s="618"/>
      <c r="BD86" s="374">
        <v>0</v>
      </c>
      <c r="BE86" s="869"/>
      <c r="BF86" s="373"/>
      <c r="BG86" s="373"/>
      <c r="BH86" s="870"/>
      <c r="BI86" s="373"/>
      <c r="BJ86" s="373"/>
      <c r="BK86" s="373"/>
      <c r="BL86" s="618">
        <v>1</v>
      </c>
      <c r="BM86" s="374">
        <v>0</v>
      </c>
      <c r="BN86" s="869"/>
      <c r="BO86" s="373"/>
      <c r="BP86" s="373"/>
      <c r="BQ86" s="870"/>
      <c r="BR86" s="373"/>
      <c r="BS86" s="373"/>
      <c r="BT86" s="373"/>
      <c r="BU86" s="618"/>
      <c r="BV86" s="374">
        <v>0</v>
      </c>
      <c r="BW86" s="869"/>
      <c r="BX86" s="373"/>
      <c r="BY86" s="373"/>
      <c r="BZ86" s="870"/>
      <c r="CA86" s="373">
        <v>1</v>
      </c>
      <c r="CB86" s="373">
        <v>1</v>
      </c>
      <c r="CC86" s="373">
        <v>1</v>
      </c>
      <c r="CD86" s="618"/>
      <c r="CE86" s="374">
        <v>0</v>
      </c>
      <c r="CF86" s="869"/>
      <c r="CG86" s="373"/>
      <c r="CH86" s="373"/>
      <c r="CI86" s="870"/>
      <c r="CJ86" s="373"/>
      <c r="CK86" s="373"/>
      <c r="CL86" s="373"/>
      <c r="CM86" s="618"/>
      <c r="CN86" s="374">
        <v>0</v>
      </c>
      <c r="CO86" s="869"/>
      <c r="CP86" s="373"/>
      <c r="CQ86" s="373"/>
      <c r="CR86" s="870"/>
      <c r="CS86" s="373"/>
      <c r="CT86" s="373"/>
      <c r="CU86" s="373"/>
      <c r="CV86" s="618"/>
      <c r="CW86" s="374">
        <v>0</v>
      </c>
      <c r="CX86" s="869">
        <v>1</v>
      </c>
      <c r="CY86" s="373"/>
      <c r="CZ86" s="373">
        <v>4</v>
      </c>
      <c r="DA86" s="870">
        <v>1</v>
      </c>
      <c r="DB86" s="373">
        <v>1</v>
      </c>
      <c r="DC86" s="373"/>
      <c r="DD86" s="373"/>
      <c r="DE86" s="618">
        <v>1</v>
      </c>
      <c r="DF86" s="374">
        <v>0</v>
      </c>
      <c r="DG86" s="869"/>
      <c r="DH86" s="373"/>
      <c r="DI86" s="373"/>
      <c r="DJ86" s="870"/>
      <c r="DK86" s="373"/>
      <c r="DL86" s="373"/>
      <c r="DM86" s="373"/>
      <c r="DN86" s="618"/>
      <c r="DO86" s="374">
        <v>0</v>
      </c>
      <c r="DP86" s="869"/>
      <c r="DQ86" s="373"/>
      <c r="DR86" s="373"/>
      <c r="DS86" s="870"/>
      <c r="DT86" s="373"/>
      <c r="DU86" s="373"/>
      <c r="DV86" s="373"/>
      <c r="DW86" s="618"/>
      <c r="DX86" s="374">
        <v>0</v>
      </c>
      <c r="DY86" s="869"/>
      <c r="DZ86" s="373"/>
      <c r="EA86" s="373"/>
      <c r="EB86" s="870"/>
      <c r="EC86" s="373"/>
      <c r="ED86" s="373"/>
      <c r="EE86" s="373"/>
      <c r="EF86" s="618"/>
      <c r="EG86" s="374">
        <v>0</v>
      </c>
      <c r="EH86" s="869"/>
      <c r="EI86" s="373"/>
      <c r="EJ86" s="373"/>
      <c r="EK86" s="870"/>
      <c r="EL86" s="373"/>
      <c r="EM86" s="373"/>
      <c r="EN86" s="373"/>
      <c r="EO86" s="618"/>
      <c r="EP86" s="374">
        <v>0</v>
      </c>
      <c r="EQ86" s="869"/>
      <c r="ER86" s="373"/>
      <c r="ES86" s="373"/>
      <c r="ET86" s="870"/>
      <c r="EU86" s="373"/>
      <c r="EV86" s="373"/>
      <c r="EW86" s="373"/>
      <c r="EX86" s="618"/>
      <c r="EY86" s="374">
        <v>0</v>
      </c>
      <c r="EZ86" s="869"/>
      <c r="FA86" s="373"/>
      <c r="FB86" s="373"/>
      <c r="FC86" s="870"/>
      <c r="FD86" s="373"/>
      <c r="FE86" s="373"/>
      <c r="FF86" s="373"/>
      <c r="FG86" s="618"/>
      <c r="FH86" s="374">
        <v>0</v>
      </c>
      <c r="FI86" s="869"/>
      <c r="FJ86" s="373">
        <v>1</v>
      </c>
      <c r="FK86" s="373"/>
      <c r="FL86" s="870"/>
      <c r="FM86" s="373"/>
      <c r="FN86" s="373"/>
      <c r="FO86" s="373"/>
      <c r="FP86" s="618"/>
      <c r="FQ86" s="374">
        <v>0</v>
      </c>
      <c r="FR86" s="869"/>
      <c r="FS86" s="373"/>
      <c r="FT86" s="373"/>
      <c r="FU86" s="870"/>
      <c r="FV86" s="373"/>
      <c r="FW86" s="373"/>
      <c r="FX86" s="373"/>
      <c r="FY86" s="618"/>
      <c r="FZ86" s="374">
        <v>0</v>
      </c>
      <c r="GA86" s="869"/>
      <c r="GB86" s="373"/>
      <c r="GC86" s="373"/>
      <c r="GD86" s="870"/>
      <c r="GE86" s="373"/>
      <c r="GF86" s="373"/>
      <c r="GG86" s="373"/>
      <c r="GH86" s="618"/>
      <c r="GI86" s="374">
        <v>0</v>
      </c>
      <c r="GJ86" s="869">
        <v>1</v>
      </c>
      <c r="GK86" s="373">
        <v>1</v>
      </c>
      <c r="GL86" s="373">
        <v>4</v>
      </c>
      <c r="GM86" s="870">
        <v>1</v>
      </c>
      <c r="GN86" s="373">
        <v>2</v>
      </c>
      <c r="GO86" s="373">
        <v>1</v>
      </c>
      <c r="GP86" s="373">
        <v>1</v>
      </c>
      <c r="GQ86" s="618">
        <v>2</v>
      </c>
      <c r="GR86" s="374">
        <v>1</v>
      </c>
      <c r="GS86" s="869"/>
      <c r="GT86" s="373"/>
      <c r="GU86" s="373">
        <v>1</v>
      </c>
      <c r="GV86" s="870">
        <v>1</v>
      </c>
      <c r="GW86" s="373">
        <v>1</v>
      </c>
      <c r="GX86" s="373">
        <v>1</v>
      </c>
      <c r="GY86" s="373">
        <v>1</v>
      </c>
      <c r="GZ86" s="618"/>
      <c r="HA86" s="374">
        <v>0</v>
      </c>
      <c r="HB86" s="869"/>
      <c r="HC86" s="373"/>
      <c r="HD86" s="373"/>
      <c r="HE86" s="870"/>
      <c r="HF86" s="373"/>
      <c r="HG86" s="373"/>
      <c r="HH86" s="373"/>
      <c r="HI86" s="618"/>
      <c r="HJ86" s="374">
        <v>0</v>
      </c>
      <c r="HK86" s="869"/>
      <c r="HL86" s="373"/>
      <c r="HM86" s="373"/>
      <c r="HN86" s="870"/>
      <c r="HO86" s="373"/>
      <c r="HP86" s="373"/>
      <c r="HQ86" s="373"/>
      <c r="HR86" s="618"/>
      <c r="HS86" s="374">
        <v>0</v>
      </c>
      <c r="HT86" s="869"/>
      <c r="HU86" s="373"/>
      <c r="HV86" s="373">
        <v>4</v>
      </c>
      <c r="HW86" s="870">
        <v>1</v>
      </c>
      <c r="HX86" s="373">
        <v>1</v>
      </c>
      <c r="HY86" s="373">
        <v>1</v>
      </c>
      <c r="HZ86" s="373">
        <v>2</v>
      </c>
      <c r="IA86" s="618">
        <v>1</v>
      </c>
      <c r="IB86" s="374">
        <v>0</v>
      </c>
      <c r="IC86" s="869">
        <v>3</v>
      </c>
      <c r="ID86" s="373">
        <v>1</v>
      </c>
      <c r="IE86" s="373">
        <v>7</v>
      </c>
      <c r="IF86" s="870">
        <v>1</v>
      </c>
      <c r="IG86" s="373">
        <v>3</v>
      </c>
      <c r="IH86" s="373">
        <v>2</v>
      </c>
      <c r="II86" s="373">
        <v>4</v>
      </c>
      <c r="IJ86" s="618">
        <v>20</v>
      </c>
      <c r="IK86" s="374">
        <v>1</v>
      </c>
      <c r="IL86" s="377">
        <v>1</v>
      </c>
      <c r="IM86" s="373"/>
      <c r="IN86" s="373">
        <v>2</v>
      </c>
      <c r="IO86" s="871"/>
      <c r="IP86" s="871"/>
      <c r="IQ86" s="373"/>
      <c r="IR86" s="373"/>
      <c r="IS86" s="618"/>
      <c r="IT86" s="374">
        <v>0</v>
      </c>
    </row>
    <row r="87" spans="1:254" s="245" customFormat="1" ht="12.75" customHeight="1" x14ac:dyDescent="0.2">
      <c r="A87" s="1052"/>
      <c r="B87" s="868" t="s">
        <v>939</v>
      </c>
      <c r="C87" s="869"/>
      <c r="D87" s="373"/>
      <c r="E87" s="373"/>
      <c r="F87" s="870"/>
      <c r="G87" s="373"/>
      <c r="H87" s="373"/>
      <c r="I87" s="373"/>
      <c r="J87" s="618"/>
      <c r="K87" s="374">
        <v>0</v>
      </c>
      <c r="L87" s="869"/>
      <c r="M87" s="373"/>
      <c r="N87" s="373"/>
      <c r="O87" s="870"/>
      <c r="P87" s="373"/>
      <c r="Q87" s="373"/>
      <c r="R87" s="373"/>
      <c r="S87" s="618"/>
      <c r="T87" s="374">
        <v>0</v>
      </c>
      <c r="U87" s="869"/>
      <c r="V87" s="373"/>
      <c r="W87" s="373"/>
      <c r="X87" s="870"/>
      <c r="Y87" s="373"/>
      <c r="Z87" s="373"/>
      <c r="AA87" s="373"/>
      <c r="AB87" s="618"/>
      <c r="AC87" s="374">
        <v>0</v>
      </c>
      <c r="AD87" s="869"/>
      <c r="AE87" s="373">
        <v>2</v>
      </c>
      <c r="AF87" s="373"/>
      <c r="AG87" s="870">
        <v>1</v>
      </c>
      <c r="AH87" s="373"/>
      <c r="AI87" s="373"/>
      <c r="AJ87" s="373"/>
      <c r="AK87" s="618"/>
      <c r="AL87" s="374">
        <v>0</v>
      </c>
      <c r="AM87" s="869"/>
      <c r="AN87" s="373">
        <v>1</v>
      </c>
      <c r="AO87" s="373"/>
      <c r="AP87" s="870"/>
      <c r="AQ87" s="373"/>
      <c r="AR87" s="373"/>
      <c r="AS87" s="373"/>
      <c r="AT87" s="618"/>
      <c r="AU87" s="374">
        <v>0</v>
      </c>
      <c r="AV87" s="869"/>
      <c r="AW87" s="373"/>
      <c r="AX87" s="373"/>
      <c r="AY87" s="870"/>
      <c r="AZ87" s="373"/>
      <c r="BA87" s="373"/>
      <c r="BB87" s="373"/>
      <c r="BC87" s="618"/>
      <c r="BD87" s="374">
        <v>0</v>
      </c>
      <c r="BE87" s="869"/>
      <c r="BF87" s="373">
        <v>1</v>
      </c>
      <c r="BG87" s="373"/>
      <c r="BH87" s="870"/>
      <c r="BI87" s="373"/>
      <c r="BJ87" s="373"/>
      <c r="BK87" s="373"/>
      <c r="BL87" s="618"/>
      <c r="BM87" s="374">
        <v>0</v>
      </c>
      <c r="BN87" s="869"/>
      <c r="BO87" s="373"/>
      <c r="BP87" s="373"/>
      <c r="BQ87" s="870"/>
      <c r="BR87" s="373"/>
      <c r="BS87" s="373"/>
      <c r="BT87" s="373"/>
      <c r="BU87" s="618"/>
      <c r="BV87" s="374">
        <v>0</v>
      </c>
      <c r="BW87" s="869"/>
      <c r="BX87" s="373"/>
      <c r="BY87" s="373">
        <v>1</v>
      </c>
      <c r="BZ87" s="870">
        <v>1</v>
      </c>
      <c r="CA87" s="373">
        <v>1</v>
      </c>
      <c r="CB87" s="373"/>
      <c r="CC87" s="373">
        <v>1</v>
      </c>
      <c r="CD87" s="618">
        <v>1</v>
      </c>
      <c r="CE87" s="374">
        <v>0</v>
      </c>
      <c r="CF87" s="869"/>
      <c r="CG87" s="373"/>
      <c r="CH87" s="373"/>
      <c r="CI87" s="870"/>
      <c r="CJ87" s="373"/>
      <c r="CK87" s="373"/>
      <c r="CL87" s="373"/>
      <c r="CM87" s="618"/>
      <c r="CN87" s="374">
        <v>0</v>
      </c>
      <c r="CO87" s="869"/>
      <c r="CP87" s="373"/>
      <c r="CQ87" s="373"/>
      <c r="CR87" s="870"/>
      <c r="CS87" s="373"/>
      <c r="CT87" s="373"/>
      <c r="CU87" s="373"/>
      <c r="CV87" s="618"/>
      <c r="CW87" s="374">
        <v>0</v>
      </c>
      <c r="CX87" s="869">
        <v>2</v>
      </c>
      <c r="CY87" s="373">
        <v>2</v>
      </c>
      <c r="CZ87" s="373">
        <v>3</v>
      </c>
      <c r="DA87" s="870">
        <v>6</v>
      </c>
      <c r="DB87" s="373">
        <v>2</v>
      </c>
      <c r="DC87" s="373">
        <v>3</v>
      </c>
      <c r="DD87" s="373"/>
      <c r="DE87" s="618">
        <v>2</v>
      </c>
      <c r="DF87" s="374">
        <v>0</v>
      </c>
      <c r="DG87" s="869"/>
      <c r="DH87" s="373"/>
      <c r="DI87" s="373"/>
      <c r="DJ87" s="870"/>
      <c r="DK87" s="373"/>
      <c r="DL87" s="373"/>
      <c r="DM87" s="373"/>
      <c r="DN87" s="618"/>
      <c r="DO87" s="374">
        <v>0</v>
      </c>
      <c r="DP87" s="869"/>
      <c r="DQ87" s="373"/>
      <c r="DR87" s="373"/>
      <c r="DS87" s="870"/>
      <c r="DT87" s="373"/>
      <c r="DU87" s="373"/>
      <c r="DV87" s="373"/>
      <c r="DW87" s="618"/>
      <c r="DX87" s="374">
        <v>0</v>
      </c>
      <c r="DY87" s="869"/>
      <c r="DZ87" s="373"/>
      <c r="EA87" s="373"/>
      <c r="EB87" s="870"/>
      <c r="EC87" s="373">
        <v>1</v>
      </c>
      <c r="ED87" s="373">
        <v>1</v>
      </c>
      <c r="EE87" s="373"/>
      <c r="EF87" s="618"/>
      <c r="EG87" s="374">
        <v>0</v>
      </c>
      <c r="EH87" s="869"/>
      <c r="EI87" s="373"/>
      <c r="EJ87" s="373"/>
      <c r="EK87" s="870"/>
      <c r="EL87" s="373"/>
      <c r="EM87" s="373"/>
      <c r="EN87" s="373"/>
      <c r="EO87" s="618"/>
      <c r="EP87" s="374">
        <v>0</v>
      </c>
      <c r="EQ87" s="869"/>
      <c r="ER87" s="373"/>
      <c r="ES87" s="373"/>
      <c r="ET87" s="870"/>
      <c r="EU87" s="373"/>
      <c r="EV87" s="373"/>
      <c r="EW87" s="373"/>
      <c r="EX87" s="618"/>
      <c r="EY87" s="374">
        <v>0</v>
      </c>
      <c r="EZ87" s="869"/>
      <c r="FA87" s="373"/>
      <c r="FB87" s="373"/>
      <c r="FC87" s="870"/>
      <c r="FD87" s="373"/>
      <c r="FE87" s="373"/>
      <c r="FF87" s="373"/>
      <c r="FG87" s="618"/>
      <c r="FH87" s="374">
        <v>0</v>
      </c>
      <c r="FI87" s="869"/>
      <c r="FJ87" s="373"/>
      <c r="FK87" s="373"/>
      <c r="FL87" s="870"/>
      <c r="FM87" s="373"/>
      <c r="FN87" s="373"/>
      <c r="FO87" s="373"/>
      <c r="FP87" s="618"/>
      <c r="FQ87" s="374">
        <v>1</v>
      </c>
      <c r="FR87" s="869"/>
      <c r="FS87" s="373"/>
      <c r="FT87" s="373"/>
      <c r="FU87" s="870"/>
      <c r="FV87" s="373"/>
      <c r="FW87" s="373"/>
      <c r="FX87" s="373"/>
      <c r="FY87" s="618"/>
      <c r="FZ87" s="374">
        <v>0</v>
      </c>
      <c r="GA87" s="869"/>
      <c r="GB87" s="373"/>
      <c r="GC87" s="373"/>
      <c r="GD87" s="870"/>
      <c r="GE87" s="373"/>
      <c r="GF87" s="373"/>
      <c r="GG87" s="373"/>
      <c r="GH87" s="618"/>
      <c r="GI87" s="374">
        <v>0</v>
      </c>
      <c r="GJ87" s="869">
        <v>2</v>
      </c>
      <c r="GK87" s="373">
        <v>5</v>
      </c>
      <c r="GL87" s="373">
        <v>4</v>
      </c>
      <c r="GM87" s="870">
        <v>8</v>
      </c>
      <c r="GN87" s="373">
        <v>3</v>
      </c>
      <c r="GO87" s="373">
        <v>3</v>
      </c>
      <c r="GP87" s="373">
        <v>1</v>
      </c>
      <c r="GQ87" s="618">
        <v>3</v>
      </c>
      <c r="GR87" s="374">
        <v>1</v>
      </c>
      <c r="GS87" s="869"/>
      <c r="GT87" s="373">
        <v>1</v>
      </c>
      <c r="GU87" s="373"/>
      <c r="GV87" s="870">
        <v>2</v>
      </c>
      <c r="GW87" s="373">
        <v>1</v>
      </c>
      <c r="GX87" s="373"/>
      <c r="GY87" s="373">
        <v>1</v>
      </c>
      <c r="GZ87" s="618">
        <v>1</v>
      </c>
      <c r="HA87" s="374">
        <v>1</v>
      </c>
      <c r="HB87" s="869"/>
      <c r="HC87" s="373"/>
      <c r="HD87" s="373"/>
      <c r="HE87" s="870"/>
      <c r="HF87" s="373"/>
      <c r="HG87" s="373"/>
      <c r="HH87" s="373"/>
      <c r="HI87" s="618"/>
      <c r="HJ87" s="374">
        <v>0</v>
      </c>
      <c r="HK87" s="869"/>
      <c r="HL87" s="373"/>
      <c r="HM87" s="373"/>
      <c r="HN87" s="870"/>
      <c r="HO87" s="373"/>
      <c r="HP87" s="373"/>
      <c r="HQ87" s="373"/>
      <c r="HR87" s="618"/>
      <c r="HS87" s="374">
        <v>0</v>
      </c>
      <c r="HT87" s="869">
        <v>1</v>
      </c>
      <c r="HU87" s="373">
        <v>1</v>
      </c>
      <c r="HV87" s="373"/>
      <c r="HW87" s="870">
        <v>5</v>
      </c>
      <c r="HX87" s="373">
        <v>2</v>
      </c>
      <c r="HY87" s="373"/>
      <c r="HZ87" s="373">
        <v>1</v>
      </c>
      <c r="IA87" s="618">
        <v>1</v>
      </c>
      <c r="IB87" s="374">
        <v>1</v>
      </c>
      <c r="IC87" s="869">
        <v>5</v>
      </c>
      <c r="ID87" s="373">
        <v>8</v>
      </c>
      <c r="IE87" s="373">
        <v>4</v>
      </c>
      <c r="IF87" s="870">
        <v>13</v>
      </c>
      <c r="IG87" s="373">
        <v>4</v>
      </c>
      <c r="IH87" s="373">
        <v>6</v>
      </c>
      <c r="II87" s="373">
        <v>1</v>
      </c>
      <c r="IJ87" s="618">
        <v>5</v>
      </c>
      <c r="IK87" s="374">
        <v>2</v>
      </c>
      <c r="IL87" s="377">
        <v>2</v>
      </c>
      <c r="IM87" s="373"/>
      <c r="IN87" s="373"/>
      <c r="IO87" s="871">
        <v>2</v>
      </c>
      <c r="IP87" s="871"/>
      <c r="IQ87" s="373">
        <v>2</v>
      </c>
      <c r="IR87" s="373"/>
      <c r="IS87" s="618"/>
      <c r="IT87" s="374">
        <v>0</v>
      </c>
    </row>
    <row r="88" spans="1:254" s="245" customFormat="1" ht="12.75" customHeight="1" x14ac:dyDescent="0.2">
      <c r="A88" s="1052"/>
      <c r="B88" s="868" t="s">
        <v>940</v>
      </c>
      <c r="C88" s="869"/>
      <c r="D88" s="373"/>
      <c r="E88" s="373"/>
      <c r="F88" s="870"/>
      <c r="G88" s="373"/>
      <c r="H88" s="373"/>
      <c r="I88" s="373"/>
      <c r="J88" s="618"/>
      <c r="K88" s="374">
        <v>0</v>
      </c>
      <c r="L88" s="869"/>
      <c r="M88" s="373"/>
      <c r="N88" s="373"/>
      <c r="O88" s="870"/>
      <c r="P88" s="373"/>
      <c r="Q88" s="373"/>
      <c r="R88" s="373"/>
      <c r="S88" s="618"/>
      <c r="T88" s="374">
        <v>0</v>
      </c>
      <c r="U88" s="869"/>
      <c r="V88" s="373"/>
      <c r="W88" s="373"/>
      <c r="X88" s="870"/>
      <c r="Y88" s="373"/>
      <c r="Z88" s="373"/>
      <c r="AA88" s="373"/>
      <c r="AB88" s="618"/>
      <c r="AC88" s="374">
        <v>0</v>
      </c>
      <c r="AD88" s="869"/>
      <c r="AE88" s="373"/>
      <c r="AF88" s="373"/>
      <c r="AG88" s="870"/>
      <c r="AH88" s="373">
        <v>1</v>
      </c>
      <c r="AI88" s="373"/>
      <c r="AJ88" s="373"/>
      <c r="AK88" s="618"/>
      <c r="AL88" s="374">
        <v>0</v>
      </c>
      <c r="AM88" s="869"/>
      <c r="AN88" s="373"/>
      <c r="AO88" s="373"/>
      <c r="AP88" s="870"/>
      <c r="AQ88" s="373">
        <v>1</v>
      </c>
      <c r="AR88" s="373"/>
      <c r="AS88" s="373"/>
      <c r="AT88" s="618"/>
      <c r="AU88" s="374">
        <v>0</v>
      </c>
      <c r="AV88" s="869"/>
      <c r="AW88" s="373"/>
      <c r="AX88" s="373"/>
      <c r="AY88" s="870"/>
      <c r="AZ88" s="373"/>
      <c r="BA88" s="373"/>
      <c r="BB88" s="373"/>
      <c r="BC88" s="618"/>
      <c r="BD88" s="374">
        <v>0</v>
      </c>
      <c r="BE88" s="869"/>
      <c r="BF88" s="373"/>
      <c r="BG88" s="373"/>
      <c r="BH88" s="870"/>
      <c r="BI88" s="373"/>
      <c r="BJ88" s="373"/>
      <c r="BK88" s="373"/>
      <c r="BL88" s="618"/>
      <c r="BM88" s="374">
        <v>0</v>
      </c>
      <c r="BN88" s="869"/>
      <c r="BO88" s="373"/>
      <c r="BP88" s="373"/>
      <c r="BQ88" s="870"/>
      <c r="BR88" s="373"/>
      <c r="BS88" s="373"/>
      <c r="BT88" s="373"/>
      <c r="BU88" s="618"/>
      <c r="BV88" s="374">
        <v>0</v>
      </c>
      <c r="BW88" s="869"/>
      <c r="BX88" s="373"/>
      <c r="BY88" s="373"/>
      <c r="BZ88" s="870"/>
      <c r="CA88" s="373"/>
      <c r="CB88" s="373"/>
      <c r="CC88" s="373"/>
      <c r="CD88" s="618"/>
      <c r="CE88" s="374">
        <v>0</v>
      </c>
      <c r="CF88" s="869"/>
      <c r="CG88" s="373"/>
      <c r="CH88" s="373"/>
      <c r="CI88" s="870"/>
      <c r="CJ88" s="373"/>
      <c r="CK88" s="373"/>
      <c r="CL88" s="373"/>
      <c r="CM88" s="618"/>
      <c r="CN88" s="374">
        <v>0</v>
      </c>
      <c r="CO88" s="869">
        <v>1</v>
      </c>
      <c r="CP88" s="373">
        <v>1</v>
      </c>
      <c r="CQ88" s="373"/>
      <c r="CR88" s="870"/>
      <c r="CS88" s="373"/>
      <c r="CT88" s="373"/>
      <c r="CU88" s="373"/>
      <c r="CV88" s="618"/>
      <c r="CW88" s="374">
        <v>0</v>
      </c>
      <c r="CX88" s="869">
        <v>1</v>
      </c>
      <c r="CY88" s="373">
        <v>1</v>
      </c>
      <c r="CZ88" s="373">
        <v>8</v>
      </c>
      <c r="DA88" s="870">
        <v>1</v>
      </c>
      <c r="DB88" s="373">
        <v>1</v>
      </c>
      <c r="DC88" s="373">
        <v>1</v>
      </c>
      <c r="DD88" s="373"/>
      <c r="DE88" s="618">
        <v>1</v>
      </c>
      <c r="DF88" s="374">
        <v>0</v>
      </c>
      <c r="DG88" s="869"/>
      <c r="DH88" s="373"/>
      <c r="DI88" s="373"/>
      <c r="DJ88" s="870"/>
      <c r="DK88" s="373"/>
      <c r="DL88" s="373"/>
      <c r="DM88" s="373"/>
      <c r="DN88" s="618"/>
      <c r="DO88" s="374">
        <v>0</v>
      </c>
      <c r="DP88" s="869"/>
      <c r="DQ88" s="373"/>
      <c r="DR88" s="373"/>
      <c r="DS88" s="870"/>
      <c r="DT88" s="373"/>
      <c r="DU88" s="373"/>
      <c r="DV88" s="373"/>
      <c r="DW88" s="618"/>
      <c r="DX88" s="374">
        <v>0</v>
      </c>
      <c r="DY88" s="869"/>
      <c r="DZ88" s="373"/>
      <c r="EA88" s="373"/>
      <c r="EB88" s="870">
        <v>1</v>
      </c>
      <c r="EC88" s="373"/>
      <c r="ED88" s="373"/>
      <c r="EE88" s="373"/>
      <c r="EF88" s="618"/>
      <c r="EG88" s="374">
        <v>0</v>
      </c>
      <c r="EH88" s="869"/>
      <c r="EI88" s="373"/>
      <c r="EJ88" s="373"/>
      <c r="EK88" s="870"/>
      <c r="EL88" s="373"/>
      <c r="EM88" s="373"/>
      <c r="EN88" s="373"/>
      <c r="EO88" s="618"/>
      <c r="EP88" s="374">
        <v>0</v>
      </c>
      <c r="EQ88" s="869"/>
      <c r="ER88" s="373"/>
      <c r="ES88" s="373"/>
      <c r="ET88" s="870"/>
      <c r="EU88" s="373"/>
      <c r="EV88" s="373"/>
      <c r="EW88" s="373"/>
      <c r="EX88" s="618"/>
      <c r="EY88" s="374">
        <v>0</v>
      </c>
      <c r="EZ88" s="869"/>
      <c r="FA88" s="373"/>
      <c r="FB88" s="373"/>
      <c r="FC88" s="870"/>
      <c r="FD88" s="373"/>
      <c r="FE88" s="373"/>
      <c r="FF88" s="373"/>
      <c r="FG88" s="618"/>
      <c r="FH88" s="374">
        <v>0</v>
      </c>
      <c r="FI88" s="869"/>
      <c r="FJ88" s="373"/>
      <c r="FK88" s="373"/>
      <c r="FL88" s="870">
        <v>1</v>
      </c>
      <c r="FM88" s="373"/>
      <c r="FN88" s="373"/>
      <c r="FO88" s="373">
        <v>1</v>
      </c>
      <c r="FP88" s="618"/>
      <c r="FQ88" s="374">
        <v>0</v>
      </c>
      <c r="FR88" s="869"/>
      <c r="FS88" s="373"/>
      <c r="FT88" s="373"/>
      <c r="FU88" s="870"/>
      <c r="FV88" s="373"/>
      <c r="FW88" s="373"/>
      <c r="FX88" s="373"/>
      <c r="FY88" s="618"/>
      <c r="FZ88" s="374">
        <v>0</v>
      </c>
      <c r="GA88" s="869"/>
      <c r="GB88" s="373"/>
      <c r="GC88" s="373"/>
      <c r="GD88" s="870"/>
      <c r="GE88" s="373"/>
      <c r="GF88" s="373"/>
      <c r="GG88" s="373"/>
      <c r="GH88" s="618"/>
      <c r="GI88" s="374">
        <v>0</v>
      </c>
      <c r="GJ88" s="869">
        <v>2</v>
      </c>
      <c r="GK88" s="373">
        <v>2</v>
      </c>
      <c r="GL88" s="373">
        <v>8</v>
      </c>
      <c r="GM88" s="870">
        <v>2</v>
      </c>
      <c r="GN88" s="373">
        <v>2</v>
      </c>
      <c r="GO88" s="373">
        <v>1</v>
      </c>
      <c r="GP88" s="373">
        <v>1</v>
      </c>
      <c r="GQ88" s="618">
        <v>1</v>
      </c>
      <c r="GR88" s="374">
        <v>0</v>
      </c>
      <c r="GS88" s="869">
        <v>1</v>
      </c>
      <c r="GT88" s="373">
        <v>1</v>
      </c>
      <c r="GU88" s="373"/>
      <c r="GV88" s="870">
        <v>1</v>
      </c>
      <c r="GW88" s="373">
        <v>1</v>
      </c>
      <c r="GX88" s="373"/>
      <c r="GY88" s="373"/>
      <c r="GZ88" s="618"/>
      <c r="HA88" s="374">
        <v>0</v>
      </c>
      <c r="HB88" s="869"/>
      <c r="HC88" s="373"/>
      <c r="HD88" s="373"/>
      <c r="HE88" s="870"/>
      <c r="HF88" s="373"/>
      <c r="HG88" s="373"/>
      <c r="HH88" s="373"/>
      <c r="HI88" s="618"/>
      <c r="HJ88" s="374">
        <v>0</v>
      </c>
      <c r="HK88" s="869"/>
      <c r="HL88" s="373"/>
      <c r="HM88" s="373"/>
      <c r="HN88" s="870"/>
      <c r="HO88" s="373"/>
      <c r="HP88" s="373"/>
      <c r="HQ88" s="373"/>
      <c r="HR88" s="618"/>
      <c r="HS88" s="374">
        <v>0</v>
      </c>
      <c r="HT88" s="869">
        <v>1</v>
      </c>
      <c r="HU88" s="373">
        <v>1</v>
      </c>
      <c r="HV88" s="373"/>
      <c r="HW88" s="870">
        <v>1</v>
      </c>
      <c r="HX88" s="373">
        <v>1</v>
      </c>
      <c r="HY88" s="373"/>
      <c r="HZ88" s="373"/>
      <c r="IA88" s="618">
        <v>1</v>
      </c>
      <c r="IB88" s="374">
        <v>2</v>
      </c>
      <c r="IC88" s="869">
        <v>4</v>
      </c>
      <c r="ID88" s="373">
        <v>5</v>
      </c>
      <c r="IE88" s="373">
        <v>8</v>
      </c>
      <c r="IF88" s="870">
        <v>2</v>
      </c>
      <c r="IG88" s="373">
        <v>2</v>
      </c>
      <c r="IH88" s="373">
        <v>1</v>
      </c>
      <c r="II88" s="373">
        <v>2</v>
      </c>
      <c r="IJ88" s="618">
        <v>4</v>
      </c>
      <c r="IK88" s="374">
        <v>3</v>
      </c>
      <c r="IL88" s="377"/>
      <c r="IM88" s="373"/>
      <c r="IN88" s="373">
        <v>8</v>
      </c>
      <c r="IO88" s="871"/>
      <c r="IP88" s="871"/>
      <c r="IQ88" s="373"/>
      <c r="IR88" s="373"/>
      <c r="IS88" s="618"/>
      <c r="IT88" s="374">
        <v>0</v>
      </c>
    </row>
    <row r="89" spans="1:254" s="245" customFormat="1" ht="12.75" customHeight="1" x14ac:dyDescent="0.2">
      <c r="A89" s="1052"/>
      <c r="B89" s="868" t="s">
        <v>941</v>
      </c>
      <c r="C89" s="869"/>
      <c r="D89" s="373"/>
      <c r="E89" s="373"/>
      <c r="F89" s="870"/>
      <c r="G89" s="373"/>
      <c r="H89" s="373"/>
      <c r="I89" s="373"/>
      <c r="J89" s="618"/>
      <c r="K89" s="374">
        <v>0</v>
      </c>
      <c r="L89" s="869"/>
      <c r="M89" s="373"/>
      <c r="N89" s="373"/>
      <c r="O89" s="870"/>
      <c r="P89" s="373"/>
      <c r="Q89" s="373"/>
      <c r="R89" s="373"/>
      <c r="S89" s="618"/>
      <c r="T89" s="374">
        <v>0</v>
      </c>
      <c r="U89" s="869"/>
      <c r="V89" s="373"/>
      <c r="W89" s="373"/>
      <c r="X89" s="870"/>
      <c r="Y89" s="373"/>
      <c r="Z89" s="373"/>
      <c r="AA89" s="373"/>
      <c r="AB89" s="618"/>
      <c r="AC89" s="374">
        <v>0</v>
      </c>
      <c r="AD89" s="869"/>
      <c r="AE89" s="373"/>
      <c r="AF89" s="373"/>
      <c r="AG89" s="870"/>
      <c r="AH89" s="373"/>
      <c r="AI89" s="373"/>
      <c r="AJ89" s="373"/>
      <c r="AK89" s="618"/>
      <c r="AL89" s="374">
        <v>0</v>
      </c>
      <c r="AM89" s="869"/>
      <c r="AN89" s="373"/>
      <c r="AO89" s="373"/>
      <c r="AP89" s="870"/>
      <c r="AQ89" s="373"/>
      <c r="AR89" s="373"/>
      <c r="AS89" s="373"/>
      <c r="AT89" s="618"/>
      <c r="AU89" s="374">
        <v>0</v>
      </c>
      <c r="AV89" s="869"/>
      <c r="AW89" s="373"/>
      <c r="AX89" s="373"/>
      <c r="AY89" s="870"/>
      <c r="AZ89" s="373"/>
      <c r="BA89" s="373"/>
      <c r="BB89" s="373"/>
      <c r="BC89" s="618"/>
      <c r="BD89" s="374">
        <v>0</v>
      </c>
      <c r="BE89" s="869"/>
      <c r="BF89" s="373"/>
      <c r="BG89" s="373"/>
      <c r="BH89" s="870"/>
      <c r="BI89" s="373"/>
      <c r="BJ89" s="373"/>
      <c r="BK89" s="373"/>
      <c r="BL89" s="618"/>
      <c r="BM89" s="374">
        <v>0</v>
      </c>
      <c r="BN89" s="869"/>
      <c r="BO89" s="373"/>
      <c r="BP89" s="373"/>
      <c r="BQ89" s="870"/>
      <c r="BR89" s="373"/>
      <c r="BS89" s="373"/>
      <c r="BT89" s="373"/>
      <c r="BU89" s="618"/>
      <c r="BV89" s="374">
        <v>0</v>
      </c>
      <c r="BW89" s="869">
        <v>1</v>
      </c>
      <c r="BX89" s="373"/>
      <c r="BY89" s="373"/>
      <c r="BZ89" s="870"/>
      <c r="CA89" s="373"/>
      <c r="CB89" s="373"/>
      <c r="CC89" s="373"/>
      <c r="CD89" s="618"/>
      <c r="CE89" s="374">
        <v>0</v>
      </c>
      <c r="CF89" s="869"/>
      <c r="CG89" s="373"/>
      <c r="CH89" s="373"/>
      <c r="CI89" s="870"/>
      <c r="CJ89" s="373"/>
      <c r="CK89" s="373"/>
      <c r="CL89" s="373"/>
      <c r="CM89" s="618"/>
      <c r="CN89" s="374">
        <v>0</v>
      </c>
      <c r="CO89" s="869"/>
      <c r="CP89" s="373"/>
      <c r="CQ89" s="373"/>
      <c r="CR89" s="870"/>
      <c r="CS89" s="373"/>
      <c r="CT89" s="373"/>
      <c r="CU89" s="373"/>
      <c r="CV89" s="618"/>
      <c r="CW89" s="374">
        <v>0</v>
      </c>
      <c r="CX89" s="869">
        <v>1</v>
      </c>
      <c r="CY89" s="373">
        <v>1</v>
      </c>
      <c r="CZ89" s="373"/>
      <c r="DA89" s="870">
        <v>2</v>
      </c>
      <c r="DB89" s="373"/>
      <c r="DC89" s="373">
        <v>4</v>
      </c>
      <c r="DD89" s="373">
        <v>1</v>
      </c>
      <c r="DE89" s="618"/>
      <c r="DF89" s="374">
        <v>1</v>
      </c>
      <c r="DG89" s="869"/>
      <c r="DH89" s="373"/>
      <c r="DI89" s="373"/>
      <c r="DJ89" s="870"/>
      <c r="DK89" s="373"/>
      <c r="DL89" s="373"/>
      <c r="DM89" s="373"/>
      <c r="DN89" s="618"/>
      <c r="DO89" s="374">
        <v>0</v>
      </c>
      <c r="DP89" s="869"/>
      <c r="DQ89" s="373"/>
      <c r="DR89" s="373"/>
      <c r="DS89" s="870"/>
      <c r="DT89" s="373"/>
      <c r="DU89" s="373"/>
      <c r="DV89" s="373"/>
      <c r="DW89" s="618"/>
      <c r="DX89" s="374">
        <v>0</v>
      </c>
      <c r="DY89" s="869"/>
      <c r="DZ89" s="373">
        <v>1</v>
      </c>
      <c r="EA89" s="373"/>
      <c r="EB89" s="870"/>
      <c r="EC89" s="373"/>
      <c r="ED89" s="373">
        <v>2</v>
      </c>
      <c r="EE89" s="373"/>
      <c r="EF89" s="618"/>
      <c r="EG89" s="374">
        <v>0</v>
      </c>
      <c r="EH89" s="869"/>
      <c r="EI89" s="373"/>
      <c r="EJ89" s="373"/>
      <c r="EK89" s="870"/>
      <c r="EL89" s="373"/>
      <c r="EM89" s="373"/>
      <c r="EN89" s="373"/>
      <c r="EO89" s="618"/>
      <c r="EP89" s="374">
        <v>0</v>
      </c>
      <c r="EQ89" s="869"/>
      <c r="ER89" s="373"/>
      <c r="ES89" s="373"/>
      <c r="ET89" s="870"/>
      <c r="EU89" s="373"/>
      <c r="EV89" s="373"/>
      <c r="EW89" s="373"/>
      <c r="EX89" s="618"/>
      <c r="EY89" s="374">
        <v>0</v>
      </c>
      <c r="EZ89" s="869"/>
      <c r="FA89" s="373"/>
      <c r="FB89" s="373"/>
      <c r="FC89" s="870"/>
      <c r="FD89" s="373"/>
      <c r="FE89" s="373"/>
      <c r="FF89" s="373"/>
      <c r="FG89" s="618"/>
      <c r="FH89" s="374">
        <v>0</v>
      </c>
      <c r="FI89" s="869"/>
      <c r="FJ89" s="373"/>
      <c r="FK89" s="373"/>
      <c r="FL89" s="870"/>
      <c r="FM89" s="373"/>
      <c r="FN89" s="373"/>
      <c r="FO89" s="373"/>
      <c r="FP89" s="618"/>
      <c r="FQ89" s="374">
        <v>0</v>
      </c>
      <c r="FR89" s="869"/>
      <c r="FS89" s="373"/>
      <c r="FT89" s="373"/>
      <c r="FU89" s="870"/>
      <c r="FV89" s="373"/>
      <c r="FW89" s="373"/>
      <c r="FX89" s="373"/>
      <c r="FY89" s="618"/>
      <c r="FZ89" s="374">
        <v>0</v>
      </c>
      <c r="GA89" s="869"/>
      <c r="GB89" s="373"/>
      <c r="GC89" s="373"/>
      <c r="GD89" s="870"/>
      <c r="GE89" s="373"/>
      <c r="GF89" s="373"/>
      <c r="GG89" s="373"/>
      <c r="GH89" s="618"/>
      <c r="GI89" s="374">
        <v>0</v>
      </c>
      <c r="GJ89" s="869">
        <v>2</v>
      </c>
      <c r="GK89" s="373">
        <v>1</v>
      </c>
      <c r="GL89" s="373"/>
      <c r="GM89" s="870">
        <v>2</v>
      </c>
      <c r="GN89" s="373"/>
      <c r="GO89" s="373">
        <v>4</v>
      </c>
      <c r="GP89" s="373">
        <v>1</v>
      </c>
      <c r="GQ89" s="618"/>
      <c r="GR89" s="374">
        <v>1</v>
      </c>
      <c r="GS89" s="869">
        <v>1</v>
      </c>
      <c r="GT89" s="373"/>
      <c r="GU89" s="373"/>
      <c r="GV89" s="870"/>
      <c r="GW89" s="373"/>
      <c r="GX89" s="373"/>
      <c r="GY89" s="373"/>
      <c r="GZ89" s="618"/>
      <c r="HA89" s="374">
        <v>1</v>
      </c>
      <c r="HB89" s="869"/>
      <c r="HC89" s="373"/>
      <c r="HD89" s="373"/>
      <c r="HE89" s="870"/>
      <c r="HF89" s="373"/>
      <c r="HG89" s="373"/>
      <c r="HH89" s="373"/>
      <c r="HI89" s="618"/>
      <c r="HJ89" s="374">
        <v>0</v>
      </c>
      <c r="HK89" s="869"/>
      <c r="HL89" s="373"/>
      <c r="HM89" s="373"/>
      <c r="HN89" s="870"/>
      <c r="HO89" s="373"/>
      <c r="HP89" s="373"/>
      <c r="HQ89" s="373"/>
      <c r="HR89" s="618"/>
      <c r="HS89" s="374">
        <v>0</v>
      </c>
      <c r="HT89" s="869">
        <v>1</v>
      </c>
      <c r="HU89" s="373"/>
      <c r="HV89" s="373"/>
      <c r="HW89" s="870"/>
      <c r="HX89" s="373"/>
      <c r="HY89" s="373"/>
      <c r="HZ89" s="373"/>
      <c r="IA89" s="618"/>
      <c r="IB89" s="374">
        <v>1</v>
      </c>
      <c r="IC89" s="869">
        <v>3</v>
      </c>
      <c r="ID89" s="373">
        <v>1</v>
      </c>
      <c r="IE89" s="373"/>
      <c r="IF89" s="870">
        <v>2</v>
      </c>
      <c r="IG89" s="373"/>
      <c r="IH89" s="373">
        <v>5</v>
      </c>
      <c r="II89" s="373">
        <v>1</v>
      </c>
      <c r="IJ89" s="618"/>
      <c r="IK89" s="374">
        <v>1</v>
      </c>
      <c r="IL89" s="377"/>
      <c r="IM89" s="373">
        <v>1</v>
      </c>
      <c r="IN89" s="373"/>
      <c r="IO89" s="871"/>
      <c r="IP89" s="871"/>
      <c r="IQ89" s="373">
        <v>2</v>
      </c>
      <c r="IR89" s="373">
        <v>1</v>
      </c>
      <c r="IS89" s="618"/>
      <c r="IT89" s="374">
        <v>0</v>
      </c>
    </row>
    <row r="90" spans="1:254" s="245" customFormat="1" ht="12.75" customHeight="1" x14ac:dyDescent="0.2">
      <c r="A90" s="1052"/>
      <c r="B90" s="868" t="s">
        <v>942</v>
      </c>
      <c r="C90" s="869"/>
      <c r="D90" s="373"/>
      <c r="E90" s="373"/>
      <c r="F90" s="870"/>
      <c r="G90" s="373"/>
      <c r="H90" s="373"/>
      <c r="I90" s="373"/>
      <c r="J90" s="618"/>
      <c r="K90" s="374">
        <v>0</v>
      </c>
      <c r="L90" s="869"/>
      <c r="M90" s="373"/>
      <c r="N90" s="373"/>
      <c r="O90" s="870"/>
      <c r="P90" s="373"/>
      <c r="Q90" s="373"/>
      <c r="R90" s="373"/>
      <c r="S90" s="618"/>
      <c r="T90" s="374">
        <v>0</v>
      </c>
      <c r="U90" s="869"/>
      <c r="V90" s="373"/>
      <c r="W90" s="373"/>
      <c r="X90" s="870"/>
      <c r="Y90" s="373"/>
      <c r="Z90" s="373"/>
      <c r="AA90" s="373"/>
      <c r="AB90" s="618"/>
      <c r="AC90" s="374">
        <v>0</v>
      </c>
      <c r="AD90" s="869"/>
      <c r="AE90" s="373"/>
      <c r="AF90" s="373"/>
      <c r="AG90" s="870"/>
      <c r="AH90" s="373"/>
      <c r="AI90" s="373"/>
      <c r="AJ90" s="373"/>
      <c r="AK90" s="618"/>
      <c r="AL90" s="374">
        <v>0</v>
      </c>
      <c r="AM90" s="869"/>
      <c r="AN90" s="373"/>
      <c r="AO90" s="373"/>
      <c r="AP90" s="870"/>
      <c r="AQ90" s="373"/>
      <c r="AR90" s="373"/>
      <c r="AS90" s="373"/>
      <c r="AT90" s="618"/>
      <c r="AU90" s="374">
        <v>0</v>
      </c>
      <c r="AV90" s="869"/>
      <c r="AW90" s="373"/>
      <c r="AX90" s="373"/>
      <c r="AY90" s="870"/>
      <c r="AZ90" s="373"/>
      <c r="BA90" s="373"/>
      <c r="BB90" s="373"/>
      <c r="BC90" s="618"/>
      <c r="BD90" s="374">
        <v>0</v>
      </c>
      <c r="BE90" s="869"/>
      <c r="BF90" s="373"/>
      <c r="BG90" s="373"/>
      <c r="BH90" s="870"/>
      <c r="BI90" s="373"/>
      <c r="BJ90" s="373"/>
      <c r="BK90" s="373"/>
      <c r="BL90" s="618"/>
      <c r="BM90" s="374">
        <v>0</v>
      </c>
      <c r="BN90" s="869"/>
      <c r="BO90" s="373"/>
      <c r="BP90" s="373"/>
      <c r="BQ90" s="870"/>
      <c r="BR90" s="373"/>
      <c r="BS90" s="373"/>
      <c r="BT90" s="373"/>
      <c r="BU90" s="618"/>
      <c r="BV90" s="374">
        <v>0</v>
      </c>
      <c r="BW90" s="869"/>
      <c r="BX90" s="373"/>
      <c r="BY90" s="373"/>
      <c r="BZ90" s="870"/>
      <c r="CA90" s="373"/>
      <c r="CB90" s="373"/>
      <c r="CC90" s="373"/>
      <c r="CD90" s="618"/>
      <c r="CE90" s="374">
        <v>0</v>
      </c>
      <c r="CF90" s="869"/>
      <c r="CG90" s="373"/>
      <c r="CH90" s="373"/>
      <c r="CI90" s="870"/>
      <c r="CJ90" s="373"/>
      <c r="CK90" s="373"/>
      <c r="CL90" s="373"/>
      <c r="CM90" s="618"/>
      <c r="CN90" s="374">
        <v>0</v>
      </c>
      <c r="CO90" s="869"/>
      <c r="CP90" s="373"/>
      <c r="CQ90" s="373"/>
      <c r="CR90" s="870"/>
      <c r="CS90" s="373"/>
      <c r="CT90" s="373"/>
      <c r="CU90" s="373"/>
      <c r="CV90" s="618"/>
      <c r="CW90" s="374">
        <v>0</v>
      </c>
      <c r="CX90" s="869"/>
      <c r="CY90" s="373">
        <v>2</v>
      </c>
      <c r="CZ90" s="373"/>
      <c r="DA90" s="870"/>
      <c r="DB90" s="373"/>
      <c r="DC90" s="373"/>
      <c r="DD90" s="373"/>
      <c r="DE90" s="618">
        <v>1</v>
      </c>
      <c r="DF90" s="374">
        <v>0</v>
      </c>
      <c r="DG90" s="869"/>
      <c r="DH90" s="373"/>
      <c r="DI90" s="373"/>
      <c r="DJ90" s="870"/>
      <c r="DK90" s="373"/>
      <c r="DL90" s="373"/>
      <c r="DM90" s="373"/>
      <c r="DN90" s="618"/>
      <c r="DO90" s="374">
        <v>0</v>
      </c>
      <c r="DP90" s="869"/>
      <c r="DQ90" s="373"/>
      <c r="DR90" s="373"/>
      <c r="DS90" s="870"/>
      <c r="DT90" s="373"/>
      <c r="DU90" s="373"/>
      <c r="DV90" s="373"/>
      <c r="DW90" s="618"/>
      <c r="DX90" s="374">
        <v>0</v>
      </c>
      <c r="DY90" s="869"/>
      <c r="DZ90" s="373"/>
      <c r="EA90" s="373"/>
      <c r="EB90" s="870"/>
      <c r="EC90" s="373"/>
      <c r="ED90" s="373"/>
      <c r="EE90" s="373"/>
      <c r="EF90" s="618"/>
      <c r="EG90" s="374">
        <v>0</v>
      </c>
      <c r="EH90" s="869"/>
      <c r="EI90" s="373"/>
      <c r="EJ90" s="373"/>
      <c r="EK90" s="870"/>
      <c r="EL90" s="373"/>
      <c r="EM90" s="373"/>
      <c r="EN90" s="373"/>
      <c r="EO90" s="618"/>
      <c r="EP90" s="374">
        <v>0</v>
      </c>
      <c r="EQ90" s="869"/>
      <c r="ER90" s="373"/>
      <c r="ES90" s="373"/>
      <c r="ET90" s="870"/>
      <c r="EU90" s="373"/>
      <c r="EV90" s="373"/>
      <c r="EW90" s="373"/>
      <c r="EX90" s="618"/>
      <c r="EY90" s="374">
        <v>0</v>
      </c>
      <c r="EZ90" s="869"/>
      <c r="FA90" s="373"/>
      <c r="FB90" s="373"/>
      <c r="FC90" s="870"/>
      <c r="FD90" s="373"/>
      <c r="FE90" s="373"/>
      <c r="FF90" s="373"/>
      <c r="FG90" s="618"/>
      <c r="FH90" s="374">
        <v>0</v>
      </c>
      <c r="FI90" s="869"/>
      <c r="FJ90" s="373"/>
      <c r="FK90" s="373"/>
      <c r="FL90" s="870"/>
      <c r="FM90" s="373"/>
      <c r="FN90" s="373"/>
      <c r="FO90" s="373"/>
      <c r="FP90" s="618"/>
      <c r="FQ90" s="374">
        <v>0</v>
      </c>
      <c r="FR90" s="869"/>
      <c r="FS90" s="373"/>
      <c r="FT90" s="373"/>
      <c r="FU90" s="870"/>
      <c r="FV90" s="373"/>
      <c r="FW90" s="373"/>
      <c r="FX90" s="373"/>
      <c r="FY90" s="618"/>
      <c r="FZ90" s="374">
        <v>0</v>
      </c>
      <c r="GA90" s="869"/>
      <c r="GB90" s="373"/>
      <c r="GC90" s="373"/>
      <c r="GD90" s="870"/>
      <c r="GE90" s="373"/>
      <c r="GF90" s="373"/>
      <c r="GG90" s="373"/>
      <c r="GH90" s="618"/>
      <c r="GI90" s="374">
        <v>0</v>
      </c>
      <c r="GJ90" s="869"/>
      <c r="GK90" s="373">
        <v>2</v>
      </c>
      <c r="GL90" s="373"/>
      <c r="GM90" s="870"/>
      <c r="GN90" s="373"/>
      <c r="GO90" s="373"/>
      <c r="GP90" s="373"/>
      <c r="GQ90" s="618">
        <v>1</v>
      </c>
      <c r="GR90" s="374">
        <v>0</v>
      </c>
      <c r="GS90" s="869"/>
      <c r="GT90" s="373"/>
      <c r="GU90" s="373"/>
      <c r="GV90" s="870"/>
      <c r="GW90" s="373"/>
      <c r="GX90" s="373"/>
      <c r="GY90" s="373"/>
      <c r="GZ90" s="618"/>
      <c r="HA90" s="374">
        <v>0</v>
      </c>
      <c r="HB90" s="869"/>
      <c r="HC90" s="373"/>
      <c r="HD90" s="373"/>
      <c r="HE90" s="870"/>
      <c r="HF90" s="373"/>
      <c r="HG90" s="373"/>
      <c r="HH90" s="373"/>
      <c r="HI90" s="618"/>
      <c r="HJ90" s="374">
        <v>0</v>
      </c>
      <c r="HK90" s="869"/>
      <c r="HL90" s="373"/>
      <c r="HM90" s="373"/>
      <c r="HN90" s="870"/>
      <c r="HO90" s="373"/>
      <c r="HP90" s="373"/>
      <c r="HQ90" s="373"/>
      <c r="HR90" s="618"/>
      <c r="HS90" s="374">
        <v>0</v>
      </c>
      <c r="HT90" s="869"/>
      <c r="HU90" s="373"/>
      <c r="HV90" s="373"/>
      <c r="HW90" s="870"/>
      <c r="HX90" s="373">
        <v>1</v>
      </c>
      <c r="HY90" s="373"/>
      <c r="HZ90" s="373"/>
      <c r="IA90" s="618">
        <v>1</v>
      </c>
      <c r="IB90" s="374">
        <v>0</v>
      </c>
      <c r="IC90" s="869"/>
      <c r="ID90" s="373">
        <v>3</v>
      </c>
      <c r="IE90" s="373"/>
      <c r="IF90" s="870">
        <v>1</v>
      </c>
      <c r="IG90" s="373">
        <v>1</v>
      </c>
      <c r="IH90" s="373">
        <v>1</v>
      </c>
      <c r="II90" s="373"/>
      <c r="IJ90" s="618">
        <v>3</v>
      </c>
      <c r="IK90" s="374">
        <v>1</v>
      </c>
      <c r="IL90" s="377"/>
      <c r="IM90" s="373"/>
      <c r="IN90" s="373"/>
      <c r="IO90" s="871"/>
      <c r="IP90" s="871"/>
      <c r="IQ90" s="373"/>
      <c r="IR90" s="373"/>
      <c r="IS90" s="618"/>
      <c r="IT90" s="374">
        <v>0</v>
      </c>
    </row>
    <row r="91" spans="1:254" s="245" customFormat="1" ht="12.75" customHeight="1" x14ac:dyDescent="0.2">
      <c r="A91" s="1052"/>
      <c r="B91" s="868" t="s">
        <v>943</v>
      </c>
      <c r="C91" s="869"/>
      <c r="D91" s="373"/>
      <c r="E91" s="373"/>
      <c r="F91" s="870"/>
      <c r="G91" s="373"/>
      <c r="H91" s="373"/>
      <c r="I91" s="373"/>
      <c r="J91" s="618"/>
      <c r="K91" s="374">
        <v>0</v>
      </c>
      <c r="L91" s="869"/>
      <c r="M91" s="373"/>
      <c r="N91" s="373"/>
      <c r="O91" s="870"/>
      <c r="P91" s="373"/>
      <c r="Q91" s="373"/>
      <c r="R91" s="373"/>
      <c r="S91" s="618"/>
      <c r="T91" s="374">
        <v>0</v>
      </c>
      <c r="U91" s="869"/>
      <c r="V91" s="373"/>
      <c r="W91" s="373"/>
      <c r="X91" s="870"/>
      <c r="Y91" s="373"/>
      <c r="Z91" s="373"/>
      <c r="AA91" s="373"/>
      <c r="AB91" s="618"/>
      <c r="AC91" s="374">
        <v>0</v>
      </c>
      <c r="AD91" s="869"/>
      <c r="AE91" s="373"/>
      <c r="AF91" s="373"/>
      <c r="AG91" s="870">
        <v>1</v>
      </c>
      <c r="AH91" s="373"/>
      <c r="AI91" s="373"/>
      <c r="AJ91" s="373"/>
      <c r="AK91" s="618">
        <v>1</v>
      </c>
      <c r="AL91" s="374">
        <v>0</v>
      </c>
      <c r="AM91" s="869"/>
      <c r="AN91" s="373"/>
      <c r="AO91" s="373"/>
      <c r="AP91" s="870"/>
      <c r="AQ91" s="373"/>
      <c r="AR91" s="373"/>
      <c r="AS91" s="373"/>
      <c r="AT91" s="618"/>
      <c r="AU91" s="374">
        <v>0</v>
      </c>
      <c r="AV91" s="869"/>
      <c r="AW91" s="373"/>
      <c r="AX91" s="373"/>
      <c r="AY91" s="870"/>
      <c r="AZ91" s="373"/>
      <c r="BA91" s="373"/>
      <c r="BB91" s="373"/>
      <c r="BC91" s="618"/>
      <c r="BD91" s="374">
        <v>0</v>
      </c>
      <c r="BE91" s="869"/>
      <c r="BF91" s="373"/>
      <c r="BG91" s="373"/>
      <c r="BH91" s="870"/>
      <c r="BI91" s="373"/>
      <c r="BJ91" s="373"/>
      <c r="BK91" s="373"/>
      <c r="BL91" s="618"/>
      <c r="BM91" s="374">
        <v>0</v>
      </c>
      <c r="BN91" s="869"/>
      <c r="BO91" s="373"/>
      <c r="BP91" s="373"/>
      <c r="BQ91" s="870"/>
      <c r="BR91" s="373"/>
      <c r="BS91" s="373"/>
      <c r="BT91" s="373"/>
      <c r="BU91" s="618"/>
      <c r="BV91" s="374">
        <v>0</v>
      </c>
      <c r="BW91" s="869"/>
      <c r="BX91" s="373"/>
      <c r="BY91" s="373"/>
      <c r="BZ91" s="870"/>
      <c r="CA91" s="373"/>
      <c r="CB91" s="373"/>
      <c r="CC91" s="373"/>
      <c r="CD91" s="618">
        <v>1</v>
      </c>
      <c r="CE91" s="374">
        <v>0</v>
      </c>
      <c r="CF91" s="869"/>
      <c r="CG91" s="373"/>
      <c r="CH91" s="373"/>
      <c r="CI91" s="870"/>
      <c r="CJ91" s="373"/>
      <c r="CK91" s="373"/>
      <c r="CL91" s="373"/>
      <c r="CM91" s="618"/>
      <c r="CN91" s="374">
        <v>0</v>
      </c>
      <c r="CO91" s="869"/>
      <c r="CP91" s="373"/>
      <c r="CQ91" s="373"/>
      <c r="CR91" s="870"/>
      <c r="CS91" s="373"/>
      <c r="CT91" s="373"/>
      <c r="CU91" s="373"/>
      <c r="CV91" s="618"/>
      <c r="CW91" s="374">
        <v>0</v>
      </c>
      <c r="CX91" s="869">
        <v>1</v>
      </c>
      <c r="CY91" s="373">
        <v>2</v>
      </c>
      <c r="CZ91" s="373"/>
      <c r="DA91" s="870"/>
      <c r="DB91" s="373"/>
      <c r="DC91" s="373"/>
      <c r="DD91" s="373">
        <v>1</v>
      </c>
      <c r="DE91" s="618">
        <v>3</v>
      </c>
      <c r="DF91" s="374">
        <v>0</v>
      </c>
      <c r="DG91" s="869"/>
      <c r="DH91" s="373"/>
      <c r="DI91" s="373"/>
      <c r="DJ91" s="870"/>
      <c r="DK91" s="373"/>
      <c r="DL91" s="373"/>
      <c r="DM91" s="373"/>
      <c r="DN91" s="618"/>
      <c r="DO91" s="374">
        <v>0</v>
      </c>
      <c r="DP91" s="869"/>
      <c r="DQ91" s="373"/>
      <c r="DR91" s="373"/>
      <c r="DS91" s="870"/>
      <c r="DT91" s="373"/>
      <c r="DU91" s="373"/>
      <c r="DV91" s="373"/>
      <c r="DW91" s="618"/>
      <c r="DX91" s="374">
        <v>0</v>
      </c>
      <c r="DY91" s="869">
        <v>1</v>
      </c>
      <c r="DZ91" s="373">
        <v>1</v>
      </c>
      <c r="EA91" s="373"/>
      <c r="EB91" s="870"/>
      <c r="EC91" s="373"/>
      <c r="ED91" s="373"/>
      <c r="EE91" s="373"/>
      <c r="EF91" s="618"/>
      <c r="EG91" s="374">
        <v>0</v>
      </c>
      <c r="EH91" s="869"/>
      <c r="EI91" s="373"/>
      <c r="EJ91" s="373"/>
      <c r="EK91" s="870"/>
      <c r="EL91" s="373"/>
      <c r="EM91" s="373"/>
      <c r="EN91" s="373"/>
      <c r="EO91" s="618"/>
      <c r="EP91" s="374">
        <v>0</v>
      </c>
      <c r="EQ91" s="869"/>
      <c r="ER91" s="373"/>
      <c r="ES91" s="373"/>
      <c r="ET91" s="870"/>
      <c r="EU91" s="373"/>
      <c r="EV91" s="373"/>
      <c r="EW91" s="373"/>
      <c r="EX91" s="618"/>
      <c r="EY91" s="374">
        <v>0</v>
      </c>
      <c r="EZ91" s="869"/>
      <c r="FA91" s="373"/>
      <c r="FB91" s="373"/>
      <c r="FC91" s="870"/>
      <c r="FD91" s="373"/>
      <c r="FE91" s="373"/>
      <c r="FF91" s="373"/>
      <c r="FG91" s="618"/>
      <c r="FH91" s="374">
        <v>0</v>
      </c>
      <c r="FI91" s="869"/>
      <c r="FJ91" s="373"/>
      <c r="FK91" s="373"/>
      <c r="FL91" s="870"/>
      <c r="FM91" s="373"/>
      <c r="FN91" s="373"/>
      <c r="FO91" s="373"/>
      <c r="FP91" s="618"/>
      <c r="FQ91" s="374">
        <v>0</v>
      </c>
      <c r="FR91" s="869"/>
      <c r="FS91" s="373"/>
      <c r="FT91" s="373"/>
      <c r="FU91" s="870"/>
      <c r="FV91" s="373"/>
      <c r="FW91" s="373"/>
      <c r="FX91" s="373"/>
      <c r="FY91" s="618"/>
      <c r="FZ91" s="374">
        <v>0</v>
      </c>
      <c r="GA91" s="869"/>
      <c r="GB91" s="373"/>
      <c r="GC91" s="373"/>
      <c r="GD91" s="870"/>
      <c r="GE91" s="373"/>
      <c r="GF91" s="373"/>
      <c r="GG91" s="373"/>
      <c r="GH91" s="618"/>
      <c r="GI91" s="374">
        <v>0</v>
      </c>
      <c r="GJ91" s="869">
        <v>1</v>
      </c>
      <c r="GK91" s="373">
        <v>2</v>
      </c>
      <c r="GL91" s="373"/>
      <c r="GM91" s="870">
        <v>1</v>
      </c>
      <c r="GN91" s="373"/>
      <c r="GO91" s="373"/>
      <c r="GP91" s="373">
        <v>1</v>
      </c>
      <c r="GQ91" s="618">
        <v>5</v>
      </c>
      <c r="GR91" s="374">
        <v>0</v>
      </c>
      <c r="GS91" s="869"/>
      <c r="GT91" s="373">
        <v>1</v>
      </c>
      <c r="GU91" s="373"/>
      <c r="GV91" s="870"/>
      <c r="GW91" s="373"/>
      <c r="GX91" s="373"/>
      <c r="GY91" s="373"/>
      <c r="GZ91" s="618">
        <v>2</v>
      </c>
      <c r="HA91" s="374">
        <v>0</v>
      </c>
      <c r="HB91" s="869"/>
      <c r="HC91" s="373"/>
      <c r="HD91" s="373"/>
      <c r="HE91" s="870"/>
      <c r="HF91" s="373"/>
      <c r="HG91" s="373"/>
      <c r="HH91" s="373"/>
      <c r="HI91" s="618"/>
      <c r="HJ91" s="374">
        <v>0</v>
      </c>
      <c r="HK91" s="869"/>
      <c r="HL91" s="373"/>
      <c r="HM91" s="373"/>
      <c r="HN91" s="870"/>
      <c r="HO91" s="373"/>
      <c r="HP91" s="373"/>
      <c r="HQ91" s="373"/>
      <c r="HR91" s="618"/>
      <c r="HS91" s="374">
        <v>0</v>
      </c>
      <c r="HT91" s="869">
        <v>2</v>
      </c>
      <c r="HU91" s="373">
        <v>1</v>
      </c>
      <c r="HV91" s="373"/>
      <c r="HW91" s="870">
        <v>1</v>
      </c>
      <c r="HX91" s="373"/>
      <c r="HY91" s="373"/>
      <c r="HZ91" s="373"/>
      <c r="IA91" s="618">
        <v>2</v>
      </c>
      <c r="IB91" s="374">
        <v>0</v>
      </c>
      <c r="IC91" s="869">
        <v>3</v>
      </c>
      <c r="ID91" s="373">
        <v>3</v>
      </c>
      <c r="IE91" s="373"/>
      <c r="IF91" s="870">
        <v>3</v>
      </c>
      <c r="IG91" s="373">
        <v>1</v>
      </c>
      <c r="IH91" s="373">
        <v>1</v>
      </c>
      <c r="II91" s="373">
        <v>1</v>
      </c>
      <c r="IJ91" s="618">
        <v>5</v>
      </c>
      <c r="IK91" s="374">
        <v>1</v>
      </c>
      <c r="IL91" s="377">
        <v>1</v>
      </c>
      <c r="IM91" s="373">
        <v>1</v>
      </c>
      <c r="IN91" s="373"/>
      <c r="IO91" s="871"/>
      <c r="IP91" s="871"/>
      <c r="IQ91" s="373"/>
      <c r="IR91" s="373"/>
      <c r="IS91" s="618"/>
      <c r="IT91" s="374">
        <v>0</v>
      </c>
    </row>
    <row r="92" spans="1:254" s="245" customFormat="1" ht="12.75" customHeight="1" x14ac:dyDescent="0.2">
      <c r="A92" s="1052"/>
      <c r="B92" s="868" t="s">
        <v>944</v>
      </c>
      <c r="C92" s="869"/>
      <c r="D92" s="373"/>
      <c r="E92" s="373"/>
      <c r="F92" s="870"/>
      <c r="G92" s="373"/>
      <c r="H92" s="373"/>
      <c r="I92" s="373"/>
      <c r="J92" s="618"/>
      <c r="K92" s="374">
        <v>1</v>
      </c>
      <c r="L92" s="869"/>
      <c r="M92" s="373"/>
      <c r="N92" s="373"/>
      <c r="O92" s="870"/>
      <c r="P92" s="373"/>
      <c r="Q92" s="373"/>
      <c r="R92" s="373"/>
      <c r="S92" s="618"/>
      <c r="T92" s="374">
        <v>0</v>
      </c>
      <c r="U92" s="869"/>
      <c r="V92" s="373"/>
      <c r="W92" s="373"/>
      <c r="X92" s="870"/>
      <c r="Y92" s="373"/>
      <c r="Z92" s="373"/>
      <c r="AA92" s="373"/>
      <c r="AB92" s="618"/>
      <c r="AC92" s="374">
        <v>0</v>
      </c>
      <c r="AD92" s="869"/>
      <c r="AE92" s="373"/>
      <c r="AF92" s="373"/>
      <c r="AG92" s="870"/>
      <c r="AH92" s="373"/>
      <c r="AI92" s="373"/>
      <c r="AJ92" s="373"/>
      <c r="AK92" s="618"/>
      <c r="AL92" s="374">
        <v>0</v>
      </c>
      <c r="AM92" s="869"/>
      <c r="AN92" s="373"/>
      <c r="AO92" s="373"/>
      <c r="AP92" s="870"/>
      <c r="AQ92" s="373"/>
      <c r="AR92" s="373"/>
      <c r="AS92" s="373"/>
      <c r="AT92" s="618"/>
      <c r="AU92" s="374">
        <v>0</v>
      </c>
      <c r="AV92" s="869"/>
      <c r="AW92" s="373"/>
      <c r="AX92" s="373"/>
      <c r="AY92" s="870"/>
      <c r="AZ92" s="373"/>
      <c r="BA92" s="373"/>
      <c r="BB92" s="373"/>
      <c r="BC92" s="618"/>
      <c r="BD92" s="374">
        <v>0</v>
      </c>
      <c r="BE92" s="869"/>
      <c r="BF92" s="373"/>
      <c r="BG92" s="373"/>
      <c r="BH92" s="870"/>
      <c r="BI92" s="373"/>
      <c r="BJ92" s="373"/>
      <c r="BK92" s="373"/>
      <c r="BL92" s="618"/>
      <c r="BM92" s="374">
        <v>0</v>
      </c>
      <c r="BN92" s="869"/>
      <c r="BO92" s="373"/>
      <c r="BP92" s="373"/>
      <c r="BQ92" s="870"/>
      <c r="BR92" s="373"/>
      <c r="BS92" s="373"/>
      <c r="BT92" s="373"/>
      <c r="BU92" s="618"/>
      <c r="BV92" s="374">
        <v>0</v>
      </c>
      <c r="BW92" s="869"/>
      <c r="BX92" s="373">
        <v>2</v>
      </c>
      <c r="BY92" s="373"/>
      <c r="BZ92" s="870"/>
      <c r="CA92" s="373"/>
      <c r="CB92" s="373"/>
      <c r="CC92" s="373"/>
      <c r="CD92" s="618"/>
      <c r="CE92" s="374">
        <v>0</v>
      </c>
      <c r="CF92" s="869"/>
      <c r="CG92" s="373"/>
      <c r="CH92" s="373"/>
      <c r="CI92" s="870"/>
      <c r="CJ92" s="373"/>
      <c r="CK92" s="373"/>
      <c r="CL92" s="373"/>
      <c r="CM92" s="618"/>
      <c r="CN92" s="374">
        <v>0</v>
      </c>
      <c r="CO92" s="869"/>
      <c r="CP92" s="373"/>
      <c r="CQ92" s="373"/>
      <c r="CR92" s="870"/>
      <c r="CS92" s="373"/>
      <c r="CT92" s="373"/>
      <c r="CU92" s="373"/>
      <c r="CV92" s="618"/>
      <c r="CW92" s="374">
        <v>0</v>
      </c>
      <c r="CX92" s="869">
        <v>3</v>
      </c>
      <c r="CY92" s="373">
        <v>10</v>
      </c>
      <c r="CZ92" s="373">
        <v>7</v>
      </c>
      <c r="DA92" s="870">
        <v>2</v>
      </c>
      <c r="DB92" s="373">
        <v>13</v>
      </c>
      <c r="DC92" s="373"/>
      <c r="DD92" s="373">
        <v>5</v>
      </c>
      <c r="DE92" s="618"/>
      <c r="DF92" s="374">
        <v>0</v>
      </c>
      <c r="DG92" s="869"/>
      <c r="DH92" s="373"/>
      <c r="DI92" s="373"/>
      <c r="DJ92" s="870"/>
      <c r="DK92" s="373"/>
      <c r="DL92" s="373"/>
      <c r="DM92" s="373"/>
      <c r="DN92" s="618"/>
      <c r="DO92" s="374">
        <v>0</v>
      </c>
      <c r="DP92" s="869"/>
      <c r="DQ92" s="373">
        <v>1</v>
      </c>
      <c r="DR92" s="373"/>
      <c r="DS92" s="870"/>
      <c r="DT92" s="373"/>
      <c r="DU92" s="373"/>
      <c r="DV92" s="373"/>
      <c r="DW92" s="618"/>
      <c r="DX92" s="374">
        <v>0</v>
      </c>
      <c r="DY92" s="869">
        <v>1</v>
      </c>
      <c r="DZ92" s="373"/>
      <c r="EA92" s="373"/>
      <c r="EB92" s="870"/>
      <c r="EC92" s="373">
        <v>2</v>
      </c>
      <c r="ED92" s="373"/>
      <c r="EE92" s="373"/>
      <c r="EF92" s="618"/>
      <c r="EG92" s="374">
        <v>0</v>
      </c>
      <c r="EH92" s="869"/>
      <c r="EI92" s="373"/>
      <c r="EJ92" s="373"/>
      <c r="EK92" s="870"/>
      <c r="EL92" s="373"/>
      <c r="EM92" s="373"/>
      <c r="EN92" s="373"/>
      <c r="EO92" s="618"/>
      <c r="EP92" s="374">
        <v>0</v>
      </c>
      <c r="EQ92" s="869"/>
      <c r="ER92" s="373"/>
      <c r="ES92" s="373"/>
      <c r="ET92" s="870"/>
      <c r="EU92" s="373"/>
      <c r="EV92" s="373"/>
      <c r="EW92" s="373"/>
      <c r="EX92" s="618"/>
      <c r="EY92" s="374">
        <v>0</v>
      </c>
      <c r="EZ92" s="869"/>
      <c r="FA92" s="373"/>
      <c r="FB92" s="373"/>
      <c r="FC92" s="870"/>
      <c r="FD92" s="373"/>
      <c r="FE92" s="373"/>
      <c r="FF92" s="373"/>
      <c r="FG92" s="618"/>
      <c r="FH92" s="374">
        <v>0</v>
      </c>
      <c r="FI92" s="869"/>
      <c r="FJ92" s="373">
        <v>1</v>
      </c>
      <c r="FK92" s="373"/>
      <c r="FL92" s="870"/>
      <c r="FM92" s="373"/>
      <c r="FN92" s="373"/>
      <c r="FO92" s="373"/>
      <c r="FP92" s="618"/>
      <c r="FQ92" s="374">
        <v>0</v>
      </c>
      <c r="FR92" s="869"/>
      <c r="FS92" s="373"/>
      <c r="FT92" s="373"/>
      <c r="FU92" s="870"/>
      <c r="FV92" s="373"/>
      <c r="FW92" s="373"/>
      <c r="FX92" s="373"/>
      <c r="FY92" s="618"/>
      <c r="FZ92" s="374">
        <v>0</v>
      </c>
      <c r="GA92" s="869"/>
      <c r="GB92" s="373"/>
      <c r="GC92" s="373"/>
      <c r="GD92" s="870"/>
      <c r="GE92" s="373"/>
      <c r="GF92" s="373"/>
      <c r="GG92" s="373"/>
      <c r="GH92" s="618"/>
      <c r="GI92" s="374">
        <v>0</v>
      </c>
      <c r="GJ92" s="869">
        <v>3</v>
      </c>
      <c r="GK92" s="373">
        <v>13</v>
      </c>
      <c r="GL92" s="373">
        <v>7</v>
      </c>
      <c r="GM92" s="870">
        <v>2</v>
      </c>
      <c r="GN92" s="373">
        <v>13</v>
      </c>
      <c r="GO92" s="373"/>
      <c r="GP92" s="373">
        <v>5</v>
      </c>
      <c r="GQ92" s="618"/>
      <c r="GR92" s="374">
        <v>1</v>
      </c>
      <c r="GS92" s="869"/>
      <c r="GT92" s="373">
        <v>7</v>
      </c>
      <c r="GU92" s="373"/>
      <c r="GV92" s="870">
        <v>1</v>
      </c>
      <c r="GW92" s="373"/>
      <c r="GX92" s="373"/>
      <c r="GY92" s="373"/>
      <c r="GZ92" s="618"/>
      <c r="HA92" s="374">
        <v>1</v>
      </c>
      <c r="HB92" s="869"/>
      <c r="HC92" s="373"/>
      <c r="HD92" s="373"/>
      <c r="HE92" s="870"/>
      <c r="HF92" s="373"/>
      <c r="HG92" s="373"/>
      <c r="HH92" s="373"/>
      <c r="HI92" s="618"/>
      <c r="HJ92" s="374">
        <v>0</v>
      </c>
      <c r="HK92" s="869"/>
      <c r="HL92" s="373"/>
      <c r="HM92" s="373"/>
      <c r="HN92" s="870"/>
      <c r="HO92" s="373"/>
      <c r="HP92" s="373"/>
      <c r="HQ92" s="373"/>
      <c r="HR92" s="618"/>
      <c r="HS92" s="374">
        <v>0</v>
      </c>
      <c r="HT92" s="869"/>
      <c r="HU92" s="373">
        <v>9</v>
      </c>
      <c r="HV92" s="373"/>
      <c r="HW92" s="870">
        <v>2</v>
      </c>
      <c r="HX92" s="373"/>
      <c r="HY92" s="373"/>
      <c r="HZ92" s="373">
        <v>1</v>
      </c>
      <c r="IA92" s="618">
        <v>2</v>
      </c>
      <c r="IB92" s="374">
        <v>2</v>
      </c>
      <c r="IC92" s="869">
        <v>5</v>
      </c>
      <c r="ID92" s="373">
        <v>16</v>
      </c>
      <c r="IE92" s="373">
        <v>7</v>
      </c>
      <c r="IF92" s="870">
        <v>4</v>
      </c>
      <c r="IG92" s="373">
        <v>14</v>
      </c>
      <c r="IH92" s="373"/>
      <c r="II92" s="373">
        <v>8</v>
      </c>
      <c r="IJ92" s="618">
        <v>2</v>
      </c>
      <c r="IK92" s="374">
        <v>2</v>
      </c>
      <c r="IL92" s="377">
        <v>1</v>
      </c>
      <c r="IM92" s="373"/>
      <c r="IN92" s="373">
        <v>7</v>
      </c>
      <c r="IO92" s="871"/>
      <c r="IP92" s="871">
        <v>10</v>
      </c>
      <c r="IQ92" s="373"/>
      <c r="IR92" s="373">
        <v>5</v>
      </c>
      <c r="IS92" s="618"/>
      <c r="IT92" s="374">
        <v>0</v>
      </c>
    </row>
    <row r="93" spans="1:254" s="245" customFormat="1" ht="12.75" customHeight="1" x14ac:dyDescent="0.2">
      <c r="A93" s="1052"/>
      <c r="B93" s="868" t="s">
        <v>945</v>
      </c>
      <c r="C93" s="869"/>
      <c r="D93" s="373"/>
      <c r="E93" s="373"/>
      <c r="F93" s="870"/>
      <c r="G93" s="373"/>
      <c r="H93" s="373"/>
      <c r="I93" s="373"/>
      <c r="J93" s="618"/>
      <c r="K93" s="374">
        <v>0</v>
      </c>
      <c r="L93" s="869"/>
      <c r="M93" s="373"/>
      <c r="N93" s="373"/>
      <c r="O93" s="870"/>
      <c r="P93" s="373"/>
      <c r="Q93" s="373"/>
      <c r="R93" s="373"/>
      <c r="S93" s="618"/>
      <c r="T93" s="374">
        <v>0</v>
      </c>
      <c r="U93" s="869"/>
      <c r="V93" s="373"/>
      <c r="W93" s="373"/>
      <c r="X93" s="870"/>
      <c r="Y93" s="373"/>
      <c r="Z93" s="373"/>
      <c r="AA93" s="373"/>
      <c r="AB93" s="618"/>
      <c r="AC93" s="374">
        <v>0</v>
      </c>
      <c r="AD93" s="869"/>
      <c r="AE93" s="373"/>
      <c r="AF93" s="373"/>
      <c r="AG93" s="870"/>
      <c r="AH93" s="373"/>
      <c r="AI93" s="373"/>
      <c r="AJ93" s="373"/>
      <c r="AK93" s="618"/>
      <c r="AL93" s="374">
        <v>0</v>
      </c>
      <c r="AM93" s="869"/>
      <c r="AN93" s="373"/>
      <c r="AO93" s="373"/>
      <c r="AP93" s="870"/>
      <c r="AQ93" s="373"/>
      <c r="AR93" s="373"/>
      <c r="AS93" s="373"/>
      <c r="AT93" s="618"/>
      <c r="AU93" s="374">
        <v>0</v>
      </c>
      <c r="AV93" s="869"/>
      <c r="AW93" s="373"/>
      <c r="AX93" s="373"/>
      <c r="AY93" s="870"/>
      <c r="AZ93" s="373"/>
      <c r="BA93" s="373"/>
      <c r="BB93" s="373"/>
      <c r="BC93" s="618"/>
      <c r="BD93" s="374">
        <v>0</v>
      </c>
      <c r="BE93" s="869"/>
      <c r="BF93" s="373"/>
      <c r="BG93" s="373"/>
      <c r="BH93" s="870"/>
      <c r="BI93" s="373"/>
      <c r="BJ93" s="373"/>
      <c r="BK93" s="373"/>
      <c r="BL93" s="618"/>
      <c r="BM93" s="374">
        <v>0</v>
      </c>
      <c r="BN93" s="869"/>
      <c r="BO93" s="373"/>
      <c r="BP93" s="373"/>
      <c r="BQ93" s="870"/>
      <c r="BR93" s="373">
        <v>1</v>
      </c>
      <c r="BS93" s="373"/>
      <c r="BT93" s="373"/>
      <c r="BU93" s="618"/>
      <c r="BV93" s="374">
        <v>0</v>
      </c>
      <c r="BW93" s="869">
        <v>1</v>
      </c>
      <c r="BX93" s="373"/>
      <c r="BY93" s="373"/>
      <c r="BZ93" s="870"/>
      <c r="CA93" s="373"/>
      <c r="CB93" s="373"/>
      <c r="CC93" s="373"/>
      <c r="CD93" s="618"/>
      <c r="CE93" s="374">
        <v>0</v>
      </c>
      <c r="CF93" s="869"/>
      <c r="CG93" s="373"/>
      <c r="CH93" s="373"/>
      <c r="CI93" s="870"/>
      <c r="CJ93" s="373"/>
      <c r="CK93" s="373"/>
      <c r="CL93" s="373"/>
      <c r="CM93" s="618"/>
      <c r="CN93" s="374">
        <v>0</v>
      </c>
      <c r="CO93" s="869"/>
      <c r="CP93" s="373"/>
      <c r="CQ93" s="373"/>
      <c r="CR93" s="870"/>
      <c r="CS93" s="373"/>
      <c r="CT93" s="373"/>
      <c r="CU93" s="373"/>
      <c r="CV93" s="618"/>
      <c r="CW93" s="374">
        <v>0</v>
      </c>
      <c r="CX93" s="869">
        <v>2</v>
      </c>
      <c r="CY93" s="373">
        <v>1</v>
      </c>
      <c r="CZ93" s="373">
        <v>3</v>
      </c>
      <c r="DA93" s="870">
        <v>1</v>
      </c>
      <c r="DB93" s="373">
        <v>3</v>
      </c>
      <c r="DC93" s="373">
        <v>2</v>
      </c>
      <c r="DD93" s="373"/>
      <c r="DE93" s="618"/>
      <c r="DF93" s="374">
        <v>1</v>
      </c>
      <c r="DG93" s="869"/>
      <c r="DH93" s="373"/>
      <c r="DI93" s="373"/>
      <c r="DJ93" s="870"/>
      <c r="DK93" s="373"/>
      <c r="DL93" s="373"/>
      <c r="DM93" s="373"/>
      <c r="DN93" s="618"/>
      <c r="DO93" s="374">
        <v>0</v>
      </c>
      <c r="DP93" s="869"/>
      <c r="DQ93" s="373"/>
      <c r="DR93" s="373"/>
      <c r="DS93" s="870"/>
      <c r="DT93" s="373"/>
      <c r="DU93" s="373"/>
      <c r="DV93" s="373"/>
      <c r="DW93" s="618"/>
      <c r="DX93" s="374">
        <v>0</v>
      </c>
      <c r="DY93" s="869"/>
      <c r="DZ93" s="373"/>
      <c r="EA93" s="373">
        <v>2</v>
      </c>
      <c r="EB93" s="870"/>
      <c r="EC93" s="373"/>
      <c r="ED93" s="373">
        <v>2</v>
      </c>
      <c r="EE93" s="373"/>
      <c r="EF93" s="618"/>
      <c r="EG93" s="374">
        <v>1</v>
      </c>
      <c r="EH93" s="869"/>
      <c r="EI93" s="373"/>
      <c r="EJ93" s="373"/>
      <c r="EK93" s="870"/>
      <c r="EL93" s="373"/>
      <c r="EM93" s="373"/>
      <c r="EN93" s="373"/>
      <c r="EO93" s="618"/>
      <c r="EP93" s="374">
        <v>0</v>
      </c>
      <c r="EQ93" s="869"/>
      <c r="ER93" s="373"/>
      <c r="ES93" s="373"/>
      <c r="ET93" s="870"/>
      <c r="EU93" s="373"/>
      <c r="EV93" s="373"/>
      <c r="EW93" s="373"/>
      <c r="EX93" s="618"/>
      <c r="EY93" s="374">
        <v>0</v>
      </c>
      <c r="EZ93" s="869"/>
      <c r="FA93" s="373"/>
      <c r="FB93" s="373"/>
      <c r="FC93" s="870"/>
      <c r="FD93" s="373"/>
      <c r="FE93" s="373"/>
      <c r="FF93" s="373"/>
      <c r="FG93" s="618"/>
      <c r="FH93" s="374">
        <v>0</v>
      </c>
      <c r="FI93" s="869"/>
      <c r="FJ93" s="373">
        <v>1</v>
      </c>
      <c r="FK93" s="373">
        <v>1</v>
      </c>
      <c r="FL93" s="870"/>
      <c r="FM93" s="373"/>
      <c r="FN93" s="373"/>
      <c r="FO93" s="373"/>
      <c r="FP93" s="618"/>
      <c r="FQ93" s="374">
        <v>0</v>
      </c>
      <c r="FR93" s="869"/>
      <c r="FS93" s="373"/>
      <c r="FT93" s="373"/>
      <c r="FU93" s="870"/>
      <c r="FV93" s="373"/>
      <c r="FW93" s="373"/>
      <c r="FX93" s="373"/>
      <c r="FY93" s="618"/>
      <c r="FZ93" s="374">
        <v>0</v>
      </c>
      <c r="GA93" s="869"/>
      <c r="GB93" s="373"/>
      <c r="GC93" s="373"/>
      <c r="GD93" s="870"/>
      <c r="GE93" s="373"/>
      <c r="GF93" s="373"/>
      <c r="GG93" s="373"/>
      <c r="GH93" s="618"/>
      <c r="GI93" s="374">
        <v>0</v>
      </c>
      <c r="GJ93" s="869">
        <v>3</v>
      </c>
      <c r="GK93" s="373">
        <v>2</v>
      </c>
      <c r="GL93" s="373">
        <v>4</v>
      </c>
      <c r="GM93" s="870">
        <v>1</v>
      </c>
      <c r="GN93" s="373">
        <v>4</v>
      </c>
      <c r="GO93" s="373">
        <v>2</v>
      </c>
      <c r="GP93" s="373"/>
      <c r="GQ93" s="618"/>
      <c r="GR93" s="374">
        <v>1</v>
      </c>
      <c r="GS93" s="869"/>
      <c r="GT93" s="373"/>
      <c r="GU93" s="373"/>
      <c r="GV93" s="870"/>
      <c r="GW93" s="373">
        <v>1</v>
      </c>
      <c r="GX93" s="373"/>
      <c r="GY93" s="373"/>
      <c r="GZ93" s="618"/>
      <c r="HA93" s="374">
        <v>0</v>
      </c>
      <c r="HB93" s="869"/>
      <c r="HC93" s="373"/>
      <c r="HD93" s="373"/>
      <c r="HE93" s="870"/>
      <c r="HF93" s="373"/>
      <c r="HG93" s="373"/>
      <c r="HH93" s="373"/>
      <c r="HI93" s="618"/>
      <c r="HJ93" s="374">
        <v>0</v>
      </c>
      <c r="HK93" s="869"/>
      <c r="HL93" s="373"/>
      <c r="HM93" s="373"/>
      <c r="HN93" s="870">
        <v>1</v>
      </c>
      <c r="HO93" s="373"/>
      <c r="HP93" s="373"/>
      <c r="HQ93" s="373"/>
      <c r="HR93" s="618"/>
      <c r="HS93" s="374">
        <v>0</v>
      </c>
      <c r="HT93" s="869"/>
      <c r="HU93" s="373">
        <v>1</v>
      </c>
      <c r="HV93" s="373">
        <v>1</v>
      </c>
      <c r="HW93" s="870">
        <v>1</v>
      </c>
      <c r="HX93" s="373">
        <v>1</v>
      </c>
      <c r="HY93" s="373"/>
      <c r="HZ93" s="373"/>
      <c r="IA93" s="618"/>
      <c r="IB93" s="374">
        <v>0</v>
      </c>
      <c r="IC93" s="869">
        <v>4</v>
      </c>
      <c r="ID93" s="373">
        <v>4</v>
      </c>
      <c r="IE93" s="373">
        <v>7</v>
      </c>
      <c r="IF93" s="870">
        <v>2</v>
      </c>
      <c r="IG93" s="373">
        <v>5</v>
      </c>
      <c r="IH93" s="373">
        <v>3</v>
      </c>
      <c r="II93" s="373">
        <v>1</v>
      </c>
      <c r="IJ93" s="618">
        <v>2</v>
      </c>
      <c r="IK93" s="374">
        <v>3</v>
      </c>
      <c r="IL93" s="377"/>
      <c r="IM93" s="373"/>
      <c r="IN93" s="373">
        <v>2</v>
      </c>
      <c r="IO93" s="871"/>
      <c r="IP93" s="871"/>
      <c r="IQ93" s="373">
        <v>2</v>
      </c>
      <c r="IR93" s="373"/>
      <c r="IS93" s="618"/>
      <c r="IT93" s="374">
        <v>1</v>
      </c>
    </row>
    <row r="94" spans="1:254" s="245" customFormat="1" ht="12.75" customHeight="1" x14ac:dyDescent="0.2">
      <c r="A94" s="1052"/>
      <c r="B94" s="868" t="s">
        <v>946</v>
      </c>
      <c r="C94" s="869"/>
      <c r="D94" s="373"/>
      <c r="E94" s="373"/>
      <c r="F94" s="870"/>
      <c r="G94" s="373"/>
      <c r="H94" s="373"/>
      <c r="I94" s="373"/>
      <c r="J94" s="618"/>
      <c r="K94" s="374">
        <v>0</v>
      </c>
      <c r="L94" s="869"/>
      <c r="M94" s="373"/>
      <c r="N94" s="373"/>
      <c r="O94" s="870"/>
      <c r="P94" s="373"/>
      <c r="Q94" s="373"/>
      <c r="R94" s="373"/>
      <c r="S94" s="618"/>
      <c r="T94" s="374">
        <v>0</v>
      </c>
      <c r="U94" s="869"/>
      <c r="V94" s="373"/>
      <c r="W94" s="373"/>
      <c r="X94" s="870"/>
      <c r="Y94" s="373"/>
      <c r="Z94" s="373"/>
      <c r="AA94" s="373"/>
      <c r="AB94" s="618"/>
      <c r="AC94" s="374">
        <v>0</v>
      </c>
      <c r="AD94" s="869"/>
      <c r="AE94" s="373"/>
      <c r="AF94" s="373"/>
      <c r="AG94" s="870"/>
      <c r="AH94" s="373"/>
      <c r="AI94" s="373"/>
      <c r="AJ94" s="373"/>
      <c r="AK94" s="618"/>
      <c r="AL94" s="374">
        <v>0</v>
      </c>
      <c r="AM94" s="869"/>
      <c r="AN94" s="373"/>
      <c r="AO94" s="373"/>
      <c r="AP94" s="870"/>
      <c r="AQ94" s="373"/>
      <c r="AR94" s="373"/>
      <c r="AS94" s="373"/>
      <c r="AT94" s="618"/>
      <c r="AU94" s="374">
        <v>0</v>
      </c>
      <c r="AV94" s="869"/>
      <c r="AW94" s="373"/>
      <c r="AX94" s="373"/>
      <c r="AY94" s="870"/>
      <c r="AZ94" s="373"/>
      <c r="BA94" s="373"/>
      <c r="BB94" s="373"/>
      <c r="BC94" s="618"/>
      <c r="BD94" s="374">
        <v>0</v>
      </c>
      <c r="BE94" s="869"/>
      <c r="BF94" s="373"/>
      <c r="BG94" s="373"/>
      <c r="BH94" s="870"/>
      <c r="BI94" s="373"/>
      <c r="BJ94" s="373"/>
      <c r="BK94" s="373"/>
      <c r="BL94" s="618"/>
      <c r="BM94" s="374">
        <v>0</v>
      </c>
      <c r="BN94" s="869"/>
      <c r="BO94" s="373"/>
      <c r="BP94" s="373"/>
      <c r="BQ94" s="870"/>
      <c r="BR94" s="373"/>
      <c r="BS94" s="373"/>
      <c r="BT94" s="373"/>
      <c r="BU94" s="618"/>
      <c r="BV94" s="374">
        <v>0</v>
      </c>
      <c r="BW94" s="869"/>
      <c r="BX94" s="373">
        <v>1</v>
      </c>
      <c r="BY94" s="373"/>
      <c r="BZ94" s="870"/>
      <c r="CA94" s="373"/>
      <c r="CB94" s="373"/>
      <c r="CC94" s="373"/>
      <c r="CD94" s="618"/>
      <c r="CE94" s="374">
        <v>0</v>
      </c>
      <c r="CF94" s="869"/>
      <c r="CG94" s="373"/>
      <c r="CH94" s="373"/>
      <c r="CI94" s="870"/>
      <c r="CJ94" s="373"/>
      <c r="CK94" s="373"/>
      <c r="CL94" s="373"/>
      <c r="CM94" s="618"/>
      <c r="CN94" s="374">
        <v>0</v>
      </c>
      <c r="CO94" s="869"/>
      <c r="CP94" s="373"/>
      <c r="CQ94" s="373"/>
      <c r="CR94" s="870"/>
      <c r="CS94" s="373"/>
      <c r="CT94" s="373"/>
      <c r="CU94" s="373"/>
      <c r="CV94" s="618"/>
      <c r="CW94" s="374">
        <v>0</v>
      </c>
      <c r="CX94" s="869">
        <v>1</v>
      </c>
      <c r="CY94" s="373"/>
      <c r="CZ94" s="373">
        <v>4</v>
      </c>
      <c r="DA94" s="870">
        <v>2</v>
      </c>
      <c r="DB94" s="373"/>
      <c r="DC94" s="373"/>
      <c r="DD94" s="373"/>
      <c r="DE94" s="618"/>
      <c r="DF94" s="374">
        <v>0</v>
      </c>
      <c r="DG94" s="869"/>
      <c r="DH94" s="373"/>
      <c r="DI94" s="373"/>
      <c r="DJ94" s="870"/>
      <c r="DK94" s="373"/>
      <c r="DL94" s="373"/>
      <c r="DM94" s="373"/>
      <c r="DN94" s="618"/>
      <c r="DO94" s="374">
        <v>0</v>
      </c>
      <c r="DP94" s="869"/>
      <c r="DQ94" s="373"/>
      <c r="DR94" s="373"/>
      <c r="DS94" s="870"/>
      <c r="DT94" s="373"/>
      <c r="DU94" s="373"/>
      <c r="DV94" s="373"/>
      <c r="DW94" s="618"/>
      <c r="DX94" s="374">
        <v>0</v>
      </c>
      <c r="DY94" s="869"/>
      <c r="DZ94" s="373"/>
      <c r="EA94" s="373"/>
      <c r="EB94" s="870"/>
      <c r="EC94" s="373"/>
      <c r="ED94" s="373"/>
      <c r="EE94" s="373"/>
      <c r="EF94" s="618"/>
      <c r="EG94" s="374">
        <v>0</v>
      </c>
      <c r="EH94" s="869"/>
      <c r="EI94" s="373"/>
      <c r="EJ94" s="373"/>
      <c r="EK94" s="870"/>
      <c r="EL94" s="373"/>
      <c r="EM94" s="373"/>
      <c r="EN94" s="373"/>
      <c r="EO94" s="618"/>
      <c r="EP94" s="374">
        <v>0</v>
      </c>
      <c r="EQ94" s="869"/>
      <c r="ER94" s="373"/>
      <c r="ES94" s="373"/>
      <c r="ET94" s="870"/>
      <c r="EU94" s="373"/>
      <c r="EV94" s="373"/>
      <c r="EW94" s="373"/>
      <c r="EX94" s="618"/>
      <c r="EY94" s="374">
        <v>0</v>
      </c>
      <c r="EZ94" s="869"/>
      <c r="FA94" s="373"/>
      <c r="FB94" s="373"/>
      <c r="FC94" s="870"/>
      <c r="FD94" s="373"/>
      <c r="FE94" s="373"/>
      <c r="FF94" s="373"/>
      <c r="FG94" s="618"/>
      <c r="FH94" s="374">
        <v>0</v>
      </c>
      <c r="FI94" s="869"/>
      <c r="FJ94" s="373">
        <v>1</v>
      </c>
      <c r="FK94" s="373"/>
      <c r="FL94" s="870"/>
      <c r="FM94" s="373"/>
      <c r="FN94" s="373"/>
      <c r="FO94" s="373"/>
      <c r="FP94" s="618"/>
      <c r="FQ94" s="374">
        <v>0</v>
      </c>
      <c r="FR94" s="869"/>
      <c r="FS94" s="373"/>
      <c r="FT94" s="373"/>
      <c r="FU94" s="870"/>
      <c r="FV94" s="373"/>
      <c r="FW94" s="373"/>
      <c r="FX94" s="373"/>
      <c r="FY94" s="618"/>
      <c r="FZ94" s="374">
        <v>0</v>
      </c>
      <c r="GA94" s="869"/>
      <c r="GB94" s="373"/>
      <c r="GC94" s="373"/>
      <c r="GD94" s="870"/>
      <c r="GE94" s="373"/>
      <c r="GF94" s="373"/>
      <c r="GG94" s="373"/>
      <c r="GH94" s="618"/>
      <c r="GI94" s="374">
        <v>0</v>
      </c>
      <c r="GJ94" s="869">
        <v>1</v>
      </c>
      <c r="GK94" s="373">
        <v>2</v>
      </c>
      <c r="GL94" s="373">
        <v>4</v>
      </c>
      <c r="GM94" s="870">
        <v>2</v>
      </c>
      <c r="GN94" s="373"/>
      <c r="GO94" s="373"/>
      <c r="GP94" s="373"/>
      <c r="GQ94" s="618"/>
      <c r="GR94" s="374">
        <v>0</v>
      </c>
      <c r="GS94" s="869"/>
      <c r="GT94" s="373">
        <v>2</v>
      </c>
      <c r="GU94" s="373">
        <v>2</v>
      </c>
      <c r="GV94" s="870"/>
      <c r="GW94" s="373"/>
      <c r="GX94" s="373"/>
      <c r="GY94" s="373"/>
      <c r="GZ94" s="618"/>
      <c r="HA94" s="374">
        <v>0</v>
      </c>
      <c r="HB94" s="869"/>
      <c r="HC94" s="373"/>
      <c r="HD94" s="373"/>
      <c r="HE94" s="870"/>
      <c r="HF94" s="373"/>
      <c r="HG94" s="373"/>
      <c r="HH94" s="373"/>
      <c r="HI94" s="618"/>
      <c r="HJ94" s="374">
        <v>0</v>
      </c>
      <c r="HK94" s="869"/>
      <c r="HL94" s="373"/>
      <c r="HM94" s="373"/>
      <c r="HN94" s="870"/>
      <c r="HO94" s="373"/>
      <c r="HP94" s="373"/>
      <c r="HQ94" s="373"/>
      <c r="HR94" s="618"/>
      <c r="HS94" s="374">
        <v>0</v>
      </c>
      <c r="HT94" s="869"/>
      <c r="HU94" s="373">
        <v>2</v>
      </c>
      <c r="HV94" s="373">
        <v>2</v>
      </c>
      <c r="HW94" s="870"/>
      <c r="HX94" s="373">
        <v>1</v>
      </c>
      <c r="HY94" s="373">
        <v>1</v>
      </c>
      <c r="HZ94" s="373"/>
      <c r="IA94" s="618"/>
      <c r="IB94" s="374">
        <v>0</v>
      </c>
      <c r="IC94" s="869">
        <v>1</v>
      </c>
      <c r="ID94" s="373">
        <v>2</v>
      </c>
      <c r="IE94" s="373">
        <v>4</v>
      </c>
      <c r="IF94" s="870">
        <v>2</v>
      </c>
      <c r="IG94" s="373">
        <v>1</v>
      </c>
      <c r="IH94" s="373">
        <v>1</v>
      </c>
      <c r="II94" s="373"/>
      <c r="IJ94" s="618"/>
      <c r="IK94" s="374">
        <v>1</v>
      </c>
      <c r="IL94" s="377"/>
      <c r="IM94" s="373"/>
      <c r="IN94" s="373">
        <v>1</v>
      </c>
      <c r="IO94" s="871">
        <v>2</v>
      </c>
      <c r="IP94" s="871"/>
      <c r="IQ94" s="373"/>
      <c r="IR94" s="373"/>
      <c r="IS94" s="618"/>
      <c r="IT94" s="374">
        <v>0</v>
      </c>
    </row>
    <row r="95" spans="1:254" s="245" customFormat="1" ht="12.75" customHeight="1" x14ac:dyDescent="0.2">
      <c r="A95" s="1052"/>
      <c r="B95" s="868" t="s">
        <v>947</v>
      </c>
      <c r="C95" s="869"/>
      <c r="D95" s="373"/>
      <c r="E95" s="373"/>
      <c r="F95" s="870"/>
      <c r="G95" s="373"/>
      <c r="H95" s="373"/>
      <c r="I95" s="373">
        <v>1</v>
      </c>
      <c r="J95" s="618"/>
      <c r="K95" s="374">
        <v>0</v>
      </c>
      <c r="L95" s="869"/>
      <c r="M95" s="373"/>
      <c r="N95" s="373"/>
      <c r="O95" s="870"/>
      <c r="P95" s="373"/>
      <c r="Q95" s="373"/>
      <c r="R95" s="373"/>
      <c r="S95" s="618"/>
      <c r="T95" s="374">
        <v>0</v>
      </c>
      <c r="U95" s="869"/>
      <c r="V95" s="373"/>
      <c r="W95" s="373"/>
      <c r="X95" s="870"/>
      <c r="Y95" s="373"/>
      <c r="Z95" s="373"/>
      <c r="AA95" s="373"/>
      <c r="AB95" s="618"/>
      <c r="AC95" s="374">
        <v>0</v>
      </c>
      <c r="AD95" s="869"/>
      <c r="AE95" s="373">
        <v>1</v>
      </c>
      <c r="AF95" s="373">
        <v>1</v>
      </c>
      <c r="AG95" s="870"/>
      <c r="AH95" s="373"/>
      <c r="AI95" s="373">
        <v>1</v>
      </c>
      <c r="AJ95" s="373"/>
      <c r="AK95" s="618"/>
      <c r="AL95" s="374">
        <v>0</v>
      </c>
      <c r="AM95" s="869"/>
      <c r="AN95" s="373"/>
      <c r="AO95" s="373"/>
      <c r="AP95" s="870"/>
      <c r="AQ95" s="373"/>
      <c r="AR95" s="373">
        <v>1</v>
      </c>
      <c r="AS95" s="373"/>
      <c r="AT95" s="618"/>
      <c r="AU95" s="374">
        <v>0</v>
      </c>
      <c r="AV95" s="869"/>
      <c r="AW95" s="373"/>
      <c r="AX95" s="373"/>
      <c r="AY95" s="870"/>
      <c r="AZ95" s="373"/>
      <c r="BA95" s="373"/>
      <c r="BB95" s="373"/>
      <c r="BC95" s="618"/>
      <c r="BD95" s="374">
        <v>0</v>
      </c>
      <c r="BE95" s="869"/>
      <c r="BF95" s="373"/>
      <c r="BG95" s="373"/>
      <c r="BH95" s="870"/>
      <c r="BI95" s="373"/>
      <c r="BJ95" s="373"/>
      <c r="BK95" s="373"/>
      <c r="BL95" s="618"/>
      <c r="BM95" s="374">
        <v>0</v>
      </c>
      <c r="BN95" s="869"/>
      <c r="BO95" s="373"/>
      <c r="BP95" s="373"/>
      <c r="BQ95" s="870"/>
      <c r="BR95" s="373"/>
      <c r="BS95" s="373"/>
      <c r="BT95" s="373"/>
      <c r="BU95" s="618"/>
      <c r="BV95" s="374">
        <v>0</v>
      </c>
      <c r="BW95" s="869"/>
      <c r="BX95" s="373">
        <v>1</v>
      </c>
      <c r="BY95" s="373"/>
      <c r="BZ95" s="870"/>
      <c r="CA95" s="373"/>
      <c r="CB95" s="373"/>
      <c r="CC95" s="373"/>
      <c r="CD95" s="618"/>
      <c r="CE95" s="374">
        <v>0</v>
      </c>
      <c r="CF95" s="869"/>
      <c r="CG95" s="373"/>
      <c r="CH95" s="373"/>
      <c r="CI95" s="870"/>
      <c r="CJ95" s="373"/>
      <c r="CK95" s="373"/>
      <c r="CL95" s="373"/>
      <c r="CM95" s="618"/>
      <c r="CN95" s="374">
        <v>0</v>
      </c>
      <c r="CO95" s="869"/>
      <c r="CP95" s="373"/>
      <c r="CQ95" s="373"/>
      <c r="CR95" s="870"/>
      <c r="CS95" s="373"/>
      <c r="CT95" s="373"/>
      <c r="CU95" s="373"/>
      <c r="CV95" s="618"/>
      <c r="CW95" s="374">
        <v>0</v>
      </c>
      <c r="CX95" s="869">
        <v>4</v>
      </c>
      <c r="CY95" s="373">
        <v>5</v>
      </c>
      <c r="CZ95" s="373">
        <v>1</v>
      </c>
      <c r="DA95" s="870">
        <v>3</v>
      </c>
      <c r="DB95" s="373">
        <v>3</v>
      </c>
      <c r="DC95" s="373">
        <v>1</v>
      </c>
      <c r="DD95" s="373">
        <v>3</v>
      </c>
      <c r="DE95" s="618">
        <v>1</v>
      </c>
      <c r="DF95" s="374">
        <v>1</v>
      </c>
      <c r="DG95" s="869"/>
      <c r="DH95" s="373"/>
      <c r="DI95" s="373"/>
      <c r="DJ95" s="870"/>
      <c r="DK95" s="373"/>
      <c r="DL95" s="373"/>
      <c r="DM95" s="373"/>
      <c r="DN95" s="618"/>
      <c r="DO95" s="374">
        <v>0</v>
      </c>
      <c r="DP95" s="869"/>
      <c r="DQ95" s="373"/>
      <c r="DR95" s="373"/>
      <c r="DS95" s="870"/>
      <c r="DT95" s="373"/>
      <c r="DU95" s="373"/>
      <c r="DV95" s="373"/>
      <c r="DW95" s="618"/>
      <c r="DX95" s="374">
        <v>0</v>
      </c>
      <c r="DY95" s="869">
        <v>1</v>
      </c>
      <c r="DZ95" s="373"/>
      <c r="EA95" s="373"/>
      <c r="EB95" s="870"/>
      <c r="EC95" s="373"/>
      <c r="ED95" s="373"/>
      <c r="EE95" s="373">
        <v>1</v>
      </c>
      <c r="EF95" s="618"/>
      <c r="EG95" s="374">
        <v>0</v>
      </c>
      <c r="EH95" s="869"/>
      <c r="EI95" s="373"/>
      <c r="EJ95" s="373"/>
      <c r="EK95" s="870"/>
      <c r="EL95" s="373"/>
      <c r="EM95" s="373"/>
      <c r="EN95" s="373"/>
      <c r="EO95" s="618"/>
      <c r="EP95" s="374">
        <v>0</v>
      </c>
      <c r="EQ95" s="869"/>
      <c r="ER95" s="373"/>
      <c r="ES95" s="373"/>
      <c r="ET95" s="870"/>
      <c r="EU95" s="373"/>
      <c r="EV95" s="373"/>
      <c r="EW95" s="373">
        <v>1</v>
      </c>
      <c r="EX95" s="618"/>
      <c r="EY95" s="374">
        <v>0</v>
      </c>
      <c r="EZ95" s="869"/>
      <c r="FA95" s="373"/>
      <c r="FB95" s="373"/>
      <c r="FC95" s="870"/>
      <c r="FD95" s="373"/>
      <c r="FE95" s="373"/>
      <c r="FF95" s="373"/>
      <c r="FG95" s="618"/>
      <c r="FH95" s="374">
        <v>0</v>
      </c>
      <c r="FI95" s="869">
        <v>3</v>
      </c>
      <c r="FJ95" s="373"/>
      <c r="FK95" s="373">
        <v>1</v>
      </c>
      <c r="FL95" s="870"/>
      <c r="FM95" s="373"/>
      <c r="FN95" s="373"/>
      <c r="FO95" s="373"/>
      <c r="FP95" s="618"/>
      <c r="FQ95" s="374">
        <v>1</v>
      </c>
      <c r="FR95" s="869"/>
      <c r="FS95" s="373"/>
      <c r="FT95" s="373"/>
      <c r="FU95" s="870"/>
      <c r="FV95" s="373"/>
      <c r="FW95" s="373"/>
      <c r="FX95" s="373"/>
      <c r="FY95" s="618"/>
      <c r="FZ95" s="374">
        <v>0</v>
      </c>
      <c r="GA95" s="869"/>
      <c r="GB95" s="373"/>
      <c r="GC95" s="373"/>
      <c r="GD95" s="870"/>
      <c r="GE95" s="373"/>
      <c r="GF95" s="373"/>
      <c r="GG95" s="373"/>
      <c r="GH95" s="618">
        <v>1</v>
      </c>
      <c r="GI95" s="374">
        <v>0</v>
      </c>
      <c r="GJ95" s="869">
        <v>7</v>
      </c>
      <c r="GK95" s="373">
        <v>7</v>
      </c>
      <c r="GL95" s="373">
        <v>3</v>
      </c>
      <c r="GM95" s="870">
        <v>3</v>
      </c>
      <c r="GN95" s="373">
        <v>3</v>
      </c>
      <c r="GO95" s="373">
        <v>2</v>
      </c>
      <c r="GP95" s="373">
        <v>5</v>
      </c>
      <c r="GQ95" s="618">
        <v>2</v>
      </c>
      <c r="GR95" s="374">
        <v>2</v>
      </c>
      <c r="GS95" s="869">
        <v>2</v>
      </c>
      <c r="GT95" s="373"/>
      <c r="GU95" s="373">
        <v>2</v>
      </c>
      <c r="GV95" s="870">
        <v>1</v>
      </c>
      <c r="GW95" s="373">
        <v>1</v>
      </c>
      <c r="GX95" s="373">
        <v>1</v>
      </c>
      <c r="GY95" s="373">
        <v>1</v>
      </c>
      <c r="GZ95" s="618"/>
      <c r="HA95" s="374">
        <v>0</v>
      </c>
      <c r="HB95" s="869"/>
      <c r="HC95" s="373"/>
      <c r="HD95" s="373"/>
      <c r="HE95" s="870"/>
      <c r="HF95" s="373"/>
      <c r="HG95" s="373"/>
      <c r="HH95" s="373"/>
      <c r="HI95" s="618"/>
      <c r="HJ95" s="374">
        <v>0</v>
      </c>
      <c r="HK95" s="869"/>
      <c r="HL95" s="373"/>
      <c r="HM95" s="373"/>
      <c r="HN95" s="870"/>
      <c r="HO95" s="373"/>
      <c r="HP95" s="373"/>
      <c r="HQ95" s="373"/>
      <c r="HR95" s="618"/>
      <c r="HS95" s="374">
        <v>0</v>
      </c>
      <c r="HT95" s="869">
        <v>3</v>
      </c>
      <c r="HU95" s="373"/>
      <c r="HV95" s="373">
        <v>4</v>
      </c>
      <c r="HW95" s="870">
        <v>2</v>
      </c>
      <c r="HX95" s="373">
        <v>2</v>
      </c>
      <c r="HY95" s="373">
        <v>3</v>
      </c>
      <c r="HZ95" s="373">
        <v>3</v>
      </c>
      <c r="IA95" s="618"/>
      <c r="IB95" s="374">
        <v>1</v>
      </c>
      <c r="IC95" s="869">
        <v>13</v>
      </c>
      <c r="ID95" s="373">
        <v>7</v>
      </c>
      <c r="IE95" s="373">
        <v>5</v>
      </c>
      <c r="IF95" s="870">
        <v>4</v>
      </c>
      <c r="IG95" s="373">
        <v>4</v>
      </c>
      <c r="IH95" s="373">
        <v>5</v>
      </c>
      <c r="II95" s="373">
        <v>11</v>
      </c>
      <c r="IJ95" s="618">
        <v>4</v>
      </c>
      <c r="IK95" s="374">
        <v>7</v>
      </c>
      <c r="IL95" s="377">
        <v>1</v>
      </c>
      <c r="IM95" s="373"/>
      <c r="IN95" s="373"/>
      <c r="IO95" s="871"/>
      <c r="IP95" s="871"/>
      <c r="IQ95" s="373"/>
      <c r="IR95" s="373">
        <v>2</v>
      </c>
      <c r="IS95" s="618"/>
      <c r="IT95" s="374">
        <v>0</v>
      </c>
    </row>
    <row r="96" spans="1:254" s="245" customFormat="1" ht="12.75" customHeight="1" x14ac:dyDescent="0.2">
      <c r="A96" s="1052"/>
      <c r="B96" s="868" t="s">
        <v>948</v>
      </c>
      <c r="C96" s="869"/>
      <c r="D96" s="373"/>
      <c r="E96" s="373"/>
      <c r="F96" s="870"/>
      <c r="G96" s="373"/>
      <c r="H96" s="373"/>
      <c r="I96" s="373"/>
      <c r="J96" s="618"/>
      <c r="K96" s="374">
        <v>0</v>
      </c>
      <c r="L96" s="869"/>
      <c r="M96" s="373"/>
      <c r="N96" s="373"/>
      <c r="O96" s="870"/>
      <c r="P96" s="373"/>
      <c r="Q96" s="373"/>
      <c r="R96" s="373"/>
      <c r="S96" s="618"/>
      <c r="T96" s="374">
        <v>0</v>
      </c>
      <c r="U96" s="869"/>
      <c r="V96" s="373"/>
      <c r="W96" s="373"/>
      <c r="X96" s="870"/>
      <c r="Y96" s="373"/>
      <c r="Z96" s="373"/>
      <c r="AA96" s="373"/>
      <c r="AB96" s="618"/>
      <c r="AC96" s="374">
        <v>0</v>
      </c>
      <c r="AD96" s="869"/>
      <c r="AE96" s="373"/>
      <c r="AF96" s="373"/>
      <c r="AG96" s="870"/>
      <c r="AH96" s="373"/>
      <c r="AI96" s="373">
        <v>1</v>
      </c>
      <c r="AJ96" s="373"/>
      <c r="AK96" s="618"/>
      <c r="AL96" s="374">
        <v>0</v>
      </c>
      <c r="AM96" s="869"/>
      <c r="AN96" s="373"/>
      <c r="AO96" s="373"/>
      <c r="AP96" s="870"/>
      <c r="AQ96" s="373"/>
      <c r="AR96" s="373">
        <v>1</v>
      </c>
      <c r="AS96" s="373"/>
      <c r="AT96" s="618"/>
      <c r="AU96" s="374">
        <v>0</v>
      </c>
      <c r="AV96" s="869"/>
      <c r="AW96" s="373"/>
      <c r="AX96" s="373"/>
      <c r="AY96" s="870"/>
      <c r="AZ96" s="373"/>
      <c r="BA96" s="373"/>
      <c r="BB96" s="373"/>
      <c r="BC96" s="618"/>
      <c r="BD96" s="374">
        <v>0</v>
      </c>
      <c r="BE96" s="869"/>
      <c r="BF96" s="373"/>
      <c r="BG96" s="373"/>
      <c r="BH96" s="870"/>
      <c r="BI96" s="373"/>
      <c r="BJ96" s="373"/>
      <c r="BK96" s="373"/>
      <c r="BL96" s="618"/>
      <c r="BM96" s="374">
        <v>0</v>
      </c>
      <c r="BN96" s="869"/>
      <c r="BO96" s="373"/>
      <c r="BP96" s="373"/>
      <c r="BQ96" s="870"/>
      <c r="BR96" s="373"/>
      <c r="BS96" s="373"/>
      <c r="BT96" s="373"/>
      <c r="BU96" s="618"/>
      <c r="BV96" s="374">
        <v>0</v>
      </c>
      <c r="BW96" s="869"/>
      <c r="BX96" s="373"/>
      <c r="BY96" s="373"/>
      <c r="BZ96" s="870"/>
      <c r="CA96" s="373"/>
      <c r="CB96" s="373"/>
      <c r="CC96" s="373"/>
      <c r="CD96" s="618"/>
      <c r="CE96" s="374">
        <v>0</v>
      </c>
      <c r="CF96" s="869"/>
      <c r="CG96" s="373"/>
      <c r="CH96" s="373"/>
      <c r="CI96" s="870"/>
      <c r="CJ96" s="373"/>
      <c r="CK96" s="373"/>
      <c r="CL96" s="373"/>
      <c r="CM96" s="618"/>
      <c r="CN96" s="374">
        <v>0</v>
      </c>
      <c r="CO96" s="869"/>
      <c r="CP96" s="373"/>
      <c r="CQ96" s="373"/>
      <c r="CR96" s="870"/>
      <c r="CS96" s="373"/>
      <c r="CT96" s="373"/>
      <c r="CU96" s="373"/>
      <c r="CV96" s="618"/>
      <c r="CW96" s="374">
        <v>0</v>
      </c>
      <c r="CX96" s="869">
        <v>1</v>
      </c>
      <c r="CY96" s="373">
        <v>1</v>
      </c>
      <c r="CZ96" s="373">
        <v>2</v>
      </c>
      <c r="DA96" s="870"/>
      <c r="DB96" s="373">
        <v>1</v>
      </c>
      <c r="DC96" s="373"/>
      <c r="DD96" s="373"/>
      <c r="DE96" s="618"/>
      <c r="DF96" s="374">
        <v>1</v>
      </c>
      <c r="DG96" s="869"/>
      <c r="DH96" s="373"/>
      <c r="DI96" s="373"/>
      <c r="DJ96" s="870"/>
      <c r="DK96" s="373"/>
      <c r="DL96" s="373"/>
      <c r="DM96" s="373"/>
      <c r="DN96" s="618"/>
      <c r="DO96" s="374">
        <v>0</v>
      </c>
      <c r="DP96" s="869"/>
      <c r="DQ96" s="373"/>
      <c r="DR96" s="373"/>
      <c r="DS96" s="870"/>
      <c r="DT96" s="373"/>
      <c r="DU96" s="373"/>
      <c r="DV96" s="373"/>
      <c r="DW96" s="618"/>
      <c r="DX96" s="374">
        <v>0</v>
      </c>
      <c r="DY96" s="869"/>
      <c r="DZ96" s="373">
        <v>1</v>
      </c>
      <c r="EA96" s="373">
        <v>1</v>
      </c>
      <c r="EB96" s="870"/>
      <c r="EC96" s="373"/>
      <c r="ED96" s="373"/>
      <c r="EE96" s="373"/>
      <c r="EF96" s="618"/>
      <c r="EG96" s="374">
        <v>1</v>
      </c>
      <c r="EH96" s="869"/>
      <c r="EI96" s="373"/>
      <c r="EJ96" s="373"/>
      <c r="EK96" s="870"/>
      <c r="EL96" s="373"/>
      <c r="EM96" s="373"/>
      <c r="EN96" s="373"/>
      <c r="EO96" s="618"/>
      <c r="EP96" s="374">
        <v>0</v>
      </c>
      <c r="EQ96" s="869"/>
      <c r="ER96" s="373"/>
      <c r="ES96" s="373"/>
      <c r="ET96" s="870"/>
      <c r="EU96" s="373"/>
      <c r="EV96" s="373"/>
      <c r="EW96" s="373"/>
      <c r="EX96" s="618"/>
      <c r="EY96" s="374">
        <v>0</v>
      </c>
      <c r="EZ96" s="869"/>
      <c r="FA96" s="373"/>
      <c r="FB96" s="373"/>
      <c r="FC96" s="870"/>
      <c r="FD96" s="373"/>
      <c r="FE96" s="373"/>
      <c r="FF96" s="373"/>
      <c r="FG96" s="618"/>
      <c r="FH96" s="374">
        <v>0</v>
      </c>
      <c r="FI96" s="869"/>
      <c r="FJ96" s="373"/>
      <c r="FK96" s="373">
        <v>2</v>
      </c>
      <c r="FL96" s="870"/>
      <c r="FM96" s="373">
        <v>1</v>
      </c>
      <c r="FN96" s="373"/>
      <c r="FO96" s="373"/>
      <c r="FP96" s="618"/>
      <c r="FQ96" s="374">
        <v>0</v>
      </c>
      <c r="FR96" s="869"/>
      <c r="FS96" s="373"/>
      <c r="FT96" s="373"/>
      <c r="FU96" s="870"/>
      <c r="FV96" s="373"/>
      <c r="FW96" s="373"/>
      <c r="FX96" s="373"/>
      <c r="FY96" s="618"/>
      <c r="FZ96" s="374">
        <v>0</v>
      </c>
      <c r="GA96" s="869"/>
      <c r="GB96" s="373"/>
      <c r="GC96" s="373"/>
      <c r="GD96" s="870"/>
      <c r="GE96" s="373"/>
      <c r="GF96" s="373"/>
      <c r="GG96" s="373"/>
      <c r="GH96" s="618"/>
      <c r="GI96" s="374">
        <v>0</v>
      </c>
      <c r="GJ96" s="869">
        <v>1</v>
      </c>
      <c r="GK96" s="373">
        <v>1</v>
      </c>
      <c r="GL96" s="373">
        <v>4</v>
      </c>
      <c r="GM96" s="870"/>
      <c r="GN96" s="373">
        <v>2</v>
      </c>
      <c r="GO96" s="373">
        <v>1</v>
      </c>
      <c r="GP96" s="373"/>
      <c r="GQ96" s="618"/>
      <c r="GR96" s="374">
        <v>1</v>
      </c>
      <c r="GS96" s="869"/>
      <c r="GT96" s="373"/>
      <c r="GU96" s="373"/>
      <c r="GV96" s="870"/>
      <c r="GW96" s="373"/>
      <c r="GX96" s="373"/>
      <c r="GY96" s="373"/>
      <c r="GZ96" s="618"/>
      <c r="HA96" s="374">
        <v>0</v>
      </c>
      <c r="HB96" s="869"/>
      <c r="HC96" s="373"/>
      <c r="HD96" s="373"/>
      <c r="HE96" s="870"/>
      <c r="HF96" s="373"/>
      <c r="HG96" s="373"/>
      <c r="HH96" s="373"/>
      <c r="HI96" s="618"/>
      <c r="HJ96" s="374">
        <v>0</v>
      </c>
      <c r="HK96" s="869"/>
      <c r="HL96" s="373"/>
      <c r="HM96" s="373"/>
      <c r="HN96" s="870"/>
      <c r="HO96" s="373"/>
      <c r="HP96" s="373"/>
      <c r="HQ96" s="373"/>
      <c r="HR96" s="618"/>
      <c r="HS96" s="374">
        <v>0</v>
      </c>
      <c r="HT96" s="869"/>
      <c r="HU96" s="373"/>
      <c r="HV96" s="373">
        <v>1</v>
      </c>
      <c r="HW96" s="870"/>
      <c r="HX96" s="373">
        <v>1</v>
      </c>
      <c r="HY96" s="373"/>
      <c r="HZ96" s="373"/>
      <c r="IA96" s="618"/>
      <c r="IB96" s="374">
        <v>0</v>
      </c>
      <c r="IC96" s="869">
        <v>4</v>
      </c>
      <c r="ID96" s="373">
        <v>2</v>
      </c>
      <c r="IE96" s="373">
        <v>5</v>
      </c>
      <c r="IF96" s="870"/>
      <c r="IG96" s="373">
        <v>3</v>
      </c>
      <c r="IH96" s="373">
        <v>4</v>
      </c>
      <c r="II96" s="373">
        <v>1</v>
      </c>
      <c r="IJ96" s="618"/>
      <c r="IK96" s="374">
        <v>2</v>
      </c>
      <c r="IL96" s="377"/>
      <c r="IM96" s="373">
        <v>1</v>
      </c>
      <c r="IN96" s="373">
        <v>1</v>
      </c>
      <c r="IO96" s="871"/>
      <c r="IP96" s="871"/>
      <c r="IQ96" s="373"/>
      <c r="IR96" s="373"/>
      <c r="IS96" s="618"/>
      <c r="IT96" s="374">
        <v>1</v>
      </c>
    </row>
    <row r="97" spans="1:254" s="245" customFormat="1" ht="12.75" customHeight="1" x14ac:dyDescent="0.2">
      <c r="A97" s="1052"/>
      <c r="B97" s="868" t="s">
        <v>949</v>
      </c>
      <c r="C97" s="869"/>
      <c r="D97" s="373">
        <v>1</v>
      </c>
      <c r="E97" s="373"/>
      <c r="F97" s="870"/>
      <c r="G97" s="373"/>
      <c r="H97" s="373"/>
      <c r="I97" s="373"/>
      <c r="J97" s="618"/>
      <c r="K97" s="374">
        <v>0</v>
      </c>
      <c r="L97" s="869"/>
      <c r="M97" s="373"/>
      <c r="N97" s="373"/>
      <c r="O97" s="870"/>
      <c r="P97" s="373"/>
      <c r="Q97" s="373"/>
      <c r="R97" s="373"/>
      <c r="S97" s="618"/>
      <c r="T97" s="374">
        <v>0</v>
      </c>
      <c r="U97" s="869"/>
      <c r="V97" s="373">
        <v>1</v>
      </c>
      <c r="W97" s="373"/>
      <c r="X97" s="870"/>
      <c r="Y97" s="373"/>
      <c r="Z97" s="373"/>
      <c r="AA97" s="373"/>
      <c r="AB97" s="618"/>
      <c r="AC97" s="374">
        <v>0</v>
      </c>
      <c r="AD97" s="869">
        <v>19</v>
      </c>
      <c r="AE97" s="373">
        <v>12</v>
      </c>
      <c r="AF97" s="373">
        <v>21</v>
      </c>
      <c r="AG97" s="870">
        <v>15</v>
      </c>
      <c r="AH97" s="373">
        <v>33</v>
      </c>
      <c r="AI97" s="373">
        <v>24</v>
      </c>
      <c r="AJ97" s="373">
        <v>20</v>
      </c>
      <c r="AK97" s="618">
        <v>19</v>
      </c>
      <c r="AL97" s="374">
        <v>12</v>
      </c>
      <c r="AM97" s="869">
        <v>4</v>
      </c>
      <c r="AN97" s="373">
        <v>5</v>
      </c>
      <c r="AO97" s="373">
        <v>2</v>
      </c>
      <c r="AP97" s="870">
        <v>5</v>
      </c>
      <c r="AQ97" s="373">
        <v>2</v>
      </c>
      <c r="AR97" s="373">
        <v>2</v>
      </c>
      <c r="AS97" s="373">
        <v>3</v>
      </c>
      <c r="AT97" s="618">
        <v>4</v>
      </c>
      <c r="AU97" s="374">
        <v>1</v>
      </c>
      <c r="AV97" s="869"/>
      <c r="AW97" s="373"/>
      <c r="AX97" s="373"/>
      <c r="AY97" s="870"/>
      <c r="AZ97" s="373"/>
      <c r="BA97" s="373"/>
      <c r="BB97" s="373"/>
      <c r="BC97" s="618"/>
      <c r="BD97" s="374">
        <v>0</v>
      </c>
      <c r="BE97" s="869">
        <v>6</v>
      </c>
      <c r="BF97" s="373">
        <v>5</v>
      </c>
      <c r="BG97" s="373">
        <v>1</v>
      </c>
      <c r="BH97" s="870">
        <v>4</v>
      </c>
      <c r="BI97" s="373"/>
      <c r="BJ97" s="373">
        <v>1</v>
      </c>
      <c r="BK97" s="373">
        <v>1</v>
      </c>
      <c r="BL97" s="618">
        <v>1</v>
      </c>
      <c r="BM97" s="374">
        <v>0</v>
      </c>
      <c r="BN97" s="869"/>
      <c r="BO97" s="373">
        <v>1</v>
      </c>
      <c r="BP97" s="373"/>
      <c r="BQ97" s="870"/>
      <c r="BR97" s="373"/>
      <c r="BS97" s="373">
        <v>1</v>
      </c>
      <c r="BT97" s="373"/>
      <c r="BU97" s="618"/>
      <c r="BV97" s="374">
        <v>1</v>
      </c>
      <c r="BW97" s="869">
        <v>41</v>
      </c>
      <c r="BX97" s="373">
        <v>25</v>
      </c>
      <c r="BY97" s="373">
        <v>20</v>
      </c>
      <c r="BZ97" s="870">
        <v>11</v>
      </c>
      <c r="CA97" s="373">
        <v>17</v>
      </c>
      <c r="CB97" s="373">
        <v>16</v>
      </c>
      <c r="CC97" s="373">
        <v>20</v>
      </c>
      <c r="CD97" s="618">
        <v>10</v>
      </c>
      <c r="CE97" s="374">
        <v>11</v>
      </c>
      <c r="CF97" s="869">
        <v>1</v>
      </c>
      <c r="CG97" s="373"/>
      <c r="CH97" s="373"/>
      <c r="CI97" s="870"/>
      <c r="CJ97" s="373"/>
      <c r="CK97" s="373"/>
      <c r="CL97" s="373"/>
      <c r="CM97" s="618">
        <v>1</v>
      </c>
      <c r="CN97" s="374">
        <v>0</v>
      </c>
      <c r="CO97" s="869">
        <v>2</v>
      </c>
      <c r="CP97" s="373">
        <v>4</v>
      </c>
      <c r="CQ97" s="373"/>
      <c r="CR97" s="870"/>
      <c r="CS97" s="373">
        <v>2</v>
      </c>
      <c r="CT97" s="373"/>
      <c r="CU97" s="373">
        <v>2</v>
      </c>
      <c r="CV97" s="618">
        <v>1</v>
      </c>
      <c r="CW97" s="374">
        <v>4</v>
      </c>
      <c r="CX97" s="869">
        <v>147</v>
      </c>
      <c r="CY97" s="373">
        <v>153</v>
      </c>
      <c r="CZ97" s="373">
        <v>203</v>
      </c>
      <c r="DA97" s="870">
        <v>101</v>
      </c>
      <c r="DB97" s="373">
        <v>83</v>
      </c>
      <c r="DC97" s="373">
        <v>56</v>
      </c>
      <c r="DD97" s="373">
        <v>99</v>
      </c>
      <c r="DE97" s="618">
        <v>48</v>
      </c>
      <c r="DF97" s="374">
        <v>49</v>
      </c>
      <c r="DG97" s="869">
        <v>1</v>
      </c>
      <c r="DH97" s="373">
        <v>1</v>
      </c>
      <c r="DI97" s="373">
        <v>3</v>
      </c>
      <c r="DJ97" s="870"/>
      <c r="DK97" s="373"/>
      <c r="DL97" s="373"/>
      <c r="DM97" s="373"/>
      <c r="DN97" s="618"/>
      <c r="DO97" s="374">
        <v>0</v>
      </c>
      <c r="DP97" s="869">
        <v>5</v>
      </c>
      <c r="DQ97" s="373">
        <v>5</v>
      </c>
      <c r="DR97" s="373">
        <v>10</v>
      </c>
      <c r="DS97" s="870">
        <v>2</v>
      </c>
      <c r="DT97" s="373">
        <v>4</v>
      </c>
      <c r="DU97" s="373">
        <v>3</v>
      </c>
      <c r="DV97" s="373"/>
      <c r="DW97" s="618">
        <v>3</v>
      </c>
      <c r="DX97" s="374">
        <v>0</v>
      </c>
      <c r="DY97" s="869">
        <v>13</v>
      </c>
      <c r="DZ97" s="373">
        <v>17</v>
      </c>
      <c r="EA97" s="373">
        <v>20</v>
      </c>
      <c r="EB97" s="870">
        <v>10</v>
      </c>
      <c r="EC97" s="373">
        <v>18</v>
      </c>
      <c r="ED97" s="373">
        <v>9</v>
      </c>
      <c r="EE97" s="373">
        <v>2</v>
      </c>
      <c r="EF97" s="618">
        <v>1</v>
      </c>
      <c r="EG97" s="374">
        <v>3</v>
      </c>
      <c r="EH97" s="869">
        <v>1</v>
      </c>
      <c r="EI97" s="373">
        <v>1</v>
      </c>
      <c r="EJ97" s="373">
        <v>2</v>
      </c>
      <c r="EK97" s="870">
        <v>1</v>
      </c>
      <c r="EL97" s="373">
        <v>1</v>
      </c>
      <c r="EM97" s="373"/>
      <c r="EN97" s="373">
        <v>1</v>
      </c>
      <c r="EO97" s="618"/>
      <c r="EP97" s="374">
        <v>0</v>
      </c>
      <c r="EQ97" s="869">
        <v>1</v>
      </c>
      <c r="ER97" s="373"/>
      <c r="ES97" s="373"/>
      <c r="ET97" s="870">
        <v>1</v>
      </c>
      <c r="EU97" s="373"/>
      <c r="EV97" s="373"/>
      <c r="EW97" s="373">
        <v>2</v>
      </c>
      <c r="EX97" s="618"/>
      <c r="EY97" s="374">
        <v>0</v>
      </c>
      <c r="EZ97" s="869"/>
      <c r="FA97" s="373">
        <v>1</v>
      </c>
      <c r="FB97" s="373"/>
      <c r="FC97" s="870"/>
      <c r="FD97" s="373">
        <v>3</v>
      </c>
      <c r="FE97" s="373"/>
      <c r="FF97" s="373">
        <v>2</v>
      </c>
      <c r="FG97" s="618">
        <v>1</v>
      </c>
      <c r="FH97" s="374">
        <v>0</v>
      </c>
      <c r="FI97" s="869">
        <v>26</v>
      </c>
      <c r="FJ97" s="373">
        <v>15</v>
      </c>
      <c r="FK97" s="373">
        <v>16</v>
      </c>
      <c r="FL97" s="870">
        <v>11</v>
      </c>
      <c r="FM97" s="373">
        <v>8</v>
      </c>
      <c r="FN97" s="373">
        <v>5</v>
      </c>
      <c r="FO97" s="373">
        <v>4</v>
      </c>
      <c r="FP97" s="618">
        <v>5</v>
      </c>
      <c r="FQ97" s="374">
        <v>7</v>
      </c>
      <c r="FR97" s="869"/>
      <c r="FS97" s="373"/>
      <c r="FT97" s="373">
        <v>3</v>
      </c>
      <c r="FU97" s="870">
        <v>3</v>
      </c>
      <c r="FV97" s="373">
        <v>4</v>
      </c>
      <c r="FW97" s="373">
        <v>4</v>
      </c>
      <c r="FX97" s="373"/>
      <c r="FY97" s="618">
        <v>2</v>
      </c>
      <c r="FZ97" s="374">
        <v>0</v>
      </c>
      <c r="GA97" s="869">
        <v>1</v>
      </c>
      <c r="GB97" s="373">
        <v>3</v>
      </c>
      <c r="GC97" s="373">
        <v>2</v>
      </c>
      <c r="GD97" s="870">
        <v>4</v>
      </c>
      <c r="GE97" s="373">
        <v>1</v>
      </c>
      <c r="GF97" s="373">
        <v>1</v>
      </c>
      <c r="GG97" s="373">
        <v>3</v>
      </c>
      <c r="GH97" s="618">
        <v>3</v>
      </c>
      <c r="GI97" s="374">
        <v>2</v>
      </c>
      <c r="GJ97" s="869">
        <v>245</v>
      </c>
      <c r="GK97" s="373">
        <v>221</v>
      </c>
      <c r="GL97" s="373">
        <v>268</v>
      </c>
      <c r="GM97" s="870">
        <v>151</v>
      </c>
      <c r="GN97" s="373">
        <v>152</v>
      </c>
      <c r="GO97" s="373">
        <v>108</v>
      </c>
      <c r="GP97" s="373">
        <v>154</v>
      </c>
      <c r="GQ97" s="618">
        <v>91</v>
      </c>
      <c r="GR97" s="374">
        <v>86</v>
      </c>
      <c r="GS97" s="869">
        <v>72</v>
      </c>
      <c r="GT97" s="373">
        <v>65</v>
      </c>
      <c r="GU97" s="373">
        <v>90</v>
      </c>
      <c r="GV97" s="870">
        <v>47</v>
      </c>
      <c r="GW97" s="373">
        <v>37</v>
      </c>
      <c r="GX97" s="373">
        <v>21</v>
      </c>
      <c r="GY97" s="373">
        <v>47</v>
      </c>
      <c r="GZ97" s="618">
        <v>25</v>
      </c>
      <c r="HA97" s="374">
        <v>34</v>
      </c>
      <c r="HB97" s="869">
        <v>2</v>
      </c>
      <c r="HC97" s="373">
        <v>1</v>
      </c>
      <c r="HD97" s="373">
        <v>1</v>
      </c>
      <c r="HE97" s="870">
        <v>2</v>
      </c>
      <c r="HF97" s="373">
        <v>1</v>
      </c>
      <c r="HG97" s="373">
        <v>1</v>
      </c>
      <c r="HH97" s="373">
        <v>1</v>
      </c>
      <c r="HI97" s="618"/>
      <c r="HJ97" s="374">
        <v>1</v>
      </c>
      <c r="HK97" s="869"/>
      <c r="HL97" s="373">
        <v>1</v>
      </c>
      <c r="HM97" s="373">
        <v>2</v>
      </c>
      <c r="HN97" s="870"/>
      <c r="HO97" s="373"/>
      <c r="HP97" s="373"/>
      <c r="HQ97" s="373">
        <v>1</v>
      </c>
      <c r="HR97" s="618"/>
      <c r="HS97" s="374">
        <v>1</v>
      </c>
      <c r="HT97" s="869">
        <v>99</v>
      </c>
      <c r="HU97" s="373">
        <v>96</v>
      </c>
      <c r="HV97" s="373">
        <v>111</v>
      </c>
      <c r="HW97" s="870">
        <v>75</v>
      </c>
      <c r="HX97" s="373">
        <v>65</v>
      </c>
      <c r="HY97" s="373">
        <v>47</v>
      </c>
      <c r="HZ97" s="373">
        <v>87</v>
      </c>
      <c r="IA97" s="618">
        <v>61</v>
      </c>
      <c r="IB97" s="374">
        <v>61</v>
      </c>
      <c r="IC97" s="869">
        <v>434</v>
      </c>
      <c r="ID97" s="373">
        <v>421</v>
      </c>
      <c r="IE97" s="373">
        <v>444</v>
      </c>
      <c r="IF97" s="870">
        <v>260</v>
      </c>
      <c r="IG97" s="373">
        <v>302</v>
      </c>
      <c r="IH97" s="373">
        <v>210</v>
      </c>
      <c r="II97" s="373">
        <v>263</v>
      </c>
      <c r="IJ97" s="618">
        <v>189</v>
      </c>
      <c r="IK97" s="374">
        <v>155</v>
      </c>
      <c r="IL97" s="377">
        <v>24</v>
      </c>
      <c r="IM97" s="373">
        <v>28</v>
      </c>
      <c r="IN97" s="373">
        <v>54</v>
      </c>
      <c r="IO97" s="871">
        <v>7</v>
      </c>
      <c r="IP97" s="871">
        <v>8</v>
      </c>
      <c r="IQ97" s="373">
        <v>12</v>
      </c>
      <c r="IR97" s="373">
        <v>3</v>
      </c>
      <c r="IS97" s="618">
        <v>2</v>
      </c>
      <c r="IT97" s="374">
        <v>5</v>
      </c>
    </row>
    <row r="98" spans="1:254" s="245" customFormat="1" ht="12.75" customHeight="1" x14ac:dyDescent="0.2">
      <c r="A98" s="1052"/>
      <c r="B98" s="868" t="s">
        <v>950</v>
      </c>
      <c r="C98" s="869">
        <v>1</v>
      </c>
      <c r="D98" s="373"/>
      <c r="E98" s="373"/>
      <c r="F98" s="870"/>
      <c r="G98" s="373"/>
      <c r="H98" s="373"/>
      <c r="I98" s="373"/>
      <c r="J98" s="618"/>
      <c r="K98" s="374">
        <v>1</v>
      </c>
      <c r="L98" s="869">
        <v>1</v>
      </c>
      <c r="M98" s="373"/>
      <c r="N98" s="373"/>
      <c r="O98" s="870"/>
      <c r="P98" s="373"/>
      <c r="Q98" s="373"/>
      <c r="R98" s="373"/>
      <c r="S98" s="618"/>
      <c r="T98" s="374">
        <v>0</v>
      </c>
      <c r="U98" s="869"/>
      <c r="V98" s="373"/>
      <c r="W98" s="373"/>
      <c r="X98" s="870"/>
      <c r="Y98" s="373"/>
      <c r="Z98" s="373"/>
      <c r="AA98" s="373"/>
      <c r="AB98" s="618"/>
      <c r="AC98" s="374">
        <v>1</v>
      </c>
      <c r="AD98" s="869">
        <v>23</v>
      </c>
      <c r="AE98" s="373">
        <v>10</v>
      </c>
      <c r="AF98" s="373">
        <v>14</v>
      </c>
      <c r="AG98" s="870">
        <v>22</v>
      </c>
      <c r="AH98" s="373">
        <v>10</v>
      </c>
      <c r="AI98" s="373">
        <v>15</v>
      </c>
      <c r="AJ98" s="373">
        <v>25</v>
      </c>
      <c r="AK98" s="618">
        <v>17</v>
      </c>
      <c r="AL98" s="374">
        <v>4</v>
      </c>
      <c r="AM98" s="869">
        <v>9</v>
      </c>
      <c r="AN98" s="373">
        <v>6</v>
      </c>
      <c r="AO98" s="373">
        <v>4</v>
      </c>
      <c r="AP98" s="870">
        <v>6</v>
      </c>
      <c r="AQ98" s="373">
        <v>6</v>
      </c>
      <c r="AR98" s="373">
        <v>7</v>
      </c>
      <c r="AS98" s="373">
        <v>4</v>
      </c>
      <c r="AT98" s="618">
        <v>2</v>
      </c>
      <c r="AU98" s="374">
        <v>0</v>
      </c>
      <c r="AV98" s="869">
        <v>1</v>
      </c>
      <c r="AW98" s="373"/>
      <c r="AX98" s="373"/>
      <c r="AY98" s="870"/>
      <c r="AZ98" s="373"/>
      <c r="BA98" s="373"/>
      <c r="BB98" s="373"/>
      <c r="BC98" s="618"/>
      <c r="BD98" s="374">
        <v>0</v>
      </c>
      <c r="BE98" s="869">
        <v>2</v>
      </c>
      <c r="BF98" s="373"/>
      <c r="BG98" s="373">
        <v>1</v>
      </c>
      <c r="BH98" s="870">
        <v>6</v>
      </c>
      <c r="BI98" s="373">
        <v>4</v>
      </c>
      <c r="BJ98" s="373">
        <v>3</v>
      </c>
      <c r="BK98" s="373">
        <v>4</v>
      </c>
      <c r="BL98" s="618"/>
      <c r="BM98" s="374">
        <v>3</v>
      </c>
      <c r="BN98" s="869"/>
      <c r="BO98" s="373"/>
      <c r="BP98" s="373"/>
      <c r="BQ98" s="870"/>
      <c r="BR98" s="373"/>
      <c r="BS98" s="373"/>
      <c r="BT98" s="373"/>
      <c r="BU98" s="618"/>
      <c r="BV98" s="374">
        <v>0</v>
      </c>
      <c r="BW98" s="869">
        <v>41</v>
      </c>
      <c r="BX98" s="373">
        <v>32</v>
      </c>
      <c r="BY98" s="373">
        <v>29</v>
      </c>
      <c r="BZ98" s="870">
        <v>42</v>
      </c>
      <c r="CA98" s="373">
        <v>18</v>
      </c>
      <c r="CB98" s="373">
        <v>25</v>
      </c>
      <c r="CC98" s="373">
        <v>23</v>
      </c>
      <c r="CD98" s="618">
        <v>9</v>
      </c>
      <c r="CE98" s="374">
        <v>12</v>
      </c>
      <c r="CF98" s="869"/>
      <c r="CG98" s="373"/>
      <c r="CH98" s="373">
        <v>2</v>
      </c>
      <c r="CI98" s="870"/>
      <c r="CJ98" s="373"/>
      <c r="CK98" s="373">
        <v>1</v>
      </c>
      <c r="CL98" s="373"/>
      <c r="CM98" s="618"/>
      <c r="CN98" s="374">
        <v>0</v>
      </c>
      <c r="CO98" s="869">
        <v>2</v>
      </c>
      <c r="CP98" s="373">
        <v>2</v>
      </c>
      <c r="CQ98" s="373"/>
      <c r="CR98" s="870">
        <v>3</v>
      </c>
      <c r="CS98" s="373"/>
      <c r="CT98" s="373"/>
      <c r="CU98" s="373">
        <v>1</v>
      </c>
      <c r="CV98" s="618">
        <v>3</v>
      </c>
      <c r="CW98" s="374">
        <v>3</v>
      </c>
      <c r="CX98" s="869">
        <v>178</v>
      </c>
      <c r="CY98" s="373">
        <v>167</v>
      </c>
      <c r="CZ98" s="373">
        <v>106</v>
      </c>
      <c r="DA98" s="870">
        <v>103</v>
      </c>
      <c r="DB98" s="373">
        <v>123</v>
      </c>
      <c r="DC98" s="373">
        <v>137</v>
      </c>
      <c r="DD98" s="373">
        <v>57</v>
      </c>
      <c r="DE98" s="618">
        <v>61</v>
      </c>
      <c r="DF98" s="374">
        <v>30</v>
      </c>
      <c r="DG98" s="869"/>
      <c r="DH98" s="373"/>
      <c r="DI98" s="373"/>
      <c r="DJ98" s="870"/>
      <c r="DK98" s="373">
        <v>1</v>
      </c>
      <c r="DL98" s="373">
        <v>2</v>
      </c>
      <c r="DM98" s="373">
        <v>1</v>
      </c>
      <c r="DN98" s="618"/>
      <c r="DO98" s="374">
        <v>0</v>
      </c>
      <c r="DP98" s="869">
        <v>10</v>
      </c>
      <c r="DQ98" s="373">
        <v>11</v>
      </c>
      <c r="DR98" s="373"/>
      <c r="DS98" s="870">
        <v>3</v>
      </c>
      <c r="DT98" s="373"/>
      <c r="DU98" s="373"/>
      <c r="DV98" s="373">
        <v>1</v>
      </c>
      <c r="DW98" s="618"/>
      <c r="DX98" s="374">
        <v>0</v>
      </c>
      <c r="DY98" s="869">
        <v>17</v>
      </c>
      <c r="DZ98" s="373">
        <v>7</v>
      </c>
      <c r="EA98" s="373">
        <v>9</v>
      </c>
      <c r="EB98" s="870">
        <v>6</v>
      </c>
      <c r="EC98" s="373">
        <v>23</v>
      </c>
      <c r="ED98" s="373">
        <v>15</v>
      </c>
      <c r="EE98" s="373">
        <v>10</v>
      </c>
      <c r="EF98" s="618">
        <v>13</v>
      </c>
      <c r="EG98" s="374">
        <v>3</v>
      </c>
      <c r="EH98" s="869">
        <v>1</v>
      </c>
      <c r="EI98" s="373">
        <v>2</v>
      </c>
      <c r="EJ98" s="373">
        <v>1</v>
      </c>
      <c r="EK98" s="870">
        <v>4</v>
      </c>
      <c r="EL98" s="373">
        <v>1</v>
      </c>
      <c r="EM98" s="373">
        <v>1</v>
      </c>
      <c r="EN98" s="373"/>
      <c r="EO98" s="618"/>
      <c r="EP98" s="374">
        <v>0</v>
      </c>
      <c r="EQ98" s="869"/>
      <c r="ER98" s="373"/>
      <c r="ES98" s="373"/>
      <c r="ET98" s="870"/>
      <c r="EU98" s="373">
        <v>1</v>
      </c>
      <c r="EV98" s="373"/>
      <c r="EW98" s="373"/>
      <c r="EX98" s="618"/>
      <c r="EY98" s="374">
        <v>1</v>
      </c>
      <c r="EZ98" s="869"/>
      <c r="FA98" s="373">
        <v>1</v>
      </c>
      <c r="FB98" s="373"/>
      <c r="FC98" s="870"/>
      <c r="FD98" s="373"/>
      <c r="FE98" s="373"/>
      <c r="FF98" s="373"/>
      <c r="FG98" s="618">
        <v>1</v>
      </c>
      <c r="FH98" s="374">
        <v>0</v>
      </c>
      <c r="FI98" s="869">
        <v>17</v>
      </c>
      <c r="FJ98" s="373">
        <v>29</v>
      </c>
      <c r="FK98" s="373">
        <v>14</v>
      </c>
      <c r="FL98" s="870">
        <v>13</v>
      </c>
      <c r="FM98" s="373">
        <v>8</v>
      </c>
      <c r="FN98" s="373">
        <v>9</v>
      </c>
      <c r="FO98" s="373">
        <v>6</v>
      </c>
      <c r="FP98" s="618">
        <v>4</v>
      </c>
      <c r="FQ98" s="374">
        <v>4</v>
      </c>
      <c r="FR98" s="869">
        <v>2</v>
      </c>
      <c r="FS98" s="373">
        <v>2</v>
      </c>
      <c r="FT98" s="373">
        <v>1</v>
      </c>
      <c r="FU98" s="870">
        <v>1</v>
      </c>
      <c r="FV98" s="373"/>
      <c r="FW98" s="373">
        <v>3</v>
      </c>
      <c r="FX98" s="373"/>
      <c r="FY98" s="618"/>
      <c r="FZ98" s="374">
        <v>0</v>
      </c>
      <c r="GA98" s="869">
        <v>4</v>
      </c>
      <c r="GB98" s="373">
        <v>2</v>
      </c>
      <c r="GC98" s="373">
        <v>3</v>
      </c>
      <c r="GD98" s="870"/>
      <c r="GE98" s="373">
        <v>2</v>
      </c>
      <c r="GF98" s="373">
        <v>1</v>
      </c>
      <c r="GG98" s="373">
        <v>2</v>
      </c>
      <c r="GH98" s="618"/>
      <c r="GI98" s="374">
        <v>0</v>
      </c>
      <c r="GJ98" s="869">
        <v>271</v>
      </c>
      <c r="GK98" s="373">
        <v>247</v>
      </c>
      <c r="GL98" s="373">
        <v>171</v>
      </c>
      <c r="GM98" s="870">
        <v>194</v>
      </c>
      <c r="GN98" s="373">
        <v>167</v>
      </c>
      <c r="GO98" s="373">
        <v>195</v>
      </c>
      <c r="GP98" s="373">
        <v>118</v>
      </c>
      <c r="GQ98" s="618">
        <v>95</v>
      </c>
      <c r="GR98" s="374">
        <v>58</v>
      </c>
      <c r="GS98" s="869">
        <v>79</v>
      </c>
      <c r="GT98" s="373">
        <v>67</v>
      </c>
      <c r="GU98" s="373">
        <v>51</v>
      </c>
      <c r="GV98" s="870">
        <v>67</v>
      </c>
      <c r="GW98" s="373">
        <v>22</v>
      </c>
      <c r="GX98" s="373">
        <v>54</v>
      </c>
      <c r="GY98" s="373">
        <v>29</v>
      </c>
      <c r="GZ98" s="618">
        <v>11</v>
      </c>
      <c r="HA98" s="374">
        <v>26</v>
      </c>
      <c r="HB98" s="869"/>
      <c r="HC98" s="373">
        <v>2</v>
      </c>
      <c r="HD98" s="373">
        <v>1</v>
      </c>
      <c r="HE98" s="870"/>
      <c r="HF98" s="373"/>
      <c r="HG98" s="373">
        <v>1</v>
      </c>
      <c r="HH98" s="373"/>
      <c r="HI98" s="618"/>
      <c r="HJ98" s="374">
        <v>1</v>
      </c>
      <c r="HK98" s="869"/>
      <c r="HL98" s="373"/>
      <c r="HM98" s="373"/>
      <c r="HN98" s="870"/>
      <c r="HO98" s="373"/>
      <c r="HP98" s="373"/>
      <c r="HQ98" s="373"/>
      <c r="HR98" s="618"/>
      <c r="HS98" s="374">
        <v>0</v>
      </c>
      <c r="HT98" s="869">
        <v>105</v>
      </c>
      <c r="HU98" s="373">
        <v>86</v>
      </c>
      <c r="HV98" s="373">
        <v>80</v>
      </c>
      <c r="HW98" s="870">
        <v>93</v>
      </c>
      <c r="HX98" s="373">
        <v>49</v>
      </c>
      <c r="HY98" s="373">
        <v>92</v>
      </c>
      <c r="HZ98" s="373">
        <v>53</v>
      </c>
      <c r="IA98" s="618">
        <v>39</v>
      </c>
      <c r="IB98" s="374">
        <v>57</v>
      </c>
      <c r="IC98" s="869">
        <v>412</v>
      </c>
      <c r="ID98" s="373">
        <v>393</v>
      </c>
      <c r="IE98" s="373">
        <v>383</v>
      </c>
      <c r="IF98" s="870">
        <v>338</v>
      </c>
      <c r="IG98" s="373">
        <v>283</v>
      </c>
      <c r="IH98" s="373">
        <v>300</v>
      </c>
      <c r="II98" s="373">
        <v>206</v>
      </c>
      <c r="IJ98" s="618">
        <v>179</v>
      </c>
      <c r="IK98" s="374">
        <v>183</v>
      </c>
      <c r="IL98" s="377">
        <v>55</v>
      </c>
      <c r="IM98" s="373">
        <v>40</v>
      </c>
      <c r="IN98" s="373">
        <v>35</v>
      </c>
      <c r="IO98" s="871">
        <v>18</v>
      </c>
      <c r="IP98" s="871">
        <v>14</v>
      </c>
      <c r="IQ98" s="373">
        <v>20</v>
      </c>
      <c r="IR98" s="373">
        <v>16</v>
      </c>
      <c r="IS98" s="618">
        <v>18</v>
      </c>
      <c r="IT98" s="374">
        <v>5</v>
      </c>
    </row>
    <row r="99" spans="1:254" s="245" customFormat="1" ht="12.75" customHeight="1" x14ac:dyDescent="0.2">
      <c r="A99" s="1052"/>
      <c r="B99" s="868" t="s">
        <v>951</v>
      </c>
      <c r="C99" s="869"/>
      <c r="D99" s="373"/>
      <c r="E99" s="373"/>
      <c r="F99" s="870"/>
      <c r="G99" s="373"/>
      <c r="H99" s="373"/>
      <c r="I99" s="373"/>
      <c r="J99" s="618"/>
      <c r="K99" s="374">
        <v>0</v>
      </c>
      <c r="L99" s="869"/>
      <c r="M99" s="373"/>
      <c r="N99" s="373"/>
      <c r="O99" s="870"/>
      <c r="P99" s="373"/>
      <c r="Q99" s="373"/>
      <c r="R99" s="373"/>
      <c r="S99" s="618"/>
      <c r="T99" s="374">
        <v>0</v>
      </c>
      <c r="U99" s="869"/>
      <c r="V99" s="373"/>
      <c r="W99" s="373"/>
      <c r="X99" s="870"/>
      <c r="Y99" s="373"/>
      <c r="Z99" s="373"/>
      <c r="AA99" s="373"/>
      <c r="AB99" s="618"/>
      <c r="AC99" s="374">
        <v>0</v>
      </c>
      <c r="AD99" s="869">
        <v>1</v>
      </c>
      <c r="AE99" s="373"/>
      <c r="AF99" s="373"/>
      <c r="AG99" s="870">
        <v>1</v>
      </c>
      <c r="AH99" s="373"/>
      <c r="AI99" s="373">
        <v>1</v>
      </c>
      <c r="AJ99" s="373"/>
      <c r="AK99" s="618"/>
      <c r="AL99" s="374">
        <v>0</v>
      </c>
      <c r="AM99" s="869">
        <v>1</v>
      </c>
      <c r="AN99" s="373"/>
      <c r="AO99" s="373"/>
      <c r="AP99" s="870"/>
      <c r="AQ99" s="373"/>
      <c r="AR99" s="373">
        <v>1</v>
      </c>
      <c r="AS99" s="373"/>
      <c r="AT99" s="618"/>
      <c r="AU99" s="374">
        <v>0</v>
      </c>
      <c r="AV99" s="869"/>
      <c r="AW99" s="373"/>
      <c r="AX99" s="373"/>
      <c r="AY99" s="870"/>
      <c r="AZ99" s="373"/>
      <c r="BA99" s="373"/>
      <c r="BB99" s="373"/>
      <c r="BC99" s="618"/>
      <c r="BD99" s="374">
        <v>0</v>
      </c>
      <c r="BE99" s="869"/>
      <c r="BF99" s="373"/>
      <c r="BG99" s="373"/>
      <c r="BH99" s="870"/>
      <c r="BI99" s="373"/>
      <c r="BJ99" s="373"/>
      <c r="BK99" s="373"/>
      <c r="BL99" s="618"/>
      <c r="BM99" s="374">
        <v>0</v>
      </c>
      <c r="BN99" s="869"/>
      <c r="BO99" s="373"/>
      <c r="BP99" s="373"/>
      <c r="BQ99" s="870"/>
      <c r="BR99" s="373"/>
      <c r="BS99" s="373"/>
      <c r="BT99" s="373"/>
      <c r="BU99" s="618"/>
      <c r="BV99" s="374">
        <v>0</v>
      </c>
      <c r="BW99" s="869"/>
      <c r="BX99" s="373"/>
      <c r="BY99" s="373"/>
      <c r="BZ99" s="870">
        <v>2</v>
      </c>
      <c r="CA99" s="373"/>
      <c r="CB99" s="373"/>
      <c r="CC99" s="373"/>
      <c r="CD99" s="618"/>
      <c r="CE99" s="374">
        <v>0</v>
      </c>
      <c r="CF99" s="869"/>
      <c r="CG99" s="373"/>
      <c r="CH99" s="373"/>
      <c r="CI99" s="870"/>
      <c r="CJ99" s="373"/>
      <c r="CK99" s="373"/>
      <c r="CL99" s="373"/>
      <c r="CM99" s="618"/>
      <c r="CN99" s="374">
        <v>0</v>
      </c>
      <c r="CO99" s="869"/>
      <c r="CP99" s="373"/>
      <c r="CQ99" s="373"/>
      <c r="CR99" s="870"/>
      <c r="CS99" s="373"/>
      <c r="CT99" s="373"/>
      <c r="CU99" s="373"/>
      <c r="CV99" s="618"/>
      <c r="CW99" s="374">
        <v>0</v>
      </c>
      <c r="CX99" s="869">
        <v>1</v>
      </c>
      <c r="CY99" s="373">
        <v>3</v>
      </c>
      <c r="CZ99" s="373"/>
      <c r="DA99" s="870">
        <v>2</v>
      </c>
      <c r="DB99" s="373">
        <v>1</v>
      </c>
      <c r="DC99" s="373">
        <v>2</v>
      </c>
      <c r="DD99" s="373"/>
      <c r="DE99" s="618"/>
      <c r="DF99" s="374">
        <v>0</v>
      </c>
      <c r="DG99" s="869"/>
      <c r="DH99" s="373"/>
      <c r="DI99" s="373"/>
      <c r="DJ99" s="870"/>
      <c r="DK99" s="373"/>
      <c r="DL99" s="373"/>
      <c r="DM99" s="373"/>
      <c r="DN99" s="618"/>
      <c r="DO99" s="374">
        <v>0</v>
      </c>
      <c r="DP99" s="869"/>
      <c r="DQ99" s="373"/>
      <c r="DR99" s="373"/>
      <c r="DS99" s="870"/>
      <c r="DT99" s="373"/>
      <c r="DU99" s="373">
        <v>1</v>
      </c>
      <c r="DV99" s="373"/>
      <c r="DW99" s="618"/>
      <c r="DX99" s="374">
        <v>0</v>
      </c>
      <c r="DY99" s="869"/>
      <c r="DZ99" s="373"/>
      <c r="EA99" s="373"/>
      <c r="EB99" s="870"/>
      <c r="EC99" s="373">
        <v>1</v>
      </c>
      <c r="ED99" s="373"/>
      <c r="EE99" s="373"/>
      <c r="EF99" s="618"/>
      <c r="EG99" s="374">
        <v>0</v>
      </c>
      <c r="EH99" s="869"/>
      <c r="EI99" s="373"/>
      <c r="EJ99" s="373"/>
      <c r="EK99" s="870"/>
      <c r="EL99" s="373"/>
      <c r="EM99" s="373"/>
      <c r="EN99" s="373"/>
      <c r="EO99" s="618"/>
      <c r="EP99" s="374">
        <v>0</v>
      </c>
      <c r="EQ99" s="869"/>
      <c r="ER99" s="373"/>
      <c r="ES99" s="373"/>
      <c r="ET99" s="870"/>
      <c r="EU99" s="373"/>
      <c r="EV99" s="373"/>
      <c r="EW99" s="373"/>
      <c r="EX99" s="618"/>
      <c r="EY99" s="374">
        <v>0</v>
      </c>
      <c r="EZ99" s="869"/>
      <c r="FA99" s="373"/>
      <c r="FB99" s="373"/>
      <c r="FC99" s="870"/>
      <c r="FD99" s="373"/>
      <c r="FE99" s="373"/>
      <c r="FF99" s="373"/>
      <c r="FG99" s="618"/>
      <c r="FH99" s="374">
        <v>0</v>
      </c>
      <c r="FI99" s="869">
        <v>2</v>
      </c>
      <c r="FJ99" s="373"/>
      <c r="FK99" s="373"/>
      <c r="FL99" s="870"/>
      <c r="FM99" s="373"/>
      <c r="FN99" s="373"/>
      <c r="FO99" s="373"/>
      <c r="FP99" s="618"/>
      <c r="FQ99" s="374">
        <v>0</v>
      </c>
      <c r="FR99" s="869"/>
      <c r="FS99" s="373"/>
      <c r="FT99" s="373"/>
      <c r="FU99" s="870"/>
      <c r="FV99" s="373"/>
      <c r="FW99" s="373"/>
      <c r="FX99" s="373"/>
      <c r="FY99" s="618"/>
      <c r="FZ99" s="374">
        <v>0</v>
      </c>
      <c r="GA99" s="869"/>
      <c r="GB99" s="373"/>
      <c r="GC99" s="373"/>
      <c r="GD99" s="870"/>
      <c r="GE99" s="373"/>
      <c r="GF99" s="373"/>
      <c r="GG99" s="373"/>
      <c r="GH99" s="618"/>
      <c r="GI99" s="374">
        <v>0</v>
      </c>
      <c r="GJ99" s="869">
        <v>4</v>
      </c>
      <c r="GK99" s="373">
        <v>3</v>
      </c>
      <c r="GL99" s="373"/>
      <c r="GM99" s="870">
        <v>5</v>
      </c>
      <c r="GN99" s="373">
        <v>1</v>
      </c>
      <c r="GO99" s="373">
        <v>3</v>
      </c>
      <c r="GP99" s="373"/>
      <c r="GQ99" s="618"/>
      <c r="GR99" s="374">
        <v>0</v>
      </c>
      <c r="GS99" s="869">
        <v>1</v>
      </c>
      <c r="GT99" s="373"/>
      <c r="GU99" s="373"/>
      <c r="GV99" s="870"/>
      <c r="GW99" s="373"/>
      <c r="GX99" s="373">
        <v>1</v>
      </c>
      <c r="GY99" s="373"/>
      <c r="GZ99" s="618"/>
      <c r="HA99" s="374">
        <v>0</v>
      </c>
      <c r="HB99" s="869"/>
      <c r="HC99" s="373"/>
      <c r="HD99" s="373"/>
      <c r="HE99" s="870"/>
      <c r="HF99" s="373"/>
      <c r="HG99" s="373"/>
      <c r="HH99" s="373"/>
      <c r="HI99" s="618"/>
      <c r="HJ99" s="374">
        <v>0</v>
      </c>
      <c r="HK99" s="869"/>
      <c r="HL99" s="373"/>
      <c r="HM99" s="373"/>
      <c r="HN99" s="870"/>
      <c r="HO99" s="373"/>
      <c r="HP99" s="373"/>
      <c r="HQ99" s="373"/>
      <c r="HR99" s="618"/>
      <c r="HS99" s="374">
        <v>0</v>
      </c>
      <c r="HT99" s="869">
        <v>1</v>
      </c>
      <c r="HU99" s="373"/>
      <c r="HV99" s="373"/>
      <c r="HW99" s="870"/>
      <c r="HX99" s="373"/>
      <c r="HY99" s="373">
        <v>1</v>
      </c>
      <c r="HZ99" s="373">
        <v>1</v>
      </c>
      <c r="IA99" s="618"/>
      <c r="IB99" s="374">
        <v>0</v>
      </c>
      <c r="IC99" s="869">
        <v>4</v>
      </c>
      <c r="ID99" s="373">
        <v>6</v>
      </c>
      <c r="IE99" s="373"/>
      <c r="IF99" s="870">
        <v>7</v>
      </c>
      <c r="IG99" s="373">
        <v>1</v>
      </c>
      <c r="IH99" s="373">
        <v>4</v>
      </c>
      <c r="II99" s="373">
        <v>3</v>
      </c>
      <c r="IJ99" s="618"/>
      <c r="IK99" s="374">
        <v>0</v>
      </c>
      <c r="IL99" s="377">
        <v>1</v>
      </c>
      <c r="IM99" s="373">
        <v>2</v>
      </c>
      <c r="IN99" s="373"/>
      <c r="IO99" s="871">
        <v>1</v>
      </c>
      <c r="IP99" s="871">
        <v>1</v>
      </c>
      <c r="IQ99" s="373"/>
      <c r="IR99" s="373"/>
      <c r="IS99" s="618"/>
      <c r="IT99" s="374">
        <v>0</v>
      </c>
    </row>
    <row r="100" spans="1:254" s="245" customFormat="1" ht="12.75" customHeight="1" x14ac:dyDescent="0.2">
      <c r="A100" s="1052"/>
      <c r="B100" s="868" t="s">
        <v>952</v>
      </c>
      <c r="C100" s="869"/>
      <c r="D100" s="373"/>
      <c r="E100" s="373"/>
      <c r="F100" s="870"/>
      <c r="G100" s="373"/>
      <c r="H100" s="373"/>
      <c r="I100" s="373"/>
      <c r="J100" s="618"/>
      <c r="K100" s="374">
        <v>0</v>
      </c>
      <c r="L100" s="869"/>
      <c r="M100" s="373"/>
      <c r="N100" s="373"/>
      <c r="O100" s="870"/>
      <c r="P100" s="373"/>
      <c r="Q100" s="373"/>
      <c r="R100" s="373"/>
      <c r="S100" s="618"/>
      <c r="T100" s="374">
        <v>0</v>
      </c>
      <c r="U100" s="869"/>
      <c r="V100" s="373"/>
      <c r="W100" s="373"/>
      <c r="X100" s="870"/>
      <c r="Y100" s="373"/>
      <c r="Z100" s="373"/>
      <c r="AA100" s="373"/>
      <c r="AB100" s="618"/>
      <c r="AC100" s="374">
        <v>0</v>
      </c>
      <c r="AD100" s="869"/>
      <c r="AE100" s="373"/>
      <c r="AF100" s="373"/>
      <c r="AG100" s="870"/>
      <c r="AH100" s="373"/>
      <c r="AI100" s="373"/>
      <c r="AJ100" s="373"/>
      <c r="AK100" s="618">
        <v>1</v>
      </c>
      <c r="AL100" s="374">
        <v>0</v>
      </c>
      <c r="AM100" s="869"/>
      <c r="AN100" s="373"/>
      <c r="AO100" s="373"/>
      <c r="AP100" s="870"/>
      <c r="AQ100" s="373"/>
      <c r="AR100" s="373"/>
      <c r="AS100" s="373"/>
      <c r="AT100" s="618"/>
      <c r="AU100" s="374">
        <v>0</v>
      </c>
      <c r="AV100" s="869"/>
      <c r="AW100" s="373"/>
      <c r="AX100" s="373"/>
      <c r="AY100" s="870"/>
      <c r="AZ100" s="373"/>
      <c r="BA100" s="373"/>
      <c r="BB100" s="373"/>
      <c r="BC100" s="618"/>
      <c r="BD100" s="374">
        <v>0</v>
      </c>
      <c r="BE100" s="869"/>
      <c r="BF100" s="373"/>
      <c r="BG100" s="373"/>
      <c r="BH100" s="870"/>
      <c r="BI100" s="373"/>
      <c r="BJ100" s="373"/>
      <c r="BK100" s="373"/>
      <c r="BL100" s="618"/>
      <c r="BM100" s="374">
        <v>0</v>
      </c>
      <c r="BN100" s="869"/>
      <c r="BO100" s="373"/>
      <c r="BP100" s="373"/>
      <c r="BQ100" s="870"/>
      <c r="BR100" s="373"/>
      <c r="BS100" s="373"/>
      <c r="BT100" s="373"/>
      <c r="BU100" s="618"/>
      <c r="BV100" s="374">
        <v>0</v>
      </c>
      <c r="BW100" s="869"/>
      <c r="BX100" s="373"/>
      <c r="BY100" s="373"/>
      <c r="BZ100" s="870"/>
      <c r="CA100" s="373"/>
      <c r="CB100" s="373"/>
      <c r="CC100" s="373"/>
      <c r="CD100" s="618"/>
      <c r="CE100" s="374">
        <v>0</v>
      </c>
      <c r="CF100" s="869"/>
      <c r="CG100" s="373"/>
      <c r="CH100" s="373"/>
      <c r="CI100" s="870"/>
      <c r="CJ100" s="373"/>
      <c r="CK100" s="373"/>
      <c r="CL100" s="373"/>
      <c r="CM100" s="618"/>
      <c r="CN100" s="374">
        <v>0</v>
      </c>
      <c r="CO100" s="869"/>
      <c r="CP100" s="373"/>
      <c r="CQ100" s="373"/>
      <c r="CR100" s="870"/>
      <c r="CS100" s="373"/>
      <c r="CT100" s="373"/>
      <c r="CU100" s="373"/>
      <c r="CV100" s="618"/>
      <c r="CW100" s="374">
        <v>0</v>
      </c>
      <c r="CX100" s="869"/>
      <c r="CY100" s="373"/>
      <c r="CZ100" s="373">
        <v>1</v>
      </c>
      <c r="DA100" s="870"/>
      <c r="DB100" s="373">
        <v>1</v>
      </c>
      <c r="DC100" s="373"/>
      <c r="DD100" s="373">
        <v>1</v>
      </c>
      <c r="DE100" s="618"/>
      <c r="DF100" s="374">
        <v>0</v>
      </c>
      <c r="DG100" s="869"/>
      <c r="DH100" s="373"/>
      <c r="DI100" s="373"/>
      <c r="DJ100" s="870"/>
      <c r="DK100" s="373"/>
      <c r="DL100" s="373"/>
      <c r="DM100" s="373"/>
      <c r="DN100" s="618"/>
      <c r="DO100" s="374">
        <v>0</v>
      </c>
      <c r="DP100" s="869"/>
      <c r="DQ100" s="373"/>
      <c r="DR100" s="373"/>
      <c r="DS100" s="870"/>
      <c r="DT100" s="373"/>
      <c r="DU100" s="373"/>
      <c r="DV100" s="373"/>
      <c r="DW100" s="618"/>
      <c r="DX100" s="374">
        <v>0</v>
      </c>
      <c r="DY100" s="869"/>
      <c r="DZ100" s="373"/>
      <c r="EA100" s="373"/>
      <c r="EB100" s="870"/>
      <c r="EC100" s="373"/>
      <c r="ED100" s="373"/>
      <c r="EE100" s="373"/>
      <c r="EF100" s="618"/>
      <c r="EG100" s="374">
        <v>0</v>
      </c>
      <c r="EH100" s="869"/>
      <c r="EI100" s="373"/>
      <c r="EJ100" s="373"/>
      <c r="EK100" s="870"/>
      <c r="EL100" s="373"/>
      <c r="EM100" s="373"/>
      <c r="EN100" s="373"/>
      <c r="EO100" s="618"/>
      <c r="EP100" s="374">
        <v>0</v>
      </c>
      <c r="EQ100" s="869"/>
      <c r="ER100" s="373"/>
      <c r="ES100" s="373"/>
      <c r="ET100" s="870"/>
      <c r="EU100" s="373"/>
      <c r="EV100" s="373"/>
      <c r="EW100" s="373"/>
      <c r="EX100" s="618"/>
      <c r="EY100" s="374">
        <v>0</v>
      </c>
      <c r="EZ100" s="869"/>
      <c r="FA100" s="373"/>
      <c r="FB100" s="373"/>
      <c r="FC100" s="870"/>
      <c r="FD100" s="373"/>
      <c r="FE100" s="373"/>
      <c r="FF100" s="373"/>
      <c r="FG100" s="618"/>
      <c r="FH100" s="374">
        <v>0</v>
      </c>
      <c r="FI100" s="869"/>
      <c r="FJ100" s="373"/>
      <c r="FK100" s="373">
        <v>1</v>
      </c>
      <c r="FL100" s="870"/>
      <c r="FM100" s="373"/>
      <c r="FN100" s="373"/>
      <c r="FO100" s="373"/>
      <c r="FP100" s="618"/>
      <c r="FQ100" s="374">
        <v>0</v>
      </c>
      <c r="FR100" s="869"/>
      <c r="FS100" s="373"/>
      <c r="FT100" s="373"/>
      <c r="FU100" s="870"/>
      <c r="FV100" s="373"/>
      <c r="FW100" s="373"/>
      <c r="FX100" s="373"/>
      <c r="FY100" s="618"/>
      <c r="FZ100" s="374">
        <v>0</v>
      </c>
      <c r="GA100" s="869"/>
      <c r="GB100" s="373"/>
      <c r="GC100" s="373"/>
      <c r="GD100" s="870"/>
      <c r="GE100" s="373"/>
      <c r="GF100" s="373"/>
      <c r="GG100" s="373"/>
      <c r="GH100" s="618"/>
      <c r="GI100" s="374">
        <v>0</v>
      </c>
      <c r="GJ100" s="869"/>
      <c r="GK100" s="373"/>
      <c r="GL100" s="373">
        <v>2</v>
      </c>
      <c r="GM100" s="870"/>
      <c r="GN100" s="373">
        <v>1</v>
      </c>
      <c r="GO100" s="373"/>
      <c r="GP100" s="373">
        <v>1</v>
      </c>
      <c r="GQ100" s="618">
        <v>1</v>
      </c>
      <c r="GR100" s="374">
        <v>0</v>
      </c>
      <c r="GS100" s="869"/>
      <c r="GT100" s="373"/>
      <c r="GU100" s="373">
        <v>1</v>
      </c>
      <c r="GV100" s="870"/>
      <c r="GW100" s="373">
        <v>1</v>
      </c>
      <c r="GX100" s="373"/>
      <c r="GY100" s="373"/>
      <c r="GZ100" s="618"/>
      <c r="HA100" s="374">
        <v>0</v>
      </c>
      <c r="HB100" s="869"/>
      <c r="HC100" s="373"/>
      <c r="HD100" s="373"/>
      <c r="HE100" s="870"/>
      <c r="HF100" s="373"/>
      <c r="HG100" s="373"/>
      <c r="HH100" s="373"/>
      <c r="HI100" s="618"/>
      <c r="HJ100" s="374">
        <v>0</v>
      </c>
      <c r="HK100" s="869"/>
      <c r="HL100" s="373"/>
      <c r="HM100" s="373"/>
      <c r="HN100" s="870"/>
      <c r="HO100" s="373"/>
      <c r="HP100" s="373"/>
      <c r="HQ100" s="373"/>
      <c r="HR100" s="618"/>
      <c r="HS100" s="374">
        <v>0</v>
      </c>
      <c r="HT100" s="869"/>
      <c r="HU100" s="373"/>
      <c r="HV100" s="373">
        <v>1</v>
      </c>
      <c r="HW100" s="870"/>
      <c r="HX100" s="373">
        <v>1</v>
      </c>
      <c r="HY100" s="373"/>
      <c r="HZ100" s="373"/>
      <c r="IA100" s="618"/>
      <c r="IB100" s="374">
        <v>0</v>
      </c>
      <c r="IC100" s="869">
        <v>2</v>
      </c>
      <c r="ID100" s="373">
        <v>1</v>
      </c>
      <c r="IE100" s="373">
        <v>2</v>
      </c>
      <c r="IF100" s="870"/>
      <c r="IG100" s="373">
        <v>1</v>
      </c>
      <c r="IH100" s="373"/>
      <c r="II100" s="373">
        <v>1</v>
      </c>
      <c r="IJ100" s="618">
        <v>1</v>
      </c>
      <c r="IK100" s="374">
        <v>0</v>
      </c>
      <c r="IL100" s="377"/>
      <c r="IM100" s="373"/>
      <c r="IN100" s="373">
        <v>1</v>
      </c>
      <c r="IO100" s="871"/>
      <c r="IP100" s="871"/>
      <c r="IQ100" s="373"/>
      <c r="IR100" s="373"/>
      <c r="IS100" s="618"/>
      <c r="IT100" s="374">
        <v>0</v>
      </c>
    </row>
    <row r="101" spans="1:254" s="245" customFormat="1" ht="12.75" customHeight="1" x14ac:dyDescent="0.2">
      <c r="A101" s="1052"/>
      <c r="B101" s="868" t="s">
        <v>953</v>
      </c>
      <c r="C101" s="869"/>
      <c r="D101" s="373"/>
      <c r="E101" s="373"/>
      <c r="F101" s="870"/>
      <c r="G101" s="373"/>
      <c r="H101" s="373"/>
      <c r="I101" s="373"/>
      <c r="J101" s="618"/>
      <c r="K101" s="374">
        <v>0</v>
      </c>
      <c r="L101" s="869"/>
      <c r="M101" s="373"/>
      <c r="N101" s="373"/>
      <c r="O101" s="870"/>
      <c r="P101" s="373"/>
      <c r="Q101" s="373"/>
      <c r="R101" s="373"/>
      <c r="S101" s="618"/>
      <c r="T101" s="374">
        <v>0</v>
      </c>
      <c r="U101" s="869"/>
      <c r="V101" s="373"/>
      <c r="W101" s="373"/>
      <c r="X101" s="870"/>
      <c r="Y101" s="373"/>
      <c r="Z101" s="373"/>
      <c r="AA101" s="373"/>
      <c r="AB101" s="618"/>
      <c r="AC101" s="374">
        <v>0</v>
      </c>
      <c r="AD101" s="869"/>
      <c r="AE101" s="373"/>
      <c r="AF101" s="373"/>
      <c r="AG101" s="870"/>
      <c r="AH101" s="373"/>
      <c r="AI101" s="373"/>
      <c r="AJ101" s="373">
        <v>1</v>
      </c>
      <c r="AK101" s="618"/>
      <c r="AL101" s="374">
        <v>0</v>
      </c>
      <c r="AM101" s="869"/>
      <c r="AN101" s="373"/>
      <c r="AO101" s="373"/>
      <c r="AP101" s="870"/>
      <c r="AQ101" s="373"/>
      <c r="AR101" s="373"/>
      <c r="AS101" s="373"/>
      <c r="AT101" s="618"/>
      <c r="AU101" s="374">
        <v>0</v>
      </c>
      <c r="AV101" s="869"/>
      <c r="AW101" s="373"/>
      <c r="AX101" s="373"/>
      <c r="AY101" s="870"/>
      <c r="AZ101" s="373"/>
      <c r="BA101" s="373"/>
      <c r="BB101" s="373"/>
      <c r="BC101" s="618"/>
      <c r="BD101" s="374">
        <v>0</v>
      </c>
      <c r="BE101" s="869"/>
      <c r="BF101" s="373"/>
      <c r="BG101" s="373"/>
      <c r="BH101" s="870"/>
      <c r="BI101" s="373"/>
      <c r="BJ101" s="373"/>
      <c r="BK101" s="373"/>
      <c r="BL101" s="618"/>
      <c r="BM101" s="374">
        <v>0</v>
      </c>
      <c r="BN101" s="869"/>
      <c r="BO101" s="373"/>
      <c r="BP101" s="373"/>
      <c r="BQ101" s="870"/>
      <c r="BR101" s="373"/>
      <c r="BS101" s="373"/>
      <c r="BT101" s="373"/>
      <c r="BU101" s="618"/>
      <c r="BV101" s="374">
        <v>0</v>
      </c>
      <c r="BW101" s="869"/>
      <c r="BX101" s="373"/>
      <c r="BY101" s="373"/>
      <c r="BZ101" s="870"/>
      <c r="CA101" s="373"/>
      <c r="CB101" s="373"/>
      <c r="CC101" s="373"/>
      <c r="CD101" s="618"/>
      <c r="CE101" s="374">
        <v>0</v>
      </c>
      <c r="CF101" s="869"/>
      <c r="CG101" s="373"/>
      <c r="CH101" s="373"/>
      <c r="CI101" s="870"/>
      <c r="CJ101" s="373"/>
      <c r="CK101" s="373"/>
      <c r="CL101" s="373"/>
      <c r="CM101" s="618"/>
      <c r="CN101" s="374">
        <v>0</v>
      </c>
      <c r="CO101" s="869"/>
      <c r="CP101" s="373"/>
      <c r="CQ101" s="373"/>
      <c r="CR101" s="870"/>
      <c r="CS101" s="373"/>
      <c r="CT101" s="373"/>
      <c r="CU101" s="373"/>
      <c r="CV101" s="618"/>
      <c r="CW101" s="374">
        <v>0</v>
      </c>
      <c r="CX101" s="869">
        <v>5</v>
      </c>
      <c r="CY101" s="373">
        <v>4</v>
      </c>
      <c r="CZ101" s="373">
        <v>1</v>
      </c>
      <c r="DA101" s="870">
        <v>1</v>
      </c>
      <c r="DB101" s="373">
        <v>3</v>
      </c>
      <c r="DC101" s="373">
        <v>7</v>
      </c>
      <c r="DD101" s="373"/>
      <c r="DE101" s="618">
        <v>3</v>
      </c>
      <c r="DF101" s="374">
        <v>0</v>
      </c>
      <c r="DG101" s="869"/>
      <c r="DH101" s="373"/>
      <c r="DI101" s="373"/>
      <c r="DJ101" s="870"/>
      <c r="DK101" s="373"/>
      <c r="DL101" s="373"/>
      <c r="DM101" s="373"/>
      <c r="DN101" s="618"/>
      <c r="DO101" s="374">
        <v>0</v>
      </c>
      <c r="DP101" s="869">
        <v>1</v>
      </c>
      <c r="DQ101" s="373"/>
      <c r="DR101" s="373"/>
      <c r="DS101" s="870"/>
      <c r="DT101" s="373"/>
      <c r="DU101" s="373"/>
      <c r="DV101" s="373"/>
      <c r="DW101" s="618"/>
      <c r="DX101" s="374">
        <v>0</v>
      </c>
      <c r="DY101" s="869"/>
      <c r="DZ101" s="373"/>
      <c r="EA101" s="373">
        <v>1</v>
      </c>
      <c r="EB101" s="870"/>
      <c r="EC101" s="373">
        <v>1</v>
      </c>
      <c r="ED101" s="373">
        <v>2</v>
      </c>
      <c r="EE101" s="373"/>
      <c r="EF101" s="618"/>
      <c r="EG101" s="374">
        <v>0</v>
      </c>
      <c r="EH101" s="869"/>
      <c r="EI101" s="373"/>
      <c r="EJ101" s="373"/>
      <c r="EK101" s="870"/>
      <c r="EL101" s="373"/>
      <c r="EM101" s="373"/>
      <c r="EN101" s="373"/>
      <c r="EO101" s="618"/>
      <c r="EP101" s="374">
        <v>0</v>
      </c>
      <c r="EQ101" s="869"/>
      <c r="ER101" s="373"/>
      <c r="ES101" s="373"/>
      <c r="ET101" s="870"/>
      <c r="EU101" s="373"/>
      <c r="EV101" s="373"/>
      <c r="EW101" s="373"/>
      <c r="EX101" s="618"/>
      <c r="EY101" s="374">
        <v>0</v>
      </c>
      <c r="EZ101" s="869"/>
      <c r="FA101" s="373"/>
      <c r="FB101" s="373"/>
      <c r="FC101" s="870"/>
      <c r="FD101" s="373"/>
      <c r="FE101" s="373"/>
      <c r="FF101" s="373"/>
      <c r="FG101" s="618"/>
      <c r="FH101" s="374">
        <v>0</v>
      </c>
      <c r="FI101" s="869">
        <v>1</v>
      </c>
      <c r="FJ101" s="373"/>
      <c r="FK101" s="373"/>
      <c r="FL101" s="870"/>
      <c r="FM101" s="373"/>
      <c r="FN101" s="373"/>
      <c r="FO101" s="373"/>
      <c r="FP101" s="618"/>
      <c r="FQ101" s="374">
        <v>0</v>
      </c>
      <c r="FR101" s="869"/>
      <c r="FS101" s="373"/>
      <c r="FT101" s="373"/>
      <c r="FU101" s="870"/>
      <c r="FV101" s="373"/>
      <c r="FW101" s="373"/>
      <c r="FX101" s="373"/>
      <c r="FY101" s="618"/>
      <c r="FZ101" s="374">
        <v>0</v>
      </c>
      <c r="GA101" s="869"/>
      <c r="GB101" s="373"/>
      <c r="GC101" s="373"/>
      <c r="GD101" s="870"/>
      <c r="GE101" s="373"/>
      <c r="GF101" s="373"/>
      <c r="GG101" s="373"/>
      <c r="GH101" s="618"/>
      <c r="GI101" s="374">
        <v>0</v>
      </c>
      <c r="GJ101" s="869">
        <v>6</v>
      </c>
      <c r="GK101" s="373">
        <v>4</v>
      </c>
      <c r="GL101" s="373">
        <v>1</v>
      </c>
      <c r="GM101" s="870">
        <v>1</v>
      </c>
      <c r="GN101" s="373">
        <v>3</v>
      </c>
      <c r="GO101" s="373">
        <v>7</v>
      </c>
      <c r="GP101" s="373">
        <v>1</v>
      </c>
      <c r="GQ101" s="618">
        <v>3</v>
      </c>
      <c r="GR101" s="374">
        <v>0</v>
      </c>
      <c r="GS101" s="869">
        <v>2</v>
      </c>
      <c r="GT101" s="373">
        <v>2</v>
      </c>
      <c r="GU101" s="373"/>
      <c r="GV101" s="870"/>
      <c r="GW101" s="373"/>
      <c r="GX101" s="373"/>
      <c r="GY101" s="373"/>
      <c r="GZ101" s="618">
        <v>1</v>
      </c>
      <c r="HA101" s="374">
        <v>0</v>
      </c>
      <c r="HB101" s="869"/>
      <c r="HC101" s="373"/>
      <c r="HD101" s="373"/>
      <c r="HE101" s="870"/>
      <c r="HF101" s="373"/>
      <c r="HG101" s="373"/>
      <c r="HH101" s="373"/>
      <c r="HI101" s="618"/>
      <c r="HJ101" s="374">
        <v>0</v>
      </c>
      <c r="HK101" s="869"/>
      <c r="HL101" s="373"/>
      <c r="HM101" s="373"/>
      <c r="HN101" s="870"/>
      <c r="HO101" s="373"/>
      <c r="HP101" s="373"/>
      <c r="HQ101" s="373"/>
      <c r="HR101" s="618"/>
      <c r="HS101" s="374">
        <v>0</v>
      </c>
      <c r="HT101" s="869">
        <v>2</v>
      </c>
      <c r="HU101" s="373">
        <v>6</v>
      </c>
      <c r="HV101" s="373"/>
      <c r="HW101" s="870">
        <v>2</v>
      </c>
      <c r="HX101" s="373"/>
      <c r="HY101" s="373"/>
      <c r="HZ101" s="373"/>
      <c r="IA101" s="618">
        <v>2</v>
      </c>
      <c r="IB101" s="374">
        <v>0</v>
      </c>
      <c r="IC101" s="869">
        <v>8</v>
      </c>
      <c r="ID101" s="373">
        <v>10</v>
      </c>
      <c r="IE101" s="373">
        <v>2</v>
      </c>
      <c r="IF101" s="870">
        <v>6</v>
      </c>
      <c r="IG101" s="373">
        <v>4</v>
      </c>
      <c r="IH101" s="373">
        <v>9</v>
      </c>
      <c r="II101" s="373">
        <v>15</v>
      </c>
      <c r="IJ101" s="618">
        <v>4</v>
      </c>
      <c r="IK101" s="374">
        <v>5</v>
      </c>
      <c r="IL101" s="377">
        <v>2</v>
      </c>
      <c r="IM101" s="373"/>
      <c r="IN101" s="373">
        <v>1</v>
      </c>
      <c r="IO101" s="871"/>
      <c r="IP101" s="871">
        <v>1</v>
      </c>
      <c r="IQ101" s="373">
        <v>4</v>
      </c>
      <c r="IR101" s="373"/>
      <c r="IS101" s="618">
        <v>1</v>
      </c>
      <c r="IT101" s="374">
        <v>0</v>
      </c>
    </row>
    <row r="102" spans="1:254" s="245" customFormat="1" ht="12.75" customHeight="1" x14ac:dyDescent="0.2">
      <c r="A102" s="1052"/>
      <c r="B102" s="868" t="s">
        <v>954</v>
      </c>
      <c r="C102" s="869"/>
      <c r="D102" s="373"/>
      <c r="E102" s="373"/>
      <c r="F102" s="870"/>
      <c r="G102" s="373"/>
      <c r="H102" s="373"/>
      <c r="I102" s="373"/>
      <c r="J102" s="618"/>
      <c r="K102" s="374">
        <v>0</v>
      </c>
      <c r="L102" s="869"/>
      <c r="M102" s="373"/>
      <c r="N102" s="373"/>
      <c r="O102" s="870"/>
      <c r="P102" s="373"/>
      <c r="Q102" s="373"/>
      <c r="R102" s="373"/>
      <c r="S102" s="618"/>
      <c r="T102" s="374">
        <v>0</v>
      </c>
      <c r="U102" s="869"/>
      <c r="V102" s="373"/>
      <c r="W102" s="373"/>
      <c r="X102" s="870"/>
      <c r="Y102" s="373"/>
      <c r="Z102" s="373"/>
      <c r="AA102" s="373"/>
      <c r="AB102" s="618"/>
      <c r="AC102" s="374">
        <v>0</v>
      </c>
      <c r="AD102" s="869"/>
      <c r="AE102" s="373"/>
      <c r="AF102" s="373"/>
      <c r="AG102" s="870"/>
      <c r="AH102" s="373"/>
      <c r="AI102" s="373"/>
      <c r="AJ102" s="373"/>
      <c r="AK102" s="618"/>
      <c r="AL102" s="374">
        <v>0</v>
      </c>
      <c r="AM102" s="869"/>
      <c r="AN102" s="373"/>
      <c r="AO102" s="373"/>
      <c r="AP102" s="870"/>
      <c r="AQ102" s="373"/>
      <c r="AR102" s="373"/>
      <c r="AS102" s="373"/>
      <c r="AT102" s="618"/>
      <c r="AU102" s="374">
        <v>0</v>
      </c>
      <c r="AV102" s="869"/>
      <c r="AW102" s="373"/>
      <c r="AX102" s="373"/>
      <c r="AY102" s="870"/>
      <c r="AZ102" s="373"/>
      <c r="BA102" s="373"/>
      <c r="BB102" s="373"/>
      <c r="BC102" s="618"/>
      <c r="BD102" s="374">
        <v>0</v>
      </c>
      <c r="BE102" s="869"/>
      <c r="BF102" s="373"/>
      <c r="BG102" s="373"/>
      <c r="BH102" s="870"/>
      <c r="BI102" s="373"/>
      <c r="BJ102" s="373"/>
      <c r="BK102" s="373"/>
      <c r="BL102" s="618"/>
      <c r="BM102" s="374">
        <v>0</v>
      </c>
      <c r="BN102" s="869"/>
      <c r="BO102" s="373"/>
      <c r="BP102" s="373"/>
      <c r="BQ102" s="870"/>
      <c r="BR102" s="373"/>
      <c r="BS102" s="373"/>
      <c r="BT102" s="373"/>
      <c r="BU102" s="618"/>
      <c r="BV102" s="374">
        <v>0</v>
      </c>
      <c r="BW102" s="869"/>
      <c r="BX102" s="373"/>
      <c r="BY102" s="373"/>
      <c r="BZ102" s="870"/>
      <c r="CA102" s="373"/>
      <c r="CB102" s="373"/>
      <c r="CC102" s="373"/>
      <c r="CD102" s="618"/>
      <c r="CE102" s="374">
        <v>0</v>
      </c>
      <c r="CF102" s="869"/>
      <c r="CG102" s="373"/>
      <c r="CH102" s="373"/>
      <c r="CI102" s="870"/>
      <c r="CJ102" s="373"/>
      <c r="CK102" s="373"/>
      <c r="CL102" s="373"/>
      <c r="CM102" s="618"/>
      <c r="CN102" s="374">
        <v>0</v>
      </c>
      <c r="CO102" s="869"/>
      <c r="CP102" s="373"/>
      <c r="CQ102" s="373"/>
      <c r="CR102" s="870"/>
      <c r="CS102" s="373"/>
      <c r="CT102" s="373"/>
      <c r="CU102" s="373"/>
      <c r="CV102" s="618"/>
      <c r="CW102" s="374">
        <v>0</v>
      </c>
      <c r="CX102" s="869">
        <v>2</v>
      </c>
      <c r="CY102" s="373">
        <v>4</v>
      </c>
      <c r="CZ102" s="373">
        <v>2</v>
      </c>
      <c r="DA102" s="870">
        <v>8</v>
      </c>
      <c r="DB102" s="373">
        <v>2</v>
      </c>
      <c r="DC102" s="373">
        <v>1</v>
      </c>
      <c r="DD102" s="373"/>
      <c r="DE102" s="618"/>
      <c r="DF102" s="374">
        <v>0</v>
      </c>
      <c r="DG102" s="869"/>
      <c r="DH102" s="373"/>
      <c r="DI102" s="373"/>
      <c r="DJ102" s="870"/>
      <c r="DK102" s="373"/>
      <c r="DL102" s="373"/>
      <c r="DM102" s="373"/>
      <c r="DN102" s="618"/>
      <c r="DO102" s="374">
        <v>0</v>
      </c>
      <c r="DP102" s="869"/>
      <c r="DQ102" s="373"/>
      <c r="DR102" s="373"/>
      <c r="DS102" s="870">
        <v>1</v>
      </c>
      <c r="DT102" s="373"/>
      <c r="DU102" s="373"/>
      <c r="DV102" s="373"/>
      <c r="DW102" s="618"/>
      <c r="DX102" s="374">
        <v>0</v>
      </c>
      <c r="DY102" s="869">
        <v>1</v>
      </c>
      <c r="DZ102" s="373">
        <v>2</v>
      </c>
      <c r="EA102" s="373">
        <v>1</v>
      </c>
      <c r="EB102" s="870">
        <v>6</v>
      </c>
      <c r="EC102" s="373"/>
      <c r="ED102" s="373"/>
      <c r="EE102" s="373"/>
      <c r="EF102" s="618"/>
      <c r="EG102" s="374">
        <v>0</v>
      </c>
      <c r="EH102" s="869"/>
      <c r="EI102" s="373"/>
      <c r="EJ102" s="373"/>
      <c r="EK102" s="870"/>
      <c r="EL102" s="373"/>
      <c r="EM102" s="373"/>
      <c r="EN102" s="373"/>
      <c r="EO102" s="618"/>
      <c r="EP102" s="374">
        <v>0</v>
      </c>
      <c r="EQ102" s="869"/>
      <c r="ER102" s="373"/>
      <c r="ES102" s="373"/>
      <c r="ET102" s="870"/>
      <c r="EU102" s="373"/>
      <c r="EV102" s="373"/>
      <c r="EW102" s="373"/>
      <c r="EX102" s="618"/>
      <c r="EY102" s="374">
        <v>0</v>
      </c>
      <c r="EZ102" s="869"/>
      <c r="FA102" s="373"/>
      <c r="FB102" s="373"/>
      <c r="FC102" s="870"/>
      <c r="FD102" s="373"/>
      <c r="FE102" s="373"/>
      <c r="FF102" s="373"/>
      <c r="FG102" s="618"/>
      <c r="FH102" s="374">
        <v>0</v>
      </c>
      <c r="FI102" s="869"/>
      <c r="FJ102" s="373"/>
      <c r="FK102" s="373"/>
      <c r="FL102" s="870">
        <v>1</v>
      </c>
      <c r="FM102" s="373"/>
      <c r="FN102" s="373"/>
      <c r="FO102" s="373"/>
      <c r="FP102" s="618"/>
      <c r="FQ102" s="374">
        <v>0</v>
      </c>
      <c r="FR102" s="869"/>
      <c r="FS102" s="373"/>
      <c r="FT102" s="373"/>
      <c r="FU102" s="870"/>
      <c r="FV102" s="373"/>
      <c r="FW102" s="373"/>
      <c r="FX102" s="373"/>
      <c r="FY102" s="618"/>
      <c r="FZ102" s="374">
        <v>0</v>
      </c>
      <c r="GA102" s="869"/>
      <c r="GB102" s="373"/>
      <c r="GC102" s="373"/>
      <c r="GD102" s="870"/>
      <c r="GE102" s="373"/>
      <c r="GF102" s="373"/>
      <c r="GG102" s="373"/>
      <c r="GH102" s="618"/>
      <c r="GI102" s="374">
        <v>0</v>
      </c>
      <c r="GJ102" s="869">
        <v>2</v>
      </c>
      <c r="GK102" s="373">
        <v>4</v>
      </c>
      <c r="GL102" s="373">
        <v>2</v>
      </c>
      <c r="GM102" s="870">
        <v>9</v>
      </c>
      <c r="GN102" s="373">
        <v>2</v>
      </c>
      <c r="GO102" s="373">
        <v>1</v>
      </c>
      <c r="GP102" s="373"/>
      <c r="GQ102" s="618"/>
      <c r="GR102" s="374">
        <v>0</v>
      </c>
      <c r="GS102" s="869"/>
      <c r="GT102" s="373"/>
      <c r="GU102" s="373"/>
      <c r="GV102" s="870">
        <v>1</v>
      </c>
      <c r="GW102" s="373">
        <v>1</v>
      </c>
      <c r="GX102" s="373"/>
      <c r="GY102" s="373"/>
      <c r="GZ102" s="618"/>
      <c r="HA102" s="374">
        <v>0</v>
      </c>
      <c r="HB102" s="869"/>
      <c r="HC102" s="373"/>
      <c r="HD102" s="373"/>
      <c r="HE102" s="870"/>
      <c r="HF102" s="373"/>
      <c r="HG102" s="373"/>
      <c r="HH102" s="373"/>
      <c r="HI102" s="618"/>
      <c r="HJ102" s="374">
        <v>0</v>
      </c>
      <c r="HK102" s="869"/>
      <c r="HL102" s="373"/>
      <c r="HM102" s="373"/>
      <c r="HN102" s="870"/>
      <c r="HO102" s="373"/>
      <c r="HP102" s="373"/>
      <c r="HQ102" s="373"/>
      <c r="HR102" s="618"/>
      <c r="HS102" s="374">
        <v>0</v>
      </c>
      <c r="HT102" s="869"/>
      <c r="HU102" s="373"/>
      <c r="HV102" s="373"/>
      <c r="HW102" s="870">
        <v>1</v>
      </c>
      <c r="HX102" s="373">
        <v>1</v>
      </c>
      <c r="HY102" s="373">
        <v>1</v>
      </c>
      <c r="HZ102" s="373"/>
      <c r="IA102" s="618"/>
      <c r="IB102" s="374">
        <v>1</v>
      </c>
      <c r="IC102" s="869">
        <v>2</v>
      </c>
      <c r="ID102" s="373">
        <v>4</v>
      </c>
      <c r="IE102" s="373">
        <v>2</v>
      </c>
      <c r="IF102" s="870">
        <v>9</v>
      </c>
      <c r="IG102" s="373">
        <v>4</v>
      </c>
      <c r="IH102" s="373">
        <v>3</v>
      </c>
      <c r="II102" s="373"/>
      <c r="IJ102" s="618">
        <v>1</v>
      </c>
      <c r="IK102" s="374">
        <v>1</v>
      </c>
      <c r="IL102" s="377">
        <v>1</v>
      </c>
      <c r="IM102" s="373">
        <v>3</v>
      </c>
      <c r="IN102" s="373">
        <v>1</v>
      </c>
      <c r="IO102" s="871">
        <v>6</v>
      </c>
      <c r="IP102" s="871"/>
      <c r="IQ102" s="373"/>
      <c r="IR102" s="373"/>
      <c r="IS102" s="618"/>
      <c r="IT102" s="374">
        <v>0</v>
      </c>
    </row>
    <row r="103" spans="1:254" s="245" customFormat="1" ht="12.75" customHeight="1" x14ac:dyDescent="0.2">
      <c r="A103" s="1052"/>
      <c r="B103" s="868" t="s">
        <v>955</v>
      </c>
      <c r="C103" s="869"/>
      <c r="D103" s="373"/>
      <c r="E103" s="373"/>
      <c r="F103" s="870"/>
      <c r="G103" s="373"/>
      <c r="H103" s="373"/>
      <c r="I103" s="373"/>
      <c r="J103" s="618"/>
      <c r="K103" s="374">
        <v>0</v>
      </c>
      <c r="L103" s="869"/>
      <c r="M103" s="373"/>
      <c r="N103" s="373"/>
      <c r="O103" s="870"/>
      <c r="P103" s="373"/>
      <c r="Q103" s="373"/>
      <c r="R103" s="373"/>
      <c r="S103" s="618"/>
      <c r="T103" s="374">
        <v>0</v>
      </c>
      <c r="U103" s="869"/>
      <c r="V103" s="373"/>
      <c r="W103" s="373"/>
      <c r="X103" s="870"/>
      <c r="Y103" s="373"/>
      <c r="Z103" s="373"/>
      <c r="AA103" s="373"/>
      <c r="AB103" s="618"/>
      <c r="AC103" s="374">
        <v>0</v>
      </c>
      <c r="AD103" s="869">
        <v>2</v>
      </c>
      <c r="AE103" s="373">
        <v>1</v>
      </c>
      <c r="AF103" s="373"/>
      <c r="AG103" s="870">
        <v>1</v>
      </c>
      <c r="AH103" s="373">
        <v>1</v>
      </c>
      <c r="AI103" s="373">
        <v>1</v>
      </c>
      <c r="AJ103" s="373">
        <v>2</v>
      </c>
      <c r="AK103" s="618">
        <v>2</v>
      </c>
      <c r="AL103" s="374">
        <v>0</v>
      </c>
      <c r="AM103" s="869">
        <v>1</v>
      </c>
      <c r="AN103" s="373">
        <v>1</v>
      </c>
      <c r="AO103" s="373"/>
      <c r="AP103" s="870">
        <v>1</v>
      </c>
      <c r="AQ103" s="373"/>
      <c r="AR103" s="373"/>
      <c r="AS103" s="373"/>
      <c r="AT103" s="618">
        <v>2</v>
      </c>
      <c r="AU103" s="374">
        <v>0</v>
      </c>
      <c r="AV103" s="869"/>
      <c r="AW103" s="373"/>
      <c r="AX103" s="373"/>
      <c r="AY103" s="870"/>
      <c r="AZ103" s="373"/>
      <c r="BA103" s="373"/>
      <c r="BB103" s="373"/>
      <c r="BC103" s="618"/>
      <c r="BD103" s="374">
        <v>0</v>
      </c>
      <c r="BE103" s="869"/>
      <c r="BF103" s="373"/>
      <c r="BG103" s="373"/>
      <c r="BH103" s="870"/>
      <c r="BI103" s="373"/>
      <c r="BJ103" s="373"/>
      <c r="BK103" s="373"/>
      <c r="BL103" s="618"/>
      <c r="BM103" s="374">
        <v>0</v>
      </c>
      <c r="BN103" s="869"/>
      <c r="BO103" s="373"/>
      <c r="BP103" s="373"/>
      <c r="BQ103" s="870"/>
      <c r="BR103" s="373"/>
      <c r="BS103" s="373"/>
      <c r="BT103" s="373"/>
      <c r="BU103" s="618"/>
      <c r="BV103" s="374">
        <v>0</v>
      </c>
      <c r="BW103" s="869">
        <v>1</v>
      </c>
      <c r="BX103" s="373"/>
      <c r="BY103" s="373"/>
      <c r="BZ103" s="870"/>
      <c r="CA103" s="373">
        <v>1</v>
      </c>
      <c r="CB103" s="373">
        <v>1</v>
      </c>
      <c r="CC103" s="373">
        <v>1</v>
      </c>
      <c r="CD103" s="618">
        <v>2</v>
      </c>
      <c r="CE103" s="374">
        <v>0</v>
      </c>
      <c r="CF103" s="869"/>
      <c r="CG103" s="373"/>
      <c r="CH103" s="373"/>
      <c r="CI103" s="870">
        <v>1</v>
      </c>
      <c r="CJ103" s="373"/>
      <c r="CK103" s="373"/>
      <c r="CL103" s="373"/>
      <c r="CM103" s="618"/>
      <c r="CN103" s="374">
        <v>0</v>
      </c>
      <c r="CO103" s="869"/>
      <c r="CP103" s="373"/>
      <c r="CQ103" s="373"/>
      <c r="CR103" s="870"/>
      <c r="CS103" s="373">
        <v>1</v>
      </c>
      <c r="CT103" s="373"/>
      <c r="CU103" s="373"/>
      <c r="CV103" s="618"/>
      <c r="CW103" s="374">
        <v>0</v>
      </c>
      <c r="CX103" s="869">
        <v>9</v>
      </c>
      <c r="CY103" s="373">
        <v>9</v>
      </c>
      <c r="CZ103" s="373">
        <v>3</v>
      </c>
      <c r="DA103" s="870">
        <v>5</v>
      </c>
      <c r="DB103" s="373">
        <v>9</v>
      </c>
      <c r="DC103" s="373">
        <v>3</v>
      </c>
      <c r="DD103" s="373">
        <v>24</v>
      </c>
      <c r="DE103" s="618">
        <v>6</v>
      </c>
      <c r="DF103" s="374">
        <v>1</v>
      </c>
      <c r="DG103" s="869"/>
      <c r="DH103" s="373"/>
      <c r="DI103" s="373"/>
      <c r="DJ103" s="870"/>
      <c r="DK103" s="373"/>
      <c r="DL103" s="373"/>
      <c r="DM103" s="373"/>
      <c r="DN103" s="618"/>
      <c r="DO103" s="374">
        <v>0</v>
      </c>
      <c r="DP103" s="869"/>
      <c r="DQ103" s="373">
        <v>1</v>
      </c>
      <c r="DR103" s="373"/>
      <c r="DS103" s="870">
        <v>1</v>
      </c>
      <c r="DT103" s="373">
        <v>1</v>
      </c>
      <c r="DU103" s="373"/>
      <c r="DV103" s="373"/>
      <c r="DW103" s="618"/>
      <c r="DX103" s="374">
        <v>0</v>
      </c>
      <c r="DY103" s="869">
        <v>1</v>
      </c>
      <c r="DZ103" s="373">
        <v>4</v>
      </c>
      <c r="EA103" s="373"/>
      <c r="EB103" s="870">
        <v>1</v>
      </c>
      <c r="EC103" s="373"/>
      <c r="ED103" s="373"/>
      <c r="EE103" s="373">
        <v>2</v>
      </c>
      <c r="EF103" s="618">
        <v>2</v>
      </c>
      <c r="EG103" s="374">
        <v>0</v>
      </c>
      <c r="EH103" s="869"/>
      <c r="EI103" s="373">
        <v>1</v>
      </c>
      <c r="EJ103" s="373"/>
      <c r="EK103" s="870"/>
      <c r="EL103" s="373"/>
      <c r="EM103" s="373"/>
      <c r="EN103" s="373"/>
      <c r="EO103" s="618"/>
      <c r="EP103" s="374">
        <v>0</v>
      </c>
      <c r="EQ103" s="869"/>
      <c r="ER103" s="373"/>
      <c r="ES103" s="373"/>
      <c r="ET103" s="870"/>
      <c r="EU103" s="373"/>
      <c r="EV103" s="373"/>
      <c r="EW103" s="373"/>
      <c r="EX103" s="618"/>
      <c r="EY103" s="374">
        <v>0</v>
      </c>
      <c r="EZ103" s="869"/>
      <c r="FA103" s="373"/>
      <c r="FB103" s="373"/>
      <c r="FC103" s="870"/>
      <c r="FD103" s="373"/>
      <c r="FE103" s="373"/>
      <c r="FF103" s="373"/>
      <c r="FG103" s="618"/>
      <c r="FH103" s="374">
        <v>0</v>
      </c>
      <c r="FI103" s="869">
        <v>2</v>
      </c>
      <c r="FJ103" s="373">
        <v>1</v>
      </c>
      <c r="FK103" s="373"/>
      <c r="FL103" s="870"/>
      <c r="FM103" s="373"/>
      <c r="FN103" s="373"/>
      <c r="FO103" s="373">
        <v>1</v>
      </c>
      <c r="FP103" s="618"/>
      <c r="FQ103" s="374">
        <v>0</v>
      </c>
      <c r="FR103" s="869"/>
      <c r="FS103" s="373"/>
      <c r="FT103" s="373"/>
      <c r="FU103" s="870"/>
      <c r="FV103" s="373"/>
      <c r="FW103" s="373"/>
      <c r="FX103" s="373"/>
      <c r="FY103" s="618"/>
      <c r="FZ103" s="374">
        <v>0</v>
      </c>
      <c r="GA103" s="869"/>
      <c r="GB103" s="373"/>
      <c r="GC103" s="373"/>
      <c r="GD103" s="870"/>
      <c r="GE103" s="373"/>
      <c r="GF103" s="373"/>
      <c r="GG103" s="373"/>
      <c r="GH103" s="618"/>
      <c r="GI103" s="374">
        <v>0</v>
      </c>
      <c r="GJ103" s="869">
        <v>14</v>
      </c>
      <c r="GK103" s="373">
        <v>12</v>
      </c>
      <c r="GL103" s="373">
        <v>3</v>
      </c>
      <c r="GM103" s="870">
        <v>7</v>
      </c>
      <c r="GN103" s="373">
        <v>12</v>
      </c>
      <c r="GO103" s="373">
        <v>5</v>
      </c>
      <c r="GP103" s="373">
        <v>28</v>
      </c>
      <c r="GQ103" s="618">
        <v>10</v>
      </c>
      <c r="GR103" s="374">
        <v>1</v>
      </c>
      <c r="GS103" s="869">
        <v>2</v>
      </c>
      <c r="GT103" s="373">
        <v>2</v>
      </c>
      <c r="GU103" s="373">
        <v>2</v>
      </c>
      <c r="GV103" s="870">
        <v>2</v>
      </c>
      <c r="GW103" s="373"/>
      <c r="GX103" s="373">
        <v>2</v>
      </c>
      <c r="GY103" s="373">
        <v>20</v>
      </c>
      <c r="GZ103" s="618">
        <v>1</v>
      </c>
      <c r="HA103" s="374">
        <v>0</v>
      </c>
      <c r="HB103" s="869"/>
      <c r="HC103" s="373"/>
      <c r="HD103" s="373"/>
      <c r="HE103" s="870"/>
      <c r="HF103" s="373"/>
      <c r="HG103" s="373"/>
      <c r="HH103" s="373"/>
      <c r="HI103" s="618"/>
      <c r="HJ103" s="374">
        <v>0</v>
      </c>
      <c r="HK103" s="869"/>
      <c r="HL103" s="373"/>
      <c r="HM103" s="373"/>
      <c r="HN103" s="870"/>
      <c r="HO103" s="373"/>
      <c r="HP103" s="373"/>
      <c r="HQ103" s="373"/>
      <c r="HR103" s="618"/>
      <c r="HS103" s="374">
        <v>0</v>
      </c>
      <c r="HT103" s="869">
        <v>6</v>
      </c>
      <c r="HU103" s="373">
        <v>3</v>
      </c>
      <c r="HV103" s="373">
        <v>6</v>
      </c>
      <c r="HW103" s="870">
        <v>6</v>
      </c>
      <c r="HX103" s="373">
        <v>6</v>
      </c>
      <c r="HY103" s="373">
        <v>2</v>
      </c>
      <c r="HZ103" s="373">
        <v>20</v>
      </c>
      <c r="IA103" s="618">
        <v>2</v>
      </c>
      <c r="IB103" s="374">
        <v>2</v>
      </c>
      <c r="IC103" s="869">
        <v>26</v>
      </c>
      <c r="ID103" s="373">
        <v>17</v>
      </c>
      <c r="IE103" s="373">
        <v>8</v>
      </c>
      <c r="IF103" s="870">
        <v>15</v>
      </c>
      <c r="IG103" s="373">
        <v>26</v>
      </c>
      <c r="IH103" s="373">
        <v>7</v>
      </c>
      <c r="II103" s="373">
        <v>32</v>
      </c>
      <c r="IJ103" s="618">
        <v>17</v>
      </c>
      <c r="IK103" s="374">
        <v>4</v>
      </c>
      <c r="IL103" s="377">
        <v>5</v>
      </c>
      <c r="IM103" s="373">
        <v>4</v>
      </c>
      <c r="IN103" s="373">
        <v>1</v>
      </c>
      <c r="IO103" s="871">
        <v>1</v>
      </c>
      <c r="IP103" s="871"/>
      <c r="IQ103" s="373">
        <v>1</v>
      </c>
      <c r="IR103" s="373">
        <v>3</v>
      </c>
      <c r="IS103" s="618">
        <v>2</v>
      </c>
      <c r="IT103" s="374">
        <v>0</v>
      </c>
    </row>
    <row r="104" spans="1:254" s="245" customFormat="1" ht="12.75" customHeight="1" x14ac:dyDescent="0.2">
      <c r="A104" s="1052"/>
      <c r="B104" s="868" t="s">
        <v>956</v>
      </c>
      <c r="C104" s="869"/>
      <c r="D104" s="373"/>
      <c r="E104" s="373"/>
      <c r="F104" s="870"/>
      <c r="G104" s="373"/>
      <c r="H104" s="373"/>
      <c r="I104" s="373"/>
      <c r="J104" s="618"/>
      <c r="K104" s="374">
        <v>0</v>
      </c>
      <c r="L104" s="869"/>
      <c r="M104" s="373"/>
      <c r="N104" s="373"/>
      <c r="O104" s="870"/>
      <c r="P104" s="373"/>
      <c r="Q104" s="373"/>
      <c r="R104" s="373"/>
      <c r="S104" s="618"/>
      <c r="T104" s="374">
        <v>0</v>
      </c>
      <c r="U104" s="869"/>
      <c r="V104" s="373"/>
      <c r="W104" s="373"/>
      <c r="X104" s="870"/>
      <c r="Y104" s="373"/>
      <c r="Z104" s="373"/>
      <c r="AA104" s="373"/>
      <c r="AB104" s="618"/>
      <c r="AC104" s="374">
        <v>0</v>
      </c>
      <c r="AD104" s="869"/>
      <c r="AE104" s="373">
        <v>2</v>
      </c>
      <c r="AF104" s="373">
        <v>2</v>
      </c>
      <c r="AG104" s="870"/>
      <c r="AH104" s="373"/>
      <c r="AI104" s="373">
        <v>1</v>
      </c>
      <c r="AJ104" s="373"/>
      <c r="AK104" s="618">
        <v>1</v>
      </c>
      <c r="AL104" s="374">
        <v>1</v>
      </c>
      <c r="AM104" s="869"/>
      <c r="AN104" s="373">
        <v>2</v>
      </c>
      <c r="AO104" s="373">
        <v>2</v>
      </c>
      <c r="AP104" s="870"/>
      <c r="AQ104" s="373"/>
      <c r="AR104" s="373"/>
      <c r="AS104" s="373"/>
      <c r="AT104" s="618"/>
      <c r="AU104" s="374">
        <v>0</v>
      </c>
      <c r="AV104" s="869"/>
      <c r="AW104" s="373"/>
      <c r="AX104" s="373"/>
      <c r="AY104" s="870"/>
      <c r="AZ104" s="373"/>
      <c r="BA104" s="373"/>
      <c r="BB104" s="373"/>
      <c r="BC104" s="618"/>
      <c r="BD104" s="374">
        <v>0</v>
      </c>
      <c r="BE104" s="869"/>
      <c r="BF104" s="373"/>
      <c r="BG104" s="373"/>
      <c r="BH104" s="870"/>
      <c r="BI104" s="373"/>
      <c r="BJ104" s="373"/>
      <c r="BK104" s="373"/>
      <c r="BL104" s="618"/>
      <c r="BM104" s="374">
        <v>0</v>
      </c>
      <c r="BN104" s="869"/>
      <c r="BO104" s="373"/>
      <c r="BP104" s="373"/>
      <c r="BQ104" s="870"/>
      <c r="BR104" s="373"/>
      <c r="BS104" s="373"/>
      <c r="BT104" s="373"/>
      <c r="BU104" s="618"/>
      <c r="BV104" s="374">
        <v>0</v>
      </c>
      <c r="BW104" s="869"/>
      <c r="BX104" s="373">
        <v>1</v>
      </c>
      <c r="BY104" s="373"/>
      <c r="BZ104" s="870"/>
      <c r="CA104" s="373"/>
      <c r="CB104" s="373">
        <v>2</v>
      </c>
      <c r="CC104" s="373">
        <v>1</v>
      </c>
      <c r="CD104" s="618"/>
      <c r="CE104" s="374">
        <v>0</v>
      </c>
      <c r="CF104" s="869"/>
      <c r="CG104" s="373"/>
      <c r="CH104" s="373"/>
      <c r="CI104" s="870"/>
      <c r="CJ104" s="373"/>
      <c r="CK104" s="373"/>
      <c r="CL104" s="373"/>
      <c r="CM104" s="618"/>
      <c r="CN104" s="374">
        <v>0</v>
      </c>
      <c r="CO104" s="869">
        <v>2</v>
      </c>
      <c r="CP104" s="373"/>
      <c r="CQ104" s="373"/>
      <c r="CR104" s="870"/>
      <c r="CS104" s="373"/>
      <c r="CT104" s="373"/>
      <c r="CU104" s="373"/>
      <c r="CV104" s="618"/>
      <c r="CW104" s="374">
        <v>0</v>
      </c>
      <c r="CX104" s="869">
        <v>3</v>
      </c>
      <c r="CY104" s="373">
        <v>5</v>
      </c>
      <c r="CZ104" s="373">
        <v>7</v>
      </c>
      <c r="DA104" s="870">
        <v>2</v>
      </c>
      <c r="DB104" s="373"/>
      <c r="DC104" s="373"/>
      <c r="DD104" s="373">
        <v>1</v>
      </c>
      <c r="DE104" s="618">
        <v>1</v>
      </c>
      <c r="DF104" s="374">
        <v>0</v>
      </c>
      <c r="DG104" s="869"/>
      <c r="DH104" s="373"/>
      <c r="DI104" s="373"/>
      <c r="DJ104" s="870"/>
      <c r="DK104" s="373"/>
      <c r="DL104" s="373"/>
      <c r="DM104" s="373"/>
      <c r="DN104" s="618"/>
      <c r="DO104" s="374">
        <v>0</v>
      </c>
      <c r="DP104" s="869"/>
      <c r="DQ104" s="373"/>
      <c r="DR104" s="373">
        <v>1</v>
      </c>
      <c r="DS104" s="870"/>
      <c r="DT104" s="373"/>
      <c r="DU104" s="373"/>
      <c r="DV104" s="373"/>
      <c r="DW104" s="618"/>
      <c r="DX104" s="374">
        <v>0</v>
      </c>
      <c r="DY104" s="869">
        <v>1</v>
      </c>
      <c r="DZ104" s="373">
        <v>1</v>
      </c>
      <c r="EA104" s="373"/>
      <c r="EB104" s="870"/>
      <c r="EC104" s="373"/>
      <c r="ED104" s="373"/>
      <c r="EE104" s="373"/>
      <c r="EF104" s="618">
        <v>1</v>
      </c>
      <c r="EG104" s="374">
        <v>0</v>
      </c>
      <c r="EH104" s="869"/>
      <c r="EI104" s="373"/>
      <c r="EJ104" s="373"/>
      <c r="EK104" s="870"/>
      <c r="EL104" s="373"/>
      <c r="EM104" s="373"/>
      <c r="EN104" s="373"/>
      <c r="EO104" s="618"/>
      <c r="EP104" s="374">
        <v>0</v>
      </c>
      <c r="EQ104" s="869"/>
      <c r="ER104" s="373"/>
      <c r="ES104" s="373"/>
      <c r="ET104" s="870"/>
      <c r="EU104" s="373"/>
      <c r="EV104" s="373"/>
      <c r="EW104" s="373"/>
      <c r="EX104" s="618"/>
      <c r="EY104" s="374">
        <v>0</v>
      </c>
      <c r="EZ104" s="869"/>
      <c r="FA104" s="373"/>
      <c r="FB104" s="373"/>
      <c r="FC104" s="870"/>
      <c r="FD104" s="373"/>
      <c r="FE104" s="373"/>
      <c r="FF104" s="373"/>
      <c r="FG104" s="618"/>
      <c r="FH104" s="374">
        <v>0</v>
      </c>
      <c r="FI104" s="869"/>
      <c r="FJ104" s="373"/>
      <c r="FK104" s="373"/>
      <c r="FL104" s="870"/>
      <c r="FM104" s="373"/>
      <c r="FN104" s="373"/>
      <c r="FO104" s="373"/>
      <c r="FP104" s="618"/>
      <c r="FQ104" s="374">
        <v>0</v>
      </c>
      <c r="FR104" s="869"/>
      <c r="FS104" s="373"/>
      <c r="FT104" s="373"/>
      <c r="FU104" s="870">
        <v>1</v>
      </c>
      <c r="FV104" s="373"/>
      <c r="FW104" s="373"/>
      <c r="FX104" s="373"/>
      <c r="FY104" s="618"/>
      <c r="FZ104" s="374">
        <v>0</v>
      </c>
      <c r="GA104" s="869"/>
      <c r="GB104" s="373"/>
      <c r="GC104" s="373"/>
      <c r="GD104" s="870"/>
      <c r="GE104" s="373"/>
      <c r="GF104" s="373"/>
      <c r="GG104" s="373"/>
      <c r="GH104" s="618"/>
      <c r="GI104" s="374">
        <v>0</v>
      </c>
      <c r="GJ104" s="869">
        <v>5</v>
      </c>
      <c r="GK104" s="373">
        <v>8</v>
      </c>
      <c r="GL104" s="373">
        <v>9</v>
      </c>
      <c r="GM104" s="870">
        <v>3</v>
      </c>
      <c r="GN104" s="373"/>
      <c r="GO104" s="373">
        <v>3</v>
      </c>
      <c r="GP104" s="373">
        <v>2</v>
      </c>
      <c r="GQ104" s="618">
        <v>2</v>
      </c>
      <c r="GR104" s="374">
        <v>1</v>
      </c>
      <c r="GS104" s="869"/>
      <c r="GT104" s="373"/>
      <c r="GU104" s="373">
        <v>2</v>
      </c>
      <c r="GV104" s="870">
        <v>1</v>
      </c>
      <c r="GW104" s="373"/>
      <c r="GX104" s="373">
        <v>1</v>
      </c>
      <c r="GY104" s="373">
        <v>1</v>
      </c>
      <c r="GZ104" s="618"/>
      <c r="HA104" s="374">
        <v>0</v>
      </c>
      <c r="HB104" s="869"/>
      <c r="HC104" s="373"/>
      <c r="HD104" s="373"/>
      <c r="HE104" s="870"/>
      <c r="HF104" s="373"/>
      <c r="HG104" s="373"/>
      <c r="HH104" s="373"/>
      <c r="HI104" s="618"/>
      <c r="HJ104" s="374">
        <v>0</v>
      </c>
      <c r="HK104" s="869"/>
      <c r="HL104" s="373"/>
      <c r="HM104" s="373"/>
      <c r="HN104" s="870"/>
      <c r="HO104" s="373"/>
      <c r="HP104" s="373"/>
      <c r="HQ104" s="373"/>
      <c r="HR104" s="618"/>
      <c r="HS104" s="374">
        <v>0</v>
      </c>
      <c r="HT104" s="869">
        <v>2</v>
      </c>
      <c r="HU104" s="373">
        <v>2</v>
      </c>
      <c r="HV104" s="373">
        <v>2</v>
      </c>
      <c r="HW104" s="870">
        <v>2</v>
      </c>
      <c r="HX104" s="373"/>
      <c r="HY104" s="373">
        <v>2</v>
      </c>
      <c r="HZ104" s="373">
        <v>2</v>
      </c>
      <c r="IA104" s="618"/>
      <c r="IB104" s="374">
        <v>1</v>
      </c>
      <c r="IC104" s="869">
        <v>10</v>
      </c>
      <c r="ID104" s="373">
        <v>14</v>
      </c>
      <c r="IE104" s="373">
        <v>13</v>
      </c>
      <c r="IF104" s="870">
        <v>4</v>
      </c>
      <c r="IG104" s="373">
        <v>3</v>
      </c>
      <c r="IH104" s="373">
        <v>5</v>
      </c>
      <c r="II104" s="373">
        <v>8</v>
      </c>
      <c r="IJ104" s="618">
        <v>3</v>
      </c>
      <c r="IK104" s="374">
        <v>9</v>
      </c>
      <c r="IL104" s="377">
        <v>1</v>
      </c>
      <c r="IM104" s="373">
        <v>2</v>
      </c>
      <c r="IN104" s="373">
        <v>3</v>
      </c>
      <c r="IO104" s="871"/>
      <c r="IP104" s="871"/>
      <c r="IQ104" s="373"/>
      <c r="IR104" s="373"/>
      <c r="IS104" s="618">
        <v>1</v>
      </c>
      <c r="IT104" s="374">
        <v>0</v>
      </c>
    </row>
    <row r="105" spans="1:254" s="245" customFormat="1" ht="12.75" customHeight="1" x14ac:dyDescent="0.2">
      <c r="A105" s="1052"/>
      <c r="B105" s="868" t="s">
        <v>957</v>
      </c>
      <c r="C105" s="869"/>
      <c r="D105" s="373"/>
      <c r="E105" s="373"/>
      <c r="F105" s="870"/>
      <c r="G105" s="373"/>
      <c r="H105" s="373"/>
      <c r="I105" s="373"/>
      <c r="J105" s="618"/>
      <c r="K105" s="374">
        <v>0</v>
      </c>
      <c r="L105" s="869"/>
      <c r="M105" s="373"/>
      <c r="N105" s="373"/>
      <c r="O105" s="870"/>
      <c r="P105" s="373"/>
      <c r="Q105" s="373"/>
      <c r="R105" s="373"/>
      <c r="S105" s="618"/>
      <c r="T105" s="374">
        <v>0</v>
      </c>
      <c r="U105" s="869"/>
      <c r="V105" s="373"/>
      <c r="W105" s="373"/>
      <c r="X105" s="870"/>
      <c r="Y105" s="373"/>
      <c r="Z105" s="373"/>
      <c r="AA105" s="373"/>
      <c r="AB105" s="618"/>
      <c r="AC105" s="374">
        <v>0</v>
      </c>
      <c r="AD105" s="869"/>
      <c r="AE105" s="373"/>
      <c r="AF105" s="373">
        <v>1</v>
      </c>
      <c r="AG105" s="870"/>
      <c r="AH105" s="373">
        <v>1</v>
      </c>
      <c r="AI105" s="373"/>
      <c r="AJ105" s="373"/>
      <c r="AK105" s="618">
        <v>2</v>
      </c>
      <c r="AL105" s="374">
        <v>0</v>
      </c>
      <c r="AM105" s="869"/>
      <c r="AN105" s="373"/>
      <c r="AO105" s="373">
        <v>1</v>
      </c>
      <c r="AP105" s="870"/>
      <c r="AQ105" s="373"/>
      <c r="AR105" s="373"/>
      <c r="AS105" s="373"/>
      <c r="AT105" s="618"/>
      <c r="AU105" s="374">
        <v>0</v>
      </c>
      <c r="AV105" s="869"/>
      <c r="AW105" s="373"/>
      <c r="AX105" s="373"/>
      <c r="AY105" s="870"/>
      <c r="AZ105" s="373"/>
      <c r="BA105" s="373"/>
      <c r="BB105" s="373"/>
      <c r="BC105" s="618"/>
      <c r="BD105" s="374">
        <v>0</v>
      </c>
      <c r="BE105" s="869"/>
      <c r="BF105" s="373"/>
      <c r="BG105" s="373"/>
      <c r="BH105" s="870"/>
      <c r="BI105" s="373"/>
      <c r="BJ105" s="373"/>
      <c r="BK105" s="373"/>
      <c r="BL105" s="618"/>
      <c r="BM105" s="374">
        <v>0</v>
      </c>
      <c r="BN105" s="869"/>
      <c r="BO105" s="373"/>
      <c r="BP105" s="373"/>
      <c r="BQ105" s="870"/>
      <c r="BR105" s="373"/>
      <c r="BS105" s="373"/>
      <c r="BT105" s="373"/>
      <c r="BU105" s="618"/>
      <c r="BV105" s="374">
        <v>0</v>
      </c>
      <c r="BW105" s="869"/>
      <c r="BX105" s="373"/>
      <c r="BY105" s="373"/>
      <c r="BZ105" s="870"/>
      <c r="CA105" s="373"/>
      <c r="CB105" s="373"/>
      <c r="CC105" s="373"/>
      <c r="CD105" s="618"/>
      <c r="CE105" s="374">
        <v>0</v>
      </c>
      <c r="CF105" s="869"/>
      <c r="CG105" s="373"/>
      <c r="CH105" s="373"/>
      <c r="CI105" s="870"/>
      <c r="CJ105" s="373"/>
      <c r="CK105" s="373"/>
      <c r="CL105" s="373"/>
      <c r="CM105" s="618"/>
      <c r="CN105" s="374">
        <v>0</v>
      </c>
      <c r="CO105" s="869"/>
      <c r="CP105" s="373"/>
      <c r="CQ105" s="373"/>
      <c r="CR105" s="870"/>
      <c r="CS105" s="373"/>
      <c r="CT105" s="373"/>
      <c r="CU105" s="373"/>
      <c r="CV105" s="618"/>
      <c r="CW105" s="374">
        <v>0</v>
      </c>
      <c r="CX105" s="869"/>
      <c r="CY105" s="373">
        <v>1</v>
      </c>
      <c r="CZ105" s="373">
        <v>1</v>
      </c>
      <c r="DA105" s="870"/>
      <c r="DB105" s="373">
        <v>2</v>
      </c>
      <c r="DC105" s="373"/>
      <c r="DD105" s="373">
        <v>1</v>
      </c>
      <c r="DE105" s="618"/>
      <c r="DF105" s="374">
        <v>0</v>
      </c>
      <c r="DG105" s="869"/>
      <c r="DH105" s="373"/>
      <c r="DI105" s="373"/>
      <c r="DJ105" s="870"/>
      <c r="DK105" s="373"/>
      <c r="DL105" s="373"/>
      <c r="DM105" s="373"/>
      <c r="DN105" s="618"/>
      <c r="DO105" s="374">
        <v>0</v>
      </c>
      <c r="DP105" s="869"/>
      <c r="DQ105" s="373"/>
      <c r="DR105" s="373"/>
      <c r="DS105" s="870"/>
      <c r="DT105" s="373"/>
      <c r="DU105" s="373"/>
      <c r="DV105" s="373"/>
      <c r="DW105" s="618"/>
      <c r="DX105" s="374">
        <v>0</v>
      </c>
      <c r="DY105" s="869"/>
      <c r="DZ105" s="373"/>
      <c r="EA105" s="373"/>
      <c r="EB105" s="870"/>
      <c r="EC105" s="373">
        <v>1</v>
      </c>
      <c r="ED105" s="373"/>
      <c r="EE105" s="373"/>
      <c r="EF105" s="618"/>
      <c r="EG105" s="374">
        <v>0</v>
      </c>
      <c r="EH105" s="869"/>
      <c r="EI105" s="373"/>
      <c r="EJ105" s="373"/>
      <c r="EK105" s="870"/>
      <c r="EL105" s="373"/>
      <c r="EM105" s="373"/>
      <c r="EN105" s="373"/>
      <c r="EO105" s="618"/>
      <c r="EP105" s="374">
        <v>0</v>
      </c>
      <c r="EQ105" s="869"/>
      <c r="ER105" s="373"/>
      <c r="ES105" s="373"/>
      <c r="ET105" s="870"/>
      <c r="EU105" s="373"/>
      <c r="EV105" s="373"/>
      <c r="EW105" s="373"/>
      <c r="EX105" s="618"/>
      <c r="EY105" s="374">
        <v>0</v>
      </c>
      <c r="EZ105" s="869"/>
      <c r="FA105" s="373"/>
      <c r="FB105" s="373"/>
      <c r="FC105" s="870"/>
      <c r="FD105" s="373"/>
      <c r="FE105" s="373"/>
      <c r="FF105" s="373"/>
      <c r="FG105" s="618"/>
      <c r="FH105" s="374">
        <v>0</v>
      </c>
      <c r="FI105" s="869"/>
      <c r="FJ105" s="373"/>
      <c r="FK105" s="373"/>
      <c r="FL105" s="870"/>
      <c r="FM105" s="373"/>
      <c r="FN105" s="373"/>
      <c r="FO105" s="373"/>
      <c r="FP105" s="618"/>
      <c r="FQ105" s="374">
        <v>0</v>
      </c>
      <c r="FR105" s="869"/>
      <c r="FS105" s="373"/>
      <c r="FT105" s="373"/>
      <c r="FU105" s="870"/>
      <c r="FV105" s="373"/>
      <c r="FW105" s="373"/>
      <c r="FX105" s="373"/>
      <c r="FY105" s="618"/>
      <c r="FZ105" s="374">
        <v>0</v>
      </c>
      <c r="GA105" s="869"/>
      <c r="GB105" s="373"/>
      <c r="GC105" s="373"/>
      <c r="GD105" s="870"/>
      <c r="GE105" s="373"/>
      <c r="GF105" s="373"/>
      <c r="GG105" s="373"/>
      <c r="GH105" s="618"/>
      <c r="GI105" s="374">
        <v>0</v>
      </c>
      <c r="GJ105" s="869"/>
      <c r="GK105" s="373">
        <v>1</v>
      </c>
      <c r="GL105" s="373">
        <v>2</v>
      </c>
      <c r="GM105" s="870"/>
      <c r="GN105" s="373">
        <v>3</v>
      </c>
      <c r="GO105" s="373"/>
      <c r="GP105" s="373">
        <v>1</v>
      </c>
      <c r="GQ105" s="618">
        <v>2</v>
      </c>
      <c r="GR105" s="374">
        <v>0</v>
      </c>
      <c r="GS105" s="869"/>
      <c r="GT105" s="373"/>
      <c r="GU105" s="373">
        <v>1</v>
      </c>
      <c r="GV105" s="870"/>
      <c r="GW105" s="373"/>
      <c r="GX105" s="373"/>
      <c r="GY105" s="373"/>
      <c r="GZ105" s="618"/>
      <c r="HA105" s="374">
        <v>0</v>
      </c>
      <c r="HB105" s="869"/>
      <c r="HC105" s="373"/>
      <c r="HD105" s="373"/>
      <c r="HE105" s="870"/>
      <c r="HF105" s="373"/>
      <c r="HG105" s="373"/>
      <c r="HH105" s="373"/>
      <c r="HI105" s="618"/>
      <c r="HJ105" s="374">
        <v>0</v>
      </c>
      <c r="HK105" s="869"/>
      <c r="HL105" s="373"/>
      <c r="HM105" s="373"/>
      <c r="HN105" s="870"/>
      <c r="HO105" s="373"/>
      <c r="HP105" s="373"/>
      <c r="HQ105" s="373"/>
      <c r="HR105" s="618"/>
      <c r="HS105" s="374">
        <v>0</v>
      </c>
      <c r="HT105" s="869">
        <v>1</v>
      </c>
      <c r="HU105" s="373"/>
      <c r="HV105" s="373">
        <v>1</v>
      </c>
      <c r="HW105" s="870">
        <v>1</v>
      </c>
      <c r="HX105" s="373"/>
      <c r="HY105" s="373"/>
      <c r="HZ105" s="373"/>
      <c r="IA105" s="618"/>
      <c r="IB105" s="374">
        <v>0</v>
      </c>
      <c r="IC105" s="869">
        <v>2</v>
      </c>
      <c r="ID105" s="373">
        <v>2</v>
      </c>
      <c r="IE105" s="373">
        <v>2</v>
      </c>
      <c r="IF105" s="870">
        <v>2</v>
      </c>
      <c r="IG105" s="373">
        <v>3</v>
      </c>
      <c r="IH105" s="373">
        <v>1</v>
      </c>
      <c r="II105" s="373">
        <v>2</v>
      </c>
      <c r="IJ105" s="618">
        <v>2</v>
      </c>
      <c r="IK105" s="374">
        <v>2</v>
      </c>
      <c r="IL105" s="377"/>
      <c r="IM105" s="373">
        <v>1</v>
      </c>
      <c r="IN105" s="373"/>
      <c r="IO105" s="871"/>
      <c r="IP105" s="871">
        <v>1</v>
      </c>
      <c r="IQ105" s="373"/>
      <c r="IR105" s="373"/>
      <c r="IS105" s="618"/>
      <c r="IT105" s="374">
        <v>0</v>
      </c>
    </row>
    <row r="106" spans="1:254" s="245" customFormat="1" ht="12.75" customHeight="1" x14ac:dyDescent="0.2">
      <c r="A106" s="1052"/>
      <c r="B106" s="868" t="s">
        <v>958</v>
      </c>
      <c r="C106" s="869"/>
      <c r="D106" s="373"/>
      <c r="E106" s="373"/>
      <c r="F106" s="870"/>
      <c r="G106" s="373"/>
      <c r="H106" s="373"/>
      <c r="I106" s="373"/>
      <c r="J106" s="618"/>
      <c r="K106" s="374">
        <v>0</v>
      </c>
      <c r="L106" s="869"/>
      <c r="M106" s="373"/>
      <c r="N106" s="373"/>
      <c r="O106" s="870"/>
      <c r="P106" s="373"/>
      <c r="Q106" s="373"/>
      <c r="R106" s="373"/>
      <c r="S106" s="618"/>
      <c r="T106" s="374">
        <v>0</v>
      </c>
      <c r="U106" s="869"/>
      <c r="V106" s="373"/>
      <c r="W106" s="373"/>
      <c r="X106" s="870"/>
      <c r="Y106" s="373"/>
      <c r="Z106" s="373"/>
      <c r="AA106" s="373"/>
      <c r="AB106" s="618"/>
      <c r="AC106" s="374">
        <v>0</v>
      </c>
      <c r="AD106" s="869"/>
      <c r="AE106" s="373"/>
      <c r="AF106" s="373"/>
      <c r="AG106" s="870"/>
      <c r="AH106" s="373"/>
      <c r="AI106" s="373"/>
      <c r="AJ106" s="373"/>
      <c r="AK106" s="618"/>
      <c r="AL106" s="374">
        <v>0</v>
      </c>
      <c r="AM106" s="869"/>
      <c r="AN106" s="373"/>
      <c r="AO106" s="373"/>
      <c r="AP106" s="870"/>
      <c r="AQ106" s="373"/>
      <c r="AR106" s="373"/>
      <c r="AS106" s="373"/>
      <c r="AT106" s="618"/>
      <c r="AU106" s="374">
        <v>0</v>
      </c>
      <c r="AV106" s="869"/>
      <c r="AW106" s="373"/>
      <c r="AX106" s="373"/>
      <c r="AY106" s="870"/>
      <c r="AZ106" s="373"/>
      <c r="BA106" s="373"/>
      <c r="BB106" s="373"/>
      <c r="BC106" s="618"/>
      <c r="BD106" s="374">
        <v>0</v>
      </c>
      <c r="BE106" s="869"/>
      <c r="BF106" s="373"/>
      <c r="BG106" s="373"/>
      <c r="BH106" s="870"/>
      <c r="BI106" s="373"/>
      <c r="BJ106" s="373"/>
      <c r="BK106" s="373"/>
      <c r="BL106" s="618"/>
      <c r="BM106" s="374">
        <v>0</v>
      </c>
      <c r="BN106" s="869"/>
      <c r="BO106" s="373"/>
      <c r="BP106" s="373"/>
      <c r="BQ106" s="870"/>
      <c r="BR106" s="373"/>
      <c r="BS106" s="373">
        <v>1</v>
      </c>
      <c r="BT106" s="373"/>
      <c r="BU106" s="618"/>
      <c r="BV106" s="374">
        <v>0</v>
      </c>
      <c r="BW106" s="869"/>
      <c r="BX106" s="373"/>
      <c r="BY106" s="373"/>
      <c r="BZ106" s="870"/>
      <c r="CA106" s="373"/>
      <c r="CB106" s="373"/>
      <c r="CC106" s="373"/>
      <c r="CD106" s="618"/>
      <c r="CE106" s="374">
        <v>0</v>
      </c>
      <c r="CF106" s="869"/>
      <c r="CG106" s="373"/>
      <c r="CH106" s="373"/>
      <c r="CI106" s="870"/>
      <c r="CJ106" s="373"/>
      <c r="CK106" s="373"/>
      <c r="CL106" s="373"/>
      <c r="CM106" s="618"/>
      <c r="CN106" s="374">
        <v>0</v>
      </c>
      <c r="CO106" s="869"/>
      <c r="CP106" s="373"/>
      <c r="CQ106" s="373"/>
      <c r="CR106" s="870"/>
      <c r="CS106" s="373"/>
      <c r="CT106" s="373"/>
      <c r="CU106" s="373"/>
      <c r="CV106" s="618"/>
      <c r="CW106" s="374">
        <v>0</v>
      </c>
      <c r="CX106" s="869">
        <v>3</v>
      </c>
      <c r="CY106" s="373">
        <v>4</v>
      </c>
      <c r="CZ106" s="373">
        <v>3</v>
      </c>
      <c r="DA106" s="870">
        <v>5</v>
      </c>
      <c r="DB106" s="373">
        <v>3</v>
      </c>
      <c r="DC106" s="373">
        <v>2</v>
      </c>
      <c r="DD106" s="373">
        <v>2</v>
      </c>
      <c r="DE106" s="618">
        <v>2</v>
      </c>
      <c r="DF106" s="374">
        <v>0</v>
      </c>
      <c r="DG106" s="869"/>
      <c r="DH106" s="373"/>
      <c r="DI106" s="373"/>
      <c r="DJ106" s="870">
        <v>1</v>
      </c>
      <c r="DK106" s="373"/>
      <c r="DL106" s="373"/>
      <c r="DM106" s="373"/>
      <c r="DN106" s="618"/>
      <c r="DO106" s="374">
        <v>0</v>
      </c>
      <c r="DP106" s="869">
        <v>1</v>
      </c>
      <c r="DQ106" s="373"/>
      <c r="DR106" s="373">
        <v>1</v>
      </c>
      <c r="DS106" s="870"/>
      <c r="DT106" s="373">
        <v>1</v>
      </c>
      <c r="DU106" s="373"/>
      <c r="DV106" s="373"/>
      <c r="DW106" s="618"/>
      <c r="DX106" s="374">
        <v>0</v>
      </c>
      <c r="DY106" s="869"/>
      <c r="DZ106" s="373"/>
      <c r="EA106" s="373"/>
      <c r="EB106" s="870"/>
      <c r="EC106" s="373"/>
      <c r="ED106" s="373"/>
      <c r="EE106" s="373"/>
      <c r="EF106" s="618"/>
      <c r="EG106" s="374">
        <v>0</v>
      </c>
      <c r="EH106" s="869"/>
      <c r="EI106" s="373"/>
      <c r="EJ106" s="373"/>
      <c r="EK106" s="870"/>
      <c r="EL106" s="373"/>
      <c r="EM106" s="373"/>
      <c r="EN106" s="373"/>
      <c r="EO106" s="618"/>
      <c r="EP106" s="374">
        <v>0</v>
      </c>
      <c r="EQ106" s="869"/>
      <c r="ER106" s="373"/>
      <c r="ES106" s="373"/>
      <c r="ET106" s="870"/>
      <c r="EU106" s="373"/>
      <c r="EV106" s="373"/>
      <c r="EW106" s="373"/>
      <c r="EX106" s="618"/>
      <c r="EY106" s="374">
        <v>0</v>
      </c>
      <c r="EZ106" s="869"/>
      <c r="FA106" s="373"/>
      <c r="FB106" s="373"/>
      <c r="FC106" s="870"/>
      <c r="FD106" s="373"/>
      <c r="FE106" s="373"/>
      <c r="FF106" s="373"/>
      <c r="FG106" s="618"/>
      <c r="FH106" s="374">
        <v>0</v>
      </c>
      <c r="FI106" s="869"/>
      <c r="FJ106" s="373"/>
      <c r="FK106" s="373">
        <v>1</v>
      </c>
      <c r="FL106" s="870"/>
      <c r="FM106" s="373"/>
      <c r="FN106" s="373"/>
      <c r="FO106" s="373"/>
      <c r="FP106" s="618">
        <v>1</v>
      </c>
      <c r="FQ106" s="374">
        <v>0</v>
      </c>
      <c r="FR106" s="869"/>
      <c r="FS106" s="373"/>
      <c r="FT106" s="373"/>
      <c r="FU106" s="870"/>
      <c r="FV106" s="373"/>
      <c r="FW106" s="373"/>
      <c r="FX106" s="373"/>
      <c r="FY106" s="618"/>
      <c r="FZ106" s="374">
        <v>0</v>
      </c>
      <c r="GA106" s="869"/>
      <c r="GB106" s="373"/>
      <c r="GC106" s="373"/>
      <c r="GD106" s="870"/>
      <c r="GE106" s="373"/>
      <c r="GF106" s="373"/>
      <c r="GG106" s="373"/>
      <c r="GH106" s="618"/>
      <c r="GI106" s="374">
        <v>0</v>
      </c>
      <c r="GJ106" s="869">
        <v>3</v>
      </c>
      <c r="GK106" s="373">
        <v>4</v>
      </c>
      <c r="GL106" s="373">
        <v>4</v>
      </c>
      <c r="GM106" s="870">
        <v>5</v>
      </c>
      <c r="GN106" s="373">
        <v>3</v>
      </c>
      <c r="GO106" s="373">
        <v>3</v>
      </c>
      <c r="GP106" s="373">
        <v>2</v>
      </c>
      <c r="GQ106" s="618">
        <v>3</v>
      </c>
      <c r="GR106" s="374">
        <v>0</v>
      </c>
      <c r="GS106" s="869"/>
      <c r="GT106" s="373"/>
      <c r="GU106" s="373">
        <v>1</v>
      </c>
      <c r="GV106" s="870">
        <v>1</v>
      </c>
      <c r="GW106" s="373"/>
      <c r="GX106" s="373"/>
      <c r="GY106" s="373"/>
      <c r="GZ106" s="618"/>
      <c r="HA106" s="374">
        <v>0</v>
      </c>
      <c r="HB106" s="869"/>
      <c r="HC106" s="373"/>
      <c r="HD106" s="373"/>
      <c r="HE106" s="870"/>
      <c r="HF106" s="373"/>
      <c r="HG106" s="373"/>
      <c r="HH106" s="373"/>
      <c r="HI106" s="618"/>
      <c r="HJ106" s="374">
        <v>0</v>
      </c>
      <c r="HK106" s="869"/>
      <c r="HL106" s="373"/>
      <c r="HM106" s="373"/>
      <c r="HN106" s="870"/>
      <c r="HO106" s="373"/>
      <c r="HP106" s="373"/>
      <c r="HQ106" s="373"/>
      <c r="HR106" s="618"/>
      <c r="HS106" s="374">
        <v>0</v>
      </c>
      <c r="HT106" s="869"/>
      <c r="HU106" s="373"/>
      <c r="HV106" s="373">
        <v>1</v>
      </c>
      <c r="HW106" s="870">
        <v>8</v>
      </c>
      <c r="HX106" s="373">
        <v>1</v>
      </c>
      <c r="HY106" s="373">
        <v>1</v>
      </c>
      <c r="HZ106" s="373">
        <v>1</v>
      </c>
      <c r="IA106" s="618">
        <v>2</v>
      </c>
      <c r="IB106" s="374">
        <v>1</v>
      </c>
      <c r="IC106" s="869">
        <v>5</v>
      </c>
      <c r="ID106" s="373">
        <v>5</v>
      </c>
      <c r="IE106" s="373">
        <v>31</v>
      </c>
      <c r="IF106" s="870">
        <v>16</v>
      </c>
      <c r="IG106" s="373">
        <v>4</v>
      </c>
      <c r="IH106" s="373">
        <v>5</v>
      </c>
      <c r="II106" s="373">
        <v>4</v>
      </c>
      <c r="IJ106" s="618">
        <v>6</v>
      </c>
      <c r="IK106" s="374">
        <v>6</v>
      </c>
      <c r="IL106" s="377">
        <v>1</v>
      </c>
      <c r="IM106" s="373"/>
      <c r="IN106" s="373"/>
      <c r="IO106" s="871"/>
      <c r="IP106" s="871"/>
      <c r="IQ106" s="373"/>
      <c r="IR106" s="373">
        <v>2</v>
      </c>
      <c r="IS106" s="618">
        <v>1</v>
      </c>
      <c r="IT106" s="374">
        <v>0</v>
      </c>
    </row>
    <row r="107" spans="1:254" s="245" customFormat="1" ht="12.75" customHeight="1" x14ac:dyDescent="0.2">
      <c r="A107" s="1052"/>
      <c r="B107" s="868" t="s">
        <v>959</v>
      </c>
      <c r="C107" s="869"/>
      <c r="D107" s="373"/>
      <c r="E107" s="373"/>
      <c r="F107" s="870"/>
      <c r="G107" s="373"/>
      <c r="H107" s="373"/>
      <c r="I107" s="373"/>
      <c r="J107" s="618"/>
      <c r="K107" s="374">
        <v>0</v>
      </c>
      <c r="L107" s="869"/>
      <c r="M107" s="373"/>
      <c r="N107" s="373"/>
      <c r="O107" s="870"/>
      <c r="P107" s="373"/>
      <c r="Q107" s="373"/>
      <c r="R107" s="373"/>
      <c r="S107" s="618"/>
      <c r="T107" s="374">
        <v>0</v>
      </c>
      <c r="U107" s="869"/>
      <c r="V107" s="373"/>
      <c r="W107" s="373"/>
      <c r="X107" s="870"/>
      <c r="Y107" s="373"/>
      <c r="Z107" s="373"/>
      <c r="AA107" s="373"/>
      <c r="AB107" s="618"/>
      <c r="AC107" s="374">
        <v>0</v>
      </c>
      <c r="AD107" s="869">
        <v>1</v>
      </c>
      <c r="AE107" s="373"/>
      <c r="AF107" s="373"/>
      <c r="AG107" s="870"/>
      <c r="AH107" s="373"/>
      <c r="AI107" s="373"/>
      <c r="AJ107" s="373"/>
      <c r="AK107" s="618"/>
      <c r="AL107" s="374">
        <v>0</v>
      </c>
      <c r="AM107" s="869">
        <v>1</v>
      </c>
      <c r="AN107" s="373"/>
      <c r="AO107" s="373"/>
      <c r="AP107" s="870"/>
      <c r="AQ107" s="373"/>
      <c r="AR107" s="373"/>
      <c r="AS107" s="373"/>
      <c r="AT107" s="618"/>
      <c r="AU107" s="374">
        <v>0</v>
      </c>
      <c r="AV107" s="869"/>
      <c r="AW107" s="373"/>
      <c r="AX107" s="373"/>
      <c r="AY107" s="870"/>
      <c r="AZ107" s="373"/>
      <c r="BA107" s="373"/>
      <c r="BB107" s="373"/>
      <c r="BC107" s="618"/>
      <c r="BD107" s="374">
        <v>0</v>
      </c>
      <c r="BE107" s="869"/>
      <c r="BF107" s="373"/>
      <c r="BG107" s="373"/>
      <c r="BH107" s="870"/>
      <c r="BI107" s="373"/>
      <c r="BJ107" s="373"/>
      <c r="BK107" s="373"/>
      <c r="BL107" s="618"/>
      <c r="BM107" s="374">
        <v>0</v>
      </c>
      <c r="BN107" s="869"/>
      <c r="BO107" s="373"/>
      <c r="BP107" s="373"/>
      <c r="BQ107" s="870"/>
      <c r="BR107" s="373"/>
      <c r="BS107" s="373"/>
      <c r="BT107" s="373"/>
      <c r="BU107" s="618"/>
      <c r="BV107" s="374">
        <v>0</v>
      </c>
      <c r="BW107" s="869"/>
      <c r="BX107" s="373"/>
      <c r="BY107" s="373"/>
      <c r="BZ107" s="870"/>
      <c r="CA107" s="373"/>
      <c r="CB107" s="373"/>
      <c r="CC107" s="373"/>
      <c r="CD107" s="618"/>
      <c r="CE107" s="374">
        <v>0</v>
      </c>
      <c r="CF107" s="869"/>
      <c r="CG107" s="373"/>
      <c r="CH107" s="373"/>
      <c r="CI107" s="870"/>
      <c r="CJ107" s="373"/>
      <c r="CK107" s="373"/>
      <c r="CL107" s="373"/>
      <c r="CM107" s="618"/>
      <c r="CN107" s="374">
        <v>0</v>
      </c>
      <c r="CO107" s="869"/>
      <c r="CP107" s="373"/>
      <c r="CQ107" s="373"/>
      <c r="CR107" s="870"/>
      <c r="CS107" s="373"/>
      <c r="CT107" s="373"/>
      <c r="CU107" s="373"/>
      <c r="CV107" s="618"/>
      <c r="CW107" s="374">
        <v>0</v>
      </c>
      <c r="CX107" s="869"/>
      <c r="CY107" s="373"/>
      <c r="CZ107" s="373">
        <v>1</v>
      </c>
      <c r="DA107" s="870"/>
      <c r="DB107" s="373">
        <v>1</v>
      </c>
      <c r="DC107" s="373"/>
      <c r="DD107" s="373">
        <v>3</v>
      </c>
      <c r="DE107" s="618"/>
      <c r="DF107" s="374">
        <v>1</v>
      </c>
      <c r="DG107" s="869"/>
      <c r="DH107" s="373"/>
      <c r="DI107" s="373"/>
      <c r="DJ107" s="870"/>
      <c r="DK107" s="373"/>
      <c r="DL107" s="373"/>
      <c r="DM107" s="373"/>
      <c r="DN107" s="618"/>
      <c r="DO107" s="374">
        <v>0</v>
      </c>
      <c r="DP107" s="869"/>
      <c r="DQ107" s="373"/>
      <c r="DR107" s="373"/>
      <c r="DS107" s="870"/>
      <c r="DT107" s="373"/>
      <c r="DU107" s="373"/>
      <c r="DV107" s="373"/>
      <c r="DW107" s="618"/>
      <c r="DX107" s="374">
        <v>0</v>
      </c>
      <c r="DY107" s="869"/>
      <c r="DZ107" s="373"/>
      <c r="EA107" s="373"/>
      <c r="EB107" s="870"/>
      <c r="EC107" s="373"/>
      <c r="ED107" s="373"/>
      <c r="EE107" s="373">
        <v>1</v>
      </c>
      <c r="EF107" s="618"/>
      <c r="EG107" s="374">
        <v>0</v>
      </c>
      <c r="EH107" s="869"/>
      <c r="EI107" s="373"/>
      <c r="EJ107" s="373"/>
      <c r="EK107" s="870"/>
      <c r="EL107" s="373"/>
      <c r="EM107" s="373"/>
      <c r="EN107" s="373"/>
      <c r="EO107" s="618"/>
      <c r="EP107" s="374">
        <v>0</v>
      </c>
      <c r="EQ107" s="869"/>
      <c r="ER107" s="373"/>
      <c r="ES107" s="373"/>
      <c r="ET107" s="870"/>
      <c r="EU107" s="373"/>
      <c r="EV107" s="373"/>
      <c r="EW107" s="373"/>
      <c r="EX107" s="618"/>
      <c r="EY107" s="374">
        <v>0</v>
      </c>
      <c r="EZ107" s="869"/>
      <c r="FA107" s="373"/>
      <c r="FB107" s="373"/>
      <c r="FC107" s="870"/>
      <c r="FD107" s="373"/>
      <c r="FE107" s="373"/>
      <c r="FF107" s="373"/>
      <c r="FG107" s="618"/>
      <c r="FH107" s="374">
        <v>0</v>
      </c>
      <c r="FI107" s="869">
        <v>1</v>
      </c>
      <c r="FJ107" s="373">
        <v>1</v>
      </c>
      <c r="FK107" s="373"/>
      <c r="FL107" s="870">
        <v>1</v>
      </c>
      <c r="FM107" s="373"/>
      <c r="FN107" s="373"/>
      <c r="FO107" s="373"/>
      <c r="FP107" s="618"/>
      <c r="FQ107" s="374">
        <v>0</v>
      </c>
      <c r="FR107" s="869"/>
      <c r="FS107" s="373"/>
      <c r="FT107" s="373"/>
      <c r="FU107" s="870"/>
      <c r="FV107" s="373"/>
      <c r="FW107" s="373"/>
      <c r="FX107" s="373"/>
      <c r="FY107" s="618"/>
      <c r="FZ107" s="374">
        <v>0</v>
      </c>
      <c r="GA107" s="869"/>
      <c r="GB107" s="373"/>
      <c r="GC107" s="373"/>
      <c r="GD107" s="870"/>
      <c r="GE107" s="373"/>
      <c r="GF107" s="373"/>
      <c r="GG107" s="373"/>
      <c r="GH107" s="618"/>
      <c r="GI107" s="374">
        <v>0</v>
      </c>
      <c r="GJ107" s="869">
        <v>2</v>
      </c>
      <c r="GK107" s="373">
        <v>1</v>
      </c>
      <c r="GL107" s="373">
        <v>1</v>
      </c>
      <c r="GM107" s="870">
        <v>1</v>
      </c>
      <c r="GN107" s="373">
        <v>1</v>
      </c>
      <c r="GO107" s="373"/>
      <c r="GP107" s="373">
        <v>3</v>
      </c>
      <c r="GQ107" s="618"/>
      <c r="GR107" s="374">
        <v>1</v>
      </c>
      <c r="GS107" s="869">
        <v>1</v>
      </c>
      <c r="GT107" s="373"/>
      <c r="GU107" s="373"/>
      <c r="GV107" s="870"/>
      <c r="GW107" s="373"/>
      <c r="GX107" s="373"/>
      <c r="GY107" s="373"/>
      <c r="GZ107" s="618"/>
      <c r="HA107" s="374">
        <v>0</v>
      </c>
      <c r="HB107" s="869"/>
      <c r="HC107" s="373"/>
      <c r="HD107" s="373"/>
      <c r="HE107" s="870"/>
      <c r="HF107" s="373"/>
      <c r="HG107" s="373"/>
      <c r="HH107" s="373"/>
      <c r="HI107" s="618"/>
      <c r="HJ107" s="374">
        <v>0</v>
      </c>
      <c r="HK107" s="869"/>
      <c r="HL107" s="373"/>
      <c r="HM107" s="373"/>
      <c r="HN107" s="870"/>
      <c r="HO107" s="373"/>
      <c r="HP107" s="373"/>
      <c r="HQ107" s="373"/>
      <c r="HR107" s="618"/>
      <c r="HS107" s="374">
        <v>0</v>
      </c>
      <c r="HT107" s="869">
        <v>2</v>
      </c>
      <c r="HU107" s="373"/>
      <c r="HV107" s="373"/>
      <c r="HW107" s="870"/>
      <c r="HX107" s="373"/>
      <c r="HY107" s="373"/>
      <c r="HZ107" s="373"/>
      <c r="IA107" s="618"/>
      <c r="IB107" s="374">
        <v>0</v>
      </c>
      <c r="IC107" s="869">
        <v>6</v>
      </c>
      <c r="ID107" s="373">
        <v>1</v>
      </c>
      <c r="IE107" s="373">
        <v>1</v>
      </c>
      <c r="IF107" s="870">
        <v>2</v>
      </c>
      <c r="IG107" s="373">
        <v>2</v>
      </c>
      <c r="IH107" s="373"/>
      <c r="II107" s="373">
        <v>3</v>
      </c>
      <c r="IJ107" s="618">
        <v>2</v>
      </c>
      <c r="IK107" s="374">
        <v>3</v>
      </c>
      <c r="IL107" s="377"/>
      <c r="IM107" s="373"/>
      <c r="IN107" s="373"/>
      <c r="IO107" s="871"/>
      <c r="IP107" s="871"/>
      <c r="IQ107" s="373"/>
      <c r="IR107" s="373">
        <v>2</v>
      </c>
      <c r="IS107" s="618"/>
      <c r="IT107" s="374">
        <v>0</v>
      </c>
    </row>
    <row r="108" spans="1:254" s="245" customFormat="1" ht="12.75" customHeight="1" x14ac:dyDescent="0.2">
      <c r="A108" s="1052"/>
      <c r="B108" s="868" t="s">
        <v>960</v>
      </c>
      <c r="C108" s="869"/>
      <c r="D108" s="373"/>
      <c r="E108" s="373"/>
      <c r="F108" s="870"/>
      <c r="G108" s="373"/>
      <c r="H108" s="373"/>
      <c r="I108" s="373"/>
      <c r="J108" s="618"/>
      <c r="K108" s="374">
        <v>0</v>
      </c>
      <c r="L108" s="869"/>
      <c r="M108" s="373"/>
      <c r="N108" s="373"/>
      <c r="O108" s="870"/>
      <c r="P108" s="373"/>
      <c r="Q108" s="373"/>
      <c r="R108" s="373"/>
      <c r="S108" s="618"/>
      <c r="T108" s="374">
        <v>0</v>
      </c>
      <c r="U108" s="869"/>
      <c r="V108" s="373"/>
      <c r="W108" s="373"/>
      <c r="X108" s="870"/>
      <c r="Y108" s="373"/>
      <c r="Z108" s="373"/>
      <c r="AA108" s="373"/>
      <c r="AB108" s="618"/>
      <c r="AC108" s="374">
        <v>0</v>
      </c>
      <c r="AD108" s="869"/>
      <c r="AE108" s="373"/>
      <c r="AF108" s="373"/>
      <c r="AG108" s="870">
        <v>1</v>
      </c>
      <c r="AH108" s="373"/>
      <c r="AI108" s="373"/>
      <c r="AJ108" s="373"/>
      <c r="AK108" s="618"/>
      <c r="AL108" s="374">
        <v>0</v>
      </c>
      <c r="AM108" s="869"/>
      <c r="AN108" s="373"/>
      <c r="AO108" s="373"/>
      <c r="AP108" s="870">
        <v>1</v>
      </c>
      <c r="AQ108" s="373"/>
      <c r="AR108" s="373"/>
      <c r="AS108" s="373"/>
      <c r="AT108" s="618"/>
      <c r="AU108" s="374">
        <v>0</v>
      </c>
      <c r="AV108" s="869"/>
      <c r="AW108" s="373"/>
      <c r="AX108" s="373"/>
      <c r="AY108" s="870"/>
      <c r="AZ108" s="373"/>
      <c r="BA108" s="373"/>
      <c r="BB108" s="373"/>
      <c r="BC108" s="618"/>
      <c r="BD108" s="374">
        <v>0</v>
      </c>
      <c r="BE108" s="869"/>
      <c r="BF108" s="373"/>
      <c r="BG108" s="373"/>
      <c r="BH108" s="870"/>
      <c r="BI108" s="373"/>
      <c r="BJ108" s="373"/>
      <c r="BK108" s="373"/>
      <c r="BL108" s="618"/>
      <c r="BM108" s="374">
        <v>0</v>
      </c>
      <c r="BN108" s="869"/>
      <c r="BO108" s="373"/>
      <c r="BP108" s="373"/>
      <c r="BQ108" s="870"/>
      <c r="BR108" s="373"/>
      <c r="BS108" s="373"/>
      <c r="BT108" s="373"/>
      <c r="BU108" s="618"/>
      <c r="BV108" s="374">
        <v>0</v>
      </c>
      <c r="BW108" s="869"/>
      <c r="BX108" s="373"/>
      <c r="BY108" s="373"/>
      <c r="BZ108" s="870">
        <v>1</v>
      </c>
      <c r="CA108" s="373"/>
      <c r="CB108" s="373"/>
      <c r="CC108" s="373"/>
      <c r="CD108" s="618"/>
      <c r="CE108" s="374">
        <v>0</v>
      </c>
      <c r="CF108" s="869"/>
      <c r="CG108" s="373"/>
      <c r="CH108" s="373"/>
      <c r="CI108" s="870"/>
      <c r="CJ108" s="373"/>
      <c r="CK108" s="373"/>
      <c r="CL108" s="373"/>
      <c r="CM108" s="618"/>
      <c r="CN108" s="374">
        <v>0</v>
      </c>
      <c r="CO108" s="869"/>
      <c r="CP108" s="373"/>
      <c r="CQ108" s="373"/>
      <c r="CR108" s="870"/>
      <c r="CS108" s="373"/>
      <c r="CT108" s="373"/>
      <c r="CU108" s="373"/>
      <c r="CV108" s="618"/>
      <c r="CW108" s="374">
        <v>0</v>
      </c>
      <c r="CX108" s="869">
        <v>1</v>
      </c>
      <c r="CY108" s="373"/>
      <c r="CZ108" s="373">
        <v>1</v>
      </c>
      <c r="DA108" s="870"/>
      <c r="DB108" s="373"/>
      <c r="DC108" s="373"/>
      <c r="DD108" s="373">
        <v>1</v>
      </c>
      <c r="DE108" s="618"/>
      <c r="DF108" s="374">
        <v>0</v>
      </c>
      <c r="DG108" s="869"/>
      <c r="DH108" s="373"/>
      <c r="DI108" s="373"/>
      <c r="DJ108" s="870"/>
      <c r="DK108" s="373"/>
      <c r="DL108" s="373"/>
      <c r="DM108" s="373"/>
      <c r="DN108" s="618"/>
      <c r="DO108" s="374">
        <v>0</v>
      </c>
      <c r="DP108" s="869"/>
      <c r="DQ108" s="373"/>
      <c r="DR108" s="373"/>
      <c r="DS108" s="870"/>
      <c r="DT108" s="373"/>
      <c r="DU108" s="373"/>
      <c r="DV108" s="373"/>
      <c r="DW108" s="618"/>
      <c r="DX108" s="374">
        <v>0</v>
      </c>
      <c r="DY108" s="869"/>
      <c r="DZ108" s="373"/>
      <c r="EA108" s="373"/>
      <c r="EB108" s="870"/>
      <c r="EC108" s="373"/>
      <c r="ED108" s="373"/>
      <c r="EE108" s="373"/>
      <c r="EF108" s="618"/>
      <c r="EG108" s="374">
        <v>0</v>
      </c>
      <c r="EH108" s="869"/>
      <c r="EI108" s="373"/>
      <c r="EJ108" s="373"/>
      <c r="EK108" s="870"/>
      <c r="EL108" s="373"/>
      <c r="EM108" s="373"/>
      <c r="EN108" s="373"/>
      <c r="EO108" s="618"/>
      <c r="EP108" s="374">
        <v>0</v>
      </c>
      <c r="EQ108" s="869"/>
      <c r="ER108" s="373"/>
      <c r="ES108" s="373"/>
      <c r="ET108" s="870"/>
      <c r="EU108" s="373"/>
      <c r="EV108" s="373"/>
      <c r="EW108" s="373"/>
      <c r="EX108" s="618"/>
      <c r="EY108" s="374">
        <v>0</v>
      </c>
      <c r="EZ108" s="869"/>
      <c r="FA108" s="373"/>
      <c r="FB108" s="373"/>
      <c r="FC108" s="870"/>
      <c r="FD108" s="373"/>
      <c r="FE108" s="373"/>
      <c r="FF108" s="373"/>
      <c r="FG108" s="618"/>
      <c r="FH108" s="374">
        <v>0</v>
      </c>
      <c r="FI108" s="869"/>
      <c r="FJ108" s="373"/>
      <c r="FK108" s="373"/>
      <c r="FL108" s="870"/>
      <c r="FM108" s="373"/>
      <c r="FN108" s="373"/>
      <c r="FO108" s="373"/>
      <c r="FP108" s="618"/>
      <c r="FQ108" s="374">
        <v>0</v>
      </c>
      <c r="FR108" s="869"/>
      <c r="FS108" s="373"/>
      <c r="FT108" s="373"/>
      <c r="FU108" s="870"/>
      <c r="FV108" s="373"/>
      <c r="FW108" s="373"/>
      <c r="FX108" s="373"/>
      <c r="FY108" s="618"/>
      <c r="FZ108" s="374">
        <v>0</v>
      </c>
      <c r="GA108" s="869"/>
      <c r="GB108" s="373"/>
      <c r="GC108" s="373"/>
      <c r="GD108" s="870"/>
      <c r="GE108" s="373"/>
      <c r="GF108" s="373"/>
      <c r="GG108" s="373"/>
      <c r="GH108" s="618"/>
      <c r="GI108" s="374">
        <v>0</v>
      </c>
      <c r="GJ108" s="869">
        <v>1</v>
      </c>
      <c r="GK108" s="373"/>
      <c r="GL108" s="373">
        <v>1</v>
      </c>
      <c r="GM108" s="870">
        <v>2</v>
      </c>
      <c r="GN108" s="373"/>
      <c r="GO108" s="373"/>
      <c r="GP108" s="373">
        <v>1</v>
      </c>
      <c r="GQ108" s="618"/>
      <c r="GR108" s="374">
        <v>0</v>
      </c>
      <c r="GS108" s="869"/>
      <c r="GT108" s="373"/>
      <c r="GU108" s="373">
        <v>1</v>
      </c>
      <c r="GV108" s="870">
        <v>1</v>
      </c>
      <c r="GW108" s="373"/>
      <c r="GX108" s="373"/>
      <c r="GY108" s="373"/>
      <c r="GZ108" s="618"/>
      <c r="HA108" s="374">
        <v>0</v>
      </c>
      <c r="HB108" s="869"/>
      <c r="HC108" s="373"/>
      <c r="HD108" s="373"/>
      <c r="HE108" s="870"/>
      <c r="HF108" s="373"/>
      <c r="HG108" s="373"/>
      <c r="HH108" s="373"/>
      <c r="HI108" s="618"/>
      <c r="HJ108" s="374">
        <v>0</v>
      </c>
      <c r="HK108" s="869"/>
      <c r="HL108" s="373"/>
      <c r="HM108" s="373"/>
      <c r="HN108" s="870"/>
      <c r="HO108" s="373"/>
      <c r="HP108" s="373"/>
      <c r="HQ108" s="373"/>
      <c r="HR108" s="618"/>
      <c r="HS108" s="374">
        <v>0</v>
      </c>
      <c r="HT108" s="869"/>
      <c r="HU108" s="373"/>
      <c r="HV108" s="373">
        <v>1</v>
      </c>
      <c r="HW108" s="870">
        <v>1</v>
      </c>
      <c r="HX108" s="373"/>
      <c r="HY108" s="373"/>
      <c r="HZ108" s="373"/>
      <c r="IA108" s="618"/>
      <c r="IB108" s="374">
        <v>1</v>
      </c>
      <c r="IC108" s="869">
        <v>1</v>
      </c>
      <c r="ID108" s="373"/>
      <c r="IE108" s="373">
        <v>1</v>
      </c>
      <c r="IF108" s="870">
        <v>6</v>
      </c>
      <c r="IG108" s="373"/>
      <c r="IH108" s="373"/>
      <c r="II108" s="373">
        <v>1</v>
      </c>
      <c r="IJ108" s="618">
        <v>1</v>
      </c>
      <c r="IK108" s="374">
        <v>1</v>
      </c>
      <c r="IL108" s="377"/>
      <c r="IM108" s="373"/>
      <c r="IN108" s="373"/>
      <c r="IO108" s="871"/>
      <c r="IP108" s="871"/>
      <c r="IQ108" s="373"/>
      <c r="IR108" s="373"/>
      <c r="IS108" s="618"/>
      <c r="IT108" s="374">
        <v>0</v>
      </c>
    </row>
    <row r="109" spans="1:254" s="245" customFormat="1" ht="12.75" customHeight="1" x14ac:dyDescent="0.2">
      <c r="A109" s="1052"/>
      <c r="B109" s="868" t="s">
        <v>961</v>
      </c>
      <c r="C109" s="869"/>
      <c r="D109" s="373"/>
      <c r="E109" s="373"/>
      <c r="F109" s="870"/>
      <c r="G109" s="373"/>
      <c r="H109" s="373"/>
      <c r="I109" s="373"/>
      <c r="J109" s="618"/>
      <c r="K109" s="374">
        <v>0</v>
      </c>
      <c r="L109" s="869"/>
      <c r="M109" s="373"/>
      <c r="N109" s="373"/>
      <c r="O109" s="870"/>
      <c r="P109" s="373"/>
      <c r="Q109" s="373"/>
      <c r="R109" s="373"/>
      <c r="S109" s="618"/>
      <c r="T109" s="374">
        <v>0</v>
      </c>
      <c r="U109" s="869"/>
      <c r="V109" s="373"/>
      <c r="W109" s="373"/>
      <c r="X109" s="870"/>
      <c r="Y109" s="373"/>
      <c r="Z109" s="373"/>
      <c r="AA109" s="373"/>
      <c r="AB109" s="618"/>
      <c r="AC109" s="374">
        <v>0</v>
      </c>
      <c r="AD109" s="869">
        <v>1</v>
      </c>
      <c r="AE109" s="373">
        <v>1</v>
      </c>
      <c r="AF109" s="373"/>
      <c r="AG109" s="870"/>
      <c r="AH109" s="373"/>
      <c r="AI109" s="373"/>
      <c r="AJ109" s="373"/>
      <c r="AK109" s="618">
        <v>1</v>
      </c>
      <c r="AL109" s="374">
        <v>2</v>
      </c>
      <c r="AM109" s="869">
        <v>1</v>
      </c>
      <c r="AN109" s="373">
        <v>1</v>
      </c>
      <c r="AO109" s="373"/>
      <c r="AP109" s="870"/>
      <c r="AQ109" s="373"/>
      <c r="AR109" s="373"/>
      <c r="AS109" s="373"/>
      <c r="AT109" s="618">
        <v>1</v>
      </c>
      <c r="AU109" s="374">
        <v>0</v>
      </c>
      <c r="AV109" s="869"/>
      <c r="AW109" s="373"/>
      <c r="AX109" s="373"/>
      <c r="AY109" s="870"/>
      <c r="AZ109" s="373"/>
      <c r="BA109" s="373"/>
      <c r="BB109" s="373"/>
      <c r="BC109" s="618"/>
      <c r="BD109" s="374">
        <v>0</v>
      </c>
      <c r="BE109" s="869"/>
      <c r="BF109" s="373"/>
      <c r="BG109" s="373"/>
      <c r="BH109" s="870"/>
      <c r="BI109" s="373"/>
      <c r="BJ109" s="373"/>
      <c r="BK109" s="373"/>
      <c r="BL109" s="618"/>
      <c r="BM109" s="374">
        <v>0</v>
      </c>
      <c r="BN109" s="869"/>
      <c r="BO109" s="373"/>
      <c r="BP109" s="373"/>
      <c r="BQ109" s="870"/>
      <c r="BR109" s="373"/>
      <c r="BS109" s="373"/>
      <c r="BT109" s="373"/>
      <c r="BU109" s="618"/>
      <c r="BV109" s="374">
        <v>0</v>
      </c>
      <c r="BW109" s="869">
        <v>1</v>
      </c>
      <c r="BX109" s="373">
        <v>1</v>
      </c>
      <c r="BY109" s="373"/>
      <c r="BZ109" s="870"/>
      <c r="CA109" s="373">
        <v>1</v>
      </c>
      <c r="CB109" s="373"/>
      <c r="CC109" s="373"/>
      <c r="CD109" s="618"/>
      <c r="CE109" s="374">
        <v>1</v>
      </c>
      <c r="CF109" s="869"/>
      <c r="CG109" s="373"/>
      <c r="CH109" s="373"/>
      <c r="CI109" s="870"/>
      <c r="CJ109" s="373"/>
      <c r="CK109" s="373"/>
      <c r="CL109" s="373"/>
      <c r="CM109" s="618"/>
      <c r="CN109" s="374">
        <v>0</v>
      </c>
      <c r="CO109" s="869"/>
      <c r="CP109" s="373"/>
      <c r="CQ109" s="373"/>
      <c r="CR109" s="870"/>
      <c r="CS109" s="373"/>
      <c r="CT109" s="373"/>
      <c r="CU109" s="373"/>
      <c r="CV109" s="618"/>
      <c r="CW109" s="374">
        <v>0</v>
      </c>
      <c r="CX109" s="869">
        <v>15</v>
      </c>
      <c r="CY109" s="373">
        <v>5</v>
      </c>
      <c r="CZ109" s="373">
        <v>5</v>
      </c>
      <c r="DA109" s="870">
        <v>5</v>
      </c>
      <c r="DB109" s="373">
        <v>5</v>
      </c>
      <c r="DC109" s="373">
        <v>7</v>
      </c>
      <c r="DD109" s="373">
        <v>1</v>
      </c>
      <c r="DE109" s="618">
        <v>1</v>
      </c>
      <c r="DF109" s="374">
        <v>1</v>
      </c>
      <c r="DG109" s="869"/>
      <c r="DH109" s="373"/>
      <c r="DI109" s="373"/>
      <c r="DJ109" s="870"/>
      <c r="DK109" s="373"/>
      <c r="DL109" s="373"/>
      <c r="DM109" s="373"/>
      <c r="DN109" s="618"/>
      <c r="DO109" s="374">
        <v>0</v>
      </c>
      <c r="DP109" s="869">
        <v>1</v>
      </c>
      <c r="DQ109" s="373"/>
      <c r="DR109" s="373"/>
      <c r="DS109" s="870"/>
      <c r="DT109" s="373"/>
      <c r="DU109" s="373"/>
      <c r="DV109" s="373"/>
      <c r="DW109" s="618"/>
      <c r="DX109" s="374">
        <v>0</v>
      </c>
      <c r="DY109" s="869">
        <v>2</v>
      </c>
      <c r="DZ109" s="373">
        <v>2</v>
      </c>
      <c r="EA109" s="373"/>
      <c r="EB109" s="870">
        <v>1</v>
      </c>
      <c r="EC109" s="373">
        <v>1</v>
      </c>
      <c r="ED109" s="373">
        <v>1</v>
      </c>
      <c r="EE109" s="373"/>
      <c r="EF109" s="618"/>
      <c r="EG109" s="374">
        <v>0</v>
      </c>
      <c r="EH109" s="869"/>
      <c r="EI109" s="373"/>
      <c r="EJ109" s="373"/>
      <c r="EK109" s="870"/>
      <c r="EL109" s="373"/>
      <c r="EM109" s="373"/>
      <c r="EN109" s="373"/>
      <c r="EO109" s="618"/>
      <c r="EP109" s="374">
        <v>0</v>
      </c>
      <c r="EQ109" s="869"/>
      <c r="ER109" s="373"/>
      <c r="ES109" s="373"/>
      <c r="ET109" s="870"/>
      <c r="EU109" s="373"/>
      <c r="EV109" s="373"/>
      <c r="EW109" s="373"/>
      <c r="EX109" s="618"/>
      <c r="EY109" s="374">
        <v>0</v>
      </c>
      <c r="EZ109" s="869"/>
      <c r="FA109" s="373"/>
      <c r="FB109" s="373"/>
      <c r="FC109" s="870"/>
      <c r="FD109" s="373"/>
      <c r="FE109" s="373"/>
      <c r="FF109" s="373"/>
      <c r="FG109" s="618"/>
      <c r="FH109" s="374">
        <v>1</v>
      </c>
      <c r="FI109" s="869">
        <v>2</v>
      </c>
      <c r="FJ109" s="373"/>
      <c r="FK109" s="373">
        <v>1</v>
      </c>
      <c r="FL109" s="870">
        <v>1</v>
      </c>
      <c r="FM109" s="373">
        <v>1</v>
      </c>
      <c r="FN109" s="373"/>
      <c r="FO109" s="373"/>
      <c r="FP109" s="618"/>
      <c r="FQ109" s="374">
        <v>1</v>
      </c>
      <c r="FR109" s="869"/>
      <c r="FS109" s="373"/>
      <c r="FT109" s="373"/>
      <c r="FU109" s="870"/>
      <c r="FV109" s="373"/>
      <c r="FW109" s="373"/>
      <c r="FX109" s="373"/>
      <c r="FY109" s="618"/>
      <c r="FZ109" s="374">
        <v>0</v>
      </c>
      <c r="GA109" s="869"/>
      <c r="GB109" s="373"/>
      <c r="GC109" s="373"/>
      <c r="GD109" s="870"/>
      <c r="GE109" s="373"/>
      <c r="GF109" s="373"/>
      <c r="GG109" s="373"/>
      <c r="GH109" s="618"/>
      <c r="GI109" s="374">
        <v>0</v>
      </c>
      <c r="GJ109" s="869">
        <v>19</v>
      </c>
      <c r="GK109" s="373">
        <v>7</v>
      </c>
      <c r="GL109" s="373">
        <v>6</v>
      </c>
      <c r="GM109" s="870">
        <v>6</v>
      </c>
      <c r="GN109" s="373">
        <v>7</v>
      </c>
      <c r="GO109" s="373">
        <v>7</v>
      </c>
      <c r="GP109" s="373">
        <v>1</v>
      </c>
      <c r="GQ109" s="618">
        <v>2</v>
      </c>
      <c r="GR109" s="374">
        <v>6</v>
      </c>
      <c r="GS109" s="869">
        <v>4</v>
      </c>
      <c r="GT109" s="373"/>
      <c r="GU109" s="373">
        <v>3</v>
      </c>
      <c r="GV109" s="870">
        <v>3</v>
      </c>
      <c r="GW109" s="373">
        <v>2</v>
      </c>
      <c r="GX109" s="373"/>
      <c r="GY109" s="373"/>
      <c r="GZ109" s="618"/>
      <c r="HA109" s="374">
        <v>0</v>
      </c>
      <c r="HB109" s="869"/>
      <c r="HC109" s="373"/>
      <c r="HD109" s="373"/>
      <c r="HE109" s="870"/>
      <c r="HF109" s="373"/>
      <c r="HG109" s="373"/>
      <c r="HH109" s="373"/>
      <c r="HI109" s="618"/>
      <c r="HJ109" s="374">
        <v>0</v>
      </c>
      <c r="HK109" s="869"/>
      <c r="HL109" s="373"/>
      <c r="HM109" s="373"/>
      <c r="HN109" s="870"/>
      <c r="HO109" s="373"/>
      <c r="HP109" s="373"/>
      <c r="HQ109" s="373"/>
      <c r="HR109" s="618"/>
      <c r="HS109" s="374">
        <v>0</v>
      </c>
      <c r="HT109" s="869">
        <v>4</v>
      </c>
      <c r="HU109" s="373"/>
      <c r="HV109" s="373">
        <v>3</v>
      </c>
      <c r="HW109" s="870">
        <v>4</v>
      </c>
      <c r="HX109" s="373">
        <v>3</v>
      </c>
      <c r="HY109" s="373"/>
      <c r="HZ109" s="373">
        <v>1</v>
      </c>
      <c r="IA109" s="618"/>
      <c r="IB109" s="374">
        <v>3</v>
      </c>
      <c r="IC109" s="869">
        <v>22</v>
      </c>
      <c r="ID109" s="373">
        <v>13</v>
      </c>
      <c r="IE109" s="373">
        <v>7</v>
      </c>
      <c r="IF109" s="870">
        <v>11</v>
      </c>
      <c r="IG109" s="373">
        <v>13</v>
      </c>
      <c r="IH109" s="373">
        <v>12</v>
      </c>
      <c r="II109" s="373">
        <v>5</v>
      </c>
      <c r="IJ109" s="618">
        <v>4</v>
      </c>
      <c r="IK109" s="374">
        <v>10</v>
      </c>
      <c r="IL109" s="377">
        <v>10</v>
      </c>
      <c r="IM109" s="373">
        <v>2</v>
      </c>
      <c r="IN109" s="373"/>
      <c r="IO109" s="871">
        <v>1</v>
      </c>
      <c r="IP109" s="871"/>
      <c r="IQ109" s="373">
        <v>2</v>
      </c>
      <c r="IR109" s="373"/>
      <c r="IS109" s="618"/>
      <c r="IT109" s="374">
        <v>0</v>
      </c>
    </row>
    <row r="110" spans="1:254" s="245" customFormat="1" ht="12.75" customHeight="1" x14ac:dyDescent="0.2">
      <c r="A110" s="1052"/>
      <c r="B110" s="868" t="s">
        <v>962</v>
      </c>
      <c r="C110" s="869"/>
      <c r="D110" s="373"/>
      <c r="E110" s="373"/>
      <c r="F110" s="870"/>
      <c r="G110" s="373"/>
      <c r="H110" s="373"/>
      <c r="I110" s="373"/>
      <c r="J110" s="618"/>
      <c r="K110" s="374">
        <v>0</v>
      </c>
      <c r="L110" s="869"/>
      <c r="M110" s="373"/>
      <c r="N110" s="373"/>
      <c r="O110" s="870"/>
      <c r="P110" s="373"/>
      <c r="Q110" s="373"/>
      <c r="R110" s="373"/>
      <c r="S110" s="618"/>
      <c r="T110" s="374">
        <v>0</v>
      </c>
      <c r="U110" s="869"/>
      <c r="V110" s="373"/>
      <c r="W110" s="373"/>
      <c r="X110" s="870"/>
      <c r="Y110" s="373"/>
      <c r="Z110" s="373"/>
      <c r="AA110" s="373"/>
      <c r="AB110" s="618"/>
      <c r="AC110" s="374">
        <v>0</v>
      </c>
      <c r="AD110" s="869"/>
      <c r="AE110" s="373"/>
      <c r="AF110" s="373"/>
      <c r="AG110" s="870"/>
      <c r="AH110" s="373"/>
      <c r="AI110" s="373"/>
      <c r="AJ110" s="373"/>
      <c r="AK110" s="618"/>
      <c r="AL110" s="374">
        <v>0</v>
      </c>
      <c r="AM110" s="869"/>
      <c r="AN110" s="373"/>
      <c r="AO110" s="373"/>
      <c r="AP110" s="870"/>
      <c r="AQ110" s="373"/>
      <c r="AR110" s="373"/>
      <c r="AS110" s="373"/>
      <c r="AT110" s="618"/>
      <c r="AU110" s="374">
        <v>0</v>
      </c>
      <c r="AV110" s="869"/>
      <c r="AW110" s="373"/>
      <c r="AX110" s="373"/>
      <c r="AY110" s="870"/>
      <c r="AZ110" s="373"/>
      <c r="BA110" s="373"/>
      <c r="BB110" s="373"/>
      <c r="BC110" s="618"/>
      <c r="BD110" s="374">
        <v>0</v>
      </c>
      <c r="BE110" s="869"/>
      <c r="BF110" s="373"/>
      <c r="BG110" s="373"/>
      <c r="BH110" s="870"/>
      <c r="BI110" s="373"/>
      <c r="BJ110" s="373"/>
      <c r="BK110" s="373"/>
      <c r="BL110" s="618"/>
      <c r="BM110" s="374">
        <v>0</v>
      </c>
      <c r="BN110" s="869"/>
      <c r="BO110" s="373"/>
      <c r="BP110" s="373"/>
      <c r="BQ110" s="870"/>
      <c r="BR110" s="373"/>
      <c r="BS110" s="373"/>
      <c r="BT110" s="373"/>
      <c r="BU110" s="618"/>
      <c r="BV110" s="374">
        <v>0</v>
      </c>
      <c r="BW110" s="869"/>
      <c r="BX110" s="373">
        <v>1</v>
      </c>
      <c r="BY110" s="373"/>
      <c r="BZ110" s="870"/>
      <c r="CA110" s="373">
        <v>1</v>
      </c>
      <c r="CB110" s="373"/>
      <c r="CC110" s="373">
        <v>1</v>
      </c>
      <c r="CD110" s="618"/>
      <c r="CE110" s="374">
        <v>0</v>
      </c>
      <c r="CF110" s="869"/>
      <c r="CG110" s="373"/>
      <c r="CH110" s="373"/>
      <c r="CI110" s="870"/>
      <c r="CJ110" s="373"/>
      <c r="CK110" s="373"/>
      <c r="CL110" s="373"/>
      <c r="CM110" s="618"/>
      <c r="CN110" s="374">
        <v>0</v>
      </c>
      <c r="CO110" s="869"/>
      <c r="CP110" s="373"/>
      <c r="CQ110" s="373"/>
      <c r="CR110" s="870"/>
      <c r="CS110" s="373"/>
      <c r="CT110" s="373"/>
      <c r="CU110" s="373"/>
      <c r="CV110" s="618"/>
      <c r="CW110" s="374">
        <v>0</v>
      </c>
      <c r="CX110" s="869">
        <v>8</v>
      </c>
      <c r="CY110" s="373">
        <v>3</v>
      </c>
      <c r="CZ110" s="373">
        <v>4</v>
      </c>
      <c r="DA110" s="870">
        <v>2</v>
      </c>
      <c r="DB110" s="373">
        <v>5</v>
      </c>
      <c r="DC110" s="373">
        <v>4</v>
      </c>
      <c r="DD110" s="373">
        <v>5</v>
      </c>
      <c r="DE110" s="618">
        <v>2</v>
      </c>
      <c r="DF110" s="374">
        <v>0</v>
      </c>
      <c r="DG110" s="869"/>
      <c r="DH110" s="373"/>
      <c r="DI110" s="373"/>
      <c r="DJ110" s="870"/>
      <c r="DK110" s="373"/>
      <c r="DL110" s="373"/>
      <c r="DM110" s="373"/>
      <c r="DN110" s="618"/>
      <c r="DO110" s="374">
        <v>0</v>
      </c>
      <c r="DP110" s="869"/>
      <c r="DQ110" s="373"/>
      <c r="DR110" s="373"/>
      <c r="DS110" s="870">
        <v>1</v>
      </c>
      <c r="DT110" s="373"/>
      <c r="DU110" s="373"/>
      <c r="DV110" s="373"/>
      <c r="DW110" s="618"/>
      <c r="DX110" s="374">
        <v>0</v>
      </c>
      <c r="DY110" s="869">
        <v>4</v>
      </c>
      <c r="DZ110" s="373"/>
      <c r="EA110" s="373"/>
      <c r="EB110" s="870">
        <v>1</v>
      </c>
      <c r="EC110" s="373">
        <v>1</v>
      </c>
      <c r="ED110" s="373"/>
      <c r="EE110" s="373">
        <v>2</v>
      </c>
      <c r="EF110" s="618"/>
      <c r="EG110" s="374">
        <v>0</v>
      </c>
      <c r="EH110" s="869"/>
      <c r="EI110" s="373"/>
      <c r="EJ110" s="373"/>
      <c r="EK110" s="870"/>
      <c r="EL110" s="373"/>
      <c r="EM110" s="373"/>
      <c r="EN110" s="373"/>
      <c r="EO110" s="618"/>
      <c r="EP110" s="374">
        <v>0</v>
      </c>
      <c r="EQ110" s="869"/>
      <c r="ER110" s="373"/>
      <c r="ES110" s="373"/>
      <c r="ET110" s="870"/>
      <c r="EU110" s="373"/>
      <c r="EV110" s="373"/>
      <c r="EW110" s="373"/>
      <c r="EX110" s="618"/>
      <c r="EY110" s="374">
        <v>0</v>
      </c>
      <c r="EZ110" s="869"/>
      <c r="FA110" s="373"/>
      <c r="FB110" s="373"/>
      <c r="FC110" s="870"/>
      <c r="FD110" s="373"/>
      <c r="FE110" s="373"/>
      <c r="FF110" s="373"/>
      <c r="FG110" s="618"/>
      <c r="FH110" s="374">
        <v>0</v>
      </c>
      <c r="FI110" s="869"/>
      <c r="FJ110" s="373"/>
      <c r="FK110" s="373"/>
      <c r="FL110" s="870"/>
      <c r="FM110" s="373">
        <v>1</v>
      </c>
      <c r="FN110" s="373"/>
      <c r="FO110" s="373"/>
      <c r="FP110" s="618"/>
      <c r="FQ110" s="374">
        <v>0</v>
      </c>
      <c r="FR110" s="869"/>
      <c r="FS110" s="373"/>
      <c r="FT110" s="373"/>
      <c r="FU110" s="870"/>
      <c r="FV110" s="373"/>
      <c r="FW110" s="373"/>
      <c r="FX110" s="373"/>
      <c r="FY110" s="618"/>
      <c r="FZ110" s="374">
        <v>0</v>
      </c>
      <c r="GA110" s="869"/>
      <c r="GB110" s="373"/>
      <c r="GC110" s="373"/>
      <c r="GD110" s="870"/>
      <c r="GE110" s="373"/>
      <c r="GF110" s="373">
        <v>1</v>
      </c>
      <c r="GG110" s="373"/>
      <c r="GH110" s="618"/>
      <c r="GI110" s="374">
        <v>0</v>
      </c>
      <c r="GJ110" s="869">
        <v>8</v>
      </c>
      <c r="GK110" s="373">
        <v>4</v>
      </c>
      <c r="GL110" s="373">
        <v>4</v>
      </c>
      <c r="GM110" s="870">
        <v>2</v>
      </c>
      <c r="GN110" s="373">
        <v>7</v>
      </c>
      <c r="GO110" s="373">
        <v>5</v>
      </c>
      <c r="GP110" s="373">
        <v>6</v>
      </c>
      <c r="GQ110" s="618">
        <v>2</v>
      </c>
      <c r="GR110" s="374">
        <v>0</v>
      </c>
      <c r="GS110" s="869">
        <v>1</v>
      </c>
      <c r="GT110" s="373">
        <v>3</v>
      </c>
      <c r="GU110" s="373"/>
      <c r="GV110" s="870"/>
      <c r="GW110" s="373">
        <v>4</v>
      </c>
      <c r="GX110" s="373"/>
      <c r="GY110" s="373">
        <v>2</v>
      </c>
      <c r="GZ110" s="618"/>
      <c r="HA110" s="374">
        <v>0</v>
      </c>
      <c r="HB110" s="869"/>
      <c r="HC110" s="373"/>
      <c r="HD110" s="373"/>
      <c r="HE110" s="870"/>
      <c r="HF110" s="373"/>
      <c r="HG110" s="373"/>
      <c r="HH110" s="373"/>
      <c r="HI110" s="618"/>
      <c r="HJ110" s="374">
        <v>0</v>
      </c>
      <c r="HK110" s="869"/>
      <c r="HL110" s="373"/>
      <c r="HM110" s="373"/>
      <c r="HN110" s="870"/>
      <c r="HO110" s="373"/>
      <c r="HP110" s="373"/>
      <c r="HQ110" s="373"/>
      <c r="HR110" s="618"/>
      <c r="HS110" s="374">
        <v>0</v>
      </c>
      <c r="HT110" s="869">
        <v>2</v>
      </c>
      <c r="HU110" s="373">
        <v>4</v>
      </c>
      <c r="HV110" s="373"/>
      <c r="HW110" s="870"/>
      <c r="HX110" s="373">
        <v>5</v>
      </c>
      <c r="HY110" s="373"/>
      <c r="HZ110" s="373">
        <v>2</v>
      </c>
      <c r="IA110" s="618">
        <v>1</v>
      </c>
      <c r="IB110" s="374">
        <v>0</v>
      </c>
      <c r="IC110" s="869">
        <v>10</v>
      </c>
      <c r="ID110" s="373">
        <v>5</v>
      </c>
      <c r="IE110" s="373">
        <v>5</v>
      </c>
      <c r="IF110" s="870">
        <v>2</v>
      </c>
      <c r="IG110" s="373">
        <v>8</v>
      </c>
      <c r="IH110" s="373">
        <v>6</v>
      </c>
      <c r="II110" s="373">
        <v>8</v>
      </c>
      <c r="IJ110" s="618">
        <v>5</v>
      </c>
      <c r="IK110" s="374">
        <v>0</v>
      </c>
      <c r="IL110" s="377">
        <v>7</v>
      </c>
      <c r="IM110" s="373">
        <v>1</v>
      </c>
      <c r="IN110" s="373">
        <v>1</v>
      </c>
      <c r="IO110" s="871"/>
      <c r="IP110" s="871">
        <v>1</v>
      </c>
      <c r="IQ110" s="373"/>
      <c r="IR110" s="373">
        <v>2</v>
      </c>
      <c r="IS110" s="618"/>
      <c r="IT110" s="374">
        <v>0</v>
      </c>
    </row>
    <row r="111" spans="1:254" s="245" customFormat="1" ht="12.75" customHeight="1" x14ac:dyDescent="0.2">
      <c r="A111" s="1052"/>
      <c r="B111" s="868" t="s">
        <v>963</v>
      </c>
      <c r="C111" s="869"/>
      <c r="D111" s="373"/>
      <c r="E111" s="373"/>
      <c r="F111" s="870"/>
      <c r="G111" s="373"/>
      <c r="H111" s="373"/>
      <c r="I111" s="373"/>
      <c r="J111" s="618"/>
      <c r="K111" s="374">
        <v>0</v>
      </c>
      <c r="L111" s="869"/>
      <c r="M111" s="373"/>
      <c r="N111" s="373"/>
      <c r="O111" s="870"/>
      <c r="P111" s="373"/>
      <c r="Q111" s="373"/>
      <c r="R111" s="373"/>
      <c r="S111" s="618"/>
      <c r="T111" s="374">
        <v>0</v>
      </c>
      <c r="U111" s="869"/>
      <c r="V111" s="373"/>
      <c r="W111" s="373"/>
      <c r="X111" s="870"/>
      <c r="Y111" s="373"/>
      <c r="Z111" s="373"/>
      <c r="AA111" s="373"/>
      <c r="AB111" s="618"/>
      <c r="AC111" s="374">
        <v>0</v>
      </c>
      <c r="AD111" s="869"/>
      <c r="AE111" s="373"/>
      <c r="AF111" s="373"/>
      <c r="AG111" s="870"/>
      <c r="AH111" s="373"/>
      <c r="AI111" s="373"/>
      <c r="AJ111" s="373"/>
      <c r="AK111" s="618"/>
      <c r="AL111" s="374">
        <v>0</v>
      </c>
      <c r="AM111" s="869"/>
      <c r="AN111" s="373"/>
      <c r="AO111" s="373"/>
      <c r="AP111" s="870"/>
      <c r="AQ111" s="373"/>
      <c r="AR111" s="373"/>
      <c r="AS111" s="373"/>
      <c r="AT111" s="618"/>
      <c r="AU111" s="374">
        <v>0</v>
      </c>
      <c r="AV111" s="869"/>
      <c r="AW111" s="373"/>
      <c r="AX111" s="373"/>
      <c r="AY111" s="870"/>
      <c r="AZ111" s="373"/>
      <c r="BA111" s="373"/>
      <c r="BB111" s="373"/>
      <c r="BC111" s="618"/>
      <c r="BD111" s="374">
        <v>0</v>
      </c>
      <c r="BE111" s="869"/>
      <c r="BF111" s="373"/>
      <c r="BG111" s="373"/>
      <c r="BH111" s="870"/>
      <c r="BI111" s="373"/>
      <c r="BJ111" s="373"/>
      <c r="BK111" s="373"/>
      <c r="BL111" s="618"/>
      <c r="BM111" s="374">
        <v>0</v>
      </c>
      <c r="BN111" s="869"/>
      <c r="BO111" s="373"/>
      <c r="BP111" s="373"/>
      <c r="BQ111" s="870"/>
      <c r="BR111" s="373"/>
      <c r="BS111" s="373"/>
      <c r="BT111" s="373"/>
      <c r="BU111" s="618"/>
      <c r="BV111" s="374">
        <v>0</v>
      </c>
      <c r="BW111" s="869"/>
      <c r="BX111" s="373"/>
      <c r="BY111" s="373"/>
      <c r="BZ111" s="870"/>
      <c r="CA111" s="373"/>
      <c r="CB111" s="373"/>
      <c r="CC111" s="373"/>
      <c r="CD111" s="618"/>
      <c r="CE111" s="374">
        <v>0</v>
      </c>
      <c r="CF111" s="869"/>
      <c r="CG111" s="373"/>
      <c r="CH111" s="373"/>
      <c r="CI111" s="870"/>
      <c r="CJ111" s="373"/>
      <c r="CK111" s="373"/>
      <c r="CL111" s="373"/>
      <c r="CM111" s="618"/>
      <c r="CN111" s="374">
        <v>0</v>
      </c>
      <c r="CO111" s="869"/>
      <c r="CP111" s="373"/>
      <c r="CQ111" s="373"/>
      <c r="CR111" s="870"/>
      <c r="CS111" s="373"/>
      <c r="CT111" s="373"/>
      <c r="CU111" s="373"/>
      <c r="CV111" s="618"/>
      <c r="CW111" s="374">
        <v>0</v>
      </c>
      <c r="CX111" s="869">
        <v>2</v>
      </c>
      <c r="CY111" s="373"/>
      <c r="CZ111" s="373"/>
      <c r="DA111" s="870">
        <v>1</v>
      </c>
      <c r="DB111" s="373"/>
      <c r="DC111" s="373"/>
      <c r="DD111" s="373">
        <v>1</v>
      </c>
      <c r="DE111" s="618"/>
      <c r="DF111" s="374">
        <v>0</v>
      </c>
      <c r="DG111" s="869"/>
      <c r="DH111" s="373"/>
      <c r="DI111" s="373"/>
      <c r="DJ111" s="870">
        <v>1</v>
      </c>
      <c r="DK111" s="373"/>
      <c r="DL111" s="373"/>
      <c r="DM111" s="373"/>
      <c r="DN111" s="618"/>
      <c r="DO111" s="374">
        <v>0</v>
      </c>
      <c r="DP111" s="869"/>
      <c r="DQ111" s="373"/>
      <c r="DR111" s="373"/>
      <c r="DS111" s="870"/>
      <c r="DT111" s="373"/>
      <c r="DU111" s="373"/>
      <c r="DV111" s="373"/>
      <c r="DW111" s="618"/>
      <c r="DX111" s="374">
        <v>0</v>
      </c>
      <c r="DY111" s="869"/>
      <c r="DZ111" s="373"/>
      <c r="EA111" s="373"/>
      <c r="EB111" s="870"/>
      <c r="EC111" s="373"/>
      <c r="ED111" s="373"/>
      <c r="EE111" s="373"/>
      <c r="EF111" s="618"/>
      <c r="EG111" s="374">
        <v>0</v>
      </c>
      <c r="EH111" s="869"/>
      <c r="EI111" s="373"/>
      <c r="EJ111" s="373"/>
      <c r="EK111" s="870"/>
      <c r="EL111" s="373"/>
      <c r="EM111" s="373"/>
      <c r="EN111" s="373"/>
      <c r="EO111" s="618"/>
      <c r="EP111" s="374">
        <v>0</v>
      </c>
      <c r="EQ111" s="869"/>
      <c r="ER111" s="373">
        <v>1</v>
      </c>
      <c r="ES111" s="373"/>
      <c r="ET111" s="870"/>
      <c r="EU111" s="373"/>
      <c r="EV111" s="373"/>
      <c r="EW111" s="373"/>
      <c r="EX111" s="618"/>
      <c r="EY111" s="374">
        <v>0</v>
      </c>
      <c r="EZ111" s="869"/>
      <c r="FA111" s="373"/>
      <c r="FB111" s="373"/>
      <c r="FC111" s="870"/>
      <c r="FD111" s="373"/>
      <c r="FE111" s="373"/>
      <c r="FF111" s="373"/>
      <c r="FG111" s="618"/>
      <c r="FH111" s="374">
        <v>0</v>
      </c>
      <c r="FI111" s="869"/>
      <c r="FJ111" s="373"/>
      <c r="FK111" s="373"/>
      <c r="FL111" s="870"/>
      <c r="FM111" s="373"/>
      <c r="FN111" s="373"/>
      <c r="FO111" s="373"/>
      <c r="FP111" s="618"/>
      <c r="FQ111" s="374">
        <v>0</v>
      </c>
      <c r="FR111" s="869"/>
      <c r="FS111" s="373"/>
      <c r="FT111" s="373"/>
      <c r="FU111" s="870"/>
      <c r="FV111" s="373"/>
      <c r="FW111" s="373"/>
      <c r="FX111" s="373"/>
      <c r="FY111" s="618"/>
      <c r="FZ111" s="374">
        <v>0</v>
      </c>
      <c r="GA111" s="869"/>
      <c r="GB111" s="373"/>
      <c r="GC111" s="373">
        <v>1</v>
      </c>
      <c r="GD111" s="870"/>
      <c r="GE111" s="373"/>
      <c r="GF111" s="373"/>
      <c r="GG111" s="373"/>
      <c r="GH111" s="618"/>
      <c r="GI111" s="374">
        <v>0</v>
      </c>
      <c r="GJ111" s="869">
        <v>2</v>
      </c>
      <c r="GK111" s="373">
        <v>1</v>
      </c>
      <c r="GL111" s="373">
        <v>1</v>
      </c>
      <c r="GM111" s="870">
        <v>1</v>
      </c>
      <c r="GN111" s="373"/>
      <c r="GO111" s="373"/>
      <c r="GP111" s="373">
        <v>1</v>
      </c>
      <c r="GQ111" s="618"/>
      <c r="GR111" s="374">
        <v>0</v>
      </c>
      <c r="GS111" s="869">
        <v>1</v>
      </c>
      <c r="GT111" s="373">
        <v>1</v>
      </c>
      <c r="GU111" s="373"/>
      <c r="GV111" s="870"/>
      <c r="GW111" s="373"/>
      <c r="GX111" s="373"/>
      <c r="GY111" s="373"/>
      <c r="GZ111" s="618"/>
      <c r="HA111" s="374">
        <v>0</v>
      </c>
      <c r="HB111" s="869"/>
      <c r="HC111" s="373"/>
      <c r="HD111" s="373"/>
      <c r="HE111" s="870"/>
      <c r="HF111" s="373"/>
      <c r="HG111" s="373"/>
      <c r="HH111" s="373"/>
      <c r="HI111" s="618"/>
      <c r="HJ111" s="374">
        <v>0</v>
      </c>
      <c r="HK111" s="869"/>
      <c r="HL111" s="373"/>
      <c r="HM111" s="373"/>
      <c r="HN111" s="870"/>
      <c r="HO111" s="373"/>
      <c r="HP111" s="373"/>
      <c r="HQ111" s="373"/>
      <c r="HR111" s="618"/>
      <c r="HS111" s="374">
        <v>0</v>
      </c>
      <c r="HT111" s="869">
        <v>1</v>
      </c>
      <c r="HU111" s="373">
        <v>1</v>
      </c>
      <c r="HV111" s="373"/>
      <c r="HW111" s="870"/>
      <c r="HX111" s="373"/>
      <c r="HY111" s="373"/>
      <c r="HZ111" s="373"/>
      <c r="IA111" s="618"/>
      <c r="IB111" s="374">
        <v>0</v>
      </c>
      <c r="IC111" s="869">
        <v>2</v>
      </c>
      <c r="ID111" s="373">
        <v>1</v>
      </c>
      <c r="IE111" s="373">
        <v>2</v>
      </c>
      <c r="IF111" s="870">
        <v>1</v>
      </c>
      <c r="IG111" s="373"/>
      <c r="IH111" s="373"/>
      <c r="II111" s="373">
        <v>1</v>
      </c>
      <c r="IJ111" s="618"/>
      <c r="IK111" s="374">
        <v>0</v>
      </c>
      <c r="IL111" s="377"/>
      <c r="IM111" s="373"/>
      <c r="IN111" s="373"/>
      <c r="IO111" s="871"/>
      <c r="IP111" s="871"/>
      <c r="IQ111" s="373"/>
      <c r="IR111" s="373"/>
      <c r="IS111" s="618"/>
      <c r="IT111" s="374">
        <v>0</v>
      </c>
    </row>
    <row r="112" spans="1:254" s="245" customFormat="1" ht="12.75" customHeight="1" x14ac:dyDescent="0.2">
      <c r="A112" s="1052"/>
      <c r="B112" s="868" t="s">
        <v>964</v>
      </c>
      <c r="C112" s="869"/>
      <c r="D112" s="373"/>
      <c r="E112" s="373"/>
      <c r="F112" s="870"/>
      <c r="G112" s="373"/>
      <c r="H112" s="373"/>
      <c r="I112" s="373"/>
      <c r="J112" s="618"/>
      <c r="K112" s="374">
        <v>0</v>
      </c>
      <c r="L112" s="869"/>
      <c r="M112" s="373"/>
      <c r="N112" s="373"/>
      <c r="O112" s="870"/>
      <c r="P112" s="373"/>
      <c r="Q112" s="373"/>
      <c r="R112" s="373"/>
      <c r="S112" s="618"/>
      <c r="T112" s="374">
        <v>0</v>
      </c>
      <c r="U112" s="869"/>
      <c r="V112" s="373"/>
      <c r="W112" s="373"/>
      <c r="X112" s="870"/>
      <c r="Y112" s="373"/>
      <c r="Z112" s="373"/>
      <c r="AA112" s="373"/>
      <c r="AB112" s="618"/>
      <c r="AC112" s="374">
        <v>0</v>
      </c>
      <c r="AD112" s="869"/>
      <c r="AE112" s="373"/>
      <c r="AF112" s="373"/>
      <c r="AG112" s="870"/>
      <c r="AH112" s="373"/>
      <c r="AI112" s="373"/>
      <c r="AJ112" s="373"/>
      <c r="AK112" s="618"/>
      <c r="AL112" s="374">
        <v>0</v>
      </c>
      <c r="AM112" s="869"/>
      <c r="AN112" s="373"/>
      <c r="AO112" s="373"/>
      <c r="AP112" s="870"/>
      <c r="AQ112" s="373"/>
      <c r="AR112" s="373"/>
      <c r="AS112" s="373"/>
      <c r="AT112" s="618"/>
      <c r="AU112" s="374">
        <v>0</v>
      </c>
      <c r="AV112" s="869"/>
      <c r="AW112" s="373"/>
      <c r="AX112" s="373"/>
      <c r="AY112" s="870"/>
      <c r="AZ112" s="373"/>
      <c r="BA112" s="373"/>
      <c r="BB112" s="373"/>
      <c r="BC112" s="618"/>
      <c r="BD112" s="374">
        <v>0</v>
      </c>
      <c r="BE112" s="869"/>
      <c r="BF112" s="373"/>
      <c r="BG112" s="373"/>
      <c r="BH112" s="870"/>
      <c r="BI112" s="373"/>
      <c r="BJ112" s="373"/>
      <c r="BK112" s="373"/>
      <c r="BL112" s="618"/>
      <c r="BM112" s="374">
        <v>0</v>
      </c>
      <c r="BN112" s="869"/>
      <c r="BO112" s="373"/>
      <c r="BP112" s="373"/>
      <c r="BQ112" s="870"/>
      <c r="BR112" s="373"/>
      <c r="BS112" s="373"/>
      <c r="BT112" s="373"/>
      <c r="BU112" s="618"/>
      <c r="BV112" s="374">
        <v>0</v>
      </c>
      <c r="BW112" s="869"/>
      <c r="BX112" s="373"/>
      <c r="BY112" s="373"/>
      <c r="BZ112" s="870"/>
      <c r="CA112" s="373"/>
      <c r="CB112" s="373"/>
      <c r="CC112" s="373"/>
      <c r="CD112" s="618"/>
      <c r="CE112" s="374">
        <v>0</v>
      </c>
      <c r="CF112" s="869"/>
      <c r="CG112" s="373"/>
      <c r="CH112" s="373"/>
      <c r="CI112" s="870"/>
      <c r="CJ112" s="373"/>
      <c r="CK112" s="373"/>
      <c r="CL112" s="373"/>
      <c r="CM112" s="618"/>
      <c r="CN112" s="374">
        <v>0</v>
      </c>
      <c r="CO112" s="869"/>
      <c r="CP112" s="373"/>
      <c r="CQ112" s="373"/>
      <c r="CR112" s="870"/>
      <c r="CS112" s="373"/>
      <c r="CT112" s="373"/>
      <c r="CU112" s="373"/>
      <c r="CV112" s="618"/>
      <c r="CW112" s="374">
        <v>0</v>
      </c>
      <c r="CX112" s="869">
        <v>2</v>
      </c>
      <c r="CY112" s="373">
        <v>2</v>
      </c>
      <c r="CZ112" s="373">
        <v>1</v>
      </c>
      <c r="DA112" s="870">
        <v>4</v>
      </c>
      <c r="DB112" s="373">
        <v>3</v>
      </c>
      <c r="DC112" s="373">
        <v>2</v>
      </c>
      <c r="DD112" s="373">
        <v>3</v>
      </c>
      <c r="DE112" s="618">
        <v>3</v>
      </c>
      <c r="DF112" s="374">
        <v>2</v>
      </c>
      <c r="DG112" s="869"/>
      <c r="DH112" s="373"/>
      <c r="DI112" s="373"/>
      <c r="DJ112" s="870"/>
      <c r="DK112" s="373">
        <v>1</v>
      </c>
      <c r="DL112" s="373"/>
      <c r="DM112" s="373"/>
      <c r="DN112" s="618"/>
      <c r="DO112" s="374">
        <v>0</v>
      </c>
      <c r="DP112" s="869"/>
      <c r="DQ112" s="373"/>
      <c r="DR112" s="373"/>
      <c r="DS112" s="870"/>
      <c r="DT112" s="373"/>
      <c r="DU112" s="373"/>
      <c r="DV112" s="373"/>
      <c r="DW112" s="618"/>
      <c r="DX112" s="374">
        <v>0</v>
      </c>
      <c r="DY112" s="869"/>
      <c r="DZ112" s="373"/>
      <c r="EA112" s="373"/>
      <c r="EB112" s="870">
        <v>1</v>
      </c>
      <c r="EC112" s="373"/>
      <c r="ED112" s="373"/>
      <c r="EE112" s="373">
        <v>1</v>
      </c>
      <c r="EF112" s="618"/>
      <c r="EG112" s="374">
        <v>0</v>
      </c>
      <c r="EH112" s="869"/>
      <c r="EI112" s="373"/>
      <c r="EJ112" s="373"/>
      <c r="EK112" s="870"/>
      <c r="EL112" s="373"/>
      <c r="EM112" s="373"/>
      <c r="EN112" s="373"/>
      <c r="EO112" s="618"/>
      <c r="EP112" s="374">
        <v>0</v>
      </c>
      <c r="EQ112" s="869"/>
      <c r="ER112" s="373"/>
      <c r="ES112" s="373"/>
      <c r="ET112" s="870"/>
      <c r="EU112" s="373"/>
      <c r="EV112" s="373"/>
      <c r="EW112" s="373"/>
      <c r="EX112" s="618"/>
      <c r="EY112" s="374">
        <v>0</v>
      </c>
      <c r="EZ112" s="869"/>
      <c r="FA112" s="373"/>
      <c r="FB112" s="373"/>
      <c r="FC112" s="870"/>
      <c r="FD112" s="373"/>
      <c r="FE112" s="373"/>
      <c r="FF112" s="373"/>
      <c r="FG112" s="618"/>
      <c r="FH112" s="374">
        <v>0</v>
      </c>
      <c r="FI112" s="869"/>
      <c r="FJ112" s="373"/>
      <c r="FK112" s="373"/>
      <c r="FL112" s="870"/>
      <c r="FM112" s="373"/>
      <c r="FN112" s="373"/>
      <c r="FO112" s="373"/>
      <c r="FP112" s="618"/>
      <c r="FQ112" s="374">
        <v>0</v>
      </c>
      <c r="FR112" s="869"/>
      <c r="FS112" s="373"/>
      <c r="FT112" s="373"/>
      <c r="FU112" s="870"/>
      <c r="FV112" s="373"/>
      <c r="FW112" s="373"/>
      <c r="FX112" s="373"/>
      <c r="FY112" s="618"/>
      <c r="FZ112" s="374">
        <v>0</v>
      </c>
      <c r="GA112" s="869"/>
      <c r="GB112" s="373"/>
      <c r="GC112" s="373"/>
      <c r="GD112" s="870"/>
      <c r="GE112" s="373"/>
      <c r="GF112" s="373"/>
      <c r="GG112" s="373"/>
      <c r="GH112" s="618"/>
      <c r="GI112" s="374">
        <v>0</v>
      </c>
      <c r="GJ112" s="869">
        <v>2</v>
      </c>
      <c r="GK112" s="373">
        <v>2</v>
      </c>
      <c r="GL112" s="373">
        <v>1</v>
      </c>
      <c r="GM112" s="870">
        <v>4</v>
      </c>
      <c r="GN112" s="373">
        <v>3</v>
      </c>
      <c r="GO112" s="373">
        <v>2</v>
      </c>
      <c r="GP112" s="373">
        <v>3</v>
      </c>
      <c r="GQ112" s="618">
        <v>3</v>
      </c>
      <c r="GR112" s="374">
        <v>2</v>
      </c>
      <c r="GS112" s="869"/>
      <c r="GT112" s="373"/>
      <c r="GU112" s="373"/>
      <c r="GV112" s="870"/>
      <c r="GW112" s="373"/>
      <c r="GX112" s="373"/>
      <c r="GY112" s="373"/>
      <c r="GZ112" s="618"/>
      <c r="HA112" s="374">
        <v>0</v>
      </c>
      <c r="HB112" s="869"/>
      <c r="HC112" s="373"/>
      <c r="HD112" s="373"/>
      <c r="HE112" s="870"/>
      <c r="HF112" s="373"/>
      <c r="HG112" s="373"/>
      <c r="HH112" s="373"/>
      <c r="HI112" s="618"/>
      <c r="HJ112" s="374">
        <v>0</v>
      </c>
      <c r="HK112" s="869"/>
      <c r="HL112" s="373"/>
      <c r="HM112" s="373"/>
      <c r="HN112" s="870"/>
      <c r="HO112" s="373"/>
      <c r="HP112" s="373"/>
      <c r="HQ112" s="373"/>
      <c r="HR112" s="618"/>
      <c r="HS112" s="374">
        <v>0</v>
      </c>
      <c r="HT112" s="869">
        <v>1</v>
      </c>
      <c r="HU112" s="373">
        <v>1</v>
      </c>
      <c r="HV112" s="373">
        <v>1</v>
      </c>
      <c r="HW112" s="870"/>
      <c r="HX112" s="373">
        <v>1</v>
      </c>
      <c r="HY112" s="373"/>
      <c r="HZ112" s="373">
        <v>1</v>
      </c>
      <c r="IA112" s="618">
        <v>2</v>
      </c>
      <c r="IB112" s="374">
        <v>0</v>
      </c>
      <c r="IC112" s="869">
        <v>4</v>
      </c>
      <c r="ID112" s="373">
        <v>3</v>
      </c>
      <c r="IE112" s="373">
        <v>7</v>
      </c>
      <c r="IF112" s="870">
        <v>6</v>
      </c>
      <c r="IG112" s="373">
        <v>7</v>
      </c>
      <c r="IH112" s="373">
        <v>2</v>
      </c>
      <c r="II112" s="373">
        <v>5</v>
      </c>
      <c r="IJ112" s="618">
        <v>5</v>
      </c>
      <c r="IK112" s="374">
        <v>3</v>
      </c>
      <c r="IL112" s="377"/>
      <c r="IM112" s="373">
        <v>2</v>
      </c>
      <c r="IN112" s="373"/>
      <c r="IO112" s="871">
        <v>1</v>
      </c>
      <c r="IP112" s="871"/>
      <c r="IQ112" s="373"/>
      <c r="IR112" s="373">
        <v>2</v>
      </c>
      <c r="IS112" s="618">
        <v>2</v>
      </c>
      <c r="IT112" s="374">
        <v>1</v>
      </c>
    </row>
    <row r="113" spans="1:254" s="245" customFormat="1" ht="12.75" customHeight="1" x14ac:dyDescent="0.2">
      <c r="A113" s="1052"/>
      <c r="B113" s="868" t="s">
        <v>965</v>
      </c>
      <c r="C113" s="869"/>
      <c r="D113" s="373"/>
      <c r="E113" s="373"/>
      <c r="F113" s="870"/>
      <c r="G113" s="373"/>
      <c r="H113" s="373"/>
      <c r="I113" s="373"/>
      <c r="J113" s="618"/>
      <c r="K113" s="374">
        <v>0</v>
      </c>
      <c r="L113" s="869"/>
      <c r="M113" s="373"/>
      <c r="N113" s="373"/>
      <c r="O113" s="870"/>
      <c r="P113" s="373"/>
      <c r="Q113" s="373"/>
      <c r="R113" s="373"/>
      <c r="S113" s="618"/>
      <c r="T113" s="374">
        <v>0</v>
      </c>
      <c r="U113" s="869"/>
      <c r="V113" s="373"/>
      <c r="W113" s="373"/>
      <c r="X113" s="870"/>
      <c r="Y113" s="373"/>
      <c r="Z113" s="373"/>
      <c r="AA113" s="373"/>
      <c r="AB113" s="618"/>
      <c r="AC113" s="374">
        <v>0</v>
      </c>
      <c r="AD113" s="869"/>
      <c r="AE113" s="373"/>
      <c r="AF113" s="373"/>
      <c r="AG113" s="870"/>
      <c r="AH113" s="373"/>
      <c r="AI113" s="373"/>
      <c r="AJ113" s="373"/>
      <c r="AK113" s="618"/>
      <c r="AL113" s="374">
        <v>0</v>
      </c>
      <c r="AM113" s="869"/>
      <c r="AN113" s="373"/>
      <c r="AO113" s="373"/>
      <c r="AP113" s="870"/>
      <c r="AQ113" s="373"/>
      <c r="AR113" s="373"/>
      <c r="AS113" s="373"/>
      <c r="AT113" s="618"/>
      <c r="AU113" s="374">
        <v>0</v>
      </c>
      <c r="AV113" s="869"/>
      <c r="AW113" s="373"/>
      <c r="AX113" s="373"/>
      <c r="AY113" s="870"/>
      <c r="AZ113" s="373"/>
      <c r="BA113" s="373"/>
      <c r="BB113" s="373"/>
      <c r="BC113" s="618"/>
      <c r="BD113" s="374">
        <v>0</v>
      </c>
      <c r="BE113" s="869"/>
      <c r="BF113" s="373"/>
      <c r="BG113" s="373"/>
      <c r="BH113" s="870"/>
      <c r="BI113" s="373"/>
      <c r="BJ113" s="373"/>
      <c r="BK113" s="373"/>
      <c r="BL113" s="618"/>
      <c r="BM113" s="374">
        <v>0</v>
      </c>
      <c r="BN113" s="869"/>
      <c r="BO113" s="373"/>
      <c r="BP113" s="373"/>
      <c r="BQ113" s="870"/>
      <c r="BR113" s="373"/>
      <c r="BS113" s="373"/>
      <c r="BT113" s="373"/>
      <c r="BU113" s="618"/>
      <c r="BV113" s="374">
        <v>0</v>
      </c>
      <c r="BW113" s="869"/>
      <c r="BX113" s="373"/>
      <c r="BY113" s="373"/>
      <c r="BZ113" s="870">
        <v>1</v>
      </c>
      <c r="CA113" s="373"/>
      <c r="CB113" s="373"/>
      <c r="CC113" s="373"/>
      <c r="CD113" s="618"/>
      <c r="CE113" s="374">
        <v>0</v>
      </c>
      <c r="CF113" s="869"/>
      <c r="CG113" s="373"/>
      <c r="CH113" s="373"/>
      <c r="CI113" s="870"/>
      <c r="CJ113" s="373"/>
      <c r="CK113" s="373"/>
      <c r="CL113" s="373"/>
      <c r="CM113" s="618"/>
      <c r="CN113" s="374">
        <v>0</v>
      </c>
      <c r="CO113" s="869"/>
      <c r="CP113" s="373"/>
      <c r="CQ113" s="373"/>
      <c r="CR113" s="870"/>
      <c r="CS113" s="373"/>
      <c r="CT113" s="373"/>
      <c r="CU113" s="373"/>
      <c r="CV113" s="618"/>
      <c r="CW113" s="374">
        <v>0</v>
      </c>
      <c r="CX113" s="869">
        <v>2</v>
      </c>
      <c r="CY113" s="373"/>
      <c r="CZ113" s="373">
        <v>1</v>
      </c>
      <c r="DA113" s="870"/>
      <c r="DB113" s="373"/>
      <c r="DC113" s="373"/>
      <c r="DD113" s="373"/>
      <c r="DE113" s="618"/>
      <c r="DF113" s="374">
        <v>1</v>
      </c>
      <c r="DG113" s="869"/>
      <c r="DH113" s="373"/>
      <c r="DI113" s="373"/>
      <c r="DJ113" s="870"/>
      <c r="DK113" s="373"/>
      <c r="DL113" s="373"/>
      <c r="DM113" s="373"/>
      <c r="DN113" s="618"/>
      <c r="DO113" s="374">
        <v>0</v>
      </c>
      <c r="DP113" s="869">
        <v>1</v>
      </c>
      <c r="DQ113" s="373"/>
      <c r="DR113" s="373"/>
      <c r="DS113" s="870"/>
      <c r="DT113" s="373"/>
      <c r="DU113" s="373"/>
      <c r="DV113" s="373"/>
      <c r="DW113" s="618"/>
      <c r="DX113" s="374">
        <v>0</v>
      </c>
      <c r="DY113" s="869"/>
      <c r="DZ113" s="373"/>
      <c r="EA113" s="373"/>
      <c r="EB113" s="870"/>
      <c r="EC113" s="373"/>
      <c r="ED113" s="373"/>
      <c r="EE113" s="373"/>
      <c r="EF113" s="618"/>
      <c r="EG113" s="374">
        <v>0</v>
      </c>
      <c r="EH113" s="869"/>
      <c r="EI113" s="373"/>
      <c r="EJ113" s="373"/>
      <c r="EK113" s="870"/>
      <c r="EL113" s="373"/>
      <c r="EM113" s="373"/>
      <c r="EN113" s="373"/>
      <c r="EO113" s="618"/>
      <c r="EP113" s="374">
        <v>0</v>
      </c>
      <c r="EQ113" s="869"/>
      <c r="ER113" s="373"/>
      <c r="ES113" s="373"/>
      <c r="ET113" s="870"/>
      <c r="EU113" s="373"/>
      <c r="EV113" s="373"/>
      <c r="EW113" s="373"/>
      <c r="EX113" s="618"/>
      <c r="EY113" s="374">
        <v>0</v>
      </c>
      <c r="EZ113" s="869"/>
      <c r="FA113" s="373"/>
      <c r="FB113" s="373"/>
      <c r="FC113" s="870"/>
      <c r="FD113" s="373"/>
      <c r="FE113" s="373"/>
      <c r="FF113" s="373"/>
      <c r="FG113" s="618"/>
      <c r="FH113" s="374">
        <v>0</v>
      </c>
      <c r="FI113" s="869"/>
      <c r="FJ113" s="373"/>
      <c r="FK113" s="373"/>
      <c r="FL113" s="870"/>
      <c r="FM113" s="373"/>
      <c r="FN113" s="373"/>
      <c r="FO113" s="373"/>
      <c r="FP113" s="618"/>
      <c r="FQ113" s="374">
        <v>0</v>
      </c>
      <c r="FR113" s="869"/>
      <c r="FS113" s="373"/>
      <c r="FT113" s="373"/>
      <c r="FU113" s="870"/>
      <c r="FV113" s="373"/>
      <c r="FW113" s="373"/>
      <c r="FX113" s="373"/>
      <c r="FY113" s="618"/>
      <c r="FZ113" s="374">
        <v>0</v>
      </c>
      <c r="GA113" s="869"/>
      <c r="GB113" s="373"/>
      <c r="GC113" s="373"/>
      <c r="GD113" s="870"/>
      <c r="GE113" s="373"/>
      <c r="GF113" s="373"/>
      <c r="GG113" s="373"/>
      <c r="GH113" s="618"/>
      <c r="GI113" s="374">
        <v>0</v>
      </c>
      <c r="GJ113" s="869">
        <v>2</v>
      </c>
      <c r="GK113" s="373"/>
      <c r="GL113" s="373">
        <v>1</v>
      </c>
      <c r="GM113" s="870">
        <v>1</v>
      </c>
      <c r="GN113" s="373"/>
      <c r="GO113" s="373"/>
      <c r="GP113" s="373"/>
      <c r="GQ113" s="618"/>
      <c r="GR113" s="374">
        <v>1</v>
      </c>
      <c r="GS113" s="869">
        <v>1</v>
      </c>
      <c r="GT113" s="373"/>
      <c r="GU113" s="373">
        <v>1</v>
      </c>
      <c r="GV113" s="870"/>
      <c r="GW113" s="373"/>
      <c r="GX113" s="373"/>
      <c r="GY113" s="373"/>
      <c r="GZ113" s="618"/>
      <c r="HA113" s="374">
        <v>1</v>
      </c>
      <c r="HB113" s="869"/>
      <c r="HC113" s="373"/>
      <c r="HD113" s="373"/>
      <c r="HE113" s="870"/>
      <c r="HF113" s="373"/>
      <c r="HG113" s="373"/>
      <c r="HH113" s="373"/>
      <c r="HI113" s="618"/>
      <c r="HJ113" s="374">
        <v>0</v>
      </c>
      <c r="HK113" s="869"/>
      <c r="HL113" s="373"/>
      <c r="HM113" s="373"/>
      <c r="HN113" s="870"/>
      <c r="HO113" s="373"/>
      <c r="HP113" s="373"/>
      <c r="HQ113" s="373"/>
      <c r="HR113" s="618"/>
      <c r="HS113" s="374">
        <v>0</v>
      </c>
      <c r="HT113" s="869">
        <v>2</v>
      </c>
      <c r="HU113" s="373"/>
      <c r="HV113" s="373">
        <v>1</v>
      </c>
      <c r="HW113" s="870"/>
      <c r="HX113" s="373"/>
      <c r="HY113" s="373"/>
      <c r="HZ113" s="373"/>
      <c r="IA113" s="618"/>
      <c r="IB113" s="374">
        <v>1</v>
      </c>
      <c r="IC113" s="869">
        <v>3</v>
      </c>
      <c r="ID113" s="373"/>
      <c r="IE113" s="373">
        <v>1</v>
      </c>
      <c r="IF113" s="870">
        <v>3</v>
      </c>
      <c r="IG113" s="373">
        <v>1</v>
      </c>
      <c r="IH113" s="373"/>
      <c r="II113" s="373"/>
      <c r="IJ113" s="618"/>
      <c r="IK113" s="374">
        <v>1</v>
      </c>
      <c r="IL113" s="377">
        <v>1</v>
      </c>
      <c r="IM113" s="373"/>
      <c r="IN113" s="373"/>
      <c r="IO113" s="871"/>
      <c r="IP113" s="871"/>
      <c r="IQ113" s="373"/>
      <c r="IR113" s="373"/>
      <c r="IS113" s="618"/>
      <c r="IT113" s="374">
        <v>0</v>
      </c>
    </row>
    <row r="114" spans="1:254" s="245" customFormat="1" ht="12.75" customHeight="1" x14ac:dyDescent="0.2">
      <c r="A114" s="1052"/>
      <c r="B114" s="868" t="s">
        <v>966</v>
      </c>
      <c r="C114" s="869"/>
      <c r="D114" s="373"/>
      <c r="E114" s="373"/>
      <c r="F114" s="870"/>
      <c r="G114" s="373"/>
      <c r="H114" s="373"/>
      <c r="I114" s="373"/>
      <c r="J114" s="618"/>
      <c r="K114" s="374">
        <v>0</v>
      </c>
      <c r="L114" s="869"/>
      <c r="M114" s="373"/>
      <c r="N114" s="373"/>
      <c r="O114" s="870"/>
      <c r="P114" s="373"/>
      <c r="Q114" s="373"/>
      <c r="R114" s="373"/>
      <c r="S114" s="618"/>
      <c r="T114" s="374">
        <v>0</v>
      </c>
      <c r="U114" s="869"/>
      <c r="V114" s="373"/>
      <c r="W114" s="373"/>
      <c r="X114" s="870"/>
      <c r="Y114" s="373"/>
      <c r="Z114" s="373"/>
      <c r="AA114" s="373"/>
      <c r="AB114" s="618"/>
      <c r="AC114" s="374">
        <v>0</v>
      </c>
      <c r="AD114" s="869"/>
      <c r="AE114" s="373"/>
      <c r="AF114" s="373">
        <v>2</v>
      </c>
      <c r="AG114" s="870">
        <v>1</v>
      </c>
      <c r="AH114" s="373">
        <v>2</v>
      </c>
      <c r="AI114" s="373">
        <v>1</v>
      </c>
      <c r="AJ114" s="373">
        <v>3</v>
      </c>
      <c r="AK114" s="618"/>
      <c r="AL114" s="374">
        <v>0</v>
      </c>
      <c r="AM114" s="869"/>
      <c r="AN114" s="373"/>
      <c r="AO114" s="373"/>
      <c r="AP114" s="870"/>
      <c r="AQ114" s="373"/>
      <c r="AR114" s="373"/>
      <c r="AS114" s="373"/>
      <c r="AT114" s="618"/>
      <c r="AU114" s="374">
        <v>0</v>
      </c>
      <c r="AV114" s="869"/>
      <c r="AW114" s="373"/>
      <c r="AX114" s="373"/>
      <c r="AY114" s="870"/>
      <c r="AZ114" s="373"/>
      <c r="BA114" s="373"/>
      <c r="BB114" s="373"/>
      <c r="BC114" s="618"/>
      <c r="BD114" s="374">
        <v>0</v>
      </c>
      <c r="BE114" s="869"/>
      <c r="BF114" s="373"/>
      <c r="BG114" s="373"/>
      <c r="BH114" s="870"/>
      <c r="BI114" s="373"/>
      <c r="BJ114" s="373"/>
      <c r="BK114" s="373"/>
      <c r="BL114" s="618"/>
      <c r="BM114" s="374">
        <v>0</v>
      </c>
      <c r="BN114" s="869"/>
      <c r="BO114" s="373"/>
      <c r="BP114" s="373"/>
      <c r="BQ114" s="870"/>
      <c r="BR114" s="373"/>
      <c r="BS114" s="373"/>
      <c r="BT114" s="373"/>
      <c r="BU114" s="618"/>
      <c r="BV114" s="374">
        <v>0</v>
      </c>
      <c r="BW114" s="869">
        <v>2</v>
      </c>
      <c r="BX114" s="373">
        <v>1</v>
      </c>
      <c r="BY114" s="373">
        <v>2</v>
      </c>
      <c r="BZ114" s="870">
        <v>2</v>
      </c>
      <c r="CA114" s="373">
        <v>1</v>
      </c>
      <c r="CB114" s="373"/>
      <c r="CC114" s="373">
        <v>4</v>
      </c>
      <c r="CD114" s="618">
        <v>1</v>
      </c>
      <c r="CE114" s="374">
        <v>0</v>
      </c>
      <c r="CF114" s="869"/>
      <c r="CG114" s="373"/>
      <c r="CH114" s="373"/>
      <c r="CI114" s="870"/>
      <c r="CJ114" s="373"/>
      <c r="CK114" s="373"/>
      <c r="CL114" s="373"/>
      <c r="CM114" s="618"/>
      <c r="CN114" s="374">
        <v>0</v>
      </c>
      <c r="CO114" s="869"/>
      <c r="CP114" s="373"/>
      <c r="CQ114" s="373"/>
      <c r="CR114" s="870"/>
      <c r="CS114" s="373"/>
      <c r="CT114" s="373"/>
      <c r="CU114" s="373"/>
      <c r="CV114" s="618"/>
      <c r="CW114" s="374">
        <v>0</v>
      </c>
      <c r="CX114" s="869">
        <v>9</v>
      </c>
      <c r="CY114" s="373">
        <v>11</v>
      </c>
      <c r="CZ114" s="373">
        <v>6</v>
      </c>
      <c r="DA114" s="870">
        <v>10</v>
      </c>
      <c r="DB114" s="373">
        <v>6</v>
      </c>
      <c r="DC114" s="373">
        <v>8</v>
      </c>
      <c r="DD114" s="373">
        <v>2</v>
      </c>
      <c r="DE114" s="618">
        <v>2</v>
      </c>
      <c r="DF114" s="374">
        <v>7</v>
      </c>
      <c r="DG114" s="869"/>
      <c r="DH114" s="373"/>
      <c r="DI114" s="373"/>
      <c r="DJ114" s="870"/>
      <c r="DK114" s="373"/>
      <c r="DL114" s="373"/>
      <c r="DM114" s="373"/>
      <c r="DN114" s="618"/>
      <c r="DO114" s="374">
        <v>0</v>
      </c>
      <c r="DP114" s="869"/>
      <c r="DQ114" s="373">
        <v>1</v>
      </c>
      <c r="DR114" s="373"/>
      <c r="DS114" s="870"/>
      <c r="DT114" s="373"/>
      <c r="DU114" s="373"/>
      <c r="DV114" s="373"/>
      <c r="DW114" s="618"/>
      <c r="DX114" s="374">
        <v>0</v>
      </c>
      <c r="DY114" s="869">
        <v>2</v>
      </c>
      <c r="DZ114" s="373">
        <v>4</v>
      </c>
      <c r="EA114" s="373">
        <v>2</v>
      </c>
      <c r="EB114" s="870">
        <v>6</v>
      </c>
      <c r="EC114" s="373">
        <v>2</v>
      </c>
      <c r="ED114" s="373">
        <v>2</v>
      </c>
      <c r="EE114" s="373"/>
      <c r="EF114" s="618"/>
      <c r="EG114" s="374">
        <v>1</v>
      </c>
      <c r="EH114" s="869"/>
      <c r="EI114" s="373"/>
      <c r="EJ114" s="373"/>
      <c r="EK114" s="870"/>
      <c r="EL114" s="373"/>
      <c r="EM114" s="373"/>
      <c r="EN114" s="373"/>
      <c r="EO114" s="618"/>
      <c r="EP114" s="374">
        <v>0</v>
      </c>
      <c r="EQ114" s="869"/>
      <c r="ER114" s="373"/>
      <c r="ES114" s="373"/>
      <c r="ET114" s="870"/>
      <c r="EU114" s="373"/>
      <c r="EV114" s="373"/>
      <c r="EW114" s="373"/>
      <c r="EX114" s="618"/>
      <c r="EY114" s="374">
        <v>0</v>
      </c>
      <c r="EZ114" s="869"/>
      <c r="FA114" s="373"/>
      <c r="FB114" s="373"/>
      <c r="FC114" s="870"/>
      <c r="FD114" s="373"/>
      <c r="FE114" s="373"/>
      <c r="FF114" s="373"/>
      <c r="FG114" s="618"/>
      <c r="FH114" s="374">
        <v>0</v>
      </c>
      <c r="FI114" s="869">
        <v>2</v>
      </c>
      <c r="FJ114" s="373"/>
      <c r="FK114" s="373"/>
      <c r="FL114" s="870"/>
      <c r="FM114" s="373"/>
      <c r="FN114" s="373"/>
      <c r="FO114" s="373"/>
      <c r="FP114" s="618"/>
      <c r="FQ114" s="374">
        <v>0</v>
      </c>
      <c r="FR114" s="869"/>
      <c r="FS114" s="373"/>
      <c r="FT114" s="373"/>
      <c r="FU114" s="870"/>
      <c r="FV114" s="373"/>
      <c r="FW114" s="373"/>
      <c r="FX114" s="373"/>
      <c r="FY114" s="618"/>
      <c r="FZ114" s="374">
        <v>0</v>
      </c>
      <c r="GA114" s="869"/>
      <c r="GB114" s="373"/>
      <c r="GC114" s="373"/>
      <c r="GD114" s="870"/>
      <c r="GE114" s="373"/>
      <c r="GF114" s="373"/>
      <c r="GG114" s="373"/>
      <c r="GH114" s="618"/>
      <c r="GI114" s="374">
        <v>0</v>
      </c>
      <c r="GJ114" s="869">
        <v>13</v>
      </c>
      <c r="GK114" s="373">
        <v>12</v>
      </c>
      <c r="GL114" s="373">
        <v>10</v>
      </c>
      <c r="GM114" s="870">
        <v>13</v>
      </c>
      <c r="GN114" s="373">
        <v>9</v>
      </c>
      <c r="GO114" s="373">
        <v>9</v>
      </c>
      <c r="GP114" s="373">
        <v>9</v>
      </c>
      <c r="GQ114" s="618">
        <v>3</v>
      </c>
      <c r="GR114" s="374">
        <v>7</v>
      </c>
      <c r="GS114" s="869">
        <v>7</v>
      </c>
      <c r="GT114" s="373">
        <v>5</v>
      </c>
      <c r="GU114" s="373">
        <v>5</v>
      </c>
      <c r="GV114" s="870">
        <v>2</v>
      </c>
      <c r="GW114" s="373">
        <v>1</v>
      </c>
      <c r="GX114" s="373"/>
      <c r="GY114" s="373">
        <v>5</v>
      </c>
      <c r="GZ114" s="618"/>
      <c r="HA114" s="374">
        <v>1</v>
      </c>
      <c r="HB114" s="869"/>
      <c r="HC114" s="373"/>
      <c r="HD114" s="373"/>
      <c r="HE114" s="870"/>
      <c r="HF114" s="373"/>
      <c r="HG114" s="373"/>
      <c r="HH114" s="373"/>
      <c r="HI114" s="618"/>
      <c r="HJ114" s="374">
        <v>0</v>
      </c>
      <c r="HK114" s="869"/>
      <c r="HL114" s="373"/>
      <c r="HM114" s="373"/>
      <c r="HN114" s="870"/>
      <c r="HO114" s="373"/>
      <c r="HP114" s="373"/>
      <c r="HQ114" s="373"/>
      <c r="HR114" s="618"/>
      <c r="HS114" s="374">
        <v>0</v>
      </c>
      <c r="HT114" s="869">
        <v>8</v>
      </c>
      <c r="HU114" s="373">
        <v>6</v>
      </c>
      <c r="HV114" s="373">
        <v>6</v>
      </c>
      <c r="HW114" s="870">
        <v>2</v>
      </c>
      <c r="HX114" s="373">
        <v>1</v>
      </c>
      <c r="HY114" s="373"/>
      <c r="HZ114" s="373">
        <v>6</v>
      </c>
      <c r="IA114" s="618">
        <v>1</v>
      </c>
      <c r="IB114" s="374">
        <v>1</v>
      </c>
      <c r="IC114" s="869">
        <v>18</v>
      </c>
      <c r="ID114" s="373">
        <v>20</v>
      </c>
      <c r="IE114" s="373">
        <v>12</v>
      </c>
      <c r="IF114" s="870">
        <v>17</v>
      </c>
      <c r="IG114" s="373">
        <v>9</v>
      </c>
      <c r="IH114" s="373">
        <v>10</v>
      </c>
      <c r="II114" s="373">
        <v>14</v>
      </c>
      <c r="IJ114" s="618">
        <v>6</v>
      </c>
      <c r="IK114" s="374">
        <v>9</v>
      </c>
      <c r="IL114" s="377">
        <v>2</v>
      </c>
      <c r="IM114" s="373">
        <v>4</v>
      </c>
      <c r="IN114" s="373">
        <v>2</v>
      </c>
      <c r="IO114" s="871">
        <v>4</v>
      </c>
      <c r="IP114" s="871">
        <v>1</v>
      </c>
      <c r="IQ114" s="373">
        <v>3</v>
      </c>
      <c r="IR114" s="373"/>
      <c r="IS114" s="618">
        <v>1</v>
      </c>
      <c r="IT114" s="374">
        <v>1</v>
      </c>
    </row>
    <row r="115" spans="1:254" s="245" customFormat="1" ht="12.75" customHeight="1" x14ac:dyDescent="0.2">
      <c r="A115" s="1052"/>
      <c r="B115" s="868" t="s">
        <v>967</v>
      </c>
      <c r="C115" s="869"/>
      <c r="D115" s="373"/>
      <c r="E115" s="373"/>
      <c r="F115" s="870"/>
      <c r="G115" s="373"/>
      <c r="H115" s="373"/>
      <c r="I115" s="373"/>
      <c r="J115" s="618"/>
      <c r="K115" s="374">
        <v>0</v>
      </c>
      <c r="L115" s="869"/>
      <c r="M115" s="373"/>
      <c r="N115" s="373"/>
      <c r="O115" s="870"/>
      <c r="P115" s="373"/>
      <c r="Q115" s="373"/>
      <c r="R115" s="373"/>
      <c r="S115" s="618"/>
      <c r="T115" s="374">
        <v>0</v>
      </c>
      <c r="U115" s="869"/>
      <c r="V115" s="373"/>
      <c r="W115" s="373"/>
      <c r="X115" s="870"/>
      <c r="Y115" s="373"/>
      <c r="Z115" s="373"/>
      <c r="AA115" s="373"/>
      <c r="AB115" s="618"/>
      <c r="AC115" s="374">
        <v>0</v>
      </c>
      <c r="AD115" s="869"/>
      <c r="AE115" s="373"/>
      <c r="AF115" s="373"/>
      <c r="AG115" s="870"/>
      <c r="AH115" s="373"/>
      <c r="AI115" s="373"/>
      <c r="AJ115" s="373">
        <v>1</v>
      </c>
      <c r="AK115" s="618"/>
      <c r="AL115" s="374">
        <v>0</v>
      </c>
      <c r="AM115" s="869"/>
      <c r="AN115" s="373"/>
      <c r="AO115" s="373"/>
      <c r="AP115" s="870"/>
      <c r="AQ115" s="373"/>
      <c r="AR115" s="373"/>
      <c r="AS115" s="373"/>
      <c r="AT115" s="618"/>
      <c r="AU115" s="374">
        <v>0</v>
      </c>
      <c r="AV115" s="869"/>
      <c r="AW115" s="373"/>
      <c r="AX115" s="373"/>
      <c r="AY115" s="870"/>
      <c r="AZ115" s="373"/>
      <c r="BA115" s="373"/>
      <c r="BB115" s="373"/>
      <c r="BC115" s="618"/>
      <c r="BD115" s="374">
        <v>0</v>
      </c>
      <c r="BE115" s="869"/>
      <c r="BF115" s="373"/>
      <c r="BG115" s="373">
        <v>3</v>
      </c>
      <c r="BH115" s="870"/>
      <c r="BI115" s="373"/>
      <c r="BJ115" s="373"/>
      <c r="BK115" s="373"/>
      <c r="BL115" s="618"/>
      <c r="BM115" s="374">
        <v>0</v>
      </c>
      <c r="BN115" s="869"/>
      <c r="BO115" s="373"/>
      <c r="BP115" s="373"/>
      <c r="BQ115" s="870"/>
      <c r="BR115" s="373"/>
      <c r="BS115" s="373"/>
      <c r="BT115" s="373"/>
      <c r="BU115" s="618"/>
      <c r="BV115" s="374">
        <v>0</v>
      </c>
      <c r="BW115" s="869"/>
      <c r="BX115" s="373"/>
      <c r="BY115" s="373"/>
      <c r="BZ115" s="870"/>
      <c r="CA115" s="373"/>
      <c r="CB115" s="373"/>
      <c r="CC115" s="373"/>
      <c r="CD115" s="618"/>
      <c r="CE115" s="374">
        <v>0</v>
      </c>
      <c r="CF115" s="869"/>
      <c r="CG115" s="373"/>
      <c r="CH115" s="373"/>
      <c r="CI115" s="870"/>
      <c r="CJ115" s="373"/>
      <c r="CK115" s="373"/>
      <c r="CL115" s="373"/>
      <c r="CM115" s="618"/>
      <c r="CN115" s="374">
        <v>0</v>
      </c>
      <c r="CO115" s="869"/>
      <c r="CP115" s="373"/>
      <c r="CQ115" s="373"/>
      <c r="CR115" s="870"/>
      <c r="CS115" s="373"/>
      <c r="CT115" s="373"/>
      <c r="CU115" s="373"/>
      <c r="CV115" s="618"/>
      <c r="CW115" s="374">
        <v>0</v>
      </c>
      <c r="CX115" s="869">
        <v>4</v>
      </c>
      <c r="CY115" s="373">
        <v>3</v>
      </c>
      <c r="CZ115" s="373">
        <v>6</v>
      </c>
      <c r="DA115" s="870">
        <v>4</v>
      </c>
      <c r="DB115" s="373">
        <v>4</v>
      </c>
      <c r="DC115" s="373">
        <v>5</v>
      </c>
      <c r="DD115" s="373">
        <v>2</v>
      </c>
      <c r="DE115" s="618"/>
      <c r="DF115" s="374">
        <v>1</v>
      </c>
      <c r="DG115" s="869"/>
      <c r="DH115" s="373"/>
      <c r="DI115" s="373"/>
      <c r="DJ115" s="870"/>
      <c r="DK115" s="373"/>
      <c r="DL115" s="373"/>
      <c r="DM115" s="373"/>
      <c r="DN115" s="618"/>
      <c r="DO115" s="374">
        <v>0</v>
      </c>
      <c r="DP115" s="869"/>
      <c r="DQ115" s="373"/>
      <c r="DR115" s="373"/>
      <c r="DS115" s="870"/>
      <c r="DT115" s="373">
        <v>1</v>
      </c>
      <c r="DU115" s="373">
        <v>1</v>
      </c>
      <c r="DV115" s="373"/>
      <c r="DW115" s="618"/>
      <c r="DX115" s="374">
        <v>0</v>
      </c>
      <c r="DY115" s="869"/>
      <c r="DZ115" s="373"/>
      <c r="EA115" s="373"/>
      <c r="EB115" s="870">
        <v>1</v>
      </c>
      <c r="EC115" s="373"/>
      <c r="ED115" s="373">
        <v>1</v>
      </c>
      <c r="EE115" s="373"/>
      <c r="EF115" s="618"/>
      <c r="EG115" s="374">
        <v>0</v>
      </c>
      <c r="EH115" s="869"/>
      <c r="EI115" s="373"/>
      <c r="EJ115" s="373"/>
      <c r="EK115" s="870"/>
      <c r="EL115" s="373"/>
      <c r="EM115" s="373"/>
      <c r="EN115" s="373"/>
      <c r="EO115" s="618"/>
      <c r="EP115" s="374">
        <v>0</v>
      </c>
      <c r="EQ115" s="869"/>
      <c r="ER115" s="373"/>
      <c r="ES115" s="373"/>
      <c r="ET115" s="870"/>
      <c r="EU115" s="373"/>
      <c r="EV115" s="373"/>
      <c r="EW115" s="373"/>
      <c r="EX115" s="618"/>
      <c r="EY115" s="374">
        <v>0</v>
      </c>
      <c r="EZ115" s="869"/>
      <c r="FA115" s="373"/>
      <c r="FB115" s="373"/>
      <c r="FC115" s="870"/>
      <c r="FD115" s="373"/>
      <c r="FE115" s="373"/>
      <c r="FF115" s="373"/>
      <c r="FG115" s="618"/>
      <c r="FH115" s="374">
        <v>0</v>
      </c>
      <c r="FI115" s="869"/>
      <c r="FJ115" s="373">
        <v>1</v>
      </c>
      <c r="FK115" s="373"/>
      <c r="FL115" s="870"/>
      <c r="FM115" s="373">
        <v>1</v>
      </c>
      <c r="FN115" s="373"/>
      <c r="FO115" s="373"/>
      <c r="FP115" s="618"/>
      <c r="FQ115" s="374">
        <v>0</v>
      </c>
      <c r="FR115" s="869"/>
      <c r="FS115" s="373"/>
      <c r="FT115" s="373"/>
      <c r="FU115" s="870">
        <v>1</v>
      </c>
      <c r="FV115" s="373"/>
      <c r="FW115" s="373"/>
      <c r="FX115" s="373"/>
      <c r="FY115" s="618"/>
      <c r="FZ115" s="374">
        <v>0</v>
      </c>
      <c r="GA115" s="869"/>
      <c r="GB115" s="373"/>
      <c r="GC115" s="373"/>
      <c r="GD115" s="870"/>
      <c r="GE115" s="373"/>
      <c r="GF115" s="373"/>
      <c r="GG115" s="373"/>
      <c r="GH115" s="618"/>
      <c r="GI115" s="374">
        <v>0</v>
      </c>
      <c r="GJ115" s="869">
        <v>4</v>
      </c>
      <c r="GK115" s="373">
        <v>4</v>
      </c>
      <c r="GL115" s="373">
        <v>9</v>
      </c>
      <c r="GM115" s="870">
        <v>5</v>
      </c>
      <c r="GN115" s="373">
        <v>5</v>
      </c>
      <c r="GO115" s="373">
        <v>5</v>
      </c>
      <c r="GP115" s="373">
        <v>3</v>
      </c>
      <c r="GQ115" s="618"/>
      <c r="GR115" s="374">
        <v>1</v>
      </c>
      <c r="GS115" s="869">
        <v>1</v>
      </c>
      <c r="GT115" s="373">
        <v>1</v>
      </c>
      <c r="GU115" s="373">
        <v>1</v>
      </c>
      <c r="GV115" s="870">
        <v>2</v>
      </c>
      <c r="GW115" s="373"/>
      <c r="GX115" s="373"/>
      <c r="GY115" s="373"/>
      <c r="GZ115" s="618"/>
      <c r="HA115" s="374">
        <v>0</v>
      </c>
      <c r="HB115" s="869"/>
      <c r="HC115" s="373"/>
      <c r="HD115" s="373"/>
      <c r="HE115" s="870"/>
      <c r="HF115" s="373"/>
      <c r="HG115" s="373"/>
      <c r="HH115" s="373"/>
      <c r="HI115" s="618"/>
      <c r="HJ115" s="374">
        <v>0</v>
      </c>
      <c r="HK115" s="869"/>
      <c r="HL115" s="373"/>
      <c r="HM115" s="373"/>
      <c r="HN115" s="870"/>
      <c r="HO115" s="373"/>
      <c r="HP115" s="373"/>
      <c r="HQ115" s="373"/>
      <c r="HR115" s="618"/>
      <c r="HS115" s="374">
        <v>0</v>
      </c>
      <c r="HT115" s="869">
        <v>1</v>
      </c>
      <c r="HU115" s="373">
        <v>2</v>
      </c>
      <c r="HV115" s="373">
        <v>1</v>
      </c>
      <c r="HW115" s="870">
        <v>4</v>
      </c>
      <c r="HX115" s="373"/>
      <c r="HY115" s="373">
        <v>1</v>
      </c>
      <c r="HZ115" s="373">
        <v>1</v>
      </c>
      <c r="IA115" s="618">
        <v>7</v>
      </c>
      <c r="IB115" s="374">
        <v>3</v>
      </c>
      <c r="IC115" s="869">
        <v>6</v>
      </c>
      <c r="ID115" s="373">
        <v>8</v>
      </c>
      <c r="IE115" s="373">
        <v>9</v>
      </c>
      <c r="IF115" s="870">
        <v>11</v>
      </c>
      <c r="IG115" s="373">
        <v>10</v>
      </c>
      <c r="IH115" s="373">
        <v>7</v>
      </c>
      <c r="II115" s="373">
        <v>6</v>
      </c>
      <c r="IJ115" s="618">
        <v>8</v>
      </c>
      <c r="IK115" s="374">
        <v>6</v>
      </c>
      <c r="IL115" s="377">
        <v>2</v>
      </c>
      <c r="IM115" s="373"/>
      <c r="IN115" s="373">
        <v>1</v>
      </c>
      <c r="IO115" s="871">
        <v>1</v>
      </c>
      <c r="IP115" s="871">
        <v>1</v>
      </c>
      <c r="IQ115" s="373">
        <v>1</v>
      </c>
      <c r="IR115" s="373">
        <v>1</v>
      </c>
      <c r="IS115" s="618"/>
      <c r="IT115" s="374">
        <v>0</v>
      </c>
    </row>
    <row r="116" spans="1:254" s="245" customFormat="1" ht="12.75" customHeight="1" x14ac:dyDescent="0.2">
      <c r="A116" s="1052"/>
      <c r="B116" s="868" t="s">
        <v>968</v>
      </c>
      <c r="C116" s="869"/>
      <c r="D116" s="373"/>
      <c r="E116" s="373"/>
      <c r="F116" s="870"/>
      <c r="G116" s="373"/>
      <c r="H116" s="373"/>
      <c r="I116" s="373"/>
      <c r="J116" s="618"/>
      <c r="K116" s="374">
        <v>0</v>
      </c>
      <c r="L116" s="869"/>
      <c r="M116" s="373"/>
      <c r="N116" s="373"/>
      <c r="O116" s="870"/>
      <c r="P116" s="373"/>
      <c r="Q116" s="373"/>
      <c r="R116" s="373"/>
      <c r="S116" s="618"/>
      <c r="T116" s="374">
        <v>0</v>
      </c>
      <c r="U116" s="869"/>
      <c r="V116" s="373"/>
      <c r="W116" s="373"/>
      <c r="X116" s="870"/>
      <c r="Y116" s="373"/>
      <c r="Z116" s="373"/>
      <c r="AA116" s="373"/>
      <c r="AB116" s="618"/>
      <c r="AC116" s="374">
        <v>0</v>
      </c>
      <c r="AD116" s="869">
        <v>1</v>
      </c>
      <c r="AE116" s="373">
        <v>1</v>
      </c>
      <c r="AF116" s="373">
        <v>3</v>
      </c>
      <c r="AG116" s="870"/>
      <c r="AH116" s="373"/>
      <c r="AI116" s="373">
        <v>2</v>
      </c>
      <c r="AJ116" s="373">
        <v>4</v>
      </c>
      <c r="AK116" s="618">
        <v>2</v>
      </c>
      <c r="AL116" s="374">
        <v>2</v>
      </c>
      <c r="AM116" s="869"/>
      <c r="AN116" s="373"/>
      <c r="AO116" s="373"/>
      <c r="AP116" s="870"/>
      <c r="AQ116" s="373"/>
      <c r="AR116" s="373"/>
      <c r="AS116" s="373">
        <v>2</v>
      </c>
      <c r="AT116" s="618"/>
      <c r="AU116" s="374">
        <v>0</v>
      </c>
      <c r="AV116" s="869"/>
      <c r="AW116" s="373"/>
      <c r="AX116" s="373"/>
      <c r="AY116" s="870"/>
      <c r="AZ116" s="373"/>
      <c r="BA116" s="373"/>
      <c r="BB116" s="373"/>
      <c r="BC116" s="618"/>
      <c r="BD116" s="374">
        <v>0</v>
      </c>
      <c r="BE116" s="869"/>
      <c r="BF116" s="373">
        <v>4</v>
      </c>
      <c r="BG116" s="373"/>
      <c r="BH116" s="870"/>
      <c r="BI116" s="373"/>
      <c r="BJ116" s="373">
        <v>1</v>
      </c>
      <c r="BK116" s="373"/>
      <c r="BL116" s="618"/>
      <c r="BM116" s="374">
        <v>0</v>
      </c>
      <c r="BN116" s="869"/>
      <c r="BO116" s="373"/>
      <c r="BP116" s="373"/>
      <c r="BQ116" s="870"/>
      <c r="BR116" s="373"/>
      <c r="BS116" s="373"/>
      <c r="BT116" s="373"/>
      <c r="BU116" s="618"/>
      <c r="BV116" s="374">
        <v>0</v>
      </c>
      <c r="BW116" s="869">
        <v>1</v>
      </c>
      <c r="BX116" s="373">
        <v>1</v>
      </c>
      <c r="BY116" s="373"/>
      <c r="BZ116" s="870">
        <v>1</v>
      </c>
      <c r="CA116" s="373">
        <v>1</v>
      </c>
      <c r="CB116" s="373">
        <v>2</v>
      </c>
      <c r="CC116" s="373"/>
      <c r="CD116" s="618"/>
      <c r="CE116" s="374">
        <v>0</v>
      </c>
      <c r="CF116" s="869"/>
      <c r="CG116" s="373"/>
      <c r="CH116" s="373"/>
      <c r="CI116" s="870"/>
      <c r="CJ116" s="373"/>
      <c r="CK116" s="373"/>
      <c r="CL116" s="373"/>
      <c r="CM116" s="618"/>
      <c r="CN116" s="374">
        <v>0</v>
      </c>
      <c r="CO116" s="869">
        <v>1</v>
      </c>
      <c r="CP116" s="373"/>
      <c r="CQ116" s="373"/>
      <c r="CR116" s="870">
        <v>1</v>
      </c>
      <c r="CS116" s="373"/>
      <c r="CT116" s="373"/>
      <c r="CU116" s="373"/>
      <c r="CV116" s="618"/>
      <c r="CW116" s="374">
        <v>0</v>
      </c>
      <c r="CX116" s="869">
        <v>29</v>
      </c>
      <c r="CY116" s="373">
        <v>18</v>
      </c>
      <c r="CZ116" s="373">
        <v>24</v>
      </c>
      <c r="DA116" s="870">
        <v>15</v>
      </c>
      <c r="DB116" s="373">
        <v>7</v>
      </c>
      <c r="DC116" s="373">
        <v>3</v>
      </c>
      <c r="DD116" s="373">
        <v>6</v>
      </c>
      <c r="DE116" s="618">
        <v>1</v>
      </c>
      <c r="DF116" s="374">
        <v>4</v>
      </c>
      <c r="DG116" s="869"/>
      <c r="DH116" s="373"/>
      <c r="DI116" s="373"/>
      <c r="DJ116" s="870"/>
      <c r="DK116" s="373"/>
      <c r="DL116" s="373"/>
      <c r="DM116" s="373"/>
      <c r="DN116" s="618"/>
      <c r="DO116" s="374">
        <v>0</v>
      </c>
      <c r="DP116" s="869">
        <v>1</v>
      </c>
      <c r="DQ116" s="373"/>
      <c r="DR116" s="373">
        <v>1</v>
      </c>
      <c r="DS116" s="870"/>
      <c r="DT116" s="373">
        <v>2</v>
      </c>
      <c r="DU116" s="373"/>
      <c r="DV116" s="373"/>
      <c r="DW116" s="618"/>
      <c r="DX116" s="374">
        <v>0</v>
      </c>
      <c r="DY116" s="869"/>
      <c r="DZ116" s="373">
        <v>1</v>
      </c>
      <c r="EA116" s="373">
        <v>1</v>
      </c>
      <c r="EB116" s="870">
        <v>1</v>
      </c>
      <c r="EC116" s="373"/>
      <c r="ED116" s="373"/>
      <c r="EE116" s="373">
        <v>2</v>
      </c>
      <c r="EF116" s="618"/>
      <c r="EG116" s="374">
        <v>0</v>
      </c>
      <c r="EH116" s="869"/>
      <c r="EI116" s="373"/>
      <c r="EJ116" s="373"/>
      <c r="EK116" s="870"/>
      <c r="EL116" s="373"/>
      <c r="EM116" s="373"/>
      <c r="EN116" s="373"/>
      <c r="EO116" s="618"/>
      <c r="EP116" s="374">
        <v>0</v>
      </c>
      <c r="EQ116" s="869"/>
      <c r="ER116" s="373"/>
      <c r="ES116" s="373"/>
      <c r="ET116" s="870"/>
      <c r="EU116" s="373"/>
      <c r="EV116" s="373"/>
      <c r="EW116" s="373"/>
      <c r="EX116" s="618"/>
      <c r="EY116" s="374">
        <v>0</v>
      </c>
      <c r="EZ116" s="869"/>
      <c r="FA116" s="373"/>
      <c r="FB116" s="373"/>
      <c r="FC116" s="870"/>
      <c r="FD116" s="373"/>
      <c r="FE116" s="373"/>
      <c r="FF116" s="373"/>
      <c r="FG116" s="618"/>
      <c r="FH116" s="374">
        <v>0</v>
      </c>
      <c r="FI116" s="869"/>
      <c r="FJ116" s="373">
        <v>1</v>
      </c>
      <c r="FK116" s="373">
        <v>3</v>
      </c>
      <c r="FL116" s="870"/>
      <c r="FM116" s="373">
        <v>1</v>
      </c>
      <c r="FN116" s="373"/>
      <c r="FO116" s="373"/>
      <c r="FP116" s="618"/>
      <c r="FQ116" s="374">
        <v>0</v>
      </c>
      <c r="FR116" s="869"/>
      <c r="FS116" s="373"/>
      <c r="FT116" s="373">
        <v>1</v>
      </c>
      <c r="FU116" s="870"/>
      <c r="FV116" s="373"/>
      <c r="FW116" s="373"/>
      <c r="FX116" s="373"/>
      <c r="FY116" s="618"/>
      <c r="FZ116" s="374">
        <v>0</v>
      </c>
      <c r="GA116" s="869"/>
      <c r="GB116" s="373"/>
      <c r="GC116" s="373"/>
      <c r="GD116" s="870"/>
      <c r="GE116" s="373"/>
      <c r="GF116" s="373"/>
      <c r="GG116" s="373"/>
      <c r="GH116" s="618"/>
      <c r="GI116" s="374">
        <v>0</v>
      </c>
      <c r="GJ116" s="869">
        <v>32</v>
      </c>
      <c r="GK116" s="373">
        <v>25</v>
      </c>
      <c r="GL116" s="373">
        <v>31</v>
      </c>
      <c r="GM116" s="870">
        <v>17</v>
      </c>
      <c r="GN116" s="373">
        <v>9</v>
      </c>
      <c r="GO116" s="373">
        <v>8</v>
      </c>
      <c r="GP116" s="373">
        <v>10</v>
      </c>
      <c r="GQ116" s="618">
        <v>3</v>
      </c>
      <c r="GR116" s="374">
        <v>6</v>
      </c>
      <c r="GS116" s="869">
        <v>11</v>
      </c>
      <c r="GT116" s="373">
        <v>6</v>
      </c>
      <c r="GU116" s="373">
        <v>9</v>
      </c>
      <c r="GV116" s="870">
        <v>4</v>
      </c>
      <c r="GW116" s="373">
        <v>4</v>
      </c>
      <c r="GX116" s="373"/>
      <c r="GY116" s="373"/>
      <c r="GZ116" s="618">
        <v>2</v>
      </c>
      <c r="HA116" s="374">
        <v>1</v>
      </c>
      <c r="HB116" s="869"/>
      <c r="HC116" s="373"/>
      <c r="HD116" s="373">
        <v>1</v>
      </c>
      <c r="HE116" s="870"/>
      <c r="HF116" s="373"/>
      <c r="HG116" s="373"/>
      <c r="HH116" s="373"/>
      <c r="HI116" s="618"/>
      <c r="HJ116" s="374">
        <v>0</v>
      </c>
      <c r="HK116" s="869"/>
      <c r="HL116" s="373"/>
      <c r="HM116" s="373"/>
      <c r="HN116" s="870">
        <v>1</v>
      </c>
      <c r="HO116" s="373"/>
      <c r="HP116" s="373"/>
      <c r="HQ116" s="373"/>
      <c r="HR116" s="618"/>
      <c r="HS116" s="374">
        <v>0</v>
      </c>
      <c r="HT116" s="869">
        <v>25</v>
      </c>
      <c r="HU116" s="373">
        <v>8</v>
      </c>
      <c r="HV116" s="373">
        <v>16</v>
      </c>
      <c r="HW116" s="870">
        <v>8</v>
      </c>
      <c r="HX116" s="373">
        <v>10</v>
      </c>
      <c r="HY116" s="373">
        <v>3</v>
      </c>
      <c r="HZ116" s="373">
        <v>3</v>
      </c>
      <c r="IA116" s="618">
        <v>6</v>
      </c>
      <c r="IB116" s="374">
        <v>5</v>
      </c>
      <c r="IC116" s="869">
        <v>57</v>
      </c>
      <c r="ID116" s="373">
        <v>42</v>
      </c>
      <c r="IE116" s="373">
        <v>49</v>
      </c>
      <c r="IF116" s="870">
        <v>28</v>
      </c>
      <c r="IG116" s="373">
        <v>21</v>
      </c>
      <c r="IH116" s="373">
        <v>15</v>
      </c>
      <c r="II116" s="373">
        <v>16</v>
      </c>
      <c r="IJ116" s="618">
        <v>14</v>
      </c>
      <c r="IK116" s="374">
        <v>21</v>
      </c>
      <c r="IL116" s="377">
        <v>17</v>
      </c>
      <c r="IM116" s="373">
        <v>6</v>
      </c>
      <c r="IN116" s="373">
        <v>12</v>
      </c>
      <c r="IO116" s="871">
        <v>3</v>
      </c>
      <c r="IP116" s="871">
        <v>1</v>
      </c>
      <c r="IQ116" s="373"/>
      <c r="IR116" s="373">
        <v>3</v>
      </c>
      <c r="IS116" s="618"/>
      <c r="IT116" s="374">
        <v>1</v>
      </c>
    </row>
    <row r="117" spans="1:254" s="245" customFormat="1" ht="12.75" customHeight="1" x14ac:dyDescent="0.2">
      <c r="A117" s="1052"/>
      <c r="B117" s="868" t="s">
        <v>969</v>
      </c>
      <c r="C117" s="869"/>
      <c r="D117" s="373"/>
      <c r="E117" s="373"/>
      <c r="F117" s="870"/>
      <c r="G117" s="373"/>
      <c r="H117" s="373"/>
      <c r="I117" s="373"/>
      <c r="J117" s="618"/>
      <c r="K117" s="374">
        <v>0</v>
      </c>
      <c r="L117" s="869"/>
      <c r="M117" s="373"/>
      <c r="N117" s="373"/>
      <c r="O117" s="870"/>
      <c r="P117" s="373"/>
      <c r="Q117" s="373"/>
      <c r="R117" s="373"/>
      <c r="S117" s="618"/>
      <c r="T117" s="374">
        <v>0</v>
      </c>
      <c r="U117" s="869"/>
      <c r="V117" s="373"/>
      <c r="W117" s="373"/>
      <c r="X117" s="870"/>
      <c r="Y117" s="373"/>
      <c r="Z117" s="373"/>
      <c r="AA117" s="373"/>
      <c r="AB117" s="618"/>
      <c r="AC117" s="374">
        <v>0</v>
      </c>
      <c r="AD117" s="869"/>
      <c r="AE117" s="373"/>
      <c r="AF117" s="373"/>
      <c r="AG117" s="870"/>
      <c r="AH117" s="373"/>
      <c r="AI117" s="373"/>
      <c r="AJ117" s="373"/>
      <c r="AK117" s="618"/>
      <c r="AL117" s="374">
        <v>0</v>
      </c>
      <c r="AM117" s="869"/>
      <c r="AN117" s="373"/>
      <c r="AO117" s="373"/>
      <c r="AP117" s="870"/>
      <c r="AQ117" s="373"/>
      <c r="AR117" s="373"/>
      <c r="AS117" s="373"/>
      <c r="AT117" s="618"/>
      <c r="AU117" s="374">
        <v>0</v>
      </c>
      <c r="AV117" s="869"/>
      <c r="AW117" s="373"/>
      <c r="AX117" s="373"/>
      <c r="AY117" s="870"/>
      <c r="AZ117" s="373"/>
      <c r="BA117" s="373"/>
      <c r="BB117" s="373"/>
      <c r="BC117" s="618"/>
      <c r="BD117" s="374">
        <v>0</v>
      </c>
      <c r="BE117" s="869"/>
      <c r="BF117" s="373"/>
      <c r="BG117" s="373"/>
      <c r="BH117" s="870"/>
      <c r="BI117" s="373"/>
      <c r="BJ117" s="373"/>
      <c r="BK117" s="373"/>
      <c r="BL117" s="618"/>
      <c r="BM117" s="374">
        <v>0</v>
      </c>
      <c r="BN117" s="869"/>
      <c r="BO117" s="373"/>
      <c r="BP117" s="373"/>
      <c r="BQ117" s="870"/>
      <c r="BR117" s="373"/>
      <c r="BS117" s="373"/>
      <c r="BT117" s="373"/>
      <c r="BU117" s="618"/>
      <c r="BV117" s="374">
        <v>0</v>
      </c>
      <c r="BW117" s="869"/>
      <c r="BX117" s="373"/>
      <c r="BY117" s="373"/>
      <c r="BZ117" s="870"/>
      <c r="CA117" s="373"/>
      <c r="CB117" s="373"/>
      <c r="CC117" s="373"/>
      <c r="CD117" s="618"/>
      <c r="CE117" s="374">
        <v>0</v>
      </c>
      <c r="CF117" s="869"/>
      <c r="CG117" s="373"/>
      <c r="CH117" s="373"/>
      <c r="CI117" s="870"/>
      <c r="CJ117" s="373"/>
      <c r="CK117" s="373"/>
      <c r="CL117" s="373"/>
      <c r="CM117" s="618"/>
      <c r="CN117" s="374">
        <v>0</v>
      </c>
      <c r="CO117" s="869"/>
      <c r="CP117" s="373"/>
      <c r="CQ117" s="373"/>
      <c r="CR117" s="870"/>
      <c r="CS117" s="373"/>
      <c r="CT117" s="373"/>
      <c r="CU117" s="373"/>
      <c r="CV117" s="618"/>
      <c r="CW117" s="374">
        <v>0</v>
      </c>
      <c r="CX117" s="869">
        <v>6</v>
      </c>
      <c r="CY117" s="373">
        <v>1</v>
      </c>
      <c r="CZ117" s="373">
        <v>1</v>
      </c>
      <c r="DA117" s="870"/>
      <c r="DB117" s="373">
        <v>3</v>
      </c>
      <c r="DC117" s="373"/>
      <c r="DD117" s="373"/>
      <c r="DE117" s="618">
        <v>7</v>
      </c>
      <c r="DF117" s="374">
        <v>0</v>
      </c>
      <c r="DG117" s="869"/>
      <c r="DH117" s="373"/>
      <c r="DI117" s="373"/>
      <c r="DJ117" s="870"/>
      <c r="DK117" s="373"/>
      <c r="DL117" s="373"/>
      <c r="DM117" s="373"/>
      <c r="DN117" s="618"/>
      <c r="DO117" s="374">
        <v>0</v>
      </c>
      <c r="DP117" s="869"/>
      <c r="DQ117" s="373"/>
      <c r="DR117" s="373"/>
      <c r="DS117" s="870"/>
      <c r="DT117" s="373"/>
      <c r="DU117" s="373"/>
      <c r="DV117" s="373"/>
      <c r="DW117" s="618"/>
      <c r="DX117" s="374">
        <v>0</v>
      </c>
      <c r="DY117" s="869">
        <v>2</v>
      </c>
      <c r="DZ117" s="373"/>
      <c r="EA117" s="373"/>
      <c r="EB117" s="870"/>
      <c r="EC117" s="373"/>
      <c r="ED117" s="373"/>
      <c r="EE117" s="373"/>
      <c r="EF117" s="618">
        <v>5</v>
      </c>
      <c r="EG117" s="374">
        <v>0</v>
      </c>
      <c r="EH117" s="869"/>
      <c r="EI117" s="373"/>
      <c r="EJ117" s="373"/>
      <c r="EK117" s="870"/>
      <c r="EL117" s="373"/>
      <c r="EM117" s="373"/>
      <c r="EN117" s="373"/>
      <c r="EO117" s="618"/>
      <c r="EP117" s="374">
        <v>0</v>
      </c>
      <c r="EQ117" s="869"/>
      <c r="ER117" s="373"/>
      <c r="ES117" s="373"/>
      <c r="ET117" s="870"/>
      <c r="EU117" s="373"/>
      <c r="EV117" s="373"/>
      <c r="EW117" s="373"/>
      <c r="EX117" s="618"/>
      <c r="EY117" s="374">
        <v>0</v>
      </c>
      <c r="EZ117" s="869"/>
      <c r="FA117" s="373"/>
      <c r="FB117" s="373"/>
      <c r="FC117" s="870"/>
      <c r="FD117" s="373"/>
      <c r="FE117" s="373"/>
      <c r="FF117" s="373"/>
      <c r="FG117" s="618"/>
      <c r="FH117" s="374">
        <v>0</v>
      </c>
      <c r="FI117" s="869"/>
      <c r="FJ117" s="373"/>
      <c r="FK117" s="373"/>
      <c r="FL117" s="870"/>
      <c r="FM117" s="373"/>
      <c r="FN117" s="373"/>
      <c r="FO117" s="373"/>
      <c r="FP117" s="618"/>
      <c r="FQ117" s="374">
        <v>0</v>
      </c>
      <c r="FR117" s="869"/>
      <c r="FS117" s="373"/>
      <c r="FT117" s="373"/>
      <c r="FU117" s="870"/>
      <c r="FV117" s="373"/>
      <c r="FW117" s="373"/>
      <c r="FX117" s="373"/>
      <c r="FY117" s="618"/>
      <c r="FZ117" s="374">
        <v>0</v>
      </c>
      <c r="GA117" s="869"/>
      <c r="GB117" s="373"/>
      <c r="GC117" s="373"/>
      <c r="GD117" s="870"/>
      <c r="GE117" s="373"/>
      <c r="GF117" s="373"/>
      <c r="GG117" s="373"/>
      <c r="GH117" s="618"/>
      <c r="GI117" s="374">
        <v>0</v>
      </c>
      <c r="GJ117" s="869">
        <v>6</v>
      </c>
      <c r="GK117" s="373">
        <v>1</v>
      </c>
      <c r="GL117" s="373">
        <v>1</v>
      </c>
      <c r="GM117" s="870"/>
      <c r="GN117" s="373">
        <v>3</v>
      </c>
      <c r="GO117" s="373"/>
      <c r="GP117" s="373"/>
      <c r="GQ117" s="618">
        <v>7</v>
      </c>
      <c r="GR117" s="374">
        <v>0</v>
      </c>
      <c r="GS117" s="869"/>
      <c r="GT117" s="373"/>
      <c r="GU117" s="373"/>
      <c r="GV117" s="870"/>
      <c r="GW117" s="373"/>
      <c r="GX117" s="373"/>
      <c r="GY117" s="373"/>
      <c r="GZ117" s="618"/>
      <c r="HA117" s="374">
        <v>0</v>
      </c>
      <c r="HB117" s="869"/>
      <c r="HC117" s="373"/>
      <c r="HD117" s="373"/>
      <c r="HE117" s="870"/>
      <c r="HF117" s="373"/>
      <c r="HG117" s="373"/>
      <c r="HH117" s="373"/>
      <c r="HI117" s="618"/>
      <c r="HJ117" s="374">
        <v>0</v>
      </c>
      <c r="HK117" s="869"/>
      <c r="HL117" s="373"/>
      <c r="HM117" s="373"/>
      <c r="HN117" s="870"/>
      <c r="HO117" s="373"/>
      <c r="HP117" s="373"/>
      <c r="HQ117" s="373"/>
      <c r="HR117" s="618"/>
      <c r="HS117" s="374">
        <v>0</v>
      </c>
      <c r="HT117" s="869"/>
      <c r="HU117" s="373"/>
      <c r="HV117" s="373"/>
      <c r="HW117" s="870"/>
      <c r="HX117" s="373"/>
      <c r="HY117" s="373"/>
      <c r="HZ117" s="373"/>
      <c r="IA117" s="618"/>
      <c r="IB117" s="374">
        <v>0</v>
      </c>
      <c r="IC117" s="869">
        <v>10</v>
      </c>
      <c r="ID117" s="373">
        <v>1</v>
      </c>
      <c r="IE117" s="373">
        <v>2</v>
      </c>
      <c r="IF117" s="870"/>
      <c r="IG117" s="373">
        <v>3</v>
      </c>
      <c r="IH117" s="373"/>
      <c r="II117" s="373"/>
      <c r="IJ117" s="618">
        <v>7</v>
      </c>
      <c r="IK117" s="374">
        <v>0</v>
      </c>
      <c r="IL117" s="377">
        <v>6</v>
      </c>
      <c r="IM117" s="373"/>
      <c r="IN117" s="373">
        <v>1</v>
      </c>
      <c r="IO117" s="871"/>
      <c r="IP117" s="871"/>
      <c r="IQ117" s="373"/>
      <c r="IR117" s="373"/>
      <c r="IS117" s="618">
        <v>5</v>
      </c>
      <c r="IT117" s="374">
        <v>0</v>
      </c>
    </row>
    <row r="118" spans="1:254" s="245" customFormat="1" ht="12.75" customHeight="1" x14ac:dyDescent="0.2">
      <c r="A118" s="1052"/>
      <c r="B118" s="868" t="s">
        <v>970</v>
      </c>
      <c r="C118" s="869"/>
      <c r="D118" s="373"/>
      <c r="E118" s="373"/>
      <c r="F118" s="870"/>
      <c r="G118" s="373"/>
      <c r="H118" s="373"/>
      <c r="I118" s="373"/>
      <c r="J118" s="618"/>
      <c r="K118" s="374">
        <v>0</v>
      </c>
      <c r="L118" s="869"/>
      <c r="M118" s="373"/>
      <c r="N118" s="373"/>
      <c r="O118" s="870"/>
      <c r="P118" s="373"/>
      <c r="Q118" s="373"/>
      <c r="R118" s="373"/>
      <c r="S118" s="618"/>
      <c r="T118" s="374">
        <v>0</v>
      </c>
      <c r="U118" s="869"/>
      <c r="V118" s="373"/>
      <c r="W118" s="373"/>
      <c r="X118" s="870"/>
      <c r="Y118" s="373"/>
      <c r="Z118" s="373"/>
      <c r="AA118" s="373"/>
      <c r="AB118" s="618"/>
      <c r="AC118" s="374">
        <v>0</v>
      </c>
      <c r="AD118" s="869"/>
      <c r="AE118" s="373">
        <v>2</v>
      </c>
      <c r="AF118" s="373"/>
      <c r="AG118" s="870"/>
      <c r="AH118" s="373"/>
      <c r="AI118" s="373"/>
      <c r="AJ118" s="373">
        <v>1</v>
      </c>
      <c r="AK118" s="618"/>
      <c r="AL118" s="374">
        <v>1</v>
      </c>
      <c r="AM118" s="869"/>
      <c r="AN118" s="373">
        <v>1</v>
      </c>
      <c r="AO118" s="373"/>
      <c r="AP118" s="870"/>
      <c r="AQ118" s="373"/>
      <c r="AR118" s="373"/>
      <c r="AS118" s="373">
        <v>1</v>
      </c>
      <c r="AT118" s="618"/>
      <c r="AU118" s="374">
        <v>0</v>
      </c>
      <c r="AV118" s="869"/>
      <c r="AW118" s="373"/>
      <c r="AX118" s="373"/>
      <c r="AY118" s="870"/>
      <c r="AZ118" s="373"/>
      <c r="BA118" s="373"/>
      <c r="BB118" s="373"/>
      <c r="BC118" s="618"/>
      <c r="BD118" s="374">
        <v>0</v>
      </c>
      <c r="BE118" s="869"/>
      <c r="BF118" s="373"/>
      <c r="BG118" s="373"/>
      <c r="BH118" s="870"/>
      <c r="BI118" s="373"/>
      <c r="BJ118" s="373"/>
      <c r="BK118" s="373"/>
      <c r="BL118" s="618"/>
      <c r="BM118" s="374">
        <v>0</v>
      </c>
      <c r="BN118" s="869"/>
      <c r="BO118" s="373"/>
      <c r="BP118" s="373"/>
      <c r="BQ118" s="870"/>
      <c r="BR118" s="373"/>
      <c r="BS118" s="373"/>
      <c r="BT118" s="373"/>
      <c r="BU118" s="618"/>
      <c r="BV118" s="374">
        <v>0</v>
      </c>
      <c r="BW118" s="869"/>
      <c r="BX118" s="373">
        <v>2</v>
      </c>
      <c r="BY118" s="373"/>
      <c r="BZ118" s="870"/>
      <c r="CA118" s="373"/>
      <c r="CB118" s="373"/>
      <c r="CC118" s="373"/>
      <c r="CD118" s="618"/>
      <c r="CE118" s="374">
        <v>0</v>
      </c>
      <c r="CF118" s="869"/>
      <c r="CG118" s="373"/>
      <c r="CH118" s="373"/>
      <c r="CI118" s="870"/>
      <c r="CJ118" s="373"/>
      <c r="CK118" s="373"/>
      <c r="CL118" s="373"/>
      <c r="CM118" s="618"/>
      <c r="CN118" s="374">
        <v>0</v>
      </c>
      <c r="CO118" s="869"/>
      <c r="CP118" s="373"/>
      <c r="CQ118" s="373"/>
      <c r="CR118" s="870"/>
      <c r="CS118" s="373"/>
      <c r="CT118" s="373"/>
      <c r="CU118" s="373"/>
      <c r="CV118" s="618"/>
      <c r="CW118" s="374">
        <v>0</v>
      </c>
      <c r="CX118" s="869">
        <v>2</v>
      </c>
      <c r="CY118" s="373">
        <v>2</v>
      </c>
      <c r="CZ118" s="373">
        <v>1</v>
      </c>
      <c r="DA118" s="870">
        <v>1</v>
      </c>
      <c r="DB118" s="373">
        <v>1</v>
      </c>
      <c r="DC118" s="373">
        <v>1</v>
      </c>
      <c r="DD118" s="373"/>
      <c r="DE118" s="618">
        <v>1</v>
      </c>
      <c r="DF118" s="374">
        <v>0</v>
      </c>
      <c r="DG118" s="869"/>
      <c r="DH118" s="373"/>
      <c r="DI118" s="373"/>
      <c r="DJ118" s="870"/>
      <c r="DK118" s="373"/>
      <c r="DL118" s="373"/>
      <c r="DM118" s="373"/>
      <c r="DN118" s="618"/>
      <c r="DO118" s="374">
        <v>0</v>
      </c>
      <c r="DP118" s="869"/>
      <c r="DQ118" s="373"/>
      <c r="DR118" s="373"/>
      <c r="DS118" s="870"/>
      <c r="DT118" s="373"/>
      <c r="DU118" s="373"/>
      <c r="DV118" s="373"/>
      <c r="DW118" s="618"/>
      <c r="DX118" s="374">
        <v>0</v>
      </c>
      <c r="DY118" s="869"/>
      <c r="DZ118" s="373"/>
      <c r="EA118" s="373"/>
      <c r="EB118" s="870"/>
      <c r="EC118" s="373"/>
      <c r="ED118" s="373"/>
      <c r="EE118" s="373"/>
      <c r="EF118" s="618"/>
      <c r="EG118" s="374">
        <v>0</v>
      </c>
      <c r="EH118" s="869"/>
      <c r="EI118" s="373"/>
      <c r="EJ118" s="373"/>
      <c r="EK118" s="870"/>
      <c r="EL118" s="373"/>
      <c r="EM118" s="373"/>
      <c r="EN118" s="373"/>
      <c r="EO118" s="618"/>
      <c r="EP118" s="374">
        <v>0</v>
      </c>
      <c r="EQ118" s="869"/>
      <c r="ER118" s="373"/>
      <c r="ES118" s="373"/>
      <c r="ET118" s="870"/>
      <c r="EU118" s="373"/>
      <c r="EV118" s="373"/>
      <c r="EW118" s="373"/>
      <c r="EX118" s="618"/>
      <c r="EY118" s="374">
        <v>0</v>
      </c>
      <c r="EZ118" s="869"/>
      <c r="FA118" s="373"/>
      <c r="FB118" s="373"/>
      <c r="FC118" s="870"/>
      <c r="FD118" s="373"/>
      <c r="FE118" s="373"/>
      <c r="FF118" s="373"/>
      <c r="FG118" s="618"/>
      <c r="FH118" s="374">
        <v>0</v>
      </c>
      <c r="FI118" s="869"/>
      <c r="FJ118" s="373">
        <v>1</v>
      </c>
      <c r="FK118" s="373"/>
      <c r="FL118" s="870"/>
      <c r="FM118" s="373"/>
      <c r="FN118" s="373"/>
      <c r="FO118" s="373">
        <v>1</v>
      </c>
      <c r="FP118" s="618"/>
      <c r="FQ118" s="374">
        <v>0</v>
      </c>
      <c r="FR118" s="869"/>
      <c r="FS118" s="373"/>
      <c r="FT118" s="373"/>
      <c r="FU118" s="870"/>
      <c r="FV118" s="373"/>
      <c r="FW118" s="373"/>
      <c r="FX118" s="373"/>
      <c r="FY118" s="618"/>
      <c r="FZ118" s="374">
        <v>0</v>
      </c>
      <c r="GA118" s="869"/>
      <c r="GB118" s="373"/>
      <c r="GC118" s="373"/>
      <c r="GD118" s="870"/>
      <c r="GE118" s="373"/>
      <c r="GF118" s="373"/>
      <c r="GG118" s="373"/>
      <c r="GH118" s="618"/>
      <c r="GI118" s="374">
        <v>0</v>
      </c>
      <c r="GJ118" s="869">
        <v>2</v>
      </c>
      <c r="GK118" s="373">
        <v>7</v>
      </c>
      <c r="GL118" s="373">
        <v>1</v>
      </c>
      <c r="GM118" s="870">
        <v>1</v>
      </c>
      <c r="GN118" s="373">
        <v>1</v>
      </c>
      <c r="GO118" s="373">
        <v>1</v>
      </c>
      <c r="GP118" s="373">
        <v>2</v>
      </c>
      <c r="GQ118" s="618">
        <v>1</v>
      </c>
      <c r="GR118" s="374">
        <v>1</v>
      </c>
      <c r="GS118" s="869"/>
      <c r="GT118" s="373">
        <v>4</v>
      </c>
      <c r="GU118" s="373">
        <v>1</v>
      </c>
      <c r="GV118" s="870">
        <v>1</v>
      </c>
      <c r="GW118" s="373"/>
      <c r="GX118" s="373"/>
      <c r="GY118" s="373"/>
      <c r="GZ118" s="618"/>
      <c r="HA118" s="374">
        <v>0</v>
      </c>
      <c r="HB118" s="869"/>
      <c r="HC118" s="373"/>
      <c r="HD118" s="373"/>
      <c r="HE118" s="870"/>
      <c r="HF118" s="373"/>
      <c r="HG118" s="373"/>
      <c r="HH118" s="373"/>
      <c r="HI118" s="618"/>
      <c r="HJ118" s="374">
        <v>0</v>
      </c>
      <c r="HK118" s="869"/>
      <c r="HL118" s="373"/>
      <c r="HM118" s="373"/>
      <c r="HN118" s="870"/>
      <c r="HO118" s="373"/>
      <c r="HP118" s="373"/>
      <c r="HQ118" s="373"/>
      <c r="HR118" s="618"/>
      <c r="HS118" s="374">
        <v>0</v>
      </c>
      <c r="HT118" s="869"/>
      <c r="HU118" s="373">
        <v>4</v>
      </c>
      <c r="HV118" s="373">
        <v>1</v>
      </c>
      <c r="HW118" s="870">
        <v>1</v>
      </c>
      <c r="HX118" s="373"/>
      <c r="HY118" s="373"/>
      <c r="HZ118" s="373">
        <v>1</v>
      </c>
      <c r="IA118" s="618"/>
      <c r="IB118" s="374">
        <v>1</v>
      </c>
      <c r="IC118" s="869">
        <v>3</v>
      </c>
      <c r="ID118" s="373">
        <v>10</v>
      </c>
      <c r="IE118" s="373">
        <v>1</v>
      </c>
      <c r="IF118" s="870">
        <v>1</v>
      </c>
      <c r="IG118" s="373">
        <v>2</v>
      </c>
      <c r="IH118" s="373">
        <v>1</v>
      </c>
      <c r="II118" s="373">
        <v>3</v>
      </c>
      <c r="IJ118" s="618">
        <v>1</v>
      </c>
      <c r="IK118" s="374">
        <v>4</v>
      </c>
      <c r="IL118" s="377">
        <v>1</v>
      </c>
      <c r="IM118" s="373"/>
      <c r="IN118" s="373"/>
      <c r="IO118" s="871"/>
      <c r="IP118" s="871"/>
      <c r="IQ118" s="373">
        <v>1</v>
      </c>
      <c r="IR118" s="373"/>
      <c r="IS118" s="618"/>
      <c r="IT118" s="374">
        <v>0</v>
      </c>
    </row>
    <row r="119" spans="1:254" s="245" customFormat="1" ht="12.75" customHeight="1" x14ac:dyDescent="0.2">
      <c r="A119" s="1052"/>
      <c r="B119" s="868" t="s">
        <v>971</v>
      </c>
      <c r="C119" s="869"/>
      <c r="D119" s="373"/>
      <c r="E119" s="373"/>
      <c r="F119" s="870"/>
      <c r="G119" s="373"/>
      <c r="H119" s="373"/>
      <c r="I119" s="373"/>
      <c r="J119" s="618"/>
      <c r="K119" s="374">
        <v>0</v>
      </c>
      <c r="L119" s="869"/>
      <c r="M119" s="373"/>
      <c r="N119" s="373"/>
      <c r="O119" s="870"/>
      <c r="P119" s="373"/>
      <c r="Q119" s="373"/>
      <c r="R119" s="373"/>
      <c r="S119" s="618"/>
      <c r="T119" s="374">
        <v>0</v>
      </c>
      <c r="U119" s="869"/>
      <c r="V119" s="373"/>
      <c r="W119" s="373"/>
      <c r="X119" s="870"/>
      <c r="Y119" s="373"/>
      <c r="Z119" s="373"/>
      <c r="AA119" s="373"/>
      <c r="AB119" s="618"/>
      <c r="AC119" s="374">
        <v>0</v>
      </c>
      <c r="AD119" s="869"/>
      <c r="AE119" s="373"/>
      <c r="AF119" s="373"/>
      <c r="AG119" s="870"/>
      <c r="AH119" s="373"/>
      <c r="AI119" s="373"/>
      <c r="AJ119" s="373"/>
      <c r="AK119" s="618"/>
      <c r="AL119" s="374">
        <v>0</v>
      </c>
      <c r="AM119" s="869"/>
      <c r="AN119" s="373"/>
      <c r="AO119" s="373"/>
      <c r="AP119" s="870"/>
      <c r="AQ119" s="373"/>
      <c r="AR119" s="373"/>
      <c r="AS119" s="373"/>
      <c r="AT119" s="618"/>
      <c r="AU119" s="374">
        <v>0</v>
      </c>
      <c r="AV119" s="869"/>
      <c r="AW119" s="373"/>
      <c r="AX119" s="373"/>
      <c r="AY119" s="870"/>
      <c r="AZ119" s="373"/>
      <c r="BA119" s="373"/>
      <c r="BB119" s="373"/>
      <c r="BC119" s="618"/>
      <c r="BD119" s="374">
        <v>0</v>
      </c>
      <c r="BE119" s="869"/>
      <c r="BF119" s="373"/>
      <c r="BG119" s="373"/>
      <c r="BH119" s="870"/>
      <c r="BI119" s="373"/>
      <c r="BJ119" s="373"/>
      <c r="BK119" s="373"/>
      <c r="BL119" s="618"/>
      <c r="BM119" s="374">
        <v>0</v>
      </c>
      <c r="BN119" s="869"/>
      <c r="BO119" s="373"/>
      <c r="BP119" s="373"/>
      <c r="BQ119" s="870"/>
      <c r="BR119" s="373"/>
      <c r="BS119" s="373"/>
      <c r="BT119" s="373"/>
      <c r="BU119" s="618"/>
      <c r="BV119" s="374">
        <v>0</v>
      </c>
      <c r="BW119" s="869"/>
      <c r="BX119" s="373"/>
      <c r="BY119" s="373"/>
      <c r="BZ119" s="870"/>
      <c r="CA119" s="373"/>
      <c r="CB119" s="373"/>
      <c r="CC119" s="373"/>
      <c r="CD119" s="618"/>
      <c r="CE119" s="374">
        <v>0</v>
      </c>
      <c r="CF119" s="869"/>
      <c r="CG119" s="373"/>
      <c r="CH119" s="373"/>
      <c r="CI119" s="870"/>
      <c r="CJ119" s="373"/>
      <c r="CK119" s="373"/>
      <c r="CL119" s="373"/>
      <c r="CM119" s="618"/>
      <c r="CN119" s="374">
        <v>0</v>
      </c>
      <c r="CO119" s="869"/>
      <c r="CP119" s="373"/>
      <c r="CQ119" s="373"/>
      <c r="CR119" s="870"/>
      <c r="CS119" s="373"/>
      <c r="CT119" s="373"/>
      <c r="CU119" s="373"/>
      <c r="CV119" s="618"/>
      <c r="CW119" s="374">
        <v>0</v>
      </c>
      <c r="CX119" s="869"/>
      <c r="CY119" s="373"/>
      <c r="CZ119" s="373">
        <v>1</v>
      </c>
      <c r="DA119" s="870"/>
      <c r="DB119" s="373">
        <v>1</v>
      </c>
      <c r="DC119" s="373"/>
      <c r="DD119" s="373"/>
      <c r="DE119" s="618"/>
      <c r="DF119" s="374">
        <v>0</v>
      </c>
      <c r="DG119" s="869"/>
      <c r="DH119" s="373"/>
      <c r="DI119" s="373"/>
      <c r="DJ119" s="870"/>
      <c r="DK119" s="373"/>
      <c r="DL119" s="373"/>
      <c r="DM119" s="373"/>
      <c r="DN119" s="618"/>
      <c r="DO119" s="374">
        <v>0</v>
      </c>
      <c r="DP119" s="869"/>
      <c r="DQ119" s="373"/>
      <c r="DR119" s="373"/>
      <c r="DS119" s="870"/>
      <c r="DT119" s="373"/>
      <c r="DU119" s="373"/>
      <c r="DV119" s="373"/>
      <c r="DW119" s="618"/>
      <c r="DX119" s="374">
        <v>0</v>
      </c>
      <c r="DY119" s="869"/>
      <c r="DZ119" s="373"/>
      <c r="EA119" s="373"/>
      <c r="EB119" s="870"/>
      <c r="EC119" s="373">
        <v>1</v>
      </c>
      <c r="ED119" s="373"/>
      <c r="EE119" s="373"/>
      <c r="EF119" s="618"/>
      <c r="EG119" s="374">
        <v>0</v>
      </c>
      <c r="EH119" s="869"/>
      <c r="EI119" s="373"/>
      <c r="EJ119" s="373"/>
      <c r="EK119" s="870"/>
      <c r="EL119" s="373"/>
      <c r="EM119" s="373"/>
      <c r="EN119" s="373"/>
      <c r="EO119" s="618"/>
      <c r="EP119" s="374">
        <v>0</v>
      </c>
      <c r="EQ119" s="869"/>
      <c r="ER119" s="373"/>
      <c r="ES119" s="373"/>
      <c r="ET119" s="870"/>
      <c r="EU119" s="373"/>
      <c r="EV119" s="373"/>
      <c r="EW119" s="373"/>
      <c r="EX119" s="618"/>
      <c r="EY119" s="374">
        <v>0</v>
      </c>
      <c r="EZ119" s="869"/>
      <c r="FA119" s="373"/>
      <c r="FB119" s="373"/>
      <c r="FC119" s="870"/>
      <c r="FD119" s="373"/>
      <c r="FE119" s="373"/>
      <c r="FF119" s="373"/>
      <c r="FG119" s="618"/>
      <c r="FH119" s="374">
        <v>0</v>
      </c>
      <c r="FI119" s="869"/>
      <c r="FJ119" s="373"/>
      <c r="FK119" s="373"/>
      <c r="FL119" s="870"/>
      <c r="FM119" s="373"/>
      <c r="FN119" s="373"/>
      <c r="FO119" s="373"/>
      <c r="FP119" s="618"/>
      <c r="FQ119" s="374">
        <v>0</v>
      </c>
      <c r="FR119" s="869"/>
      <c r="FS119" s="373"/>
      <c r="FT119" s="373"/>
      <c r="FU119" s="870"/>
      <c r="FV119" s="373"/>
      <c r="FW119" s="373"/>
      <c r="FX119" s="373"/>
      <c r="FY119" s="618"/>
      <c r="FZ119" s="374">
        <v>0</v>
      </c>
      <c r="GA119" s="869"/>
      <c r="GB119" s="373"/>
      <c r="GC119" s="373"/>
      <c r="GD119" s="870"/>
      <c r="GE119" s="373"/>
      <c r="GF119" s="373"/>
      <c r="GG119" s="373"/>
      <c r="GH119" s="618"/>
      <c r="GI119" s="374">
        <v>0</v>
      </c>
      <c r="GJ119" s="869"/>
      <c r="GK119" s="373"/>
      <c r="GL119" s="373">
        <v>1</v>
      </c>
      <c r="GM119" s="870"/>
      <c r="GN119" s="373">
        <v>1</v>
      </c>
      <c r="GO119" s="373"/>
      <c r="GP119" s="373"/>
      <c r="GQ119" s="618"/>
      <c r="GR119" s="374">
        <v>0</v>
      </c>
      <c r="GS119" s="869"/>
      <c r="GT119" s="373"/>
      <c r="GU119" s="373">
        <v>1</v>
      </c>
      <c r="GV119" s="870"/>
      <c r="GW119" s="373"/>
      <c r="GX119" s="373"/>
      <c r="GY119" s="373"/>
      <c r="GZ119" s="618"/>
      <c r="HA119" s="374">
        <v>0</v>
      </c>
      <c r="HB119" s="869"/>
      <c r="HC119" s="373"/>
      <c r="HD119" s="373"/>
      <c r="HE119" s="870"/>
      <c r="HF119" s="373"/>
      <c r="HG119" s="373"/>
      <c r="HH119" s="373"/>
      <c r="HI119" s="618"/>
      <c r="HJ119" s="374">
        <v>0</v>
      </c>
      <c r="HK119" s="869"/>
      <c r="HL119" s="373"/>
      <c r="HM119" s="373"/>
      <c r="HN119" s="870"/>
      <c r="HO119" s="373"/>
      <c r="HP119" s="373"/>
      <c r="HQ119" s="373"/>
      <c r="HR119" s="618"/>
      <c r="HS119" s="374">
        <v>0</v>
      </c>
      <c r="HT119" s="869">
        <v>1</v>
      </c>
      <c r="HU119" s="373"/>
      <c r="HV119" s="373">
        <v>1</v>
      </c>
      <c r="HW119" s="870"/>
      <c r="HX119" s="373"/>
      <c r="HY119" s="373"/>
      <c r="HZ119" s="373"/>
      <c r="IA119" s="618">
        <v>1</v>
      </c>
      <c r="IB119" s="374">
        <v>1</v>
      </c>
      <c r="IC119" s="869">
        <v>2</v>
      </c>
      <c r="ID119" s="373"/>
      <c r="IE119" s="373">
        <v>1</v>
      </c>
      <c r="IF119" s="870"/>
      <c r="IG119" s="373">
        <v>1</v>
      </c>
      <c r="IH119" s="373"/>
      <c r="II119" s="373">
        <v>2</v>
      </c>
      <c r="IJ119" s="618">
        <v>1</v>
      </c>
      <c r="IK119" s="374">
        <v>1</v>
      </c>
      <c r="IL119" s="377"/>
      <c r="IM119" s="373"/>
      <c r="IN119" s="373"/>
      <c r="IO119" s="871"/>
      <c r="IP119" s="871">
        <v>1</v>
      </c>
      <c r="IQ119" s="373"/>
      <c r="IR119" s="373"/>
      <c r="IS119" s="618"/>
      <c r="IT119" s="374">
        <v>0</v>
      </c>
    </row>
    <row r="120" spans="1:254" s="245" customFormat="1" ht="12.75" customHeight="1" x14ac:dyDescent="0.2">
      <c r="A120" s="1052"/>
      <c r="B120" s="868" t="s">
        <v>972</v>
      </c>
      <c r="C120" s="869"/>
      <c r="D120" s="373"/>
      <c r="E120" s="373"/>
      <c r="F120" s="870"/>
      <c r="G120" s="373"/>
      <c r="H120" s="373"/>
      <c r="I120" s="373"/>
      <c r="J120" s="618"/>
      <c r="K120" s="374">
        <v>0</v>
      </c>
      <c r="L120" s="869"/>
      <c r="M120" s="373"/>
      <c r="N120" s="373"/>
      <c r="O120" s="870"/>
      <c r="P120" s="373"/>
      <c r="Q120" s="373"/>
      <c r="R120" s="373"/>
      <c r="S120" s="618"/>
      <c r="T120" s="374">
        <v>0</v>
      </c>
      <c r="U120" s="869"/>
      <c r="V120" s="373"/>
      <c r="W120" s="373"/>
      <c r="X120" s="870"/>
      <c r="Y120" s="373"/>
      <c r="Z120" s="373"/>
      <c r="AA120" s="373"/>
      <c r="AB120" s="618"/>
      <c r="AC120" s="374">
        <v>0</v>
      </c>
      <c r="AD120" s="869"/>
      <c r="AE120" s="373"/>
      <c r="AF120" s="373"/>
      <c r="AG120" s="870"/>
      <c r="AH120" s="373"/>
      <c r="AI120" s="373">
        <v>1</v>
      </c>
      <c r="AJ120" s="373"/>
      <c r="AK120" s="618"/>
      <c r="AL120" s="374">
        <v>0</v>
      </c>
      <c r="AM120" s="869"/>
      <c r="AN120" s="373"/>
      <c r="AO120" s="373"/>
      <c r="AP120" s="870"/>
      <c r="AQ120" s="373"/>
      <c r="AR120" s="373"/>
      <c r="AS120" s="373"/>
      <c r="AT120" s="618"/>
      <c r="AU120" s="374">
        <v>0</v>
      </c>
      <c r="AV120" s="869"/>
      <c r="AW120" s="373"/>
      <c r="AX120" s="373"/>
      <c r="AY120" s="870"/>
      <c r="AZ120" s="373"/>
      <c r="BA120" s="373"/>
      <c r="BB120" s="373"/>
      <c r="BC120" s="618"/>
      <c r="BD120" s="374">
        <v>0</v>
      </c>
      <c r="BE120" s="869"/>
      <c r="BF120" s="373"/>
      <c r="BG120" s="373"/>
      <c r="BH120" s="870">
        <v>4</v>
      </c>
      <c r="BI120" s="373"/>
      <c r="BJ120" s="373"/>
      <c r="BK120" s="373"/>
      <c r="BL120" s="618"/>
      <c r="BM120" s="374">
        <v>0</v>
      </c>
      <c r="BN120" s="869"/>
      <c r="BO120" s="373"/>
      <c r="BP120" s="373"/>
      <c r="BQ120" s="870"/>
      <c r="BR120" s="373"/>
      <c r="BS120" s="373"/>
      <c r="BT120" s="373"/>
      <c r="BU120" s="618"/>
      <c r="BV120" s="374">
        <v>0</v>
      </c>
      <c r="BW120" s="869"/>
      <c r="BX120" s="373"/>
      <c r="BY120" s="373"/>
      <c r="BZ120" s="870"/>
      <c r="CA120" s="373">
        <v>1</v>
      </c>
      <c r="CB120" s="373"/>
      <c r="CC120" s="373"/>
      <c r="CD120" s="618"/>
      <c r="CE120" s="374">
        <v>0</v>
      </c>
      <c r="CF120" s="869"/>
      <c r="CG120" s="373"/>
      <c r="CH120" s="373"/>
      <c r="CI120" s="870"/>
      <c r="CJ120" s="373"/>
      <c r="CK120" s="373"/>
      <c r="CL120" s="373"/>
      <c r="CM120" s="618"/>
      <c r="CN120" s="374">
        <v>0</v>
      </c>
      <c r="CO120" s="869"/>
      <c r="CP120" s="373"/>
      <c r="CQ120" s="373"/>
      <c r="CR120" s="870"/>
      <c r="CS120" s="373"/>
      <c r="CT120" s="373"/>
      <c r="CU120" s="373"/>
      <c r="CV120" s="618"/>
      <c r="CW120" s="374">
        <v>0</v>
      </c>
      <c r="CX120" s="869">
        <v>1</v>
      </c>
      <c r="CY120" s="373"/>
      <c r="CZ120" s="373">
        <v>2</v>
      </c>
      <c r="DA120" s="870">
        <v>2</v>
      </c>
      <c r="DB120" s="373"/>
      <c r="DC120" s="373">
        <v>1</v>
      </c>
      <c r="DD120" s="373">
        <v>2</v>
      </c>
      <c r="DE120" s="618">
        <v>1</v>
      </c>
      <c r="DF120" s="374">
        <v>2</v>
      </c>
      <c r="DG120" s="869"/>
      <c r="DH120" s="373"/>
      <c r="DI120" s="373"/>
      <c r="DJ120" s="870"/>
      <c r="DK120" s="373"/>
      <c r="DL120" s="373"/>
      <c r="DM120" s="373"/>
      <c r="DN120" s="618"/>
      <c r="DO120" s="374">
        <v>0</v>
      </c>
      <c r="DP120" s="869"/>
      <c r="DQ120" s="373"/>
      <c r="DR120" s="373"/>
      <c r="DS120" s="870"/>
      <c r="DT120" s="373"/>
      <c r="DU120" s="373"/>
      <c r="DV120" s="373"/>
      <c r="DW120" s="618"/>
      <c r="DX120" s="374">
        <v>0</v>
      </c>
      <c r="DY120" s="869"/>
      <c r="DZ120" s="373"/>
      <c r="EA120" s="373"/>
      <c r="EB120" s="870"/>
      <c r="EC120" s="373"/>
      <c r="ED120" s="373"/>
      <c r="EE120" s="373"/>
      <c r="EF120" s="618"/>
      <c r="EG120" s="374">
        <v>0</v>
      </c>
      <c r="EH120" s="869"/>
      <c r="EI120" s="373"/>
      <c r="EJ120" s="373"/>
      <c r="EK120" s="870"/>
      <c r="EL120" s="373"/>
      <c r="EM120" s="373"/>
      <c r="EN120" s="373"/>
      <c r="EO120" s="618"/>
      <c r="EP120" s="374">
        <v>0</v>
      </c>
      <c r="EQ120" s="869"/>
      <c r="ER120" s="373"/>
      <c r="ES120" s="373"/>
      <c r="ET120" s="870"/>
      <c r="EU120" s="373"/>
      <c r="EV120" s="373"/>
      <c r="EW120" s="373"/>
      <c r="EX120" s="618"/>
      <c r="EY120" s="374">
        <v>0</v>
      </c>
      <c r="EZ120" s="869"/>
      <c r="FA120" s="373"/>
      <c r="FB120" s="373"/>
      <c r="FC120" s="870"/>
      <c r="FD120" s="373"/>
      <c r="FE120" s="373"/>
      <c r="FF120" s="373"/>
      <c r="FG120" s="618"/>
      <c r="FH120" s="374">
        <v>0</v>
      </c>
      <c r="FI120" s="869">
        <v>1</v>
      </c>
      <c r="FJ120" s="373"/>
      <c r="FK120" s="373">
        <v>1</v>
      </c>
      <c r="FL120" s="870"/>
      <c r="FM120" s="373"/>
      <c r="FN120" s="373"/>
      <c r="FO120" s="373"/>
      <c r="FP120" s="618"/>
      <c r="FQ120" s="374">
        <v>0</v>
      </c>
      <c r="FR120" s="869"/>
      <c r="FS120" s="373"/>
      <c r="FT120" s="373"/>
      <c r="FU120" s="870"/>
      <c r="FV120" s="373"/>
      <c r="FW120" s="373"/>
      <c r="FX120" s="373"/>
      <c r="FY120" s="618"/>
      <c r="FZ120" s="374">
        <v>0</v>
      </c>
      <c r="GA120" s="869"/>
      <c r="GB120" s="373"/>
      <c r="GC120" s="373"/>
      <c r="GD120" s="870"/>
      <c r="GE120" s="373"/>
      <c r="GF120" s="373"/>
      <c r="GG120" s="373"/>
      <c r="GH120" s="618"/>
      <c r="GI120" s="374">
        <v>0</v>
      </c>
      <c r="GJ120" s="869">
        <v>2</v>
      </c>
      <c r="GK120" s="373"/>
      <c r="GL120" s="373">
        <v>3</v>
      </c>
      <c r="GM120" s="870">
        <v>6</v>
      </c>
      <c r="GN120" s="373">
        <v>1</v>
      </c>
      <c r="GO120" s="373">
        <v>2</v>
      </c>
      <c r="GP120" s="373">
        <v>2</v>
      </c>
      <c r="GQ120" s="618">
        <v>1</v>
      </c>
      <c r="GR120" s="374">
        <v>2</v>
      </c>
      <c r="GS120" s="869">
        <v>2</v>
      </c>
      <c r="GT120" s="373"/>
      <c r="GU120" s="373">
        <v>1</v>
      </c>
      <c r="GV120" s="870"/>
      <c r="GW120" s="373">
        <v>1</v>
      </c>
      <c r="GX120" s="373"/>
      <c r="GY120" s="373"/>
      <c r="GZ120" s="618"/>
      <c r="HA120" s="374">
        <v>0</v>
      </c>
      <c r="HB120" s="869"/>
      <c r="HC120" s="373"/>
      <c r="HD120" s="373"/>
      <c r="HE120" s="870"/>
      <c r="HF120" s="373"/>
      <c r="HG120" s="373"/>
      <c r="HH120" s="373"/>
      <c r="HI120" s="618"/>
      <c r="HJ120" s="374">
        <v>0</v>
      </c>
      <c r="HK120" s="869"/>
      <c r="HL120" s="373"/>
      <c r="HM120" s="373"/>
      <c r="HN120" s="870"/>
      <c r="HO120" s="373"/>
      <c r="HP120" s="373"/>
      <c r="HQ120" s="373"/>
      <c r="HR120" s="618"/>
      <c r="HS120" s="374">
        <v>0</v>
      </c>
      <c r="HT120" s="869">
        <v>3</v>
      </c>
      <c r="HU120" s="373"/>
      <c r="HV120" s="373">
        <v>1</v>
      </c>
      <c r="HW120" s="870">
        <v>2</v>
      </c>
      <c r="HX120" s="373">
        <v>1</v>
      </c>
      <c r="HY120" s="373"/>
      <c r="HZ120" s="373"/>
      <c r="IA120" s="618"/>
      <c r="IB120" s="374">
        <v>0</v>
      </c>
      <c r="IC120" s="869">
        <v>5</v>
      </c>
      <c r="ID120" s="373">
        <v>3</v>
      </c>
      <c r="IE120" s="373">
        <v>4</v>
      </c>
      <c r="IF120" s="870">
        <v>9</v>
      </c>
      <c r="IG120" s="373">
        <v>1</v>
      </c>
      <c r="IH120" s="373">
        <v>3</v>
      </c>
      <c r="II120" s="373">
        <v>3</v>
      </c>
      <c r="IJ120" s="618">
        <v>2</v>
      </c>
      <c r="IK120" s="374">
        <v>2</v>
      </c>
      <c r="IL120" s="377"/>
      <c r="IM120" s="373"/>
      <c r="IN120" s="373">
        <v>1</v>
      </c>
      <c r="IO120" s="871"/>
      <c r="IP120" s="871"/>
      <c r="IQ120" s="373"/>
      <c r="IR120" s="373"/>
      <c r="IS120" s="618"/>
      <c r="IT120" s="374">
        <v>0</v>
      </c>
    </row>
    <row r="121" spans="1:254" s="245" customFormat="1" ht="12.75" customHeight="1" x14ac:dyDescent="0.2">
      <c r="A121" s="1052"/>
      <c r="B121" s="868" t="s">
        <v>973</v>
      </c>
      <c r="C121" s="869"/>
      <c r="D121" s="373"/>
      <c r="E121" s="373"/>
      <c r="F121" s="870"/>
      <c r="G121" s="373"/>
      <c r="H121" s="373"/>
      <c r="I121" s="373"/>
      <c r="J121" s="618"/>
      <c r="K121" s="374">
        <v>0</v>
      </c>
      <c r="L121" s="869"/>
      <c r="M121" s="373"/>
      <c r="N121" s="373"/>
      <c r="O121" s="870"/>
      <c r="P121" s="373"/>
      <c r="Q121" s="373"/>
      <c r="R121" s="373"/>
      <c r="S121" s="618"/>
      <c r="T121" s="374">
        <v>0</v>
      </c>
      <c r="U121" s="869"/>
      <c r="V121" s="373"/>
      <c r="W121" s="373"/>
      <c r="X121" s="870"/>
      <c r="Y121" s="373"/>
      <c r="Z121" s="373"/>
      <c r="AA121" s="373"/>
      <c r="AB121" s="618"/>
      <c r="AC121" s="374">
        <v>0</v>
      </c>
      <c r="AD121" s="869">
        <v>1</v>
      </c>
      <c r="AE121" s="373"/>
      <c r="AF121" s="373">
        <v>1</v>
      </c>
      <c r="AG121" s="870"/>
      <c r="AH121" s="373"/>
      <c r="AI121" s="373"/>
      <c r="AJ121" s="373"/>
      <c r="AK121" s="618">
        <v>1</v>
      </c>
      <c r="AL121" s="374">
        <v>1</v>
      </c>
      <c r="AM121" s="869">
        <v>1</v>
      </c>
      <c r="AN121" s="373"/>
      <c r="AO121" s="373"/>
      <c r="AP121" s="870"/>
      <c r="AQ121" s="373"/>
      <c r="AR121" s="373"/>
      <c r="AS121" s="373"/>
      <c r="AT121" s="618"/>
      <c r="AU121" s="374">
        <v>0</v>
      </c>
      <c r="AV121" s="869"/>
      <c r="AW121" s="373"/>
      <c r="AX121" s="373"/>
      <c r="AY121" s="870"/>
      <c r="AZ121" s="373"/>
      <c r="BA121" s="373"/>
      <c r="BB121" s="373"/>
      <c r="BC121" s="618"/>
      <c r="BD121" s="374">
        <v>0</v>
      </c>
      <c r="BE121" s="869"/>
      <c r="BF121" s="373"/>
      <c r="BG121" s="373"/>
      <c r="BH121" s="870"/>
      <c r="BI121" s="373"/>
      <c r="BJ121" s="373"/>
      <c r="BK121" s="373"/>
      <c r="BL121" s="618"/>
      <c r="BM121" s="374">
        <v>0</v>
      </c>
      <c r="BN121" s="869"/>
      <c r="BO121" s="373"/>
      <c r="BP121" s="373"/>
      <c r="BQ121" s="870"/>
      <c r="BR121" s="373"/>
      <c r="BS121" s="373"/>
      <c r="BT121" s="373"/>
      <c r="BU121" s="618"/>
      <c r="BV121" s="374">
        <v>0</v>
      </c>
      <c r="BW121" s="869"/>
      <c r="BX121" s="373"/>
      <c r="BY121" s="373">
        <v>1</v>
      </c>
      <c r="BZ121" s="870">
        <v>1</v>
      </c>
      <c r="CA121" s="373">
        <v>3</v>
      </c>
      <c r="CB121" s="373"/>
      <c r="CC121" s="373">
        <v>1</v>
      </c>
      <c r="CD121" s="618"/>
      <c r="CE121" s="374">
        <v>1</v>
      </c>
      <c r="CF121" s="869"/>
      <c r="CG121" s="373"/>
      <c r="CH121" s="373"/>
      <c r="CI121" s="870"/>
      <c r="CJ121" s="373"/>
      <c r="CK121" s="373"/>
      <c r="CL121" s="373"/>
      <c r="CM121" s="618"/>
      <c r="CN121" s="374">
        <v>0</v>
      </c>
      <c r="CO121" s="869"/>
      <c r="CP121" s="373"/>
      <c r="CQ121" s="373"/>
      <c r="CR121" s="870"/>
      <c r="CS121" s="373"/>
      <c r="CT121" s="373"/>
      <c r="CU121" s="373"/>
      <c r="CV121" s="618"/>
      <c r="CW121" s="374">
        <v>0</v>
      </c>
      <c r="CX121" s="869">
        <v>5</v>
      </c>
      <c r="CY121" s="373">
        <v>2</v>
      </c>
      <c r="CZ121" s="373">
        <v>4</v>
      </c>
      <c r="DA121" s="870">
        <v>4</v>
      </c>
      <c r="DB121" s="373">
        <v>5</v>
      </c>
      <c r="DC121" s="373">
        <v>4</v>
      </c>
      <c r="DD121" s="373">
        <v>1</v>
      </c>
      <c r="DE121" s="618">
        <v>2</v>
      </c>
      <c r="DF121" s="374">
        <v>1</v>
      </c>
      <c r="DG121" s="869"/>
      <c r="DH121" s="373"/>
      <c r="DI121" s="373"/>
      <c r="DJ121" s="870"/>
      <c r="DK121" s="373"/>
      <c r="DL121" s="373"/>
      <c r="DM121" s="373"/>
      <c r="DN121" s="618"/>
      <c r="DO121" s="374">
        <v>0</v>
      </c>
      <c r="DP121" s="869"/>
      <c r="DQ121" s="373"/>
      <c r="DR121" s="373"/>
      <c r="DS121" s="870"/>
      <c r="DT121" s="373"/>
      <c r="DU121" s="373"/>
      <c r="DV121" s="373"/>
      <c r="DW121" s="618"/>
      <c r="DX121" s="374">
        <v>0</v>
      </c>
      <c r="DY121" s="869">
        <v>1</v>
      </c>
      <c r="DZ121" s="373"/>
      <c r="EA121" s="373">
        <v>2</v>
      </c>
      <c r="EB121" s="870"/>
      <c r="EC121" s="373">
        <v>1</v>
      </c>
      <c r="ED121" s="373">
        <v>2</v>
      </c>
      <c r="EE121" s="373"/>
      <c r="EF121" s="618"/>
      <c r="EG121" s="374">
        <v>0</v>
      </c>
      <c r="EH121" s="869"/>
      <c r="EI121" s="373"/>
      <c r="EJ121" s="373"/>
      <c r="EK121" s="870"/>
      <c r="EL121" s="373"/>
      <c r="EM121" s="373"/>
      <c r="EN121" s="373"/>
      <c r="EO121" s="618"/>
      <c r="EP121" s="374">
        <v>0</v>
      </c>
      <c r="EQ121" s="869"/>
      <c r="ER121" s="373"/>
      <c r="ES121" s="373"/>
      <c r="ET121" s="870"/>
      <c r="EU121" s="373"/>
      <c r="EV121" s="373"/>
      <c r="EW121" s="373"/>
      <c r="EX121" s="618"/>
      <c r="EY121" s="374">
        <v>0</v>
      </c>
      <c r="EZ121" s="869"/>
      <c r="FA121" s="373"/>
      <c r="FB121" s="373"/>
      <c r="FC121" s="870"/>
      <c r="FD121" s="373"/>
      <c r="FE121" s="373"/>
      <c r="FF121" s="373"/>
      <c r="FG121" s="618"/>
      <c r="FH121" s="374">
        <v>0</v>
      </c>
      <c r="FI121" s="869"/>
      <c r="FJ121" s="373"/>
      <c r="FK121" s="373"/>
      <c r="FL121" s="870"/>
      <c r="FM121" s="373"/>
      <c r="FN121" s="373">
        <v>2</v>
      </c>
      <c r="FO121" s="373"/>
      <c r="FP121" s="618"/>
      <c r="FQ121" s="374">
        <v>0</v>
      </c>
      <c r="FR121" s="869"/>
      <c r="FS121" s="373"/>
      <c r="FT121" s="373"/>
      <c r="FU121" s="870"/>
      <c r="FV121" s="373"/>
      <c r="FW121" s="373"/>
      <c r="FX121" s="373"/>
      <c r="FY121" s="618"/>
      <c r="FZ121" s="374">
        <v>0</v>
      </c>
      <c r="GA121" s="869"/>
      <c r="GB121" s="373"/>
      <c r="GC121" s="373"/>
      <c r="GD121" s="870"/>
      <c r="GE121" s="373"/>
      <c r="GF121" s="373">
        <v>2</v>
      </c>
      <c r="GG121" s="373"/>
      <c r="GH121" s="618"/>
      <c r="GI121" s="374">
        <v>0</v>
      </c>
      <c r="GJ121" s="869">
        <v>6</v>
      </c>
      <c r="GK121" s="373">
        <v>2</v>
      </c>
      <c r="GL121" s="373">
        <v>6</v>
      </c>
      <c r="GM121" s="870">
        <v>5</v>
      </c>
      <c r="GN121" s="373">
        <v>8</v>
      </c>
      <c r="GO121" s="373">
        <v>8</v>
      </c>
      <c r="GP121" s="373">
        <v>2</v>
      </c>
      <c r="GQ121" s="618">
        <v>3</v>
      </c>
      <c r="GR121" s="374">
        <v>3</v>
      </c>
      <c r="GS121" s="869">
        <v>3</v>
      </c>
      <c r="GT121" s="373"/>
      <c r="GU121" s="373">
        <v>2</v>
      </c>
      <c r="GV121" s="870"/>
      <c r="GW121" s="373">
        <v>1</v>
      </c>
      <c r="GX121" s="373"/>
      <c r="GY121" s="373">
        <v>1</v>
      </c>
      <c r="GZ121" s="618">
        <v>1</v>
      </c>
      <c r="HA121" s="374">
        <v>1</v>
      </c>
      <c r="HB121" s="869">
        <v>1</v>
      </c>
      <c r="HC121" s="373"/>
      <c r="HD121" s="373"/>
      <c r="HE121" s="870"/>
      <c r="HF121" s="373"/>
      <c r="HG121" s="373"/>
      <c r="HH121" s="373"/>
      <c r="HI121" s="618"/>
      <c r="HJ121" s="374">
        <v>0</v>
      </c>
      <c r="HK121" s="869"/>
      <c r="HL121" s="373"/>
      <c r="HM121" s="373"/>
      <c r="HN121" s="870"/>
      <c r="HO121" s="373"/>
      <c r="HP121" s="373"/>
      <c r="HQ121" s="373"/>
      <c r="HR121" s="618"/>
      <c r="HS121" s="374">
        <v>0</v>
      </c>
      <c r="HT121" s="869">
        <v>9</v>
      </c>
      <c r="HU121" s="373">
        <v>1</v>
      </c>
      <c r="HV121" s="373">
        <v>5</v>
      </c>
      <c r="HW121" s="870"/>
      <c r="HX121" s="373">
        <v>2</v>
      </c>
      <c r="HY121" s="373"/>
      <c r="HZ121" s="373">
        <v>3</v>
      </c>
      <c r="IA121" s="618">
        <v>1</v>
      </c>
      <c r="IB121" s="374">
        <v>1</v>
      </c>
      <c r="IC121" s="869">
        <v>19</v>
      </c>
      <c r="ID121" s="373">
        <v>6</v>
      </c>
      <c r="IE121" s="373">
        <v>10</v>
      </c>
      <c r="IF121" s="870">
        <v>9</v>
      </c>
      <c r="IG121" s="373">
        <v>10</v>
      </c>
      <c r="IH121" s="373">
        <v>10</v>
      </c>
      <c r="II121" s="373">
        <v>6</v>
      </c>
      <c r="IJ121" s="618">
        <v>5</v>
      </c>
      <c r="IK121" s="374">
        <v>6</v>
      </c>
      <c r="IL121" s="377">
        <v>1</v>
      </c>
      <c r="IM121" s="373">
        <v>2</v>
      </c>
      <c r="IN121" s="373">
        <v>3</v>
      </c>
      <c r="IO121" s="871">
        <v>1</v>
      </c>
      <c r="IP121" s="871">
        <v>1</v>
      </c>
      <c r="IQ121" s="373">
        <v>3</v>
      </c>
      <c r="IR121" s="373">
        <v>1</v>
      </c>
      <c r="IS121" s="618"/>
      <c r="IT121" s="374">
        <v>0</v>
      </c>
    </row>
    <row r="122" spans="1:254" s="245" customFormat="1" ht="12.75" customHeight="1" x14ac:dyDescent="0.2">
      <c r="A122" s="1052"/>
      <c r="B122" s="868" t="s">
        <v>974</v>
      </c>
      <c r="C122" s="869"/>
      <c r="D122" s="373"/>
      <c r="E122" s="373"/>
      <c r="F122" s="870"/>
      <c r="G122" s="373"/>
      <c r="H122" s="373"/>
      <c r="I122" s="373"/>
      <c r="J122" s="618"/>
      <c r="K122" s="374">
        <v>0</v>
      </c>
      <c r="L122" s="869"/>
      <c r="M122" s="373"/>
      <c r="N122" s="373"/>
      <c r="O122" s="870"/>
      <c r="P122" s="373"/>
      <c r="Q122" s="373"/>
      <c r="R122" s="373"/>
      <c r="S122" s="618"/>
      <c r="T122" s="374">
        <v>0</v>
      </c>
      <c r="U122" s="869"/>
      <c r="V122" s="373"/>
      <c r="W122" s="373"/>
      <c r="X122" s="870"/>
      <c r="Y122" s="373"/>
      <c r="Z122" s="373"/>
      <c r="AA122" s="373"/>
      <c r="AB122" s="618"/>
      <c r="AC122" s="374">
        <v>0</v>
      </c>
      <c r="AD122" s="869"/>
      <c r="AE122" s="373">
        <v>1</v>
      </c>
      <c r="AF122" s="373">
        <v>1</v>
      </c>
      <c r="AG122" s="870">
        <v>1</v>
      </c>
      <c r="AH122" s="373"/>
      <c r="AI122" s="373">
        <v>1</v>
      </c>
      <c r="AJ122" s="373">
        <v>1</v>
      </c>
      <c r="AK122" s="618"/>
      <c r="AL122" s="374">
        <v>2</v>
      </c>
      <c r="AM122" s="869"/>
      <c r="AN122" s="373"/>
      <c r="AO122" s="373"/>
      <c r="AP122" s="870"/>
      <c r="AQ122" s="373"/>
      <c r="AR122" s="373"/>
      <c r="AS122" s="373"/>
      <c r="AT122" s="618"/>
      <c r="AU122" s="374">
        <v>0</v>
      </c>
      <c r="AV122" s="869"/>
      <c r="AW122" s="373"/>
      <c r="AX122" s="373"/>
      <c r="AY122" s="870"/>
      <c r="AZ122" s="373"/>
      <c r="BA122" s="373"/>
      <c r="BB122" s="373"/>
      <c r="BC122" s="618"/>
      <c r="BD122" s="374">
        <v>0</v>
      </c>
      <c r="BE122" s="869"/>
      <c r="BF122" s="373"/>
      <c r="BG122" s="373"/>
      <c r="BH122" s="870"/>
      <c r="BI122" s="373"/>
      <c r="BJ122" s="373">
        <v>4</v>
      </c>
      <c r="BK122" s="373"/>
      <c r="BL122" s="618"/>
      <c r="BM122" s="374">
        <v>0</v>
      </c>
      <c r="BN122" s="869"/>
      <c r="BO122" s="373"/>
      <c r="BP122" s="373"/>
      <c r="BQ122" s="870"/>
      <c r="BR122" s="373"/>
      <c r="BS122" s="373"/>
      <c r="BT122" s="373"/>
      <c r="BU122" s="618"/>
      <c r="BV122" s="374">
        <v>0</v>
      </c>
      <c r="BW122" s="869"/>
      <c r="BX122" s="373">
        <v>1</v>
      </c>
      <c r="BY122" s="373">
        <v>1</v>
      </c>
      <c r="BZ122" s="870">
        <v>3</v>
      </c>
      <c r="CA122" s="373"/>
      <c r="CB122" s="373">
        <v>1</v>
      </c>
      <c r="CC122" s="373">
        <v>1</v>
      </c>
      <c r="CD122" s="618">
        <v>1</v>
      </c>
      <c r="CE122" s="374">
        <v>0</v>
      </c>
      <c r="CF122" s="869"/>
      <c r="CG122" s="373"/>
      <c r="CH122" s="373"/>
      <c r="CI122" s="870"/>
      <c r="CJ122" s="373"/>
      <c r="CK122" s="373"/>
      <c r="CL122" s="373"/>
      <c r="CM122" s="618"/>
      <c r="CN122" s="374">
        <v>0</v>
      </c>
      <c r="CO122" s="869"/>
      <c r="CP122" s="373"/>
      <c r="CQ122" s="373"/>
      <c r="CR122" s="870"/>
      <c r="CS122" s="373"/>
      <c r="CT122" s="373"/>
      <c r="CU122" s="373"/>
      <c r="CV122" s="618"/>
      <c r="CW122" s="374">
        <v>0</v>
      </c>
      <c r="CX122" s="869">
        <v>10</v>
      </c>
      <c r="CY122" s="373">
        <v>13</v>
      </c>
      <c r="CZ122" s="373">
        <v>12</v>
      </c>
      <c r="DA122" s="870">
        <v>7</v>
      </c>
      <c r="DB122" s="373">
        <v>12</v>
      </c>
      <c r="DC122" s="373">
        <v>7</v>
      </c>
      <c r="DD122" s="373">
        <v>2</v>
      </c>
      <c r="DE122" s="618">
        <v>15</v>
      </c>
      <c r="DF122" s="374">
        <v>7</v>
      </c>
      <c r="DG122" s="869"/>
      <c r="DH122" s="373"/>
      <c r="DI122" s="373"/>
      <c r="DJ122" s="870"/>
      <c r="DK122" s="373"/>
      <c r="DL122" s="373"/>
      <c r="DM122" s="373"/>
      <c r="DN122" s="618">
        <v>1</v>
      </c>
      <c r="DO122" s="374">
        <v>0</v>
      </c>
      <c r="DP122" s="869">
        <v>1</v>
      </c>
      <c r="DQ122" s="373">
        <v>1</v>
      </c>
      <c r="DR122" s="373"/>
      <c r="DS122" s="870"/>
      <c r="DT122" s="373"/>
      <c r="DU122" s="373"/>
      <c r="DV122" s="373"/>
      <c r="DW122" s="618"/>
      <c r="DX122" s="374">
        <v>0</v>
      </c>
      <c r="DY122" s="869">
        <v>4</v>
      </c>
      <c r="DZ122" s="373"/>
      <c r="EA122" s="373">
        <v>5</v>
      </c>
      <c r="EB122" s="870">
        <v>2</v>
      </c>
      <c r="EC122" s="373">
        <v>2</v>
      </c>
      <c r="ED122" s="373">
        <v>6</v>
      </c>
      <c r="EE122" s="373"/>
      <c r="EF122" s="618">
        <v>10</v>
      </c>
      <c r="EG122" s="374">
        <v>7</v>
      </c>
      <c r="EH122" s="869"/>
      <c r="EI122" s="373"/>
      <c r="EJ122" s="373"/>
      <c r="EK122" s="870"/>
      <c r="EL122" s="373"/>
      <c r="EM122" s="373"/>
      <c r="EN122" s="373"/>
      <c r="EO122" s="618"/>
      <c r="EP122" s="374">
        <v>0</v>
      </c>
      <c r="EQ122" s="869"/>
      <c r="ER122" s="373"/>
      <c r="ES122" s="373"/>
      <c r="ET122" s="870"/>
      <c r="EU122" s="373"/>
      <c r="EV122" s="373"/>
      <c r="EW122" s="373">
        <v>1</v>
      </c>
      <c r="EX122" s="618"/>
      <c r="EY122" s="374">
        <v>0</v>
      </c>
      <c r="EZ122" s="869"/>
      <c r="FA122" s="373"/>
      <c r="FB122" s="373"/>
      <c r="FC122" s="870"/>
      <c r="FD122" s="373"/>
      <c r="FE122" s="373"/>
      <c r="FF122" s="373"/>
      <c r="FG122" s="618"/>
      <c r="FH122" s="374">
        <v>0</v>
      </c>
      <c r="FI122" s="869"/>
      <c r="FJ122" s="373"/>
      <c r="FK122" s="373"/>
      <c r="FL122" s="870"/>
      <c r="FM122" s="373"/>
      <c r="FN122" s="373"/>
      <c r="FO122" s="373"/>
      <c r="FP122" s="618"/>
      <c r="FQ122" s="374">
        <v>0</v>
      </c>
      <c r="FR122" s="869"/>
      <c r="FS122" s="373"/>
      <c r="FT122" s="373"/>
      <c r="FU122" s="870"/>
      <c r="FV122" s="373"/>
      <c r="FW122" s="373"/>
      <c r="FX122" s="373"/>
      <c r="FY122" s="618"/>
      <c r="FZ122" s="374">
        <v>0</v>
      </c>
      <c r="GA122" s="869"/>
      <c r="GB122" s="373"/>
      <c r="GC122" s="373"/>
      <c r="GD122" s="870"/>
      <c r="GE122" s="373"/>
      <c r="GF122" s="373"/>
      <c r="GG122" s="373"/>
      <c r="GH122" s="618"/>
      <c r="GI122" s="374">
        <v>0</v>
      </c>
      <c r="GJ122" s="869">
        <v>10</v>
      </c>
      <c r="GK122" s="373">
        <v>15</v>
      </c>
      <c r="GL122" s="373">
        <v>14</v>
      </c>
      <c r="GM122" s="870">
        <v>11</v>
      </c>
      <c r="GN122" s="373">
        <v>12</v>
      </c>
      <c r="GO122" s="373">
        <v>13</v>
      </c>
      <c r="GP122" s="373">
        <v>5</v>
      </c>
      <c r="GQ122" s="618">
        <v>16</v>
      </c>
      <c r="GR122" s="374">
        <v>9</v>
      </c>
      <c r="GS122" s="869">
        <v>3</v>
      </c>
      <c r="GT122" s="373">
        <v>4</v>
      </c>
      <c r="GU122" s="373">
        <v>3</v>
      </c>
      <c r="GV122" s="870">
        <v>3</v>
      </c>
      <c r="GW122" s="373"/>
      <c r="GX122" s="373">
        <v>1</v>
      </c>
      <c r="GY122" s="373">
        <v>2</v>
      </c>
      <c r="GZ122" s="618">
        <v>2</v>
      </c>
      <c r="HA122" s="374">
        <v>0</v>
      </c>
      <c r="HB122" s="869"/>
      <c r="HC122" s="373"/>
      <c r="HD122" s="373"/>
      <c r="HE122" s="870"/>
      <c r="HF122" s="373"/>
      <c r="HG122" s="373"/>
      <c r="HH122" s="373"/>
      <c r="HI122" s="618"/>
      <c r="HJ122" s="374">
        <v>0</v>
      </c>
      <c r="HK122" s="869"/>
      <c r="HL122" s="373"/>
      <c r="HM122" s="373"/>
      <c r="HN122" s="870"/>
      <c r="HO122" s="373"/>
      <c r="HP122" s="373"/>
      <c r="HQ122" s="373"/>
      <c r="HR122" s="618"/>
      <c r="HS122" s="374">
        <v>0</v>
      </c>
      <c r="HT122" s="869">
        <v>3</v>
      </c>
      <c r="HU122" s="373">
        <v>4</v>
      </c>
      <c r="HV122" s="373">
        <v>3</v>
      </c>
      <c r="HW122" s="870">
        <v>3</v>
      </c>
      <c r="HX122" s="373"/>
      <c r="HY122" s="373">
        <v>2</v>
      </c>
      <c r="HZ122" s="373">
        <v>2</v>
      </c>
      <c r="IA122" s="618">
        <v>2</v>
      </c>
      <c r="IB122" s="374">
        <v>0</v>
      </c>
      <c r="IC122" s="869">
        <v>10</v>
      </c>
      <c r="ID122" s="373">
        <v>16</v>
      </c>
      <c r="IE122" s="373">
        <v>14</v>
      </c>
      <c r="IF122" s="870">
        <v>12</v>
      </c>
      <c r="IG122" s="373">
        <v>14</v>
      </c>
      <c r="IH122" s="373">
        <v>17</v>
      </c>
      <c r="II122" s="373">
        <v>6</v>
      </c>
      <c r="IJ122" s="618">
        <v>19</v>
      </c>
      <c r="IK122" s="374">
        <v>11</v>
      </c>
      <c r="IL122" s="377">
        <v>6</v>
      </c>
      <c r="IM122" s="373"/>
      <c r="IN122" s="373">
        <v>7</v>
      </c>
      <c r="IO122" s="871">
        <v>1</v>
      </c>
      <c r="IP122" s="871">
        <v>3</v>
      </c>
      <c r="IQ122" s="373">
        <v>6</v>
      </c>
      <c r="IR122" s="373"/>
      <c r="IS122" s="618">
        <v>13</v>
      </c>
      <c r="IT122" s="374">
        <v>7</v>
      </c>
    </row>
    <row r="123" spans="1:254" s="245" customFormat="1" ht="12.75" customHeight="1" x14ac:dyDescent="0.2">
      <c r="A123" s="1052"/>
      <c r="B123" s="868" t="s">
        <v>975</v>
      </c>
      <c r="C123" s="869"/>
      <c r="D123" s="373"/>
      <c r="E123" s="373"/>
      <c r="F123" s="870"/>
      <c r="G123" s="373"/>
      <c r="H123" s="373"/>
      <c r="I123" s="373"/>
      <c r="J123" s="618"/>
      <c r="K123" s="374">
        <v>0</v>
      </c>
      <c r="L123" s="869"/>
      <c r="M123" s="373"/>
      <c r="N123" s="373"/>
      <c r="O123" s="870"/>
      <c r="P123" s="373"/>
      <c r="Q123" s="373"/>
      <c r="R123" s="373"/>
      <c r="S123" s="618"/>
      <c r="T123" s="374">
        <v>0</v>
      </c>
      <c r="U123" s="869"/>
      <c r="V123" s="373"/>
      <c r="W123" s="373"/>
      <c r="X123" s="870"/>
      <c r="Y123" s="373"/>
      <c r="Z123" s="373"/>
      <c r="AA123" s="373"/>
      <c r="AB123" s="618"/>
      <c r="AC123" s="374">
        <v>0</v>
      </c>
      <c r="AD123" s="869">
        <v>1</v>
      </c>
      <c r="AE123" s="373">
        <v>2</v>
      </c>
      <c r="AF123" s="373">
        <v>5</v>
      </c>
      <c r="AG123" s="870">
        <v>2</v>
      </c>
      <c r="AH123" s="373"/>
      <c r="AI123" s="373"/>
      <c r="AJ123" s="373"/>
      <c r="AK123" s="618"/>
      <c r="AL123" s="374">
        <v>0</v>
      </c>
      <c r="AM123" s="869"/>
      <c r="AN123" s="373">
        <v>1</v>
      </c>
      <c r="AO123" s="373"/>
      <c r="AP123" s="870"/>
      <c r="AQ123" s="373"/>
      <c r="AR123" s="373"/>
      <c r="AS123" s="373"/>
      <c r="AT123" s="618"/>
      <c r="AU123" s="374">
        <v>0</v>
      </c>
      <c r="AV123" s="869"/>
      <c r="AW123" s="373"/>
      <c r="AX123" s="373"/>
      <c r="AY123" s="870"/>
      <c r="AZ123" s="373"/>
      <c r="BA123" s="373"/>
      <c r="BB123" s="373"/>
      <c r="BC123" s="618"/>
      <c r="BD123" s="374">
        <v>0</v>
      </c>
      <c r="BE123" s="869"/>
      <c r="BF123" s="373"/>
      <c r="BG123" s="373"/>
      <c r="BH123" s="870"/>
      <c r="BI123" s="373"/>
      <c r="BJ123" s="373"/>
      <c r="BK123" s="373"/>
      <c r="BL123" s="618"/>
      <c r="BM123" s="374">
        <v>0</v>
      </c>
      <c r="BN123" s="869"/>
      <c r="BO123" s="373"/>
      <c r="BP123" s="373"/>
      <c r="BQ123" s="870"/>
      <c r="BR123" s="373"/>
      <c r="BS123" s="373"/>
      <c r="BT123" s="373"/>
      <c r="BU123" s="618"/>
      <c r="BV123" s="374">
        <v>0</v>
      </c>
      <c r="BW123" s="869"/>
      <c r="BX123" s="373">
        <v>1</v>
      </c>
      <c r="BY123" s="373">
        <v>2</v>
      </c>
      <c r="BZ123" s="870">
        <v>2</v>
      </c>
      <c r="CA123" s="373">
        <v>1</v>
      </c>
      <c r="CB123" s="373"/>
      <c r="CC123" s="373">
        <v>1</v>
      </c>
      <c r="CD123" s="618"/>
      <c r="CE123" s="374">
        <v>0</v>
      </c>
      <c r="CF123" s="869"/>
      <c r="CG123" s="373"/>
      <c r="CH123" s="373">
        <v>1</v>
      </c>
      <c r="CI123" s="870"/>
      <c r="CJ123" s="373"/>
      <c r="CK123" s="373"/>
      <c r="CL123" s="373"/>
      <c r="CM123" s="618"/>
      <c r="CN123" s="374">
        <v>0</v>
      </c>
      <c r="CO123" s="869"/>
      <c r="CP123" s="373"/>
      <c r="CQ123" s="373"/>
      <c r="CR123" s="870"/>
      <c r="CS123" s="373"/>
      <c r="CT123" s="373"/>
      <c r="CU123" s="373"/>
      <c r="CV123" s="618"/>
      <c r="CW123" s="374">
        <v>0</v>
      </c>
      <c r="CX123" s="869">
        <v>9</v>
      </c>
      <c r="CY123" s="373">
        <v>9</v>
      </c>
      <c r="CZ123" s="373">
        <v>11</v>
      </c>
      <c r="DA123" s="870">
        <v>7</v>
      </c>
      <c r="DB123" s="373">
        <v>4</v>
      </c>
      <c r="DC123" s="373">
        <v>1</v>
      </c>
      <c r="DD123" s="373"/>
      <c r="DE123" s="618">
        <v>4</v>
      </c>
      <c r="DF123" s="374">
        <v>0</v>
      </c>
      <c r="DG123" s="869"/>
      <c r="DH123" s="373"/>
      <c r="DI123" s="373"/>
      <c r="DJ123" s="870"/>
      <c r="DK123" s="373"/>
      <c r="DL123" s="373"/>
      <c r="DM123" s="373"/>
      <c r="DN123" s="618"/>
      <c r="DO123" s="374">
        <v>0</v>
      </c>
      <c r="DP123" s="869"/>
      <c r="DQ123" s="373"/>
      <c r="DR123" s="373">
        <v>1</v>
      </c>
      <c r="DS123" s="870"/>
      <c r="DT123" s="373"/>
      <c r="DU123" s="373"/>
      <c r="DV123" s="373"/>
      <c r="DW123" s="618"/>
      <c r="DX123" s="374">
        <v>0</v>
      </c>
      <c r="DY123" s="869"/>
      <c r="DZ123" s="373">
        <v>4</v>
      </c>
      <c r="EA123" s="373">
        <v>1</v>
      </c>
      <c r="EB123" s="870">
        <v>1</v>
      </c>
      <c r="EC123" s="373">
        <v>1</v>
      </c>
      <c r="ED123" s="373"/>
      <c r="EE123" s="373"/>
      <c r="EF123" s="618"/>
      <c r="EG123" s="374">
        <v>0</v>
      </c>
      <c r="EH123" s="869"/>
      <c r="EI123" s="373"/>
      <c r="EJ123" s="373"/>
      <c r="EK123" s="870"/>
      <c r="EL123" s="373"/>
      <c r="EM123" s="373"/>
      <c r="EN123" s="373"/>
      <c r="EO123" s="618"/>
      <c r="EP123" s="374">
        <v>0</v>
      </c>
      <c r="EQ123" s="869"/>
      <c r="ER123" s="373"/>
      <c r="ES123" s="373"/>
      <c r="ET123" s="870"/>
      <c r="EU123" s="373"/>
      <c r="EV123" s="373"/>
      <c r="EW123" s="373"/>
      <c r="EX123" s="618"/>
      <c r="EY123" s="374">
        <v>0</v>
      </c>
      <c r="EZ123" s="869"/>
      <c r="FA123" s="373"/>
      <c r="FB123" s="373"/>
      <c r="FC123" s="870"/>
      <c r="FD123" s="373"/>
      <c r="FE123" s="373"/>
      <c r="FF123" s="373"/>
      <c r="FG123" s="618"/>
      <c r="FH123" s="374">
        <v>0</v>
      </c>
      <c r="FI123" s="869">
        <v>1</v>
      </c>
      <c r="FJ123" s="373">
        <v>2</v>
      </c>
      <c r="FK123" s="373"/>
      <c r="FL123" s="870"/>
      <c r="FM123" s="373"/>
      <c r="FN123" s="373"/>
      <c r="FO123" s="373"/>
      <c r="FP123" s="618">
        <v>1</v>
      </c>
      <c r="FQ123" s="374">
        <v>0</v>
      </c>
      <c r="FR123" s="869"/>
      <c r="FS123" s="373"/>
      <c r="FT123" s="373"/>
      <c r="FU123" s="870"/>
      <c r="FV123" s="373"/>
      <c r="FW123" s="373"/>
      <c r="FX123" s="373"/>
      <c r="FY123" s="618"/>
      <c r="FZ123" s="374">
        <v>0</v>
      </c>
      <c r="GA123" s="869"/>
      <c r="GB123" s="373"/>
      <c r="GC123" s="373"/>
      <c r="GD123" s="870"/>
      <c r="GE123" s="373"/>
      <c r="GF123" s="373">
        <v>1</v>
      </c>
      <c r="GG123" s="373"/>
      <c r="GH123" s="618"/>
      <c r="GI123" s="374">
        <v>0</v>
      </c>
      <c r="GJ123" s="869">
        <v>11</v>
      </c>
      <c r="GK123" s="373">
        <v>14</v>
      </c>
      <c r="GL123" s="373">
        <v>19</v>
      </c>
      <c r="GM123" s="870">
        <v>11</v>
      </c>
      <c r="GN123" s="373">
        <v>5</v>
      </c>
      <c r="GO123" s="373">
        <v>2</v>
      </c>
      <c r="GP123" s="373">
        <v>1</v>
      </c>
      <c r="GQ123" s="618">
        <v>5</v>
      </c>
      <c r="GR123" s="374">
        <v>0</v>
      </c>
      <c r="GS123" s="869">
        <v>4</v>
      </c>
      <c r="GT123" s="373">
        <v>2</v>
      </c>
      <c r="GU123" s="373">
        <v>6</v>
      </c>
      <c r="GV123" s="870">
        <v>3</v>
      </c>
      <c r="GW123" s="373">
        <v>1</v>
      </c>
      <c r="GX123" s="373"/>
      <c r="GY123" s="373">
        <v>1</v>
      </c>
      <c r="GZ123" s="618"/>
      <c r="HA123" s="374">
        <v>0</v>
      </c>
      <c r="HB123" s="869"/>
      <c r="HC123" s="373"/>
      <c r="HD123" s="373"/>
      <c r="HE123" s="870"/>
      <c r="HF123" s="373"/>
      <c r="HG123" s="373"/>
      <c r="HH123" s="373"/>
      <c r="HI123" s="618"/>
      <c r="HJ123" s="374">
        <v>0</v>
      </c>
      <c r="HK123" s="869"/>
      <c r="HL123" s="373"/>
      <c r="HM123" s="373"/>
      <c r="HN123" s="870"/>
      <c r="HO123" s="373"/>
      <c r="HP123" s="373"/>
      <c r="HQ123" s="373"/>
      <c r="HR123" s="618">
        <v>1</v>
      </c>
      <c r="HS123" s="374">
        <v>0</v>
      </c>
      <c r="HT123" s="869">
        <v>5</v>
      </c>
      <c r="HU123" s="373">
        <v>2</v>
      </c>
      <c r="HV123" s="373">
        <v>7</v>
      </c>
      <c r="HW123" s="870">
        <v>3</v>
      </c>
      <c r="HX123" s="373">
        <v>2</v>
      </c>
      <c r="HY123" s="373">
        <v>2</v>
      </c>
      <c r="HZ123" s="373">
        <v>3</v>
      </c>
      <c r="IA123" s="618">
        <v>2</v>
      </c>
      <c r="IB123" s="374">
        <v>0</v>
      </c>
      <c r="IC123" s="869">
        <v>18</v>
      </c>
      <c r="ID123" s="373">
        <v>16</v>
      </c>
      <c r="IE123" s="373">
        <v>35</v>
      </c>
      <c r="IF123" s="870">
        <v>21</v>
      </c>
      <c r="IG123" s="373">
        <v>15</v>
      </c>
      <c r="IH123" s="373">
        <v>13</v>
      </c>
      <c r="II123" s="373">
        <v>5</v>
      </c>
      <c r="IJ123" s="618">
        <v>16</v>
      </c>
      <c r="IK123" s="374">
        <v>2</v>
      </c>
      <c r="IL123" s="377"/>
      <c r="IM123" s="373">
        <v>6</v>
      </c>
      <c r="IN123" s="373">
        <v>3</v>
      </c>
      <c r="IO123" s="871">
        <v>1</v>
      </c>
      <c r="IP123" s="871">
        <v>1</v>
      </c>
      <c r="IQ123" s="373"/>
      <c r="IR123" s="373"/>
      <c r="IS123" s="618"/>
      <c r="IT123" s="374">
        <v>0</v>
      </c>
    </row>
    <row r="124" spans="1:254" s="245" customFormat="1" ht="12.75" customHeight="1" x14ac:dyDescent="0.2">
      <c r="A124" s="1052"/>
      <c r="B124" s="868" t="s">
        <v>976</v>
      </c>
      <c r="C124" s="869"/>
      <c r="D124" s="373"/>
      <c r="E124" s="373"/>
      <c r="F124" s="870"/>
      <c r="G124" s="373"/>
      <c r="H124" s="373"/>
      <c r="I124" s="373"/>
      <c r="J124" s="618"/>
      <c r="K124" s="374">
        <v>0</v>
      </c>
      <c r="L124" s="869"/>
      <c r="M124" s="373"/>
      <c r="N124" s="373"/>
      <c r="O124" s="870"/>
      <c r="P124" s="373"/>
      <c r="Q124" s="373"/>
      <c r="R124" s="373"/>
      <c r="S124" s="618"/>
      <c r="T124" s="374">
        <v>0</v>
      </c>
      <c r="U124" s="869"/>
      <c r="V124" s="373"/>
      <c r="W124" s="373"/>
      <c r="X124" s="870"/>
      <c r="Y124" s="373"/>
      <c r="Z124" s="373"/>
      <c r="AA124" s="373"/>
      <c r="AB124" s="618"/>
      <c r="AC124" s="374">
        <v>0</v>
      </c>
      <c r="AD124" s="869"/>
      <c r="AE124" s="373"/>
      <c r="AF124" s="373"/>
      <c r="AG124" s="870"/>
      <c r="AH124" s="373"/>
      <c r="AI124" s="373">
        <v>1</v>
      </c>
      <c r="AJ124" s="373"/>
      <c r="AK124" s="618"/>
      <c r="AL124" s="374">
        <v>0</v>
      </c>
      <c r="AM124" s="869"/>
      <c r="AN124" s="373"/>
      <c r="AO124" s="373"/>
      <c r="AP124" s="870"/>
      <c r="AQ124" s="373"/>
      <c r="AR124" s="373">
        <v>1</v>
      </c>
      <c r="AS124" s="373"/>
      <c r="AT124" s="618"/>
      <c r="AU124" s="374">
        <v>0</v>
      </c>
      <c r="AV124" s="869"/>
      <c r="AW124" s="373"/>
      <c r="AX124" s="373"/>
      <c r="AY124" s="870"/>
      <c r="AZ124" s="373"/>
      <c r="BA124" s="373"/>
      <c r="BB124" s="373"/>
      <c r="BC124" s="618"/>
      <c r="BD124" s="374">
        <v>0</v>
      </c>
      <c r="BE124" s="869"/>
      <c r="BF124" s="373"/>
      <c r="BG124" s="373"/>
      <c r="BH124" s="870"/>
      <c r="BI124" s="373"/>
      <c r="BJ124" s="373"/>
      <c r="BK124" s="373"/>
      <c r="BL124" s="618"/>
      <c r="BM124" s="374">
        <v>0</v>
      </c>
      <c r="BN124" s="869"/>
      <c r="BO124" s="373"/>
      <c r="BP124" s="373"/>
      <c r="BQ124" s="870"/>
      <c r="BR124" s="373"/>
      <c r="BS124" s="373"/>
      <c r="BT124" s="373"/>
      <c r="BU124" s="618"/>
      <c r="BV124" s="374">
        <v>0</v>
      </c>
      <c r="BW124" s="869">
        <v>2</v>
      </c>
      <c r="BX124" s="373">
        <v>1</v>
      </c>
      <c r="BY124" s="373"/>
      <c r="BZ124" s="870"/>
      <c r="CA124" s="373"/>
      <c r="CB124" s="373">
        <v>1</v>
      </c>
      <c r="CC124" s="373"/>
      <c r="CD124" s="618"/>
      <c r="CE124" s="374">
        <v>1</v>
      </c>
      <c r="CF124" s="869"/>
      <c r="CG124" s="373"/>
      <c r="CH124" s="373"/>
      <c r="CI124" s="870"/>
      <c r="CJ124" s="373"/>
      <c r="CK124" s="373"/>
      <c r="CL124" s="373"/>
      <c r="CM124" s="618"/>
      <c r="CN124" s="374">
        <v>0</v>
      </c>
      <c r="CO124" s="869"/>
      <c r="CP124" s="373"/>
      <c r="CQ124" s="373"/>
      <c r="CR124" s="870"/>
      <c r="CS124" s="373"/>
      <c r="CT124" s="373"/>
      <c r="CU124" s="373"/>
      <c r="CV124" s="618"/>
      <c r="CW124" s="374">
        <v>0</v>
      </c>
      <c r="CX124" s="869">
        <v>6</v>
      </c>
      <c r="CY124" s="373">
        <v>2</v>
      </c>
      <c r="CZ124" s="373"/>
      <c r="DA124" s="870">
        <v>2</v>
      </c>
      <c r="DB124" s="373"/>
      <c r="DC124" s="373">
        <v>1</v>
      </c>
      <c r="DD124" s="373"/>
      <c r="DE124" s="618">
        <v>3</v>
      </c>
      <c r="DF124" s="374">
        <v>1</v>
      </c>
      <c r="DG124" s="869"/>
      <c r="DH124" s="373"/>
      <c r="DI124" s="373"/>
      <c r="DJ124" s="870"/>
      <c r="DK124" s="373"/>
      <c r="DL124" s="373"/>
      <c r="DM124" s="373"/>
      <c r="DN124" s="618"/>
      <c r="DO124" s="374">
        <v>0</v>
      </c>
      <c r="DP124" s="869"/>
      <c r="DQ124" s="373"/>
      <c r="DR124" s="373"/>
      <c r="DS124" s="870"/>
      <c r="DT124" s="373"/>
      <c r="DU124" s="373"/>
      <c r="DV124" s="373"/>
      <c r="DW124" s="618">
        <v>1</v>
      </c>
      <c r="DX124" s="374">
        <v>0</v>
      </c>
      <c r="DY124" s="869"/>
      <c r="DZ124" s="373"/>
      <c r="EA124" s="373"/>
      <c r="EB124" s="870"/>
      <c r="EC124" s="373"/>
      <c r="ED124" s="373"/>
      <c r="EE124" s="373"/>
      <c r="EF124" s="618"/>
      <c r="EG124" s="374">
        <v>0</v>
      </c>
      <c r="EH124" s="869"/>
      <c r="EI124" s="373"/>
      <c r="EJ124" s="373"/>
      <c r="EK124" s="870"/>
      <c r="EL124" s="373"/>
      <c r="EM124" s="373"/>
      <c r="EN124" s="373"/>
      <c r="EO124" s="618"/>
      <c r="EP124" s="374">
        <v>0</v>
      </c>
      <c r="EQ124" s="869"/>
      <c r="ER124" s="373"/>
      <c r="ES124" s="373"/>
      <c r="ET124" s="870"/>
      <c r="EU124" s="373"/>
      <c r="EV124" s="373"/>
      <c r="EW124" s="373"/>
      <c r="EX124" s="618"/>
      <c r="EY124" s="374">
        <v>0</v>
      </c>
      <c r="EZ124" s="869"/>
      <c r="FA124" s="373"/>
      <c r="FB124" s="373"/>
      <c r="FC124" s="870"/>
      <c r="FD124" s="373"/>
      <c r="FE124" s="373"/>
      <c r="FF124" s="373"/>
      <c r="FG124" s="618"/>
      <c r="FH124" s="374">
        <v>0</v>
      </c>
      <c r="FI124" s="869"/>
      <c r="FJ124" s="373"/>
      <c r="FK124" s="373"/>
      <c r="FL124" s="870"/>
      <c r="FM124" s="373"/>
      <c r="FN124" s="373"/>
      <c r="FO124" s="373"/>
      <c r="FP124" s="618"/>
      <c r="FQ124" s="374">
        <v>0</v>
      </c>
      <c r="FR124" s="869"/>
      <c r="FS124" s="373"/>
      <c r="FT124" s="373"/>
      <c r="FU124" s="870"/>
      <c r="FV124" s="373"/>
      <c r="FW124" s="373"/>
      <c r="FX124" s="373"/>
      <c r="FY124" s="618"/>
      <c r="FZ124" s="374">
        <v>0</v>
      </c>
      <c r="GA124" s="869"/>
      <c r="GB124" s="373"/>
      <c r="GC124" s="373"/>
      <c r="GD124" s="870"/>
      <c r="GE124" s="373"/>
      <c r="GF124" s="373"/>
      <c r="GG124" s="373"/>
      <c r="GH124" s="618"/>
      <c r="GI124" s="374">
        <v>0</v>
      </c>
      <c r="GJ124" s="869">
        <v>8</v>
      </c>
      <c r="GK124" s="373">
        <v>3</v>
      </c>
      <c r="GL124" s="373"/>
      <c r="GM124" s="870">
        <v>2</v>
      </c>
      <c r="GN124" s="373"/>
      <c r="GO124" s="373">
        <v>3</v>
      </c>
      <c r="GP124" s="373"/>
      <c r="GQ124" s="618">
        <v>3</v>
      </c>
      <c r="GR124" s="374">
        <v>2</v>
      </c>
      <c r="GS124" s="869">
        <v>2</v>
      </c>
      <c r="GT124" s="373">
        <v>3</v>
      </c>
      <c r="GU124" s="373"/>
      <c r="GV124" s="870">
        <v>1</v>
      </c>
      <c r="GW124" s="373"/>
      <c r="GX124" s="373">
        <v>3</v>
      </c>
      <c r="GY124" s="373"/>
      <c r="GZ124" s="618"/>
      <c r="HA124" s="374">
        <v>2</v>
      </c>
      <c r="HB124" s="869"/>
      <c r="HC124" s="373"/>
      <c r="HD124" s="373"/>
      <c r="HE124" s="870"/>
      <c r="HF124" s="373"/>
      <c r="HG124" s="373"/>
      <c r="HH124" s="373"/>
      <c r="HI124" s="618"/>
      <c r="HJ124" s="374">
        <v>0</v>
      </c>
      <c r="HK124" s="869"/>
      <c r="HL124" s="373"/>
      <c r="HM124" s="373"/>
      <c r="HN124" s="870"/>
      <c r="HO124" s="373"/>
      <c r="HP124" s="373"/>
      <c r="HQ124" s="373"/>
      <c r="HR124" s="618"/>
      <c r="HS124" s="374">
        <v>0</v>
      </c>
      <c r="HT124" s="869">
        <v>3</v>
      </c>
      <c r="HU124" s="373">
        <v>4</v>
      </c>
      <c r="HV124" s="373">
        <v>1</v>
      </c>
      <c r="HW124" s="870">
        <v>1</v>
      </c>
      <c r="HX124" s="373">
        <v>4</v>
      </c>
      <c r="HY124" s="373">
        <v>3</v>
      </c>
      <c r="HZ124" s="373"/>
      <c r="IA124" s="618">
        <v>3</v>
      </c>
      <c r="IB124" s="374">
        <v>2</v>
      </c>
      <c r="IC124" s="869">
        <v>9</v>
      </c>
      <c r="ID124" s="373">
        <v>9</v>
      </c>
      <c r="IE124" s="373">
        <v>2</v>
      </c>
      <c r="IF124" s="870">
        <v>3</v>
      </c>
      <c r="IG124" s="373">
        <v>4</v>
      </c>
      <c r="IH124" s="373">
        <v>6</v>
      </c>
      <c r="II124" s="373"/>
      <c r="IJ124" s="618">
        <v>6</v>
      </c>
      <c r="IK124" s="374">
        <v>6</v>
      </c>
      <c r="IL124" s="377">
        <v>2</v>
      </c>
      <c r="IM124" s="373"/>
      <c r="IN124" s="373"/>
      <c r="IO124" s="871"/>
      <c r="IP124" s="871"/>
      <c r="IQ124" s="373"/>
      <c r="IR124" s="373"/>
      <c r="IS124" s="618"/>
      <c r="IT124" s="374">
        <v>0</v>
      </c>
    </row>
    <row r="125" spans="1:254" s="245" customFormat="1" ht="12.75" customHeight="1" x14ac:dyDescent="0.2">
      <c r="A125" s="1052"/>
      <c r="B125" s="868" t="s">
        <v>977</v>
      </c>
      <c r="C125" s="869"/>
      <c r="D125" s="373"/>
      <c r="E125" s="373"/>
      <c r="F125" s="870"/>
      <c r="G125" s="373"/>
      <c r="H125" s="373"/>
      <c r="I125" s="373"/>
      <c r="J125" s="618"/>
      <c r="K125" s="374">
        <v>0</v>
      </c>
      <c r="L125" s="869"/>
      <c r="M125" s="373"/>
      <c r="N125" s="373"/>
      <c r="O125" s="870"/>
      <c r="P125" s="373"/>
      <c r="Q125" s="373"/>
      <c r="R125" s="373"/>
      <c r="S125" s="618"/>
      <c r="T125" s="374">
        <v>0</v>
      </c>
      <c r="U125" s="869"/>
      <c r="V125" s="373"/>
      <c r="W125" s="373"/>
      <c r="X125" s="870"/>
      <c r="Y125" s="373"/>
      <c r="Z125" s="373"/>
      <c r="AA125" s="373"/>
      <c r="AB125" s="618"/>
      <c r="AC125" s="374">
        <v>0</v>
      </c>
      <c r="AD125" s="869"/>
      <c r="AE125" s="373"/>
      <c r="AF125" s="373"/>
      <c r="AG125" s="870">
        <v>3</v>
      </c>
      <c r="AH125" s="373"/>
      <c r="AI125" s="373"/>
      <c r="AJ125" s="373"/>
      <c r="AK125" s="618"/>
      <c r="AL125" s="374">
        <v>0</v>
      </c>
      <c r="AM125" s="869"/>
      <c r="AN125" s="373"/>
      <c r="AO125" s="373"/>
      <c r="AP125" s="870"/>
      <c r="AQ125" s="373"/>
      <c r="AR125" s="373"/>
      <c r="AS125" s="373"/>
      <c r="AT125" s="618"/>
      <c r="AU125" s="374">
        <v>0</v>
      </c>
      <c r="AV125" s="869"/>
      <c r="AW125" s="373"/>
      <c r="AX125" s="373"/>
      <c r="AY125" s="870"/>
      <c r="AZ125" s="373"/>
      <c r="BA125" s="373"/>
      <c r="BB125" s="373"/>
      <c r="BC125" s="618"/>
      <c r="BD125" s="374">
        <v>0</v>
      </c>
      <c r="BE125" s="869"/>
      <c r="BF125" s="373"/>
      <c r="BG125" s="373"/>
      <c r="BH125" s="870"/>
      <c r="BI125" s="373"/>
      <c r="BJ125" s="373"/>
      <c r="BK125" s="373"/>
      <c r="BL125" s="618"/>
      <c r="BM125" s="374">
        <v>0</v>
      </c>
      <c r="BN125" s="869"/>
      <c r="BO125" s="373"/>
      <c r="BP125" s="373"/>
      <c r="BQ125" s="870"/>
      <c r="BR125" s="373"/>
      <c r="BS125" s="373"/>
      <c r="BT125" s="373"/>
      <c r="BU125" s="618"/>
      <c r="BV125" s="374">
        <v>0</v>
      </c>
      <c r="BW125" s="869">
        <v>2</v>
      </c>
      <c r="BX125" s="373"/>
      <c r="BY125" s="373">
        <v>1</v>
      </c>
      <c r="BZ125" s="870">
        <v>3</v>
      </c>
      <c r="CA125" s="373"/>
      <c r="CB125" s="373"/>
      <c r="CC125" s="373">
        <v>1</v>
      </c>
      <c r="CD125" s="618"/>
      <c r="CE125" s="374">
        <v>0</v>
      </c>
      <c r="CF125" s="869"/>
      <c r="CG125" s="373"/>
      <c r="CH125" s="373"/>
      <c r="CI125" s="870"/>
      <c r="CJ125" s="373"/>
      <c r="CK125" s="373"/>
      <c r="CL125" s="373"/>
      <c r="CM125" s="618"/>
      <c r="CN125" s="374">
        <v>0</v>
      </c>
      <c r="CO125" s="869"/>
      <c r="CP125" s="373"/>
      <c r="CQ125" s="373"/>
      <c r="CR125" s="870"/>
      <c r="CS125" s="373"/>
      <c r="CT125" s="373"/>
      <c r="CU125" s="373"/>
      <c r="CV125" s="618"/>
      <c r="CW125" s="374">
        <v>0</v>
      </c>
      <c r="CX125" s="869">
        <v>8</v>
      </c>
      <c r="CY125" s="373"/>
      <c r="CZ125" s="373">
        <v>1</v>
      </c>
      <c r="DA125" s="870">
        <v>2</v>
      </c>
      <c r="DB125" s="373">
        <v>4</v>
      </c>
      <c r="DC125" s="373">
        <v>2</v>
      </c>
      <c r="DD125" s="373">
        <v>1</v>
      </c>
      <c r="DE125" s="618"/>
      <c r="DF125" s="374">
        <v>2</v>
      </c>
      <c r="DG125" s="869"/>
      <c r="DH125" s="373"/>
      <c r="DI125" s="373"/>
      <c r="DJ125" s="870"/>
      <c r="DK125" s="373"/>
      <c r="DL125" s="373"/>
      <c r="DM125" s="373"/>
      <c r="DN125" s="618"/>
      <c r="DO125" s="374">
        <v>0</v>
      </c>
      <c r="DP125" s="869"/>
      <c r="DQ125" s="373"/>
      <c r="DR125" s="373"/>
      <c r="DS125" s="870"/>
      <c r="DT125" s="373"/>
      <c r="DU125" s="373">
        <v>1</v>
      </c>
      <c r="DV125" s="373"/>
      <c r="DW125" s="618"/>
      <c r="DX125" s="374">
        <v>0</v>
      </c>
      <c r="DY125" s="869"/>
      <c r="DZ125" s="373"/>
      <c r="EA125" s="373"/>
      <c r="EB125" s="870"/>
      <c r="EC125" s="373">
        <v>1</v>
      </c>
      <c r="ED125" s="373"/>
      <c r="EE125" s="373">
        <v>1</v>
      </c>
      <c r="EF125" s="618"/>
      <c r="EG125" s="374">
        <v>0</v>
      </c>
      <c r="EH125" s="869"/>
      <c r="EI125" s="373"/>
      <c r="EJ125" s="373"/>
      <c r="EK125" s="870"/>
      <c r="EL125" s="373"/>
      <c r="EM125" s="373"/>
      <c r="EN125" s="373"/>
      <c r="EO125" s="618"/>
      <c r="EP125" s="374">
        <v>0</v>
      </c>
      <c r="EQ125" s="869"/>
      <c r="ER125" s="373"/>
      <c r="ES125" s="373"/>
      <c r="ET125" s="870"/>
      <c r="EU125" s="373"/>
      <c r="EV125" s="373"/>
      <c r="EW125" s="373"/>
      <c r="EX125" s="618"/>
      <c r="EY125" s="374">
        <v>0</v>
      </c>
      <c r="EZ125" s="869"/>
      <c r="FA125" s="373"/>
      <c r="FB125" s="373"/>
      <c r="FC125" s="870"/>
      <c r="FD125" s="373"/>
      <c r="FE125" s="373"/>
      <c r="FF125" s="373"/>
      <c r="FG125" s="618"/>
      <c r="FH125" s="374">
        <v>0</v>
      </c>
      <c r="FI125" s="869"/>
      <c r="FJ125" s="373"/>
      <c r="FK125" s="373">
        <v>1</v>
      </c>
      <c r="FL125" s="870"/>
      <c r="FM125" s="373"/>
      <c r="FN125" s="373"/>
      <c r="FO125" s="373"/>
      <c r="FP125" s="618"/>
      <c r="FQ125" s="374">
        <v>0</v>
      </c>
      <c r="FR125" s="869"/>
      <c r="FS125" s="373"/>
      <c r="FT125" s="373"/>
      <c r="FU125" s="870"/>
      <c r="FV125" s="373"/>
      <c r="FW125" s="373"/>
      <c r="FX125" s="373"/>
      <c r="FY125" s="618"/>
      <c r="FZ125" s="374">
        <v>0</v>
      </c>
      <c r="GA125" s="869"/>
      <c r="GB125" s="373"/>
      <c r="GC125" s="373"/>
      <c r="GD125" s="870"/>
      <c r="GE125" s="373"/>
      <c r="GF125" s="373"/>
      <c r="GG125" s="373"/>
      <c r="GH125" s="618"/>
      <c r="GI125" s="374">
        <v>0</v>
      </c>
      <c r="GJ125" s="869">
        <v>10</v>
      </c>
      <c r="GK125" s="373"/>
      <c r="GL125" s="373">
        <v>3</v>
      </c>
      <c r="GM125" s="870">
        <v>8</v>
      </c>
      <c r="GN125" s="373">
        <v>4</v>
      </c>
      <c r="GO125" s="373">
        <v>2</v>
      </c>
      <c r="GP125" s="373">
        <v>2</v>
      </c>
      <c r="GQ125" s="618"/>
      <c r="GR125" s="374">
        <v>2</v>
      </c>
      <c r="GS125" s="869">
        <v>1</v>
      </c>
      <c r="GT125" s="373"/>
      <c r="GU125" s="373">
        <v>1</v>
      </c>
      <c r="GV125" s="870">
        <v>5</v>
      </c>
      <c r="GW125" s="373"/>
      <c r="GX125" s="373"/>
      <c r="GY125" s="373">
        <v>1</v>
      </c>
      <c r="GZ125" s="618"/>
      <c r="HA125" s="374">
        <v>0</v>
      </c>
      <c r="HB125" s="869"/>
      <c r="HC125" s="373"/>
      <c r="HD125" s="373"/>
      <c r="HE125" s="870"/>
      <c r="HF125" s="373"/>
      <c r="HG125" s="373"/>
      <c r="HH125" s="373"/>
      <c r="HI125" s="618"/>
      <c r="HJ125" s="374">
        <v>0</v>
      </c>
      <c r="HK125" s="869"/>
      <c r="HL125" s="373">
        <v>1</v>
      </c>
      <c r="HM125" s="373"/>
      <c r="HN125" s="870"/>
      <c r="HO125" s="373"/>
      <c r="HP125" s="373"/>
      <c r="HQ125" s="373"/>
      <c r="HR125" s="618"/>
      <c r="HS125" s="374">
        <v>0</v>
      </c>
      <c r="HT125" s="869">
        <v>1</v>
      </c>
      <c r="HU125" s="373">
        <v>1</v>
      </c>
      <c r="HV125" s="373">
        <v>1</v>
      </c>
      <c r="HW125" s="870">
        <v>10</v>
      </c>
      <c r="HX125" s="373">
        <v>1</v>
      </c>
      <c r="HY125" s="373">
        <v>1</v>
      </c>
      <c r="HZ125" s="373">
        <v>1</v>
      </c>
      <c r="IA125" s="618">
        <v>1</v>
      </c>
      <c r="IB125" s="374">
        <v>0</v>
      </c>
      <c r="IC125" s="869">
        <v>14</v>
      </c>
      <c r="ID125" s="373">
        <v>3</v>
      </c>
      <c r="IE125" s="373">
        <v>5</v>
      </c>
      <c r="IF125" s="870">
        <v>14</v>
      </c>
      <c r="IG125" s="373">
        <v>8</v>
      </c>
      <c r="IH125" s="373">
        <v>4</v>
      </c>
      <c r="II125" s="373">
        <v>5</v>
      </c>
      <c r="IJ125" s="618">
        <v>3</v>
      </c>
      <c r="IK125" s="374">
        <v>4</v>
      </c>
      <c r="IL125" s="377">
        <v>2</v>
      </c>
      <c r="IM125" s="373"/>
      <c r="IN125" s="373">
        <v>1</v>
      </c>
      <c r="IO125" s="871"/>
      <c r="IP125" s="871"/>
      <c r="IQ125" s="373"/>
      <c r="IR125" s="373">
        <v>1</v>
      </c>
      <c r="IS125" s="618"/>
      <c r="IT125" s="374">
        <v>0</v>
      </c>
    </row>
    <row r="126" spans="1:254" s="245" customFormat="1" ht="12.75" customHeight="1" x14ac:dyDescent="0.2">
      <c r="A126" s="1052"/>
      <c r="B126" s="868" t="s">
        <v>978</v>
      </c>
      <c r="C126" s="869"/>
      <c r="D126" s="373"/>
      <c r="E126" s="373"/>
      <c r="F126" s="870"/>
      <c r="G126" s="373"/>
      <c r="H126" s="373"/>
      <c r="I126" s="373"/>
      <c r="J126" s="618"/>
      <c r="K126" s="374">
        <v>0</v>
      </c>
      <c r="L126" s="869"/>
      <c r="M126" s="373"/>
      <c r="N126" s="373"/>
      <c r="O126" s="870"/>
      <c r="P126" s="373"/>
      <c r="Q126" s="373"/>
      <c r="R126" s="373"/>
      <c r="S126" s="618"/>
      <c r="T126" s="374">
        <v>0</v>
      </c>
      <c r="U126" s="869"/>
      <c r="V126" s="373"/>
      <c r="W126" s="373"/>
      <c r="X126" s="870"/>
      <c r="Y126" s="373"/>
      <c r="Z126" s="373"/>
      <c r="AA126" s="373"/>
      <c r="AB126" s="618"/>
      <c r="AC126" s="374">
        <v>0</v>
      </c>
      <c r="AD126" s="869"/>
      <c r="AE126" s="373"/>
      <c r="AF126" s="373"/>
      <c r="AG126" s="870"/>
      <c r="AH126" s="373"/>
      <c r="AI126" s="373"/>
      <c r="AJ126" s="373"/>
      <c r="AK126" s="618"/>
      <c r="AL126" s="374">
        <v>0</v>
      </c>
      <c r="AM126" s="869"/>
      <c r="AN126" s="373"/>
      <c r="AO126" s="373"/>
      <c r="AP126" s="870"/>
      <c r="AQ126" s="373"/>
      <c r="AR126" s="373"/>
      <c r="AS126" s="373"/>
      <c r="AT126" s="618"/>
      <c r="AU126" s="374">
        <v>0</v>
      </c>
      <c r="AV126" s="869"/>
      <c r="AW126" s="373"/>
      <c r="AX126" s="373"/>
      <c r="AY126" s="870"/>
      <c r="AZ126" s="373"/>
      <c r="BA126" s="373"/>
      <c r="BB126" s="373"/>
      <c r="BC126" s="618"/>
      <c r="BD126" s="374">
        <v>0</v>
      </c>
      <c r="BE126" s="869"/>
      <c r="BF126" s="373"/>
      <c r="BG126" s="373"/>
      <c r="BH126" s="870"/>
      <c r="BI126" s="373"/>
      <c r="BJ126" s="373"/>
      <c r="BK126" s="373"/>
      <c r="BL126" s="618"/>
      <c r="BM126" s="374">
        <v>0</v>
      </c>
      <c r="BN126" s="869"/>
      <c r="BO126" s="373"/>
      <c r="BP126" s="373"/>
      <c r="BQ126" s="870"/>
      <c r="BR126" s="373"/>
      <c r="BS126" s="373"/>
      <c r="BT126" s="373"/>
      <c r="BU126" s="618"/>
      <c r="BV126" s="374">
        <v>0</v>
      </c>
      <c r="BW126" s="869"/>
      <c r="BX126" s="373"/>
      <c r="BY126" s="373"/>
      <c r="BZ126" s="870"/>
      <c r="CA126" s="373"/>
      <c r="CB126" s="373"/>
      <c r="CC126" s="373"/>
      <c r="CD126" s="618"/>
      <c r="CE126" s="374">
        <v>0</v>
      </c>
      <c r="CF126" s="869"/>
      <c r="CG126" s="373"/>
      <c r="CH126" s="373"/>
      <c r="CI126" s="870"/>
      <c r="CJ126" s="373"/>
      <c r="CK126" s="373"/>
      <c r="CL126" s="373"/>
      <c r="CM126" s="618"/>
      <c r="CN126" s="374">
        <v>0</v>
      </c>
      <c r="CO126" s="869"/>
      <c r="CP126" s="373"/>
      <c r="CQ126" s="373"/>
      <c r="CR126" s="870"/>
      <c r="CS126" s="373"/>
      <c r="CT126" s="373"/>
      <c r="CU126" s="373"/>
      <c r="CV126" s="618"/>
      <c r="CW126" s="374">
        <v>0</v>
      </c>
      <c r="CX126" s="869">
        <v>2</v>
      </c>
      <c r="CY126" s="373">
        <v>4</v>
      </c>
      <c r="CZ126" s="373">
        <v>3</v>
      </c>
      <c r="DA126" s="870">
        <v>2</v>
      </c>
      <c r="DB126" s="373"/>
      <c r="DC126" s="373">
        <v>1</v>
      </c>
      <c r="DD126" s="373"/>
      <c r="DE126" s="618">
        <v>1</v>
      </c>
      <c r="DF126" s="374">
        <v>0</v>
      </c>
      <c r="DG126" s="869"/>
      <c r="DH126" s="373"/>
      <c r="DI126" s="373">
        <v>1</v>
      </c>
      <c r="DJ126" s="870"/>
      <c r="DK126" s="373"/>
      <c r="DL126" s="373"/>
      <c r="DM126" s="373"/>
      <c r="DN126" s="618"/>
      <c r="DO126" s="374">
        <v>0</v>
      </c>
      <c r="DP126" s="869"/>
      <c r="DQ126" s="373"/>
      <c r="DR126" s="373"/>
      <c r="DS126" s="870"/>
      <c r="DT126" s="373"/>
      <c r="DU126" s="373"/>
      <c r="DV126" s="373"/>
      <c r="DW126" s="618">
        <v>1</v>
      </c>
      <c r="DX126" s="374">
        <v>0</v>
      </c>
      <c r="DY126" s="869"/>
      <c r="DZ126" s="373"/>
      <c r="EA126" s="373">
        <v>1</v>
      </c>
      <c r="EB126" s="870"/>
      <c r="EC126" s="373"/>
      <c r="ED126" s="373">
        <v>1</v>
      </c>
      <c r="EE126" s="373"/>
      <c r="EF126" s="618"/>
      <c r="EG126" s="374">
        <v>0</v>
      </c>
      <c r="EH126" s="869"/>
      <c r="EI126" s="373"/>
      <c r="EJ126" s="373"/>
      <c r="EK126" s="870"/>
      <c r="EL126" s="373"/>
      <c r="EM126" s="373"/>
      <c r="EN126" s="373"/>
      <c r="EO126" s="618"/>
      <c r="EP126" s="374">
        <v>0</v>
      </c>
      <c r="EQ126" s="869"/>
      <c r="ER126" s="373"/>
      <c r="ES126" s="373"/>
      <c r="ET126" s="870"/>
      <c r="EU126" s="373"/>
      <c r="EV126" s="373"/>
      <c r="EW126" s="373"/>
      <c r="EX126" s="618"/>
      <c r="EY126" s="374">
        <v>0</v>
      </c>
      <c r="EZ126" s="869"/>
      <c r="FA126" s="373"/>
      <c r="FB126" s="373"/>
      <c r="FC126" s="870"/>
      <c r="FD126" s="373"/>
      <c r="FE126" s="373"/>
      <c r="FF126" s="373"/>
      <c r="FG126" s="618"/>
      <c r="FH126" s="374">
        <v>0</v>
      </c>
      <c r="FI126" s="869"/>
      <c r="FJ126" s="373"/>
      <c r="FK126" s="373"/>
      <c r="FL126" s="870"/>
      <c r="FM126" s="373"/>
      <c r="FN126" s="373"/>
      <c r="FO126" s="373"/>
      <c r="FP126" s="618"/>
      <c r="FQ126" s="374">
        <v>0</v>
      </c>
      <c r="FR126" s="869"/>
      <c r="FS126" s="373"/>
      <c r="FT126" s="373"/>
      <c r="FU126" s="870"/>
      <c r="FV126" s="373"/>
      <c r="FW126" s="373"/>
      <c r="FX126" s="373"/>
      <c r="FY126" s="618"/>
      <c r="FZ126" s="374">
        <v>0</v>
      </c>
      <c r="GA126" s="869"/>
      <c r="GB126" s="373"/>
      <c r="GC126" s="373"/>
      <c r="GD126" s="870"/>
      <c r="GE126" s="373"/>
      <c r="GF126" s="373"/>
      <c r="GG126" s="373"/>
      <c r="GH126" s="618"/>
      <c r="GI126" s="374">
        <v>0</v>
      </c>
      <c r="GJ126" s="869">
        <v>2</v>
      </c>
      <c r="GK126" s="373">
        <v>4</v>
      </c>
      <c r="GL126" s="373">
        <v>3</v>
      </c>
      <c r="GM126" s="870">
        <v>2</v>
      </c>
      <c r="GN126" s="373"/>
      <c r="GO126" s="373">
        <v>1</v>
      </c>
      <c r="GP126" s="373"/>
      <c r="GQ126" s="618">
        <v>1</v>
      </c>
      <c r="GR126" s="374">
        <v>0</v>
      </c>
      <c r="GS126" s="869">
        <v>2</v>
      </c>
      <c r="GT126" s="373">
        <v>1</v>
      </c>
      <c r="GU126" s="373"/>
      <c r="GV126" s="870"/>
      <c r="GW126" s="373"/>
      <c r="GX126" s="373"/>
      <c r="GY126" s="373"/>
      <c r="GZ126" s="618">
        <v>1</v>
      </c>
      <c r="HA126" s="374">
        <v>0</v>
      </c>
      <c r="HB126" s="869"/>
      <c r="HC126" s="373"/>
      <c r="HD126" s="373"/>
      <c r="HE126" s="870"/>
      <c r="HF126" s="373"/>
      <c r="HG126" s="373"/>
      <c r="HH126" s="373"/>
      <c r="HI126" s="618"/>
      <c r="HJ126" s="374">
        <v>0</v>
      </c>
      <c r="HK126" s="869"/>
      <c r="HL126" s="373"/>
      <c r="HM126" s="373"/>
      <c r="HN126" s="870"/>
      <c r="HO126" s="373"/>
      <c r="HP126" s="373"/>
      <c r="HQ126" s="373"/>
      <c r="HR126" s="618"/>
      <c r="HS126" s="374">
        <v>0</v>
      </c>
      <c r="HT126" s="869">
        <v>2</v>
      </c>
      <c r="HU126" s="373">
        <v>2</v>
      </c>
      <c r="HV126" s="373"/>
      <c r="HW126" s="870"/>
      <c r="HX126" s="373"/>
      <c r="HY126" s="373"/>
      <c r="HZ126" s="373"/>
      <c r="IA126" s="618">
        <v>1</v>
      </c>
      <c r="IB126" s="374">
        <v>0</v>
      </c>
      <c r="IC126" s="869">
        <v>2</v>
      </c>
      <c r="ID126" s="373">
        <v>7</v>
      </c>
      <c r="IE126" s="373">
        <v>3</v>
      </c>
      <c r="IF126" s="870">
        <v>6</v>
      </c>
      <c r="IG126" s="373">
        <v>2</v>
      </c>
      <c r="IH126" s="373">
        <v>3</v>
      </c>
      <c r="II126" s="373">
        <v>1</v>
      </c>
      <c r="IJ126" s="618">
        <v>2</v>
      </c>
      <c r="IK126" s="374">
        <v>0</v>
      </c>
      <c r="IL126" s="377"/>
      <c r="IM126" s="373">
        <v>1</v>
      </c>
      <c r="IN126" s="373">
        <v>2</v>
      </c>
      <c r="IO126" s="871"/>
      <c r="IP126" s="871"/>
      <c r="IQ126" s="373">
        <v>1</v>
      </c>
      <c r="IR126" s="373"/>
      <c r="IS126" s="618"/>
      <c r="IT126" s="374">
        <v>0</v>
      </c>
    </row>
    <row r="127" spans="1:254" s="245" customFormat="1" ht="12.75" customHeight="1" x14ac:dyDescent="0.2">
      <c r="A127" s="1052"/>
      <c r="B127" s="868" t="s">
        <v>979</v>
      </c>
      <c r="C127" s="869"/>
      <c r="D127" s="373"/>
      <c r="E127" s="373"/>
      <c r="F127" s="870"/>
      <c r="G127" s="373"/>
      <c r="H127" s="373"/>
      <c r="I127" s="373"/>
      <c r="J127" s="618"/>
      <c r="K127" s="374">
        <v>0</v>
      </c>
      <c r="L127" s="869"/>
      <c r="M127" s="373"/>
      <c r="N127" s="373"/>
      <c r="O127" s="870"/>
      <c r="P127" s="373"/>
      <c r="Q127" s="373"/>
      <c r="R127" s="373"/>
      <c r="S127" s="618"/>
      <c r="T127" s="374">
        <v>0</v>
      </c>
      <c r="U127" s="869"/>
      <c r="V127" s="373"/>
      <c r="W127" s="373"/>
      <c r="X127" s="870"/>
      <c r="Y127" s="373"/>
      <c r="Z127" s="373"/>
      <c r="AA127" s="373"/>
      <c r="AB127" s="618"/>
      <c r="AC127" s="374">
        <v>0</v>
      </c>
      <c r="AD127" s="869"/>
      <c r="AE127" s="373"/>
      <c r="AF127" s="373"/>
      <c r="AG127" s="870"/>
      <c r="AH127" s="373"/>
      <c r="AI127" s="373"/>
      <c r="AJ127" s="373"/>
      <c r="AK127" s="618"/>
      <c r="AL127" s="374">
        <v>0</v>
      </c>
      <c r="AM127" s="869"/>
      <c r="AN127" s="373"/>
      <c r="AO127" s="373"/>
      <c r="AP127" s="870"/>
      <c r="AQ127" s="373"/>
      <c r="AR127" s="373"/>
      <c r="AS127" s="373"/>
      <c r="AT127" s="618"/>
      <c r="AU127" s="374">
        <v>0</v>
      </c>
      <c r="AV127" s="869"/>
      <c r="AW127" s="373"/>
      <c r="AX127" s="373"/>
      <c r="AY127" s="870"/>
      <c r="AZ127" s="373"/>
      <c r="BA127" s="373"/>
      <c r="BB127" s="373"/>
      <c r="BC127" s="618"/>
      <c r="BD127" s="374">
        <v>0</v>
      </c>
      <c r="BE127" s="869"/>
      <c r="BF127" s="373"/>
      <c r="BG127" s="373"/>
      <c r="BH127" s="870"/>
      <c r="BI127" s="373"/>
      <c r="BJ127" s="373"/>
      <c r="BK127" s="373"/>
      <c r="BL127" s="618"/>
      <c r="BM127" s="374">
        <v>0</v>
      </c>
      <c r="BN127" s="869"/>
      <c r="BO127" s="373"/>
      <c r="BP127" s="373"/>
      <c r="BQ127" s="870"/>
      <c r="BR127" s="373"/>
      <c r="BS127" s="373"/>
      <c r="BT127" s="373"/>
      <c r="BU127" s="618"/>
      <c r="BV127" s="374">
        <v>0</v>
      </c>
      <c r="BW127" s="869"/>
      <c r="BX127" s="373">
        <v>3</v>
      </c>
      <c r="BY127" s="373"/>
      <c r="BZ127" s="870"/>
      <c r="CA127" s="373">
        <v>1</v>
      </c>
      <c r="CB127" s="373"/>
      <c r="CC127" s="373"/>
      <c r="CD127" s="618"/>
      <c r="CE127" s="374">
        <v>0</v>
      </c>
      <c r="CF127" s="869"/>
      <c r="CG127" s="373"/>
      <c r="CH127" s="373"/>
      <c r="CI127" s="870"/>
      <c r="CJ127" s="373"/>
      <c r="CK127" s="373"/>
      <c r="CL127" s="373"/>
      <c r="CM127" s="618"/>
      <c r="CN127" s="374">
        <v>0</v>
      </c>
      <c r="CO127" s="869"/>
      <c r="CP127" s="373"/>
      <c r="CQ127" s="373"/>
      <c r="CR127" s="870"/>
      <c r="CS127" s="373"/>
      <c r="CT127" s="373"/>
      <c r="CU127" s="373"/>
      <c r="CV127" s="618"/>
      <c r="CW127" s="374">
        <v>0</v>
      </c>
      <c r="CX127" s="869">
        <v>2</v>
      </c>
      <c r="CY127" s="373">
        <v>5</v>
      </c>
      <c r="CZ127" s="373">
        <v>2</v>
      </c>
      <c r="DA127" s="870">
        <v>3</v>
      </c>
      <c r="DB127" s="373">
        <v>1</v>
      </c>
      <c r="DC127" s="373"/>
      <c r="DD127" s="373">
        <v>2</v>
      </c>
      <c r="DE127" s="618">
        <v>2</v>
      </c>
      <c r="DF127" s="374">
        <v>5</v>
      </c>
      <c r="DG127" s="869"/>
      <c r="DH127" s="373"/>
      <c r="DI127" s="373"/>
      <c r="DJ127" s="870"/>
      <c r="DK127" s="373"/>
      <c r="DL127" s="373"/>
      <c r="DM127" s="373"/>
      <c r="DN127" s="618"/>
      <c r="DO127" s="374">
        <v>0</v>
      </c>
      <c r="DP127" s="869"/>
      <c r="DQ127" s="373"/>
      <c r="DR127" s="373"/>
      <c r="DS127" s="870"/>
      <c r="DT127" s="373"/>
      <c r="DU127" s="373"/>
      <c r="DV127" s="373"/>
      <c r="DW127" s="618"/>
      <c r="DX127" s="374">
        <v>0</v>
      </c>
      <c r="DY127" s="869"/>
      <c r="DZ127" s="373">
        <v>1</v>
      </c>
      <c r="EA127" s="373"/>
      <c r="EB127" s="870"/>
      <c r="EC127" s="373"/>
      <c r="ED127" s="373"/>
      <c r="EE127" s="373"/>
      <c r="EF127" s="618"/>
      <c r="EG127" s="374">
        <v>0</v>
      </c>
      <c r="EH127" s="869"/>
      <c r="EI127" s="373"/>
      <c r="EJ127" s="373"/>
      <c r="EK127" s="870"/>
      <c r="EL127" s="373"/>
      <c r="EM127" s="373"/>
      <c r="EN127" s="373"/>
      <c r="EO127" s="618"/>
      <c r="EP127" s="374">
        <v>0</v>
      </c>
      <c r="EQ127" s="869"/>
      <c r="ER127" s="373"/>
      <c r="ES127" s="373"/>
      <c r="ET127" s="870"/>
      <c r="EU127" s="373"/>
      <c r="EV127" s="373"/>
      <c r="EW127" s="373"/>
      <c r="EX127" s="618"/>
      <c r="EY127" s="374">
        <v>0</v>
      </c>
      <c r="EZ127" s="869"/>
      <c r="FA127" s="373"/>
      <c r="FB127" s="373"/>
      <c r="FC127" s="870"/>
      <c r="FD127" s="373"/>
      <c r="FE127" s="373"/>
      <c r="FF127" s="373"/>
      <c r="FG127" s="618"/>
      <c r="FH127" s="374">
        <v>0</v>
      </c>
      <c r="FI127" s="869">
        <v>5</v>
      </c>
      <c r="FJ127" s="373">
        <v>2</v>
      </c>
      <c r="FK127" s="373"/>
      <c r="FL127" s="870"/>
      <c r="FM127" s="373">
        <v>3</v>
      </c>
      <c r="FN127" s="373"/>
      <c r="FO127" s="373"/>
      <c r="FP127" s="618"/>
      <c r="FQ127" s="374">
        <v>0</v>
      </c>
      <c r="FR127" s="869"/>
      <c r="FS127" s="373"/>
      <c r="FT127" s="373"/>
      <c r="FU127" s="870"/>
      <c r="FV127" s="373"/>
      <c r="FW127" s="373"/>
      <c r="FX127" s="373"/>
      <c r="FY127" s="618"/>
      <c r="FZ127" s="374">
        <v>0</v>
      </c>
      <c r="GA127" s="869"/>
      <c r="GB127" s="373"/>
      <c r="GC127" s="373"/>
      <c r="GD127" s="870"/>
      <c r="GE127" s="373"/>
      <c r="GF127" s="373"/>
      <c r="GG127" s="373"/>
      <c r="GH127" s="618"/>
      <c r="GI127" s="374">
        <v>0</v>
      </c>
      <c r="GJ127" s="869">
        <v>7</v>
      </c>
      <c r="GK127" s="373">
        <v>10</v>
      </c>
      <c r="GL127" s="373">
        <v>2</v>
      </c>
      <c r="GM127" s="870">
        <v>3</v>
      </c>
      <c r="GN127" s="373">
        <v>5</v>
      </c>
      <c r="GO127" s="373"/>
      <c r="GP127" s="373">
        <v>2</v>
      </c>
      <c r="GQ127" s="618">
        <v>2</v>
      </c>
      <c r="GR127" s="374">
        <v>5</v>
      </c>
      <c r="GS127" s="869">
        <v>6</v>
      </c>
      <c r="GT127" s="373">
        <v>8</v>
      </c>
      <c r="GU127" s="373">
        <v>2</v>
      </c>
      <c r="GV127" s="870">
        <v>1</v>
      </c>
      <c r="GW127" s="373">
        <v>1</v>
      </c>
      <c r="GX127" s="373"/>
      <c r="GY127" s="373"/>
      <c r="GZ127" s="618">
        <v>1</v>
      </c>
      <c r="HA127" s="374">
        <v>1</v>
      </c>
      <c r="HB127" s="869"/>
      <c r="HC127" s="373"/>
      <c r="HD127" s="373"/>
      <c r="HE127" s="870"/>
      <c r="HF127" s="373"/>
      <c r="HG127" s="373"/>
      <c r="HH127" s="373"/>
      <c r="HI127" s="618"/>
      <c r="HJ127" s="374">
        <v>0</v>
      </c>
      <c r="HK127" s="869"/>
      <c r="HL127" s="373"/>
      <c r="HM127" s="373"/>
      <c r="HN127" s="870"/>
      <c r="HO127" s="373"/>
      <c r="HP127" s="373"/>
      <c r="HQ127" s="373"/>
      <c r="HR127" s="618"/>
      <c r="HS127" s="374">
        <v>0</v>
      </c>
      <c r="HT127" s="869">
        <v>11</v>
      </c>
      <c r="HU127" s="373">
        <v>18</v>
      </c>
      <c r="HV127" s="373">
        <v>5</v>
      </c>
      <c r="HW127" s="870">
        <v>4</v>
      </c>
      <c r="HX127" s="373">
        <v>4</v>
      </c>
      <c r="HY127" s="373">
        <v>1</v>
      </c>
      <c r="HZ127" s="373">
        <v>1</v>
      </c>
      <c r="IA127" s="618">
        <v>6</v>
      </c>
      <c r="IB127" s="374">
        <v>5</v>
      </c>
      <c r="IC127" s="869">
        <v>14</v>
      </c>
      <c r="ID127" s="373">
        <v>23</v>
      </c>
      <c r="IE127" s="373">
        <v>6</v>
      </c>
      <c r="IF127" s="870">
        <v>7</v>
      </c>
      <c r="IG127" s="373">
        <v>10</v>
      </c>
      <c r="IH127" s="373">
        <v>2</v>
      </c>
      <c r="II127" s="373">
        <v>4</v>
      </c>
      <c r="IJ127" s="618">
        <v>8</v>
      </c>
      <c r="IK127" s="374">
        <v>10</v>
      </c>
      <c r="IL127" s="377"/>
      <c r="IM127" s="373">
        <v>1</v>
      </c>
      <c r="IN127" s="373"/>
      <c r="IO127" s="871"/>
      <c r="IP127" s="871"/>
      <c r="IQ127" s="373"/>
      <c r="IR127" s="373"/>
      <c r="IS127" s="618"/>
      <c r="IT127" s="374">
        <v>0</v>
      </c>
    </row>
    <row r="128" spans="1:254" s="245" customFormat="1" ht="12.75" customHeight="1" x14ac:dyDescent="0.2">
      <c r="A128" s="1052"/>
      <c r="B128" s="868" t="s">
        <v>980</v>
      </c>
      <c r="C128" s="869"/>
      <c r="D128" s="373"/>
      <c r="E128" s="373"/>
      <c r="F128" s="870"/>
      <c r="G128" s="373"/>
      <c r="H128" s="373"/>
      <c r="I128" s="373"/>
      <c r="J128" s="618"/>
      <c r="K128" s="374">
        <v>0</v>
      </c>
      <c r="L128" s="869"/>
      <c r="M128" s="373"/>
      <c r="N128" s="373"/>
      <c r="O128" s="870"/>
      <c r="P128" s="373"/>
      <c r="Q128" s="373"/>
      <c r="R128" s="373"/>
      <c r="S128" s="618"/>
      <c r="T128" s="374">
        <v>0</v>
      </c>
      <c r="U128" s="869"/>
      <c r="V128" s="373"/>
      <c r="W128" s="373"/>
      <c r="X128" s="870"/>
      <c r="Y128" s="373"/>
      <c r="Z128" s="373"/>
      <c r="AA128" s="373"/>
      <c r="AB128" s="618"/>
      <c r="AC128" s="374">
        <v>0</v>
      </c>
      <c r="AD128" s="869"/>
      <c r="AE128" s="373"/>
      <c r="AF128" s="373"/>
      <c r="AG128" s="870"/>
      <c r="AH128" s="373"/>
      <c r="AI128" s="373"/>
      <c r="AJ128" s="373"/>
      <c r="AK128" s="618"/>
      <c r="AL128" s="374">
        <v>0</v>
      </c>
      <c r="AM128" s="869"/>
      <c r="AN128" s="373"/>
      <c r="AO128" s="373"/>
      <c r="AP128" s="870"/>
      <c r="AQ128" s="373"/>
      <c r="AR128" s="373"/>
      <c r="AS128" s="373"/>
      <c r="AT128" s="618"/>
      <c r="AU128" s="374">
        <v>0</v>
      </c>
      <c r="AV128" s="869"/>
      <c r="AW128" s="373"/>
      <c r="AX128" s="373"/>
      <c r="AY128" s="870"/>
      <c r="AZ128" s="373"/>
      <c r="BA128" s="373"/>
      <c r="BB128" s="373"/>
      <c r="BC128" s="618"/>
      <c r="BD128" s="374">
        <v>0</v>
      </c>
      <c r="BE128" s="869"/>
      <c r="BF128" s="373"/>
      <c r="BG128" s="373"/>
      <c r="BH128" s="870"/>
      <c r="BI128" s="373"/>
      <c r="BJ128" s="373"/>
      <c r="BK128" s="373"/>
      <c r="BL128" s="618"/>
      <c r="BM128" s="374">
        <v>0</v>
      </c>
      <c r="BN128" s="869"/>
      <c r="BO128" s="373"/>
      <c r="BP128" s="373"/>
      <c r="BQ128" s="870"/>
      <c r="BR128" s="373"/>
      <c r="BS128" s="373"/>
      <c r="BT128" s="373"/>
      <c r="BU128" s="618"/>
      <c r="BV128" s="374">
        <v>0</v>
      </c>
      <c r="BW128" s="869"/>
      <c r="BX128" s="373"/>
      <c r="BY128" s="373"/>
      <c r="BZ128" s="870"/>
      <c r="CA128" s="373"/>
      <c r="CB128" s="373"/>
      <c r="CC128" s="373"/>
      <c r="CD128" s="618"/>
      <c r="CE128" s="374">
        <v>0</v>
      </c>
      <c r="CF128" s="869"/>
      <c r="CG128" s="373"/>
      <c r="CH128" s="373"/>
      <c r="CI128" s="870"/>
      <c r="CJ128" s="373"/>
      <c r="CK128" s="373"/>
      <c r="CL128" s="373"/>
      <c r="CM128" s="618"/>
      <c r="CN128" s="374">
        <v>0</v>
      </c>
      <c r="CO128" s="869"/>
      <c r="CP128" s="373"/>
      <c r="CQ128" s="373"/>
      <c r="CR128" s="870"/>
      <c r="CS128" s="373"/>
      <c r="CT128" s="373"/>
      <c r="CU128" s="373"/>
      <c r="CV128" s="618"/>
      <c r="CW128" s="374">
        <v>0</v>
      </c>
      <c r="CX128" s="869">
        <v>3</v>
      </c>
      <c r="CY128" s="373">
        <v>1</v>
      </c>
      <c r="CZ128" s="373">
        <v>2</v>
      </c>
      <c r="DA128" s="870"/>
      <c r="DB128" s="373">
        <v>2</v>
      </c>
      <c r="DC128" s="373">
        <v>1</v>
      </c>
      <c r="DD128" s="373">
        <v>2</v>
      </c>
      <c r="DE128" s="618">
        <v>3</v>
      </c>
      <c r="DF128" s="374">
        <v>1</v>
      </c>
      <c r="DG128" s="869"/>
      <c r="DH128" s="373"/>
      <c r="DI128" s="373"/>
      <c r="DJ128" s="870"/>
      <c r="DK128" s="373"/>
      <c r="DL128" s="373"/>
      <c r="DM128" s="373"/>
      <c r="DN128" s="618"/>
      <c r="DO128" s="374">
        <v>0</v>
      </c>
      <c r="DP128" s="869"/>
      <c r="DQ128" s="373"/>
      <c r="DR128" s="373"/>
      <c r="DS128" s="870"/>
      <c r="DT128" s="373">
        <v>1</v>
      </c>
      <c r="DU128" s="373"/>
      <c r="DV128" s="373"/>
      <c r="DW128" s="618"/>
      <c r="DX128" s="374">
        <v>0</v>
      </c>
      <c r="DY128" s="869"/>
      <c r="DZ128" s="373"/>
      <c r="EA128" s="373"/>
      <c r="EB128" s="870"/>
      <c r="EC128" s="373"/>
      <c r="ED128" s="373"/>
      <c r="EE128" s="373">
        <v>1</v>
      </c>
      <c r="EF128" s="618">
        <v>1</v>
      </c>
      <c r="EG128" s="374">
        <v>1</v>
      </c>
      <c r="EH128" s="869">
        <v>1</v>
      </c>
      <c r="EI128" s="373"/>
      <c r="EJ128" s="373"/>
      <c r="EK128" s="870"/>
      <c r="EL128" s="373"/>
      <c r="EM128" s="373"/>
      <c r="EN128" s="373"/>
      <c r="EO128" s="618"/>
      <c r="EP128" s="374">
        <v>0</v>
      </c>
      <c r="EQ128" s="869"/>
      <c r="ER128" s="373"/>
      <c r="ES128" s="373"/>
      <c r="ET128" s="870"/>
      <c r="EU128" s="373"/>
      <c r="EV128" s="373"/>
      <c r="EW128" s="373"/>
      <c r="EX128" s="618"/>
      <c r="EY128" s="374">
        <v>0</v>
      </c>
      <c r="EZ128" s="869"/>
      <c r="FA128" s="373"/>
      <c r="FB128" s="373"/>
      <c r="FC128" s="870"/>
      <c r="FD128" s="373"/>
      <c r="FE128" s="373"/>
      <c r="FF128" s="373"/>
      <c r="FG128" s="618"/>
      <c r="FH128" s="374">
        <v>0</v>
      </c>
      <c r="FI128" s="869"/>
      <c r="FJ128" s="373"/>
      <c r="FK128" s="373">
        <v>1</v>
      </c>
      <c r="FL128" s="870"/>
      <c r="FM128" s="373"/>
      <c r="FN128" s="373"/>
      <c r="FO128" s="373"/>
      <c r="FP128" s="618"/>
      <c r="FQ128" s="374">
        <v>0</v>
      </c>
      <c r="FR128" s="869"/>
      <c r="FS128" s="373">
        <v>1</v>
      </c>
      <c r="FT128" s="373"/>
      <c r="FU128" s="870"/>
      <c r="FV128" s="373"/>
      <c r="FW128" s="373"/>
      <c r="FX128" s="373"/>
      <c r="FY128" s="618"/>
      <c r="FZ128" s="374">
        <v>0</v>
      </c>
      <c r="GA128" s="869"/>
      <c r="GB128" s="373"/>
      <c r="GC128" s="373"/>
      <c r="GD128" s="870"/>
      <c r="GE128" s="373"/>
      <c r="GF128" s="373"/>
      <c r="GG128" s="373"/>
      <c r="GH128" s="618"/>
      <c r="GI128" s="374">
        <v>0</v>
      </c>
      <c r="GJ128" s="869">
        <v>4</v>
      </c>
      <c r="GK128" s="373">
        <v>2</v>
      </c>
      <c r="GL128" s="373">
        <v>3</v>
      </c>
      <c r="GM128" s="870"/>
      <c r="GN128" s="373">
        <v>2</v>
      </c>
      <c r="GO128" s="373">
        <v>1</v>
      </c>
      <c r="GP128" s="373">
        <v>2</v>
      </c>
      <c r="GQ128" s="618">
        <v>3</v>
      </c>
      <c r="GR128" s="374">
        <v>1</v>
      </c>
      <c r="GS128" s="869"/>
      <c r="GT128" s="373"/>
      <c r="GU128" s="373">
        <v>3</v>
      </c>
      <c r="GV128" s="870"/>
      <c r="GW128" s="373"/>
      <c r="GX128" s="373"/>
      <c r="GY128" s="373"/>
      <c r="GZ128" s="618"/>
      <c r="HA128" s="374">
        <v>0</v>
      </c>
      <c r="HB128" s="869"/>
      <c r="HC128" s="373"/>
      <c r="HD128" s="373"/>
      <c r="HE128" s="870"/>
      <c r="HF128" s="373"/>
      <c r="HG128" s="373"/>
      <c r="HH128" s="373"/>
      <c r="HI128" s="618"/>
      <c r="HJ128" s="374">
        <v>0</v>
      </c>
      <c r="HK128" s="869"/>
      <c r="HL128" s="373"/>
      <c r="HM128" s="373"/>
      <c r="HN128" s="870"/>
      <c r="HO128" s="373"/>
      <c r="HP128" s="373"/>
      <c r="HQ128" s="373"/>
      <c r="HR128" s="618"/>
      <c r="HS128" s="374">
        <v>0</v>
      </c>
      <c r="HT128" s="869"/>
      <c r="HU128" s="373"/>
      <c r="HV128" s="373">
        <v>3</v>
      </c>
      <c r="HW128" s="870"/>
      <c r="HX128" s="373"/>
      <c r="HY128" s="373"/>
      <c r="HZ128" s="373"/>
      <c r="IA128" s="618"/>
      <c r="IB128" s="374">
        <v>0</v>
      </c>
      <c r="IC128" s="869">
        <v>5</v>
      </c>
      <c r="ID128" s="373">
        <v>3</v>
      </c>
      <c r="IE128" s="373">
        <v>3</v>
      </c>
      <c r="IF128" s="870">
        <v>3</v>
      </c>
      <c r="IG128" s="373">
        <v>4</v>
      </c>
      <c r="IH128" s="373">
        <v>1</v>
      </c>
      <c r="II128" s="373">
        <v>2</v>
      </c>
      <c r="IJ128" s="618">
        <v>4</v>
      </c>
      <c r="IK128" s="374">
        <v>2</v>
      </c>
      <c r="IL128" s="377">
        <v>2</v>
      </c>
      <c r="IM128" s="373">
        <v>1</v>
      </c>
      <c r="IN128" s="373"/>
      <c r="IO128" s="871"/>
      <c r="IP128" s="871"/>
      <c r="IQ128" s="373"/>
      <c r="IR128" s="373">
        <v>1</v>
      </c>
      <c r="IS128" s="618">
        <v>1</v>
      </c>
      <c r="IT128" s="374">
        <v>1</v>
      </c>
    </row>
    <row r="129" spans="1:254" s="245" customFormat="1" ht="12.75" customHeight="1" x14ac:dyDescent="0.2">
      <c r="A129" s="1052"/>
      <c r="B129" s="868" t="s">
        <v>981</v>
      </c>
      <c r="C129" s="869"/>
      <c r="D129" s="373"/>
      <c r="E129" s="373"/>
      <c r="F129" s="870"/>
      <c r="G129" s="373"/>
      <c r="H129" s="373"/>
      <c r="I129" s="373"/>
      <c r="J129" s="618"/>
      <c r="K129" s="374">
        <v>0</v>
      </c>
      <c r="L129" s="869"/>
      <c r="M129" s="373"/>
      <c r="N129" s="373"/>
      <c r="O129" s="870"/>
      <c r="P129" s="373"/>
      <c r="Q129" s="373"/>
      <c r="R129" s="373"/>
      <c r="S129" s="618"/>
      <c r="T129" s="374">
        <v>0</v>
      </c>
      <c r="U129" s="869"/>
      <c r="V129" s="373"/>
      <c r="W129" s="373"/>
      <c r="X129" s="870"/>
      <c r="Y129" s="373"/>
      <c r="Z129" s="373"/>
      <c r="AA129" s="373"/>
      <c r="AB129" s="618"/>
      <c r="AC129" s="374">
        <v>0</v>
      </c>
      <c r="AD129" s="869"/>
      <c r="AE129" s="373"/>
      <c r="AF129" s="373"/>
      <c r="AG129" s="870"/>
      <c r="AH129" s="373"/>
      <c r="AI129" s="373"/>
      <c r="AJ129" s="373"/>
      <c r="AK129" s="618"/>
      <c r="AL129" s="374">
        <v>0</v>
      </c>
      <c r="AM129" s="869"/>
      <c r="AN129" s="373"/>
      <c r="AO129" s="373"/>
      <c r="AP129" s="870"/>
      <c r="AQ129" s="373"/>
      <c r="AR129" s="373"/>
      <c r="AS129" s="373"/>
      <c r="AT129" s="618"/>
      <c r="AU129" s="374">
        <v>0</v>
      </c>
      <c r="AV129" s="869"/>
      <c r="AW129" s="373"/>
      <c r="AX129" s="373"/>
      <c r="AY129" s="870"/>
      <c r="AZ129" s="373"/>
      <c r="BA129" s="373"/>
      <c r="BB129" s="373"/>
      <c r="BC129" s="618"/>
      <c r="BD129" s="374">
        <v>0</v>
      </c>
      <c r="BE129" s="869"/>
      <c r="BF129" s="373"/>
      <c r="BG129" s="373"/>
      <c r="BH129" s="870"/>
      <c r="BI129" s="373"/>
      <c r="BJ129" s="373"/>
      <c r="BK129" s="373"/>
      <c r="BL129" s="618"/>
      <c r="BM129" s="374">
        <v>0</v>
      </c>
      <c r="BN129" s="869"/>
      <c r="BO129" s="373"/>
      <c r="BP129" s="373"/>
      <c r="BQ129" s="870"/>
      <c r="BR129" s="373"/>
      <c r="BS129" s="373"/>
      <c r="BT129" s="373"/>
      <c r="BU129" s="618"/>
      <c r="BV129" s="374">
        <v>0</v>
      </c>
      <c r="BW129" s="869"/>
      <c r="BX129" s="373"/>
      <c r="BY129" s="373">
        <v>1</v>
      </c>
      <c r="BZ129" s="870"/>
      <c r="CA129" s="373"/>
      <c r="CB129" s="373"/>
      <c r="CC129" s="373"/>
      <c r="CD129" s="618">
        <v>1</v>
      </c>
      <c r="CE129" s="374">
        <v>0</v>
      </c>
      <c r="CF129" s="869"/>
      <c r="CG129" s="373"/>
      <c r="CH129" s="373"/>
      <c r="CI129" s="870"/>
      <c r="CJ129" s="373"/>
      <c r="CK129" s="373"/>
      <c r="CL129" s="373"/>
      <c r="CM129" s="618"/>
      <c r="CN129" s="374">
        <v>0</v>
      </c>
      <c r="CO129" s="869"/>
      <c r="CP129" s="373"/>
      <c r="CQ129" s="373"/>
      <c r="CR129" s="870"/>
      <c r="CS129" s="373"/>
      <c r="CT129" s="373"/>
      <c r="CU129" s="373"/>
      <c r="CV129" s="618"/>
      <c r="CW129" s="374">
        <v>0</v>
      </c>
      <c r="CX129" s="869">
        <v>2</v>
      </c>
      <c r="CY129" s="373">
        <v>2</v>
      </c>
      <c r="CZ129" s="373">
        <v>1</v>
      </c>
      <c r="DA129" s="870">
        <v>1</v>
      </c>
      <c r="DB129" s="373">
        <v>2</v>
      </c>
      <c r="DC129" s="373">
        <v>1</v>
      </c>
      <c r="DD129" s="373">
        <v>1</v>
      </c>
      <c r="DE129" s="618">
        <v>1</v>
      </c>
      <c r="DF129" s="374">
        <v>0</v>
      </c>
      <c r="DG129" s="869"/>
      <c r="DH129" s="373"/>
      <c r="DI129" s="373"/>
      <c r="DJ129" s="870"/>
      <c r="DK129" s="373"/>
      <c r="DL129" s="373"/>
      <c r="DM129" s="373"/>
      <c r="DN129" s="618"/>
      <c r="DO129" s="374">
        <v>0</v>
      </c>
      <c r="DP129" s="869"/>
      <c r="DQ129" s="373"/>
      <c r="DR129" s="373"/>
      <c r="DS129" s="870"/>
      <c r="DT129" s="373"/>
      <c r="DU129" s="373"/>
      <c r="DV129" s="373"/>
      <c r="DW129" s="618"/>
      <c r="DX129" s="374">
        <v>0</v>
      </c>
      <c r="DY129" s="869">
        <v>1</v>
      </c>
      <c r="DZ129" s="373"/>
      <c r="EA129" s="373"/>
      <c r="EB129" s="870"/>
      <c r="EC129" s="373">
        <v>1</v>
      </c>
      <c r="ED129" s="373">
        <v>1</v>
      </c>
      <c r="EE129" s="373"/>
      <c r="EF129" s="618"/>
      <c r="EG129" s="374">
        <v>0</v>
      </c>
      <c r="EH129" s="869">
        <v>1</v>
      </c>
      <c r="EI129" s="373"/>
      <c r="EJ129" s="373"/>
      <c r="EK129" s="870"/>
      <c r="EL129" s="373"/>
      <c r="EM129" s="373"/>
      <c r="EN129" s="373"/>
      <c r="EO129" s="618"/>
      <c r="EP129" s="374">
        <v>0</v>
      </c>
      <c r="EQ129" s="869"/>
      <c r="ER129" s="373"/>
      <c r="ES129" s="373"/>
      <c r="ET129" s="870"/>
      <c r="EU129" s="373"/>
      <c r="EV129" s="373"/>
      <c r="EW129" s="373"/>
      <c r="EX129" s="618"/>
      <c r="EY129" s="374">
        <v>0</v>
      </c>
      <c r="EZ129" s="869"/>
      <c r="FA129" s="373"/>
      <c r="FB129" s="373"/>
      <c r="FC129" s="870"/>
      <c r="FD129" s="373"/>
      <c r="FE129" s="373"/>
      <c r="FF129" s="373"/>
      <c r="FG129" s="618"/>
      <c r="FH129" s="374">
        <v>0</v>
      </c>
      <c r="FI129" s="869"/>
      <c r="FJ129" s="373">
        <v>1</v>
      </c>
      <c r="FK129" s="373">
        <v>1</v>
      </c>
      <c r="FL129" s="870"/>
      <c r="FM129" s="373"/>
      <c r="FN129" s="373"/>
      <c r="FO129" s="373"/>
      <c r="FP129" s="618"/>
      <c r="FQ129" s="374">
        <v>0</v>
      </c>
      <c r="FR129" s="869"/>
      <c r="FS129" s="373"/>
      <c r="FT129" s="373"/>
      <c r="FU129" s="870"/>
      <c r="FV129" s="373"/>
      <c r="FW129" s="373"/>
      <c r="FX129" s="373"/>
      <c r="FY129" s="618"/>
      <c r="FZ129" s="374">
        <v>0</v>
      </c>
      <c r="GA129" s="869"/>
      <c r="GB129" s="373"/>
      <c r="GC129" s="373"/>
      <c r="GD129" s="870"/>
      <c r="GE129" s="373"/>
      <c r="GF129" s="373"/>
      <c r="GG129" s="373"/>
      <c r="GH129" s="618"/>
      <c r="GI129" s="374">
        <v>0</v>
      </c>
      <c r="GJ129" s="869">
        <v>3</v>
      </c>
      <c r="GK129" s="373">
        <v>3</v>
      </c>
      <c r="GL129" s="373">
        <v>3</v>
      </c>
      <c r="GM129" s="870">
        <v>1</v>
      </c>
      <c r="GN129" s="373">
        <v>2</v>
      </c>
      <c r="GO129" s="373">
        <v>1</v>
      </c>
      <c r="GP129" s="373">
        <v>1</v>
      </c>
      <c r="GQ129" s="618">
        <v>2</v>
      </c>
      <c r="GR129" s="374">
        <v>0</v>
      </c>
      <c r="GS129" s="869"/>
      <c r="GT129" s="373"/>
      <c r="GU129" s="373">
        <v>1</v>
      </c>
      <c r="GV129" s="870">
        <v>1</v>
      </c>
      <c r="GW129" s="373"/>
      <c r="GX129" s="373"/>
      <c r="GY129" s="373"/>
      <c r="GZ129" s="618">
        <v>1</v>
      </c>
      <c r="HA129" s="374">
        <v>0</v>
      </c>
      <c r="HB129" s="869"/>
      <c r="HC129" s="373"/>
      <c r="HD129" s="373"/>
      <c r="HE129" s="870"/>
      <c r="HF129" s="373"/>
      <c r="HG129" s="373"/>
      <c r="HH129" s="373"/>
      <c r="HI129" s="618"/>
      <c r="HJ129" s="374">
        <v>0</v>
      </c>
      <c r="HK129" s="869"/>
      <c r="HL129" s="373"/>
      <c r="HM129" s="373"/>
      <c r="HN129" s="870"/>
      <c r="HO129" s="373"/>
      <c r="HP129" s="373"/>
      <c r="HQ129" s="373"/>
      <c r="HR129" s="618"/>
      <c r="HS129" s="374">
        <v>0</v>
      </c>
      <c r="HT129" s="869"/>
      <c r="HU129" s="373"/>
      <c r="HV129" s="373">
        <v>2</v>
      </c>
      <c r="HW129" s="870">
        <v>1</v>
      </c>
      <c r="HX129" s="373"/>
      <c r="HY129" s="373"/>
      <c r="HZ129" s="373"/>
      <c r="IA129" s="618">
        <v>1</v>
      </c>
      <c r="IB129" s="374">
        <v>0</v>
      </c>
      <c r="IC129" s="869">
        <v>4</v>
      </c>
      <c r="ID129" s="373">
        <v>4</v>
      </c>
      <c r="IE129" s="373">
        <v>5</v>
      </c>
      <c r="IF129" s="870">
        <v>2</v>
      </c>
      <c r="IG129" s="373">
        <v>2</v>
      </c>
      <c r="IH129" s="373">
        <v>2</v>
      </c>
      <c r="II129" s="373">
        <v>1</v>
      </c>
      <c r="IJ129" s="618">
        <v>2</v>
      </c>
      <c r="IK129" s="374">
        <v>0</v>
      </c>
      <c r="IL129" s="377">
        <v>2</v>
      </c>
      <c r="IM129" s="373"/>
      <c r="IN129" s="373"/>
      <c r="IO129" s="871">
        <v>1</v>
      </c>
      <c r="IP129" s="871">
        <v>1</v>
      </c>
      <c r="IQ129" s="373">
        <v>1</v>
      </c>
      <c r="IR129" s="373"/>
      <c r="IS129" s="618"/>
      <c r="IT129" s="374">
        <v>0</v>
      </c>
    </row>
    <row r="130" spans="1:254" s="245" customFormat="1" ht="12.75" customHeight="1" x14ac:dyDescent="0.2">
      <c r="A130" s="1052"/>
      <c r="B130" s="868" t="s">
        <v>982</v>
      </c>
      <c r="C130" s="869"/>
      <c r="D130" s="373"/>
      <c r="E130" s="373"/>
      <c r="F130" s="870"/>
      <c r="G130" s="373"/>
      <c r="H130" s="373"/>
      <c r="I130" s="373"/>
      <c r="J130" s="618"/>
      <c r="K130" s="374">
        <v>0</v>
      </c>
      <c r="L130" s="869"/>
      <c r="M130" s="373"/>
      <c r="N130" s="373"/>
      <c r="O130" s="870"/>
      <c r="P130" s="373"/>
      <c r="Q130" s="373"/>
      <c r="R130" s="373"/>
      <c r="S130" s="618"/>
      <c r="T130" s="374">
        <v>0</v>
      </c>
      <c r="U130" s="869"/>
      <c r="V130" s="373"/>
      <c r="W130" s="373"/>
      <c r="X130" s="870"/>
      <c r="Y130" s="373"/>
      <c r="Z130" s="373"/>
      <c r="AA130" s="373"/>
      <c r="AB130" s="618"/>
      <c r="AC130" s="374">
        <v>0</v>
      </c>
      <c r="AD130" s="869"/>
      <c r="AE130" s="373"/>
      <c r="AF130" s="373"/>
      <c r="AG130" s="870"/>
      <c r="AH130" s="373"/>
      <c r="AI130" s="373"/>
      <c r="AJ130" s="373"/>
      <c r="AK130" s="618"/>
      <c r="AL130" s="374">
        <v>0</v>
      </c>
      <c r="AM130" s="869"/>
      <c r="AN130" s="373"/>
      <c r="AO130" s="373"/>
      <c r="AP130" s="870"/>
      <c r="AQ130" s="373"/>
      <c r="AR130" s="373"/>
      <c r="AS130" s="373"/>
      <c r="AT130" s="618"/>
      <c r="AU130" s="374">
        <v>0</v>
      </c>
      <c r="AV130" s="869"/>
      <c r="AW130" s="373"/>
      <c r="AX130" s="373"/>
      <c r="AY130" s="870"/>
      <c r="AZ130" s="373"/>
      <c r="BA130" s="373"/>
      <c r="BB130" s="373"/>
      <c r="BC130" s="618"/>
      <c r="BD130" s="374">
        <v>0</v>
      </c>
      <c r="BE130" s="869"/>
      <c r="BF130" s="373"/>
      <c r="BG130" s="373"/>
      <c r="BH130" s="870"/>
      <c r="BI130" s="373"/>
      <c r="BJ130" s="373"/>
      <c r="BK130" s="373"/>
      <c r="BL130" s="618"/>
      <c r="BM130" s="374">
        <v>0</v>
      </c>
      <c r="BN130" s="869"/>
      <c r="BO130" s="373"/>
      <c r="BP130" s="373"/>
      <c r="BQ130" s="870"/>
      <c r="BR130" s="373"/>
      <c r="BS130" s="373"/>
      <c r="BT130" s="373"/>
      <c r="BU130" s="618"/>
      <c r="BV130" s="374">
        <v>0</v>
      </c>
      <c r="BW130" s="869"/>
      <c r="BX130" s="373"/>
      <c r="BY130" s="373"/>
      <c r="BZ130" s="870"/>
      <c r="CA130" s="373"/>
      <c r="CB130" s="373"/>
      <c r="CC130" s="373"/>
      <c r="CD130" s="618"/>
      <c r="CE130" s="374">
        <v>0</v>
      </c>
      <c r="CF130" s="869"/>
      <c r="CG130" s="373"/>
      <c r="CH130" s="373"/>
      <c r="CI130" s="870"/>
      <c r="CJ130" s="373"/>
      <c r="CK130" s="373"/>
      <c r="CL130" s="373"/>
      <c r="CM130" s="618"/>
      <c r="CN130" s="374">
        <v>0</v>
      </c>
      <c r="CO130" s="869"/>
      <c r="CP130" s="373"/>
      <c r="CQ130" s="373"/>
      <c r="CR130" s="870"/>
      <c r="CS130" s="373"/>
      <c r="CT130" s="373"/>
      <c r="CU130" s="373"/>
      <c r="CV130" s="618"/>
      <c r="CW130" s="374">
        <v>0</v>
      </c>
      <c r="CX130" s="869">
        <v>5</v>
      </c>
      <c r="CY130" s="373"/>
      <c r="CZ130" s="373"/>
      <c r="DA130" s="870"/>
      <c r="DB130" s="373"/>
      <c r="DC130" s="373"/>
      <c r="DD130" s="373"/>
      <c r="DE130" s="618"/>
      <c r="DF130" s="374">
        <v>0</v>
      </c>
      <c r="DG130" s="869"/>
      <c r="DH130" s="373"/>
      <c r="DI130" s="373"/>
      <c r="DJ130" s="870"/>
      <c r="DK130" s="373"/>
      <c r="DL130" s="373"/>
      <c r="DM130" s="373"/>
      <c r="DN130" s="618"/>
      <c r="DO130" s="374">
        <v>0</v>
      </c>
      <c r="DP130" s="869"/>
      <c r="DQ130" s="373"/>
      <c r="DR130" s="373"/>
      <c r="DS130" s="870"/>
      <c r="DT130" s="373"/>
      <c r="DU130" s="373"/>
      <c r="DV130" s="373"/>
      <c r="DW130" s="618"/>
      <c r="DX130" s="374">
        <v>0</v>
      </c>
      <c r="DY130" s="869">
        <v>2</v>
      </c>
      <c r="DZ130" s="373"/>
      <c r="EA130" s="373"/>
      <c r="EB130" s="870"/>
      <c r="EC130" s="373"/>
      <c r="ED130" s="373"/>
      <c r="EE130" s="373"/>
      <c r="EF130" s="618"/>
      <c r="EG130" s="374">
        <v>0</v>
      </c>
      <c r="EH130" s="869"/>
      <c r="EI130" s="373"/>
      <c r="EJ130" s="373"/>
      <c r="EK130" s="870"/>
      <c r="EL130" s="373"/>
      <c r="EM130" s="373"/>
      <c r="EN130" s="373"/>
      <c r="EO130" s="618"/>
      <c r="EP130" s="374">
        <v>0</v>
      </c>
      <c r="EQ130" s="869"/>
      <c r="ER130" s="373"/>
      <c r="ES130" s="373"/>
      <c r="ET130" s="870"/>
      <c r="EU130" s="373"/>
      <c r="EV130" s="373"/>
      <c r="EW130" s="373"/>
      <c r="EX130" s="618"/>
      <c r="EY130" s="374">
        <v>0</v>
      </c>
      <c r="EZ130" s="869"/>
      <c r="FA130" s="373"/>
      <c r="FB130" s="373"/>
      <c r="FC130" s="870"/>
      <c r="FD130" s="373"/>
      <c r="FE130" s="373"/>
      <c r="FF130" s="373"/>
      <c r="FG130" s="618"/>
      <c r="FH130" s="374">
        <v>0</v>
      </c>
      <c r="FI130" s="869"/>
      <c r="FJ130" s="373"/>
      <c r="FK130" s="373"/>
      <c r="FL130" s="870"/>
      <c r="FM130" s="373">
        <v>1</v>
      </c>
      <c r="FN130" s="373"/>
      <c r="FO130" s="373"/>
      <c r="FP130" s="618"/>
      <c r="FQ130" s="374">
        <v>0</v>
      </c>
      <c r="FR130" s="869"/>
      <c r="FS130" s="373"/>
      <c r="FT130" s="373"/>
      <c r="FU130" s="870"/>
      <c r="FV130" s="373"/>
      <c r="FW130" s="373"/>
      <c r="FX130" s="373"/>
      <c r="FY130" s="618"/>
      <c r="FZ130" s="374">
        <v>0</v>
      </c>
      <c r="GA130" s="869"/>
      <c r="GB130" s="373"/>
      <c r="GC130" s="373"/>
      <c r="GD130" s="870"/>
      <c r="GE130" s="373"/>
      <c r="GF130" s="373"/>
      <c r="GG130" s="373">
        <v>1</v>
      </c>
      <c r="GH130" s="618"/>
      <c r="GI130" s="374">
        <v>0</v>
      </c>
      <c r="GJ130" s="869">
        <v>5</v>
      </c>
      <c r="GK130" s="373"/>
      <c r="GL130" s="373"/>
      <c r="GM130" s="870"/>
      <c r="GN130" s="373">
        <v>1</v>
      </c>
      <c r="GO130" s="373"/>
      <c r="GP130" s="373">
        <v>1</v>
      </c>
      <c r="GQ130" s="618"/>
      <c r="GR130" s="374">
        <v>0</v>
      </c>
      <c r="GS130" s="869"/>
      <c r="GT130" s="373"/>
      <c r="GU130" s="373"/>
      <c r="GV130" s="870"/>
      <c r="GW130" s="373"/>
      <c r="GX130" s="373"/>
      <c r="GY130" s="373">
        <v>1</v>
      </c>
      <c r="GZ130" s="618"/>
      <c r="HA130" s="374">
        <v>0</v>
      </c>
      <c r="HB130" s="869"/>
      <c r="HC130" s="373"/>
      <c r="HD130" s="373"/>
      <c r="HE130" s="870"/>
      <c r="HF130" s="373"/>
      <c r="HG130" s="373"/>
      <c r="HH130" s="373"/>
      <c r="HI130" s="618"/>
      <c r="HJ130" s="374">
        <v>0</v>
      </c>
      <c r="HK130" s="869"/>
      <c r="HL130" s="373"/>
      <c r="HM130" s="373"/>
      <c r="HN130" s="870"/>
      <c r="HO130" s="373"/>
      <c r="HP130" s="373"/>
      <c r="HQ130" s="373"/>
      <c r="HR130" s="618"/>
      <c r="HS130" s="374">
        <v>0</v>
      </c>
      <c r="HT130" s="869"/>
      <c r="HU130" s="373"/>
      <c r="HV130" s="373"/>
      <c r="HW130" s="870"/>
      <c r="HX130" s="373"/>
      <c r="HY130" s="373"/>
      <c r="HZ130" s="373">
        <v>3</v>
      </c>
      <c r="IA130" s="618"/>
      <c r="IB130" s="374">
        <v>0</v>
      </c>
      <c r="IC130" s="869">
        <v>5</v>
      </c>
      <c r="ID130" s="373"/>
      <c r="IE130" s="373">
        <v>1</v>
      </c>
      <c r="IF130" s="870"/>
      <c r="IG130" s="373">
        <v>1</v>
      </c>
      <c r="IH130" s="373">
        <v>1</v>
      </c>
      <c r="II130" s="373">
        <v>3</v>
      </c>
      <c r="IJ130" s="618"/>
      <c r="IK130" s="374">
        <v>0</v>
      </c>
      <c r="IL130" s="377">
        <v>4</v>
      </c>
      <c r="IM130" s="373"/>
      <c r="IN130" s="373"/>
      <c r="IO130" s="871"/>
      <c r="IP130" s="871"/>
      <c r="IQ130" s="373"/>
      <c r="IR130" s="373"/>
      <c r="IS130" s="618"/>
      <c r="IT130" s="374">
        <v>0</v>
      </c>
    </row>
    <row r="131" spans="1:254" s="245" customFormat="1" ht="12.75" customHeight="1" x14ac:dyDescent="0.2">
      <c r="A131" s="1052"/>
      <c r="B131" s="868" t="s">
        <v>983</v>
      </c>
      <c r="C131" s="869"/>
      <c r="D131" s="373"/>
      <c r="E131" s="373"/>
      <c r="F131" s="870"/>
      <c r="G131" s="373"/>
      <c r="H131" s="373"/>
      <c r="I131" s="373"/>
      <c r="J131" s="618"/>
      <c r="K131" s="374">
        <v>0</v>
      </c>
      <c r="L131" s="869"/>
      <c r="M131" s="373"/>
      <c r="N131" s="373"/>
      <c r="O131" s="870"/>
      <c r="P131" s="373"/>
      <c r="Q131" s="373"/>
      <c r="R131" s="373"/>
      <c r="S131" s="618"/>
      <c r="T131" s="374">
        <v>0</v>
      </c>
      <c r="U131" s="869"/>
      <c r="V131" s="373"/>
      <c r="W131" s="373"/>
      <c r="X131" s="870"/>
      <c r="Y131" s="373"/>
      <c r="Z131" s="373"/>
      <c r="AA131" s="373"/>
      <c r="AB131" s="618"/>
      <c r="AC131" s="374">
        <v>0</v>
      </c>
      <c r="AD131" s="869">
        <v>1</v>
      </c>
      <c r="AE131" s="373"/>
      <c r="AF131" s="373"/>
      <c r="AG131" s="870"/>
      <c r="AH131" s="373"/>
      <c r="AI131" s="373"/>
      <c r="AJ131" s="373"/>
      <c r="AK131" s="618"/>
      <c r="AL131" s="374">
        <v>0</v>
      </c>
      <c r="AM131" s="869">
        <v>1</v>
      </c>
      <c r="AN131" s="373"/>
      <c r="AO131" s="373"/>
      <c r="AP131" s="870"/>
      <c r="AQ131" s="373"/>
      <c r="AR131" s="373"/>
      <c r="AS131" s="373"/>
      <c r="AT131" s="618"/>
      <c r="AU131" s="374">
        <v>0</v>
      </c>
      <c r="AV131" s="869"/>
      <c r="AW131" s="373"/>
      <c r="AX131" s="373"/>
      <c r="AY131" s="870"/>
      <c r="AZ131" s="373"/>
      <c r="BA131" s="373"/>
      <c r="BB131" s="373"/>
      <c r="BC131" s="618"/>
      <c r="BD131" s="374">
        <v>0</v>
      </c>
      <c r="BE131" s="869"/>
      <c r="BF131" s="373"/>
      <c r="BG131" s="373"/>
      <c r="BH131" s="870"/>
      <c r="BI131" s="373"/>
      <c r="BJ131" s="373"/>
      <c r="BK131" s="373"/>
      <c r="BL131" s="618"/>
      <c r="BM131" s="374">
        <v>0</v>
      </c>
      <c r="BN131" s="869"/>
      <c r="BO131" s="373"/>
      <c r="BP131" s="373"/>
      <c r="BQ131" s="870"/>
      <c r="BR131" s="373"/>
      <c r="BS131" s="373"/>
      <c r="BT131" s="373"/>
      <c r="BU131" s="618"/>
      <c r="BV131" s="374">
        <v>0</v>
      </c>
      <c r="BW131" s="869"/>
      <c r="BX131" s="373"/>
      <c r="BY131" s="373"/>
      <c r="BZ131" s="870"/>
      <c r="CA131" s="373"/>
      <c r="CB131" s="373"/>
      <c r="CC131" s="373"/>
      <c r="CD131" s="618"/>
      <c r="CE131" s="374">
        <v>0</v>
      </c>
      <c r="CF131" s="869"/>
      <c r="CG131" s="373"/>
      <c r="CH131" s="373"/>
      <c r="CI131" s="870"/>
      <c r="CJ131" s="373"/>
      <c r="CK131" s="373"/>
      <c r="CL131" s="373"/>
      <c r="CM131" s="618"/>
      <c r="CN131" s="374">
        <v>0</v>
      </c>
      <c r="CO131" s="869"/>
      <c r="CP131" s="373"/>
      <c r="CQ131" s="373"/>
      <c r="CR131" s="870"/>
      <c r="CS131" s="373"/>
      <c r="CT131" s="373"/>
      <c r="CU131" s="373"/>
      <c r="CV131" s="618"/>
      <c r="CW131" s="374">
        <v>0</v>
      </c>
      <c r="CX131" s="869"/>
      <c r="CY131" s="373"/>
      <c r="CZ131" s="373"/>
      <c r="DA131" s="870"/>
      <c r="DB131" s="373"/>
      <c r="DC131" s="373"/>
      <c r="DD131" s="373"/>
      <c r="DE131" s="618"/>
      <c r="DF131" s="374">
        <v>0</v>
      </c>
      <c r="DG131" s="869"/>
      <c r="DH131" s="373"/>
      <c r="DI131" s="373"/>
      <c r="DJ131" s="870"/>
      <c r="DK131" s="373"/>
      <c r="DL131" s="373"/>
      <c r="DM131" s="373"/>
      <c r="DN131" s="618"/>
      <c r="DO131" s="374">
        <v>0</v>
      </c>
      <c r="DP131" s="869"/>
      <c r="DQ131" s="373"/>
      <c r="DR131" s="373"/>
      <c r="DS131" s="870"/>
      <c r="DT131" s="373"/>
      <c r="DU131" s="373"/>
      <c r="DV131" s="373"/>
      <c r="DW131" s="618"/>
      <c r="DX131" s="374">
        <v>0</v>
      </c>
      <c r="DY131" s="869"/>
      <c r="DZ131" s="373"/>
      <c r="EA131" s="373"/>
      <c r="EB131" s="870"/>
      <c r="EC131" s="373"/>
      <c r="ED131" s="373"/>
      <c r="EE131" s="373"/>
      <c r="EF131" s="618"/>
      <c r="EG131" s="374">
        <v>0</v>
      </c>
      <c r="EH131" s="869"/>
      <c r="EI131" s="373"/>
      <c r="EJ131" s="373"/>
      <c r="EK131" s="870"/>
      <c r="EL131" s="373"/>
      <c r="EM131" s="373"/>
      <c r="EN131" s="373"/>
      <c r="EO131" s="618"/>
      <c r="EP131" s="374">
        <v>0</v>
      </c>
      <c r="EQ131" s="869"/>
      <c r="ER131" s="373"/>
      <c r="ES131" s="373"/>
      <c r="ET131" s="870"/>
      <c r="EU131" s="373"/>
      <c r="EV131" s="373"/>
      <c r="EW131" s="373"/>
      <c r="EX131" s="618"/>
      <c r="EY131" s="374">
        <v>0</v>
      </c>
      <c r="EZ131" s="869"/>
      <c r="FA131" s="373"/>
      <c r="FB131" s="373"/>
      <c r="FC131" s="870"/>
      <c r="FD131" s="373"/>
      <c r="FE131" s="373"/>
      <c r="FF131" s="373"/>
      <c r="FG131" s="618"/>
      <c r="FH131" s="374">
        <v>0</v>
      </c>
      <c r="FI131" s="869"/>
      <c r="FJ131" s="373"/>
      <c r="FK131" s="373"/>
      <c r="FL131" s="870"/>
      <c r="FM131" s="373"/>
      <c r="FN131" s="373"/>
      <c r="FO131" s="373"/>
      <c r="FP131" s="618"/>
      <c r="FQ131" s="374">
        <v>0</v>
      </c>
      <c r="FR131" s="869"/>
      <c r="FS131" s="373"/>
      <c r="FT131" s="373"/>
      <c r="FU131" s="870"/>
      <c r="FV131" s="373"/>
      <c r="FW131" s="373"/>
      <c r="FX131" s="373"/>
      <c r="FY131" s="618"/>
      <c r="FZ131" s="374">
        <v>0</v>
      </c>
      <c r="GA131" s="869"/>
      <c r="GB131" s="373"/>
      <c r="GC131" s="373"/>
      <c r="GD131" s="870"/>
      <c r="GE131" s="373"/>
      <c r="GF131" s="373"/>
      <c r="GG131" s="373"/>
      <c r="GH131" s="618"/>
      <c r="GI131" s="374">
        <v>0</v>
      </c>
      <c r="GJ131" s="869">
        <v>1</v>
      </c>
      <c r="GK131" s="373"/>
      <c r="GL131" s="373"/>
      <c r="GM131" s="870"/>
      <c r="GN131" s="373"/>
      <c r="GO131" s="373"/>
      <c r="GP131" s="373"/>
      <c r="GQ131" s="618"/>
      <c r="GR131" s="374">
        <v>0</v>
      </c>
      <c r="GS131" s="869"/>
      <c r="GT131" s="373"/>
      <c r="GU131" s="373"/>
      <c r="GV131" s="870"/>
      <c r="GW131" s="373"/>
      <c r="GX131" s="373"/>
      <c r="GY131" s="373"/>
      <c r="GZ131" s="618"/>
      <c r="HA131" s="374">
        <v>0</v>
      </c>
      <c r="HB131" s="869"/>
      <c r="HC131" s="373"/>
      <c r="HD131" s="373"/>
      <c r="HE131" s="870"/>
      <c r="HF131" s="373"/>
      <c r="HG131" s="373"/>
      <c r="HH131" s="373"/>
      <c r="HI131" s="618"/>
      <c r="HJ131" s="374">
        <v>0</v>
      </c>
      <c r="HK131" s="869"/>
      <c r="HL131" s="373"/>
      <c r="HM131" s="373"/>
      <c r="HN131" s="870"/>
      <c r="HO131" s="373"/>
      <c r="HP131" s="373"/>
      <c r="HQ131" s="373"/>
      <c r="HR131" s="618"/>
      <c r="HS131" s="374">
        <v>0</v>
      </c>
      <c r="HT131" s="869">
        <v>1</v>
      </c>
      <c r="HU131" s="373"/>
      <c r="HV131" s="373"/>
      <c r="HW131" s="870"/>
      <c r="HX131" s="373"/>
      <c r="HY131" s="373"/>
      <c r="HZ131" s="373"/>
      <c r="IA131" s="618"/>
      <c r="IB131" s="374">
        <v>0</v>
      </c>
      <c r="IC131" s="869">
        <v>2</v>
      </c>
      <c r="ID131" s="373">
        <v>2</v>
      </c>
      <c r="IE131" s="373">
        <v>1</v>
      </c>
      <c r="IF131" s="870"/>
      <c r="IG131" s="373"/>
      <c r="IH131" s="373"/>
      <c r="II131" s="373"/>
      <c r="IJ131" s="618"/>
      <c r="IK131" s="374">
        <v>0</v>
      </c>
      <c r="IL131" s="377"/>
      <c r="IM131" s="373"/>
      <c r="IN131" s="373"/>
      <c r="IO131" s="871"/>
      <c r="IP131" s="871"/>
      <c r="IQ131" s="373"/>
      <c r="IR131" s="373"/>
      <c r="IS131" s="618"/>
      <c r="IT131" s="374">
        <v>0</v>
      </c>
    </row>
    <row r="132" spans="1:254" s="245" customFormat="1" ht="12.75" customHeight="1" x14ac:dyDescent="0.2">
      <c r="A132" s="1052"/>
      <c r="B132" s="868" t="s">
        <v>984</v>
      </c>
      <c r="C132" s="869"/>
      <c r="D132" s="373"/>
      <c r="E132" s="373"/>
      <c r="F132" s="870"/>
      <c r="G132" s="373"/>
      <c r="H132" s="373"/>
      <c r="I132" s="373"/>
      <c r="J132" s="618"/>
      <c r="K132" s="374">
        <v>0</v>
      </c>
      <c r="L132" s="869"/>
      <c r="M132" s="373"/>
      <c r="N132" s="373"/>
      <c r="O132" s="870"/>
      <c r="P132" s="373"/>
      <c r="Q132" s="373"/>
      <c r="R132" s="373"/>
      <c r="S132" s="618"/>
      <c r="T132" s="374">
        <v>0</v>
      </c>
      <c r="U132" s="869"/>
      <c r="V132" s="373"/>
      <c r="W132" s="373"/>
      <c r="X132" s="870"/>
      <c r="Y132" s="373"/>
      <c r="Z132" s="373"/>
      <c r="AA132" s="373"/>
      <c r="AB132" s="618"/>
      <c r="AC132" s="374">
        <v>0</v>
      </c>
      <c r="AD132" s="869"/>
      <c r="AE132" s="373"/>
      <c r="AF132" s="373"/>
      <c r="AG132" s="870">
        <v>1</v>
      </c>
      <c r="AH132" s="373"/>
      <c r="AI132" s="373">
        <v>1</v>
      </c>
      <c r="AJ132" s="373"/>
      <c r="AK132" s="618"/>
      <c r="AL132" s="374">
        <v>0</v>
      </c>
      <c r="AM132" s="869"/>
      <c r="AN132" s="373"/>
      <c r="AO132" s="373"/>
      <c r="AP132" s="870"/>
      <c r="AQ132" s="373"/>
      <c r="AR132" s="373"/>
      <c r="AS132" s="373"/>
      <c r="AT132" s="618"/>
      <c r="AU132" s="374">
        <v>0</v>
      </c>
      <c r="AV132" s="869"/>
      <c r="AW132" s="373"/>
      <c r="AX132" s="373"/>
      <c r="AY132" s="870"/>
      <c r="AZ132" s="373"/>
      <c r="BA132" s="373"/>
      <c r="BB132" s="373"/>
      <c r="BC132" s="618"/>
      <c r="BD132" s="374">
        <v>0</v>
      </c>
      <c r="BE132" s="869"/>
      <c r="BF132" s="373"/>
      <c r="BG132" s="373"/>
      <c r="BH132" s="870"/>
      <c r="BI132" s="373"/>
      <c r="BJ132" s="373"/>
      <c r="BK132" s="373"/>
      <c r="BL132" s="618"/>
      <c r="BM132" s="374">
        <v>0</v>
      </c>
      <c r="BN132" s="869"/>
      <c r="BO132" s="373"/>
      <c r="BP132" s="373"/>
      <c r="BQ132" s="870"/>
      <c r="BR132" s="373"/>
      <c r="BS132" s="373"/>
      <c r="BT132" s="373"/>
      <c r="BU132" s="618"/>
      <c r="BV132" s="374">
        <v>0</v>
      </c>
      <c r="BW132" s="869"/>
      <c r="BX132" s="373"/>
      <c r="BY132" s="373"/>
      <c r="BZ132" s="870">
        <v>1</v>
      </c>
      <c r="CA132" s="373">
        <v>1</v>
      </c>
      <c r="CB132" s="373"/>
      <c r="CC132" s="373"/>
      <c r="CD132" s="618"/>
      <c r="CE132" s="374">
        <v>0</v>
      </c>
      <c r="CF132" s="869"/>
      <c r="CG132" s="373"/>
      <c r="CH132" s="373"/>
      <c r="CI132" s="870"/>
      <c r="CJ132" s="373"/>
      <c r="CK132" s="373"/>
      <c r="CL132" s="373"/>
      <c r="CM132" s="618"/>
      <c r="CN132" s="374">
        <v>0</v>
      </c>
      <c r="CO132" s="869"/>
      <c r="CP132" s="373"/>
      <c r="CQ132" s="373"/>
      <c r="CR132" s="870"/>
      <c r="CS132" s="373"/>
      <c r="CT132" s="373"/>
      <c r="CU132" s="373"/>
      <c r="CV132" s="618"/>
      <c r="CW132" s="374">
        <v>0</v>
      </c>
      <c r="CX132" s="869">
        <v>3</v>
      </c>
      <c r="CY132" s="373">
        <v>2</v>
      </c>
      <c r="CZ132" s="373">
        <v>2</v>
      </c>
      <c r="DA132" s="870">
        <v>1</v>
      </c>
      <c r="DB132" s="373"/>
      <c r="DC132" s="373">
        <v>1</v>
      </c>
      <c r="DD132" s="373">
        <v>1</v>
      </c>
      <c r="DE132" s="618"/>
      <c r="DF132" s="374">
        <v>0</v>
      </c>
      <c r="DG132" s="869"/>
      <c r="DH132" s="373"/>
      <c r="DI132" s="373"/>
      <c r="DJ132" s="870"/>
      <c r="DK132" s="373"/>
      <c r="DL132" s="373"/>
      <c r="DM132" s="373"/>
      <c r="DN132" s="618"/>
      <c r="DO132" s="374">
        <v>0</v>
      </c>
      <c r="DP132" s="869"/>
      <c r="DQ132" s="373"/>
      <c r="DR132" s="373"/>
      <c r="DS132" s="870"/>
      <c r="DT132" s="373"/>
      <c r="DU132" s="373"/>
      <c r="DV132" s="373"/>
      <c r="DW132" s="618"/>
      <c r="DX132" s="374">
        <v>0</v>
      </c>
      <c r="DY132" s="869">
        <v>1</v>
      </c>
      <c r="DZ132" s="373"/>
      <c r="EA132" s="373"/>
      <c r="EB132" s="870"/>
      <c r="EC132" s="373"/>
      <c r="ED132" s="373">
        <v>1</v>
      </c>
      <c r="EE132" s="373"/>
      <c r="EF132" s="618"/>
      <c r="EG132" s="374">
        <v>0</v>
      </c>
      <c r="EH132" s="869"/>
      <c r="EI132" s="373"/>
      <c r="EJ132" s="373"/>
      <c r="EK132" s="870"/>
      <c r="EL132" s="373"/>
      <c r="EM132" s="373"/>
      <c r="EN132" s="373"/>
      <c r="EO132" s="618"/>
      <c r="EP132" s="374">
        <v>0</v>
      </c>
      <c r="EQ132" s="869"/>
      <c r="ER132" s="373"/>
      <c r="ES132" s="373"/>
      <c r="ET132" s="870"/>
      <c r="EU132" s="373"/>
      <c r="EV132" s="373"/>
      <c r="EW132" s="373"/>
      <c r="EX132" s="618"/>
      <c r="EY132" s="374">
        <v>0</v>
      </c>
      <c r="EZ132" s="869"/>
      <c r="FA132" s="373"/>
      <c r="FB132" s="373"/>
      <c r="FC132" s="870"/>
      <c r="FD132" s="373"/>
      <c r="FE132" s="373"/>
      <c r="FF132" s="373"/>
      <c r="FG132" s="618"/>
      <c r="FH132" s="374">
        <v>0</v>
      </c>
      <c r="FI132" s="869"/>
      <c r="FJ132" s="373"/>
      <c r="FK132" s="373"/>
      <c r="FL132" s="870"/>
      <c r="FM132" s="373"/>
      <c r="FN132" s="373"/>
      <c r="FO132" s="373"/>
      <c r="FP132" s="618"/>
      <c r="FQ132" s="374">
        <v>0</v>
      </c>
      <c r="FR132" s="869"/>
      <c r="FS132" s="373"/>
      <c r="FT132" s="373"/>
      <c r="FU132" s="870"/>
      <c r="FV132" s="373"/>
      <c r="FW132" s="373"/>
      <c r="FX132" s="373"/>
      <c r="FY132" s="618"/>
      <c r="FZ132" s="374">
        <v>0</v>
      </c>
      <c r="GA132" s="869"/>
      <c r="GB132" s="373"/>
      <c r="GC132" s="373"/>
      <c r="GD132" s="870"/>
      <c r="GE132" s="373"/>
      <c r="GF132" s="373"/>
      <c r="GG132" s="373"/>
      <c r="GH132" s="618"/>
      <c r="GI132" s="374">
        <v>0</v>
      </c>
      <c r="GJ132" s="869">
        <v>3</v>
      </c>
      <c r="GK132" s="373">
        <v>2</v>
      </c>
      <c r="GL132" s="373">
        <v>2</v>
      </c>
      <c r="GM132" s="870">
        <v>3</v>
      </c>
      <c r="GN132" s="373">
        <v>1</v>
      </c>
      <c r="GO132" s="373">
        <v>2</v>
      </c>
      <c r="GP132" s="373">
        <v>1</v>
      </c>
      <c r="GQ132" s="618"/>
      <c r="GR132" s="374">
        <v>0</v>
      </c>
      <c r="GS132" s="869">
        <v>1</v>
      </c>
      <c r="GT132" s="373"/>
      <c r="GU132" s="373"/>
      <c r="GV132" s="870">
        <v>3</v>
      </c>
      <c r="GW132" s="373"/>
      <c r="GX132" s="373"/>
      <c r="GY132" s="373"/>
      <c r="GZ132" s="618"/>
      <c r="HA132" s="374">
        <v>0</v>
      </c>
      <c r="HB132" s="869"/>
      <c r="HC132" s="373"/>
      <c r="HD132" s="373"/>
      <c r="HE132" s="870"/>
      <c r="HF132" s="373"/>
      <c r="HG132" s="373"/>
      <c r="HH132" s="373"/>
      <c r="HI132" s="618"/>
      <c r="HJ132" s="374">
        <v>0</v>
      </c>
      <c r="HK132" s="869"/>
      <c r="HL132" s="373"/>
      <c r="HM132" s="373"/>
      <c r="HN132" s="870"/>
      <c r="HO132" s="373"/>
      <c r="HP132" s="373"/>
      <c r="HQ132" s="373"/>
      <c r="HR132" s="618"/>
      <c r="HS132" s="374">
        <v>0</v>
      </c>
      <c r="HT132" s="869">
        <v>1</v>
      </c>
      <c r="HU132" s="373"/>
      <c r="HV132" s="373"/>
      <c r="HW132" s="870">
        <v>3</v>
      </c>
      <c r="HX132" s="373"/>
      <c r="HY132" s="373"/>
      <c r="HZ132" s="373"/>
      <c r="IA132" s="618"/>
      <c r="IB132" s="374">
        <v>0</v>
      </c>
      <c r="IC132" s="869">
        <v>5</v>
      </c>
      <c r="ID132" s="373">
        <v>3</v>
      </c>
      <c r="IE132" s="373">
        <v>3</v>
      </c>
      <c r="IF132" s="870">
        <v>4</v>
      </c>
      <c r="IG132" s="373">
        <v>3</v>
      </c>
      <c r="IH132" s="373">
        <v>2</v>
      </c>
      <c r="II132" s="373">
        <v>1</v>
      </c>
      <c r="IJ132" s="618">
        <v>2</v>
      </c>
      <c r="IK132" s="374">
        <v>1</v>
      </c>
      <c r="IL132" s="377">
        <v>1</v>
      </c>
      <c r="IM132" s="373"/>
      <c r="IN132" s="373">
        <v>1</v>
      </c>
      <c r="IO132" s="871"/>
      <c r="IP132" s="871"/>
      <c r="IQ132" s="373">
        <v>1</v>
      </c>
      <c r="IR132" s="373"/>
      <c r="IS132" s="618"/>
      <c r="IT132" s="374">
        <v>0</v>
      </c>
    </row>
    <row r="133" spans="1:254" s="245" customFormat="1" ht="12.75" customHeight="1" x14ac:dyDescent="0.2">
      <c r="A133" s="1052"/>
      <c r="B133" s="868" t="s">
        <v>985</v>
      </c>
      <c r="C133" s="869"/>
      <c r="D133" s="373"/>
      <c r="E133" s="373"/>
      <c r="F133" s="870"/>
      <c r="G133" s="373"/>
      <c r="H133" s="373"/>
      <c r="I133" s="373"/>
      <c r="J133" s="618"/>
      <c r="K133" s="374">
        <v>0</v>
      </c>
      <c r="L133" s="869"/>
      <c r="M133" s="373"/>
      <c r="N133" s="373"/>
      <c r="O133" s="870"/>
      <c r="P133" s="373"/>
      <c r="Q133" s="373"/>
      <c r="R133" s="373"/>
      <c r="S133" s="618"/>
      <c r="T133" s="374">
        <v>0</v>
      </c>
      <c r="U133" s="869"/>
      <c r="V133" s="373"/>
      <c r="W133" s="373"/>
      <c r="X133" s="870"/>
      <c r="Y133" s="373"/>
      <c r="Z133" s="373"/>
      <c r="AA133" s="373"/>
      <c r="AB133" s="618"/>
      <c r="AC133" s="374">
        <v>0</v>
      </c>
      <c r="AD133" s="869"/>
      <c r="AE133" s="373"/>
      <c r="AF133" s="373"/>
      <c r="AG133" s="870"/>
      <c r="AH133" s="373">
        <v>1</v>
      </c>
      <c r="AI133" s="373">
        <v>1</v>
      </c>
      <c r="AJ133" s="373"/>
      <c r="AK133" s="618">
        <v>1</v>
      </c>
      <c r="AL133" s="374">
        <v>0</v>
      </c>
      <c r="AM133" s="869"/>
      <c r="AN133" s="373"/>
      <c r="AO133" s="373"/>
      <c r="AP133" s="870"/>
      <c r="AQ133" s="373">
        <v>1</v>
      </c>
      <c r="AR133" s="373"/>
      <c r="AS133" s="373"/>
      <c r="AT133" s="618">
        <v>1</v>
      </c>
      <c r="AU133" s="374">
        <v>0</v>
      </c>
      <c r="AV133" s="869"/>
      <c r="AW133" s="373"/>
      <c r="AX133" s="373"/>
      <c r="AY133" s="870"/>
      <c r="AZ133" s="373"/>
      <c r="BA133" s="373"/>
      <c r="BB133" s="373"/>
      <c r="BC133" s="618"/>
      <c r="BD133" s="374">
        <v>0</v>
      </c>
      <c r="BE133" s="869"/>
      <c r="BF133" s="373"/>
      <c r="BG133" s="373"/>
      <c r="BH133" s="870"/>
      <c r="BI133" s="373"/>
      <c r="BJ133" s="373"/>
      <c r="BK133" s="373"/>
      <c r="BL133" s="618"/>
      <c r="BM133" s="374">
        <v>0</v>
      </c>
      <c r="BN133" s="869"/>
      <c r="BO133" s="373"/>
      <c r="BP133" s="373"/>
      <c r="BQ133" s="870"/>
      <c r="BR133" s="373"/>
      <c r="BS133" s="373"/>
      <c r="BT133" s="373"/>
      <c r="BU133" s="618"/>
      <c r="BV133" s="374">
        <v>0</v>
      </c>
      <c r="BW133" s="869"/>
      <c r="BX133" s="373"/>
      <c r="BY133" s="373"/>
      <c r="BZ133" s="870"/>
      <c r="CA133" s="373"/>
      <c r="CB133" s="373"/>
      <c r="CC133" s="373"/>
      <c r="CD133" s="618"/>
      <c r="CE133" s="374">
        <v>0</v>
      </c>
      <c r="CF133" s="869"/>
      <c r="CG133" s="373"/>
      <c r="CH133" s="373"/>
      <c r="CI133" s="870"/>
      <c r="CJ133" s="373"/>
      <c r="CK133" s="373"/>
      <c r="CL133" s="373"/>
      <c r="CM133" s="618"/>
      <c r="CN133" s="374">
        <v>0</v>
      </c>
      <c r="CO133" s="869"/>
      <c r="CP133" s="373"/>
      <c r="CQ133" s="373"/>
      <c r="CR133" s="870"/>
      <c r="CS133" s="373"/>
      <c r="CT133" s="373"/>
      <c r="CU133" s="373"/>
      <c r="CV133" s="618"/>
      <c r="CW133" s="374">
        <v>0</v>
      </c>
      <c r="CX133" s="869"/>
      <c r="CY133" s="373">
        <v>2</v>
      </c>
      <c r="CZ133" s="373">
        <v>4</v>
      </c>
      <c r="DA133" s="870">
        <v>2</v>
      </c>
      <c r="DB133" s="373">
        <v>1</v>
      </c>
      <c r="DC133" s="373">
        <v>1</v>
      </c>
      <c r="DD133" s="373"/>
      <c r="DE133" s="618"/>
      <c r="DF133" s="374">
        <v>1</v>
      </c>
      <c r="DG133" s="869"/>
      <c r="DH133" s="373"/>
      <c r="DI133" s="373"/>
      <c r="DJ133" s="870"/>
      <c r="DK133" s="373"/>
      <c r="DL133" s="373"/>
      <c r="DM133" s="373"/>
      <c r="DN133" s="618"/>
      <c r="DO133" s="374">
        <v>0</v>
      </c>
      <c r="DP133" s="869"/>
      <c r="DQ133" s="373"/>
      <c r="DR133" s="373"/>
      <c r="DS133" s="870"/>
      <c r="DT133" s="373"/>
      <c r="DU133" s="373"/>
      <c r="DV133" s="373"/>
      <c r="DW133" s="618"/>
      <c r="DX133" s="374">
        <v>0</v>
      </c>
      <c r="DY133" s="869"/>
      <c r="DZ133" s="373">
        <v>1</v>
      </c>
      <c r="EA133" s="373"/>
      <c r="EB133" s="870"/>
      <c r="EC133" s="373"/>
      <c r="ED133" s="373">
        <v>1</v>
      </c>
      <c r="EE133" s="373"/>
      <c r="EF133" s="618"/>
      <c r="EG133" s="374">
        <v>0</v>
      </c>
      <c r="EH133" s="869"/>
      <c r="EI133" s="373"/>
      <c r="EJ133" s="373">
        <v>1</v>
      </c>
      <c r="EK133" s="870">
        <v>1</v>
      </c>
      <c r="EL133" s="373">
        <v>1</v>
      </c>
      <c r="EM133" s="373"/>
      <c r="EN133" s="373"/>
      <c r="EO133" s="618"/>
      <c r="EP133" s="374">
        <v>0</v>
      </c>
      <c r="EQ133" s="869"/>
      <c r="ER133" s="373"/>
      <c r="ES133" s="373"/>
      <c r="ET133" s="870"/>
      <c r="EU133" s="373"/>
      <c r="EV133" s="373"/>
      <c r="EW133" s="373"/>
      <c r="EX133" s="618"/>
      <c r="EY133" s="374">
        <v>0</v>
      </c>
      <c r="EZ133" s="869"/>
      <c r="FA133" s="373"/>
      <c r="FB133" s="373"/>
      <c r="FC133" s="870"/>
      <c r="FD133" s="373"/>
      <c r="FE133" s="373"/>
      <c r="FF133" s="373"/>
      <c r="FG133" s="618"/>
      <c r="FH133" s="374">
        <v>0</v>
      </c>
      <c r="FI133" s="869"/>
      <c r="FJ133" s="373"/>
      <c r="FK133" s="373"/>
      <c r="FL133" s="870"/>
      <c r="FM133" s="373"/>
      <c r="FN133" s="373"/>
      <c r="FO133" s="373"/>
      <c r="FP133" s="618"/>
      <c r="FQ133" s="374">
        <v>0</v>
      </c>
      <c r="FR133" s="869"/>
      <c r="FS133" s="373"/>
      <c r="FT133" s="373"/>
      <c r="FU133" s="870"/>
      <c r="FV133" s="373"/>
      <c r="FW133" s="373"/>
      <c r="FX133" s="373"/>
      <c r="FY133" s="618"/>
      <c r="FZ133" s="374">
        <v>0</v>
      </c>
      <c r="GA133" s="869"/>
      <c r="GB133" s="373"/>
      <c r="GC133" s="373"/>
      <c r="GD133" s="870"/>
      <c r="GE133" s="373"/>
      <c r="GF133" s="373"/>
      <c r="GG133" s="373"/>
      <c r="GH133" s="618"/>
      <c r="GI133" s="374">
        <v>0</v>
      </c>
      <c r="GJ133" s="869"/>
      <c r="GK133" s="373">
        <v>2</v>
      </c>
      <c r="GL133" s="373">
        <v>5</v>
      </c>
      <c r="GM133" s="870">
        <v>3</v>
      </c>
      <c r="GN133" s="373">
        <v>3</v>
      </c>
      <c r="GO133" s="373">
        <v>2</v>
      </c>
      <c r="GP133" s="373"/>
      <c r="GQ133" s="618">
        <v>1</v>
      </c>
      <c r="GR133" s="374">
        <v>1</v>
      </c>
      <c r="GS133" s="869"/>
      <c r="GT133" s="373"/>
      <c r="GU133" s="373">
        <v>1</v>
      </c>
      <c r="GV133" s="870"/>
      <c r="GW133" s="373"/>
      <c r="GX133" s="373">
        <v>1</v>
      </c>
      <c r="GY133" s="373"/>
      <c r="GZ133" s="618"/>
      <c r="HA133" s="374">
        <v>0</v>
      </c>
      <c r="HB133" s="869"/>
      <c r="HC133" s="373"/>
      <c r="HD133" s="373"/>
      <c r="HE133" s="870"/>
      <c r="HF133" s="373"/>
      <c r="HG133" s="373"/>
      <c r="HH133" s="373"/>
      <c r="HI133" s="618"/>
      <c r="HJ133" s="374">
        <v>0</v>
      </c>
      <c r="HK133" s="869"/>
      <c r="HL133" s="373"/>
      <c r="HM133" s="373"/>
      <c r="HN133" s="870"/>
      <c r="HO133" s="373"/>
      <c r="HP133" s="373"/>
      <c r="HQ133" s="373"/>
      <c r="HR133" s="618"/>
      <c r="HS133" s="374">
        <v>0</v>
      </c>
      <c r="HT133" s="869"/>
      <c r="HU133" s="373"/>
      <c r="HV133" s="373">
        <v>1</v>
      </c>
      <c r="HW133" s="870">
        <v>1</v>
      </c>
      <c r="HX133" s="373">
        <v>5</v>
      </c>
      <c r="HY133" s="373">
        <v>1</v>
      </c>
      <c r="HZ133" s="373">
        <v>1</v>
      </c>
      <c r="IA133" s="618"/>
      <c r="IB133" s="374">
        <v>2</v>
      </c>
      <c r="IC133" s="869">
        <v>2</v>
      </c>
      <c r="ID133" s="373">
        <v>2</v>
      </c>
      <c r="IE133" s="373">
        <v>5</v>
      </c>
      <c r="IF133" s="870">
        <v>5</v>
      </c>
      <c r="IG133" s="373">
        <v>9</v>
      </c>
      <c r="IH133" s="373">
        <v>3</v>
      </c>
      <c r="II133" s="373">
        <v>2</v>
      </c>
      <c r="IJ133" s="618">
        <v>4</v>
      </c>
      <c r="IK133" s="374">
        <v>7</v>
      </c>
      <c r="IL133" s="377"/>
      <c r="IM133" s="373">
        <v>1</v>
      </c>
      <c r="IN133" s="373">
        <v>2</v>
      </c>
      <c r="IO133" s="871">
        <v>1</v>
      </c>
      <c r="IP133" s="871"/>
      <c r="IQ133" s="373">
        <v>1</v>
      </c>
      <c r="IR133" s="373"/>
      <c r="IS133" s="618"/>
      <c r="IT133" s="374">
        <v>0</v>
      </c>
    </row>
    <row r="134" spans="1:254" s="245" customFormat="1" ht="12.75" customHeight="1" x14ac:dyDescent="0.2">
      <c r="A134" s="1052"/>
      <c r="B134" s="868" t="s">
        <v>986</v>
      </c>
      <c r="C134" s="869"/>
      <c r="D134" s="373"/>
      <c r="E134" s="373"/>
      <c r="F134" s="870"/>
      <c r="G134" s="373"/>
      <c r="H134" s="373"/>
      <c r="I134" s="373"/>
      <c r="J134" s="618"/>
      <c r="K134" s="374">
        <v>0</v>
      </c>
      <c r="L134" s="869"/>
      <c r="M134" s="373"/>
      <c r="N134" s="373"/>
      <c r="O134" s="870"/>
      <c r="P134" s="373"/>
      <c r="Q134" s="373"/>
      <c r="R134" s="373"/>
      <c r="S134" s="618"/>
      <c r="T134" s="374">
        <v>0</v>
      </c>
      <c r="U134" s="869"/>
      <c r="V134" s="373"/>
      <c r="W134" s="373"/>
      <c r="X134" s="870"/>
      <c r="Y134" s="373"/>
      <c r="Z134" s="373"/>
      <c r="AA134" s="373"/>
      <c r="AB134" s="618"/>
      <c r="AC134" s="374">
        <v>0</v>
      </c>
      <c r="AD134" s="869"/>
      <c r="AE134" s="373"/>
      <c r="AF134" s="373"/>
      <c r="AG134" s="870"/>
      <c r="AH134" s="373"/>
      <c r="AI134" s="373">
        <v>1</v>
      </c>
      <c r="AJ134" s="373"/>
      <c r="AK134" s="618">
        <v>1</v>
      </c>
      <c r="AL134" s="374">
        <v>0</v>
      </c>
      <c r="AM134" s="869"/>
      <c r="AN134" s="373"/>
      <c r="AO134" s="373"/>
      <c r="AP134" s="870"/>
      <c r="AQ134" s="373"/>
      <c r="AR134" s="373">
        <v>1</v>
      </c>
      <c r="AS134" s="373"/>
      <c r="AT134" s="618"/>
      <c r="AU134" s="374">
        <v>0</v>
      </c>
      <c r="AV134" s="869"/>
      <c r="AW134" s="373"/>
      <c r="AX134" s="373"/>
      <c r="AY134" s="870"/>
      <c r="AZ134" s="373"/>
      <c r="BA134" s="373"/>
      <c r="BB134" s="373"/>
      <c r="BC134" s="618"/>
      <c r="BD134" s="374">
        <v>0</v>
      </c>
      <c r="BE134" s="869"/>
      <c r="BF134" s="373"/>
      <c r="BG134" s="373"/>
      <c r="BH134" s="870"/>
      <c r="BI134" s="373"/>
      <c r="BJ134" s="373"/>
      <c r="BK134" s="373"/>
      <c r="BL134" s="618"/>
      <c r="BM134" s="374">
        <v>0</v>
      </c>
      <c r="BN134" s="869"/>
      <c r="BO134" s="373"/>
      <c r="BP134" s="373"/>
      <c r="BQ134" s="870"/>
      <c r="BR134" s="373"/>
      <c r="BS134" s="373"/>
      <c r="BT134" s="373"/>
      <c r="BU134" s="618"/>
      <c r="BV134" s="374">
        <v>0</v>
      </c>
      <c r="BW134" s="869"/>
      <c r="BX134" s="373"/>
      <c r="BY134" s="373"/>
      <c r="BZ134" s="870"/>
      <c r="CA134" s="373"/>
      <c r="CB134" s="373"/>
      <c r="CC134" s="373"/>
      <c r="CD134" s="618"/>
      <c r="CE134" s="374">
        <v>0</v>
      </c>
      <c r="CF134" s="869"/>
      <c r="CG134" s="373"/>
      <c r="CH134" s="373"/>
      <c r="CI134" s="870"/>
      <c r="CJ134" s="373"/>
      <c r="CK134" s="373"/>
      <c r="CL134" s="373">
        <v>1</v>
      </c>
      <c r="CM134" s="618"/>
      <c r="CN134" s="374">
        <v>0</v>
      </c>
      <c r="CO134" s="869"/>
      <c r="CP134" s="373"/>
      <c r="CQ134" s="373"/>
      <c r="CR134" s="870"/>
      <c r="CS134" s="373"/>
      <c r="CT134" s="373"/>
      <c r="CU134" s="373"/>
      <c r="CV134" s="618"/>
      <c r="CW134" s="374">
        <v>0</v>
      </c>
      <c r="CX134" s="869">
        <v>3</v>
      </c>
      <c r="CY134" s="373">
        <v>4</v>
      </c>
      <c r="CZ134" s="373"/>
      <c r="DA134" s="870">
        <v>4</v>
      </c>
      <c r="DB134" s="373">
        <v>1</v>
      </c>
      <c r="DC134" s="373"/>
      <c r="DD134" s="373">
        <v>1</v>
      </c>
      <c r="DE134" s="618">
        <v>4</v>
      </c>
      <c r="DF134" s="374">
        <v>1</v>
      </c>
      <c r="DG134" s="869"/>
      <c r="DH134" s="373"/>
      <c r="DI134" s="373"/>
      <c r="DJ134" s="870"/>
      <c r="DK134" s="373"/>
      <c r="DL134" s="373"/>
      <c r="DM134" s="373"/>
      <c r="DN134" s="618"/>
      <c r="DO134" s="374">
        <v>0</v>
      </c>
      <c r="DP134" s="869"/>
      <c r="DQ134" s="373"/>
      <c r="DR134" s="373"/>
      <c r="DS134" s="870"/>
      <c r="DT134" s="373">
        <v>1</v>
      </c>
      <c r="DU134" s="373"/>
      <c r="DV134" s="373"/>
      <c r="DW134" s="618"/>
      <c r="DX134" s="374">
        <v>0</v>
      </c>
      <c r="DY134" s="869">
        <v>1</v>
      </c>
      <c r="DZ134" s="373"/>
      <c r="EA134" s="373"/>
      <c r="EB134" s="870"/>
      <c r="EC134" s="373"/>
      <c r="ED134" s="373"/>
      <c r="EE134" s="373"/>
      <c r="EF134" s="618"/>
      <c r="EG134" s="374">
        <v>0</v>
      </c>
      <c r="EH134" s="869"/>
      <c r="EI134" s="373"/>
      <c r="EJ134" s="373"/>
      <c r="EK134" s="870"/>
      <c r="EL134" s="373"/>
      <c r="EM134" s="373"/>
      <c r="EN134" s="373"/>
      <c r="EO134" s="618"/>
      <c r="EP134" s="374">
        <v>0</v>
      </c>
      <c r="EQ134" s="869"/>
      <c r="ER134" s="373"/>
      <c r="ES134" s="373"/>
      <c r="ET134" s="870"/>
      <c r="EU134" s="373"/>
      <c r="EV134" s="373"/>
      <c r="EW134" s="373"/>
      <c r="EX134" s="618"/>
      <c r="EY134" s="374">
        <v>0</v>
      </c>
      <c r="EZ134" s="869"/>
      <c r="FA134" s="373"/>
      <c r="FB134" s="373"/>
      <c r="FC134" s="870"/>
      <c r="FD134" s="373"/>
      <c r="FE134" s="373"/>
      <c r="FF134" s="373"/>
      <c r="FG134" s="618"/>
      <c r="FH134" s="374">
        <v>0</v>
      </c>
      <c r="FI134" s="869"/>
      <c r="FJ134" s="373"/>
      <c r="FK134" s="373"/>
      <c r="FL134" s="870"/>
      <c r="FM134" s="373"/>
      <c r="FN134" s="373"/>
      <c r="FO134" s="373"/>
      <c r="FP134" s="618"/>
      <c r="FQ134" s="374">
        <v>1</v>
      </c>
      <c r="FR134" s="869"/>
      <c r="FS134" s="373"/>
      <c r="FT134" s="373"/>
      <c r="FU134" s="870"/>
      <c r="FV134" s="373"/>
      <c r="FW134" s="373"/>
      <c r="FX134" s="373"/>
      <c r="FY134" s="618"/>
      <c r="FZ134" s="374">
        <v>0</v>
      </c>
      <c r="GA134" s="869"/>
      <c r="GB134" s="373"/>
      <c r="GC134" s="373"/>
      <c r="GD134" s="870"/>
      <c r="GE134" s="373"/>
      <c r="GF134" s="373"/>
      <c r="GG134" s="373"/>
      <c r="GH134" s="618"/>
      <c r="GI134" s="374">
        <v>0</v>
      </c>
      <c r="GJ134" s="869">
        <v>3</v>
      </c>
      <c r="GK134" s="373">
        <v>4</v>
      </c>
      <c r="GL134" s="373"/>
      <c r="GM134" s="870">
        <v>4</v>
      </c>
      <c r="GN134" s="373">
        <v>1</v>
      </c>
      <c r="GO134" s="373">
        <v>1</v>
      </c>
      <c r="GP134" s="373">
        <v>2</v>
      </c>
      <c r="GQ134" s="618">
        <v>5</v>
      </c>
      <c r="GR134" s="374">
        <v>2</v>
      </c>
      <c r="GS134" s="869"/>
      <c r="GT134" s="373">
        <v>1</v>
      </c>
      <c r="GU134" s="373"/>
      <c r="GV134" s="870">
        <v>1</v>
      </c>
      <c r="GW134" s="373"/>
      <c r="GX134" s="373">
        <v>1</v>
      </c>
      <c r="GY134" s="373">
        <v>1</v>
      </c>
      <c r="GZ134" s="618">
        <v>3</v>
      </c>
      <c r="HA134" s="374">
        <v>0</v>
      </c>
      <c r="HB134" s="869"/>
      <c r="HC134" s="373"/>
      <c r="HD134" s="373"/>
      <c r="HE134" s="870"/>
      <c r="HF134" s="373"/>
      <c r="HG134" s="373">
        <v>1</v>
      </c>
      <c r="HH134" s="373"/>
      <c r="HI134" s="618"/>
      <c r="HJ134" s="374">
        <v>0</v>
      </c>
      <c r="HK134" s="869"/>
      <c r="HL134" s="373"/>
      <c r="HM134" s="373"/>
      <c r="HN134" s="870"/>
      <c r="HO134" s="373"/>
      <c r="HP134" s="373"/>
      <c r="HQ134" s="373"/>
      <c r="HR134" s="618"/>
      <c r="HS134" s="374">
        <v>0</v>
      </c>
      <c r="HT134" s="869"/>
      <c r="HU134" s="373">
        <v>1</v>
      </c>
      <c r="HV134" s="373"/>
      <c r="HW134" s="870">
        <v>1</v>
      </c>
      <c r="HX134" s="373"/>
      <c r="HY134" s="373">
        <v>3</v>
      </c>
      <c r="HZ134" s="373">
        <v>2</v>
      </c>
      <c r="IA134" s="618">
        <v>3</v>
      </c>
      <c r="IB134" s="374">
        <v>0</v>
      </c>
      <c r="IC134" s="869">
        <v>4</v>
      </c>
      <c r="ID134" s="373">
        <v>5</v>
      </c>
      <c r="IE134" s="373">
        <v>1</v>
      </c>
      <c r="IF134" s="870">
        <v>6</v>
      </c>
      <c r="IG134" s="373">
        <v>1</v>
      </c>
      <c r="IH134" s="373">
        <v>3</v>
      </c>
      <c r="II134" s="373">
        <v>3</v>
      </c>
      <c r="IJ134" s="618">
        <v>5</v>
      </c>
      <c r="IK134" s="374">
        <v>2</v>
      </c>
      <c r="IL134" s="377">
        <v>1</v>
      </c>
      <c r="IM134" s="373"/>
      <c r="IN134" s="373"/>
      <c r="IO134" s="871">
        <v>1</v>
      </c>
      <c r="IP134" s="871"/>
      <c r="IQ134" s="373"/>
      <c r="IR134" s="373"/>
      <c r="IS134" s="618"/>
      <c r="IT134" s="374">
        <v>1</v>
      </c>
    </row>
    <row r="135" spans="1:254" s="245" customFormat="1" ht="12.75" customHeight="1" x14ac:dyDescent="0.2">
      <c r="A135" s="1052"/>
      <c r="B135" s="868" t="s">
        <v>987</v>
      </c>
      <c r="C135" s="869"/>
      <c r="D135" s="373"/>
      <c r="E135" s="373"/>
      <c r="F135" s="870"/>
      <c r="G135" s="373"/>
      <c r="H135" s="373"/>
      <c r="I135" s="373"/>
      <c r="J135" s="618"/>
      <c r="K135" s="374">
        <v>0</v>
      </c>
      <c r="L135" s="869"/>
      <c r="M135" s="373"/>
      <c r="N135" s="373"/>
      <c r="O135" s="870"/>
      <c r="P135" s="373"/>
      <c r="Q135" s="373"/>
      <c r="R135" s="373"/>
      <c r="S135" s="618"/>
      <c r="T135" s="374">
        <v>0</v>
      </c>
      <c r="U135" s="869"/>
      <c r="V135" s="373"/>
      <c r="W135" s="373"/>
      <c r="X135" s="870"/>
      <c r="Y135" s="373"/>
      <c r="Z135" s="373"/>
      <c r="AA135" s="373"/>
      <c r="AB135" s="618"/>
      <c r="AC135" s="374">
        <v>0</v>
      </c>
      <c r="AD135" s="869">
        <v>2</v>
      </c>
      <c r="AE135" s="373"/>
      <c r="AF135" s="373">
        <v>1</v>
      </c>
      <c r="AG135" s="870"/>
      <c r="AH135" s="373"/>
      <c r="AI135" s="373"/>
      <c r="AJ135" s="373"/>
      <c r="AK135" s="618">
        <v>3</v>
      </c>
      <c r="AL135" s="374">
        <v>0</v>
      </c>
      <c r="AM135" s="869"/>
      <c r="AN135" s="373"/>
      <c r="AO135" s="373"/>
      <c r="AP135" s="870"/>
      <c r="AQ135" s="373"/>
      <c r="AR135" s="373"/>
      <c r="AS135" s="373"/>
      <c r="AT135" s="618"/>
      <c r="AU135" s="374">
        <v>0</v>
      </c>
      <c r="AV135" s="869"/>
      <c r="AW135" s="373"/>
      <c r="AX135" s="373"/>
      <c r="AY135" s="870"/>
      <c r="AZ135" s="373"/>
      <c r="BA135" s="373"/>
      <c r="BB135" s="373"/>
      <c r="BC135" s="618"/>
      <c r="BD135" s="374">
        <v>0</v>
      </c>
      <c r="BE135" s="869"/>
      <c r="BF135" s="373"/>
      <c r="BG135" s="373"/>
      <c r="BH135" s="870"/>
      <c r="BI135" s="373"/>
      <c r="BJ135" s="373"/>
      <c r="BK135" s="373"/>
      <c r="BL135" s="618"/>
      <c r="BM135" s="374">
        <v>7</v>
      </c>
      <c r="BN135" s="869"/>
      <c r="BO135" s="373"/>
      <c r="BP135" s="373"/>
      <c r="BQ135" s="870"/>
      <c r="BR135" s="373"/>
      <c r="BS135" s="373"/>
      <c r="BT135" s="373"/>
      <c r="BU135" s="618"/>
      <c r="BV135" s="374">
        <v>0</v>
      </c>
      <c r="BW135" s="869">
        <v>2</v>
      </c>
      <c r="BX135" s="373">
        <v>1</v>
      </c>
      <c r="BY135" s="373">
        <v>2</v>
      </c>
      <c r="BZ135" s="870"/>
      <c r="CA135" s="373"/>
      <c r="CB135" s="373">
        <v>2</v>
      </c>
      <c r="CC135" s="373">
        <v>1</v>
      </c>
      <c r="CD135" s="618"/>
      <c r="CE135" s="374">
        <v>0</v>
      </c>
      <c r="CF135" s="869"/>
      <c r="CG135" s="373"/>
      <c r="CH135" s="373"/>
      <c r="CI135" s="870"/>
      <c r="CJ135" s="373"/>
      <c r="CK135" s="373"/>
      <c r="CL135" s="373"/>
      <c r="CM135" s="618"/>
      <c r="CN135" s="374">
        <v>0</v>
      </c>
      <c r="CO135" s="869"/>
      <c r="CP135" s="373"/>
      <c r="CQ135" s="373"/>
      <c r="CR135" s="870"/>
      <c r="CS135" s="373"/>
      <c r="CT135" s="373"/>
      <c r="CU135" s="373"/>
      <c r="CV135" s="618"/>
      <c r="CW135" s="374">
        <v>0</v>
      </c>
      <c r="CX135" s="869">
        <v>11</v>
      </c>
      <c r="CY135" s="373">
        <v>7</v>
      </c>
      <c r="CZ135" s="373">
        <v>1</v>
      </c>
      <c r="DA135" s="870">
        <v>3</v>
      </c>
      <c r="DB135" s="373">
        <v>1</v>
      </c>
      <c r="DC135" s="373">
        <v>1</v>
      </c>
      <c r="DD135" s="373">
        <v>2</v>
      </c>
      <c r="DE135" s="618">
        <v>1</v>
      </c>
      <c r="DF135" s="374">
        <v>3</v>
      </c>
      <c r="DG135" s="869"/>
      <c r="DH135" s="373"/>
      <c r="DI135" s="373"/>
      <c r="DJ135" s="870"/>
      <c r="DK135" s="373"/>
      <c r="DL135" s="373"/>
      <c r="DM135" s="373"/>
      <c r="DN135" s="618"/>
      <c r="DO135" s="374">
        <v>0</v>
      </c>
      <c r="DP135" s="869"/>
      <c r="DQ135" s="373"/>
      <c r="DR135" s="373"/>
      <c r="DS135" s="870"/>
      <c r="DT135" s="373"/>
      <c r="DU135" s="373"/>
      <c r="DV135" s="373"/>
      <c r="DW135" s="618"/>
      <c r="DX135" s="374">
        <v>0</v>
      </c>
      <c r="DY135" s="869">
        <v>2</v>
      </c>
      <c r="DZ135" s="373">
        <v>3</v>
      </c>
      <c r="EA135" s="373"/>
      <c r="EB135" s="870">
        <v>1</v>
      </c>
      <c r="EC135" s="373"/>
      <c r="ED135" s="373"/>
      <c r="EE135" s="373"/>
      <c r="EF135" s="618">
        <v>1</v>
      </c>
      <c r="EG135" s="374">
        <v>1</v>
      </c>
      <c r="EH135" s="869"/>
      <c r="EI135" s="373"/>
      <c r="EJ135" s="373"/>
      <c r="EK135" s="870"/>
      <c r="EL135" s="373"/>
      <c r="EM135" s="373"/>
      <c r="EN135" s="373"/>
      <c r="EO135" s="618"/>
      <c r="EP135" s="374">
        <v>0</v>
      </c>
      <c r="EQ135" s="869"/>
      <c r="ER135" s="373"/>
      <c r="ES135" s="373"/>
      <c r="ET135" s="870"/>
      <c r="EU135" s="373"/>
      <c r="EV135" s="373"/>
      <c r="EW135" s="373"/>
      <c r="EX135" s="618"/>
      <c r="EY135" s="374">
        <v>0</v>
      </c>
      <c r="EZ135" s="869"/>
      <c r="FA135" s="373"/>
      <c r="FB135" s="373"/>
      <c r="FC135" s="870"/>
      <c r="FD135" s="373"/>
      <c r="FE135" s="373"/>
      <c r="FF135" s="373"/>
      <c r="FG135" s="618"/>
      <c r="FH135" s="374">
        <v>0</v>
      </c>
      <c r="FI135" s="869">
        <v>1</v>
      </c>
      <c r="FJ135" s="373"/>
      <c r="FK135" s="373"/>
      <c r="FL135" s="870"/>
      <c r="FM135" s="373"/>
      <c r="FN135" s="373"/>
      <c r="FO135" s="373"/>
      <c r="FP135" s="618"/>
      <c r="FQ135" s="374">
        <v>0</v>
      </c>
      <c r="FR135" s="869"/>
      <c r="FS135" s="373"/>
      <c r="FT135" s="373"/>
      <c r="FU135" s="870"/>
      <c r="FV135" s="373"/>
      <c r="FW135" s="373"/>
      <c r="FX135" s="373"/>
      <c r="FY135" s="618"/>
      <c r="FZ135" s="374">
        <v>0</v>
      </c>
      <c r="GA135" s="869">
        <v>1</v>
      </c>
      <c r="GB135" s="373">
        <v>1</v>
      </c>
      <c r="GC135" s="373">
        <v>1</v>
      </c>
      <c r="GD135" s="870"/>
      <c r="GE135" s="373"/>
      <c r="GF135" s="373"/>
      <c r="GG135" s="373"/>
      <c r="GH135" s="618"/>
      <c r="GI135" s="374">
        <v>0</v>
      </c>
      <c r="GJ135" s="869">
        <v>17</v>
      </c>
      <c r="GK135" s="373">
        <v>9</v>
      </c>
      <c r="GL135" s="373">
        <v>5</v>
      </c>
      <c r="GM135" s="870">
        <v>3</v>
      </c>
      <c r="GN135" s="373">
        <v>1</v>
      </c>
      <c r="GO135" s="373">
        <v>3</v>
      </c>
      <c r="GP135" s="373">
        <v>3</v>
      </c>
      <c r="GQ135" s="618">
        <v>4</v>
      </c>
      <c r="GR135" s="374">
        <v>10</v>
      </c>
      <c r="GS135" s="869">
        <v>4</v>
      </c>
      <c r="GT135" s="373"/>
      <c r="GU135" s="373">
        <v>5</v>
      </c>
      <c r="GV135" s="870">
        <v>1</v>
      </c>
      <c r="GW135" s="373"/>
      <c r="GX135" s="373">
        <v>2</v>
      </c>
      <c r="GY135" s="373">
        <v>1</v>
      </c>
      <c r="GZ135" s="618"/>
      <c r="HA135" s="374">
        <v>0</v>
      </c>
      <c r="HB135" s="869"/>
      <c r="HC135" s="373"/>
      <c r="HD135" s="373"/>
      <c r="HE135" s="870"/>
      <c r="HF135" s="373"/>
      <c r="HG135" s="373"/>
      <c r="HH135" s="373"/>
      <c r="HI135" s="618"/>
      <c r="HJ135" s="374">
        <v>0</v>
      </c>
      <c r="HK135" s="869"/>
      <c r="HL135" s="373"/>
      <c r="HM135" s="373"/>
      <c r="HN135" s="870"/>
      <c r="HO135" s="373"/>
      <c r="HP135" s="373"/>
      <c r="HQ135" s="373"/>
      <c r="HR135" s="618"/>
      <c r="HS135" s="374">
        <v>0</v>
      </c>
      <c r="HT135" s="869">
        <v>5</v>
      </c>
      <c r="HU135" s="373"/>
      <c r="HV135" s="373">
        <v>7</v>
      </c>
      <c r="HW135" s="870">
        <v>1</v>
      </c>
      <c r="HX135" s="373"/>
      <c r="HY135" s="373">
        <v>2</v>
      </c>
      <c r="HZ135" s="373">
        <v>1</v>
      </c>
      <c r="IA135" s="618">
        <v>1</v>
      </c>
      <c r="IB135" s="374">
        <v>1</v>
      </c>
      <c r="IC135" s="869">
        <v>24</v>
      </c>
      <c r="ID135" s="373">
        <v>12</v>
      </c>
      <c r="IE135" s="373">
        <v>8</v>
      </c>
      <c r="IF135" s="870">
        <v>3</v>
      </c>
      <c r="IG135" s="373">
        <v>3</v>
      </c>
      <c r="IH135" s="373">
        <v>5</v>
      </c>
      <c r="II135" s="373">
        <v>5</v>
      </c>
      <c r="IJ135" s="618">
        <v>9</v>
      </c>
      <c r="IK135" s="374">
        <v>17</v>
      </c>
      <c r="IL135" s="377">
        <v>4</v>
      </c>
      <c r="IM135" s="373">
        <v>5</v>
      </c>
      <c r="IN135" s="373"/>
      <c r="IO135" s="871">
        <v>1</v>
      </c>
      <c r="IP135" s="871"/>
      <c r="IQ135" s="373">
        <v>1</v>
      </c>
      <c r="IR135" s="373">
        <v>2</v>
      </c>
      <c r="IS135" s="618">
        <v>1</v>
      </c>
      <c r="IT135" s="374">
        <v>1</v>
      </c>
    </row>
    <row r="136" spans="1:254" s="245" customFormat="1" ht="12.75" customHeight="1" x14ac:dyDescent="0.2">
      <c r="A136" s="1052"/>
      <c r="B136" s="868" t="s">
        <v>988</v>
      </c>
      <c r="C136" s="869"/>
      <c r="D136" s="373"/>
      <c r="E136" s="373"/>
      <c r="F136" s="870"/>
      <c r="G136" s="373"/>
      <c r="H136" s="373"/>
      <c r="I136" s="373"/>
      <c r="J136" s="618"/>
      <c r="K136" s="374">
        <v>0</v>
      </c>
      <c r="L136" s="869"/>
      <c r="M136" s="373"/>
      <c r="N136" s="373"/>
      <c r="O136" s="870"/>
      <c r="P136" s="373"/>
      <c r="Q136" s="373"/>
      <c r="R136" s="373"/>
      <c r="S136" s="618"/>
      <c r="T136" s="374">
        <v>0</v>
      </c>
      <c r="U136" s="869"/>
      <c r="V136" s="373"/>
      <c r="W136" s="373"/>
      <c r="X136" s="870"/>
      <c r="Y136" s="373"/>
      <c r="Z136" s="373"/>
      <c r="AA136" s="373"/>
      <c r="AB136" s="618"/>
      <c r="AC136" s="374">
        <v>0</v>
      </c>
      <c r="AD136" s="869"/>
      <c r="AE136" s="373"/>
      <c r="AF136" s="373"/>
      <c r="AG136" s="870">
        <v>1</v>
      </c>
      <c r="AH136" s="373"/>
      <c r="AI136" s="373"/>
      <c r="AJ136" s="373"/>
      <c r="AK136" s="618">
        <v>1</v>
      </c>
      <c r="AL136" s="374">
        <v>0</v>
      </c>
      <c r="AM136" s="869"/>
      <c r="AN136" s="373"/>
      <c r="AO136" s="373"/>
      <c r="AP136" s="870">
        <v>1</v>
      </c>
      <c r="AQ136" s="373"/>
      <c r="AR136" s="373"/>
      <c r="AS136" s="373"/>
      <c r="AT136" s="618"/>
      <c r="AU136" s="374">
        <v>0</v>
      </c>
      <c r="AV136" s="869"/>
      <c r="AW136" s="373"/>
      <c r="AX136" s="373"/>
      <c r="AY136" s="870"/>
      <c r="AZ136" s="373"/>
      <c r="BA136" s="373"/>
      <c r="BB136" s="373"/>
      <c r="BC136" s="618"/>
      <c r="BD136" s="374">
        <v>0</v>
      </c>
      <c r="BE136" s="869"/>
      <c r="BF136" s="373"/>
      <c r="BG136" s="373"/>
      <c r="BH136" s="870"/>
      <c r="BI136" s="373"/>
      <c r="BJ136" s="373"/>
      <c r="BK136" s="373"/>
      <c r="BL136" s="618"/>
      <c r="BM136" s="374">
        <v>0</v>
      </c>
      <c r="BN136" s="869"/>
      <c r="BO136" s="373"/>
      <c r="BP136" s="373"/>
      <c r="BQ136" s="870"/>
      <c r="BR136" s="373"/>
      <c r="BS136" s="373"/>
      <c r="BT136" s="373"/>
      <c r="BU136" s="618"/>
      <c r="BV136" s="374">
        <v>0</v>
      </c>
      <c r="BW136" s="869"/>
      <c r="BX136" s="373"/>
      <c r="BY136" s="373"/>
      <c r="BZ136" s="870"/>
      <c r="CA136" s="373"/>
      <c r="CB136" s="373"/>
      <c r="CC136" s="373"/>
      <c r="CD136" s="618"/>
      <c r="CE136" s="374">
        <v>0</v>
      </c>
      <c r="CF136" s="869"/>
      <c r="CG136" s="373"/>
      <c r="CH136" s="373"/>
      <c r="CI136" s="870"/>
      <c r="CJ136" s="373"/>
      <c r="CK136" s="373"/>
      <c r="CL136" s="373"/>
      <c r="CM136" s="618"/>
      <c r="CN136" s="374">
        <v>0</v>
      </c>
      <c r="CO136" s="869"/>
      <c r="CP136" s="373"/>
      <c r="CQ136" s="373"/>
      <c r="CR136" s="870"/>
      <c r="CS136" s="373"/>
      <c r="CT136" s="373"/>
      <c r="CU136" s="373"/>
      <c r="CV136" s="618"/>
      <c r="CW136" s="374">
        <v>0</v>
      </c>
      <c r="CX136" s="869">
        <v>1</v>
      </c>
      <c r="CY136" s="373"/>
      <c r="CZ136" s="373"/>
      <c r="DA136" s="870">
        <v>1</v>
      </c>
      <c r="DB136" s="373"/>
      <c r="DC136" s="373"/>
      <c r="DD136" s="373">
        <v>2</v>
      </c>
      <c r="DE136" s="618">
        <v>1</v>
      </c>
      <c r="DF136" s="374">
        <v>1</v>
      </c>
      <c r="DG136" s="869"/>
      <c r="DH136" s="373"/>
      <c r="DI136" s="373"/>
      <c r="DJ136" s="870"/>
      <c r="DK136" s="373"/>
      <c r="DL136" s="373"/>
      <c r="DM136" s="373"/>
      <c r="DN136" s="618"/>
      <c r="DO136" s="374">
        <v>0</v>
      </c>
      <c r="DP136" s="869">
        <v>1</v>
      </c>
      <c r="DQ136" s="373"/>
      <c r="DR136" s="373"/>
      <c r="DS136" s="870"/>
      <c r="DT136" s="373"/>
      <c r="DU136" s="373"/>
      <c r="DV136" s="373"/>
      <c r="DW136" s="618"/>
      <c r="DX136" s="374">
        <v>1</v>
      </c>
      <c r="DY136" s="869"/>
      <c r="DZ136" s="373"/>
      <c r="EA136" s="373"/>
      <c r="EB136" s="870"/>
      <c r="EC136" s="373"/>
      <c r="ED136" s="373"/>
      <c r="EE136" s="373">
        <v>1</v>
      </c>
      <c r="EF136" s="618"/>
      <c r="EG136" s="374">
        <v>0</v>
      </c>
      <c r="EH136" s="869"/>
      <c r="EI136" s="373"/>
      <c r="EJ136" s="373"/>
      <c r="EK136" s="870"/>
      <c r="EL136" s="373"/>
      <c r="EM136" s="373"/>
      <c r="EN136" s="373"/>
      <c r="EO136" s="618"/>
      <c r="EP136" s="374">
        <v>0</v>
      </c>
      <c r="EQ136" s="869"/>
      <c r="ER136" s="373"/>
      <c r="ES136" s="373"/>
      <c r="ET136" s="870"/>
      <c r="EU136" s="373"/>
      <c r="EV136" s="373"/>
      <c r="EW136" s="373"/>
      <c r="EX136" s="618"/>
      <c r="EY136" s="374">
        <v>0</v>
      </c>
      <c r="EZ136" s="869"/>
      <c r="FA136" s="373"/>
      <c r="FB136" s="373"/>
      <c r="FC136" s="870"/>
      <c r="FD136" s="373"/>
      <c r="FE136" s="373"/>
      <c r="FF136" s="373"/>
      <c r="FG136" s="618"/>
      <c r="FH136" s="374">
        <v>0</v>
      </c>
      <c r="FI136" s="869"/>
      <c r="FJ136" s="373"/>
      <c r="FK136" s="373"/>
      <c r="FL136" s="870"/>
      <c r="FM136" s="373"/>
      <c r="FN136" s="373"/>
      <c r="FO136" s="373"/>
      <c r="FP136" s="618"/>
      <c r="FQ136" s="374">
        <v>0</v>
      </c>
      <c r="FR136" s="869"/>
      <c r="FS136" s="373"/>
      <c r="FT136" s="373"/>
      <c r="FU136" s="870"/>
      <c r="FV136" s="373"/>
      <c r="FW136" s="373"/>
      <c r="FX136" s="373"/>
      <c r="FY136" s="618"/>
      <c r="FZ136" s="374">
        <v>0</v>
      </c>
      <c r="GA136" s="869"/>
      <c r="GB136" s="373"/>
      <c r="GC136" s="373"/>
      <c r="GD136" s="870"/>
      <c r="GE136" s="373"/>
      <c r="GF136" s="373"/>
      <c r="GG136" s="373"/>
      <c r="GH136" s="618"/>
      <c r="GI136" s="374">
        <v>0</v>
      </c>
      <c r="GJ136" s="869">
        <v>1</v>
      </c>
      <c r="GK136" s="373"/>
      <c r="GL136" s="373"/>
      <c r="GM136" s="870">
        <v>2</v>
      </c>
      <c r="GN136" s="373"/>
      <c r="GO136" s="373"/>
      <c r="GP136" s="373">
        <v>2</v>
      </c>
      <c r="GQ136" s="618">
        <v>2</v>
      </c>
      <c r="GR136" s="374">
        <v>1</v>
      </c>
      <c r="GS136" s="869">
        <v>1</v>
      </c>
      <c r="GT136" s="373"/>
      <c r="GU136" s="373"/>
      <c r="GV136" s="870"/>
      <c r="GW136" s="373"/>
      <c r="GX136" s="373"/>
      <c r="GY136" s="373"/>
      <c r="GZ136" s="618"/>
      <c r="HA136" s="374">
        <v>1</v>
      </c>
      <c r="HB136" s="869"/>
      <c r="HC136" s="373"/>
      <c r="HD136" s="373"/>
      <c r="HE136" s="870"/>
      <c r="HF136" s="373"/>
      <c r="HG136" s="373"/>
      <c r="HH136" s="373"/>
      <c r="HI136" s="618"/>
      <c r="HJ136" s="374">
        <v>0</v>
      </c>
      <c r="HK136" s="869"/>
      <c r="HL136" s="373"/>
      <c r="HM136" s="373"/>
      <c r="HN136" s="870"/>
      <c r="HO136" s="373"/>
      <c r="HP136" s="373"/>
      <c r="HQ136" s="373"/>
      <c r="HR136" s="618"/>
      <c r="HS136" s="374">
        <v>0</v>
      </c>
      <c r="HT136" s="869">
        <v>1</v>
      </c>
      <c r="HU136" s="373"/>
      <c r="HV136" s="373"/>
      <c r="HW136" s="870"/>
      <c r="HX136" s="373"/>
      <c r="HY136" s="373"/>
      <c r="HZ136" s="373">
        <v>1</v>
      </c>
      <c r="IA136" s="618"/>
      <c r="IB136" s="374">
        <v>1</v>
      </c>
      <c r="IC136" s="869">
        <v>1</v>
      </c>
      <c r="ID136" s="373"/>
      <c r="IE136" s="373"/>
      <c r="IF136" s="870">
        <v>2</v>
      </c>
      <c r="IG136" s="373">
        <v>1</v>
      </c>
      <c r="IH136" s="373"/>
      <c r="II136" s="373">
        <v>3</v>
      </c>
      <c r="IJ136" s="618">
        <v>2</v>
      </c>
      <c r="IK136" s="374">
        <v>1</v>
      </c>
      <c r="IL136" s="377"/>
      <c r="IM136" s="373"/>
      <c r="IN136" s="373"/>
      <c r="IO136" s="871"/>
      <c r="IP136" s="871"/>
      <c r="IQ136" s="373"/>
      <c r="IR136" s="373">
        <v>1</v>
      </c>
      <c r="IS136" s="618"/>
      <c r="IT136" s="374">
        <v>0</v>
      </c>
    </row>
    <row r="137" spans="1:254" s="245" customFormat="1" ht="12.75" customHeight="1" x14ac:dyDescent="0.2">
      <c r="A137" s="1052"/>
      <c r="B137" s="868" t="s">
        <v>989</v>
      </c>
      <c r="C137" s="869"/>
      <c r="D137" s="373"/>
      <c r="E137" s="373"/>
      <c r="F137" s="870"/>
      <c r="G137" s="373"/>
      <c r="H137" s="373"/>
      <c r="I137" s="373"/>
      <c r="J137" s="618"/>
      <c r="K137" s="374">
        <v>0</v>
      </c>
      <c r="L137" s="869"/>
      <c r="M137" s="373"/>
      <c r="N137" s="373"/>
      <c r="O137" s="870"/>
      <c r="P137" s="373"/>
      <c r="Q137" s="373"/>
      <c r="R137" s="373"/>
      <c r="S137" s="618"/>
      <c r="T137" s="374">
        <v>0</v>
      </c>
      <c r="U137" s="869"/>
      <c r="V137" s="373"/>
      <c r="W137" s="373"/>
      <c r="X137" s="870"/>
      <c r="Y137" s="373"/>
      <c r="Z137" s="373"/>
      <c r="AA137" s="373"/>
      <c r="AB137" s="618"/>
      <c r="AC137" s="374">
        <v>0</v>
      </c>
      <c r="AD137" s="869"/>
      <c r="AE137" s="373"/>
      <c r="AF137" s="373"/>
      <c r="AG137" s="870"/>
      <c r="AH137" s="373"/>
      <c r="AI137" s="373"/>
      <c r="AJ137" s="373"/>
      <c r="AK137" s="618"/>
      <c r="AL137" s="374">
        <v>0</v>
      </c>
      <c r="AM137" s="869"/>
      <c r="AN137" s="373"/>
      <c r="AO137" s="373"/>
      <c r="AP137" s="870"/>
      <c r="AQ137" s="373"/>
      <c r="AR137" s="373"/>
      <c r="AS137" s="373"/>
      <c r="AT137" s="618"/>
      <c r="AU137" s="374">
        <v>0</v>
      </c>
      <c r="AV137" s="869"/>
      <c r="AW137" s="373"/>
      <c r="AX137" s="373"/>
      <c r="AY137" s="870"/>
      <c r="AZ137" s="373"/>
      <c r="BA137" s="373"/>
      <c r="BB137" s="373"/>
      <c r="BC137" s="618"/>
      <c r="BD137" s="374">
        <v>0</v>
      </c>
      <c r="BE137" s="869"/>
      <c r="BF137" s="373"/>
      <c r="BG137" s="373"/>
      <c r="BH137" s="870"/>
      <c r="BI137" s="373"/>
      <c r="BJ137" s="373"/>
      <c r="BK137" s="373"/>
      <c r="BL137" s="618"/>
      <c r="BM137" s="374">
        <v>0</v>
      </c>
      <c r="BN137" s="869"/>
      <c r="BO137" s="373"/>
      <c r="BP137" s="373"/>
      <c r="BQ137" s="870"/>
      <c r="BR137" s="373"/>
      <c r="BS137" s="373"/>
      <c r="BT137" s="373"/>
      <c r="BU137" s="618"/>
      <c r="BV137" s="374">
        <v>0</v>
      </c>
      <c r="BW137" s="869"/>
      <c r="BX137" s="373"/>
      <c r="BY137" s="373"/>
      <c r="BZ137" s="870"/>
      <c r="CA137" s="373"/>
      <c r="CB137" s="373"/>
      <c r="CC137" s="373"/>
      <c r="CD137" s="618"/>
      <c r="CE137" s="374">
        <v>0</v>
      </c>
      <c r="CF137" s="869"/>
      <c r="CG137" s="373"/>
      <c r="CH137" s="373"/>
      <c r="CI137" s="870"/>
      <c r="CJ137" s="373"/>
      <c r="CK137" s="373"/>
      <c r="CL137" s="373"/>
      <c r="CM137" s="618"/>
      <c r="CN137" s="374">
        <v>0</v>
      </c>
      <c r="CO137" s="869"/>
      <c r="CP137" s="373"/>
      <c r="CQ137" s="373"/>
      <c r="CR137" s="870"/>
      <c r="CS137" s="373"/>
      <c r="CT137" s="373"/>
      <c r="CU137" s="373"/>
      <c r="CV137" s="618"/>
      <c r="CW137" s="374">
        <v>0</v>
      </c>
      <c r="CX137" s="869">
        <v>2</v>
      </c>
      <c r="CY137" s="373">
        <v>1</v>
      </c>
      <c r="CZ137" s="373">
        <v>1</v>
      </c>
      <c r="DA137" s="870">
        <v>1</v>
      </c>
      <c r="DB137" s="373">
        <v>1</v>
      </c>
      <c r="DC137" s="373"/>
      <c r="DD137" s="373"/>
      <c r="DE137" s="618"/>
      <c r="DF137" s="374">
        <v>1</v>
      </c>
      <c r="DG137" s="869"/>
      <c r="DH137" s="373"/>
      <c r="DI137" s="373"/>
      <c r="DJ137" s="870"/>
      <c r="DK137" s="373"/>
      <c r="DL137" s="373"/>
      <c r="DM137" s="373"/>
      <c r="DN137" s="618"/>
      <c r="DO137" s="374">
        <v>0</v>
      </c>
      <c r="DP137" s="869"/>
      <c r="DQ137" s="373"/>
      <c r="DR137" s="373"/>
      <c r="DS137" s="870"/>
      <c r="DT137" s="373"/>
      <c r="DU137" s="373"/>
      <c r="DV137" s="373"/>
      <c r="DW137" s="618"/>
      <c r="DX137" s="374">
        <v>0</v>
      </c>
      <c r="DY137" s="869">
        <v>1</v>
      </c>
      <c r="DZ137" s="373"/>
      <c r="EA137" s="373"/>
      <c r="EB137" s="870"/>
      <c r="EC137" s="373"/>
      <c r="ED137" s="373"/>
      <c r="EE137" s="373"/>
      <c r="EF137" s="618"/>
      <c r="EG137" s="374">
        <v>0</v>
      </c>
      <c r="EH137" s="869"/>
      <c r="EI137" s="373"/>
      <c r="EJ137" s="373"/>
      <c r="EK137" s="870"/>
      <c r="EL137" s="373"/>
      <c r="EM137" s="373"/>
      <c r="EN137" s="373"/>
      <c r="EO137" s="618"/>
      <c r="EP137" s="374">
        <v>0</v>
      </c>
      <c r="EQ137" s="869"/>
      <c r="ER137" s="373"/>
      <c r="ES137" s="373"/>
      <c r="ET137" s="870"/>
      <c r="EU137" s="373"/>
      <c r="EV137" s="373"/>
      <c r="EW137" s="373"/>
      <c r="EX137" s="618"/>
      <c r="EY137" s="374">
        <v>0</v>
      </c>
      <c r="EZ137" s="869"/>
      <c r="FA137" s="373"/>
      <c r="FB137" s="373"/>
      <c r="FC137" s="870"/>
      <c r="FD137" s="373"/>
      <c r="FE137" s="373"/>
      <c r="FF137" s="373"/>
      <c r="FG137" s="618"/>
      <c r="FH137" s="374">
        <v>0</v>
      </c>
      <c r="FI137" s="869"/>
      <c r="FJ137" s="373"/>
      <c r="FK137" s="373"/>
      <c r="FL137" s="870"/>
      <c r="FM137" s="373"/>
      <c r="FN137" s="373"/>
      <c r="FO137" s="373"/>
      <c r="FP137" s="618"/>
      <c r="FQ137" s="374">
        <v>0</v>
      </c>
      <c r="FR137" s="869"/>
      <c r="FS137" s="373"/>
      <c r="FT137" s="373"/>
      <c r="FU137" s="870"/>
      <c r="FV137" s="373"/>
      <c r="FW137" s="373"/>
      <c r="FX137" s="373"/>
      <c r="FY137" s="618"/>
      <c r="FZ137" s="374">
        <v>0</v>
      </c>
      <c r="GA137" s="869"/>
      <c r="GB137" s="373"/>
      <c r="GC137" s="373"/>
      <c r="GD137" s="870"/>
      <c r="GE137" s="373"/>
      <c r="GF137" s="373"/>
      <c r="GG137" s="373"/>
      <c r="GH137" s="618"/>
      <c r="GI137" s="374">
        <v>0</v>
      </c>
      <c r="GJ137" s="869">
        <v>2</v>
      </c>
      <c r="GK137" s="373">
        <v>1</v>
      </c>
      <c r="GL137" s="373">
        <v>1</v>
      </c>
      <c r="GM137" s="870">
        <v>1</v>
      </c>
      <c r="GN137" s="373">
        <v>1</v>
      </c>
      <c r="GO137" s="373"/>
      <c r="GP137" s="373"/>
      <c r="GQ137" s="618"/>
      <c r="GR137" s="374">
        <v>1</v>
      </c>
      <c r="GS137" s="869">
        <v>1</v>
      </c>
      <c r="GT137" s="373"/>
      <c r="GU137" s="373">
        <v>1</v>
      </c>
      <c r="GV137" s="870">
        <v>1</v>
      </c>
      <c r="GW137" s="373"/>
      <c r="GX137" s="373"/>
      <c r="GY137" s="373"/>
      <c r="GZ137" s="618"/>
      <c r="HA137" s="374">
        <v>0</v>
      </c>
      <c r="HB137" s="869"/>
      <c r="HC137" s="373"/>
      <c r="HD137" s="373"/>
      <c r="HE137" s="870"/>
      <c r="HF137" s="373"/>
      <c r="HG137" s="373"/>
      <c r="HH137" s="373"/>
      <c r="HI137" s="618"/>
      <c r="HJ137" s="374">
        <v>0</v>
      </c>
      <c r="HK137" s="869"/>
      <c r="HL137" s="373"/>
      <c r="HM137" s="373"/>
      <c r="HN137" s="870"/>
      <c r="HO137" s="373"/>
      <c r="HP137" s="373"/>
      <c r="HQ137" s="373"/>
      <c r="HR137" s="618"/>
      <c r="HS137" s="374">
        <v>0</v>
      </c>
      <c r="HT137" s="869">
        <v>1</v>
      </c>
      <c r="HU137" s="373"/>
      <c r="HV137" s="373">
        <v>1</v>
      </c>
      <c r="HW137" s="870">
        <v>1</v>
      </c>
      <c r="HX137" s="373"/>
      <c r="HY137" s="373"/>
      <c r="HZ137" s="373"/>
      <c r="IA137" s="618"/>
      <c r="IB137" s="374">
        <v>0</v>
      </c>
      <c r="IC137" s="869">
        <v>2</v>
      </c>
      <c r="ID137" s="373">
        <v>1</v>
      </c>
      <c r="IE137" s="373">
        <v>1</v>
      </c>
      <c r="IF137" s="870">
        <v>1</v>
      </c>
      <c r="IG137" s="373">
        <v>1</v>
      </c>
      <c r="IH137" s="373"/>
      <c r="II137" s="373"/>
      <c r="IJ137" s="618">
        <v>1</v>
      </c>
      <c r="IK137" s="374">
        <v>1</v>
      </c>
      <c r="IL137" s="377">
        <v>1</v>
      </c>
      <c r="IM137" s="373"/>
      <c r="IN137" s="373"/>
      <c r="IO137" s="871"/>
      <c r="IP137" s="871"/>
      <c r="IQ137" s="373"/>
      <c r="IR137" s="373"/>
      <c r="IS137" s="618"/>
      <c r="IT137" s="374">
        <v>0</v>
      </c>
    </row>
    <row r="138" spans="1:254" s="245" customFormat="1" ht="12.75" customHeight="1" x14ac:dyDescent="0.2">
      <c r="A138" s="1052"/>
      <c r="B138" s="868" t="s">
        <v>990</v>
      </c>
      <c r="C138" s="869"/>
      <c r="D138" s="373"/>
      <c r="E138" s="373"/>
      <c r="F138" s="870"/>
      <c r="G138" s="373"/>
      <c r="H138" s="373"/>
      <c r="I138" s="373"/>
      <c r="J138" s="618"/>
      <c r="K138" s="374">
        <v>0</v>
      </c>
      <c r="L138" s="869"/>
      <c r="M138" s="373"/>
      <c r="N138" s="373"/>
      <c r="O138" s="870"/>
      <c r="P138" s="373"/>
      <c r="Q138" s="373"/>
      <c r="R138" s="373"/>
      <c r="S138" s="618"/>
      <c r="T138" s="374">
        <v>0</v>
      </c>
      <c r="U138" s="869"/>
      <c r="V138" s="373"/>
      <c r="W138" s="373"/>
      <c r="X138" s="870"/>
      <c r="Y138" s="373"/>
      <c r="Z138" s="373"/>
      <c r="AA138" s="373"/>
      <c r="AB138" s="618"/>
      <c r="AC138" s="374">
        <v>0</v>
      </c>
      <c r="AD138" s="869"/>
      <c r="AE138" s="373">
        <v>1</v>
      </c>
      <c r="AF138" s="373">
        <v>1</v>
      </c>
      <c r="AG138" s="870"/>
      <c r="AH138" s="373"/>
      <c r="AI138" s="373">
        <v>1</v>
      </c>
      <c r="AJ138" s="373">
        <v>1</v>
      </c>
      <c r="AK138" s="618"/>
      <c r="AL138" s="374">
        <v>0</v>
      </c>
      <c r="AM138" s="869"/>
      <c r="AN138" s="373">
        <v>1</v>
      </c>
      <c r="AO138" s="373">
        <v>1</v>
      </c>
      <c r="AP138" s="870"/>
      <c r="AQ138" s="373"/>
      <c r="AR138" s="373"/>
      <c r="AS138" s="373">
        <v>1</v>
      </c>
      <c r="AT138" s="618"/>
      <c r="AU138" s="374">
        <v>0</v>
      </c>
      <c r="AV138" s="869"/>
      <c r="AW138" s="373"/>
      <c r="AX138" s="373"/>
      <c r="AY138" s="870"/>
      <c r="AZ138" s="373"/>
      <c r="BA138" s="373"/>
      <c r="BB138" s="373"/>
      <c r="BC138" s="618"/>
      <c r="BD138" s="374">
        <v>0</v>
      </c>
      <c r="BE138" s="869"/>
      <c r="BF138" s="373"/>
      <c r="BG138" s="373"/>
      <c r="BH138" s="870"/>
      <c r="BI138" s="373"/>
      <c r="BJ138" s="373"/>
      <c r="BK138" s="373"/>
      <c r="BL138" s="618"/>
      <c r="BM138" s="374">
        <v>0</v>
      </c>
      <c r="BN138" s="869"/>
      <c r="BO138" s="373"/>
      <c r="BP138" s="373"/>
      <c r="BQ138" s="870"/>
      <c r="BR138" s="373"/>
      <c r="BS138" s="373"/>
      <c r="BT138" s="373"/>
      <c r="BU138" s="618"/>
      <c r="BV138" s="374">
        <v>0</v>
      </c>
      <c r="BW138" s="869"/>
      <c r="BX138" s="373"/>
      <c r="BY138" s="373">
        <v>1</v>
      </c>
      <c r="BZ138" s="870"/>
      <c r="CA138" s="373"/>
      <c r="CB138" s="373"/>
      <c r="CC138" s="373"/>
      <c r="CD138" s="618"/>
      <c r="CE138" s="374">
        <v>0</v>
      </c>
      <c r="CF138" s="869"/>
      <c r="CG138" s="373"/>
      <c r="CH138" s="373"/>
      <c r="CI138" s="870"/>
      <c r="CJ138" s="373"/>
      <c r="CK138" s="373"/>
      <c r="CL138" s="373"/>
      <c r="CM138" s="618"/>
      <c r="CN138" s="374">
        <v>0</v>
      </c>
      <c r="CO138" s="869"/>
      <c r="CP138" s="373"/>
      <c r="CQ138" s="373"/>
      <c r="CR138" s="870"/>
      <c r="CS138" s="373"/>
      <c r="CT138" s="373"/>
      <c r="CU138" s="373"/>
      <c r="CV138" s="618"/>
      <c r="CW138" s="374">
        <v>0</v>
      </c>
      <c r="CX138" s="869">
        <v>11</v>
      </c>
      <c r="CY138" s="373">
        <v>5</v>
      </c>
      <c r="CZ138" s="373">
        <v>4</v>
      </c>
      <c r="DA138" s="870">
        <v>3</v>
      </c>
      <c r="DB138" s="373">
        <v>2</v>
      </c>
      <c r="DC138" s="373">
        <v>9</v>
      </c>
      <c r="DD138" s="373">
        <v>1</v>
      </c>
      <c r="DE138" s="618">
        <v>2</v>
      </c>
      <c r="DF138" s="374">
        <v>0</v>
      </c>
      <c r="DG138" s="869"/>
      <c r="DH138" s="373"/>
      <c r="DI138" s="373"/>
      <c r="DJ138" s="870"/>
      <c r="DK138" s="373"/>
      <c r="DL138" s="373"/>
      <c r="DM138" s="373"/>
      <c r="DN138" s="618"/>
      <c r="DO138" s="374">
        <v>0</v>
      </c>
      <c r="DP138" s="869"/>
      <c r="DQ138" s="373"/>
      <c r="DR138" s="373"/>
      <c r="DS138" s="870"/>
      <c r="DT138" s="373"/>
      <c r="DU138" s="373"/>
      <c r="DV138" s="373"/>
      <c r="DW138" s="618"/>
      <c r="DX138" s="374">
        <v>0</v>
      </c>
      <c r="DY138" s="869">
        <v>2</v>
      </c>
      <c r="DZ138" s="373"/>
      <c r="EA138" s="373"/>
      <c r="EB138" s="870"/>
      <c r="EC138" s="373"/>
      <c r="ED138" s="373">
        <v>1</v>
      </c>
      <c r="EE138" s="373"/>
      <c r="EF138" s="618"/>
      <c r="EG138" s="374">
        <v>0</v>
      </c>
      <c r="EH138" s="869">
        <v>1</v>
      </c>
      <c r="EI138" s="373"/>
      <c r="EJ138" s="373"/>
      <c r="EK138" s="870"/>
      <c r="EL138" s="373">
        <v>1</v>
      </c>
      <c r="EM138" s="373"/>
      <c r="EN138" s="373"/>
      <c r="EO138" s="618"/>
      <c r="EP138" s="374">
        <v>0</v>
      </c>
      <c r="EQ138" s="869"/>
      <c r="ER138" s="373"/>
      <c r="ES138" s="373"/>
      <c r="ET138" s="870"/>
      <c r="EU138" s="373"/>
      <c r="EV138" s="373"/>
      <c r="EW138" s="373"/>
      <c r="EX138" s="618"/>
      <c r="EY138" s="374">
        <v>0</v>
      </c>
      <c r="EZ138" s="869"/>
      <c r="FA138" s="373"/>
      <c r="FB138" s="373"/>
      <c r="FC138" s="870"/>
      <c r="FD138" s="373"/>
      <c r="FE138" s="373"/>
      <c r="FF138" s="373"/>
      <c r="FG138" s="618"/>
      <c r="FH138" s="374">
        <v>0</v>
      </c>
      <c r="FI138" s="869"/>
      <c r="FJ138" s="373"/>
      <c r="FK138" s="373">
        <v>1</v>
      </c>
      <c r="FL138" s="870"/>
      <c r="FM138" s="373"/>
      <c r="FN138" s="373"/>
      <c r="FO138" s="373"/>
      <c r="FP138" s="618">
        <v>1</v>
      </c>
      <c r="FQ138" s="374">
        <v>0</v>
      </c>
      <c r="FR138" s="869"/>
      <c r="FS138" s="373"/>
      <c r="FT138" s="373"/>
      <c r="FU138" s="870"/>
      <c r="FV138" s="373"/>
      <c r="FW138" s="373"/>
      <c r="FX138" s="373"/>
      <c r="FY138" s="618"/>
      <c r="FZ138" s="374">
        <v>0</v>
      </c>
      <c r="GA138" s="869">
        <v>1</v>
      </c>
      <c r="GB138" s="373"/>
      <c r="GC138" s="373"/>
      <c r="GD138" s="870"/>
      <c r="GE138" s="373"/>
      <c r="GF138" s="373"/>
      <c r="GG138" s="373"/>
      <c r="GH138" s="618"/>
      <c r="GI138" s="374">
        <v>0</v>
      </c>
      <c r="GJ138" s="869">
        <v>13</v>
      </c>
      <c r="GK138" s="373">
        <v>6</v>
      </c>
      <c r="GL138" s="373">
        <v>7</v>
      </c>
      <c r="GM138" s="870">
        <v>3</v>
      </c>
      <c r="GN138" s="373">
        <v>3</v>
      </c>
      <c r="GO138" s="373">
        <v>10</v>
      </c>
      <c r="GP138" s="373">
        <v>2</v>
      </c>
      <c r="GQ138" s="618">
        <v>3</v>
      </c>
      <c r="GR138" s="374">
        <v>0</v>
      </c>
      <c r="GS138" s="869">
        <v>2</v>
      </c>
      <c r="GT138" s="373">
        <v>1</v>
      </c>
      <c r="GU138" s="373">
        <v>2</v>
      </c>
      <c r="GV138" s="870">
        <v>2</v>
      </c>
      <c r="GW138" s="373"/>
      <c r="GX138" s="373">
        <v>1</v>
      </c>
      <c r="GY138" s="373"/>
      <c r="GZ138" s="618">
        <v>1</v>
      </c>
      <c r="HA138" s="374">
        <v>0</v>
      </c>
      <c r="HB138" s="869"/>
      <c r="HC138" s="373"/>
      <c r="HD138" s="373"/>
      <c r="HE138" s="870"/>
      <c r="HF138" s="373"/>
      <c r="HG138" s="373"/>
      <c r="HH138" s="373"/>
      <c r="HI138" s="618"/>
      <c r="HJ138" s="374">
        <v>0</v>
      </c>
      <c r="HK138" s="869"/>
      <c r="HL138" s="373"/>
      <c r="HM138" s="373"/>
      <c r="HN138" s="870"/>
      <c r="HO138" s="373"/>
      <c r="HP138" s="373"/>
      <c r="HQ138" s="373"/>
      <c r="HR138" s="618"/>
      <c r="HS138" s="374">
        <v>0</v>
      </c>
      <c r="HT138" s="869">
        <v>5</v>
      </c>
      <c r="HU138" s="373">
        <v>4</v>
      </c>
      <c r="HV138" s="373">
        <v>4</v>
      </c>
      <c r="HW138" s="870">
        <v>4</v>
      </c>
      <c r="HX138" s="373">
        <v>1</v>
      </c>
      <c r="HY138" s="373">
        <v>2</v>
      </c>
      <c r="HZ138" s="373">
        <v>1</v>
      </c>
      <c r="IA138" s="618">
        <v>1</v>
      </c>
      <c r="IB138" s="374">
        <v>0</v>
      </c>
      <c r="IC138" s="869">
        <v>16</v>
      </c>
      <c r="ID138" s="373">
        <v>10</v>
      </c>
      <c r="IE138" s="373">
        <v>14</v>
      </c>
      <c r="IF138" s="870">
        <v>12</v>
      </c>
      <c r="IG138" s="373">
        <v>12</v>
      </c>
      <c r="IH138" s="373">
        <v>17</v>
      </c>
      <c r="II138" s="373">
        <v>5</v>
      </c>
      <c r="IJ138" s="618">
        <v>7</v>
      </c>
      <c r="IK138" s="374">
        <v>3</v>
      </c>
      <c r="IL138" s="377">
        <v>3</v>
      </c>
      <c r="IM138" s="373">
        <v>1</v>
      </c>
      <c r="IN138" s="373">
        <v>1</v>
      </c>
      <c r="IO138" s="871"/>
      <c r="IP138" s="871"/>
      <c r="IQ138" s="373">
        <v>1</v>
      </c>
      <c r="IR138" s="373"/>
      <c r="IS138" s="618"/>
      <c r="IT138" s="374">
        <v>0</v>
      </c>
    </row>
    <row r="139" spans="1:254" s="245" customFormat="1" ht="12.75" customHeight="1" x14ac:dyDescent="0.2">
      <c r="A139" s="1052"/>
      <c r="B139" s="868" t="s">
        <v>991</v>
      </c>
      <c r="C139" s="869"/>
      <c r="D139" s="373"/>
      <c r="E139" s="373"/>
      <c r="F139" s="870"/>
      <c r="G139" s="373"/>
      <c r="H139" s="373"/>
      <c r="I139" s="373"/>
      <c r="J139" s="618"/>
      <c r="K139" s="374">
        <v>0</v>
      </c>
      <c r="L139" s="869"/>
      <c r="M139" s="373"/>
      <c r="N139" s="373"/>
      <c r="O139" s="870"/>
      <c r="P139" s="373"/>
      <c r="Q139" s="373"/>
      <c r="R139" s="373"/>
      <c r="S139" s="618"/>
      <c r="T139" s="374">
        <v>0</v>
      </c>
      <c r="U139" s="869"/>
      <c r="V139" s="373"/>
      <c r="W139" s="373"/>
      <c r="X139" s="870"/>
      <c r="Y139" s="373"/>
      <c r="Z139" s="373"/>
      <c r="AA139" s="373"/>
      <c r="AB139" s="618"/>
      <c r="AC139" s="374">
        <v>0</v>
      </c>
      <c r="AD139" s="869">
        <v>1</v>
      </c>
      <c r="AE139" s="373"/>
      <c r="AF139" s="373"/>
      <c r="AG139" s="870">
        <v>1</v>
      </c>
      <c r="AH139" s="373"/>
      <c r="AI139" s="373">
        <v>2</v>
      </c>
      <c r="AJ139" s="373">
        <v>1</v>
      </c>
      <c r="AK139" s="618">
        <v>2</v>
      </c>
      <c r="AL139" s="374">
        <v>0</v>
      </c>
      <c r="AM139" s="869"/>
      <c r="AN139" s="373"/>
      <c r="AO139" s="373"/>
      <c r="AP139" s="870">
        <v>1</v>
      </c>
      <c r="AQ139" s="373"/>
      <c r="AR139" s="373"/>
      <c r="AS139" s="373">
        <v>1</v>
      </c>
      <c r="AT139" s="618"/>
      <c r="AU139" s="374">
        <v>0</v>
      </c>
      <c r="AV139" s="869"/>
      <c r="AW139" s="373"/>
      <c r="AX139" s="373"/>
      <c r="AY139" s="870"/>
      <c r="AZ139" s="373"/>
      <c r="BA139" s="373"/>
      <c r="BB139" s="373"/>
      <c r="BC139" s="618"/>
      <c r="BD139" s="374">
        <v>0</v>
      </c>
      <c r="BE139" s="869"/>
      <c r="BF139" s="373"/>
      <c r="BG139" s="373"/>
      <c r="BH139" s="870"/>
      <c r="BI139" s="373">
        <v>1</v>
      </c>
      <c r="BJ139" s="373"/>
      <c r="BK139" s="373"/>
      <c r="BL139" s="618"/>
      <c r="BM139" s="374">
        <v>0</v>
      </c>
      <c r="BN139" s="869"/>
      <c r="BO139" s="373"/>
      <c r="BP139" s="373"/>
      <c r="BQ139" s="870"/>
      <c r="BR139" s="373"/>
      <c r="BS139" s="373"/>
      <c r="BT139" s="373"/>
      <c r="BU139" s="618"/>
      <c r="BV139" s="374">
        <v>0</v>
      </c>
      <c r="BW139" s="869">
        <v>1</v>
      </c>
      <c r="BX139" s="373"/>
      <c r="BY139" s="373">
        <v>1</v>
      </c>
      <c r="BZ139" s="870"/>
      <c r="CA139" s="373">
        <v>1</v>
      </c>
      <c r="CB139" s="373"/>
      <c r="CC139" s="373">
        <v>1</v>
      </c>
      <c r="CD139" s="618"/>
      <c r="CE139" s="374">
        <v>1</v>
      </c>
      <c r="CF139" s="869"/>
      <c r="CG139" s="373"/>
      <c r="CH139" s="373"/>
      <c r="CI139" s="870"/>
      <c r="CJ139" s="373"/>
      <c r="CK139" s="373"/>
      <c r="CL139" s="373"/>
      <c r="CM139" s="618"/>
      <c r="CN139" s="374">
        <v>0</v>
      </c>
      <c r="CO139" s="869"/>
      <c r="CP139" s="373"/>
      <c r="CQ139" s="373"/>
      <c r="CR139" s="870"/>
      <c r="CS139" s="373"/>
      <c r="CT139" s="373"/>
      <c r="CU139" s="373"/>
      <c r="CV139" s="618"/>
      <c r="CW139" s="374">
        <v>0</v>
      </c>
      <c r="CX139" s="869">
        <v>7</v>
      </c>
      <c r="CY139" s="373">
        <v>2</v>
      </c>
      <c r="CZ139" s="373">
        <v>4</v>
      </c>
      <c r="DA139" s="870">
        <v>2</v>
      </c>
      <c r="DB139" s="373">
        <v>6</v>
      </c>
      <c r="DC139" s="373">
        <v>2</v>
      </c>
      <c r="DD139" s="373"/>
      <c r="DE139" s="618"/>
      <c r="DF139" s="374">
        <v>1</v>
      </c>
      <c r="DG139" s="869"/>
      <c r="DH139" s="373"/>
      <c r="DI139" s="373"/>
      <c r="DJ139" s="870"/>
      <c r="DK139" s="373"/>
      <c r="DL139" s="373"/>
      <c r="DM139" s="373"/>
      <c r="DN139" s="618"/>
      <c r="DO139" s="374">
        <v>0</v>
      </c>
      <c r="DP139" s="869"/>
      <c r="DQ139" s="373"/>
      <c r="DR139" s="373"/>
      <c r="DS139" s="870">
        <v>1</v>
      </c>
      <c r="DT139" s="373"/>
      <c r="DU139" s="373"/>
      <c r="DV139" s="373"/>
      <c r="DW139" s="618"/>
      <c r="DX139" s="374">
        <v>0</v>
      </c>
      <c r="DY139" s="869">
        <v>2</v>
      </c>
      <c r="DZ139" s="373"/>
      <c r="EA139" s="373">
        <v>1</v>
      </c>
      <c r="EB139" s="870"/>
      <c r="EC139" s="373"/>
      <c r="ED139" s="373"/>
      <c r="EE139" s="373"/>
      <c r="EF139" s="618"/>
      <c r="EG139" s="374">
        <v>0</v>
      </c>
      <c r="EH139" s="869"/>
      <c r="EI139" s="373"/>
      <c r="EJ139" s="373"/>
      <c r="EK139" s="870"/>
      <c r="EL139" s="373"/>
      <c r="EM139" s="373"/>
      <c r="EN139" s="373"/>
      <c r="EO139" s="618"/>
      <c r="EP139" s="374">
        <v>0</v>
      </c>
      <c r="EQ139" s="869"/>
      <c r="ER139" s="373"/>
      <c r="ES139" s="373"/>
      <c r="ET139" s="870"/>
      <c r="EU139" s="373"/>
      <c r="EV139" s="373"/>
      <c r="EW139" s="373"/>
      <c r="EX139" s="618"/>
      <c r="EY139" s="374">
        <v>0</v>
      </c>
      <c r="EZ139" s="869"/>
      <c r="FA139" s="373"/>
      <c r="FB139" s="373"/>
      <c r="FC139" s="870"/>
      <c r="FD139" s="373"/>
      <c r="FE139" s="373"/>
      <c r="FF139" s="373"/>
      <c r="FG139" s="618"/>
      <c r="FH139" s="374">
        <v>0</v>
      </c>
      <c r="FI139" s="869"/>
      <c r="FJ139" s="373">
        <v>1</v>
      </c>
      <c r="FK139" s="373"/>
      <c r="FL139" s="870">
        <v>1</v>
      </c>
      <c r="FM139" s="373"/>
      <c r="FN139" s="373"/>
      <c r="FO139" s="373"/>
      <c r="FP139" s="618"/>
      <c r="FQ139" s="374">
        <v>0</v>
      </c>
      <c r="FR139" s="869"/>
      <c r="FS139" s="373"/>
      <c r="FT139" s="373"/>
      <c r="FU139" s="870"/>
      <c r="FV139" s="373"/>
      <c r="FW139" s="373"/>
      <c r="FX139" s="373"/>
      <c r="FY139" s="618"/>
      <c r="FZ139" s="374">
        <v>0</v>
      </c>
      <c r="GA139" s="869"/>
      <c r="GB139" s="373"/>
      <c r="GC139" s="373"/>
      <c r="GD139" s="870"/>
      <c r="GE139" s="373">
        <v>1</v>
      </c>
      <c r="GF139" s="373"/>
      <c r="GG139" s="373"/>
      <c r="GH139" s="618"/>
      <c r="GI139" s="374">
        <v>0</v>
      </c>
      <c r="GJ139" s="869">
        <v>9</v>
      </c>
      <c r="GK139" s="373">
        <v>3</v>
      </c>
      <c r="GL139" s="373">
        <v>5</v>
      </c>
      <c r="GM139" s="870">
        <v>4</v>
      </c>
      <c r="GN139" s="373">
        <v>9</v>
      </c>
      <c r="GO139" s="373">
        <v>4</v>
      </c>
      <c r="GP139" s="373">
        <v>2</v>
      </c>
      <c r="GQ139" s="618">
        <v>2</v>
      </c>
      <c r="GR139" s="374">
        <v>2</v>
      </c>
      <c r="GS139" s="869">
        <v>1</v>
      </c>
      <c r="GT139" s="373"/>
      <c r="GU139" s="373">
        <v>3</v>
      </c>
      <c r="GV139" s="870">
        <v>3</v>
      </c>
      <c r="GW139" s="373">
        <v>1</v>
      </c>
      <c r="GX139" s="373"/>
      <c r="GY139" s="373">
        <v>2</v>
      </c>
      <c r="GZ139" s="618"/>
      <c r="HA139" s="374">
        <v>0</v>
      </c>
      <c r="HB139" s="869"/>
      <c r="HC139" s="373"/>
      <c r="HD139" s="373"/>
      <c r="HE139" s="870"/>
      <c r="HF139" s="373"/>
      <c r="HG139" s="373"/>
      <c r="HH139" s="373"/>
      <c r="HI139" s="618"/>
      <c r="HJ139" s="374">
        <v>0</v>
      </c>
      <c r="HK139" s="869"/>
      <c r="HL139" s="373"/>
      <c r="HM139" s="373"/>
      <c r="HN139" s="870"/>
      <c r="HO139" s="373"/>
      <c r="HP139" s="373"/>
      <c r="HQ139" s="373"/>
      <c r="HR139" s="618"/>
      <c r="HS139" s="374">
        <v>0</v>
      </c>
      <c r="HT139" s="869">
        <v>3</v>
      </c>
      <c r="HU139" s="373">
        <v>2</v>
      </c>
      <c r="HV139" s="373">
        <v>5</v>
      </c>
      <c r="HW139" s="870">
        <v>5</v>
      </c>
      <c r="HX139" s="373">
        <v>1</v>
      </c>
      <c r="HY139" s="373">
        <v>1</v>
      </c>
      <c r="HZ139" s="373">
        <v>3</v>
      </c>
      <c r="IA139" s="618">
        <v>2</v>
      </c>
      <c r="IB139" s="374">
        <v>3</v>
      </c>
      <c r="IC139" s="869">
        <v>11</v>
      </c>
      <c r="ID139" s="373">
        <v>15</v>
      </c>
      <c r="IE139" s="373">
        <v>7</v>
      </c>
      <c r="IF139" s="870">
        <v>9</v>
      </c>
      <c r="IG139" s="373">
        <v>12</v>
      </c>
      <c r="IH139" s="373">
        <v>8</v>
      </c>
      <c r="II139" s="373">
        <v>8</v>
      </c>
      <c r="IJ139" s="618">
        <v>6</v>
      </c>
      <c r="IK139" s="374">
        <v>9</v>
      </c>
      <c r="IL139" s="377">
        <v>5</v>
      </c>
      <c r="IM139" s="373"/>
      <c r="IN139" s="373">
        <v>1</v>
      </c>
      <c r="IO139" s="871"/>
      <c r="IP139" s="871"/>
      <c r="IQ139" s="373"/>
      <c r="IR139" s="373"/>
      <c r="IS139" s="618"/>
      <c r="IT139" s="374">
        <v>0</v>
      </c>
    </row>
    <row r="140" spans="1:254" s="245" customFormat="1" ht="12.75" customHeight="1" x14ac:dyDescent="0.2">
      <c r="A140" s="1052"/>
      <c r="B140" s="868" t="s">
        <v>992</v>
      </c>
      <c r="C140" s="869"/>
      <c r="D140" s="373"/>
      <c r="E140" s="373"/>
      <c r="F140" s="870"/>
      <c r="G140" s="373"/>
      <c r="H140" s="373"/>
      <c r="I140" s="373"/>
      <c r="J140" s="618"/>
      <c r="K140" s="374">
        <v>0</v>
      </c>
      <c r="L140" s="869"/>
      <c r="M140" s="373"/>
      <c r="N140" s="373"/>
      <c r="O140" s="870"/>
      <c r="P140" s="373"/>
      <c r="Q140" s="373"/>
      <c r="R140" s="373"/>
      <c r="S140" s="618"/>
      <c r="T140" s="374">
        <v>0</v>
      </c>
      <c r="U140" s="869"/>
      <c r="V140" s="373"/>
      <c r="W140" s="373"/>
      <c r="X140" s="870"/>
      <c r="Y140" s="373"/>
      <c r="Z140" s="373"/>
      <c r="AA140" s="373"/>
      <c r="AB140" s="618"/>
      <c r="AC140" s="374">
        <v>0</v>
      </c>
      <c r="AD140" s="869"/>
      <c r="AE140" s="373"/>
      <c r="AF140" s="373"/>
      <c r="AG140" s="870">
        <v>1</v>
      </c>
      <c r="AH140" s="373"/>
      <c r="AI140" s="373">
        <v>1</v>
      </c>
      <c r="AJ140" s="373">
        <v>1</v>
      </c>
      <c r="AK140" s="618"/>
      <c r="AL140" s="374">
        <v>0</v>
      </c>
      <c r="AM140" s="869"/>
      <c r="AN140" s="373"/>
      <c r="AO140" s="373"/>
      <c r="AP140" s="870">
        <v>1</v>
      </c>
      <c r="AQ140" s="373"/>
      <c r="AR140" s="373">
        <v>1</v>
      </c>
      <c r="AS140" s="373">
        <v>1</v>
      </c>
      <c r="AT140" s="618"/>
      <c r="AU140" s="374">
        <v>0</v>
      </c>
      <c r="AV140" s="869"/>
      <c r="AW140" s="373"/>
      <c r="AX140" s="373"/>
      <c r="AY140" s="870"/>
      <c r="AZ140" s="373"/>
      <c r="BA140" s="373"/>
      <c r="BB140" s="373"/>
      <c r="BC140" s="618"/>
      <c r="BD140" s="374">
        <v>0</v>
      </c>
      <c r="BE140" s="869"/>
      <c r="BF140" s="373"/>
      <c r="BG140" s="373"/>
      <c r="BH140" s="870"/>
      <c r="BI140" s="373"/>
      <c r="BJ140" s="373"/>
      <c r="BK140" s="373"/>
      <c r="BL140" s="618"/>
      <c r="BM140" s="374">
        <v>0</v>
      </c>
      <c r="BN140" s="869"/>
      <c r="BO140" s="373"/>
      <c r="BP140" s="373"/>
      <c r="BQ140" s="870"/>
      <c r="BR140" s="373"/>
      <c r="BS140" s="373"/>
      <c r="BT140" s="373"/>
      <c r="BU140" s="618"/>
      <c r="BV140" s="374">
        <v>0</v>
      </c>
      <c r="BW140" s="869"/>
      <c r="BX140" s="373">
        <v>1</v>
      </c>
      <c r="BY140" s="373"/>
      <c r="BZ140" s="870"/>
      <c r="CA140" s="373"/>
      <c r="CB140" s="373"/>
      <c r="CC140" s="373"/>
      <c r="CD140" s="618"/>
      <c r="CE140" s="374">
        <v>0</v>
      </c>
      <c r="CF140" s="869"/>
      <c r="CG140" s="373"/>
      <c r="CH140" s="373"/>
      <c r="CI140" s="870"/>
      <c r="CJ140" s="373"/>
      <c r="CK140" s="373"/>
      <c r="CL140" s="373"/>
      <c r="CM140" s="618"/>
      <c r="CN140" s="374">
        <v>0</v>
      </c>
      <c r="CO140" s="869"/>
      <c r="CP140" s="373"/>
      <c r="CQ140" s="373"/>
      <c r="CR140" s="870"/>
      <c r="CS140" s="373"/>
      <c r="CT140" s="373"/>
      <c r="CU140" s="373"/>
      <c r="CV140" s="618"/>
      <c r="CW140" s="374">
        <v>0</v>
      </c>
      <c r="CX140" s="869">
        <v>11</v>
      </c>
      <c r="CY140" s="373">
        <v>11</v>
      </c>
      <c r="CZ140" s="373">
        <v>7</v>
      </c>
      <c r="DA140" s="870">
        <v>5</v>
      </c>
      <c r="DB140" s="373">
        <v>1</v>
      </c>
      <c r="DC140" s="373">
        <v>2</v>
      </c>
      <c r="DD140" s="373">
        <v>2</v>
      </c>
      <c r="DE140" s="618">
        <v>1</v>
      </c>
      <c r="DF140" s="374">
        <v>0</v>
      </c>
      <c r="DG140" s="869"/>
      <c r="DH140" s="373"/>
      <c r="DI140" s="373"/>
      <c r="DJ140" s="870"/>
      <c r="DK140" s="373"/>
      <c r="DL140" s="373"/>
      <c r="DM140" s="373"/>
      <c r="DN140" s="618"/>
      <c r="DO140" s="374">
        <v>0</v>
      </c>
      <c r="DP140" s="869"/>
      <c r="DQ140" s="373">
        <v>1</v>
      </c>
      <c r="DR140" s="373"/>
      <c r="DS140" s="870"/>
      <c r="DT140" s="373"/>
      <c r="DU140" s="373"/>
      <c r="DV140" s="373"/>
      <c r="DW140" s="618"/>
      <c r="DX140" s="374">
        <v>0</v>
      </c>
      <c r="DY140" s="869">
        <v>2</v>
      </c>
      <c r="DZ140" s="373">
        <v>4</v>
      </c>
      <c r="EA140" s="373"/>
      <c r="EB140" s="870"/>
      <c r="EC140" s="373"/>
      <c r="ED140" s="373">
        <v>2</v>
      </c>
      <c r="EE140" s="373"/>
      <c r="EF140" s="618"/>
      <c r="EG140" s="374">
        <v>0</v>
      </c>
      <c r="EH140" s="869"/>
      <c r="EI140" s="373"/>
      <c r="EJ140" s="373"/>
      <c r="EK140" s="870"/>
      <c r="EL140" s="373"/>
      <c r="EM140" s="373"/>
      <c r="EN140" s="373"/>
      <c r="EO140" s="618"/>
      <c r="EP140" s="374">
        <v>0</v>
      </c>
      <c r="EQ140" s="869"/>
      <c r="ER140" s="373"/>
      <c r="ES140" s="373"/>
      <c r="ET140" s="870"/>
      <c r="EU140" s="373"/>
      <c r="EV140" s="373"/>
      <c r="EW140" s="373"/>
      <c r="EX140" s="618"/>
      <c r="EY140" s="374">
        <v>0</v>
      </c>
      <c r="EZ140" s="869"/>
      <c r="FA140" s="373"/>
      <c r="FB140" s="373"/>
      <c r="FC140" s="870"/>
      <c r="FD140" s="373"/>
      <c r="FE140" s="373"/>
      <c r="FF140" s="373"/>
      <c r="FG140" s="618"/>
      <c r="FH140" s="374">
        <v>0</v>
      </c>
      <c r="FI140" s="869">
        <v>1</v>
      </c>
      <c r="FJ140" s="373">
        <v>1</v>
      </c>
      <c r="FK140" s="373"/>
      <c r="FL140" s="870"/>
      <c r="FM140" s="373">
        <v>1</v>
      </c>
      <c r="FN140" s="373"/>
      <c r="FO140" s="373"/>
      <c r="FP140" s="618"/>
      <c r="FQ140" s="374">
        <v>0</v>
      </c>
      <c r="FR140" s="869"/>
      <c r="FS140" s="373"/>
      <c r="FT140" s="373"/>
      <c r="FU140" s="870"/>
      <c r="FV140" s="373"/>
      <c r="FW140" s="373"/>
      <c r="FX140" s="373"/>
      <c r="FY140" s="618"/>
      <c r="FZ140" s="374">
        <v>0</v>
      </c>
      <c r="GA140" s="869"/>
      <c r="GB140" s="373"/>
      <c r="GC140" s="373"/>
      <c r="GD140" s="870"/>
      <c r="GE140" s="373"/>
      <c r="GF140" s="373">
        <v>1</v>
      </c>
      <c r="GG140" s="373"/>
      <c r="GH140" s="618"/>
      <c r="GI140" s="374">
        <v>0</v>
      </c>
      <c r="GJ140" s="869">
        <v>12</v>
      </c>
      <c r="GK140" s="373">
        <v>13</v>
      </c>
      <c r="GL140" s="373">
        <v>7</v>
      </c>
      <c r="GM140" s="870">
        <v>6</v>
      </c>
      <c r="GN140" s="373">
        <v>2</v>
      </c>
      <c r="GO140" s="373">
        <v>4</v>
      </c>
      <c r="GP140" s="373">
        <v>3</v>
      </c>
      <c r="GQ140" s="618">
        <v>1</v>
      </c>
      <c r="GR140" s="374">
        <v>0</v>
      </c>
      <c r="GS140" s="869">
        <v>3</v>
      </c>
      <c r="GT140" s="373">
        <v>3</v>
      </c>
      <c r="GU140" s="373">
        <v>6</v>
      </c>
      <c r="GV140" s="870">
        <v>2</v>
      </c>
      <c r="GW140" s="373">
        <v>1</v>
      </c>
      <c r="GX140" s="373">
        <v>1</v>
      </c>
      <c r="GY140" s="373">
        <v>1</v>
      </c>
      <c r="GZ140" s="618"/>
      <c r="HA140" s="374">
        <v>0</v>
      </c>
      <c r="HB140" s="869">
        <v>1</v>
      </c>
      <c r="HC140" s="373"/>
      <c r="HD140" s="373"/>
      <c r="HE140" s="870"/>
      <c r="HF140" s="373"/>
      <c r="HG140" s="373"/>
      <c r="HH140" s="373"/>
      <c r="HI140" s="618"/>
      <c r="HJ140" s="374">
        <v>0</v>
      </c>
      <c r="HK140" s="869"/>
      <c r="HL140" s="373"/>
      <c r="HM140" s="373"/>
      <c r="HN140" s="870"/>
      <c r="HO140" s="373"/>
      <c r="HP140" s="373"/>
      <c r="HQ140" s="373"/>
      <c r="HR140" s="618"/>
      <c r="HS140" s="374">
        <v>0</v>
      </c>
      <c r="HT140" s="869">
        <v>7</v>
      </c>
      <c r="HU140" s="373">
        <v>4</v>
      </c>
      <c r="HV140" s="373">
        <v>11</v>
      </c>
      <c r="HW140" s="870">
        <v>10</v>
      </c>
      <c r="HX140" s="373">
        <v>6</v>
      </c>
      <c r="HY140" s="373">
        <v>7</v>
      </c>
      <c r="HZ140" s="373">
        <v>5</v>
      </c>
      <c r="IA140" s="618">
        <v>7</v>
      </c>
      <c r="IB140" s="374">
        <v>10</v>
      </c>
      <c r="IC140" s="869">
        <v>20</v>
      </c>
      <c r="ID140" s="373">
        <v>19</v>
      </c>
      <c r="IE140" s="373">
        <v>14</v>
      </c>
      <c r="IF140" s="870">
        <v>18</v>
      </c>
      <c r="IG140" s="373">
        <v>8</v>
      </c>
      <c r="IH140" s="373">
        <v>13</v>
      </c>
      <c r="II140" s="373">
        <v>10</v>
      </c>
      <c r="IJ140" s="618">
        <v>11</v>
      </c>
      <c r="IK140" s="374">
        <v>15</v>
      </c>
      <c r="IL140" s="377">
        <v>5</v>
      </c>
      <c r="IM140" s="373">
        <v>5</v>
      </c>
      <c r="IN140" s="373"/>
      <c r="IO140" s="871">
        <v>1</v>
      </c>
      <c r="IP140" s="871"/>
      <c r="IQ140" s="373">
        <v>2</v>
      </c>
      <c r="IR140" s="373"/>
      <c r="IS140" s="618"/>
      <c r="IT140" s="374">
        <v>0</v>
      </c>
    </row>
    <row r="141" spans="1:254" s="245" customFormat="1" ht="12.75" customHeight="1" x14ac:dyDescent="0.2">
      <c r="A141" s="1052"/>
      <c r="B141" s="868" t="s">
        <v>993</v>
      </c>
      <c r="C141" s="869"/>
      <c r="D141" s="373"/>
      <c r="E141" s="373"/>
      <c r="F141" s="870"/>
      <c r="G141" s="373"/>
      <c r="H141" s="373"/>
      <c r="I141" s="373"/>
      <c r="J141" s="618"/>
      <c r="K141" s="374">
        <v>0</v>
      </c>
      <c r="L141" s="869"/>
      <c r="M141" s="373"/>
      <c r="N141" s="373"/>
      <c r="O141" s="870"/>
      <c r="P141" s="373"/>
      <c r="Q141" s="373"/>
      <c r="R141" s="373"/>
      <c r="S141" s="618"/>
      <c r="T141" s="374">
        <v>0</v>
      </c>
      <c r="U141" s="869"/>
      <c r="V141" s="373"/>
      <c r="W141" s="373"/>
      <c r="X141" s="870"/>
      <c r="Y141" s="373"/>
      <c r="Z141" s="373"/>
      <c r="AA141" s="373"/>
      <c r="AB141" s="618"/>
      <c r="AC141" s="374">
        <v>0</v>
      </c>
      <c r="AD141" s="869">
        <v>1</v>
      </c>
      <c r="AE141" s="373"/>
      <c r="AF141" s="373"/>
      <c r="AG141" s="870"/>
      <c r="AH141" s="373"/>
      <c r="AI141" s="373"/>
      <c r="AJ141" s="373"/>
      <c r="AK141" s="618">
        <v>1</v>
      </c>
      <c r="AL141" s="374">
        <v>0</v>
      </c>
      <c r="AM141" s="869"/>
      <c r="AN141" s="373"/>
      <c r="AO141" s="373"/>
      <c r="AP141" s="870"/>
      <c r="AQ141" s="373"/>
      <c r="AR141" s="373"/>
      <c r="AS141" s="373"/>
      <c r="AT141" s="618"/>
      <c r="AU141" s="374">
        <v>0</v>
      </c>
      <c r="AV141" s="869"/>
      <c r="AW141" s="373"/>
      <c r="AX141" s="373"/>
      <c r="AY141" s="870"/>
      <c r="AZ141" s="373"/>
      <c r="BA141" s="373"/>
      <c r="BB141" s="373"/>
      <c r="BC141" s="618"/>
      <c r="BD141" s="374">
        <v>0</v>
      </c>
      <c r="BE141" s="869"/>
      <c r="BF141" s="373"/>
      <c r="BG141" s="373">
        <v>1</v>
      </c>
      <c r="BH141" s="870"/>
      <c r="BI141" s="373"/>
      <c r="BJ141" s="373"/>
      <c r="BK141" s="373"/>
      <c r="BL141" s="618"/>
      <c r="BM141" s="374">
        <v>0</v>
      </c>
      <c r="BN141" s="869"/>
      <c r="BO141" s="373"/>
      <c r="BP141" s="373"/>
      <c r="BQ141" s="870"/>
      <c r="BR141" s="373"/>
      <c r="BS141" s="373"/>
      <c r="BT141" s="373"/>
      <c r="BU141" s="618"/>
      <c r="BV141" s="374">
        <v>0</v>
      </c>
      <c r="BW141" s="869">
        <v>1</v>
      </c>
      <c r="BX141" s="373"/>
      <c r="BY141" s="373"/>
      <c r="BZ141" s="870"/>
      <c r="CA141" s="373"/>
      <c r="CB141" s="373"/>
      <c r="CC141" s="373"/>
      <c r="CD141" s="618"/>
      <c r="CE141" s="374">
        <v>0</v>
      </c>
      <c r="CF141" s="869"/>
      <c r="CG141" s="373"/>
      <c r="CH141" s="373"/>
      <c r="CI141" s="870"/>
      <c r="CJ141" s="373"/>
      <c r="CK141" s="373"/>
      <c r="CL141" s="373"/>
      <c r="CM141" s="618"/>
      <c r="CN141" s="374">
        <v>0</v>
      </c>
      <c r="CO141" s="869"/>
      <c r="CP141" s="373"/>
      <c r="CQ141" s="373"/>
      <c r="CR141" s="870"/>
      <c r="CS141" s="373"/>
      <c r="CT141" s="373"/>
      <c r="CU141" s="373"/>
      <c r="CV141" s="618"/>
      <c r="CW141" s="374">
        <v>0</v>
      </c>
      <c r="CX141" s="869">
        <v>8</v>
      </c>
      <c r="CY141" s="373">
        <v>9</v>
      </c>
      <c r="CZ141" s="373">
        <v>7</v>
      </c>
      <c r="DA141" s="870">
        <v>1</v>
      </c>
      <c r="DB141" s="373">
        <v>1</v>
      </c>
      <c r="DC141" s="373">
        <v>1</v>
      </c>
      <c r="DD141" s="373"/>
      <c r="DE141" s="618">
        <v>2</v>
      </c>
      <c r="DF141" s="374">
        <v>1</v>
      </c>
      <c r="DG141" s="869"/>
      <c r="DH141" s="373"/>
      <c r="DI141" s="373"/>
      <c r="DJ141" s="870"/>
      <c r="DK141" s="373"/>
      <c r="DL141" s="373"/>
      <c r="DM141" s="373"/>
      <c r="DN141" s="618"/>
      <c r="DO141" s="374">
        <v>0</v>
      </c>
      <c r="DP141" s="869"/>
      <c r="DQ141" s="373"/>
      <c r="DR141" s="373"/>
      <c r="DS141" s="870"/>
      <c r="DT141" s="373"/>
      <c r="DU141" s="373"/>
      <c r="DV141" s="373"/>
      <c r="DW141" s="618"/>
      <c r="DX141" s="374">
        <v>0</v>
      </c>
      <c r="DY141" s="869">
        <v>3</v>
      </c>
      <c r="DZ141" s="373">
        <v>2</v>
      </c>
      <c r="EA141" s="373">
        <v>2</v>
      </c>
      <c r="EB141" s="870"/>
      <c r="EC141" s="373"/>
      <c r="ED141" s="373"/>
      <c r="EE141" s="373"/>
      <c r="EF141" s="618"/>
      <c r="EG141" s="374">
        <v>0</v>
      </c>
      <c r="EH141" s="869"/>
      <c r="EI141" s="373"/>
      <c r="EJ141" s="373"/>
      <c r="EK141" s="870"/>
      <c r="EL141" s="373"/>
      <c r="EM141" s="373"/>
      <c r="EN141" s="373"/>
      <c r="EO141" s="618"/>
      <c r="EP141" s="374">
        <v>0</v>
      </c>
      <c r="EQ141" s="869"/>
      <c r="ER141" s="373"/>
      <c r="ES141" s="373"/>
      <c r="ET141" s="870"/>
      <c r="EU141" s="373"/>
      <c r="EV141" s="373"/>
      <c r="EW141" s="373"/>
      <c r="EX141" s="618"/>
      <c r="EY141" s="374">
        <v>0</v>
      </c>
      <c r="EZ141" s="869"/>
      <c r="FA141" s="373"/>
      <c r="FB141" s="373"/>
      <c r="FC141" s="870"/>
      <c r="FD141" s="373"/>
      <c r="FE141" s="373"/>
      <c r="FF141" s="373"/>
      <c r="FG141" s="618"/>
      <c r="FH141" s="374">
        <v>0</v>
      </c>
      <c r="FI141" s="869"/>
      <c r="FJ141" s="373">
        <v>1</v>
      </c>
      <c r="FK141" s="373"/>
      <c r="FL141" s="870"/>
      <c r="FM141" s="373"/>
      <c r="FN141" s="373"/>
      <c r="FO141" s="373"/>
      <c r="FP141" s="618"/>
      <c r="FQ141" s="374">
        <v>0</v>
      </c>
      <c r="FR141" s="869"/>
      <c r="FS141" s="373"/>
      <c r="FT141" s="373"/>
      <c r="FU141" s="870"/>
      <c r="FV141" s="373"/>
      <c r="FW141" s="373"/>
      <c r="FX141" s="373"/>
      <c r="FY141" s="618"/>
      <c r="FZ141" s="374">
        <v>0</v>
      </c>
      <c r="GA141" s="869"/>
      <c r="GB141" s="373"/>
      <c r="GC141" s="373"/>
      <c r="GD141" s="870"/>
      <c r="GE141" s="373"/>
      <c r="GF141" s="373"/>
      <c r="GG141" s="373"/>
      <c r="GH141" s="618"/>
      <c r="GI141" s="374">
        <v>0</v>
      </c>
      <c r="GJ141" s="869">
        <v>10</v>
      </c>
      <c r="GK141" s="373">
        <v>10</v>
      </c>
      <c r="GL141" s="373">
        <v>8</v>
      </c>
      <c r="GM141" s="870">
        <v>1</v>
      </c>
      <c r="GN141" s="373">
        <v>1</v>
      </c>
      <c r="GO141" s="373">
        <v>1</v>
      </c>
      <c r="GP141" s="373"/>
      <c r="GQ141" s="618">
        <v>3</v>
      </c>
      <c r="GR141" s="374">
        <v>1</v>
      </c>
      <c r="GS141" s="869">
        <v>2</v>
      </c>
      <c r="GT141" s="373">
        <v>1</v>
      </c>
      <c r="GU141" s="373">
        <v>1</v>
      </c>
      <c r="GV141" s="870"/>
      <c r="GW141" s="373"/>
      <c r="GX141" s="373"/>
      <c r="GY141" s="373"/>
      <c r="GZ141" s="618">
        <v>1</v>
      </c>
      <c r="HA141" s="374">
        <v>0</v>
      </c>
      <c r="HB141" s="869"/>
      <c r="HC141" s="373"/>
      <c r="HD141" s="373"/>
      <c r="HE141" s="870"/>
      <c r="HF141" s="373"/>
      <c r="HG141" s="373"/>
      <c r="HH141" s="373"/>
      <c r="HI141" s="618"/>
      <c r="HJ141" s="374">
        <v>0</v>
      </c>
      <c r="HK141" s="869"/>
      <c r="HL141" s="373"/>
      <c r="HM141" s="373"/>
      <c r="HN141" s="870"/>
      <c r="HO141" s="373"/>
      <c r="HP141" s="373"/>
      <c r="HQ141" s="373"/>
      <c r="HR141" s="618"/>
      <c r="HS141" s="374">
        <v>0</v>
      </c>
      <c r="HT141" s="869">
        <v>2</v>
      </c>
      <c r="HU141" s="373">
        <v>1</v>
      </c>
      <c r="HV141" s="373">
        <v>1</v>
      </c>
      <c r="HW141" s="870">
        <v>1</v>
      </c>
      <c r="HX141" s="373">
        <v>1</v>
      </c>
      <c r="HY141" s="373"/>
      <c r="HZ141" s="373">
        <v>3</v>
      </c>
      <c r="IA141" s="618">
        <v>1</v>
      </c>
      <c r="IB141" s="374">
        <v>0</v>
      </c>
      <c r="IC141" s="869">
        <v>13</v>
      </c>
      <c r="ID141" s="373">
        <v>12</v>
      </c>
      <c r="IE141" s="373">
        <v>12</v>
      </c>
      <c r="IF141" s="870">
        <v>4</v>
      </c>
      <c r="IG141" s="373">
        <v>6</v>
      </c>
      <c r="IH141" s="373">
        <v>1</v>
      </c>
      <c r="II141" s="373">
        <v>4</v>
      </c>
      <c r="IJ141" s="618">
        <v>4</v>
      </c>
      <c r="IK141" s="374">
        <v>1</v>
      </c>
      <c r="IL141" s="377">
        <v>6</v>
      </c>
      <c r="IM141" s="373">
        <v>6</v>
      </c>
      <c r="IN141" s="373">
        <v>3</v>
      </c>
      <c r="IO141" s="871"/>
      <c r="IP141" s="871"/>
      <c r="IQ141" s="373"/>
      <c r="IR141" s="373"/>
      <c r="IS141" s="618"/>
      <c r="IT141" s="374">
        <v>0</v>
      </c>
    </row>
    <row r="142" spans="1:254" s="245" customFormat="1" ht="12.75" customHeight="1" x14ac:dyDescent="0.2">
      <c r="A142" s="1052"/>
      <c r="B142" s="868" t="s">
        <v>994</v>
      </c>
      <c r="C142" s="869"/>
      <c r="D142" s="373"/>
      <c r="E142" s="373"/>
      <c r="F142" s="870"/>
      <c r="G142" s="373"/>
      <c r="H142" s="373"/>
      <c r="I142" s="373"/>
      <c r="J142" s="618"/>
      <c r="K142" s="374">
        <v>0</v>
      </c>
      <c r="L142" s="869"/>
      <c r="M142" s="373"/>
      <c r="N142" s="373"/>
      <c r="O142" s="870"/>
      <c r="P142" s="373"/>
      <c r="Q142" s="373"/>
      <c r="R142" s="373"/>
      <c r="S142" s="618"/>
      <c r="T142" s="374">
        <v>0</v>
      </c>
      <c r="U142" s="869"/>
      <c r="V142" s="373"/>
      <c r="W142" s="373"/>
      <c r="X142" s="870"/>
      <c r="Y142" s="373"/>
      <c r="Z142" s="373"/>
      <c r="AA142" s="373"/>
      <c r="AB142" s="618"/>
      <c r="AC142" s="374">
        <v>0</v>
      </c>
      <c r="AD142" s="869"/>
      <c r="AE142" s="373">
        <v>1</v>
      </c>
      <c r="AF142" s="373"/>
      <c r="AG142" s="870"/>
      <c r="AH142" s="373">
        <v>1</v>
      </c>
      <c r="AI142" s="373">
        <v>3</v>
      </c>
      <c r="AJ142" s="373"/>
      <c r="AK142" s="618"/>
      <c r="AL142" s="374">
        <v>0</v>
      </c>
      <c r="AM142" s="869"/>
      <c r="AN142" s="373"/>
      <c r="AO142" s="373"/>
      <c r="AP142" s="870"/>
      <c r="AQ142" s="373"/>
      <c r="AR142" s="373">
        <v>2</v>
      </c>
      <c r="AS142" s="373"/>
      <c r="AT142" s="618"/>
      <c r="AU142" s="374">
        <v>0</v>
      </c>
      <c r="AV142" s="869"/>
      <c r="AW142" s="373"/>
      <c r="AX142" s="373"/>
      <c r="AY142" s="870"/>
      <c r="AZ142" s="373"/>
      <c r="BA142" s="373"/>
      <c r="BB142" s="373"/>
      <c r="BC142" s="618"/>
      <c r="BD142" s="374">
        <v>0</v>
      </c>
      <c r="BE142" s="869"/>
      <c r="BF142" s="373"/>
      <c r="BG142" s="373"/>
      <c r="BH142" s="870"/>
      <c r="BI142" s="373"/>
      <c r="BJ142" s="373"/>
      <c r="BK142" s="373">
        <v>1</v>
      </c>
      <c r="BL142" s="618"/>
      <c r="BM142" s="374">
        <v>0</v>
      </c>
      <c r="BN142" s="869"/>
      <c r="BO142" s="373"/>
      <c r="BP142" s="373"/>
      <c r="BQ142" s="870"/>
      <c r="BR142" s="373"/>
      <c r="BS142" s="373"/>
      <c r="BT142" s="373"/>
      <c r="BU142" s="618"/>
      <c r="BV142" s="374">
        <v>0</v>
      </c>
      <c r="BW142" s="869">
        <v>1</v>
      </c>
      <c r="BX142" s="373">
        <v>1</v>
      </c>
      <c r="BY142" s="373"/>
      <c r="BZ142" s="870"/>
      <c r="CA142" s="373">
        <v>2</v>
      </c>
      <c r="CB142" s="373">
        <v>2</v>
      </c>
      <c r="CC142" s="373"/>
      <c r="CD142" s="618"/>
      <c r="CE142" s="374">
        <v>0</v>
      </c>
      <c r="CF142" s="869"/>
      <c r="CG142" s="373"/>
      <c r="CH142" s="373"/>
      <c r="CI142" s="870"/>
      <c r="CJ142" s="373"/>
      <c r="CK142" s="373"/>
      <c r="CL142" s="373"/>
      <c r="CM142" s="618"/>
      <c r="CN142" s="374">
        <v>0</v>
      </c>
      <c r="CO142" s="869">
        <v>1</v>
      </c>
      <c r="CP142" s="373"/>
      <c r="CQ142" s="373"/>
      <c r="CR142" s="870"/>
      <c r="CS142" s="373"/>
      <c r="CT142" s="373"/>
      <c r="CU142" s="373">
        <v>1</v>
      </c>
      <c r="CV142" s="618"/>
      <c r="CW142" s="374">
        <v>0</v>
      </c>
      <c r="CX142" s="869">
        <v>6</v>
      </c>
      <c r="CY142" s="373">
        <v>13</v>
      </c>
      <c r="CZ142" s="373">
        <v>9</v>
      </c>
      <c r="DA142" s="870">
        <v>6</v>
      </c>
      <c r="DB142" s="373">
        <v>8</v>
      </c>
      <c r="DC142" s="373">
        <v>5</v>
      </c>
      <c r="DD142" s="373">
        <v>6</v>
      </c>
      <c r="DE142" s="618">
        <v>5</v>
      </c>
      <c r="DF142" s="374">
        <v>5</v>
      </c>
      <c r="DG142" s="869"/>
      <c r="DH142" s="373"/>
      <c r="DI142" s="373"/>
      <c r="DJ142" s="870"/>
      <c r="DK142" s="373"/>
      <c r="DL142" s="373"/>
      <c r="DM142" s="373"/>
      <c r="DN142" s="618"/>
      <c r="DO142" s="374">
        <v>0</v>
      </c>
      <c r="DP142" s="869"/>
      <c r="DQ142" s="373">
        <v>2</v>
      </c>
      <c r="DR142" s="373"/>
      <c r="DS142" s="870"/>
      <c r="DT142" s="373">
        <v>1</v>
      </c>
      <c r="DU142" s="373"/>
      <c r="DV142" s="373"/>
      <c r="DW142" s="618"/>
      <c r="DX142" s="374">
        <v>0</v>
      </c>
      <c r="DY142" s="869">
        <v>1</v>
      </c>
      <c r="DZ142" s="373"/>
      <c r="EA142" s="373">
        <v>1</v>
      </c>
      <c r="EB142" s="870"/>
      <c r="EC142" s="373">
        <v>1</v>
      </c>
      <c r="ED142" s="373"/>
      <c r="EE142" s="373">
        <v>1</v>
      </c>
      <c r="EF142" s="618">
        <v>1</v>
      </c>
      <c r="EG142" s="374">
        <v>0</v>
      </c>
      <c r="EH142" s="869"/>
      <c r="EI142" s="373"/>
      <c r="EJ142" s="373"/>
      <c r="EK142" s="870"/>
      <c r="EL142" s="373"/>
      <c r="EM142" s="373"/>
      <c r="EN142" s="373"/>
      <c r="EO142" s="618"/>
      <c r="EP142" s="374">
        <v>0</v>
      </c>
      <c r="EQ142" s="869"/>
      <c r="ER142" s="373"/>
      <c r="ES142" s="373"/>
      <c r="ET142" s="870"/>
      <c r="EU142" s="373"/>
      <c r="EV142" s="373"/>
      <c r="EW142" s="373"/>
      <c r="EX142" s="618"/>
      <c r="EY142" s="374">
        <v>0</v>
      </c>
      <c r="EZ142" s="869"/>
      <c r="FA142" s="373"/>
      <c r="FB142" s="373"/>
      <c r="FC142" s="870"/>
      <c r="FD142" s="373"/>
      <c r="FE142" s="373"/>
      <c r="FF142" s="373"/>
      <c r="FG142" s="618"/>
      <c r="FH142" s="374">
        <v>0</v>
      </c>
      <c r="FI142" s="869">
        <v>3</v>
      </c>
      <c r="FJ142" s="373">
        <v>2</v>
      </c>
      <c r="FK142" s="373">
        <v>1</v>
      </c>
      <c r="FL142" s="870">
        <v>1</v>
      </c>
      <c r="FM142" s="373"/>
      <c r="FN142" s="373">
        <v>1</v>
      </c>
      <c r="FO142" s="373"/>
      <c r="FP142" s="618">
        <v>1</v>
      </c>
      <c r="FQ142" s="374">
        <v>1</v>
      </c>
      <c r="FR142" s="869"/>
      <c r="FS142" s="373"/>
      <c r="FT142" s="373"/>
      <c r="FU142" s="870"/>
      <c r="FV142" s="373"/>
      <c r="FW142" s="373"/>
      <c r="FX142" s="373"/>
      <c r="FY142" s="618"/>
      <c r="FZ142" s="374">
        <v>0</v>
      </c>
      <c r="GA142" s="869"/>
      <c r="GB142" s="373"/>
      <c r="GC142" s="373"/>
      <c r="GD142" s="870"/>
      <c r="GE142" s="373"/>
      <c r="GF142" s="373"/>
      <c r="GG142" s="373"/>
      <c r="GH142" s="618"/>
      <c r="GI142" s="374">
        <v>0</v>
      </c>
      <c r="GJ142" s="869">
        <v>11</v>
      </c>
      <c r="GK142" s="373">
        <v>17</v>
      </c>
      <c r="GL142" s="373">
        <v>10</v>
      </c>
      <c r="GM142" s="870">
        <v>7</v>
      </c>
      <c r="GN142" s="373">
        <v>11</v>
      </c>
      <c r="GO142" s="373">
        <v>11</v>
      </c>
      <c r="GP142" s="373">
        <v>8</v>
      </c>
      <c r="GQ142" s="618">
        <v>6</v>
      </c>
      <c r="GR142" s="374">
        <v>6</v>
      </c>
      <c r="GS142" s="869">
        <v>6</v>
      </c>
      <c r="GT142" s="373">
        <v>9</v>
      </c>
      <c r="GU142" s="373">
        <v>5</v>
      </c>
      <c r="GV142" s="870">
        <v>3</v>
      </c>
      <c r="GW142" s="373"/>
      <c r="GX142" s="373">
        <v>1</v>
      </c>
      <c r="GY142" s="373">
        <v>1</v>
      </c>
      <c r="GZ142" s="618"/>
      <c r="HA142" s="374">
        <v>2</v>
      </c>
      <c r="HB142" s="869"/>
      <c r="HC142" s="373"/>
      <c r="HD142" s="373"/>
      <c r="HE142" s="870"/>
      <c r="HF142" s="373"/>
      <c r="HG142" s="373"/>
      <c r="HH142" s="373"/>
      <c r="HI142" s="618"/>
      <c r="HJ142" s="374">
        <v>0</v>
      </c>
      <c r="HK142" s="869"/>
      <c r="HL142" s="373"/>
      <c r="HM142" s="373"/>
      <c r="HN142" s="870"/>
      <c r="HO142" s="373"/>
      <c r="HP142" s="373"/>
      <c r="HQ142" s="373"/>
      <c r="HR142" s="618"/>
      <c r="HS142" s="374">
        <v>0</v>
      </c>
      <c r="HT142" s="869">
        <v>12</v>
      </c>
      <c r="HU142" s="373">
        <v>13</v>
      </c>
      <c r="HV142" s="373">
        <v>7</v>
      </c>
      <c r="HW142" s="870">
        <v>6</v>
      </c>
      <c r="HX142" s="373">
        <v>3</v>
      </c>
      <c r="HY142" s="373">
        <v>2</v>
      </c>
      <c r="HZ142" s="373">
        <v>4</v>
      </c>
      <c r="IA142" s="618">
        <v>7</v>
      </c>
      <c r="IB142" s="374">
        <v>5</v>
      </c>
      <c r="IC142" s="869">
        <v>22</v>
      </c>
      <c r="ID142" s="373">
        <v>38</v>
      </c>
      <c r="IE142" s="373">
        <v>20</v>
      </c>
      <c r="IF142" s="870">
        <v>18</v>
      </c>
      <c r="IG142" s="373">
        <v>19</v>
      </c>
      <c r="IH142" s="373">
        <v>19</v>
      </c>
      <c r="II142" s="373">
        <v>18</v>
      </c>
      <c r="IJ142" s="618">
        <v>18</v>
      </c>
      <c r="IK142" s="374">
        <v>20</v>
      </c>
      <c r="IL142" s="377">
        <v>2</v>
      </c>
      <c r="IM142" s="373">
        <v>3</v>
      </c>
      <c r="IN142" s="373">
        <v>1</v>
      </c>
      <c r="IO142" s="871"/>
      <c r="IP142" s="871">
        <v>1</v>
      </c>
      <c r="IQ142" s="373"/>
      <c r="IR142" s="373">
        <v>2</v>
      </c>
      <c r="IS142" s="618">
        <v>1</v>
      </c>
      <c r="IT142" s="374">
        <v>0</v>
      </c>
    </row>
    <row r="143" spans="1:254" s="245" customFormat="1" ht="12.75" customHeight="1" x14ac:dyDescent="0.2">
      <c r="A143" s="1052"/>
      <c r="B143" s="868" t="s">
        <v>995</v>
      </c>
      <c r="C143" s="869"/>
      <c r="D143" s="373"/>
      <c r="E143" s="373"/>
      <c r="F143" s="870"/>
      <c r="G143" s="373"/>
      <c r="H143" s="373"/>
      <c r="I143" s="373"/>
      <c r="J143" s="618"/>
      <c r="K143" s="374">
        <v>0</v>
      </c>
      <c r="L143" s="869"/>
      <c r="M143" s="373"/>
      <c r="N143" s="373"/>
      <c r="O143" s="870"/>
      <c r="P143" s="373"/>
      <c r="Q143" s="373"/>
      <c r="R143" s="373"/>
      <c r="S143" s="618"/>
      <c r="T143" s="374">
        <v>0</v>
      </c>
      <c r="U143" s="869"/>
      <c r="V143" s="373"/>
      <c r="W143" s="373"/>
      <c r="X143" s="870"/>
      <c r="Y143" s="373"/>
      <c r="Z143" s="373"/>
      <c r="AA143" s="373"/>
      <c r="AB143" s="618"/>
      <c r="AC143" s="374">
        <v>0</v>
      </c>
      <c r="AD143" s="869">
        <v>1</v>
      </c>
      <c r="AE143" s="373">
        <v>4</v>
      </c>
      <c r="AF143" s="373"/>
      <c r="AG143" s="870"/>
      <c r="AH143" s="373"/>
      <c r="AI143" s="373">
        <v>1</v>
      </c>
      <c r="AJ143" s="373"/>
      <c r="AK143" s="618">
        <v>1</v>
      </c>
      <c r="AL143" s="374">
        <v>0</v>
      </c>
      <c r="AM143" s="869"/>
      <c r="AN143" s="373">
        <v>1</v>
      </c>
      <c r="AO143" s="373"/>
      <c r="AP143" s="870"/>
      <c r="AQ143" s="373"/>
      <c r="AR143" s="373">
        <v>1</v>
      </c>
      <c r="AS143" s="373"/>
      <c r="AT143" s="618"/>
      <c r="AU143" s="374">
        <v>0</v>
      </c>
      <c r="AV143" s="869"/>
      <c r="AW143" s="373"/>
      <c r="AX143" s="373"/>
      <c r="AY143" s="870"/>
      <c r="AZ143" s="373"/>
      <c r="BA143" s="373"/>
      <c r="BB143" s="373"/>
      <c r="BC143" s="618"/>
      <c r="BD143" s="374">
        <v>0</v>
      </c>
      <c r="BE143" s="869"/>
      <c r="BF143" s="373"/>
      <c r="BG143" s="373"/>
      <c r="BH143" s="870"/>
      <c r="BI143" s="373"/>
      <c r="BJ143" s="373"/>
      <c r="BK143" s="373"/>
      <c r="BL143" s="618"/>
      <c r="BM143" s="374">
        <v>0</v>
      </c>
      <c r="BN143" s="869"/>
      <c r="BO143" s="373"/>
      <c r="BP143" s="373"/>
      <c r="BQ143" s="870"/>
      <c r="BR143" s="373"/>
      <c r="BS143" s="373"/>
      <c r="BT143" s="373"/>
      <c r="BU143" s="618"/>
      <c r="BV143" s="374">
        <v>0</v>
      </c>
      <c r="BW143" s="869">
        <v>2</v>
      </c>
      <c r="BX143" s="373">
        <v>3</v>
      </c>
      <c r="BY143" s="373">
        <v>1</v>
      </c>
      <c r="BZ143" s="870">
        <v>1</v>
      </c>
      <c r="CA143" s="373">
        <v>1</v>
      </c>
      <c r="CB143" s="373"/>
      <c r="CC143" s="373"/>
      <c r="CD143" s="618"/>
      <c r="CE143" s="374">
        <v>1</v>
      </c>
      <c r="CF143" s="869"/>
      <c r="CG143" s="373"/>
      <c r="CH143" s="373"/>
      <c r="CI143" s="870"/>
      <c r="CJ143" s="373"/>
      <c r="CK143" s="373"/>
      <c r="CL143" s="373"/>
      <c r="CM143" s="618"/>
      <c r="CN143" s="374">
        <v>0</v>
      </c>
      <c r="CO143" s="869"/>
      <c r="CP143" s="373"/>
      <c r="CQ143" s="373"/>
      <c r="CR143" s="870"/>
      <c r="CS143" s="373"/>
      <c r="CT143" s="373"/>
      <c r="CU143" s="373"/>
      <c r="CV143" s="618"/>
      <c r="CW143" s="374">
        <v>0</v>
      </c>
      <c r="CX143" s="869">
        <v>7</v>
      </c>
      <c r="CY143" s="373">
        <v>5</v>
      </c>
      <c r="CZ143" s="373">
        <v>2</v>
      </c>
      <c r="DA143" s="870">
        <v>2</v>
      </c>
      <c r="DB143" s="373">
        <v>5</v>
      </c>
      <c r="DC143" s="373">
        <v>1</v>
      </c>
      <c r="DD143" s="373"/>
      <c r="DE143" s="618"/>
      <c r="DF143" s="374">
        <v>1</v>
      </c>
      <c r="DG143" s="869"/>
      <c r="DH143" s="373"/>
      <c r="DI143" s="373"/>
      <c r="DJ143" s="870"/>
      <c r="DK143" s="373"/>
      <c r="DL143" s="373"/>
      <c r="DM143" s="373"/>
      <c r="DN143" s="618"/>
      <c r="DO143" s="374">
        <v>0</v>
      </c>
      <c r="DP143" s="869"/>
      <c r="DQ143" s="373"/>
      <c r="DR143" s="373"/>
      <c r="DS143" s="870"/>
      <c r="DT143" s="373"/>
      <c r="DU143" s="373"/>
      <c r="DV143" s="373"/>
      <c r="DW143" s="618"/>
      <c r="DX143" s="374">
        <v>0</v>
      </c>
      <c r="DY143" s="869"/>
      <c r="DZ143" s="373"/>
      <c r="EA143" s="373"/>
      <c r="EB143" s="870"/>
      <c r="EC143" s="373"/>
      <c r="ED143" s="373"/>
      <c r="EE143" s="373"/>
      <c r="EF143" s="618"/>
      <c r="EG143" s="374">
        <v>1</v>
      </c>
      <c r="EH143" s="869"/>
      <c r="EI143" s="373"/>
      <c r="EJ143" s="373"/>
      <c r="EK143" s="870"/>
      <c r="EL143" s="373"/>
      <c r="EM143" s="373"/>
      <c r="EN143" s="373"/>
      <c r="EO143" s="618"/>
      <c r="EP143" s="374">
        <v>0</v>
      </c>
      <c r="EQ143" s="869"/>
      <c r="ER143" s="373"/>
      <c r="ES143" s="373"/>
      <c r="ET143" s="870"/>
      <c r="EU143" s="373"/>
      <c r="EV143" s="373"/>
      <c r="EW143" s="373"/>
      <c r="EX143" s="618"/>
      <c r="EY143" s="374">
        <v>0</v>
      </c>
      <c r="EZ143" s="869"/>
      <c r="FA143" s="373"/>
      <c r="FB143" s="373"/>
      <c r="FC143" s="870"/>
      <c r="FD143" s="373"/>
      <c r="FE143" s="373"/>
      <c r="FF143" s="373"/>
      <c r="FG143" s="618"/>
      <c r="FH143" s="374">
        <v>0</v>
      </c>
      <c r="FI143" s="869">
        <v>1</v>
      </c>
      <c r="FJ143" s="373"/>
      <c r="FK143" s="373"/>
      <c r="FL143" s="870"/>
      <c r="FM143" s="373"/>
      <c r="FN143" s="373"/>
      <c r="FO143" s="373"/>
      <c r="FP143" s="618"/>
      <c r="FQ143" s="374">
        <v>1</v>
      </c>
      <c r="FR143" s="869"/>
      <c r="FS143" s="373"/>
      <c r="FT143" s="373"/>
      <c r="FU143" s="870"/>
      <c r="FV143" s="373"/>
      <c r="FW143" s="373"/>
      <c r="FX143" s="373"/>
      <c r="FY143" s="618"/>
      <c r="FZ143" s="374">
        <v>0</v>
      </c>
      <c r="GA143" s="869"/>
      <c r="GB143" s="373">
        <v>1</v>
      </c>
      <c r="GC143" s="373"/>
      <c r="GD143" s="870"/>
      <c r="GE143" s="373"/>
      <c r="GF143" s="373"/>
      <c r="GG143" s="373">
        <v>1</v>
      </c>
      <c r="GH143" s="618"/>
      <c r="GI143" s="374">
        <v>0</v>
      </c>
      <c r="GJ143" s="869">
        <v>11</v>
      </c>
      <c r="GK143" s="373">
        <v>13</v>
      </c>
      <c r="GL143" s="373">
        <v>3</v>
      </c>
      <c r="GM143" s="870">
        <v>3</v>
      </c>
      <c r="GN143" s="373">
        <v>6</v>
      </c>
      <c r="GO143" s="373">
        <v>2</v>
      </c>
      <c r="GP143" s="373">
        <v>1</v>
      </c>
      <c r="GQ143" s="618">
        <v>1</v>
      </c>
      <c r="GR143" s="374">
        <v>3</v>
      </c>
      <c r="GS143" s="869">
        <v>3</v>
      </c>
      <c r="GT143" s="373">
        <v>3</v>
      </c>
      <c r="GU143" s="373">
        <v>2</v>
      </c>
      <c r="GV143" s="870">
        <v>1</v>
      </c>
      <c r="GW143" s="373">
        <v>1</v>
      </c>
      <c r="GX143" s="373"/>
      <c r="GY143" s="373"/>
      <c r="GZ143" s="618">
        <v>1</v>
      </c>
      <c r="HA143" s="374">
        <v>2</v>
      </c>
      <c r="HB143" s="869"/>
      <c r="HC143" s="373"/>
      <c r="HD143" s="373"/>
      <c r="HE143" s="870"/>
      <c r="HF143" s="373"/>
      <c r="HG143" s="373"/>
      <c r="HH143" s="373"/>
      <c r="HI143" s="618"/>
      <c r="HJ143" s="374">
        <v>0</v>
      </c>
      <c r="HK143" s="869"/>
      <c r="HL143" s="373"/>
      <c r="HM143" s="373"/>
      <c r="HN143" s="870"/>
      <c r="HO143" s="373"/>
      <c r="HP143" s="373"/>
      <c r="HQ143" s="373"/>
      <c r="HR143" s="618"/>
      <c r="HS143" s="374">
        <v>0</v>
      </c>
      <c r="HT143" s="869">
        <v>4</v>
      </c>
      <c r="HU143" s="373">
        <v>6</v>
      </c>
      <c r="HV143" s="373">
        <v>2</v>
      </c>
      <c r="HW143" s="870">
        <v>2</v>
      </c>
      <c r="HX143" s="373">
        <v>2</v>
      </c>
      <c r="HY143" s="373">
        <v>1</v>
      </c>
      <c r="HZ143" s="373">
        <v>2</v>
      </c>
      <c r="IA143" s="618">
        <v>1</v>
      </c>
      <c r="IB143" s="374">
        <v>3</v>
      </c>
      <c r="IC143" s="869">
        <v>14</v>
      </c>
      <c r="ID143" s="373">
        <v>19</v>
      </c>
      <c r="IE143" s="373">
        <v>3</v>
      </c>
      <c r="IF143" s="870">
        <v>4</v>
      </c>
      <c r="IG143" s="373">
        <v>8</v>
      </c>
      <c r="IH143" s="373">
        <v>4</v>
      </c>
      <c r="II143" s="373">
        <v>4</v>
      </c>
      <c r="IJ143" s="618">
        <v>3</v>
      </c>
      <c r="IK143" s="374">
        <v>8</v>
      </c>
      <c r="IL143" s="377">
        <v>3</v>
      </c>
      <c r="IM143" s="373">
        <v>1</v>
      </c>
      <c r="IN143" s="373"/>
      <c r="IO143" s="871"/>
      <c r="IP143" s="871">
        <v>1</v>
      </c>
      <c r="IQ143" s="373"/>
      <c r="IR143" s="373"/>
      <c r="IS143" s="618"/>
      <c r="IT143" s="374">
        <v>1</v>
      </c>
    </row>
    <row r="144" spans="1:254" s="245" customFormat="1" ht="12.75" customHeight="1" x14ac:dyDescent="0.2">
      <c r="A144" s="1052"/>
      <c r="B144" s="868" t="s">
        <v>996</v>
      </c>
      <c r="C144" s="869"/>
      <c r="D144" s="373"/>
      <c r="E144" s="373"/>
      <c r="F144" s="870"/>
      <c r="G144" s="373"/>
      <c r="H144" s="373"/>
      <c r="I144" s="373"/>
      <c r="J144" s="618"/>
      <c r="K144" s="374">
        <v>0</v>
      </c>
      <c r="L144" s="869"/>
      <c r="M144" s="373"/>
      <c r="N144" s="373"/>
      <c r="O144" s="870"/>
      <c r="P144" s="373"/>
      <c r="Q144" s="373"/>
      <c r="R144" s="373"/>
      <c r="S144" s="618"/>
      <c r="T144" s="374">
        <v>0</v>
      </c>
      <c r="U144" s="869"/>
      <c r="V144" s="373"/>
      <c r="W144" s="373"/>
      <c r="X144" s="870"/>
      <c r="Y144" s="373"/>
      <c r="Z144" s="373"/>
      <c r="AA144" s="373"/>
      <c r="AB144" s="618"/>
      <c r="AC144" s="374">
        <v>0</v>
      </c>
      <c r="AD144" s="869">
        <v>1</v>
      </c>
      <c r="AE144" s="373"/>
      <c r="AF144" s="373">
        <v>1</v>
      </c>
      <c r="AG144" s="870"/>
      <c r="AH144" s="373">
        <v>1</v>
      </c>
      <c r="AI144" s="373"/>
      <c r="AJ144" s="373">
        <v>1</v>
      </c>
      <c r="AK144" s="618">
        <v>1</v>
      </c>
      <c r="AL144" s="374">
        <v>0</v>
      </c>
      <c r="AM144" s="869"/>
      <c r="AN144" s="373"/>
      <c r="AO144" s="373"/>
      <c r="AP144" s="870"/>
      <c r="AQ144" s="373"/>
      <c r="AR144" s="373"/>
      <c r="AS144" s="373"/>
      <c r="AT144" s="618"/>
      <c r="AU144" s="374">
        <v>0</v>
      </c>
      <c r="AV144" s="869"/>
      <c r="AW144" s="373"/>
      <c r="AX144" s="373"/>
      <c r="AY144" s="870"/>
      <c r="AZ144" s="373"/>
      <c r="BA144" s="373"/>
      <c r="BB144" s="373"/>
      <c r="BC144" s="618"/>
      <c r="BD144" s="374">
        <v>0</v>
      </c>
      <c r="BE144" s="869"/>
      <c r="BF144" s="373"/>
      <c r="BG144" s="373"/>
      <c r="BH144" s="870"/>
      <c r="BI144" s="373"/>
      <c r="BJ144" s="373"/>
      <c r="BK144" s="373"/>
      <c r="BL144" s="618"/>
      <c r="BM144" s="374">
        <v>0</v>
      </c>
      <c r="BN144" s="869"/>
      <c r="BO144" s="373"/>
      <c r="BP144" s="373"/>
      <c r="BQ144" s="870"/>
      <c r="BR144" s="373"/>
      <c r="BS144" s="373"/>
      <c r="BT144" s="373"/>
      <c r="BU144" s="618"/>
      <c r="BV144" s="374">
        <v>0</v>
      </c>
      <c r="BW144" s="869">
        <v>1</v>
      </c>
      <c r="BX144" s="373">
        <v>2</v>
      </c>
      <c r="BY144" s="373">
        <v>1</v>
      </c>
      <c r="BZ144" s="870"/>
      <c r="CA144" s="373"/>
      <c r="CB144" s="373">
        <v>1</v>
      </c>
      <c r="CC144" s="373">
        <v>1</v>
      </c>
      <c r="CD144" s="618">
        <v>1</v>
      </c>
      <c r="CE144" s="374">
        <v>0</v>
      </c>
      <c r="CF144" s="869"/>
      <c r="CG144" s="373"/>
      <c r="CH144" s="373"/>
      <c r="CI144" s="870"/>
      <c r="CJ144" s="373"/>
      <c r="CK144" s="373"/>
      <c r="CL144" s="373"/>
      <c r="CM144" s="618"/>
      <c r="CN144" s="374">
        <v>0</v>
      </c>
      <c r="CO144" s="869"/>
      <c r="CP144" s="373"/>
      <c r="CQ144" s="373"/>
      <c r="CR144" s="870"/>
      <c r="CS144" s="373"/>
      <c r="CT144" s="373"/>
      <c r="CU144" s="373"/>
      <c r="CV144" s="618"/>
      <c r="CW144" s="374">
        <v>1</v>
      </c>
      <c r="CX144" s="869">
        <v>1</v>
      </c>
      <c r="CY144" s="373">
        <v>1</v>
      </c>
      <c r="CZ144" s="373">
        <v>8</v>
      </c>
      <c r="DA144" s="870">
        <v>7</v>
      </c>
      <c r="DB144" s="373"/>
      <c r="DC144" s="373"/>
      <c r="DD144" s="373"/>
      <c r="DE144" s="618">
        <v>1</v>
      </c>
      <c r="DF144" s="374">
        <v>0</v>
      </c>
      <c r="DG144" s="869"/>
      <c r="DH144" s="373"/>
      <c r="DI144" s="373"/>
      <c r="DJ144" s="870"/>
      <c r="DK144" s="373"/>
      <c r="DL144" s="373"/>
      <c r="DM144" s="373"/>
      <c r="DN144" s="618"/>
      <c r="DO144" s="374">
        <v>0</v>
      </c>
      <c r="DP144" s="869"/>
      <c r="DQ144" s="373"/>
      <c r="DR144" s="373"/>
      <c r="DS144" s="870"/>
      <c r="DT144" s="373"/>
      <c r="DU144" s="373"/>
      <c r="DV144" s="373"/>
      <c r="DW144" s="618"/>
      <c r="DX144" s="374">
        <v>0</v>
      </c>
      <c r="DY144" s="869"/>
      <c r="DZ144" s="373"/>
      <c r="EA144" s="373">
        <v>2</v>
      </c>
      <c r="EB144" s="870">
        <v>1</v>
      </c>
      <c r="EC144" s="373"/>
      <c r="ED144" s="373"/>
      <c r="EE144" s="373"/>
      <c r="EF144" s="618"/>
      <c r="EG144" s="374">
        <v>0</v>
      </c>
      <c r="EH144" s="869"/>
      <c r="EI144" s="373"/>
      <c r="EJ144" s="373"/>
      <c r="EK144" s="870"/>
      <c r="EL144" s="373"/>
      <c r="EM144" s="373"/>
      <c r="EN144" s="373"/>
      <c r="EO144" s="618"/>
      <c r="EP144" s="374">
        <v>0</v>
      </c>
      <c r="EQ144" s="869"/>
      <c r="ER144" s="373"/>
      <c r="ES144" s="373"/>
      <c r="ET144" s="870"/>
      <c r="EU144" s="373"/>
      <c r="EV144" s="373"/>
      <c r="EW144" s="373"/>
      <c r="EX144" s="618"/>
      <c r="EY144" s="374">
        <v>0</v>
      </c>
      <c r="EZ144" s="869"/>
      <c r="FA144" s="373"/>
      <c r="FB144" s="373"/>
      <c r="FC144" s="870"/>
      <c r="FD144" s="373"/>
      <c r="FE144" s="373"/>
      <c r="FF144" s="373"/>
      <c r="FG144" s="618"/>
      <c r="FH144" s="374">
        <v>0</v>
      </c>
      <c r="FI144" s="869"/>
      <c r="FJ144" s="373"/>
      <c r="FK144" s="373"/>
      <c r="FL144" s="870"/>
      <c r="FM144" s="373">
        <v>1</v>
      </c>
      <c r="FN144" s="373"/>
      <c r="FO144" s="373"/>
      <c r="FP144" s="618"/>
      <c r="FQ144" s="374">
        <v>0</v>
      </c>
      <c r="FR144" s="869"/>
      <c r="FS144" s="373"/>
      <c r="FT144" s="373"/>
      <c r="FU144" s="870"/>
      <c r="FV144" s="373"/>
      <c r="FW144" s="373"/>
      <c r="FX144" s="373"/>
      <c r="FY144" s="618"/>
      <c r="FZ144" s="374">
        <v>0</v>
      </c>
      <c r="GA144" s="869"/>
      <c r="GB144" s="373"/>
      <c r="GC144" s="373"/>
      <c r="GD144" s="870"/>
      <c r="GE144" s="373"/>
      <c r="GF144" s="373"/>
      <c r="GG144" s="373"/>
      <c r="GH144" s="618"/>
      <c r="GI144" s="374">
        <v>0</v>
      </c>
      <c r="GJ144" s="869">
        <v>3</v>
      </c>
      <c r="GK144" s="373">
        <v>3</v>
      </c>
      <c r="GL144" s="373">
        <v>10</v>
      </c>
      <c r="GM144" s="870">
        <v>7</v>
      </c>
      <c r="GN144" s="373">
        <v>2</v>
      </c>
      <c r="GO144" s="373">
        <v>1</v>
      </c>
      <c r="GP144" s="373">
        <v>2</v>
      </c>
      <c r="GQ144" s="618">
        <v>3</v>
      </c>
      <c r="GR144" s="374">
        <v>1</v>
      </c>
      <c r="GS144" s="869">
        <v>2</v>
      </c>
      <c r="GT144" s="373"/>
      <c r="GU144" s="373">
        <v>2</v>
      </c>
      <c r="GV144" s="870">
        <v>1</v>
      </c>
      <c r="GW144" s="373"/>
      <c r="GX144" s="373"/>
      <c r="GY144" s="373"/>
      <c r="GZ144" s="618">
        <v>1</v>
      </c>
      <c r="HA144" s="374">
        <v>1</v>
      </c>
      <c r="HB144" s="869"/>
      <c r="HC144" s="373"/>
      <c r="HD144" s="373"/>
      <c r="HE144" s="870"/>
      <c r="HF144" s="373"/>
      <c r="HG144" s="373"/>
      <c r="HH144" s="373"/>
      <c r="HI144" s="618"/>
      <c r="HJ144" s="374">
        <v>0</v>
      </c>
      <c r="HK144" s="869"/>
      <c r="HL144" s="373"/>
      <c r="HM144" s="373"/>
      <c r="HN144" s="870"/>
      <c r="HO144" s="373"/>
      <c r="HP144" s="373"/>
      <c r="HQ144" s="373"/>
      <c r="HR144" s="618"/>
      <c r="HS144" s="374">
        <v>0</v>
      </c>
      <c r="HT144" s="869">
        <v>3</v>
      </c>
      <c r="HU144" s="373"/>
      <c r="HV144" s="373">
        <v>3</v>
      </c>
      <c r="HW144" s="870">
        <v>1</v>
      </c>
      <c r="HX144" s="373"/>
      <c r="HY144" s="373"/>
      <c r="HZ144" s="373">
        <v>2</v>
      </c>
      <c r="IA144" s="618">
        <v>2</v>
      </c>
      <c r="IB144" s="374">
        <v>4</v>
      </c>
      <c r="IC144" s="869">
        <v>5</v>
      </c>
      <c r="ID144" s="373">
        <v>6</v>
      </c>
      <c r="IE144" s="373">
        <v>13</v>
      </c>
      <c r="IF144" s="870">
        <v>9</v>
      </c>
      <c r="IG144" s="373">
        <v>3</v>
      </c>
      <c r="IH144" s="373">
        <v>5</v>
      </c>
      <c r="II144" s="373">
        <v>6</v>
      </c>
      <c r="IJ144" s="618">
        <v>8</v>
      </c>
      <c r="IK144" s="374">
        <v>10</v>
      </c>
      <c r="IL144" s="377">
        <v>1</v>
      </c>
      <c r="IM144" s="373"/>
      <c r="IN144" s="373">
        <v>3</v>
      </c>
      <c r="IO144" s="871"/>
      <c r="IP144" s="871"/>
      <c r="IQ144" s="373"/>
      <c r="IR144" s="373"/>
      <c r="IS144" s="618"/>
      <c r="IT144" s="374">
        <v>0</v>
      </c>
    </row>
    <row r="145" spans="1:254" s="245" customFormat="1" ht="12.75" customHeight="1" x14ac:dyDescent="0.2">
      <c r="A145" s="1052"/>
      <c r="B145" s="868" t="s">
        <v>997</v>
      </c>
      <c r="C145" s="869"/>
      <c r="D145" s="373"/>
      <c r="E145" s="373"/>
      <c r="F145" s="870"/>
      <c r="G145" s="373"/>
      <c r="H145" s="373"/>
      <c r="I145" s="373"/>
      <c r="J145" s="618"/>
      <c r="K145" s="374">
        <v>0</v>
      </c>
      <c r="L145" s="869"/>
      <c r="M145" s="373"/>
      <c r="N145" s="373"/>
      <c r="O145" s="870"/>
      <c r="P145" s="373"/>
      <c r="Q145" s="373"/>
      <c r="R145" s="373"/>
      <c r="S145" s="618"/>
      <c r="T145" s="374">
        <v>0</v>
      </c>
      <c r="U145" s="869"/>
      <c r="V145" s="373"/>
      <c r="W145" s="373"/>
      <c r="X145" s="870"/>
      <c r="Y145" s="373"/>
      <c r="Z145" s="373"/>
      <c r="AA145" s="373"/>
      <c r="AB145" s="618"/>
      <c r="AC145" s="374">
        <v>0</v>
      </c>
      <c r="AD145" s="869"/>
      <c r="AE145" s="373"/>
      <c r="AF145" s="373"/>
      <c r="AG145" s="870"/>
      <c r="AH145" s="373">
        <v>1</v>
      </c>
      <c r="AI145" s="373">
        <v>1</v>
      </c>
      <c r="AJ145" s="373"/>
      <c r="AK145" s="618"/>
      <c r="AL145" s="374">
        <v>0</v>
      </c>
      <c r="AM145" s="869"/>
      <c r="AN145" s="373"/>
      <c r="AO145" s="373"/>
      <c r="AP145" s="870"/>
      <c r="AQ145" s="373"/>
      <c r="AR145" s="373">
        <v>1</v>
      </c>
      <c r="AS145" s="373"/>
      <c r="AT145" s="618"/>
      <c r="AU145" s="374">
        <v>0</v>
      </c>
      <c r="AV145" s="869"/>
      <c r="AW145" s="373"/>
      <c r="AX145" s="373"/>
      <c r="AY145" s="870"/>
      <c r="AZ145" s="373"/>
      <c r="BA145" s="373"/>
      <c r="BB145" s="373"/>
      <c r="BC145" s="618"/>
      <c r="BD145" s="374">
        <v>0</v>
      </c>
      <c r="BE145" s="869"/>
      <c r="BF145" s="373"/>
      <c r="BG145" s="373"/>
      <c r="BH145" s="870"/>
      <c r="BI145" s="373"/>
      <c r="BJ145" s="373"/>
      <c r="BK145" s="373"/>
      <c r="BL145" s="618"/>
      <c r="BM145" s="374">
        <v>0</v>
      </c>
      <c r="BN145" s="869"/>
      <c r="BO145" s="373"/>
      <c r="BP145" s="373"/>
      <c r="BQ145" s="870"/>
      <c r="BR145" s="373"/>
      <c r="BS145" s="373"/>
      <c r="BT145" s="373"/>
      <c r="BU145" s="618"/>
      <c r="BV145" s="374">
        <v>0</v>
      </c>
      <c r="BW145" s="869"/>
      <c r="BX145" s="373"/>
      <c r="BY145" s="373"/>
      <c r="BZ145" s="870"/>
      <c r="CA145" s="373">
        <v>1</v>
      </c>
      <c r="CB145" s="373"/>
      <c r="CC145" s="373"/>
      <c r="CD145" s="618"/>
      <c r="CE145" s="374">
        <v>0</v>
      </c>
      <c r="CF145" s="869"/>
      <c r="CG145" s="373"/>
      <c r="CH145" s="373"/>
      <c r="CI145" s="870"/>
      <c r="CJ145" s="373"/>
      <c r="CK145" s="373"/>
      <c r="CL145" s="373"/>
      <c r="CM145" s="618"/>
      <c r="CN145" s="374">
        <v>0</v>
      </c>
      <c r="CO145" s="869"/>
      <c r="CP145" s="373"/>
      <c r="CQ145" s="373"/>
      <c r="CR145" s="870"/>
      <c r="CS145" s="373"/>
      <c r="CT145" s="373"/>
      <c r="CU145" s="373"/>
      <c r="CV145" s="618"/>
      <c r="CW145" s="374">
        <v>0</v>
      </c>
      <c r="CX145" s="869">
        <v>3</v>
      </c>
      <c r="CY145" s="373">
        <v>1</v>
      </c>
      <c r="CZ145" s="373">
        <v>1</v>
      </c>
      <c r="DA145" s="870">
        <v>6</v>
      </c>
      <c r="DB145" s="373">
        <v>2</v>
      </c>
      <c r="DC145" s="373"/>
      <c r="DD145" s="373"/>
      <c r="DE145" s="618">
        <v>2</v>
      </c>
      <c r="DF145" s="374">
        <v>2</v>
      </c>
      <c r="DG145" s="869"/>
      <c r="DH145" s="373"/>
      <c r="DI145" s="373"/>
      <c r="DJ145" s="870"/>
      <c r="DK145" s="373"/>
      <c r="DL145" s="373"/>
      <c r="DM145" s="373"/>
      <c r="DN145" s="618"/>
      <c r="DO145" s="374">
        <v>0</v>
      </c>
      <c r="DP145" s="869"/>
      <c r="DQ145" s="373"/>
      <c r="DR145" s="373"/>
      <c r="DS145" s="870"/>
      <c r="DT145" s="373"/>
      <c r="DU145" s="373"/>
      <c r="DV145" s="373"/>
      <c r="DW145" s="618"/>
      <c r="DX145" s="374">
        <v>0</v>
      </c>
      <c r="DY145" s="869">
        <v>1</v>
      </c>
      <c r="DZ145" s="373"/>
      <c r="EA145" s="373"/>
      <c r="EB145" s="870">
        <v>2</v>
      </c>
      <c r="EC145" s="373"/>
      <c r="ED145" s="373"/>
      <c r="EE145" s="373"/>
      <c r="EF145" s="618">
        <v>2</v>
      </c>
      <c r="EG145" s="374">
        <v>0</v>
      </c>
      <c r="EH145" s="869"/>
      <c r="EI145" s="373"/>
      <c r="EJ145" s="373"/>
      <c r="EK145" s="870"/>
      <c r="EL145" s="373"/>
      <c r="EM145" s="373"/>
      <c r="EN145" s="373"/>
      <c r="EO145" s="618"/>
      <c r="EP145" s="374">
        <v>0</v>
      </c>
      <c r="EQ145" s="869"/>
      <c r="ER145" s="373"/>
      <c r="ES145" s="373"/>
      <c r="ET145" s="870"/>
      <c r="EU145" s="373"/>
      <c r="EV145" s="373"/>
      <c r="EW145" s="373"/>
      <c r="EX145" s="618"/>
      <c r="EY145" s="374">
        <v>0</v>
      </c>
      <c r="EZ145" s="869"/>
      <c r="FA145" s="373"/>
      <c r="FB145" s="373"/>
      <c r="FC145" s="870"/>
      <c r="FD145" s="373"/>
      <c r="FE145" s="373"/>
      <c r="FF145" s="373"/>
      <c r="FG145" s="618"/>
      <c r="FH145" s="374">
        <v>0</v>
      </c>
      <c r="FI145" s="869"/>
      <c r="FJ145" s="373"/>
      <c r="FK145" s="373"/>
      <c r="FL145" s="870"/>
      <c r="FM145" s="373">
        <v>1</v>
      </c>
      <c r="FN145" s="373"/>
      <c r="FO145" s="373"/>
      <c r="FP145" s="618"/>
      <c r="FQ145" s="374">
        <v>0</v>
      </c>
      <c r="FR145" s="869"/>
      <c r="FS145" s="373"/>
      <c r="FT145" s="373"/>
      <c r="FU145" s="870"/>
      <c r="FV145" s="373"/>
      <c r="FW145" s="373"/>
      <c r="FX145" s="373"/>
      <c r="FY145" s="618"/>
      <c r="FZ145" s="374">
        <v>0</v>
      </c>
      <c r="GA145" s="869"/>
      <c r="GB145" s="373"/>
      <c r="GC145" s="373"/>
      <c r="GD145" s="870"/>
      <c r="GE145" s="373">
        <v>1</v>
      </c>
      <c r="GF145" s="373"/>
      <c r="GG145" s="373">
        <v>2</v>
      </c>
      <c r="GH145" s="618"/>
      <c r="GI145" s="374">
        <v>0</v>
      </c>
      <c r="GJ145" s="869">
        <v>3</v>
      </c>
      <c r="GK145" s="373">
        <v>1</v>
      </c>
      <c r="GL145" s="373">
        <v>1</v>
      </c>
      <c r="GM145" s="870">
        <v>6</v>
      </c>
      <c r="GN145" s="373">
        <v>6</v>
      </c>
      <c r="GO145" s="373">
        <v>1</v>
      </c>
      <c r="GP145" s="373">
        <v>2</v>
      </c>
      <c r="GQ145" s="618">
        <v>2</v>
      </c>
      <c r="GR145" s="374">
        <v>2</v>
      </c>
      <c r="GS145" s="869">
        <v>1</v>
      </c>
      <c r="GT145" s="373"/>
      <c r="GU145" s="373"/>
      <c r="GV145" s="870"/>
      <c r="GW145" s="373">
        <v>3</v>
      </c>
      <c r="GX145" s="373"/>
      <c r="GY145" s="373">
        <v>1</v>
      </c>
      <c r="GZ145" s="618"/>
      <c r="HA145" s="374">
        <v>2</v>
      </c>
      <c r="HB145" s="869"/>
      <c r="HC145" s="373"/>
      <c r="HD145" s="373"/>
      <c r="HE145" s="870"/>
      <c r="HF145" s="373"/>
      <c r="HG145" s="373"/>
      <c r="HH145" s="373"/>
      <c r="HI145" s="618"/>
      <c r="HJ145" s="374">
        <v>0</v>
      </c>
      <c r="HK145" s="869"/>
      <c r="HL145" s="373"/>
      <c r="HM145" s="373"/>
      <c r="HN145" s="870"/>
      <c r="HO145" s="373"/>
      <c r="HP145" s="373"/>
      <c r="HQ145" s="373"/>
      <c r="HR145" s="618"/>
      <c r="HS145" s="374">
        <v>0</v>
      </c>
      <c r="HT145" s="869">
        <v>2</v>
      </c>
      <c r="HU145" s="373"/>
      <c r="HV145" s="373"/>
      <c r="HW145" s="870"/>
      <c r="HX145" s="373">
        <v>3</v>
      </c>
      <c r="HY145" s="373">
        <v>2</v>
      </c>
      <c r="HZ145" s="373">
        <v>1</v>
      </c>
      <c r="IA145" s="618"/>
      <c r="IB145" s="374">
        <v>3</v>
      </c>
      <c r="IC145" s="869">
        <v>5</v>
      </c>
      <c r="ID145" s="373">
        <v>1</v>
      </c>
      <c r="IE145" s="373">
        <v>1</v>
      </c>
      <c r="IF145" s="870">
        <v>6</v>
      </c>
      <c r="IG145" s="373">
        <v>12</v>
      </c>
      <c r="IH145" s="373">
        <v>3</v>
      </c>
      <c r="II145" s="373">
        <v>3</v>
      </c>
      <c r="IJ145" s="618">
        <v>6</v>
      </c>
      <c r="IK145" s="374">
        <v>7</v>
      </c>
      <c r="IL145" s="377">
        <v>3</v>
      </c>
      <c r="IM145" s="373"/>
      <c r="IN145" s="373"/>
      <c r="IO145" s="871">
        <v>6</v>
      </c>
      <c r="IP145" s="871">
        <v>1</v>
      </c>
      <c r="IQ145" s="373"/>
      <c r="IR145" s="373"/>
      <c r="IS145" s="618">
        <v>2</v>
      </c>
      <c r="IT145" s="374">
        <v>2</v>
      </c>
    </row>
    <row r="146" spans="1:254" s="245" customFormat="1" ht="12.75" customHeight="1" x14ac:dyDescent="0.2">
      <c r="A146" s="1052"/>
      <c r="B146" s="868" t="s">
        <v>998</v>
      </c>
      <c r="C146" s="869"/>
      <c r="D146" s="373"/>
      <c r="E146" s="373"/>
      <c r="F146" s="870"/>
      <c r="G146" s="373"/>
      <c r="H146" s="373"/>
      <c r="I146" s="373"/>
      <c r="J146" s="618"/>
      <c r="K146" s="374">
        <v>0</v>
      </c>
      <c r="L146" s="869"/>
      <c r="M146" s="373"/>
      <c r="N146" s="373"/>
      <c r="O146" s="870"/>
      <c r="P146" s="373"/>
      <c r="Q146" s="373"/>
      <c r="R146" s="373"/>
      <c r="S146" s="618"/>
      <c r="T146" s="374">
        <v>0</v>
      </c>
      <c r="U146" s="869"/>
      <c r="V146" s="373"/>
      <c r="W146" s="373"/>
      <c r="X146" s="870"/>
      <c r="Y146" s="373"/>
      <c r="Z146" s="373"/>
      <c r="AA146" s="373"/>
      <c r="AB146" s="618"/>
      <c r="AC146" s="374">
        <v>0</v>
      </c>
      <c r="AD146" s="869"/>
      <c r="AE146" s="373"/>
      <c r="AF146" s="373">
        <v>1</v>
      </c>
      <c r="AG146" s="870"/>
      <c r="AH146" s="373">
        <v>1</v>
      </c>
      <c r="AI146" s="373"/>
      <c r="AJ146" s="373">
        <v>1</v>
      </c>
      <c r="AK146" s="618">
        <v>2</v>
      </c>
      <c r="AL146" s="374">
        <v>0</v>
      </c>
      <c r="AM146" s="869"/>
      <c r="AN146" s="373"/>
      <c r="AO146" s="373"/>
      <c r="AP146" s="870"/>
      <c r="AQ146" s="373">
        <v>1</v>
      </c>
      <c r="AR146" s="373"/>
      <c r="AS146" s="373"/>
      <c r="AT146" s="618"/>
      <c r="AU146" s="374">
        <v>0</v>
      </c>
      <c r="AV146" s="869"/>
      <c r="AW146" s="373"/>
      <c r="AX146" s="373"/>
      <c r="AY146" s="870"/>
      <c r="AZ146" s="373"/>
      <c r="BA146" s="373"/>
      <c r="BB146" s="373"/>
      <c r="BC146" s="618"/>
      <c r="BD146" s="374">
        <v>0</v>
      </c>
      <c r="BE146" s="869">
        <v>1</v>
      </c>
      <c r="BF146" s="373"/>
      <c r="BG146" s="373"/>
      <c r="BH146" s="870"/>
      <c r="BI146" s="373"/>
      <c r="BJ146" s="373"/>
      <c r="BK146" s="373"/>
      <c r="BL146" s="618"/>
      <c r="BM146" s="374">
        <v>0</v>
      </c>
      <c r="BN146" s="869"/>
      <c r="BO146" s="373"/>
      <c r="BP146" s="373"/>
      <c r="BQ146" s="870"/>
      <c r="BR146" s="373"/>
      <c r="BS146" s="373"/>
      <c r="BT146" s="373"/>
      <c r="BU146" s="618"/>
      <c r="BV146" s="374">
        <v>0</v>
      </c>
      <c r="BW146" s="869"/>
      <c r="BX146" s="373">
        <v>1</v>
      </c>
      <c r="BY146" s="373">
        <v>1</v>
      </c>
      <c r="BZ146" s="870"/>
      <c r="CA146" s="373"/>
      <c r="CB146" s="373"/>
      <c r="CC146" s="373">
        <v>1</v>
      </c>
      <c r="CD146" s="618">
        <v>1</v>
      </c>
      <c r="CE146" s="374">
        <v>0</v>
      </c>
      <c r="CF146" s="869"/>
      <c r="CG146" s="373"/>
      <c r="CH146" s="373"/>
      <c r="CI146" s="870"/>
      <c r="CJ146" s="373"/>
      <c r="CK146" s="373"/>
      <c r="CL146" s="373"/>
      <c r="CM146" s="618"/>
      <c r="CN146" s="374">
        <v>0</v>
      </c>
      <c r="CO146" s="869"/>
      <c r="CP146" s="373"/>
      <c r="CQ146" s="373"/>
      <c r="CR146" s="870"/>
      <c r="CS146" s="373"/>
      <c r="CT146" s="373"/>
      <c r="CU146" s="373"/>
      <c r="CV146" s="618"/>
      <c r="CW146" s="374">
        <v>0</v>
      </c>
      <c r="CX146" s="869">
        <v>1</v>
      </c>
      <c r="CY146" s="373">
        <v>2</v>
      </c>
      <c r="CZ146" s="373">
        <v>5</v>
      </c>
      <c r="DA146" s="870">
        <v>1</v>
      </c>
      <c r="DB146" s="373">
        <v>2</v>
      </c>
      <c r="DC146" s="373">
        <v>2</v>
      </c>
      <c r="DD146" s="373">
        <v>1</v>
      </c>
      <c r="DE146" s="618"/>
      <c r="DF146" s="374">
        <v>0</v>
      </c>
      <c r="DG146" s="869"/>
      <c r="DH146" s="373"/>
      <c r="DI146" s="373"/>
      <c r="DJ146" s="870"/>
      <c r="DK146" s="373"/>
      <c r="DL146" s="373"/>
      <c r="DM146" s="373"/>
      <c r="DN146" s="618"/>
      <c r="DO146" s="374">
        <v>0</v>
      </c>
      <c r="DP146" s="869"/>
      <c r="DQ146" s="373"/>
      <c r="DR146" s="373"/>
      <c r="DS146" s="870"/>
      <c r="DT146" s="373"/>
      <c r="DU146" s="373"/>
      <c r="DV146" s="373"/>
      <c r="DW146" s="618"/>
      <c r="DX146" s="374">
        <v>0</v>
      </c>
      <c r="DY146" s="869"/>
      <c r="DZ146" s="373"/>
      <c r="EA146" s="373"/>
      <c r="EB146" s="870"/>
      <c r="EC146" s="373"/>
      <c r="ED146" s="373"/>
      <c r="EE146" s="373"/>
      <c r="EF146" s="618"/>
      <c r="EG146" s="374">
        <v>0</v>
      </c>
      <c r="EH146" s="869"/>
      <c r="EI146" s="373"/>
      <c r="EJ146" s="373"/>
      <c r="EK146" s="870"/>
      <c r="EL146" s="373"/>
      <c r="EM146" s="373"/>
      <c r="EN146" s="373"/>
      <c r="EO146" s="618"/>
      <c r="EP146" s="374">
        <v>0</v>
      </c>
      <c r="EQ146" s="869"/>
      <c r="ER146" s="373"/>
      <c r="ES146" s="373"/>
      <c r="ET146" s="870"/>
      <c r="EU146" s="373"/>
      <c r="EV146" s="373"/>
      <c r="EW146" s="373"/>
      <c r="EX146" s="618"/>
      <c r="EY146" s="374">
        <v>0</v>
      </c>
      <c r="EZ146" s="869"/>
      <c r="FA146" s="373"/>
      <c r="FB146" s="373"/>
      <c r="FC146" s="870"/>
      <c r="FD146" s="373"/>
      <c r="FE146" s="373"/>
      <c r="FF146" s="373"/>
      <c r="FG146" s="618"/>
      <c r="FH146" s="374">
        <v>0</v>
      </c>
      <c r="FI146" s="869"/>
      <c r="FJ146" s="373"/>
      <c r="FK146" s="373"/>
      <c r="FL146" s="870"/>
      <c r="FM146" s="373"/>
      <c r="FN146" s="373"/>
      <c r="FO146" s="373">
        <v>1</v>
      </c>
      <c r="FP146" s="618"/>
      <c r="FQ146" s="374">
        <v>1</v>
      </c>
      <c r="FR146" s="869"/>
      <c r="FS146" s="373"/>
      <c r="FT146" s="373"/>
      <c r="FU146" s="870"/>
      <c r="FV146" s="373"/>
      <c r="FW146" s="373"/>
      <c r="FX146" s="373"/>
      <c r="FY146" s="618"/>
      <c r="FZ146" s="374">
        <v>0</v>
      </c>
      <c r="GA146" s="869"/>
      <c r="GB146" s="373"/>
      <c r="GC146" s="373"/>
      <c r="GD146" s="870"/>
      <c r="GE146" s="373">
        <v>1</v>
      </c>
      <c r="GF146" s="373"/>
      <c r="GG146" s="373"/>
      <c r="GH146" s="618"/>
      <c r="GI146" s="374">
        <v>0</v>
      </c>
      <c r="GJ146" s="869">
        <v>2</v>
      </c>
      <c r="GK146" s="373">
        <v>3</v>
      </c>
      <c r="GL146" s="373">
        <v>7</v>
      </c>
      <c r="GM146" s="870">
        <v>1</v>
      </c>
      <c r="GN146" s="373">
        <v>4</v>
      </c>
      <c r="GO146" s="373">
        <v>2</v>
      </c>
      <c r="GP146" s="373">
        <v>4</v>
      </c>
      <c r="GQ146" s="618">
        <v>3</v>
      </c>
      <c r="GR146" s="374">
        <v>1</v>
      </c>
      <c r="GS146" s="869"/>
      <c r="GT146" s="373">
        <v>2</v>
      </c>
      <c r="GU146" s="373">
        <v>1</v>
      </c>
      <c r="GV146" s="870"/>
      <c r="GW146" s="373"/>
      <c r="GX146" s="373"/>
      <c r="GY146" s="373"/>
      <c r="GZ146" s="618"/>
      <c r="HA146" s="374">
        <v>0</v>
      </c>
      <c r="HB146" s="869"/>
      <c r="HC146" s="373"/>
      <c r="HD146" s="373"/>
      <c r="HE146" s="870"/>
      <c r="HF146" s="373"/>
      <c r="HG146" s="373"/>
      <c r="HH146" s="373"/>
      <c r="HI146" s="618"/>
      <c r="HJ146" s="374">
        <v>0</v>
      </c>
      <c r="HK146" s="869"/>
      <c r="HL146" s="373"/>
      <c r="HM146" s="373"/>
      <c r="HN146" s="870"/>
      <c r="HO146" s="373"/>
      <c r="HP146" s="373"/>
      <c r="HQ146" s="373"/>
      <c r="HR146" s="618"/>
      <c r="HS146" s="374">
        <v>0</v>
      </c>
      <c r="HT146" s="869"/>
      <c r="HU146" s="373">
        <v>3</v>
      </c>
      <c r="HV146" s="373">
        <v>1</v>
      </c>
      <c r="HW146" s="870"/>
      <c r="HX146" s="373">
        <v>1</v>
      </c>
      <c r="HY146" s="373">
        <v>1</v>
      </c>
      <c r="HZ146" s="373"/>
      <c r="IA146" s="618">
        <v>2</v>
      </c>
      <c r="IB146" s="374">
        <v>1</v>
      </c>
      <c r="IC146" s="869">
        <v>5</v>
      </c>
      <c r="ID146" s="373">
        <v>10</v>
      </c>
      <c r="IE146" s="373">
        <v>13</v>
      </c>
      <c r="IF146" s="870">
        <v>2</v>
      </c>
      <c r="IG146" s="373">
        <v>7</v>
      </c>
      <c r="IH146" s="373">
        <v>3</v>
      </c>
      <c r="II146" s="373">
        <v>9</v>
      </c>
      <c r="IJ146" s="618">
        <v>12</v>
      </c>
      <c r="IK146" s="374">
        <v>7</v>
      </c>
      <c r="IL146" s="377"/>
      <c r="IM146" s="373"/>
      <c r="IN146" s="373">
        <v>4</v>
      </c>
      <c r="IO146" s="871"/>
      <c r="IP146" s="871"/>
      <c r="IQ146" s="373"/>
      <c r="IR146" s="373"/>
      <c r="IS146" s="618"/>
      <c r="IT146" s="374">
        <v>0</v>
      </c>
    </row>
    <row r="147" spans="1:254" s="245" customFormat="1" ht="12.75" customHeight="1" x14ac:dyDescent="0.2">
      <c r="A147" s="1052"/>
      <c r="B147" s="868" t="s">
        <v>999</v>
      </c>
      <c r="C147" s="869"/>
      <c r="D147" s="373"/>
      <c r="E147" s="373"/>
      <c r="F147" s="870"/>
      <c r="G147" s="373"/>
      <c r="H147" s="373"/>
      <c r="I147" s="373"/>
      <c r="J147" s="618"/>
      <c r="K147" s="374">
        <v>0</v>
      </c>
      <c r="L147" s="869"/>
      <c r="M147" s="373"/>
      <c r="N147" s="373"/>
      <c r="O147" s="870"/>
      <c r="P147" s="373"/>
      <c r="Q147" s="373"/>
      <c r="R147" s="373"/>
      <c r="S147" s="618"/>
      <c r="T147" s="374">
        <v>0</v>
      </c>
      <c r="U147" s="869"/>
      <c r="V147" s="373"/>
      <c r="W147" s="373"/>
      <c r="X147" s="870"/>
      <c r="Y147" s="373"/>
      <c r="Z147" s="373"/>
      <c r="AA147" s="373"/>
      <c r="AB147" s="618"/>
      <c r="AC147" s="374">
        <v>0</v>
      </c>
      <c r="AD147" s="869"/>
      <c r="AE147" s="373">
        <v>1</v>
      </c>
      <c r="AF147" s="373"/>
      <c r="AG147" s="870"/>
      <c r="AH147" s="373"/>
      <c r="AI147" s="373"/>
      <c r="AJ147" s="373"/>
      <c r="AK147" s="618"/>
      <c r="AL147" s="374">
        <v>1</v>
      </c>
      <c r="AM147" s="869"/>
      <c r="AN147" s="373">
        <v>1</v>
      </c>
      <c r="AO147" s="373"/>
      <c r="AP147" s="870"/>
      <c r="AQ147" s="373"/>
      <c r="AR147" s="373"/>
      <c r="AS147" s="373"/>
      <c r="AT147" s="618"/>
      <c r="AU147" s="374">
        <v>0</v>
      </c>
      <c r="AV147" s="869"/>
      <c r="AW147" s="373"/>
      <c r="AX147" s="373"/>
      <c r="AY147" s="870"/>
      <c r="AZ147" s="373"/>
      <c r="BA147" s="373"/>
      <c r="BB147" s="373"/>
      <c r="BC147" s="618"/>
      <c r="BD147" s="374">
        <v>0</v>
      </c>
      <c r="BE147" s="869"/>
      <c r="BF147" s="373"/>
      <c r="BG147" s="373"/>
      <c r="BH147" s="870"/>
      <c r="BI147" s="373"/>
      <c r="BJ147" s="373"/>
      <c r="BK147" s="373"/>
      <c r="BL147" s="618"/>
      <c r="BM147" s="374">
        <v>0</v>
      </c>
      <c r="BN147" s="869"/>
      <c r="BO147" s="373"/>
      <c r="BP147" s="373"/>
      <c r="BQ147" s="870"/>
      <c r="BR147" s="373"/>
      <c r="BS147" s="373"/>
      <c r="BT147" s="373"/>
      <c r="BU147" s="618"/>
      <c r="BV147" s="374">
        <v>0</v>
      </c>
      <c r="BW147" s="869"/>
      <c r="BX147" s="373"/>
      <c r="BY147" s="373"/>
      <c r="BZ147" s="870"/>
      <c r="CA147" s="373"/>
      <c r="CB147" s="373"/>
      <c r="CC147" s="373">
        <v>1</v>
      </c>
      <c r="CD147" s="618"/>
      <c r="CE147" s="374">
        <v>1</v>
      </c>
      <c r="CF147" s="869"/>
      <c r="CG147" s="373"/>
      <c r="CH147" s="373"/>
      <c r="CI147" s="870"/>
      <c r="CJ147" s="373"/>
      <c r="CK147" s="373"/>
      <c r="CL147" s="373"/>
      <c r="CM147" s="618"/>
      <c r="CN147" s="374">
        <v>0</v>
      </c>
      <c r="CO147" s="869"/>
      <c r="CP147" s="373"/>
      <c r="CQ147" s="373"/>
      <c r="CR147" s="870"/>
      <c r="CS147" s="373"/>
      <c r="CT147" s="373"/>
      <c r="CU147" s="373"/>
      <c r="CV147" s="618"/>
      <c r="CW147" s="374">
        <v>0</v>
      </c>
      <c r="CX147" s="869">
        <v>1</v>
      </c>
      <c r="CY147" s="373">
        <v>3</v>
      </c>
      <c r="CZ147" s="373">
        <v>6</v>
      </c>
      <c r="DA147" s="870">
        <v>2</v>
      </c>
      <c r="DB147" s="373">
        <v>1</v>
      </c>
      <c r="DC147" s="373">
        <v>2</v>
      </c>
      <c r="DD147" s="373"/>
      <c r="DE147" s="618">
        <v>1</v>
      </c>
      <c r="DF147" s="374">
        <v>0</v>
      </c>
      <c r="DG147" s="869"/>
      <c r="DH147" s="373"/>
      <c r="DI147" s="373"/>
      <c r="DJ147" s="870"/>
      <c r="DK147" s="373"/>
      <c r="DL147" s="373"/>
      <c r="DM147" s="373"/>
      <c r="DN147" s="618"/>
      <c r="DO147" s="374">
        <v>0</v>
      </c>
      <c r="DP147" s="869"/>
      <c r="DQ147" s="373"/>
      <c r="DR147" s="373"/>
      <c r="DS147" s="870"/>
      <c r="DT147" s="373"/>
      <c r="DU147" s="373"/>
      <c r="DV147" s="373"/>
      <c r="DW147" s="618"/>
      <c r="DX147" s="374">
        <v>0</v>
      </c>
      <c r="DY147" s="869"/>
      <c r="DZ147" s="373"/>
      <c r="EA147" s="373">
        <v>1</v>
      </c>
      <c r="EB147" s="870"/>
      <c r="EC147" s="373"/>
      <c r="ED147" s="373"/>
      <c r="EE147" s="373"/>
      <c r="EF147" s="618"/>
      <c r="EG147" s="374">
        <v>0</v>
      </c>
      <c r="EH147" s="869"/>
      <c r="EI147" s="373"/>
      <c r="EJ147" s="373"/>
      <c r="EK147" s="870"/>
      <c r="EL147" s="373"/>
      <c r="EM147" s="373"/>
      <c r="EN147" s="373"/>
      <c r="EO147" s="618"/>
      <c r="EP147" s="374">
        <v>0</v>
      </c>
      <c r="EQ147" s="869"/>
      <c r="ER147" s="373"/>
      <c r="ES147" s="373"/>
      <c r="ET147" s="870"/>
      <c r="EU147" s="373"/>
      <c r="EV147" s="373"/>
      <c r="EW147" s="373"/>
      <c r="EX147" s="618"/>
      <c r="EY147" s="374">
        <v>0</v>
      </c>
      <c r="EZ147" s="869"/>
      <c r="FA147" s="373"/>
      <c r="FB147" s="373"/>
      <c r="FC147" s="870"/>
      <c r="FD147" s="373"/>
      <c r="FE147" s="373"/>
      <c r="FF147" s="373"/>
      <c r="FG147" s="618"/>
      <c r="FH147" s="374">
        <v>0</v>
      </c>
      <c r="FI147" s="869"/>
      <c r="FJ147" s="373">
        <v>1</v>
      </c>
      <c r="FK147" s="373"/>
      <c r="FL147" s="870"/>
      <c r="FM147" s="373">
        <v>1</v>
      </c>
      <c r="FN147" s="373"/>
      <c r="FO147" s="373"/>
      <c r="FP147" s="618"/>
      <c r="FQ147" s="374">
        <v>0</v>
      </c>
      <c r="FR147" s="869"/>
      <c r="FS147" s="373"/>
      <c r="FT147" s="373"/>
      <c r="FU147" s="870"/>
      <c r="FV147" s="373"/>
      <c r="FW147" s="373">
        <v>1</v>
      </c>
      <c r="FX147" s="373"/>
      <c r="FY147" s="618"/>
      <c r="FZ147" s="374">
        <v>0</v>
      </c>
      <c r="GA147" s="869"/>
      <c r="GB147" s="373"/>
      <c r="GC147" s="373"/>
      <c r="GD147" s="870"/>
      <c r="GE147" s="373"/>
      <c r="GF147" s="373"/>
      <c r="GG147" s="373"/>
      <c r="GH147" s="618"/>
      <c r="GI147" s="374">
        <v>0</v>
      </c>
      <c r="GJ147" s="869">
        <v>1</v>
      </c>
      <c r="GK147" s="373">
        <v>5</v>
      </c>
      <c r="GL147" s="373">
        <v>6</v>
      </c>
      <c r="GM147" s="870">
        <v>2</v>
      </c>
      <c r="GN147" s="373">
        <v>2</v>
      </c>
      <c r="GO147" s="373">
        <v>3</v>
      </c>
      <c r="GP147" s="373">
        <v>1</v>
      </c>
      <c r="GQ147" s="618">
        <v>1</v>
      </c>
      <c r="GR147" s="374">
        <v>2</v>
      </c>
      <c r="GS147" s="869">
        <v>1</v>
      </c>
      <c r="GT147" s="373">
        <v>4</v>
      </c>
      <c r="GU147" s="373">
        <v>2</v>
      </c>
      <c r="GV147" s="870"/>
      <c r="GW147" s="373"/>
      <c r="GX147" s="373">
        <v>2</v>
      </c>
      <c r="GY147" s="373"/>
      <c r="GZ147" s="618"/>
      <c r="HA147" s="374">
        <v>0</v>
      </c>
      <c r="HB147" s="869"/>
      <c r="HC147" s="373"/>
      <c r="HD147" s="373"/>
      <c r="HE147" s="870"/>
      <c r="HF147" s="373"/>
      <c r="HG147" s="373"/>
      <c r="HH147" s="373"/>
      <c r="HI147" s="618"/>
      <c r="HJ147" s="374">
        <v>0</v>
      </c>
      <c r="HK147" s="869"/>
      <c r="HL147" s="373"/>
      <c r="HM147" s="373"/>
      <c r="HN147" s="870"/>
      <c r="HO147" s="373"/>
      <c r="HP147" s="373"/>
      <c r="HQ147" s="373"/>
      <c r="HR147" s="618"/>
      <c r="HS147" s="374">
        <v>0</v>
      </c>
      <c r="HT147" s="869">
        <v>1</v>
      </c>
      <c r="HU147" s="373">
        <v>6</v>
      </c>
      <c r="HV147" s="373">
        <v>2</v>
      </c>
      <c r="HW147" s="870"/>
      <c r="HX147" s="373"/>
      <c r="HY147" s="373">
        <v>3</v>
      </c>
      <c r="HZ147" s="373"/>
      <c r="IA147" s="618"/>
      <c r="IB147" s="374">
        <v>1</v>
      </c>
      <c r="IC147" s="869">
        <v>2</v>
      </c>
      <c r="ID147" s="373">
        <v>8</v>
      </c>
      <c r="IE147" s="373">
        <v>6</v>
      </c>
      <c r="IF147" s="870">
        <v>4</v>
      </c>
      <c r="IG147" s="373">
        <v>4</v>
      </c>
      <c r="IH147" s="373">
        <v>7</v>
      </c>
      <c r="II147" s="373">
        <v>1</v>
      </c>
      <c r="IJ147" s="618">
        <v>2</v>
      </c>
      <c r="IK147" s="374">
        <v>3</v>
      </c>
      <c r="IL147" s="377"/>
      <c r="IM147" s="373"/>
      <c r="IN147" s="373">
        <v>1</v>
      </c>
      <c r="IO147" s="871"/>
      <c r="IP147" s="871"/>
      <c r="IQ147" s="373"/>
      <c r="IR147" s="373"/>
      <c r="IS147" s="618"/>
      <c r="IT147" s="374">
        <v>0</v>
      </c>
    </row>
    <row r="148" spans="1:254" s="245" customFormat="1" ht="12.75" customHeight="1" x14ac:dyDescent="0.2">
      <c r="A148" s="1052"/>
      <c r="B148" s="868" t="s">
        <v>1000</v>
      </c>
      <c r="C148" s="869"/>
      <c r="D148" s="373"/>
      <c r="E148" s="373"/>
      <c r="F148" s="870"/>
      <c r="G148" s="373"/>
      <c r="H148" s="373"/>
      <c r="I148" s="373"/>
      <c r="J148" s="618"/>
      <c r="K148" s="374">
        <v>0</v>
      </c>
      <c r="L148" s="869"/>
      <c r="M148" s="373"/>
      <c r="N148" s="373"/>
      <c r="O148" s="870"/>
      <c r="P148" s="373"/>
      <c r="Q148" s="373"/>
      <c r="R148" s="373"/>
      <c r="S148" s="618"/>
      <c r="T148" s="374">
        <v>0</v>
      </c>
      <c r="U148" s="869"/>
      <c r="V148" s="373"/>
      <c r="W148" s="373"/>
      <c r="X148" s="870"/>
      <c r="Y148" s="373"/>
      <c r="Z148" s="373"/>
      <c r="AA148" s="373"/>
      <c r="AB148" s="618"/>
      <c r="AC148" s="374">
        <v>0</v>
      </c>
      <c r="AD148" s="869"/>
      <c r="AE148" s="373">
        <v>1</v>
      </c>
      <c r="AF148" s="373"/>
      <c r="AG148" s="870">
        <v>2</v>
      </c>
      <c r="AH148" s="373"/>
      <c r="AI148" s="373">
        <v>1</v>
      </c>
      <c r="AJ148" s="373">
        <v>1</v>
      </c>
      <c r="AK148" s="618"/>
      <c r="AL148" s="374">
        <v>0</v>
      </c>
      <c r="AM148" s="869"/>
      <c r="AN148" s="373">
        <v>1</v>
      </c>
      <c r="AO148" s="373"/>
      <c r="AP148" s="870">
        <v>1</v>
      </c>
      <c r="AQ148" s="373"/>
      <c r="AR148" s="373">
        <v>1</v>
      </c>
      <c r="AS148" s="373">
        <v>1</v>
      </c>
      <c r="AT148" s="618"/>
      <c r="AU148" s="374">
        <v>0</v>
      </c>
      <c r="AV148" s="869"/>
      <c r="AW148" s="373"/>
      <c r="AX148" s="373"/>
      <c r="AY148" s="870"/>
      <c r="AZ148" s="373"/>
      <c r="BA148" s="373"/>
      <c r="BB148" s="373"/>
      <c r="BC148" s="618"/>
      <c r="BD148" s="374">
        <v>0</v>
      </c>
      <c r="BE148" s="869"/>
      <c r="BF148" s="373"/>
      <c r="BG148" s="373"/>
      <c r="BH148" s="870"/>
      <c r="BI148" s="373"/>
      <c r="BJ148" s="373"/>
      <c r="BK148" s="373"/>
      <c r="BL148" s="618"/>
      <c r="BM148" s="374">
        <v>0</v>
      </c>
      <c r="BN148" s="869"/>
      <c r="BO148" s="373"/>
      <c r="BP148" s="373"/>
      <c r="BQ148" s="870"/>
      <c r="BR148" s="373"/>
      <c r="BS148" s="373"/>
      <c r="BT148" s="373"/>
      <c r="BU148" s="618"/>
      <c r="BV148" s="374">
        <v>0</v>
      </c>
      <c r="BW148" s="869">
        <v>1</v>
      </c>
      <c r="BX148" s="373">
        <v>1</v>
      </c>
      <c r="BY148" s="373"/>
      <c r="BZ148" s="870">
        <v>1</v>
      </c>
      <c r="CA148" s="373"/>
      <c r="CB148" s="373"/>
      <c r="CC148" s="373">
        <v>1</v>
      </c>
      <c r="CD148" s="618"/>
      <c r="CE148" s="374">
        <v>0</v>
      </c>
      <c r="CF148" s="869"/>
      <c r="CG148" s="373"/>
      <c r="CH148" s="373"/>
      <c r="CI148" s="870"/>
      <c r="CJ148" s="373"/>
      <c r="CK148" s="373"/>
      <c r="CL148" s="373"/>
      <c r="CM148" s="618"/>
      <c r="CN148" s="374">
        <v>0</v>
      </c>
      <c r="CO148" s="869"/>
      <c r="CP148" s="373"/>
      <c r="CQ148" s="373"/>
      <c r="CR148" s="870"/>
      <c r="CS148" s="373"/>
      <c r="CT148" s="373">
        <v>2</v>
      </c>
      <c r="CU148" s="373"/>
      <c r="CV148" s="618"/>
      <c r="CW148" s="374">
        <v>0</v>
      </c>
      <c r="CX148" s="869">
        <v>2</v>
      </c>
      <c r="CY148" s="373">
        <v>4</v>
      </c>
      <c r="CZ148" s="373">
        <v>2</v>
      </c>
      <c r="DA148" s="870">
        <v>38</v>
      </c>
      <c r="DB148" s="373">
        <v>4</v>
      </c>
      <c r="DC148" s="373">
        <v>1</v>
      </c>
      <c r="DD148" s="373">
        <v>1</v>
      </c>
      <c r="DE148" s="618">
        <v>2</v>
      </c>
      <c r="DF148" s="374">
        <v>0</v>
      </c>
      <c r="DG148" s="869"/>
      <c r="DH148" s="373"/>
      <c r="DI148" s="373"/>
      <c r="DJ148" s="870"/>
      <c r="DK148" s="373"/>
      <c r="DL148" s="373"/>
      <c r="DM148" s="373"/>
      <c r="DN148" s="618"/>
      <c r="DO148" s="374">
        <v>0</v>
      </c>
      <c r="DP148" s="869"/>
      <c r="DQ148" s="373"/>
      <c r="DR148" s="373"/>
      <c r="DS148" s="870"/>
      <c r="DT148" s="373"/>
      <c r="DU148" s="373"/>
      <c r="DV148" s="373"/>
      <c r="DW148" s="618"/>
      <c r="DX148" s="374">
        <v>0</v>
      </c>
      <c r="DY148" s="869"/>
      <c r="DZ148" s="373"/>
      <c r="EA148" s="373"/>
      <c r="EB148" s="870">
        <v>1</v>
      </c>
      <c r="EC148" s="373"/>
      <c r="ED148" s="373"/>
      <c r="EE148" s="373"/>
      <c r="EF148" s="618">
        <v>1</v>
      </c>
      <c r="EG148" s="374">
        <v>0</v>
      </c>
      <c r="EH148" s="869"/>
      <c r="EI148" s="373"/>
      <c r="EJ148" s="373"/>
      <c r="EK148" s="870"/>
      <c r="EL148" s="373"/>
      <c r="EM148" s="373"/>
      <c r="EN148" s="373"/>
      <c r="EO148" s="618"/>
      <c r="EP148" s="374">
        <v>0</v>
      </c>
      <c r="EQ148" s="869"/>
      <c r="ER148" s="373"/>
      <c r="ES148" s="373"/>
      <c r="ET148" s="870"/>
      <c r="EU148" s="373"/>
      <c r="EV148" s="373"/>
      <c r="EW148" s="373"/>
      <c r="EX148" s="618"/>
      <c r="EY148" s="374">
        <v>0</v>
      </c>
      <c r="EZ148" s="869"/>
      <c r="FA148" s="373"/>
      <c r="FB148" s="373"/>
      <c r="FC148" s="870"/>
      <c r="FD148" s="373"/>
      <c r="FE148" s="373"/>
      <c r="FF148" s="373"/>
      <c r="FG148" s="618"/>
      <c r="FH148" s="374">
        <v>0</v>
      </c>
      <c r="FI148" s="869"/>
      <c r="FJ148" s="373"/>
      <c r="FK148" s="373"/>
      <c r="FL148" s="870"/>
      <c r="FM148" s="373"/>
      <c r="FN148" s="373"/>
      <c r="FO148" s="373">
        <v>1</v>
      </c>
      <c r="FP148" s="618"/>
      <c r="FQ148" s="374">
        <v>0</v>
      </c>
      <c r="FR148" s="869"/>
      <c r="FS148" s="373"/>
      <c r="FT148" s="373"/>
      <c r="FU148" s="870"/>
      <c r="FV148" s="373"/>
      <c r="FW148" s="373"/>
      <c r="FX148" s="373"/>
      <c r="FY148" s="618"/>
      <c r="FZ148" s="374">
        <v>0</v>
      </c>
      <c r="GA148" s="869"/>
      <c r="GB148" s="373"/>
      <c r="GC148" s="373"/>
      <c r="GD148" s="870"/>
      <c r="GE148" s="373"/>
      <c r="GF148" s="373"/>
      <c r="GG148" s="373"/>
      <c r="GH148" s="618"/>
      <c r="GI148" s="374">
        <v>0</v>
      </c>
      <c r="GJ148" s="869">
        <v>3</v>
      </c>
      <c r="GK148" s="373">
        <v>6</v>
      </c>
      <c r="GL148" s="373">
        <v>2</v>
      </c>
      <c r="GM148" s="870">
        <v>41</v>
      </c>
      <c r="GN148" s="373">
        <v>4</v>
      </c>
      <c r="GO148" s="373">
        <v>4</v>
      </c>
      <c r="GP148" s="373">
        <v>4</v>
      </c>
      <c r="GQ148" s="618">
        <v>2</v>
      </c>
      <c r="GR148" s="374">
        <v>0</v>
      </c>
      <c r="GS148" s="869"/>
      <c r="GT148" s="373">
        <v>2</v>
      </c>
      <c r="GU148" s="373"/>
      <c r="GV148" s="870">
        <v>1</v>
      </c>
      <c r="GW148" s="373"/>
      <c r="GX148" s="373"/>
      <c r="GY148" s="373"/>
      <c r="GZ148" s="618"/>
      <c r="HA148" s="374">
        <v>0</v>
      </c>
      <c r="HB148" s="869"/>
      <c r="HC148" s="373"/>
      <c r="HD148" s="373"/>
      <c r="HE148" s="870"/>
      <c r="HF148" s="373"/>
      <c r="HG148" s="373"/>
      <c r="HH148" s="373"/>
      <c r="HI148" s="618"/>
      <c r="HJ148" s="374">
        <v>0</v>
      </c>
      <c r="HK148" s="869"/>
      <c r="HL148" s="373"/>
      <c r="HM148" s="373"/>
      <c r="HN148" s="870"/>
      <c r="HO148" s="373"/>
      <c r="HP148" s="373"/>
      <c r="HQ148" s="373"/>
      <c r="HR148" s="618"/>
      <c r="HS148" s="374">
        <v>0</v>
      </c>
      <c r="HT148" s="869"/>
      <c r="HU148" s="373">
        <v>2</v>
      </c>
      <c r="HV148" s="373"/>
      <c r="HW148" s="870">
        <v>2</v>
      </c>
      <c r="HX148" s="373">
        <v>1</v>
      </c>
      <c r="HY148" s="373"/>
      <c r="HZ148" s="373"/>
      <c r="IA148" s="618">
        <v>1</v>
      </c>
      <c r="IB148" s="374">
        <v>0</v>
      </c>
      <c r="IC148" s="869">
        <v>4</v>
      </c>
      <c r="ID148" s="373">
        <v>7</v>
      </c>
      <c r="IE148" s="373">
        <v>2</v>
      </c>
      <c r="IF148" s="870">
        <v>44</v>
      </c>
      <c r="IG148" s="373">
        <v>5</v>
      </c>
      <c r="IH148" s="373">
        <v>4</v>
      </c>
      <c r="II148" s="373">
        <v>8</v>
      </c>
      <c r="IJ148" s="618">
        <v>3</v>
      </c>
      <c r="IK148" s="374">
        <v>0</v>
      </c>
      <c r="IL148" s="377">
        <v>1</v>
      </c>
      <c r="IM148" s="373"/>
      <c r="IN148" s="373"/>
      <c r="IO148" s="871">
        <v>37</v>
      </c>
      <c r="IP148" s="871">
        <v>1</v>
      </c>
      <c r="IQ148" s="373"/>
      <c r="IR148" s="373">
        <v>1</v>
      </c>
      <c r="IS148" s="618">
        <v>1</v>
      </c>
      <c r="IT148" s="374">
        <v>0</v>
      </c>
    </row>
    <row r="149" spans="1:254" s="245" customFormat="1" ht="12.75" customHeight="1" x14ac:dyDescent="0.2">
      <c r="A149" s="1052"/>
      <c r="B149" s="868" t="s">
        <v>1001</v>
      </c>
      <c r="C149" s="869"/>
      <c r="D149" s="373"/>
      <c r="E149" s="373"/>
      <c r="F149" s="870"/>
      <c r="G149" s="373"/>
      <c r="H149" s="373"/>
      <c r="I149" s="373"/>
      <c r="J149" s="618"/>
      <c r="K149" s="374">
        <v>0</v>
      </c>
      <c r="L149" s="869"/>
      <c r="M149" s="373"/>
      <c r="N149" s="373"/>
      <c r="O149" s="870"/>
      <c r="P149" s="373"/>
      <c r="Q149" s="373"/>
      <c r="R149" s="373"/>
      <c r="S149" s="618"/>
      <c r="T149" s="374">
        <v>0</v>
      </c>
      <c r="U149" s="869"/>
      <c r="V149" s="373"/>
      <c r="W149" s="373"/>
      <c r="X149" s="870"/>
      <c r="Y149" s="373"/>
      <c r="Z149" s="373"/>
      <c r="AA149" s="373"/>
      <c r="AB149" s="618"/>
      <c r="AC149" s="374">
        <v>0</v>
      </c>
      <c r="AD149" s="869">
        <v>1</v>
      </c>
      <c r="AE149" s="373"/>
      <c r="AF149" s="373"/>
      <c r="AG149" s="870"/>
      <c r="AH149" s="373"/>
      <c r="AI149" s="373">
        <v>2</v>
      </c>
      <c r="AJ149" s="373">
        <v>1</v>
      </c>
      <c r="AK149" s="618"/>
      <c r="AL149" s="374">
        <v>0</v>
      </c>
      <c r="AM149" s="869"/>
      <c r="AN149" s="373"/>
      <c r="AO149" s="373"/>
      <c r="AP149" s="870"/>
      <c r="AQ149" s="373"/>
      <c r="AR149" s="373">
        <v>1</v>
      </c>
      <c r="AS149" s="373"/>
      <c r="AT149" s="618"/>
      <c r="AU149" s="374">
        <v>0</v>
      </c>
      <c r="AV149" s="869"/>
      <c r="AW149" s="373"/>
      <c r="AX149" s="373"/>
      <c r="AY149" s="870"/>
      <c r="AZ149" s="373"/>
      <c r="BA149" s="373"/>
      <c r="BB149" s="373"/>
      <c r="BC149" s="618"/>
      <c r="BD149" s="374">
        <v>0</v>
      </c>
      <c r="BE149" s="869"/>
      <c r="BF149" s="373"/>
      <c r="BG149" s="373"/>
      <c r="BH149" s="870"/>
      <c r="BI149" s="373"/>
      <c r="BJ149" s="373"/>
      <c r="BK149" s="373"/>
      <c r="BL149" s="618"/>
      <c r="BM149" s="374">
        <v>0</v>
      </c>
      <c r="BN149" s="869"/>
      <c r="BO149" s="373"/>
      <c r="BP149" s="373"/>
      <c r="BQ149" s="870"/>
      <c r="BR149" s="373"/>
      <c r="BS149" s="373"/>
      <c r="BT149" s="373"/>
      <c r="BU149" s="618"/>
      <c r="BV149" s="374">
        <v>0</v>
      </c>
      <c r="BW149" s="869">
        <v>1</v>
      </c>
      <c r="BX149" s="373"/>
      <c r="BY149" s="373"/>
      <c r="BZ149" s="870">
        <v>5</v>
      </c>
      <c r="CA149" s="373"/>
      <c r="CB149" s="373"/>
      <c r="CC149" s="373"/>
      <c r="CD149" s="618"/>
      <c r="CE149" s="374">
        <v>0</v>
      </c>
      <c r="CF149" s="869"/>
      <c r="CG149" s="373"/>
      <c r="CH149" s="373"/>
      <c r="CI149" s="870"/>
      <c r="CJ149" s="373"/>
      <c r="CK149" s="373"/>
      <c r="CL149" s="373"/>
      <c r="CM149" s="618"/>
      <c r="CN149" s="374">
        <v>0</v>
      </c>
      <c r="CO149" s="869"/>
      <c r="CP149" s="373"/>
      <c r="CQ149" s="373"/>
      <c r="CR149" s="870"/>
      <c r="CS149" s="373"/>
      <c r="CT149" s="373"/>
      <c r="CU149" s="373"/>
      <c r="CV149" s="618"/>
      <c r="CW149" s="374">
        <v>0</v>
      </c>
      <c r="CX149" s="869">
        <v>7</v>
      </c>
      <c r="CY149" s="373">
        <v>7</v>
      </c>
      <c r="CZ149" s="373">
        <v>10</v>
      </c>
      <c r="DA149" s="870">
        <v>9</v>
      </c>
      <c r="DB149" s="373">
        <v>3</v>
      </c>
      <c r="DC149" s="373">
        <v>5</v>
      </c>
      <c r="DD149" s="373"/>
      <c r="DE149" s="618"/>
      <c r="DF149" s="374">
        <v>4</v>
      </c>
      <c r="DG149" s="869"/>
      <c r="DH149" s="373"/>
      <c r="DI149" s="373"/>
      <c r="DJ149" s="870"/>
      <c r="DK149" s="373"/>
      <c r="DL149" s="373"/>
      <c r="DM149" s="373"/>
      <c r="DN149" s="618"/>
      <c r="DO149" s="374">
        <v>0</v>
      </c>
      <c r="DP149" s="869"/>
      <c r="DQ149" s="373"/>
      <c r="DR149" s="373"/>
      <c r="DS149" s="870"/>
      <c r="DT149" s="373"/>
      <c r="DU149" s="373"/>
      <c r="DV149" s="373"/>
      <c r="DW149" s="618"/>
      <c r="DX149" s="374">
        <v>0</v>
      </c>
      <c r="DY149" s="869"/>
      <c r="DZ149" s="373"/>
      <c r="EA149" s="373">
        <v>2</v>
      </c>
      <c r="EB149" s="870">
        <v>1</v>
      </c>
      <c r="EC149" s="373"/>
      <c r="ED149" s="373">
        <v>4</v>
      </c>
      <c r="EE149" s="373"/>
      <c r="EF149" s="618"/>
      <c r="EG149" s="374">
        <v>1</v>
      </c>
      <c r="EH149" s="869"/>
      <c r="EI149" s="373"/>
      <c r="EJ149" s="373"/>
      <c r="EK149" s="870"/>
      <c r="EL149" s="373"/>
      <c r="EM149" s="373"/>
      <c r="EN149" s="373"/>
      <c r="EO149" s="618"/>
      <c r="EP149" s="374">
        <v>0</v>
      </c>
      <c r="EQ149" s="869"/>
      <c r="ER149" s="373"/>
      <c r="ES149" s="373"/>
      <c r="ET149" s="870"/>
      <c r="EU149" s="373"/>
      <c r="EV149" s="373"/>
      <c r="EW149" s="373"/>
      <c r="EX149" s="618"/>
      <c r="EY149" s="374">
        <v>0</v>
      </c>
      <c r="EZ149" s="869"/>
      <c r="FA149" s="373"/>
      <c r="FB149" s="373"/>
      <c r="FC149" s="870"/>
      <c r="FD149" s="373"/>
      <c r="FE149" s="373"/>
      <c r="FF149" s="373"/>
      <c r="FG149" s="618"/>
      <c r="FH149" s="374">
        <v>0</v>
      </c>
      <c r="FI149" s="869"/>
      <c r="FJ149" s="373"/>
      <c r="FK149" s="373"/>
      <c r="FL149" s="870"/>
      <c r="FM149" s="373"/>
      <c r="FN149" s="373"/>
      <c r="FO149" s="373"/>
      <c r="FP149" s="618"/>
      <c r="FQ149" s="374">
        <v>0</v>
      </c>
      <c r="FR149" s="869"/>
      <c r="FS149" s="373"/>
      <c r="FT149" s="373"/>
      <c r="FU149" s="870"/>
      <c r="FV149" s="373"/>
      <c r="FW149" s="373"/>
      <c r="FX149" s="373"/>
      <c r="FY149" s="618"/>
      <c r="FZ149" s="374">
        <v>0</v>
      </c>
      <c r="GA149" s="869"/>
      <c r="GB149" s="373"/>
      <c r="GC149" s="373"/>
      <c r="GD149" s="870"/>
      <c r="GE149" s="373"/>
      <c r="GF149" s="373"/>
      <c r="GG149" s="373"/>
      <c r="GH149" s="618"/>
      <c r="GI149" s="374">
        <v>0</v>
      </c>
      <c r="GJ149" s="869">
        <v>9</v>
      </c>
      <c r="GK149" s="373">
        <v>7</v>
      </c>
      <c r="GL149" s="373">
        <v>10</v>
      </c>
      <c r="GM149" s="870">
        <v>14</v>
      </c>
      <c r="GN149" s="373">
        <v>3</v>
      </c>
      <c r="GO149" s="373">
        <v>7</v>
      </c>
      <c r="GP149" s="373">
        <v>1</v>
      </c>
      <c r="GQ149" s="618"/>
      <c r="GR149" s="374">
        <v>4</v>
      </c>
      <c r="GS149" s="869">
        <v>3</v>
      </c>
      <c r="GT149" s="373">
        <v>1</v>
      </c>
      <c r="GU149" s="373"/>
      <c r="GV149" s="870">
        <v>1</v>
      </c>
      <c r="GW149" s="373"/>
      <c r="GX149" s="373">
        <v>1</v>
      </c>
      <c r="GY149" s="373"/>
      <c r="GZ149" s="618"/>
      <c r="HA149" s="374">
        <v>0</v>
      </c>
      <c r="HB149" s="869"/>
      <c r="HC149" s="373"/>
      <c r="HD149" s="373"/>
      <c r="HE149" s="870"/>
      <c r="HF149" s="373"/>
      <c r="HG149" s="373"/>
      <c r="HH149" s="373"/>
      <c r="HI149" s="618"/>
      <c r="HJ149" s="374">
        <v>0</v>
      </c>
      <c r="HK149" s="869"/>
      <c r="HL149" s="373"/>
      <c r="HM149" s="373"/>
      <c r="HN149" s="870"/>
      <c r="HO149" s="373"/>
      <c r="HP149" s="373"/>
      <c r="HQ149" s="373"/>
      <c r="HR149" s="618"/>
      <c r="HS149" s="374">
        <v>0</v>
      </c>
      <c r="HT149" s="869">
        <v>3</v>
      </c>
      <c r="HU149" s="373">
        <v>4</v>
      </c>
      <c r="HV149" s="373"/>
      <c r="HW149" s="870">
        <v>1</v>
      </c>
      <c r="HX149" s="373"/>
      <c r="HY149" s="373">
        <v>1</v>
      </c>
      <c r="HZ149" s="373">
        <v>2</v>
      </c>
      <c r="IA149" s="618"/>
      <c r="IB149" s="374">
        <v>0</v>
      </c>
      <c r="IC149" s="869">
        <v>9</v>
      </c>
      <c r="ID149" s="373">
        <v>11</v>
      </c>
      <c r="IE149" s="373">
        <v>12</v>
      </c>
      <c r="IF149" s="870">
        <v>14</v>
      </c>
      <c r="IG149" s="373">
        <v>6</v>
      </c>
      <c r="IH149" s="373">
        <v>7</v>
      </c>
      <c r="II149" s="373">
        <v>4</v>
      </c>
      <c r="IJ149" s="618"/>
      <c r="IK149" s="374">
        <v>5</v>
      </c>
      <c r="IL149" s="377">
        <v>4</v>
      </c>
      <c r="IM149" s="373">
        <v>6</v>
      </c>
      <c r="IN149" s="373">
        <v>8</v>
      </c>
      <c r="IO149" s="871">
        <v>5</v>
      </c>
      <c r="IP149" s="871"/>
      <c r="IQ149" s="373">
        <v>5</v>
      </c>
      <c r="IR149" s="373"/>
      <c r="IS149" s="618"/>
      <c r="IT149" s="374">
        <v>3</v>
      </c>
    </row>
    <row r="150" spans="1:254" s="245" customFormat="1" ht="12.75" customHeight="1" x14ac:dyDescent="0.2">
      <c r="A150" s="1052"/>
      <c r="B150" s="868" t="s">
        <v>1002</v>
      </c>
      <c r="C150" s="869"/>
      <c r="D150" s="373"/>
      <c r="E150" s="373"/>
      <c r="F150" s="870"/>
      <c r="G150" s="373"/>
      <c r="H150" s="373"/>
      <c r="I150" s="373"/>
      <c r="J150" s="618"/>
      <c r="K150" s="374">
        <v>0</v>
      </c>
      <c r="L150" s="869"/>
      <c r="M150" s="373"/>
      <c r="N150" s="373"/>
      <c r="O150" s="870"/>
      <c r="P150" s="373"/>
      <c r="Q150" s="373"/>
      <c r="R150" s="373"/>
      <c r="S150" s="618"/>
      <c r="T150" s="374">
        <v>0</v>
      </c>
      <c r="U150" s="869"/>
      <c r="V150" s="373"/>
      <c r="W150" s="373"/>
      <c r="X150" s="870"/>
      <c r="Y150" s="373"/>
      <c r="Z150" s="373"/>
      <c r="AA150" s="373"/>
      <c r="AB150" s="618"/>
      <c r="AC150" s="374">
        <v>0</v>
      </c>
      <c r="AD150" s="869"/>
      <c r="AE150" s="373"/>
      <c r="AF150" s="373"/>
      <c r="AG150" s="870"/>
      <c r="AH150" s="373">
        <v>2</v>
      </c>
      <c r="AI150" s="373"/>
      <c r="AJ150" s="373"/>
      <c r="AK150" s="618"/>
      <c r="AL150" s="374">
        <v>0</v>
      </c>
      <c r="AM150" s="869"/>
      <c r="AN150" s="373"/>
      <c r="AO150" s="373"/>
      <c r="AP150" s="870"/>
      <c r="AQ150" s="373">
        <v>1</v>
      </c>
      <c r="AR150" s="373"/>
      <c r="AS150" s="373"/>
      <c r="AT150" s="618"/>
      <c r="AU150" s="374">
        <v>0</v>
      </c>
      <c r="AV150" s="869"/>
      <c r="AW150" s="373"/>
      <c r="AX150" s="373"/>
      <c r="AY150" s="870"/>
      <c r="AZ150" s="373"/>
      <c r="BA150" s="373"/>
      <c r="BB150" s="373"/>
      <c r="BC150" s="618"/>
      <c r="BD150" s="374">
        <v>0</v>
      </c>
      <c r="BE150" s="869"/>
      <c r="BF150" s="373"/>
      <c r="BG150" s="373"/>
      <c r="BH150" s="870"/>
      <c r="BI150" s="373"/>
      <c r="BJ150" s="373"/>
      <c r="BK150" s="373"/>
      <c r="BL150" s="618">
        <v>2</v>
      </c>
      <c r="BM150" s="374">
        <v>0</v>
      </c>
      <c r="BN150" s="869">
        <v>1</v>
      </c>
      <c r="BO150" s="373"/>
      <c r="BP150" s="373"/>
      <c r="BQ150" s="870">
        <v>3</v>
      </c>
      <c r="BR150" s="373">
        <v>1</v>
      </c>
      <c r="BS150" s="373">
        <v>1</v>
      </c>
      <c r="BT150" s="373"/>
      <c r="BU150" s="618"/>
      <c r="BV150" s="374">
        <v>0</v>
      </c>
      <c r="BW150" s="869"/>
      <c r="BX150" s="373"/>
      <c r="BY150" s="373"/>
      <c r="BZ150" s="870"/>
      <c r="CA150" s="373"/>
      <c r="CB150" s="373"/>
      <c r="CC150" s="373"/>
      <c r="CD150" s="618"/>
      <c r="CE150" s="374">
        <v>0</v>
      </c>
      <c r="CF150" s="869"/>
      <c r="CG150" s="373"/>
      <c r="CH150" s="373"/>
      <c r="CI150" s="870"/>
      <c r="CJ150" s="373"/>
      <c r="CK150" s="373"/>
      <c r="CL150" s="373"/>
      <c r="CM150" s="618"/>
      <c r="CN150" s="374">
        <v>0</v>
      </c>
      <c r="CO150" s="869"/>
      <c r="CP150" s="373"/>
      <c r="CQ150" s="373"/>
      <c r="CR150" s="870"/>
      <c r="CS150" s="373"/>
      <c r="CT150" s="373"/>
      <c r="CU150" s="373"/>
      <c r="CV150" s="618"/>
      <c r="CW150" s="374">
        <v>0</v>
      </c>
      <c r="CX150" s="869">
        <v>1</v>
      </c>
      <c r="CY150" s="373"/>
      <c r="CZ150" s="373">
        <v>2</v>
      </c>
      <c r="DA150" s="870">
        <v>1</v>
      </c>
      <c r="DB150" s="373">
        <v>1</v>
      </c>
      <c r="DC150" s="373">
        <v>1</v>
      </c>
      <c r="DD150" s="373"/>
      <c r="DE150" s="618">
        <v>1</v>
      </c>
      <c r="DF150" s="374">
        <v>0</v>
      </c>
      <c r="DG150" s="869"/>
      <c r="DH150" s="373"/>
      <c r="DI150" s="373"/>
      <c r="DJ150" s="870"/>
      <c r="DK150" s="373"/>
      <c r="DL150" s="373"/>
      <c r="DM150" s="373"/>
      <c r="DN150" s="618"/>
      <c r="DO150" s="374">
        <v>0</v>
      </c>
      <c r="DP150" s="869"/>
      <c r="DQ150" s="373"/>
      <c r="DR150" s="373"/>
      <c r="DS150" s="870"/>
      <c r="DT150" s="373"/>
      <c r="DU150" s="373"/>
      <c r="DV150" s="373"/>
      <c r="DW150" s="618"/>
      <c r="DX150" s="374">
        <v>0</v>
      </c>
      <c r="DY150" s="869"/>
      <c r="DZ150" s="373"/>
      <c r="EA150" s="373"/>
      <c r="EB150" s="870">
        <v>1</v>
      </c>
      <c r="EC150" s="373"/>
      <c r="ED150" s="373"/>
      <c r="EE150" s="373"/>
      <c r="EF150" s="618"/>
      <c r="EG150" s="374">
        <v>0</v>
      </c>
      <c r="EH150" s="869"/>
      <c r="EI150" s="373"/>
      <c r="EJ150" s="373"/>
      <c r="EK150" s="870"/>
      <c r="EL150" s="373"/>
      <c r="EM150" s="373"/>
      <c r="EN150" s="373"/>
      <c r="EO150" s="618"/>
      <c r="EP150" s="374">
        <v>0</v>
      </c>
      <c r="EQ150" s="869"/>
      <c r="ER150" s="373"/>
      <c r="ES150" s="373"/>
      <c r="ET150" s="870"/>
      <c r="EU150" s="373"/>
      <c r="EV150" s="373"/>
      <c r="EW150" s="373"/>
      <c r="EX150" s="618"/>
      <c r="EY150" s="374">
        <v>0</v>
      </c>
      <c r="EZ150" s="869"/>
      <c r="FA150" s="373"/>
      <c r="FB150" s="373"/>
      <c r="FC150" s="870"/>
      <c r="FD150" s="373"/>
      <c r="FE150" s="373"/>
      <c r="FF150" s="373"/>
      <c r="FG150" s="618"/>
      <c r="FH150" s="374">
        <v>0</v>
      </c>
      <c r="FI150" s="869"/>
      <c r="FJ150" s="373"/>
      <c r="FK150" s="373">
        <v>1</v>
      </c>
      <c r="FL150" s="870"/>
      <c r="FM150" s="373">
        <v>1</v>
      </c>
      <c r="FN150" s="373"/>
      <c r="FO150" s="373">
        <v>1</v>
      </c>
      <c r="FP150" s="618"/>
      <c r="FQ150" s="374">
        <v>0</v>
      </c>
      <c r="FR150" s="869"/>
      <c r="FS150" s="373"/>
      <c r="FT150" s="373"/>
      <c r="FU150" s="870"/>
      <c r="FV150" s="373"/>
      <c r="FW150" s="373"/>
      <c r="FX150" s="373"/>
      <c r="FY150" s="618"/>
      <c r="FZ150" s="374">
        <v>0</v>
      </c>
      <c r="GA150" s="869"/>
      <c r="GB150" s="373"/>
      <c r="GC150" s="373"/>
      <c r="GD150" s="870"/>
      <c r="GE150" s="373"/>
      <c r="GF150" s="373"/>
      <c r="GG150" s="373"/>
      <c r="GH150" s="618"/>
      <c r="GI150" s="374">
        <v>0</v>
      </c>
      <c r="GJ150" s="869">
        <v>2</v>
      </c>
      <c r="GK150" s="373"/>
      <c r="GL150" s="373">
        <v>3</v>
      </c>
      <c r="GM150" s="870">
        <v>4</v>
      </c>
      <c r="GN150" s="373">
        <v>5</v>
      </c>
      <c r="GO150" s="373">
        <v>2</v>
      </c>
      <c r="GP150" s="373">
        <v>1</v>
      </c>
      <c r="GQ150" s="618">
        <v>3</v>
      </c>
      <c r="GR150" s="374">
        <v>0</v>
      </c>
      <c r="GS150" s="869"/>
      <c r="GT150" s="373"/>
      <c r="GU150" s="373">
        <v>2</v>
      </c>
      <c r="GV150" s="870"/>
      <c r="GW150" s="373">
        <v>2</v>
      </c>
      <c r="GX150" s="373">
        <v>1</v>
      </c>
      <c r="GY150" s="373"/>
      <c r="GZ150" s="618"/>
      <c r="HA150" s="374">
        <v>0</v>
      </c>
      <c r="HB150" s="869"/>
      <c r="HC150" s="373"/>
      <c r="HD150" s="373"/>
      <c r="HE150" s="870"/>
      <c r="HF150" s="373"/>
      <c r="HG150" s="373"/>
      <c r="HH150" s="373"/>
      <c r="HI150" s="618"/>
      <c r="HJ150" s="374">
        <v>0</v>
      </c>
      <c r="HK150" s="869"/>
      <c r="HL150" s="373"/>
      <c r="HM150" s="373"/>
      <c r="HN150" s="870"/>
      <c r="HO150" s="373"/>
      <c r="HP150" s="373"/>
      <c r="HQ150" s="373"/>
      <c r="HR150" s="618"/>
      <c r="HS150" s="374">
        <v>0</v>
      </c>
      <c r="HT150" s="869">
        <v>2</v>
      </c>
      <c r="HU150" s="373"/>
      <c r="HV150" s="373">
        <v>2</v>
      </c>
      <c r="HW150" s="870"/>
      <c r="HX150" s="373">
        <v>2</v>
      </c>
      <c r="HY150" s="373">
        <v>1</v>
      </c>
      <c r="HZ150" s="373"/>
      <c r="IA150" s="618"/>
      <c r="IB150" s="374">
        <v>0</v>
      </c>
      <c r="IC150" s="869">
        <v>11</v>
      </c>
      <c r="ID150" s="373">
        <v>1</v>
      </c>
      <c r="IE150" s="373">
        <v>8</v>
      </c>
      <c r="IF150" s="870">
        <v>7</v>
      </c>
      <c r="IG150" s="373">
        <v>5</v>
      </c>
      <c r="IH150" s="373">
        <v>4</v>
      </c>
      <c r="II150" s="373">
        <v>1</v>
      </c>
      <c r="IJ150" s="618">
        <v>3</v>
      </c>
      <c r="IK150" s="374">
        <v>0</v>
      </c>
      <c r="IL150" s="377"/>
      <c r="IM150" s="373"/>
      <c r="IN150" s="373"/>
      <c r="IO150" s="871">
        <v>1</v>
      </c>
      <c r="IP150" s="871"/>
      <c r="IQ150" s="373"/>
      <c r="IR150" s="373"/>
      <c r="IS150" s="618"/>
      <c r="IT150" s="374">
        <v>0</v>
      </c>
    </row>
    <row r="151" spans="1:254" s="245" customFormat="1" ht="12.75" customHeight="1" x14ac:dyDescent="0.2">
      <c r="A151" s="1052"/>
      <c r="B151" s="868" t="s">
        <v>1003</v>
      </c>
      <c r="C151" s="869"/>
      <c r="D151" s="373"/>
      <c r="E151" s="373"/>
      <c r="F151" s="870"/>
      <c r="G151" s="373"/>
      <c r="H151" s="373"/>
      <c r="I151" s="373"/>
      <c r="J151" s="618"/>
      <c r="K151" s="374">
        <v>0</v>
      </c>
      <c r="L151" s="869"/>
      <c r="M151" s="373"/>
      <c r="N151" s="373"/>
      <c r="O151" s="870"/>
      <c r="P151" s="373"/>
      <c r="Q151" s="373"/>
      <c r="R151" s="373"/>
      <c r="S151" s="618"/>
      <c r="T151" s="374">
        <v>0</v>
      </c>
      <c r="U151" s="869"/>
      <c r="V151" s="373"/>
      <c r="W151" s="373"/>
      <c r="X151" s="870"/>
      <c r="Y151" s="373"/>
      <c r="Z151" s="373"/>
      <c r="AA151" s="373"/>
      <c r="AB151" s="618"/>
      <c r="AC151" s="374">
        <v>0</v>
      </c>
      <c r="AD151" s="869"/>
      <c r="AE151" s="373"/>
      <c r="AF151" s="373">
        <v>2</v>
      </c>
      <c r="AG151" s="870"/>
      <c r="AH151" s="373"/>
      <c r="AI151" s="373"/>
      <c r="AJ151" s="373"/>
      <c r="AK151" s="618"/>
      <c r="AL151" s="374">
        <v>0</v>
      </c>
      <c r="AM151" s="869"/>
      <c r="AN151" s="373"/>
      <c r="AO151" s="373"/>
      <c r="AP151" s="870"/>
      <c r="AQ151" s="373"/>
      <c r="AR151" s="373"/>
      <c r="AS151" s="373"/>
      <c r="AT151" s="618"/>
      <c r="AU151" s="374">
        <v>0</v>
      </c>
      <c r="AV151" s="869"/>
      <c r="AW151" s="373"/>
      <c r="AX151" s="373"/>
      <c r="AY151" s="870"/>
      <c r="AZ151" s="373"/>
      <c r="BA151" s="373"/>
      <c r="BB151" s="373"/>
      <c r="BC151" s="618"/>
      <c r="BD151" s="374">
        <v>0</v>
      </c>
      <c r="BE151" s="869"/>
      <c r="BF151" s="373"/>
      <c r="BG151" s="373"/>
      <c r="BH151" s="870"/>
      <c r="BI151" s="373"/>
      <c r="BJ151" s="373"/>
      <c r="BK151" s="373"/>
      <c r="BL151" s="618"/>
      <c r="BM151" s="374">
        <v>0</v>
      </c>
      <c r="BN151" s="869"/>
      <c r="BO151" s="373"/>
      <c r="BP151" s="373">
        <v>1</v>
      </c>
      <c r="BQ151" s="870"/>
      <c r="BR151" s="373"/>
      <c r="BS151" s="373"/>
      <c r="BT151" s="373"/>
      <c r="BU151" s="618"/>
      <c r="BV151" s="374">
        <v>0</v>
      </c>
      <c r="BW151" s="869"/>
      <c r="BX151" s="373"/>
      <c r="BY151" s="373"/>
      <c r="BZ151" s="870"/>
      <c r="CA151" s="373"/>
      <c r="CB151" s="373"/>
      <c r="CC151" s="373"/>
      <c r="CD151" s="618"/>
      <c r="CE151" s="374">
        <v>0</v>
      </c>
      <c r="CF151" s="869"/>
      <c r="CG151" s="373"/>
      <c r="CH151" s="373"/>
      <c r="CI151" s="870"/>
      <c r="CJ151" s="373"/>
      <c r="CK151" s="373"/>
      <c r="CL151" s="373"/>
      <c r="CM151" s="618"/>
      <c r="CN151" s="374">
        <v>0</v>
      </c>
      <c r="CO151" s="869"/>
      <c r="CP151" s="373"/>
      <c r="CQ151" s="373"/>
      <c r="CR151" s="870"/>
      <c r="CS151" s="373"/>
      <c r="CT151" s="373"/>
      <c r="CU151" s="373"/>
      <c r="CV151" s="618"/>
      <c r="CW151" s="374">
        <v>0</v>
      </c>
      <c r="CX151" s="869">
        <v>4</v>
      </c>
      <c r="CY151" s="373">
        <v>3</v>
      </c>
      <c r="CZ151" s="373"/>
      <c r="DA151" s="870">
        <v>1</v>
      </c>
      <c r="DB151" s="373">
        <v>3</v>
      </c>
      <c r="DC151" s="373">
        <v>1</v>
      </c>
      <c r="DD151" s="373"/>
      <c r="DE151" s="618">
        <v>3</v>
      </c>
      <c r="DF151" s="374">
        <v>1</v>
      </c>
      <c r="DG151" s="869"/>
      <c r="DH151" s="373"/>
      <c r="DI151" s="373"/>
      <c r="DJ151" s="870"/>
      <c r="DK151" s="373"/>
      <c r="DL151" s="373"/>
      <c r="DM151" s="373"/>
      <c r="DN151" s="618"/>
      <c r="DO151" s="374">
        <v>0</v>
      </c>
      <c r="DP151" s="869"/>
      <c r="DQ151" s="373"/>
      <c r="DR151" s="373"/>
      <c r="DS151" s="870"/>
      <c r="DT151" s="373"/>
      <c r="DU151" s="373"/>
      <c r="DV151" s="373"/>
      <c r="DW151" s="618"/>
      <c r="DX151" s="374">
        <v>0</v>
      </c>
      <c r="DY151" s="869"/>
      <c r="DZ151" s="373"/>
      <c r="EA151" s="373"/>
      <c r="EB151" s="870"/>
      <c r="EC151" s="373"/>
      <c r="ED151" s="373"/>
      <c r="EE151" s="373"/>
      <c r="EF151" s="618">
        <v>1</v>
      </c>
      <c r="EG151" s="374">
        <v>0</v>
      </c>
      <c r="EH151" s="869"/>
      <c r="EI151" s="373"/>
      <c r="EJ151" s="373"/>
      <c r="EK151" s="870"/>
      <c r="EL151" s="373"/>
      <c r="EM151" s="373"/>
      <c r="EN151" s="373"/>
      <c r="EO151" s="618"/>
      <c r="EP151" s="374">
        <v>0</v>
      </c>
      <c r="EQ151" s="869"/>
      <c r="ER151" s="373"/>
      <c r="ES151" s="373"/>
      <c r="ET151" s="870"/>
      <c r="EU151" s="373"/>
      <c r="EV151" s="373"/>
      <c r="EW151" s="373"/>
      <c r="EX151" s="618"/>
      <c r="EY151" s="374">
        <v>0</v>
      </c>
      <c r="EZ151" s="869"/>
      <c r="FA151" s="373"/>
      <c r="FB151" s="373"/>
      <c r="FC151" s="870"/>
      <c r="FD151" s="373"/>
      <c r="FE151" s="373"/>
      <c r="FF151" s="373"/>
      <c r="FG151" s="618"/>
      <c r="FH151" s="374">
        <v>0</v>
      </c>
      <c r="FI151" s="869">
        <v>1</v>
      </c>
      <c r="FJ151" s="373"/>
      <c r="FK151" s="373"/>
      <c r="FL151" s="870"/>
      <c r="FM151" s="373"/>
      <c r="FN151" s="373">
        <v>2</v>
      </c>
      <c r="FO151" s="373"/>
      <c r="FP151" s="618"/>
      <c r="FQ151" s="374">
        <v>0</v>
      </c>
      <c r="FR151" s="869"/>
      <c r="FS151" s="373"/>
      <c r="FT151" s="373"/>
      <c r="FU151" s="870"/>
      <c r="FV151" s="373"/>
      <c r="FW151" s="373"/>
      <c r="FX151" s="373"/>
      <c r="FY151" s="618"/>
      <c r="FZ151" s="374">
        <v>0</v>
      </c>
      <c r="GA151" s="869"/>
      <c r="GB151" s="373"/>
      <c r="GC151" s="373"/>
      <c r="GD151" s="870"/>
      <c r="GE151" s="373"/>
      <c r="GF151" s="373"/>
      <c r="GG151" s="373"/>
      <c r="GH151" s="618"/>
      <c r="GI151" s="374">
        <v>0</v>
      </c>
      <c r="GJ151" s="869">
        <v>5</v>
      </c>
      <c r="GK151" s="373">
        <v>3</v>
      </c>
      <c r="GL151" s="373">
        <v>3</v>
      </c>
      <c r="GM151" s="870">
        <v>1</v>
      </c>
      <c r="GN151" s="373">
        <v>3</v>
      </c>
      <c r="GO151" s="373">
        <v>3</v>
      </c>
      <c r="GP151" s="373"/>
      <c r="GQ151" s="618">
        <v>3</v>
      </c>
      <c r="GR151" s="374">
        <v>1</v>
      </c>
      <c r="GS151" s="869">
        <v>1</v>
      </c>
      <c r="GT151" s="373">
        <v>1</v>
      </c>
      <c r="GU151" s="373"/>
      <c r="GV151" s="870"/>
      <c r="GW151" s="373"/>
      <c r="GX151" s="373"/>
      <c r="GY151" s="373"/>
      <c r="GZ151" s="618">
        <v>2</v>
      </c>
      <c r="HA151" s="374">
        <v>0</v>
      </c>
      <c r="HB151" s="869"/>
      <c r="HC151" s="373"/>
      <c r="HD151" s="373"/>
      <c r="HE151" s="870"/>
      <c r="HF151" s="373"/>
      <c r="HG151" s="373"/>
      <c r="HH151" s="373"/>
      <c r="HI151" s="618"/>
      <c r="HJ151" s="374">
        <v>0</v>
      </c>
      <c r="HK151" s="869"/>
      <c r="HL151" s="373"/>
      <c r="HM151" s="373"/>
      <c r="HN151" s="870"/>
      <c r="HO151" s="373"/>
      <c r="HP151" s="373"/>
      <c r="HQ151" s="373"/>
      <c r="HR151" s="618"/>
      <c r="HS151" s="374">
        <v>0</v>
      </c>
      <c r="HT151" s="869">
        <v>1</v>
      </c>
      <c r="HU151" s="373">
        <v>1</v>
      </c>
      <c r="HV151" s="373"/>
      <c r="HW151" s="870"/>
      <c r="HX151" s="373"/>
      <c r="HY151" s="373">
        <v>1</v>
      </c>
      <c r="HZ151" s="373"/>
      <c r="IA151" s="618">
        <v>5</v>
      </c>
      <c r="IB151" s="374">
        <v>0</v>
      </c>
      <c r="IC151" s="869">
        <v>5</v>
      </c>
      <c r="ID151" s="373">
        <v>4</v>
      </c>
      <c r="IE151" s="373">
        <v>4</v>
      </c>
      <c r="IF151" s="870">
        <v>1</v>
      </c>
      <c r="IG151" s="373">
        <v>4</v>
      </c>
      <c r="IH151" s="373">
        <v>8</v>
      </c>
      <c r="II151" s="373">
        <v>3</v>
      </c>
      <c r="IJ151" s="618">
        <v>6</v>
      </c>
      <c r="IK151" s="374">
        <v>5</v>
      </c>
      <c r="IL151" s="377"/>
      <c r="IM151" s="373">
        <v>1</v>
      </c>
      <c r="IN151" s="373"/>
      <c r="IO151" s="871"/>
      <c r="IP151" s="871">
        <v>1</v>
      </c>
      <c r="IQ151" s="373"/>
      <c r="IR151" s="373"/>
      <c r="IS151" s="618">
        <v>1</v>
      </c>
      <c r="IT151" s="374">
        <v>0</v>
      </c>
    </row>
    <row r="152" spans="1:254" s="245" customFormat="1" ht="12.75" customHeight="1" x14ac:dyDescent="0.2">
      <c r="A152" s="1052"/>
      <c r="B152" s="868" t="s">
        <v>1004</v>
      </c>
      <c r="C152" s="869"/>
      <c r="D152" s="373"/>
      <c r="E152" s="373"/>
      <c r="F152" s="870"/>
      <c r="G152" s="373"/>
      <c r="H152" s="373"/>
      <c r="I152" s="373"/>
      <c r="J152" s="618"/>
      <c r="K152" s="374">
        <v>0</v>
      </c>
      <c r="L152" s="869"/>
      <c r="M152" s="373"/>
      <c r="N152" s="373"/>
      <c r="O152" s="870"/>
      <c r="P152" s="373"/>
      <c r="Q152" s="373"/>
      <c r="R152" s="373"/>
      <c r="S152" s="618"/>
      <c r="T152" s="374">
        <v>0</v>
      </c>
      <c r="U152" s="869"/>
      <c r="V152" s="373"/>
      <c r="W152" s="373"/>
      <c r="X152" s="870"/>
      <c r="Y152" s="373"/>
      <c r="Z152" s="373"/>
      <c r="AA152" s="373"/>
      <c r="AB152" s="618"/>
      <c r="AC152" s="374">
        <v>0</v>
      </c>
      <c r="AD152" s="869"/>
      <c r="AE152" s="373">
        <v>1</v>
      </c>
      <c r="AF152" s="373"/>
      <c r="AG152" s="870"/>
      <c r="AH152" s="373"/>
      <c r="AI152" s="373"/>
      <c r="AJ152" s="373"/>
      <c r="AK152" s="618"/>
      <c r="AL152" s="374">
        <v>0</v>
      </c>
      <c r="AM152" s="869"/>
      <c r="AN152" s="373">
        <v>1</v>
      </c>
      <c r="AO152" s="373"/>
      <c r="AP152" s="870"/>
      <c r="AQ152" s="373"/>
      <c r="AR152" s="373"/>
      <c r="AS152" s="373"/>
      <c r="AT152" s="618"/>
      <c r="AU152" s="374">
        <v>0</v>
      </c>
      <c r="AV152" s="869"/>
      <c r="AW152" s="373"/>
      <c r="AX152" s="373"/>
      <c r="AY152" s="870"/>
      <c r="AZ152" s="373"/>
      <c r="BA152" s="373"/>
      <c r="BB152" s="373"/>
      <c r="BC152" s="618"/>
      <c r="BD152" s="374">
        <v>0</v>
      </c>
      <c r="BE152" s="869"/>
      <c r="BF152" s="373"/>
      <c r="BG152" s="373"/>
      <c r="BH152" s="870"/>
      <c r="BI152" s="373"/>
      <c r="BJ152" s="373"/>
      <c r="BK152" s="373"/>
      <c r="BL152" s="618"/>
      <c r="BM152" s="374">
        <v>0</v>
      </c>
      <c r="BN152" s="869"/>
      <c r="BO152" s="373"/>
      <c r="BP152" s="373"/>
      <c r="BQ152" s="870"/>
      <c r="BR152" s="373"/>
      <c r="BS152" s="373"/>
      <c r="BT152" s="373"/>
      <c r="BU152" s="618"/>
      <c r="BV152" s="374">
        <v>0</v>
      </c>
      <c r="BW152" s="869"/>
      <c r="BX152" s="373">
        <v>2</v>
      </c>
      <c r="BY152" s="373">
        <v>1</v>
      </c>
      <c r="BZ152" s="870"/>
      <c r="CA152" s="373"/>
      <c r="CB152" s="373"/>
      <c r="CC152" s="373"/>
      <c r="CD152" s="618"/>
      <c r="CE152" s="374">
        <v>0</v>
      </c>
      <c r="CF152" s="869"/>
      <c r="CG152" s="373"/>
      <c r="CH152" s="373"/>
      <c r="CI152" s="870"/>
      <c r="CJ152" s="373"/>
      <c r="CK152" s="373"/>
      <c r="CL152" s="373"/>
      <c r="CM152" s="618"/>
      <c r="CN152" s="374">
        <v>0</v>
      </c>
      <c r="CO152" s="869"/>
      <c r="CP152" s="373"/>
      <c r="CQ152" s="373"/>
      <c r="CR152" s="870"/>
      <c r="CS152" s="373"/>
      <c r="CT152" s="373"/>
      <c r="CU152" s="373"/>
      <c r="CV152" s="618"/>
      <c r="CW152" s="374">
        <v>0</v>
      </c>
      <c r="CX152" s="869"/>
      <c r="CY152" s="373">
        <v>3</v>
      </c>
      <c r="CZ152" s="373">
        <v>3</v>
      </c>
      <c r="DA152" s="870">
        <v>1</v>
      </c>
      <c r="DB152" s="373">
        <v>1</v>
      </c>
      <c r="DC152" s="373"/>
      <c r="DD152" s="373"/>
      <c r="DE152" s="618"/>
      <c r="DF152" s="374">
        <v>0</v>
      </c>
      <c r="DG152" s="869"/>
      <c r="DH152" s="373"/>
      <c r="DI152" s="373"/>
      <c r="DJ152" s="870"/>
      <c r="DK152" s="373"/>
      <c r="DL152" s="373"/>
      <c r="DM152" s="373"/>
      <c r="DN152" s="618"/>
      <c r="DO152" s="374">
        <v>0</v>
      </c>
      <c r="DP152" s="869"/>
      <c r="DQ152" s="373"/>
      <c r="DR152" s="373"/>
      <c r="DS152" s="870"/>
      <c r="DT152" s="373"/>
      <c r="DU152" s="373"/>
      <c r="DV152" s="373"/>
      <c r="DW152" s="618"/>
      <c r="DX152" s="374">
        <v>0</v>
      </c>
      <c r="DY152" s="869"/>
      <c r="DZ152" s="373"/>
      <c r="EA152" s="373">
        <v>1</v>
      </c>
      <c r="EB152" s="870">
        <v>1</v>
      </c>
      <c r="EC152" s="373"/>
      <c r="ED152" s="373"/>
      <c r="EE152" s="373"/>
      <c r="EF152" s="618"/>
      <c r="EG152" s="374">
        <v>0</v>
      </c>
      <c r="EH152" s="869"/>
      <c r="EI152" s="373"/>
      <c r="EJ152" s="373"/>
      <c r="EK152" s="870"/>
      <c r="EL152" s="373"/>
      <c r="EM152" s="373"/>
      <c r="EN152" s="373"/>
      <c r="EO152" s="618"/>
      <c r="EP152" s="374">
        <v>0</v>
      </c>
      <c r="EQ152" s="869"/>
      <c r="ER152" s="373"/>
      <c r="ES152" s="373"/>
      <c r="ET152" s="870"/>
      <c r="EU152" s="373"/>
      <c r="EV152" s="373"/>
      <c r="EW152" s="373"/>
      <c r="EX152" s="618"/>
      <c r="EY152" s="374">
        <v>0</v>
      </c>
      <c r="EZ152" s="869"/>
      <c r="FA152" s="373"/>
      <c r="FB152" s="373"/>
      <c r="FC152" s="870"/>
      <c r="FD152" s="373"/>
      <c r="FE152" s="373"/>
      <c r="FF152" s="373"/>
      <c r="FG152" s="618"/>
      <c r="FH152" s="374">
        <v>0</v>
      </c>
      <c r="FI152" s="869"/>
      <c r="FJ152" s="373"/>
      <c r="FK152" s="373">
        <v>1</v>
      </c>
      <c r="FL152" s="870"/>
      <c r="FM152" s="373"/>
      <c r="FN152" s="373"/>
      <c r="FO152" s="373"/>
      <c r="FP152" s="618"/>
      <c r="FQ152" s="374">
        <v>0</v>
      </c>
      <c r="FR152" s="869"/>
      <c r="FS152" s="373"/>
      <c r="FT152" s="373"/>
      <c r="FU152" s="870"/>
      <c r="FV152" s="373"/>
      <c r="FW152" s="373"/>
      <c r="FX152" s="373"/>
      <c r="FY152" s="618"/>
      <c r="FZ152" s="374">
        <v>0</v>
      </c>
      <c r="GA152" s="869"/>
      <c r="GB152" s="373"/>
      <c r="GC152" s="373"/>
      <c r="GD152" s="870"/>
      <c r="GE152" s="373"/>
      <c r="GF152" s="373"/>
      <c r="GG152" s="373"/>
      <c r="GH152" s="618"/>
      <c r="GI152" s="374">
        <v>0</v>
      </c>
      <c r="GJ152" s="869"/>
      <c r="GK152" s="373">
        <v>6</v>
      </c>
      <c r="GL152" s="373">
        <v>5</v>
      </c>
      <c r="GM152" s="870">
        <v>1</v>
      </c>
      <c r="GN152" s="373">
        <v>1</v>
      </c>
      <c r="GO152" s="373"/>
      <c r="GP152" s="373"/>
      <c r="GQ152" s="618"/>
      <c r="GR152" s="374">
        <v>0</v>
      </c>
      <c r="GS152" s="869"/>
      <c r="GT152" s="373">
        <v>3</v>
      </c>
      <c r="GU152" s="373">
        <v>2</v>
      </c>
      <c r="GV152" s="870"/>
      <c r="GW152" s="373"/>
      <c r="GX152" s="373"/>
      <c r="GY152" s="373"/>
      <c r="GZ152" s="618"/>
      <c r="HA152" s="374">
        <v>0</v>
      </c>
      <c r="HB152" s="869"/>
      <c r="HC152" s="373"/>
      <c r="HD152" s="373"/>
      <c r="HE152" s="870"/>
      <c r="HF152" s="373"/>
      <c r="HG152" s="373"/>
      <c r="HH152" s="373"/>
      <c r="HI152" s="618"/>
      <c r="HJ152" s="374">
        <v>0</v>
      </c>
      <c r="HK152" s="869"/>
      <c r="HL152" s="373"/>
      <c r="HM152" s="373"/>
      <c r="HN152" s="870"/>
      <c r="HO152" s="373"/>
      <c r="HP152" s="373"/>
      <c r="HQ152" s="373"/>
      <c r="HR152" s="618"/>
      <c r="HS152" s="374">
        <v>0</v>
      </c>
      <c r="HT152" s="869">
        <v>1</v>
      </c>
      <c r="HU152" s="373">
        <v>3</v>
      </c>
      <c r="HV152" s="373">
        <v>4</v>
      </c>
      <c r="HW152" s="870">
        <v>2</v>
      </c>
      <c r="HX152" s="373"/>
      <c r="HY152" s="373"/>
      <c r="HZ152" s="373"/>
      <c r="IA152" s="618"/>
      <c r="IB152" s="374">
        <v>0</v>
      </c>
      <c r="IC152" s="869">
        <v>6</v>
      </c>
      <c r="ID152" s="373">
        <v>10</v>
      </c>
      <c r="IE152" s="373">
        <v>7</v>
      </c>
      <c r="IF152" s="870">
        <v>4</v>
      </c>
      <c r="IG152" s="373">
        <v>1</v>
      </c>
      <c r="IH152" s="373"/>
      <c r="II152" s="373"/>
      <c r="IJ152" s="618">
        <v>1</v>
      </c>
      <c r="IK152" s="374">
        <v>0</v>
      </c>
      <c r="IL152" s="377"/>
      <c r="IM152" s="373"/>
      <c r="IN152" s="373">
        <v>3</v>
      </c>
      <c r="IO152" s="871">
        <v>1</v>
      </c>
      <c r="IP152" s="871"/>
      <c r="IQ152" s="373"/>
      <c r="IR152" s="373"/>
      <c r="IS152" s="618"/>
      <c r="IT152" s="374">
        <v>0</v>
      </c>
    </row>
    <row r="153" spans="1:254" s="245" customFormat="1" ht="12.75" customHeight="1" x14ac:dyDescent="0.2">
      <c r="A153" s="1052"/>
      <c r="B153" s="868" t="s">
        <v>1005</v>
      </c>
      <c r="C153" s="869"/>
      <c r="D153" s="373"/>
      <c r="E153" s="373"/>
      <c r="F153" s="870"/>
      <c r="G153" s="373"/>
      <c r="H153" s="373"/>
      <c r="I153" s="373"/>
      <c r="J153" s="618"/>
      <c r="K153" s="374">
        <v>0</v>
      </c>
      <c r="L153" s="869"/>
      <c r="M153" s="373"/>
      <c r="N153" s="373"/>
      <c r="O153" s="870"/>
      <c r="P153" s="373"/>
      <c r="Q153" s="373"/>
      <c r="R153" s="373"/>
      <c r="S153" s="618"/>
      <c r="T153" s="374">
        <v>0</v>
      </c>
      <c r="U153" s="869"/>
      <c r="V153" s="373"/>
      <c r="W153" s="373"/>
      <c r="X153" s="870"/>
      <c r="Y153" s="373"/>
      <c r="Z153" s="373"/>
      <c r="AA153" s="373"/>
      <c r="AB153" s="618"/>
      <c r="AC153" s="374">
        <v>0</v>
      </c>
      <c r="AD153" s="869"/>
      <c r="AE153" s="373"/>
      <c r="AF153" s="373"/>
      <c r="AG153" s="870"/>
      <c r="AH153" s="373"/>
      <c r="AI153" s="373"/>
      <c r="AJ153" s="373"/>
      <c r="AK153" s="618"/>
      <c r="AL153" s="374">
        <v>0</v>
      </c>
      <c r="AM153" s="869"/>
      <c r="AN153" s="373"/>
      <c r="AO153" s="373"/>
      <c r="AP153" s="870"/>
      <c r="AQ153" s="373"/>
      <c r="AR153" s="373"/>
      <c r="AS153" s="373"/>
      <c r="AT153" s="618"/>
      <c r="AU153" s="374">
        <v>0</v>
      </c>
      <c r="AV153" s="869"/>
      <c r="AW153" s="373"/>
      <c r="AX153" s="373"/>
      <c r="AY153" s="870"/>
      <c r="AZ153" s="373"/>
      <c r="BA153" s="373"/>
      <c r="BB153" s="373"/>
      <c r="BC153" s="618"/>
      <c r="BD153" s="374">
        <v>0</v>
      </c>
      <c r="BE153" s="869"/>
      <c r="BF153" s="373"/>
      <c r="BG153" s="373"/>
      <c r="BH153" s="870"/>
      <c r="BI153" s="373"/>
      <c r="BJ153" s="373"/>
      <c r="BK153" s="373"/>
      <c r="BL153" s="618"/>
      <c r="BM153" s="374">
        <v>0</v>
      </c>
      <c r="BN153" s="869"/>
      <c r="BO153" s="373"/>
      <c r="BP153" s="373"/>
      <c r="BQ153" s="870"/>
      <c r="BR153" s="373"/>
      <c r="BS153" s="373"/>
      <c r="BT153" s="373"/>
      <c r="BU153" s="618"/>
      <c r="BV153" s="374">
        <v>0</v>
      </c>
      <c r="BW153" s="869"/>
      <c r="BX153" s="373"/>
      <c r="BY153" s="373"/>
      <c r="BZ153" s="870"/>
      <c r="CA153" s="373"/>
      <c r="CB153" s="373"/>
      <c r="CC153" s="373"/>
      <c r="CD153" s="618"/>
      <c r="CE153" s="374">
        <v>0</v>
      </c>
      <c r="CF153" s="869"/>
      <c r="CG153" s="373"/>
      <c r="CH153" s="373"/>
      <c r="CI153" s="870"/>
      <c r="CJ153" s="373"/>
      <c r="CK153" s="373"/>
      <c r="CL153" s="373"/>
      <c r="CM153" s="618"/>
      <c r="CN153" s="374">
        <v>0</v>
      </c>
      <c r="CO153" s="869"/>
      <c r="CP153" s="373"/>
      <c r="CQ153" s="373"/>
      <c r="CR153" s="870"/>
      <c r="CS153" s="373"/>
      <c r="CT153" s="373"/>
      <c r="CU153" s="373"/>
      <c r="CV153" s="618"/>
      <c r="CW153" s="374">
        <v>0</v>
      </c>
      <c r="CX153" s="869">
        <v>1</v>
      </c>
      <c r="CY153" s="373"/>
      <c r="CZ153" s="373"/>
      <c r="DA153" s="870"/>
      <c r="DB153" s="373">
        <v>1</v>
      </c>
      <c r="DC153" s="373">
        <v>1</v>
      </c>
      <c r="DD153" s="373">
        <v>2</v>
      </c>
      <c r="DE153" s="618">
        <v>2</v>
      </c>
      <c r="DF153" s="374">
        <v>0</v>
      </c>
      <c r="DG153" s="869"/>
      <c r="DH153" s="373"/>
      <c r="DI153" s="373"/>
      <c r="DJ153" s="870"/>
      <c r="DK153" s="373"/>
      <c r="DL153" s="373"/>
      <c r="DM153" s="373"/>
      <c r="DN153" s="618"/>
      <c r="DO153" s="374">
        <v>0</v>
      </c>
      <c r="DP153" s="869"/>
      <c r="DQ153" s="373"/>
      <c r="DR153" s="373"/>
      <c r="DS153" s="870"/>
      <c r="DT153" s="373"/>
      <c r="DU153" s="373"/>
      <c r="DV153" s="373"/>
      <c r="DW153" s="618"/>
      <c r="DX153" s="374">
        <v>0</v>
      </c>
      <c r="DY153" s="869"/>
      <c r="DZ153" s="373"/>
      <c r="EA153" s="373"/>
      <c r="EB153" s="870"/>
      <c r="EC153" s="373"/>
      <c r="ED153" s="373"/>
      <c r="EE153" s="373"/>
      <c r="EF153" s="618">
        <v>2</v>
      </c>
      <c r="EG153" s="374">
        <v>0</v>
      </c>
      <c r="EH153" s="869"/>
      <c r="EI153" s="373"/>
      <c r="EJ153" s="373"/>
      <c r="EK153" s="870"/>
      <c r="EL153" s="373"/>
      <c r="EM153" s="373"/>
      <c r="EN153" s="373"/>
      <c r="EO153" s="618"/>
      <c r="EP153" s="374">
        <v>0</v>
      </c>
      <c r="EQ153" s="869"/>
      <c r="ER153" s="373"/>
      <c r="ES153" s="373"/>
      <c r="ET153" s="870"/>
      <c r="EU153" s="373"/>
      <c r="EV153" s="373"/>
      <c r="EW153" s="373"/>
      <c r="EX153" s="618"/>
      <c r="EY153" s="374">
        <v>0</v>
      </c>
      <c r="EZ153" s="869"/>
      <c r="FA153" s="373"/>
      <c r="FB153" s="373"/>
      <c r="FC153" s="870"/>
      <c r="FD153" s="373"/>
      <c r="FE153" s="373"/>
      <c r="FF153" s="373"/>
      <c r="FG153" s="618"/>
      <c r="FH153" s="374">
        <v>0</v>
      </c>
      <c r="FI153" s="869"/>
      <c r="FJ153" s="373"/>
      <c r="FK153" s="373"/>
      <c r="FL153" s="870"/>
      <c r="FM153" s="373"/>
      <c r="FN153" s="373"/>
      <c r="FO153" s="373"/>
      <c r="FP153" s="618"/>
      <c r="FQ153" s="374">
        <v>0</v>
      </c>
      <c r="FR153" s="869"/>
      <c r="FS153" s="373"/>
      <c r="FT153" s="373"/>
      <c r="FU153" s="870"/>
      <c r="FV153" s="373"/>
      <c r="FW153" s="373"/>
      <c r="FX153" s="373"/>
      <c r="FY153" s="618"/>
      <c r="FZ153" s="374">
        <v>0</v>
      </c>
      <c r="GA153" s="869"/>
      <c r="GB153" s="373"/>
      <c r="GC153" s="373"/>
      <c r="GD153" s="870"/>
      <c r="GE153" s="373"/>
      <c r="GF153" s="373"/>
      <c r="GG153" s="373"/>
      <c r="GH153" s="618"/>
      <c r="GI153" s="374">
        <v>0</v>
      </c>
      <c r="GJ153" s="869">
        <v>1</v>
      </c>
      <c r="GK153" s="373"/>
      <c r="GL153" s="373"/>
      <c r="GM153" s="870"/>
      <c r="GN153" s="373">
        <v>1</v>
      </c>
      <c r="GO153" s="373">
        <v>1</v>
      </c>
      <c r="GP153" s="373">
        <v>2</v>
      </c>
      <c r="GQ153" s="618">
        <v>2</v>
      </c>
      <c r="GR153" s="374">
        <v>0</v>
      </c>
      <c r="GS153" s="869"/>
      <c r="GT153" s="373"/>
      <c r="GU153" s="373"/>
      <c r="GV153" s="870"/>
      <c r="GW153" s="373"/>
      <c r="GX153" s="373"/>
      <c r="GY153" s="373"/>
      <c r="GZ153" s="618"/>
      <c r="HA153" s="374">
        <v>0</v>
      </c>
      <c r="HB153" s="869"/>
      <c r="HC153" s="373"/>
      <c r="HD153" s="373"/>
      <c r="HE153" s="870"/>
      <c r="HF153" s="373"/>
      <c r="HG153" s="373"/>
      <c r="HH153" s="373"/>
      <c r="HI153" s="618"/>
      <c r="HJ153" s="374">
        <v>0</v>
      </c>
      <c r="HK153" s="869"/>
      <c r="HL153" s="373"/>
      <c r="HM153" s="373"/>
      <c r="HN153" s="870"/>
      <c r="HO153" s="373"/>
      <c r="HP153" s="373"/>
      <c r="HQ153" s="373"/>
      <c r="HR153" s="618"/>
      <c r="HS153" s="374">
        <v>0</v>
      </c>
      <c r="HT153" s="869"/>
      <c r="HU153" s="373">
        <v>1</v>
      </c>
      <c r="HV153" s="373"/>
      <c r="HW153" s="870">
        <v>1</v>
      </c>
      <c r="HX153" s="373">
        <v>1</v>
      </c>
      <c r="HY153" s="373">
        <v>1</v>
      </c>
      <c r="HZ153" s="373"/>
      <c r="IA153" s="618"/>
      <c r="IB153" s="374">
        <v>0</v>
      </c>
      <c r="IC153" s="869">
        <v>7</v>
      </c>
      <c r="ID153" s="373">
        <v>1</v>
      </c>
      <c r="IE153" s="373">
        <v>1</v>
      </c>
      <c r="IF153" s="870">
        <v>1</v>
      </c>
      <c r="IG153" s="373">
        <v>4</v>
      </c>
      <c r="IH153" s="373">
        <v>5</v>
      </c>
      <c r="II153" s="373">
        <v>2</v>
      </c>
      <c r="IJ153" s="618">
        <v>3</v>
      </c>
      <c r="IK153" s="374">
        <v>2</v>
      </c>
      <c r="IL153" s="377"/>
      <c r="IM153" s="373"/>
      <c r="IN153" s="373"/>
      <c r="IO153" s="871"/>
      <c r="IP153" s="871"/>
      <c r="IQ153" s="373"/>
      <c r="IR153" s="373"/>
      <c r="IS153" s="618">
        <v>2</v>
      </c>
      <c r="IT153" s="374">
        <v>0</v>
      </c>
    </row>
    <row r="154" spans="1:254" s="245" customFormat="1" ht="12.75" customHeight="1" x14ac:dyDescent="0.2">
      <c r="A154" s="1052"/>
      <c r="B154" s="868" t="s">
        <v>1006</v>
      </c>
      <c r="C154" s="869"/>
      <c r="D154" s="373"/>
      <c r="E154" s="373"/>
      <c r="F154" s="870"/>
      <c r="G154" s="373"/>
      <c r="H154" s="373"/>
      <c r="I154" s="373"/>
      <c r="J154" s="618"/>
      <c r="K154" s="374">
        <v>0</v>
      </c>
      <c r="L154" s="869"/>
      <c r="M154" s="373"/>
      <c r="N154" s="373"/>
      <c r="O154" s="870"/>
      <c r="P154" s="373"/>
      <c r="Q154" s="373"/>
      <c r="R154" s="373"/>
      <c r="S154" s="618"/>
      <c r="T154" s="374">
        <v>0</v>
      </c>
      <c r="U154" s="869"/>
      <c r="V154" s="373"/>
      <c r="W154" s="373"/>
      <c r="X154" s="870"/>
      <c r="Y154" s="373"/>
      <c r="Z154" s="373"/>
      <c r="AA154" s="373"/>
      <c r="AB154" s="618"/>
      <c r="AC154" s="374">
        <v>0</v>
      </c>
      <c r="AD154" s="869"/>
      <c r="AE154" s="373"/>
      <c r="AF154" s="373"/>
      <c r="AG154" s="870"/>
      <c r="AH154" s="373"/>
      <c r="AI154" s="373">
        <v>1</v>
      </c>
      <c r="AJ154" s="373"/>
      <c r="AK154" s="618"/>
      <c r="AL154" s="374">
        <v>0</v>
      </c>
      <c r="AM154" s="869"/>
      <c r="AN154" s="373"/>
      <c r="AO154" s="373"/>
      <c r="AP154" s="870"/>
      <c r="AQ154" s="373"/>
      <c r="AR154" s="373"/>
      <c r="AS154" s="373"/>
      <c r="AT154" s="618"/>
      <c r="AU154" s="374">
        <v>0</v>
      </c>
      <c r="AV154" s="869"/>
      <c r="AW154" s="373"/>
      <c r="AX154" s="373"/>
      <c r="AY154" s="870"/>
      <c r="AZ154" s="373"/>
      <c r="BA154" s="373"/>
      <c r="BB154" s="373"/>
      <c r="BC154" s="618"/>
      <c r="BD154" s="374">
        <v>0</v>
      </c>
      <c r="BE154" s="869"/>
      <c r="BF154" s="373"/>
      <c r="BG154" s="373"/>
      <c r="BH154" s="870"/>
      <c r="BI154" s="373"/>
      <c r="BJ154" s="373"/>
      <c r="BK154" s="373"/>
      <c r="BL154" s="618"/>
      <c r="BM154" s="374">
        <v>0</v>
      </c>
      <c r="BN154" s="869"/>
      <c r="BO154" s="373"/>
      <c r="BP154" s="373"/>
      <c r="BQ154" s="870"/>
      <c r="BR154" s="373"/>
      <c r="BS154" s="373"/>
      <c r="BT154" s="373"/>
      <c r="BU154" s="618"/>
      <c r="BV154" s="374">
        <v>0</v>
      </c>
      <c r="BW154" s="869"/>
      <c r="BX154" s="373">
        <v>1</v>
      </c>
      <c r="BY154" s="373"/>
      <c r="BZ154" s="870"/>
      <c r="CA154" s="373"/>
      <c r="CB154" s="373">
        <v>1</v>
      </c>
      <c r="CC154" s="373"/>
      <c r="CD154" s="618"/>
      <c r="CE154" s="374">
        <v>0</v>
      </c>
      <c r="CF154" s="869"/>
      <c r="CG154" s="373"/>
      <c r="CH154" s="373"/>
      <c r="CI154" s="870"/>
      <c r="CJ154" s="373"/>
      <c r="CK154" s="373"/>
      <c r="CL154" s="373"/>
      <c r="CM154" s="618"/>
      <c r="CN154" s="374">
        <v>0</v>
      </c>
      <c r="CO154" s="869"/>
      <c r="CP154" s="373"/>
      <c r="CQ154" s="373"/>
      <c r="CR154" s="870"/>
      <c r="CS154" s="373"/>
      <c r="CT154" s="373"/>
      <c r="CU154" s="373"/>
      <c r="CV154" s="618"/>
      <c r="CW154" s="374">
        <v>0</v>
      </c>
      <c r="CX154" s="869"/>
      <c r="CY154" s="373">
        <v>1</v>
      </c>
      <c r="CZ154" s="373">
        <v>2</v>
      </c>
      <c r="DA154" s="870">
        <v>2</v>
      </c>
      <c r="DB154" s="373">
        <v>1</v>
      </c>
      <c r="DC154" s="373"/>
      <c r="DD154" s="373"/>
      <c r="DE154" s="618"/>
      <c r="DF154" s="374">
        <v>0</v>
      </c>
      <c r="DG154" s="869"/>
      <c r="DH154" s="373"/>
      <c r="DI154" s="373"/>
      <c r="DJ154" s="870"/>
      <c r="DK154" s="373"/>
      <c r="DL154" s="373"/>
      <c r="DM154" s="373"/>
      <c r="DN154" s="618"/>
      <c r="DO154" s="374">
        <v>0</v>
      </c>
      <c r="DP154" s="869"/>
      <c r="DQ154" s="373"/>
      <c r="DR154" s="373"/>
      <c r="DS154" s="870"/>
      <c r="DT154" s="373"/>
      <c r="DU154" s="373"/>
      <c r="DV154" s="373"/>
      <c r="DW154" s="618"/>
      <c r="DX154" s="374">
        <v>0</v>
      </c>
      <c r="DY154" s="869"/>
      <c r="DZ154" s="373"/>
      <c r="EA154" s="373"/>
      <c r="EB154" s="870"/>
      <c r="EC154" s="373"/>
      <c r="ED154" s="373"/>
      <c r="EE154" s="373"/>
      <c r="EF154" s="618"/>
      <c r="EG154" s="374">
        <v>0</v>
      </c>
      <c r="EH154" s="869"/>
      <c r="EI154" s="373"/>
      <c r="EJ154" s="373"/>
      <c r="EK154" s="870"/>
      <c r="EL154" s="373"/>
      <c r="EM154" s="373"/>
      <c r="EN154" s="373"/>
      <c r="EO154" s="618"/>
      <c r="EP154" s="374">
        <v>0</v>
      </c>
      <c r="EQ154" s="869"/>
      <c r="ER154" s="373"/>
      <c r="ES154" s="373"/>
      <c r="ET154" s="870"/>
      <c r="EU154" s="373"/>
      <c r="EV154" s="373"/>
      <c r="EW154" s="373"/>
      <c r="EX154" s="618"/>
      <c r="EY154" s="374">
        <v>0</v>
      </c>
      <c r="EZ154" s="869"/>
      <c r="FA154" s="373"/>
      <c r="FB154" s="373"/>
      <c r="FC154" s="870"/>
      <c r="FD154" s="373"/>
      <c r="FE154" s="373"/>
      <c r="FF154" s="373"/>
      <c r="FG154" s="618"/>
      <c r="FH154" s="374">
        <v>0</v>
      </c>
      <c r="FI154" s="869"/>
      <c r="FJ154" s="373"/>
      <c r="FK154" s="373"/>
      <c r="FL154" s="870"/>
      <c r="FM154" s="373"/>
      <c r="FN154" s="373"/>
      <c r="FO154" s="373"/>
      <c r="FP154" s="618"/>
      <c r="FQ154" s="374">
        <v>0</v>
      </c>
      <c r="FR154" s="869"/>
      <c r="FS154" s="373"/>
      <c r="FT154" s="373"/>
      <c r="FU154" s="870">
        <v>1</v>
      </c>
      <c r="FV154" s="373"/>
      <c r="FW154" s="373"/>
      <c r="FX154" s="373"/>
      <c r="FY154" s="618"/>
      <c r="FZ154" s="374">
        <v>0</v>
      </c>
      <c r="GA154" s="869"/>
      <c r="GB154" s="373"/>
      <c r="GC154" s="373"/>
      <c r="GD154" s="870"/>
      <c r="GE154" s="373"/>
      <c r="GF154" s="373"/>
      <c r="GG154" s="373"/>
      <c r="GH154" s="618"/>
      <c r="GI154" s="374">
        <v>0</v>
      </c>
      <c r="GJ154" s="869"/>
      <c r="GK154" s="373">
        <v>2</v>
      </c>
      <c r="GL154" s="373">
        <v>2</v>
      </c>
      <c r="GM154" s="870">
        <v>3</v>
      </c>
      <c r="GN154" s="373">
        <v>1</v>
      </c>
      <c r="GO154" s="373">
        <v>2</v>
      </c>
      <c r="GP154" s="373"/>
      <c r="GQ154" s="618"/>
      <c r="GR154" s="374">
        <v>0</v>
      </c>
      <c r="GS154" s="869"/>
      <c r="GT154" s="373"/>
      <c r="GU154" s="373"/>
      <c r="GV154" s="870">
        <v>1</v>
      </c>
      <c r="GW154" s="373"/>
      <c r="GX154" s="373">
        <v>2</v>
      </c>
      <c r="GY154" s="373"/>
      <c r="GZ154" s="618"/>
      <c r="HA154" s="374">
        <v>0</v>
      </c>
      <c r="HB154" s="869"/>
      <c r="HC154" s="373"/>
      <c r="HD154" s="373"/>
      <c r="HE154" s="870"/>
      <c r="HF154" s="373"/>
      <c r="HG154" s="373"/>
      <c r="HH154" s="373"/>
      <c r="HI154" s="618"/>
      <c r="HJ154" s="374">
        <v>0</v>
      </c>
      <c r="HK154" s="869"/>
      <c r="HL154" s="373"/>
      <c r="HM154" s="373"/>
      <c r="HN154" s="870"/>
      <c r="HO154" s="373"/>
      <c r="HP154" s="373"/>
      <c r="HQ154" s="373"/>
      <c r="HR154" s="618"/>
      <c r="HS154" s="374">
        <v>0</v>
      </c>
      <c r="HT154" s="869"/>
      <c r="HU154" s="373"/>
      <c r="HV154" s="373"/>
      <c r="HW154" s="870">
        <v>1</v>
      </c>
      <c r="HX154" s="373"/>
      <c r="HY154" s="373">
        <v>2</v>
      </c>
      <c r="HZ154" s="373"/>
      <c r="IA154" s="618"/>
      <c r="IB154" s="374">
        <v>0</v>
      </c>
      <c r="IC154" s="869"/>
      <c r="ID154" s="373">
        <v>4</v>
      </c>
      <c r="IE154" s="373">
        <v>4</v>
      </c>
      <c r="IF154" s="870">
        <v>4</v>
      </c>
      <c r="IG154" s="373">
        <v>2</v>
      </c>
      <c r="IH154" s="373">
        <v>4</v>
      </c>
      <c r="II154" s="373"/>
      <c r="IJ154" s="618"/>
      <c r="IK154" s="374">
        <v>0</v>
      </c>
      <c r="IL154" s="377"/>
      <c r="IM154" s="373">
        <v>1</v>
      </c>
      <c r="IN154" s="373">
        <v>1</v>
      </c>
      <c r="IO154" s="871"/>
      <c r="IP154" s="871"/>
      <c r="IQ154" s="373"/>
      <c r="IR154" s="373"/>
      <c r="IS154" s="618"/>
      <c r="IT154" s="374">
        <v>0</v>
      </c>
    </row>
    <row r="155" spans="1:254" s="245" customFormat="1" ht="12.75" customHeight="1" x14ac:dyDescent="0.2">
      <c r="A155" s="1052"/>
      <c r="B155" s="868" t="s">
        <v>1007</v>
      </c>
      <c r="C155" s="869"/>
      <c r="D155" s="373"/>
      <c r="E155" s="373"/>
      <c r="F155" s="870"/>
      <c r="G155" s="373"/>
      <c r="H155" s="373"/>
      <c r="I155" s="373"/>
      <c r="J155" s="618"/>
      <c r="K155" s="374">
        <v>0</v>
      </c>
      <c r="L155" s="869"/>
      <c r="M155" s="373"/>
      <c r="N155" s="373"/>
      <c r="O155" s="870"/>
      <c r="P155" s="373"/>
      <c r="Q155" s="373"/>
      <c r="R155" s="373"/>
      <c r="S155" s="618"/>
      <c r="T155" s="374">
        <v>0</v>
      </c>
      <c r="U155" s="869"/>
      <c r="V155" s="373"/>
      <c r="W155" s="373"/>
      <c r="X155" s="870"/>
      <c r="Y155" s="373"/>
      <c r="Z155" s="373"/>
      <c r="AA155" s="373"/>
      <c r="AB155" s="618"/>
      <c r="AC155" s="374">
        <v>0</v>
      </c>
      <c r="AD155" s="869">
        <v>2</v>
      </c>
      <c r="AE155" s="373">
        <v>1</v>
      </c>
      <c r="AF155" s="373"/>
      <c r="AG155" s="870">
        <v>4</v>
      </c>
      <c r="AH155" s="373"/>
      <c r="AI155" s="373"/>
      <c r="AJ155" s="373">
        <v>1</v>
      </c>
      <c r="AK155" s="618"/>
      <c r="AL155" s="374">
        <v>0</v>
      </c>
      <c r="AM155" s="869"/>
      <c r="AN155" s="373"/>
      <c r="AO155" s="373"/>
      <c r="AP155" s="870">
        <v>1</v>
      </c>
      <c r="AQ155" s="373"/>
      <c r="AR155" s="373"/>
      <c r="AS155" s="373"/>
      <c r="AT155" s="618"/>
      <c r="AU155" s="374">
        <v>0</v>
      </c>
      <c r="AV155" s="869"/>
      <c r="AW155" s="373"/>
      <c r="AX155" s="373"/>
      <c r="AY155" s="870"/>
      <c r="AZ155" s="373"/>
      <c r="BA155" s="373"/>
      <c r="BB155" s="373"/>
      <c r="BC155" s="618"/>
      <c r="BD155" s="374">
        <v>0</v>
      </c>
      <c r="BE155" s="869"/>
      <c r="BF155" s="373"/>
      <c r="BG155" s="373"/>
      <c r="BH155" s="870">
        <v>4</v>
      </c>
      <c r="BI155" s="373"/>
      <c r="BJ155" s="373">
        <v>3</v>
      </c>
      <c r="BK155" s="373"/>
      <c r="BL155" s="618"/>
      <c r="BM155" s="374">
        <v>0</v>
      </c>
      <c r="BN155" s="869"/>
      <c r="BO155" s="373"/>
      <c r="BP155" s="373"/>
      <c r="BQ155" s="870"/>
      <c r="BR155" s="373"/>
      <c r="BS155" s="373"/>
      <c r="BT155" s="373"/>
      <c r="BU155" s="618"/>
      <c r="BV155" s="374">
        <v>0</v>
      </c>
      <c r="BW155" s="869"/>
      <c r="BX155" s="373">
        <v>1</v>
      </c>
      <c r="BY155" s="373">
        <v>1</v>
      </c>
      <c r="BZ155" s="870">
        <v>5</v>
      </c>
      <c r="CA155" s="373"/>
      <c r="CB155" s="373"/>
      <c r="CC155" s="373">
        <v>2</v>
      </c>
      <c r="CD155" s="618"/>
      <c r="CE155" s="374">
        <v>1</v>
      </c>
      <c r="CF155" s="869"/>
      <c r="CG155" s="373"/>
      <c r="CH155" s="373"/>
      <c r="CI155" s="870"/>
      <c r="CJ155" s="373"/>
      <c r="CK155" s="373"/>
      <c r="CL155" s="373"/>
      <c r="CM155" s="618"/>
      <c r="CN155" s="374">
        <v>0</v>
      </c>
      <c r="CO155" s="869"/>
      <c r="CP155" s="373"/>
      <c r="CQ155" s="373"/>
      <c r="CR155" s="870"/>
      <c r="CS155" s="373"/>
      <c r="CT155" s="373"/>
      <c r="CU155" s="373"/>
      <c r="CV155" s="618"/>
      <c r="CW155" s="374">
        <v>0</v>
      </c>
      <c r="CX155" s="869">
        <v>9</v>
      </c>
      <c r="CY155" s="373">
        <v>2</v>
      </c>
      <c r="CZ155" s="373">
        <v>4</v>
      </c>
      <c r="DA155" s="870">
        <v>4</v>
      </c>
      <c r="DB155" s="373">
        <v>2</v>
      </c>
      <c r="DC155" s="373">
        <v>3</v>
      </c>
      <c r="DD155" s="373"/>
      <c r="DE155" s="618">
        <v>2</v>
      </c>
      <c r="DF155" s="374">
        <v>5</v>
      </c>
      <c r="DG155" s="869"/>
      <c r="DH155" s="373"/>
      <c r="DI155" s="373"/>
      <c r="DJ155" s="870"/>
      <c r="DK155" s="373"/>
      <c r="DL155" s="373"/>
      <c r="DM155" s="373"/>
      <c r="DN155" s="618"/>
      <c r="DO155" s="374">
        <v>0</v>
      </c>
      <c r="DP155" s="869"/>
      <c r="DQ155" s="373"/>
      <c r="DR155" s="373"/>
      <c r="DS155" s="870"/>
      <c r="DT155" s="373"/>
      <c r="DU155" s="373"/>
      <c r="DV155" s="373"/>
      <c r="DW155" s="618"/>
      <c r="DX155" s="374">
        <v>0</v>
      </c>
      <c r="DY155" s="869">
        <v>3</v>
      </c>
      <c r="DZ155" s="373">
        <v>1</v>
      </c>
      <c r="EA155" s="373"/>
      <c r="EB155" s="870">
        <v>2</v>
      </c>
      <c r="EC155" s="373"/>
      <c r="ED155" s="373">
        <v>1</v>
      </c>
      <c r="EE155" s="373"/>
      <c r="EF155" s="618"/>
      <c r="EG155" s="374">
        <v>2</v>
      </c>
      <c r="EH155" s="869"/>
      <c r="EI155" s="373"/>
      <c r="EJ155" s="373"/>
      <c r="EK155" s="870"/>
      <c r="EL155" s="373"/>
      <c r="EM155" s="373"/>
      <c r="EN155" s="373"/>
      <c r="EO155" s="618"/>
      <c r="EP155" s="374">
        <v>0</v>
      </c>
      <c r="EQ155" s="869"/>
      <c r="ER155" s="373"/>
      <c r="ES155" s="373"/>
      <c r="ET155" s="870"/>
      <c r="EU155" s="373"/>
      <c r="EV155" s="373"/>
      <c r="EW155" s="373"/>
      <c r="EX155" s="618"/>
      <c r="EY155" s="374">
        <v>0</v>
      </c>
      <c r="EZ155" s="869"/>
      <c r="FA155" s="373"/>
      <c r="FB155" s="373"/>
      <c r="FC155" s="870"/>
      <c r="FD155" s="373"/>
      <c r="FE155" s="373"/>
      <c r="FF155" s="373"/>
      <c r="FG155" s="618"/>
      <c r="FH155" s="374">
        <v>0</v>
      </c>
      <c r="FI155" s="869"/>
      <c r="FJ155" s="373"/>
      <c r="FK155" s="373">
        <v>1</v>
      </c>
      <c r="FL155" s="870">
        <v>1</v>
      </c>
      <c r="FM155" s="373"/>
      <c r="FN155" s="373"/>
      <c r="FO155" s="373"/>
      <c r="FP155" s="618"/>
      <c r="FQ155" s="374">
        <v>0</v>
      </c>
      <c r="FR155" s="869"/>
      <c r="FS155" s="373"/>
      <c r="FT155" s="373"/>
      <c r="FU155" s="870"/>
      <c r="FV155" s="373"/>
      <c r="FW155" s="373"/>
      <c r="FX155" s="373"/>
      <c r="FY155" s="618"/>
      <c r="FZ155" s="374">
        <v>0</v>
      </c>
      <c r="GA155" s="869"/>
      <c r="GB155" s="373"/>
      <c r="GC155" s="373"/>
      <c r="GD155" s="870"/>
      <c r="GE155" s="373"/>
      <c r="GF155" s="373"/>
      <c r="GG155" s="373"/>
      <c r="GH155" s="618"/>
      <c r="GI155" s="374">
        <v>0</v>
      </c>
      <c r="GJ155" s="869">
        <v>11</v>
      </c>
      <c r="GK155" s="373">
        <v>4</v>
      </c>
      <c r="GL155" s="373">
        <v>6</v>
      </c>
      <c r="GM155" s="870">
        <v>18</v>
      </c>
      <c r="GN155" s="373">
        <v>2</v>
      </c>
      <c r="GO155" s="373">
        <v>6</v>
      </c>
      <c r="GP155" s="373">
        <v>3</v>
      </c>
      <c r="GQ155" s="618">
        <v>2</v>
      </c>
      <c r="GR155" s="374">
        <v>6</v>
      </c>
      <c r="GS155" s="869">
        <v>4</v>
      </c>
      <c r="GT155" s="373">
        <v>1</v>
      </c>
      <c r="GU155" s="373">
        <v>4</v>
      </c>
      <c r="GV155" s="870">
        <v>5</v>
      </c>
      <c r="GW155" s="373"/>
      <c r="GX155" s="373"/>
      <c r="GY155" s="373">
        <v>1</v>
      </c>
      <c r="GZ155" s="618"/>
      <c r="HA155" s="374">
        <v>1</v>
      </c>
      <c r="HB155" s="869"/>
      <c r="HC155" s="373"/>
      <c r="HD155" s="373"/>
      <c r="HE155" s="870"/>
      <c r="HF155" s="373"/>
      <c r="HG155" s="373"/>
      <c r="HH155" s="373"/>
      <c r="HI155" s="618"/>
      <c r="HJ155" s="374">
        <v>0</v>
      </c>
      <c r="HK155" s="869"/>
      <c r="HL155" s="373"/>
      <c r="HM155" s="373"/>
      <c r="HN155" s="870"/>
      <c r="HO155" s="373"/>
      <c r="HP155" s="373"/>
      <c r="HQ155" s="373"/>
      <c r="HR155" s="618"/>
      <c r="HS155" s="374">
        <v>0</v>
      </c>
      <c r="HT155" s="869">
        <v>5</v>
      </c>
      <c r="HU155" s="373">
        <v>4</v>
      </c>
      <c r="HV155" s="373">
        <v>6</v>
      </c>
      <c r="HW155" s="870">
        <v>6</v>
      </c>
      <c r="HX155" s="373"/>
      <c r="HY155" s="373"/>
      <c r="HZ155" s="373">
        <v>4</v>
      </c>
      <c r="IA155" s="618">
        <v>2</v>
      </c>
      <c r="IB155" s="374">
        <v>2</v>
      </c>
      <c r="IC155" s="869">
        <v>18</v>
      </c>
      <c r="ID155" s="373">
        <v>13</v>
      </c>
      <c r="IE155" s="373">
        <v>9</v>
      </c>
      <c r="IF155" s="870">
        <v>21</v>
      </c>
      <c r="IG155" s="373">
        <v>3</v>
      </c>
      <c r="IH155" s="373">
        <v>10</v>
      </c>
      <c r="II155" s="373">
        <v>50</v>
      </c>
      <c r="IJ155" s="618">
        <v>9</v>
      </c>
      <c r="IK155" s="374">
        <v>15</v>
      </c>
      <c r="IL155" s="377">
        <v>5</v>
      </c>
      <c r="IM155" s="373">
        <v>1</v>
      </c>
      <c r="IN155" s="373">
        <v>1</v>
      </c>
      <c r="IO155" s="871">
        <v>2</v>
      </c>
      <c r="IP155" s="871"/>
      <c r="IQ155" s="373">
        <v>1</v>
      </c>
      <c r="IR155" s="373"/>
      <c r="IS155" s="618"/>
      <c r="IT155" s="374">
        <v>2</v>
      </c>
    </row>
    <row r="156" spans="1:254" s="245" customFormat="1" ht="12.75" customHeight="1" x14ac:dyDescent="0.2">
      <c r="A156" s="1052"/>
      <c r="B156" s="868" t="s">
        <v>1008</v>
      </c>
      <c r="C156" s="869"/>
      <c r="D156" s="373"/>
      <c r="E156" s="373"/>
      <c r="F156" s="870"/>
      <c r="G156" s="373"/>
      <c r="H156" s="373"/>
      <c r="I156" s="373"/>
      <c r="J156" s="618"/>
      <c r="K156" s="374">
        <v>0</v>
      </c>
      <c r="L156" s="869"/>
      <c r="M156" s="373"/>
      <c r="N156" s="373"/>
      <c r="O156" s="870"/>
      <c r="P156" s="373"/>
      <c r="Q156" s="373"/>
      <c r="R156" s="373"/>
      <c r="S156" s="618"/>
      <c r="T156" s="374">
        <v>0</v>
      </c>
      <c r="U156" s="869"/>
      <c r="V156" s="373"/>
      <c r="W156" s="373"/>
      <c r="X156" s="870"/>
      <c r="Y156" s="373"/>
      <c r="Z156" s="373"/>
      <c r="AA156" s="373"/>
      <c r="AB156" s="618"/>
      <c r="AC156" s="374">
        <v>0</v>
      </c>
      <c r="AD156" s="869">
        <v>1</v>
      </c>
      <c r="AE156" s="373"/>
      <c r="AF156" s="373"/>
      <c r="AG156" s="870"/>
      <c r="AH156" s="373"/>
      <c r="AI156" s="373">
        <v>2</v>
      </c>
      <c r="AJ156" s="373"/>
      <c r="AK156" s="618">
        <v>1</v>
      </c>
      <c r="AL156" s="374">
        <v>1</v>
      </c>
      <c r="AM156" s="869"/>
      <c r="AN156" s="373"/>
      <c r="AO156" s="373"/>
      <c r="AP156" s="870"/>
      <c r="AQ156" s="373"/>
      <c r="AR156" s="373"/>
      <c r="AS156" s="373"/>
      <c r="AT156" s="618"/>
      <c r="AU156" s="374">
        <v>1</v>
      </c>
      <c r="AV156" s="869"/>
      <c r="AW156" s="373"/>
      <c r="AX156" s="373"/>
      <c r="AY156" s="870"/>
      <c r="AZ156" s="373"/>
      <c r="BA156" s="373"/>
      <c r="BB156" s="373"/>
      <c r="BC156" s="618"/>
      <c r="BD156" s="374">
        <v>0</v>
      </c>
      <c r="BE156" s="869"/>
      <c r="BF156" s="373"/>
      <c r="BG156" s="373"/>
      <c r="BH156" s="870"/>
      <c r="BI156" s="373"/>
      <c r="BJ156" s="373"/>
      <c r="BK156" s="373"/>
      <c r="BL156" s="618"/>
      <c r="BM156" s="374">
        <v>0</v>
      </c>
      <c r="BN156" s="869"/>
      <c r="BO156" s="373"/>
      <c r="BP156" s="373"/>
      <c r="BQ156" s="870"/>
      <c r="BR156" s="373"/>
      <c r="BS156" s="373"/>
      <c r="BT156" s="373"/>
      <c r="BU156" s="618"/>
      <c r="BV156" s="374">
        <v>0</v>
      </c>
      <c r="BW156" s="869">
        <v>1</v>
      </c>
      <c r="BX156" s="373"/>
      <c r="BY156" s="373"/>
      <c r="BZ156" s="870"/>
      <c r="CA156" s="373"/>
      <c r="CB156" s="373"/>
      <c r="CC156" s="373"/>
      <c r="CD156" s="618"/>
      <c r="CE156" s="374">
        <v>1</v>
      </c>
      <c r="CF156" s="869"/>
      <c r="CG156" s="373"/>
      <c r="CH156" s="373"/>
      <c r="CI156" s="870"/>
      <c r="CJ156" s="373"/>
      <c r="CK156" s="373"/>
      <c r="CL156" s="373"/>
      <c r="CM156" s="618"/>
      <c r="CN156" s="374">
        <v>0</v>
      </c>
      <c r="CO156" s="869"/>
      <c r="CP156" s="373"/>
      <c r="CQ156" s="373"/>
      <c r="CR156" s="870"/>
      <c r="CS156" s="373"/>
      <c r="CT156" s="373"/>
      <c r="CU156" s="373"/>
      <c r="CV156" s="618"/>
      <c r="CW156" s="374">
        <v>3</v>
      </c>
      <c r="CX156" s="869">
        <v>3</v>
      </c>
      <c r="CY156" s="373">
        <v>6</v>
      </c>
      <c r="CZ156" s="373">
        <v>5</v>
      </c>
      <c r="DA156" s="870">
        <v>1</v>
      </c>
      <c r="DB156" s="373">
        <v>1</v>
      </c>
      <c r="DC156" s="373"/>
      <c r="DD156" s="373"/>
      <c r="DE156" s="618">
        <v>1</v>
      </c>
      <c r="DF156" s="374">
        <v>1</v>
      </c>
      <c r="DG156" s="869"/>
      <c r="DH156" s="373"/>
      <c r="DI156" s="373"/>
      <c r="DJ156" s="870"/>
      <c r="DK156" s="373"/>
      <c r="DL156" s="373"/>
      <c r="DM156" s="373"/>
      <c r="DN156" s="618"/>
      <c r="DO156" s="374">
        <v>0</v>
      </c>
      <c r="DP156" s="869"/>
      <c r="DQ156" s="373"/>
      <c r="DR156" s="373"/>
      <c r="DS156" s="870"/>
      <c r="DT156" s="373"/>
      <c r="DU156" s="373"/>
      <c r="DV156" s="373"/>
      <c r="DW156" s="618"/>
      <c r="DX156" s="374">
        <v>0</v>
      </c>
      <c r="DY156" s="869"/>
      <c r="DZ156" s="373"/>
      <c r="EA156" s="373"/>
      <c r="EB156" s="870"/>
      <c r="EC156" s="373"/>
      <c r="ED156" s="373"/>
      <c r="EE156" s="373"/>
      <c r="EF156" s="618"/>
      <c r="EG156" s="374">
        <v>0</v>
      </c>
      <c r="EH156" s="869"/>
      <c r="EI156" s="373"/>
      <c r="EJ156" s="373"/>
      <c r="EK156" s="870"/>
      <c r="EL156" s="373"/>
      <c r="EM156" s="373"/>
      <c r="EN156" s="373"/>
      <c r="EO156" s="618"/>
      <c r="EP156" s="374">
        <v>0</v>
      </c>
      <c r="EQ156" s="869"/>
      <c r="ER156" s="373"/>
      <c r="ES156" s="373"/>
      <c r="ET156" s="870"/>
      <c r="EU156" s="373"/>
      <c r="EV156" s="373"/>
      <c r="EW156" s="373"/>
      <c r="EX156" s="618"/>
      <c r="EY156" s="374">
        <v>0</v>
      </c>
      <c r="EZ156" s="869"/>
      <c r="FA156" s="373"/>
      <c r="FB156" s="373"/>
      <c r="FC156" s="870"/>
      <c r="FD156" s="373"/>
      <c r="FE156" s="373"/>
      <c r="FF156" s="373"/>
      <c r="FG156" s="618"/>
      <c r="FH156" s="374">
        <v>0</v>
      </c>
      <c r="FI156" s="869"/>
      <c r="FJ156" s="373"/>
      <c r="FK156" s="373"/>
      <c r="FL156" s="870"/>
      <c r="FM156" s="373">
        <v>1</v>
      </c>
      <c r="FN156" s="373"/>
      <c r="FO156" s="373"/>
      <c r="FP156" s="618"/>
      <c r="FQ156" s="374">
        <v>0</v>
      </c>
      <c r="FR156" s="869"/>
      <c r="FS156" s="373"/>
      <c r="FT156" s="373"/>
      <c r="FU156" s="870"/>
      <c r="FV156" s="373"/>
      <c r="FW156" s="373"/>
      <c r="FX156" s="373"/>
      <c r="FY156" s="618"/>
      <c r="FZ156" s="374">
        <v>0</v>
      </c>
      <c r="GA156" s="869"/>
      <c r="GB156" s="373"/>
      <c r="GC156" s="373"/>
      <c r="GD156" s="870"/>
      <c r="GE156" s="373"/>
      <c r="GF156" s="373"/>
      <c r="GG156" s="373"/>
      <c r="GH156" s="618"/>
      <c r="GI156" s="374">
        <v>0</v>
      </c>
      <c r="GJ156" s="869">
        <v>5</v>
      </c>
      <c r="GK156" s="373">
        <v>6</v>
      </c>
      <c r="GL156" s="373">
        <v>5</v>
      </c>
      <c r="GM156" s="870">
        <v>1</v>
      </c>
      <c r="GN156" s="373">
        <v>2</v>
      </c>
      <c r="GO156" s="373">
        <v>2</v>
      </c>
      <c r="GP156" s="373"/>
      <c r="GQ156" s="618">
        <v>2</v>
      </c>
      <c r="GR156" s="374">
        <v>6</v>
      </c>
      <c r="GS156" s="869">
        <v>2</v>
      </c>
      <c r="GT156" s="373">
        <v>5</v>
      </c>
      <c r="GU156" s="373"/>
      <c r="GV156" s="870"/>
      <c r="GW156" s="373"/>
      <c r="GX156" s="373"/>
      <c r="GY156" s="373"/>
      <c r="GZ156" s="618"/>
      <c r="HA156" s="374">
        <v>5</v>
      </c>
      <c r="HB156" s="869"/>
      <c r="HC156" s="373"/>
      <c r="HD156" s="373"/>
      <c r="HE156" s="870"/>
      <c r="HF156" s="373"/>
      <c r="HG156" s="373"/>
      <c r="HH156" s="373"/>
      <c r="HI156" s="618"/>
      <c r="HJ156" s="374">
        <v>0</v>
      </c>
      <c r="HK156" s="869"/>
      <c r="HL156" s="373"/>
      <c r="HM156" s="373"/>
      <c r="HN156" s="870"/>
      <c r="HO156" s="373"/>
      <c r="HP156" s="373"/>
      <c r="HQ156" s="373"/>
      <c r="HR156" s="618"/>
      <c r="HS156" s="374">
        <v>0</v>
      </c>
      <c r="HT156" s="869">
        <v>4</v>
      </c>
      <c r="HU156" s="373">
        <v>7</v>
      </c>
      <c r="HV156" s="373"/>
      <c r="HW156" s="870">
        <v>1</v>
      </c>
      <c r="HX156" s="373"/>
      <c r="HY156" s="373"/>
      <c r="HZ156" s="373"/>
      <c r="IA156" s="618"/>
      <c r="IB156" s="374">
        <v>5</v>
      </c>
      <c r="IC156" s="869">
        <v>11</v>
      </c>
      <c r="ID156" s="373">
        <v>11</v>
      </c>
      <c r="IE156" s="373">
        <v>5</v>
      </c>
      <c r="IF156" s="870">
        <v>3</v>
      </c>
      <c r="IG156" s="373">
        <v>4</v>
      </c>
      <c r="IH156" s="373">
        <v>3</v>
      </c>
      <c r="II156" s="373">
        <v>2</v>
      </c>
      <c r="IJ156" s="618">
        <v>3</v>
      </c>
      <c r="IK156" s="374">
        <v>7</v>
      </c>
      <c r="IL156" s="377"/>
      <c r="IM156" s="373"/>
      <c r="IN156" s="373"/>
      <c r="IO156" s="871"/>
      <c r="IP156" s="871"/>
      <c r="IQ156" s="373"/>
      <c r="IR156" s="373"/>
      <c r="IS156" s="618"/>
      <c r="IT156" s="374">
        <v>0</v>
      </c>
    </row>
    <row r="157" spans="1:254" s="245" customFormat="1" ht="12.75" customHeight="1" x14ac:dyDescent="0.2">
      <c r="A157" s="1052"/>
      <c r="B157" s="868" t="s">
        <v>1009</v>
      </c>
      <c r="C157" s="869"/>
      <c r="D157" s="373"/>
      <c r="E157" s="373"/>
      <c r="F157" s="870"/>
      <c r="G157" s="373"/>
      <c r="H157" s="373"/>
      <c r="I157" s="373">
        <v>1</v>
      </c>
      <c r="J157" s="618"/>
      <c r="K157" s="374">
        <v>0</v>
      </c>
      <c r="L157" s="869"/>
      <c r="M157" s="373"/>
      <c r="N157" s="373"/>
      <c r="O157" s="870"/>
      <c r="P157" s="373"/>
      <c r="Q157" s="373"/>
      <c r="R157" s="373"/>
      <c r="S157" s="618"/>
      <c r="T157" s="374">
        <v>0</v>
      </c>
      <c r="U157" s="869"/>
      <c r="V157" s="373"/>
      <c r="W157" s="373"/>
      <c r="X157" s="870"/>
      <c r="Y157" s="373"/>
      <c r="Z157" s="373"/>
      <c r="AA157" s="373"/>
      <c r="AB157" s="618"/>
      <c r="AC157" s="374">
        <v>0</v>
      </c>
      <c r="AD157" s="869">
        <v>5</v>
      </c>
      <c r="AE157" s="373">
        <v>7</v>
      </c>
      <c r="AF157" s="373">
        <v>3</v>
      </c>
      <c r="AG157" s="870"/>
      <c r="AH157" s="373"/>
      <c r="AI157" s="373"/>
      <c r="AJ157" s="373">
        <v>4</v>
      </c>
      <c r="AK157" s="618">
        <v>1</v>
      </c>
      <c r="AL157" s="374">
        <v>0</v>
      </c>
      <c r="AM157" s="869">
        <v>1</v>
      </c>
      <c r="AN157" s="373"/>
      <c r="AO157" s="373">
        <v>2</v>
      </c>
      <c r="AP157" s="870"/>
      <c r="AQ157" s="373"/>
      <c r="AR157" s="373"/>
      <c r="AS157" s="373"/>
      <c r="AT157" s="618">
        <v>1</v>
      </c>
      <c r="AU157" s="374">
        <v>0</v>
      </c>
      <c r="AV157" s="869"/>
      <c r="AW157" s="373"/>
      <c r="AX157" s="373">
        <v>1</v>
      </c>
      <c r="AY157" s="870"/>
      <c r="AZ157" s="373"/>
      <c r="BA157" s="373"/>
      <c r="BB157" s="373"/>
      <c r="BC157" s="618"/>
      <c r="BD157" s="374">
        <v>0</v>
      </c>
      <c r="BE157" s="869"/>
      <c r="BF157" s="373"/>
      <c r="BG157" s="373"/>
      <c r="BH157" s="870"/>
      <c r="BI157" s="373"/>
      <c r="BJ157" s="373"/>
      <c r="BK157" s="373"/>
      <c r="BL157" s="618"/>
      <c r="BM157" s="374">
        <v>0</v>
      </c>
      <c r="BN157" s="869"/>
      <c r="BO157" s="373"/>
      <c r="BP157" s="373"/>
      <c r="BQ157" s="870"/>
      <c r="BR157" s="373"/>
      <c r="BS157" s="373"/>
      <c r="BT157" s="373"/>
      <c r="BU157" s="618"/>
      <c r="BV157" s="374">
        <v>0</v>
      </c>
      <c r="BW157" s="869">
        <v>7</v>
      </c>
      <c r="BX157" s="373">
        <v>3</v>
      </c>
      <c r="BY157" s="373">
        <v>2</v>
      </c>
      <c r="BZ157" s="870"/>
      <c r="CA157" s="373">
        <v>1</v>
      </c>
      <c r="CB157" s="373"/>
      <c r="CC157" s="373">
        <v>1</v>
      </c>
      <c r="CD157" s="618">
        <v>2</v>
      </c>
      <c r="CE157" s="374">
        <v>0</v>
      </c>
      <c r="CF157" s="869"/>
      <c r="CG157" s="373"/>
      <c r="CH157" s="373"/>
      <c r="CI157" s="870"/>
      <c r="CJ157" s="373"/>
      <c r="CK157" s="373"/>
      <c r="CL157" s="373"/>
      <c r="CM157" s="618"/>
      <c r="CN157" s="374">
        <v>0</v>
      </c>
      <c r="CO157" s="869"/>
      <c r="CP157" s="373"/>
      <c r="CQ157" s="373"/>
      <c r="CR157" s="870"/>
      <c r="CS157" s="373"/>
      <c r="CT157" s="373"/>
      <c r="CU157" s="373"/>
      <c r="CV157" s="618">
        <v>2</v>
      </c>
      <c r="CW157" s="374">
        <v>0</v>
      </c>
      <c r="CX157" s="869">
        <v>5</v>
      </c>
      <c r="CY157" s="373">
        <v>5</v>
      </c>
      <c r="CZ157" s="373">
        <v>9</v>
      </c>
      <c r="DA157" s="870">
        <v>7</v>
      </c>
      <c r="DB157" s="373">
        <v>4</v>
      </c>
      <c r="DC157" s="373">
        <v>8</v>
      </c>
      <c r="DD157" s="373">
        <v>5</v>
      </c>
      <c r="DE157" s="618">
        <v>2</v>
      </c>
      <c r="DF157" s="374">
        <v>5</v>
      </c>
      <c r="DG157" s="869"/>
      <c r="DH157" s="373"/>
      <c r="DI157" s="373"/>
      <c r="DJ157" s="870"/>
      <c r="DK157" s="373"/>
      <c r="DL157" s="373"/>
      <c r="DM157" s="373"/>
      <c r="DN157" s="618"/>
      <c r="DO157" s="374">
        <v>0</v>
      </c>
      <c r="DP157" s="869"/>
      <c r="DQ157" s="373"/>
      <c r="DR157" s="373"/>
      <c r="DS157" s="870"/>
      <c r="DT157" s="373">
        <v>1</v>
      </c>
      <c r="DU157" s="373"/>
      <c r="DV157" s="373"/>
      <c r="DW157" s="618"/>
      <c r="DX157" s="374">
        <v>0</v>
      </c>
      <c r="DY157" s="869"/>
      <c r="DZ157" s="373">
        <v>1</v>
      </c>
      <c r="EA157" s="373">
        <v>4</v>
      </c>
      <c r="EB157" s="870"/>
      <c r="EC157" s="373"/>
      <c r="ED157" s="373">
        <v>1</v>
      </c>
      <c r="EE157" s="373"/>
      <c r="EF157" s="618"/>
      <c r="EG157" s="374">
        <v>0</v>
      </c>
      <c r="EH157" s="869"/>
      <c r="EI157" s="373"/>
      <c r="EJ157" s="373"/>
      <c r="EK157" s="870"/>
      <c r="EL157" s="373"/>
      <c r="EM157" s="373"/>
      <c r="EN157" s="373"/>
      <c r="EO157" s="618"/>
      <c r="EP157" s="374">
        <v>0</v>
      </c>
      <c r="EQ157" s="869"/>
      <c r="ER157" s="373"/>
      <c r="ES157" s="373"/>
      <c r="ET157" s="870"/>
      <c r="EU157" s="373"/>
      <c r="EV157" s="373"/>
      <c r="EW157" s="373"/>
      <c r="EX157" s="618"/>
      <c r="EY157" s="374">
        <v>0</v>
      </c>
      <c r="EZ157" s="869"/>
      <c r="FA157" s="373">
        <v>1</v>
      </c>
      <c r="FB157" s="373"/>
      <c r="FC157" s="870"/>
      <c r="FD157" s="373"/>
      <c r="FE157" s="373"/>
      <c r="FF157" s="373"/>
      <c r="FG157" s="618"/>
      <c r="FH157" s="374">
        <v>0</v>
      </c>
      <c r="FI157" s="869"/>
      <c r="FJ157" s="373"/>
      <c r="FK157" s="373"/>
      <c r="FL157" s="870"/>
      <c r="FM157" s="373"/>
      <c r="FN157" s="373"/>
      <c r="FO157" s="373"/>
      <c r="FP157" s="618"/>
      <c r="FQ157" s="374">
        <v>0</v>
      </c>
      <c r="FR157" s="869"/>
      <c r="FS157" s="373"/>
      <c r="FT157" s="373"/>
      <c r="FU157" s="870"/>
      <c r="FV157" s="373"/>
      <c r="FW157" s="373"/>
      <c r="FX157" s="373"/>
      <c r="FY157" s="618"/>
      <c r="FZ157" s="374">
        <v>0</v>
      </c>
      <c r="GA157" s="869"/>
      <c r="GB157" s="373"/>
      <c r="GC157" s="373"/>
      <c r="GD157" s="870"/>
      <c r="GE157" s="373"/>
      <c r="GF157" s="373"/>
      <c r="GG157" s="373"/>
      <c r="GH157" s="618"/>
      <c r="GI157" s="374">
        <v>0</v>
      </c>
      <c r="GJ157" s="869">
        <v>17</v>
      </c>
      <c r="GK157" s="373">
        <v>16</v>
      </c>
      <c r="GL157" s="373">
        <v>14</v>
      </c>
      <c r="GM157" s="870">
        <v>7</v>
      </c>
      <c r="GN157" s="373">
        <v>5</v>
      </c>
      <c r="GO157" s="373">
        <v>8</v>
      </c>
      <c r="GP157" s="373">
        <v>11</v>
      </c>
      <c r="GQ157" s="618">
        <v>7</v>
      </c>
      <c r="GR157" s="374">
        <v>5</v>
      </c>
      <c r="GS157" s="869">
        <v>11</v>
      </c>
      <c r="GT157" s="373">
        <v>7</v>
      </c>
      <c r="GU157" s="373">
        <v>4</v>
      </c>
      <c r="GV157" s="870">
        <v>1</v>
      </c>
      <c r="GW157" s="373">
        <v>2</v>
      </c>
      <c r="GX157" s="373">
        <v>1</v>
      </c>
      <c r="GY157" s="373">
        <v>2</v>
      </c>
      <c r="GZ157" s="618">
        <v>4</v>
      </c>
      <c r="HA157" s="374">
        <v>0</v>
      </c>
      <c r="HB157" s="869"/>
      <c r="HC157" s="373"/>
      <c r="HD157" s="373"/>
      <c r="HE157" s="870"/>
      <c r="HF157" s="373"/>
      <c r="HG157" s="373"/>
      <c r="HH157" s="373"/>
      <c r="HI157" s="618"/>
      <c r="HJ157" s="374">
        <v>0</v>
      </c>
      <c r="HK157" s="869"/>
      <c r="HL157" s="373">
        <v>1</v>
      </c>
      <c r="HM157" s="373"/>
      <c r="HN157" s="870"/>
      <c r="HO157" s="373"/>
      <c r="HP157" s="373"/>
      <c r="HQ157" s="373"/>
      <c r="HR157" s="618"/>
      <c r="HS157" s="374">
        <v>0</v>
      </c>
      <c r="HT157" s="869">
        <v>13</v>
      </c>
      <c r="HU157" s="373">
        <v>11</v>
      </c>
      <c r="HV157" s="373">
        <v>6</v>
      </c>
      <c r="HW157" s="870">
        <v>1</v>
      </c>
      <c r="HX157" s="373">
        <v>3</v>
      </c>
      <c r="HY157" s="373">
        <v>3</v>
      </c>
      <c r="HZ157" s="373">
        <v>4</v>
      </c>
      <c r="IA157" s="618">
        <v>8</v>
      </c>
      <c r="IB157" s="374">
        <v>3</v>
      </c>
      <c r="IC157" s="869">
        <v>31</v>
      </c>
      <c r="ID157" s="373">
        <v>33</v>
      </c>
      <c r="IE157" s="373">
        <v>17</v>
      </c>
      <c r="IF157" s="870">
        <v>9</v>
      </c>
      <c r="IG157" s="373">
        <v>7</v>
      </c>
      <c r="IH157" s="373">
        <v>15</v>
      </c>
      <c r="II157" s="373">
        <v>23</v>
      </c>
      <c r="IJ157" s="618">
        <v>15</v>
      </c>
      <c r="IK157" s="374">
        <v>16</v>
      </c>
      <c r="IL157" s="377">
        <v>1</v>
      </c>
      <c r="IM157" s="373">
        <v>1</v>
      </c>
      <c r="IN157" s="373">
        <v>4</v>
      </c>
      <c r="IO157" s="871"/>
      <c r="IP157" s="871"/>
      <c r="IQ157" s="373">
        <v>1</v>
      </c>
      <c r="IR157" s="373"/>
      <c r="IS157" s="618">
        <v>2</v>
      </c>
      <c r="IT157" s="374">
        <v>2</v>
      </c>
    </row>
    <row r="158" spans="1:254" s="245" customFormat="1" ht="12.75" customHeight="1" x14ac:dyDescent="0.2">
      <c r="A158" s="1052"/>
      <c r="B158" s="868" t="s">
        <v>1010</v>
      </c>
      <c r="C158" s="869"/>
      <c r="D158" s="373"/>
      <c r="E158" s="373"/>
      <c r="F158" s="870"/>
      <c r="G158" s="373"/>
      <c r="H158" s="373"/>
      <c r="I158" s="373"/>
      <c r="J158" s="618"/>
      <c r="K158" s="374">
        <v>0</v>
      </c>
      <c r="L158" s="869"/>
      <c r="M158" s="373"/>
      <c r="N158" s="373"/>
      <c r="O158" s="870"/>
      <c r="P158" s="373"/>
      <c r="Q158" s="373"/>
      <c r="R158" s="373"/>
      <c r="S158" s="618"/>
      <c r="T158" s="374">
        <v>0</v>
      </c>
      <c r="U158" s="869"/>
      <c r="V158" s="373"/>
      <c r="W158" s="373"/>
      <c r="X158" s="870"/>
      <c r="Y158" s="373"/>
      <c r="Z158" s="373"/>
      <c r="AA158" s="373"/>
      <c r="AB158" s="618"/>
      <c r="AC158" s="374">
        <v>0</v>
      </c>
      <c r="AD158" s="869">
        <v>4</v>
      </c>
      <c r="AE158" s="373">
        <v>4</v>
      </c>
      <c r="AF158" s="373">
        <v>1</v>
      </c>
      <c r="AG158" s="870"/>
      <c r="AH158" s="373">
        <v>1</v>
      </c>
      <c r="AI158" s="373"/>
      <c r="AJ158" s="373">
        <v>3</v>
      </c>
      <c r="AK158" s="618">
        <v>2</v>
      </c>
      <c r="AL158" s="374">
        <v>0</v>
      </c>
      <c r="AM158" s="869">
        <v>2</v>
      </c>
      <c r="AN158" s="373">
        <v>2</v>
      </c>
      <c r="AO158" s="373"/>
      <c r="AP158" s="870"/>
      <c r="AQ158" s="373">
        <v>1</v>
      </c>
      <c r="AR158" s="373"/>
      <c r="AS158" s="373"/>
      <c r="AT158" s="618">
        <v>1</v>
      </c>
      <c r="AU158" s="374">
        <v>0</v>
      </c>
      <c r="AV158" s="869"/>
      <c r="AW158" s="373"/>
      <c r="AX158" s="373"/>
      <c r="AY158" s="870"/>
      <c r="AZ158" s="373"/>
      <c r="BA158" s="373"/>
      <c r="BB158" s="373"/>
      <c r="BC158" s="618"/>
      <c r="BD158" s="374">
        <v>0</v>
      </c>
      <c r="BE158" s="869"/>
      <c r="BF158" s="373">
        <v>2</v>
      </c>
      <c r="BG158" s="373"/>
      <c r="BH158" s="870"/>
      <c r="BI158" s="373"/>
      <c r="BJ158" s="373"/>
      <c r="BK158" s="373"/>
      <c r="BL158" s="618"/>
      <c r="BM158" s="374">
        <v>0</v>
      </c>
      <c r="BN158" s="869"/>
      <c r="BO158" s="373"/>
      <c r="BP158" s="373"/>
      <c r="BQ158" s="870"/>
      <c r="BR158" s="373"/>
      <c r="BS158" s="373"/>
      <c r="BT158" s="373"/>
      <c r="BU158" s="618"/>
      <c r="BV158" s="374">
        <v>0</v>
      </c>
      <c r="BW158" s="869">
        <v>2</v>
      </c>
      <c r="BX158" s="373">
        <v>1</v>
      </c>
      <c r="BY158" s="373">
        <v>3</v>
      </c>
      <c r="BZ158" s="870"/>
      <c r="CA158" s="373">
        <v>1</v>
      </c>
      <c r="CB158" s="373">
        <v>1</v>
      </c>
      <c r="CC158" s="373">
        <v>1</v>
      </c>
      <c r="CD158" s="618">
        <v>2</v>
      </c>
      <c r="CE158" s="374">
        <v>1</v>
      </c>
      <c r="CF158" s="869">
        <v>1</v>
      </c>
      <c r="CG158" s="373"/>
      <c r="CH158" s="373"/>
      <c r="CI158" s="870"/>
      <c r="CJ158" s="373"/>
      <c r="CK158" s="373"/>
      <c r="CL158" s="373"/>
      <c r="CM158" s="618"/>
      <c r="CN158" s="374">
        <v>0</v>
      </c>
      <c r="CO158" s="869"/>
      <c r="CP158" s="373"/>
      <c r="CQ158" s="373"/>
      <c r="CR158" s="870"/>
      <c r="CS158" s="373"/>
      <c r="CT158" s="373"/>
      <c r="CU158" s="373"/>
      <c r="CV158" s="618"/>
      <c r="CW158" s="374">
        <v>0</v>
      </c>
      <c r="CX158" s="869">
        <v>11</v>
      </c>
      <c r="CY158" s="373">
        <v>6</v>
      </c>
      <c r="CZ158" s="373">
        <v>7</v>
      </c>
      <c r="DA158" s="870">
        <v>9</v>
      </c>
      <c r="DB158" s="373">
        <v>12</v>
      </c>
      <c r="DC158" s="373">
        <v>10</v>
      </c>
      <c r="DD158" s="373">
        <v>8</v>
      </c>
      <c r="DE158" s="618">
        <v>9</v>
      </c>
      <c r="DF158" s="374">
        <v>5</v>
      </c>
      <c r="DG158" s="869"/>
      <c r="DH158" s="373"/>
      <c r="DI158" s="373"/>
      <c r="DJ158" s="870"/>
      <c r="DK158" s="373"/>
      <c r="DL158" s="373"/>
      <c r="DM158" s="373"/>
      <c r="DN158" s="618"/>
      <c r="DO158" s="374">
        <v>0</v>
      </c>
      <c r="DP158" s="869"/>
      <c r="DQ158" s="373"/>
      <c r="DR158" s="373">
        <v>1</v>
      </c>
      <c r="DS158" s="870"/>
      <c r="DT158" s="373"/>
      <c r="DU158" s="373"/>
      <c r="DV158" s="373"/>
      <c r="DW158" s="618"/>
      <c r="DX158" s="374">
        <v>0</v>
      </c>
      <c r="DY158" s="869">
        <v>2</v>
      </c>
      <c r="DZ158" s="373">
        <v>3</v>
      </c>
      <c r="EA158" s="373"/>
      <c r="EB158" s="870">
        <v>2</v>
      </c>
      <c r="EC158" s="373">
        <v>4</v>
      </c>
      <c r="ED158" s="373">
        <v>3</v>
      </c>
      <c r="EE158" s="373">
        <v>3</v>
      </c>
      <c r="EF158" s="618">
        <v>3</v>
      </c>
      <c r="EG158" s="374">
        <v>3</v>
      </c>
      <c r="EH158" s="869"/>
      <c r="EI158" s="373"/>
      <c r="EJ158" s="373"/>
      <c r="EK158" s="870"/>
      <c r="EL158" s="373">
        <v>1</v>
      </c>
      <c r="EM158" s="373"/>
      <c r="EN158" s="373"/>
      <c r="EO158" s="618"/>
      <c r="EP158" s="374">
        <v>0</v>
      </c>
      <c r="EQ158" s="869"/>
      <c r="ER158" s="373"/>
      <c r="ES158" s="373"/>
      <c r="ET158" s="870"/>
      <c r="EU158" s="373"/>
      <c r="EV158" s="373"/>
      <c r="EW158" s="373"/>
      <c r="EX158" s="618"/>
      <c r="EY158" s="374">
        <v>0</v>
      </c>
      <c r="EZ158" s="869"/>
      <c r="FA158" s="373"/>
      <c r="FB158" s="373"/>
      <c r="FC158" s="870"/>
      <c r="FD158" s="373"/>
      <c r="FE158" s="373"/>
      <c r="FF158" s="373"/>
      <c r="FG158" s="618"/>
      <c r="FH158" s="374">
        <v>0</v>
      </c>
      <c r="FI158" s="869">
        <v>1</v>
      </c>
      <c r="FJ158" s="373"/>
      <c r="FK158" s="373">
        <v>1</v>
      </c>
      <c r="FL158" s="870">
        <v>1</v>
      </c>
      <c r="FM158" s="373">
        <v>2</v>
      </c>
      <c r="FN158" s="373"/>
      <c r="FO158" s="373"/>
      <c r="FP158" s="618"/>
      <c r="FQ158" s="374">
        <v>0</v>
      </c>
      <c r="FR158" s="869"/>
      <c r="FS158" s="373"/>
      <c r="FT158" s="373"/>
      <c r="FU158" s="870"/>
      <c r="FV158" s="373"/>
      <c r="FW158" s="373"/>
      <c r="FX158" s="373"/>
      <c r="FY158" s="618"/>
      <c r="FZ158" s="374">
        <v>0</v>
      </c>
      <c r="GA158" s="869"/>
      <c r="GB158" s="373">
        <v>1</v>
      </c>
      <c r="GC158" s="373"/>
      <c r="GD158" s="870"/>
      <c r="GE158" s="373"/>
      <c r="GF158" s="373"/>
      <c r="GG158" s="373">
        <v>1</v>
      </c>
      <c r="GH158" s="618"/>
      <c r="GI158" s="374">
        <v>0</v>
      </c>
      <c r="GJ158" s="869">
        <v>19</v>
      </c>
      <c r="GK158" s="373">
        <v>14</v>
      </c>
      <c r="GL158" s="373">
        <v>12</v>
      </c>
      <c r="GM158" s="870">
        <v>10</v>
      </c>
      <c r="GN158" s="373">
        <v>17</v>
      </c>
      <c r="GO158" s="373">
        <v>11</v>
      </c>
      <c r="GP158" s="373">
        <v>13</v>
      </c>
      <c r="GQ158" s="618">
        <v>13</v>
      </c>
      <c r="GR158" s="374">
        <v>6</v>
      </c>
      <c r="GS158" s="869">
        <v>5</v>
      </c>
      <c r="GT158" s="373">
        <v>3</v>
      </c>
      <c r="GU158" s="373">
        <v>6</v>
      </c>
      <c r="GV158" s="870"/>
      <c r="GW158" s="373">
        <v>3</v>
      </c>
      <c r="GX158" s="373"/>
      <c r="GY158" s="373">
        <v>5</v>
      </c>
      <c r="GZ158" s="618">
        <v>4</v>
      </c>
      <c r="HA158" s="374">
        <v>2</v>
      </c>
      <c r="HB158" s="869"/>
      <c r="HC158" s="373"/>
      <c r="HD158" s="373"/>
      <c r="HE158" s="870"/>
      <c r="HF158" s="373"/>
      <c r="HG158" s="373"/>
      <c r="HH158" s="373"/>
      <c r="HI158" s="618"/>
      <c r="HJ158" s="374">
        <v>0</v>
      </c>
      <c r="HK158" s="869"/>
      <c r="HL158" s="373"/>
      <c r="HM158" s="373"/>
      <c r="HN158" s="870"/>
      <c r="HO158" s="373"/>
      <c r="HP158" s="373"/>
      <c r="HQ158" s="373"/>
      <c r="HR158" s="618"/>
      <c r="HS158" s="374">
        <v>0</v>
      </c>
      <c r="HT158" s="869">
        <v>9</v>
      </c>
      <c r="HU158" s="373">
        <v>7</v>
      </c>
      <c r="HV158" s="373">
        <v>6</v>
      </c>
      <c r="HW158" s="870">
        <v>2</v>
      </c>
      <c r="HX158" s="373">
        <v>5</v>
      </c>
      <c r="HY158" s="373">
        <v>3</v>
      </c>
      <c r="HZ158" s="373">
        <v>13</v>
      </c>
      <c r="IA158" s="618">
        <v>9</v>
      </c>
      <c r="IB158" s="374">
        <v>15</v>
      </c>
      <c r="IC158" s="869">
        <v>29</v>
      </c>
      <c r="ID158" s="373">
        <v>26</v>
      </c>
      <c r="IE158" s="373">
        <v>17</v>
      </c>
      <c r="IF158" s="870">
        <v>19</v>
      </c>
      <c r="IG158" s="373">
        <v>27</v>
      </c>
      <c r="IH158" s="373">
        <v>22</v>
      </c>
      <c r="II158" s="373">
        <v>28</v>
      </c>
      <c r="IJ158" s="618">
        <v>26</v>
      </c>
      <c r="IK158" s="374">
        <v>23</v>
      </c>
      <c r="IL158" s="377">
        <v>6</v>
      </c>
      <c r="IM158" s="373">
        <v>3</v>
      </c>
      <c r="IN158" s="373"/>
      <c r="IO158" s="871">
        <v>4</v>
      </c>
      <c r="IP158" s="871">
        <v>3</v>
      </c>
      <c r="IQ158" s="373">
        <v>3</v>
      </c>
      <c r="IR158" s="373">
        <v>3</v>
      </c>
      <c r="IS158" s="618">
        <v>6</v>
      </c>
      <c r="IT158" s="374">
        <v>3</v>
      </c>
    </row>
    <row r="159" spans="1:254" s="245" customFormat="1" ht="12.75" customHeight="1" x14ac:dyDescent="0.2">
      <c r="A159" s="1052"/>
      <c r="B159" s="868" t="s">
        <v>1011</v>
      </c>
      <c r="C159" s="869"/>
      <c r="D159" s="373"/>
      <c r="E159" s="373"/>
      <c r="F159" s="870"/>
      <c r="G159" s="373"/>
      <c r="H159" s="373"/>
      <c r="I159" s="373"/>
      <c r="J159" s="618"/>
      <c r="K159" s="374">
        <v>0</v>
      </c>
      <c r="L159" s="869"/>
      <c r="M159" s="373"/>
      <c r="N159" s="373"/>
      <c r="O159" s="870"/>
      <c r="P159" s="373"/>
      <c r="Q159" s="373"/>
      <c r="R159" s="373"/>
      <c r="S159" s="618"/>
      <c r="T159" s="374">
        <v>0</v>
      </c>
      <c r="U159" s="869"/>
      <c r="V159" s="373"/>
      <c r="W159" s="373"/>
      <c r="X159" s="870"/>
      <c r="Y159" s="373"/>
      <c r="Z159" s="373"/>
      <c r="AA159" s="373"/>
      <c r="AB159" s="618"/>
      <c r="AC159" s="374">
        <v>0</v>
      </c>
      <c r="AD159" s="869"/>
      <c r="AE159" s="373"/>
      <c r="AF159" s="373"/>
      <c r="AG159" s="870"/>
      <c r="AH159" s="373"/>
      <c r="AI159" s="373"/>
      <c r="AJ159" s="373"/>
      <c r="AK159" s="618"/>
      <c r="AL159" s="374">
        <v>0</v>
      </c>
      <c r="AM159" s="869"/>
      <c r="AN159" s="373"/>
      <c r="AO159" s="373"/>
      <c r="AP159" s="870"/>
      <c r="AQ159" s="373"/>
      <c r="AR159" s="373"/>
      <c r="AS159" s="373"/>
      <c r="AT159" s="618"/>
      <c r="AU159" s="374">
        <v>0</v>
      </c>
      <c r="AV159" s="869"/>
      <c r="AW159" s="373"/>
      <c r="AX159" s="373"/>
      <c r="AY159" s="870"/>
      <c r="AZ159" s="373"/>
      <c r="BA159" s="373"/>
      <c r="BB159" s="373"/>
      <c r="BC159" s="618"/>
      <c r="BD159" s="374">
        <v>0</v>
      </c>
      <c r="BE159" s="869"/>
      <c r="BF159" s="373"/>
      <c r="BG159" s="373"/>
      <c r="BH159" s="870"/>
      <c r="BI159" s="373"/>
      <c r="BJ159" s="373"/>
      <c r="BK159" s="373"/>
      <c r="BL159" s="618"/>
      <c r="BM159" s="374">
        <v>0</v>
      </c>
      <c r="BN159" s="869"/>
      <c r="BO159" s="373"/>
      <c r="BP159" s="373"/>
      <c r="BQ159" s="870"/>
      <c r="BR159" s="373"/>
      <c r="BS159" s="373"/>
      <c r="BT159" s="373"/>
      <c r="BU159" s="618"/>
      <c r="BV159" s="374">
        <v>0</v>
      </c>
      <c r="BW159" s="869"/>
      <c r="BX159" s="373"/>
      <c r="BY159" s="373"/>
      <c r="BZ159" s="870"/>
      <c r="CA159" s="373"/>
      <c r="CB159" s="373"/>
      <c r="CC159" s="373"/>
      <c r="CD159" s="618"/>
      <c r="CE159" s="374">
        <v>0</v>
      </c>
      <c r="CF159" s="869"/>
      <c r="CG159" s="373"/>
      <c r="CH159" s="373"/>
      <c r="CI159" s="870"/>
      <c r="CJ159" s="373"/>
      <c r="CK159" s="373"/>
      <c r="CL159" s="373"/>
      <c r="CM159" s="618"/>
      <c r="CN159" s="374">
        <v>0</v>
      </c>
      <c r="CO159" s="869"/>
      <c r="CP159" s="373"/>
      <c r="CQ159" s="373"/>
      <c r="CR159" s="870"/>
      <c r="CS159" s="373"/>
      <c r="CT159" s="373"/>
      <c r="CU159" s="373"/>
      <c r="CV159" s="618"/>
      <c r="CW159" s="374">
        <v>0</v>
      </c>
      <c r="CX159" s="869"/>
      <c r="CY159" s="373"/>
      <c r="CZ159" s="373"/>
      <c r="DA159" s="870">
        <v>1</v>
      </c>
      <c r="DB159" s="373">
        <v>2</v>
      </c>
      <c r="DC159" s="373">
        <v>1</v>
      </c>
      <c r="DD159" s="373"/>
      <c r="DE159" s="618"/>
      <c r="DF159" s="374">
        <v>0</v>
      </c>
      <c r="DG159" s="869"/>
      <c r="DH159" s="373"/>
      <c r="DI159" s="373"/>
      <c r="DJ159" s="870"/>
      <c r="DK159" s="373"/>
      <c r="DL159" s="373"/>
      <c r="DM159" s="373"/>
      <c r="DN159" s="618"/>
      <c r="DO159" s="374">
        <v>0</v>
      </c>
      <c r="DP159" s="869"/>
      <c r="DQ159" s="373"/>
      <c r="DR159" s="373"/>
      <c r="DS159" s="870"/>
      <c r="DT159" s="373"/>
      <c r="DU159" s="373"/>
      <c r="DV159" s="373"/>
      <c r="DW159" s="618"/>
      <c r="DX159" s="374">
        <v>0</v>
      </c>
      <c r="DY159" s="869"/>
      <c r="DZ159" s="373"/>
      <c r="EA159" s="373"/>
      <c r="EB159" s="870">
        <v>1</v>
      </c>
      <c r="EC159" s="373"/>
      <c r="ED159" s="373"/>
      <c r="EE159" s="373"/>
      <c r="EF159" s="618"/>
      <c r="EG159" s="374">
        <v>0</v>
      </c>
      <c r="EH159" s="869"/>
      <c r="EI159" s="373"/>
      <c r="EJ159" s="373"/>
      <c r="EK159" s="870"/>
      <c r="EL159" s="373"/>
      <c r="EM159" s="373"/>
      <c r="EN159" s="373"/>
      <c r="EO159" s="618"/>
      <c r="EP159" s="374">
        <v>0</v>
      </c>
      <c r="EQ159" s="869"/>
      <c r="ER159" s="373"/>
      <c r="ES159" s="373"/>
      <c r="ET159" s="870"/>
      <c r="EU159" s="373"/>
      <c r="EV159" s="373"/>
      <c r="EW159" s="373"/>
      <c r="EX159" s="618"/>
      <c r="EY159" s="374">
        <v>0</v>
      </c>
      <c r="EZ159" s="869"/>
      <c r="FA159" s="373"/>
      <c r="FB159" s="373"/>
      <c r="FC159" s="870"/>
      <c r="FD159" s="373"/>
      <c r="FE159" s="373"/>
      <c r="FF159" s="373"/>
      <c r="FG159" s="618"/>
      <c r="FH159" s="374">
        <v>0</v>
      </c>
      <c r="FI159" s="869"/>
      <c r="FJ159" s="373"/>
      <c r="FK159" s="373"/>
      <c r="FL159" s="870"/>
      <c r="FM159" s="373"/>
      <c r="FN159" s="373"/>
      <c r="FO159" s="373"/>
      <c r="FP159" s="618"/>
      <c r="FQ159" s="374">
        <v>0</v>
      </c>
      <c r="FR159" s="869"/>
      <c r="FS159" s="373"/>
      <c r="FT159" s="373"/>
      <c r="FU159" s="870"/>
      <c r="FV159" s="373"/>
      <c r="FW159" s="373"/>
      <c r="FX159" s="373"/>
      <c r="FY159" s="618"/>
      <c r="FZ159" s="374">
        <v>0</v>
      </c>
      <c r="GA159" s="869"/>
      <c r="GB159" s="373"/>
      <c r="GC159" s="373"/>
      <c r="GD159" s="870"/>
      <c r="GE159" s="373"/>
      <c r="GF159" s="373"/>
      <c r="GG159" s="373"/>
      <c r="GH159" s="618"/>
      <c r="GI159" s="374">
        <v>0</v>
      </c>
      <c r="GJ159" s="869"/>
      <c r="GK159" s="373"/>
      <c r="GL159" s="373"/>
      <c r="GM159" s="870">
        <v>1</v>
      </c>
      <c r="GN159" s="373">
        <v>2</v>
      </c>
      <c r="GO159" s="373">
        <v>1</v>
      </c>
      <c r="GP159" s="373"/>
      <c r="GQ159" s="618"/>
      <c r="GR159" s="374">
        <v>0</v>
      </c>
      <c r="GS159" s="869"/>
      <c r="GT159" s="373"/>
      <c r="GU159" s="373"/>
      <c r="GV159" s="870"/>
      <c r="GW159" s="373"/>
      <c r="GX159" s="373"/>
      <c r="GY159" s="373"/>
      <c r="GZ159" s="618"/>
      <c r="HA159" s="374">
        <v>0</v>
      </c>
      <c r="HB159" s="869"/>
      <c r="HC159" s="373"/>
      <c r="HD159" s="373"/>
      <c r="HE159" s="870"/>
      <c r="HF159" s="373"/>
      <c r="HG159" s="373"/>
      <c r="HH159" s="373"/>
      <c r="HI159" s="618"/>
      <c r="HJ159" s="374">
        <v>0</v>
      </c>
      <c r="HK159" s="869"/>
      <c r="HL159" s="373"/>
      <c r="HM159" s="373"/>
      <c r="HN159" s="870"/>
      <c r="HO159" s="373"/>
      <c r="HP159" s="373"/>
      <c r="HQ159" s="373"/>
      <c r="HR159" s="618"/>
      <c r="HS159" s="374">
        <v>0</v>
      </c>
      <c r="HT159" s="869"/>
      <c r="HU159" s="373">
        <v>1</v>
      </c>
      <c r="HV159" s="373"/>
      <c r="HW159" s="870"/>
      <c r="HX159" s="373">
        <v>2</v>
      </c>
      <c r="HY159" s="373"/>
      <c r="HZ159" s="373"/>
      <c r="IA159" s="618"/>
      <c r="IB159" s="374">
        <v>0</v>
      </c>
      <c r="IC159" s="869">
        <v>1</v>
      </c>
      <c r="ID159" s="373">
        <v>1</v>
      </c>
      <c r="IE159" s="373"/>
      <c r="IF159" s="870">
        <v>2</v>
      </c>
      <c r="IG159" s="373">
        <v>4</v>
      </c>
      <c r="IH159" s="373">
        <v>1</v>
      </c>
      <c r="II159" s="373">
        <v>1</v>
      </c>
      <c r="IJ159" s="618">
        <v>19</v>
      </c>
      <c r="IK159" s="374">
        <v>1</v>
      </c>
      <c r="IL159" s="377"/>
      <c r="IM159" s="373"/>
      <c r="IN159" s="373"/>
      <c r="IO159" s="871">
        <v>1</v>
      </c>
      <c r="IP159" s="871">
        <v>2</v>
      </c>
      <c r="IQ159" s="373">
        <v>1</v>
      </c>
      <c r="IR159" s="373"/>
      <c r="IS159" s="618"/>
      <c r="IT159" s="374">
        <v>0</v>
      </c>
    </row>
    <row r="160" spans="1:254" s="245" customFormat="1" ht="12.75" customHeight="1" x14ac:dyDescent="0.2">
      <c r="A160" s="1052"/>
      <c r="B160" s="868" t="s">
        <v>1012</v>
      </c>
      <c r="C160" s="869"/>
      <c r="D160" s="373"/>
      <c r="E160" s="373"/>
      <c r="F160" s="870"/>
      <c r="G160" s="373"/>
      <c r="H160" s="373"/>
      <c r="I160" s="373"/>
      <c r="J160" s="618"/>
      <c r="K160" s="374">
        <v>0</v>
      </c>
      <c r="L160" s="869"/>
      <c r="M160" s="373"/>
      <c r="N160" s="373"/>
      <c r="O160" s="870"/>
      <c r="P160" s="373"/>
      <c r="Q160" s="373"/>
      <c r="R160" s="373"/>
      <c r="S160" s="618"/>
      <c r="T160" s="374">
        <v>0</v>
      </c>
      <c r="U160" s="869"/>
      <c r="V160" s="373"/>
      <c r="W160" s="373"/>
      <c r="X160" s="870"/>
      <c r="Y160" s="373"/>
      <c r="Z160" s="373"/>
      <c r="AA160" s="373"/>
      <c r="AB160" s="618"/>
      <c r="AC160" s="374">
        <v>0</v>
      </c>
      <c r="AD160" s="869"/>
      <c r="AE160" s="373"/>
      <c r="AF160" s="373"/>
      <c r="AG160" s="870"/>
      <c r="AH160" s="373"/>
      <c r="AI160" s="373"/>
      <c r="AJ160" s="373"/>
      <c r="AK160" s="618"/>
      <c r="AL160" s="374">
        <v>0</v>
      </c>
      <c r="AM160" s="869"/>
      <c r="AN160" s="373"/>
      <c r="AO160" s="373"/>
      <c r="AP160" s="870"/>
      <c r="AQ160" s="373"/>
      <c r="AR160" s="373"/>
      <c r="AS160" s="373"/>
      <c r="AT160" s="618"/>
      <c r="AU160" s="374">
        <v>0</v>
      </c>
      <c r="AV160" s="869"/>
      <c r="AW160" s="373"/>
      <c r="AX160" s="373"/>
      <c r="AY160" s="870"/>
      <c r="AZ160" s="373"/>
      <c r="BA160" s="373"/>
      <c r="BB160" s="373"/>
      <c r="BC160" s="618"/>
      <c r="BD160" s="374">
        <v>0</v>
      </c>
      <c r="BE160" s="869"/>
      <c r="BF160" s="373"/>
      <c r="BG160" s="373"/>
      <c r="BH160" s="870"/>
      <c r="BI160" s="373"/>
      <c r="BJ160" s="373"/>
      <c r="BK160" s="373"/>
      <c r="BL160" s="618"/>
      <c r="BM160" s="374">
        <v>0</v>
      </c>
      <c r="BN160" s="869"/>
      <c r="BO160" s="373"/>
      <c r="BP160" s="373"/>
      <c r="BQ160" s="870"/>
      <c r="BR160" s="373"/>
      <c r="BS160" s="373"/>
      <c r="BT160" s="373"/>
      <c r="BU160" s="618"/>
      <c r="BV160" s="374">
        <v>0</v>
      </c>
      <c r="BW160" s="869"/>
      <c r="BX160" s="373"/>
      <c r="BY160" s="373"/>
      <c r="BZ160" s="870"/>
      <c r="CA160" s="373"/>
      <c r="CB160" s="373"/>
      <c r="CC160" s="373">
        <v>2</v>
      </c>
      <c r="CD160" s="618"/>
      <c r="CE160" s="374">
        <v>0</v>
      </c>
      <c r="CF160" s="869"/>
      <c r="CG160" s="373"/>
      <c r="CH160" s="373"/>
      <c r="CI160" s="870"/>
      <c r="CJ160" s="373"/>
      <c r="CK160" s="373"/>
      <c r="CL160" s="373"/>
      <c r="CM160" s="618"/>
      <c r="CN160" s="374">
        <v>0</v>
      </c>
      <c r="CO160" s="869"/>
      <c r="CP160" s="373"/>
      <c r="CQ160" s="373"/>
      <c r="CR160" s="870"/>
      <c r="CS160" s="373"/>
      <c r="CT160" s="373"/>
      <c r="CU160" s="373"/>
      <c r="CV160" s="618"/>
      <c r="CW160" s="374">
        <v>0</v>
      </c>
      <c r="CX160" s="869">
        <v>3</v>
      </c>
      <c r="CY160" s="373">
        <v>2</v>
      </c>
      <c r="CZ160" s="373">
        <v>1</v>
      </c>
      <c r="DA160" s="870">
        <v>2</v>
      </c>
      <c r="DB160" s="373"/>
      <c r="DC160" s="373"/>
      <c r="DD160" s="373"/>
      <c r="DE160" s="618"/>
      <c r="DF160" s="374">
        <v>0</v>
      </c>
      <c r="DG160" s="869"/>
      <c r="DH160" s="373"/>
      <c r="DI160" s="373"/>
      <c r="DJ160" s="870"/>
      <c r="DK160" s="373"/>
      <c r="DL160" s="373"/>
      <c r="DM160" s="373"/>
      <c r="DN160" s="618"/>
      <c r="DO160" s="374">
        <v>0</v>
      </c>
      <c r="DP160" s="869"/>
      <c r="DQ160" s="373"/>
      <c r="DR160" s="373"/>
      <c r="DS160" s="870"/>
      <c r="DT160" s="373"/>
      <c r="DU160" s="373"/>
      <c r="DV160" s="373"/>
      <c r="DW160" s="618"/>
      <c r="DX160" s="374">
        <v>0</v>
      </c>
      <c r="DY160" s="869"/>
      <c r="DZ160" s="373">
        <v>1</v>
      </c>
      <c r="EA160" s="373"/>
      <c r="EB160" s="870"/>
      <c r="EC160" s="373"/>
      <c r="ED160" s="373"/>
      <c r="EE160" s="373"/>
      <c r="EF160" s="618"/>
      <c r="EG160" s="374">
        <v>0</v>
      </c>
      <c r="EH160" s="869"/>
      <c r="EI160" s="373"/>
      <c r="EJ160" s="373"/>
      <c r="EK160" s="870"/>
      <c r="EL160" s="373"/>
      <c r="EM160" s="373"/>
      <c r="EN160" s="373"/>
      <c r="EO160" s="618"/>
      <c r="EP160" s="374">
        <v>0</v>
      </c>
      <c r="EQ160" s="869"/>
      <c r="ER160" s="373"/>
      <c r="ES160" s="373"/>
      <c r="ET160" s="870"/>
      <c r="EU160" s="373"/>
      <c r="EV160" s="373"/>
      <c r="EW160" s="373"/>
      <c r="EX160" s="618"/>
      <c r="EY160" s="374">
        <v>0</v>
      </c>
      <c r="EZ160" s="869"/>
      <c r="FA160" s="373"/>
      <c r="FB160" s="373"/>
      <c r="FC160" s="870"/>
      <c r="FD160" s="373"/>
      <c r="FE160" s="373"/>
      <c r="FF160" s="373"/>
      <c r="FG160" s="618"/>
      <c r="FH160" s="374">
        <v>0</v>
      </c>
      <c r="FI160" s="869"/>
      <c r="FJ160" s="373"/>
      <c r="FK160" s="373"/>
      <c r="FL160" s="870"/>
      <c r="FM160" s="373"/>
      <c r="FN160" s="373"/>
      <c r="FO160" s="373"/>
      <c r="FP160" s="618"/>
      <c r="FQ160" s="374">
        <v>0</v>
      </c>
      <c r="FR160" s="869">
        <v>1</v>
      </c>
      <c r="FS160" s="373"/>
      <c r="FT160" s="373"/>
      <c r="FU160" s="870"/>
      <c r="FV160" s="373"/>
      <c r="FW160" s="373"/>
      <c r="FX160" s="373"/>
      <c r="FY160" s="618"/>
      <c r="FZ160" s="374">
        <v>0</v>
      </c>
      <c r="GA160" s="869"/>
      <c r="GB160" s="373"/>
      <c r="GC160" s="373"/>
      <c r="GD160" s="870"/>
      <c r="GE160" s="373"/>
      <c r="GF160" s="373"/>
      <c r="GG160" s="373"/>
      <c r="GH160" s="618"/>
      <c r="GI160" s="374">
        <v>0</v>
      </c>
      <c r="GJ160" s="869">
        <v>4</v>
      </c>
      <c r="GK160" s="373">
        <v>2</v>
      </c>
      <c r="GL160" s="373">
        <v>1</v>
      </c>
      <c r="GM160" s="870">
        <v>2</v>
      </c>
      <c r="GN160" s="373"/>
      <c r="GO160" s="373"/>
      <c r="GP160" s="373">
        <v>2</v>
      </c>
      <c r="GQ160" s="618"/>
      <c r="GR160" s="374">
        <v>0</v>
      </c>
      <c r="GS160" s="869"/>
      <c r="GT160" s="373">
        <v>1</v>
      </c>
      <c r="GU160" s="373"/>
      <c r="GV160" s="870">
        <v>1</v>
      </c>
      <c r="GW160" s="373"/>
      <c r="GX160" s="373"/>
      <c r="GY160" s="373">
        <v>2</v>
      </c>
      <c r="GZ160" s="618"/>
      <c r="HA160" s="374">
        <v>0</v>
      </c>
      <c r="HB160" s="869"/>
      <c r="HC160" s="373"/>
      <c r="HD160" s="373"/>
      <c r="HE160" s="870"/>
      <c r="HF160" s="373"/>
      <c r="HG160" s="373"/>
      <c r="HH160" s="373"/>
      <c r="HI160" s="618"/>
      <c r="HJ160" s="374">
        <v>0</v>
      </c>
      <c r="HK160" s="869"/>
      <c r="HL160" s="373"/>
      <c r="HM160" s="373"/>
      <c r="HN160" s="870"/>
      <c r="HO160" s="373"/>
      <c r="HP160" s="373"/>
      <c r="HQ160" s="373"/>
      <c r="HR160" s="618"/>
      <c r="HS160" s="374">
        <v>0</v>
      </c>
      <c r="HT160" s="869">
        <v>1</v>
      </c>
      <c r="HU160" s="373">
        <v>2</v>
      </c>
      <c r="HV160" s="373"/>
      <c r="HW160" s="870">
        <v>1</v>
      </c>
      <c r="HX160" s="373"/>
      <c r="HY160" s="373">
        <v>1</v>
      </c>
      <c r="HZ160" s="373">
        <v>2</v>
      </c>
      <c r="IA160" s="618">
        <v>2</v>
      </c>
      <c r="IB160" s="374">
        <v>0</v>
      </c>
      <c r="IC160" s="869">
        <v>8</v>
      </c>
      <c r="ID160" s="373">
        <v>3</v>
      </c>
      <c r="IE160" s="373">
        <v>4</v>
      </c>
      <c r="IF160" s="870">
        <v>4</v>
      </c>
      <c r="IG160" s="373">
        <v>1</v>
      </c>
      <c r="IH160" s="373">
        <v>1</v>
      </c>
      <c r="II160" s="373">
        <v>3</v>
      </c>
      <c r="IJ160" s="618">
        <v>2</v>
      </c>
      <c r="IK160" s="374">
        <v>2</v>
      </c>
      <c r="IL160" s="377">
        <v>1</v>
      </c>
      <c r="IM160" s="373">
        <v>1</v>
      </c>
      <c r="IN160" s="373"/>
      <c r="IO160" s="871"/>
      <c r="IP160" s="871"/>
      <c r="IQ160" s="373"/>
      <c r="IR160" s="373"/>
      <c r="IS160" s="618"/>
      <c r="IT160" s="374">
        <v>0</v>
      </c>
    </row>
    <row r="161" spans="1:254" s="245" customFormat="1" ht="12.75" customHeight="1" x14ac:dyDescent="0.2">
      <c r="A161" s="1052"/>
      <c r="B161" s="868" t="s">
        <v>1013</v>
      </c>
      <c r="C161" s="869"/>
      <c r="D161" s="373"/>
      <c r="E161" s="373"/>
      <c r="F161" s="870"/>
      <c r="G161" s="373"/>
      <c r="H161" s="373"/>
      <c r="I161" s="373"/>
      <c r="J161" s="618"/>
      <c r="K161" s="374">
        <v>0</v>
      </c>
      <c r="L161" s="869"/>
      <c r="M161" s="373"/>
      <c r="N161" s="373"/>
      <c r="O161" s="870"/>
      <c r="P161" s="373"/>
      <c r="Q161" s="373"/>
      <c r="R161" s="373"/>
      <c r="S161" s="618"/>
      <c r="T161" s="374">
        <v>0</v>
      </c>
      <c r="U161" s="869"/>
      <c r="V161" s="373"/>
      <c r="W161" s="373"/>
      <c r="X161" s="870"/>
      <c r="Y161" s="373"/>
      <c r="Z161" s="373"/>
      <c r="AA161" s="373"/>
      <c r="AB161" s="618"/>
      <c r="AC161" s="374">
        <v>0</v>
      </c>
      <c r="AD161" s="869"/>
      <c r="AE161" s="373"/>
      <c r="AF161" s="373">
        <v>1</v>
      </c>
      <c r="AG161" s="870"/>
      <c r="AH161" s="373"/>
      <c r="AI161" s="373">
        <v>1</v>
      </c>
      <c r="AJ161" s="373"/>
      <c r="AK161" s="618"/>
      <c r="AL161" s="374">
        <v>0</v>
      </c>
      <c r="AM161" s="869"/>
      <c r="AN161" s="373"/>
      <c r="AO161" s="373"/>
      <c r="AP161" s="870"/>
      <c r="AQ161" s="373"/>
      <c r="AR161" s="373"/>
      <c r="AS161" s="373"/>
      <c r="AT161" s="618"/>
      <c r="AU161" s="374">
        <v>0</v>
      </c>
      <c r="AV161" s="869"/>
      <c r="AW161" s="373"/>
      <c r="AX161" s="373"/>
      <c r="AY161" s="870"/>
      <c r="AZ161" s="373"/>
      <c r="BA161" s="373"/>
      <c r="BB161" s="373"/>
      <c r="BC161" s="618"/>
      <c r="BD161" s="374">
        <v>0</v>
      </c>
      <c r="BE161" s="869"/>
      <c r="BF161" s="373"/>
      <c r="BG161" s="373"/>
      <c r="BH161" s="870"/>
      <c r="BI161" s="373"/>
      <c r="BJ161" s="373"/>
      <c r="BK161" s="373"/>
      <c r="BL161" s="618"/>
      <c r="BM161" s="374">
        <v>0</v>
      </c>
      <c r="BN161" s="869"/>
      <c r="BO161" s="373"/>
      <c r="BP161" s="373"/>
      <c r="BQ161" s="870"/>
      <c r="BR161" s="373"/>
      <c r="BS161" s="373"/>
      <c r="BT161" s="373"/>
      <c r="BU161" s="618"/>
      <c r="BV161" s="374">
        <v>0</v>
      </c>
      <c r="BW161" s="869"/>
      <c r="BX161" s="373">
        <v>1</v>
      </c>
      <c r="BY161" s="373"/>
      <c r="BZ161" s="870">
        <v>1</v>
      </c>
      <c r="CA161" s="373"/>
      <c r="CB161" s="373">
        <v>2</v>
      </c>
      <c r="CC161" s="373"/>
      <c r="CD161" s="618"/>
      <c r="CE161" s="374">
        <v>0</v>
      </c>
      <c r="CF161" s="869"/>
      <c r="CG161" s="373"/>
      <c r="CH161" s="373"/>
      <c r="CI161" s="870"/>
      <c r="CJ161" s="373"/>
      <c r="CK161" s="373"/>
      <c r="CL161" s="373"/>
      <c r="CM161" s="618"/>
      <c r="CN161" s="374">
        <v>0</v>
      </c>
      <c r="CO161" s="869"/>
      <c r="CP161" s="373"/>
      <c r="CQ161" s="373"/>
      <c r="CR161" s="870"/>
      <c r="CS161" s="373"/>
      <c r="CT161" s="373"/>
      <c r="CU161" s="373"/>
      <c r="CV161" s="618"/>
      <c r="CW161" s="374">
        <v>0</v>
      </c>
      <c r="CX161" s="869"/>
      <c r="CY161" s="373">
        <v>2</v>
      </c>
      <c r="CZ161" s="373">
        <v>3</v>
      </c>
      <c r="DA161" s="870">
        <v>4</v>
      </c>
      <c r="DB161" s="373">
        <v>1</v>
      </c>
      <c r="DC161" s="373">
        <v>2</v>
      </c>
      <c r="DD161" s="373">
        <v>1</v>
      </c>
      <c r="DE161" s="618">
        <v>2</v>
      </c>
      <c r="DF161" s="374">
        <v>0</v>
      </c>
      <c r="DG161" s="869"/>
      <c r="DH161" s="373"/>
      <c r="DI161" s="373"/>
      <c r="DJ161" s="870"/>
      <c r="DK161" s="373"/>
      <c r="DL161" s="373"/>
      <c r="DM161" s="373"/>
      <c r="DN161" s="618"/>
      <c r="DO161" s="374">
        <v>0</v>
      </c>
      <c r="DP161" s="869"/>
      <c r="DQ161" s="373"/>
      <c r="DR161" s="373"/>
      <c r="DS161" s="870"/>
      <c r="DT161" s="373"/>
      <c r="DU161" s="373"/>
      <c r="DV161" s="373"/>
      <c r="DW161" s="618"/>
      <c r="DX161" s="374">
        <v>0</v>
      </c>
      <c r="DY161" s="869"/>
      <c r="DZ161" s="373"/>
      <c r="EA161" s="373"/>
      <c r="EB161" s="870"/>
      <c r="EC161" s="373"/>
      <c r="ED161" s="373"/>
      <c r="EE161" s="373"/>
      <c r="EF161" s="618"/>
      <c r="EG161" s="374">
        <v>0</v>
      </c>
      <c r="EH161" s="869"/>
      <c r="EI161" s="373"/>
      <c r="EJ161" s="373"/>
      <c r="EK161" s="870"/>
      <c r="EL161" s="373"/>
      <c r="EM161" s="373"/>
      <c r="EN161" s="373"/>
      <c r="EO161" s="618"/>
      <c r="EP161" s="374">
        <v>0</v>
      </c>
      <c r="EQ161" s="869"/>
      <c r="ER161" s="373"/>
      <c r="ES161" s="373"/>
      <c r="ET161" s="870"/>
      <c r="EU161" s="373"/>
      <c r="EV161" s="373"/>
      <c r="EW161" s="373"/>
      <c r="EX161" s="618"/>
      <c r="EY161" s="374">
        <v>0</v>
      </c>
      <c r="EZ161" s="869"/>
      <c r="FA161" s="373"/>
      <c r="FB161" s="373"/>
      <c r="FC161" s="870"/>
      <c r="FD161" s="373"/>
      <c r="FE161" s="373"/>
      <c r="FF161" s="373"/>
      <c r="FG161" s="618"/>
      <c r="FH161" s="374">
        <v>0</v>
      </c>
      <c r="FI161" s="869"/>
      <c r="FJ161" s="373"/>
      <c r="FK161" s="373"/>
      <c r="FL161" s="870"/>
      <c r="FM161" s="373"/>
      <c r="FN161" s="373"/>
      <c r="FO161" s="373"/>
      <c r="FP161" s="618"/>
      <c r="FQ161" s="374">
        <v>0</v>
      </c>
      <c r="FR161" s="869"/>
      <c r="FS161" s="373"/>
      <c r="FT161" s="373"/>
      <c r="FU161" s="870"/>
      <c r="FV161" s="373"/>
      <c r="FW161" s="373"/>
      <c r="FX161" s="373"/>
      <c r="FY161" s="618"/>
      <c r="FZ161" s="374">
        <v>0</v>
      </c>
      <c r="GA161" s="869"/>
      <c r="GB161" s="373"/>
      <c r="GC161" s="373"/>
      <c r="GD161" s="870"/>
      <c r="GE161" s="373"/>
      <c r="GF161" s="373"/>
      <c r="GG161" s="373"/>
      <c r="GH161" s="618"/>
      <c r="GI161" s="374">
        <v>0</v>
      </c>
      <c r="GJ161" s="869"/>
      <c r="GK161" s="373">
        <v>3</v>
      </c>
      <c r="GL161" s="373">
        <v>4</v>
      </c>
      <c r="GM161" s="870">
        <v>5</v>
      </c>
      <c r="GN161" s="373">
        <v>1</v>
      </c>
      <c r="GO161" s="373">
        <v>5</v>
      </c>
      <c r="GP161" s="373">
        <v>1</v>
      </c>
      <c r="GQ161" s="618">
        <v>2</v>
      </c>
      <c r="GR161" s="374">
        <v>0</v>
      </c>
      <c r="GS161" s="869"/>
      <c r="GT161" s="373"/>
      <c r="GU161" s="373">
        <v>1</v>
      </c>
      <c r="GV161" s="870">
        <v>2</v>
      </c>
      <c r="GW161" s="373"/>
      <c r="GX161" s="373">
        <v>2</v>
      </c>
      <c r="GY161" s="373"/>
      <c r="GZ161" s="618">
        <v>1</v>
      </c>
      <c r="HA161" s="374">
        <v>0</v>
      </c>
      <c r="HB161" s="869"/>
      <c r="HC161" s="373"/>
      <c r="HD161" s="373"/>
      <c r="HE161" s="870"/>
      <c r="HF161" s="373"/>
      <c r="HG161" s="373"/>
      <c r="HH161" s="373"/>
      <c r="HI161" s="618"/>
      <c r="HJ161" s="374">
        <v>0</v>
      </c>
      <c r="HK161" s="869"/>
      <c r="HL161" s="373"/>
      <c r="HM161" s="373"/>
      <c r="HN161" s="870"/>
      <c r="HO161" s="373"/>
      <c r="HP161" s="373"/>
      <c r="HQ161" s="373"/>
      <c r="HR161" s="618"/>
      <c r="HS161" s="374">
        <v>0</v>
      </c>
      <c r="HT161" s="869"/>
      <c r="HU161" s="373"/>
      <c r="HV161" s="373">
        <v>1</v>
      </c>
      <c r="HW161" s="870">
        <v>2</v>
      </c>
      <c r="HX161" s="373"/>
      <c r="HY161" s="373">
        <v>3</v>
      </c>
      <c r="HZ161" s="373"/>
      <c r="IA161" s="618">
        <v>2</v>
      </c>
      <c r="IB161" s="374">
        <v>0</v>
      </c>
      <c r="IC161" s="869">
        <v>1</v>
      </c>
      <c r="ID161" s="373">
        <v>5</v>
      </c>
      <c r="IE161" s="373">
        <v>8</v>
      </c>
      <c r="IF161" s="870">
        <v>5</v>
      </c>
      <c r="IG161" s="373">
        <v>4</v>
      </c>
      <c r="IH161" s="373">
        <v>10</v>
      </c>
      <c r="II161" s="373">
        <v>1</v>
      </c>
      <c r="IJ161" s="618">
        <v>5</v>
      </c>
      <c r="IK161" s="374">
        <v>3</v>
      </c>
      <c r="IL161" s="377"/>
      <c r="IM161" s="373">
        <v>1</v>
      </c>
      <c r="IN161" s="373">
        <v>1</v>
      </c>
      <c r="IO161" s="871"/>
      <c r="IP161" s="871"/>
      <c r="IQ161" s="373">
        <v>1</v>
      </c>
      <c r="IR161" s="373"/>
      <c r="IS161" s="618"/>
      <c r="IT161" s="374">
        <v>0</v>
      </c>
    </row>
    <row r="162" spans="1:254" s="245" customFormat="1" ht="12.75" customHeight="1" x14ac:dyDescent="0.2">
      <c r="A162" s="1052"/>
      <c r="B162" s="868" t="s">
        <v>1014</v>
      </c>
      <c r="C162" s="869"/>
      <c r="D162" s="373"/>
      <c r="E162" s="373"/>
      <c r="F162" s="870"/>
      <c r="G162" s="373"/>
      <c r="H162" s="373"/>
      <c r="I162" s="373"/>
      <c r="J162" s="618"/>
      <c r="K162" s="374">
        <v>0</v>
      </c>
      <c r="L162" s="869"/>
      <c r="M162" s="373"/>
      <c r="N162" s="373"/>
      <c r="O162" s="870"/>
      <c r="P162" s="373"/>
      <c r="Q162" s="373"/>
      <c r="R162" s="373"/>
      <c r="S162" s="618"/>
      <c r="T162" s="374">
        <v>0</v>
      </c>
      <c r="U162" s="869"/>
      <c r="V162" s="373"/>
      <c r="W162" s="373"/>
      <c r="X162" s="870"/>
      <c r="Y162" s="373"/>
      <c r="Z162" s="373"/>
      <c r="AA162" s="373"/>
      <c r="AB162" s="618"/>
      <c r="AC162" s="374">
        <v>0</v>
      </c>
      <c r="AD162" s="869">
        <v>2</v>
      </c>
      <c r="AE162" s="373">
        <v>1</v>
      </c>
      <c r="AF162" s="373"/>
      <c r="AG162" s="870">
        <v>3</v>
      </c>
      <c r="AH162" s="373"/>
      <c r="AI162" s="373"/>
      <c r="AJ162" s="373"/>
      <c r="AK162" s="618">
        <v>1</v>
      </c>
      <c r="AL162" s="374">
        <v>0</v>
      </c>
      <c r="AM162" s="869">
        <v>1</v>
      </c>
      <c r="AN162" s="373">
        <v>1</v>
      </c>
      <c r="AO162" s="373"/>
      <c r="AP162" s="870">
        <v>2</v>
      </c>
      <c r="AQ162" s="373"/>
      <c r="AR162" s="373"/>
      <c r="AS162" s="373"/>
      <c r="AT162" s="618">
        <v>1</v>
      </c>
      <c r="AU162" s="374">
        <v>0</v>
      </c>
      <c r="AV162" s="869"/>
      <c r="AW162" s="373"/>
      <c r="AX162" s="373"/>
      <c r="AY162" s="870"/>
      <c r="AZ162" s="373"/>
      <c r="BA162" s="373"/>
      <c r="BB162" s="373"/>
      <c r="BC162" s="618"/>
      <c r="BD162" s="374">
        <v>0</v>
      </c>
      <c r="BE162" s="869">
        <v>1</v>
      </c>
      <c r="BF162" s="373"/>
      <c r="BG162" s="373"/>
      <c r="BH162" s="870"/>
      <c r="BI162" s="373"/>
      <c r="BJ162" s="373"/>
      <c r="BK162" s="373"/>
      <c r="BL162" s="618"/>
      <c r="BM162" s="374">
        <v>0</v>
      </c>
      <c r="BN162" s="869"/>
      <c r="BO162" s="373">
        <v>1</v>
      </c>
      <c r="BP162" s="373"/>
      <c r="BQ162" s="870"/>
      <c r="BR162" s="373"/>
      <c r="BS162" s="373"/>
      <c r="BT162" s="373"/>
      <c r="BU162" s="618"/>
      <c r="BV162" s="374">
        <v>0</v>
      </c>
      <c r="BW162" s="869">
        <v>6</v>
      </c>
      <c r="BX162" s="373">
        <v>4</v>
      </c>
      <c r="BY162" s="373">
        <v>3</v>
      </c>
      <c r="BZ162" s="870">
        <v>4</v>
      </c>
      <c r="CA162" s="373">
        <v>4</v>
      </c>
      <c r="CB162" s="373"/>
      <c r="CC162" s="373">
        <v>4</v>
      </c>
      <c r="CD162" s="618">
        <v>1</v>
      </c>
      <c r="CE162" s="374">
        <v>1</v>
      </c>
      <c r="CF162" s="869"/>
      <c r="CG162" s="373"/>
      <c r="CH162" s="373"/>
      <c r="CI162" s="870"/>
      <c r="CJ162" s="373"/>
      <c r="CK162" s="373"/>
      <c r="CL162" s="373"/>
      <c r="CM162" s="618"/>
      <c r="CN162" s="374">
        <v>0</v>
      </c>
      <c r="CO162" s="869"/>
      <c r="CP162" s="373"/>
      <c r="CQ162" s="373"/>
      <c r="CR162" s="870"/>
      <c r="CS162" s="373"/>
      <c r="CT162" s="373"/>
      <c r="CU162" s="373"/>
      <c r="CV162" s="618">
        <v>2</v>
      </c>
      <c r="CW162" s="374">
        <v>0</v>
      </c>
      <c r="CX162" s="869">
        <v>18</v>
      </c>
      <c r="CY162" s="373">
        <v>14</v>
      </c>
      <c r="CZ162" s="373">
        <v>17</v>
      </c>
      <c r="DA162" s="870">
        <v>7</v>
      </c>
      <c r="DB162" s="373">
        <v>13</v>
      </c>
      <c r="DC162" s="373">
        <v>17</v>
      </c>
      <c r="DD162" s="373">
        <v>2</v>
      </c>
      <c r="DE162" s="618">
        <v>4</v>
      </c>
      <c r="DF162" s="374">
        <v>1</v>
      </c>
      <c r="DG162" s="869"/>
      <c r="DH162" s="373"/>
      <c r="DI162" s="373"/>
      <c r="DJ162" s="870"/>
      <c r="DK162" s="373"/>
      <c r="DL162" s="373"/>
      <c r="DM162" s="373"/>
      <c r="DN162" s="618"/>
      <c r="DO162" s="374">
        <v>0</v>
      </c>
      <c r="DP162" s="869">
        <v>1</v>
      </c>
      <c r="DQ162" s="373">
        <v>1</v>
      </c>
      <c r="DR162" s="373">
        <v>2</v>
      </c>
      <c r="DS162" s="870"/>
      <c r="DT162" s="373"/>
      <c r="DU162" s="373">
        <v>1</v>
      </c>
      <c r="DV162" s="373"/>
      <c r="DW162" s="618"/>
      <c r="DX162" s="374">
        <v>0</v>
      </c>
      <c r="DY162" s="869"/>
      <c r="DZ162" s="373">
        <v>1</v>
      </c>
      <c r="EA162" s="373">
        <v>2</v>
      </c>
      <c r="EB162" s="870"/>
      <c r="EC162" s="373">
        <v>2</v>
      </c>
      <c r="ED162" s="373"/>
      <c r="EE162" s="373"/>
      <c r="EF162" s="618"/>
      <c r="EG162" s="374">
        <v>0</v>
      </c>
      <c r="EH162" s="869"/>
      <c r="EI162" s="373"/>
      <c r="EJ162" s="373"/>
      <c r="EK162" s="870"/>
      <c r="EL162" s="373"/>
      <c r="EM162" s="373"/>
      <c r="EN162" s="373"/>
      <c r="EO162" s="618"/>
      <c r="EP162" s="374">
        <v>0</v>
      </c>
      <c r="EQ162" s="869"/>
      <c r="ER162" s="373"/>
      <c r="ES162" s="373"/>
      <c r="ET162" s="870"/>
      <c r="EU162" s="373"/>
      <c r="EV162" s="373"/>
      <c r="EW162" s="373"/>
      <c r="EX162" s="618"/>
      <c r="EY162" s="374">
        <v>0</v>
      </c>
      <c r="EZ162" s="869"/>
      <c r="FA162" s="373"/>
      <c r="FB162" s="373"/>
      <c r="FC162" s="870"/>
      <c r="FD162" s="373"/>
      <c r="FE162" s="373"/>
      <c r="FF162" s="373"/>
      <c r="FG162" s="618"/>
      <c r="FH162" s="374">
        <v>0</v>
      </c>
      <c r="FI162" s="869">
        <v>3</v>
      </c>
      <c r="FJ162" s="373">
        <v>3</v>
      </c>
      <c r="FK162" s="373"/>
      <c r="FL162" s="870"/>
      <c r="FM162" s="373">
        <v>1</v>
      </c>
      <c r="FN162" s="373"/>
      <c r="FO162" s="373">
        <v>1</v>
      </c>
      <c r="FP162" s="618"/>
      <c r="FQ162" s="374">
        <v>1</v>
      </c>
      <c r="FR162" s="869"/>
      <c r="FS162" s="373"/>
      <c r="FT162" s="373"/>
      <c r="FU162" s="870"/>
      <c r="FV162" s="373"/>
      <c r="FW162" s="373"/>
      <c r="FX162" s="373"/>
      <c r="FY162" s="618">
        <v>1</v>
      </c>
      <c r="FZ162" s="374">
        <v>0</v>
      </c>
      <c r="GA162" s="869"/>
      <c r="GB162" s="373"/>
      <c r="GC162" s="373"/>
      <c r="GD162" s="870">
        <v>1</v>
      </c>
      <c r="GE162" s="373"/>
      <c r="GF162" s="373">
        <v>1</v>
      </c>
      <c r="GG162" s="373"/>
      <c r="GH162" s="618"/>
      <c r="GI162" s="374">
        <v>0</v>
      </c>
      <c r="GJ162" s="869">
        <v>30</v>
      </c>
      <c r="GK162" s="373">
        <v>23</v>
      </c>
      <c r="GL162" s="373">
        <v>20</v>
      </c>
      <c r="GM162" s="870">
        <v>15</v>
      </c>
      <c r="GN162" s="373">
        <v>18</v>
      </c>
      <c r="GO162" s="373">
        <v>18</v>
      </c>
      <c r="GP162" s="373">
        <v>7</v>
      </c>
      <c r="GQ162" s="618">
        <v>9</v>
      </c>
      <c r="GR162" s="374">
        <v>3</v>
      </c>
      <c r="GS162" s="869">
        <v>8</v>
      </c>
      <c r="GT162" s="373">
        <v>8</v>
      </c>
      <c r="GU162" s="373">
        <v>4</v>
      </c>
      <c r="GV162" s="870">
        <v>7</v>
      </c>
      <c r="GW162" s="373">
        <v>2</v>
      </c>
      <c r="GX162" s="373">
        <v>3</v>
      </c>
      <c r="GY162" s="373">
        <v>1</v>
      </c>
      <c r="GZ162" s="618"/>
      <c r="HA162" s="374">
        <v>1</v>
      </c>
      <c r="HB162" s="869"/>
      <c r="HC162" s="373">
        <v>1</v>
      </c>
      <c r="HD162" s="373"/>
      <c r="HE162" s="870"/>
      <c r="HF162" s="373"/>
      <c r="HG162" s="373"/>
      <c r="HH162" s="373"/>
      <c r="HI162" s="618"/>
      <c r="HJ162" s="374">
        <v>0</v>
      </c>
      <c r="HK162" s="869"/>
      <c r="HL162" s="373"/>
      <c r="HM162" s="373"/>
      <c r="HN162" s="870"/>
      <c r="HO162" s="373"/>
      <c r="HP162" s="373">
        <v>1</v>
      </c>
      <c r="HQ162" s="373"/>
      <c r="HR162" s="618"/>
      <c r="HS162" s="374">
        <v>0</v>
      </c>
      <c r="HT162" s="869">
        <v>17</v>
      </c>
      <c r="HU162" s="373">
        <v>19</v>
      </c>
      <c r="HV162" s="373">
        <v>20</v>
      </c>
      <c r="HW162" s="870">
        <v>12</v>
      </c>
      <c r="HX162" s="373">
        <v>5</v>
      </c>
      <c r="HY162" s="373">
        <v>14</v>
      </c>
      <c r="HZ162" s="373">
        <v>6</v>
      </c>
      <c r="IA162" s="618">
        <v>9</v>
      </c>
      <c r="IB162" s="374">
        <v>5</v>
      </c>
      <c r="IC162" s="869">
        <v>66</v>
      </c>
      <c r="ID162" s="373">
        <v>66</v>
      </c>
      <c r="IE162" s="373">
        <v>55</v>
      </c>
      <c r="IF162" s="870">
        <v>50</v>
      </c>
      <c r="IG162" s="373">
        <v>37</v>
      </c>
      <c r="IH162" s="373">
        <v>51</v>
      </c>
      <c r="II162" s="373">
        <v>27</v>
      </c>
      <c r="IJ162" s="618">
        <v>23</v>
      </c>
      <c r="IK162" s="374">
        <v>17</v>
      </c>
      <c r="IL162" s="377">
        <v>3</v>
      </c>
      <c r="IM162" s="373">
        <v>3</v>
      </c>
      <c r="IN162" s="373">
        <v>6</v>
      </c>
      <c r="IO162" s="871">
        <v>2</v>
      </c>
      <c r="IP162" s="871">
        <v>1</v>
      </c>
      <c r="IQ162" s="373">
        <v>1</v>
      </c>
      <c r="IR162" s="373"/>
      <c r="IS162" s="618">
        <v>1</v>
      </c>
      <c r="IT162" s="374">
        <v>0</v>
      </c>
    </row>
    <row r="163" spans="1:254" s="245" customFormat="1" ht="12.75" customHeight="1" x14ac:dyDescent="0.2">
      <c r="A163" s="1052"/>
      <c r="B163" s="868" t="s">
        <v>1015</v>
      </c>
      <c r="C163" s="869"/>
      <c r="D163" s="373"/>
      <c r="E163" s="373"/>
      <c r="F163" s="870"/>
      <c r="G163" s="373"/>
      <c r="H163" s="373"/>
      <c r="I163" s="373"/>
      <c r="J163" s="618"/>
      <c r="K163" s="374">
        <v>0</v>
      </c>
      <c r="L163" s="869"/>
      <c r="M163" s="373"/>
      <c r="N163" s="373"/>
      <c r="O163" s="870"/>
      <c r="P163" s="373"/>
      <c r="Q163" s="373"/>
      <c r="R163" s="373"/>
      <c r="S163" s="618"/>
      <c r="T163" s="374">
        <v>0</v>
      </c>
      <c r="U163" s="869"/>
      <c r="V163" s="373"/>
      <c r="W163" s="373"/>
      <c r="X163" s="870"/>
      <c r="Y163" s="373"/>
      <c r="Z163" s="373"/>
      <c r="AA163" s="373"/>
      <c r="AB163" s="618"/>
      <c r="AC163" s="374">
        <v>0</v>
      </c>
      <c r="AD163" s="869"/>
      <c r="AE163" s="373"/>
      <c r="AF163" s="373"/>
      <c r="AG163" s="870"/>
      <c r="AH163" s="373"/>
      <c r="AI163" s="373"/>
      <c r="AJ163" s="373"/>
      <c r="AK163" s="618"/>
      <c r="AL163" s="374">
        <v>0</v>
      </c>
      <c r="AM163" s="869"/>
      <c r="AN163" s="373"/>
      <c r="AO163" s="373"/>
      <c r="AP163" s="870"/>
      <c r="AQ163" s="373"/>
      <c r="AR163" s="373"/>
      <c r="AS163" s="373"/>
      <c r="AT163" s="618"/>
      <c r="AU163" s="374">
        <v>0</v>
      </c>
      <c r="AV163" s="869"/>
      <c r="AW163" s="373"/>
      <c r="AX163" s="373"/>
      <c r="AY163" s="870"/>
      <c r="AZ163" s="373"/>
      <c r="BA163" s="373"/>
      <c r="BB163" s="373"/>
      <c r="BC163" s="618"/>
      <c r="BD163" s="374">
        <v>0</v>
      </c>
      <c r="BE163" s="869"/>
      <c r="BF163" s="373"/>
      <c r="BG163" s="373"/>
      <c r="BH163" s="870"/>
      <c r="BI163" s="373"/>
      <c r="BJ163" s="373"/>
      <c r="BK163" s="373"/>
      <c r="BL163" s="618"/>
      <c r="BM163" s="374">
        <v>0</v>
      </c>
      <c r="BN163" s="869"/>
      <c r="BO163" s="373"/>
      <c r="BP163" s="373"/>
      <c r="BQ163" s="870"/>
      <c r="BR163" s="373"/>
      <c r="BS163" s="373"/>
      <c r="BT163" s="373"/>
      <c r="BU163" s="618"/>
      <c r="BV163" s="374">
        <v>0</v>
      </c>
      <c r="BW163" s="869"/>
      <c r="BX163" s="373"/>
      <c r="BY163" s="373">
        <v>1</v>
      </c>
      <c r="BZ163" s="870"/>
      <c r="CA163" s="373"/>
      <c r="CB163" s="373"/>
      <c r="CC163" s="373"/>
      <c r="CD163" s="618"/>
      <c r="CE163" s="374">
        <v>0</v>
      </c>
      <c r="CF163" s="869"/>
      <c r="CG163" s="373"/>
      <c r="CH163" s="373"/>
      <c r="CI163" s="870"/>
      <c r="CJ163" s="373"/>
      <c r="CK163" s="373"/>
      <c r="CL163" s="373"/>
      <c r="CM163" s="618"/>
      <c r="CN163" s="374">
        <v>0</v>
      </c>
      <c r="CO163" s="869"/>
      <c r="CP163" s="373"/>
      <c r="CQ163" s="373"/>
      <c r="CR163" s="870"/>
      <c r="CS163" s="373"/>
      <c r="CT163" s="373"/>
      <c r="CU163" s="373"/>
      <c r="CV163" s="618"/>
      <c r="CW163" s="374">
        <v>0</v>
      </c>
      <c r="CX163" s="869">
        <v>1</v>
      </c>
      <c r="CY163" s="373">
        <v>1</v>
      </c>
      <c r="CZ163" s="373">
        <v>3</v>
      </c>
      <c r="DA163" s="870">
        <v>2</v>
      </c>
      <c r="DB163" s="373">
        <v>2</v>
      </c>
      <c r="DC163" s="373"/>
      <c r="DD163" s="373">
        <v>1</v>
      </c>
      <c r="DE163" s="618"/>
      <c r="DF163" s="374">
        <v>0</v>
      </c>
      <c r="DG163" s="869"/>
      <c r="DH163" s="373"/>
      <c r="DI163" s="373"/>
      <c r="DJ163" s="870"/>
      <c r="DK163" s="373"/>
      <c r="DL163" s="373"/>
      <c r="DM163" s="373"/>
      <c r="DN163" s="618"/>
      <c r="DO163" s="374">
        <v>0</v>
      </c>
      <c r="DP163" s="869"/>
      <c r="DQ163" s="373"/>
      <c r="DR163" s="373"/>
      <c r="DS163" s="870"/>
      <c r="DT163" s="373"/>
      <c r="DU163" s="373"/>
      <c r="DV163" s="373"/>
      <c r="DW163" s="618"/>
      <c r="DX163" s="374">
        <v>0</v>
      </c>
      <c r="DY163" s="869">
        <v>1</v>
      </c>
      <c r="DZ163" s="373">
        <v>1</v>
      </c>
      <c r="EA163" s="373"/>
      <c r="EB163" s="870">
        <v>1</v>
      </c>
      <c r="EC163" s="373"/>
      <c r="ED163" s="373"/>
      <c r="EE163" s="373"/>
      <c r="EF163" s="618"/>
      <c r="EG163" s="374">
        <v>0</v>
      </c>
      <c r="EH163" s="869"/>
      <c r="EI163" s="373"/>
      <c r="EJ163" s="373"/>
      <c r="EK163" s="870"/>
      <c r="EL163" s="373"/>
      <c r="EM163" s="373"/>
      <c r="EN163" s="373"/>
      <c r="EO163" s="618"/>
      <c r="EP163" s="374">
        <v>0</v>
      </c>
      <c r="EQ163" s="869"/>
      <c r="ER163" s="373"/>
      <c r="ES163" s="373"/>
      <c r="ET163" s="870"/>
      <c r="EU163" s="373"/>
      <c r="EV163" s="373"/>
      <c r="EW163" s="373">
        <v>1</v>
      </c>
      <c r="EX163" s="618"/>
      <c r="EY163" s="374">
        <v>0</v>
      </c>
      <c r="EZ163" s="869"/>
      <c r="FA163" s="373"/>
      <c r="FB163" s="373"/>
      <c r="FC163" s="870"/>
      <c r="FD163" s="373"/>
      <c r="FE163" s="373"/>
      <c r="FF163" s="373"/>
      <c r="FG163" s="618"/>
      <c r="FH163" s="374">
        <v>0</v>
      </c>
      <c r="FI163" s="869"/>
      <c r="FJ163" s="373"/>
      <c r="FK163" s="373"/>
      <c r="FL163" s="870"/>
      <c r="FM163" s="373"/>
      <c r="FN163" s="373"/>
      <c r="FO163" s="373"/>
      <c r="FP163" s="618"/>
      <c r="FQ163" s="374">
        <v>0</v>
      </c>
      <c r="FR163" s="869"/>
      <c r="FS163" s="373"/>
      <c r="FT163" s="373"/>
      <c r="FU163" s="870"/>
      <c r="FV163" s="373"/>
      <c r="FW163" s="373"/>
      <c r="FX163" s="373"/>
      <c r="FY163" s="618"/>
      <c r="FZ163" s="374">
        <v>0</v>
      </c>
      <c r="GA163" s="869"/>
      <c r="GB163" s="373"/>
      <c r="GC163" s="373"/>
      <c r="GD163" s="870"/>
      <c r="GE163" s="373"/>
      <c r="GF163" s="373"/>
      <c r="GG163" s="373"/>
      <c r="GH163" s="618"/>
      <c r="GI163" s="374">
        <v>0</v>
      </c>
      <c r="GJ163" s="869">
        <v>1</v>
      </c>
      <c r="GK163" s="373">
        <v>1</v>
      </c>
      <c r="GL163" s="373">
        <v>4</v>
      </c>
      <c r="GM163" s="870">
        <v>2</v>
      </c>
      <c r="GN163" s="373">
        <v>2</v>
      </c>
      <c r="GO163" s="373"/>
      <c r="GP163" s="373">
        <v>2</v>
      </c>
      <c r="GQ163" s="618"/>
      <c r="GR163" s="374">
        <v>0</v>
      </c>
      <c r="GS163" s="869"/>
      <c r="GT163" s="373"/>
      <c r="GU163" s="373">
        <v>2</v>
      </c>
      <c r="GV163" s="870"/>
      <c r="GW163" s="373"/>
      <c r="GX163" s="373"/>
      <c r="GY163" s="373"/>
      <c r="GZ163" s="618"/>
      <c r="HA163" s="374">
        <v>0</v>
      </c>
      <c r="HB163" s="869"/>
      <c r="HC163" s="373"/>
      <c r="HD163" s="373"/>
      <c r="HE163" s="870"/>
      <c r="HF163" s="373"/>
      <c r="HG163" s="373"/>
      <c r="HH163" s="373"/>
      <c r="HI163" s="618"/>
      <c r="HJ163" s="374">
        <v>0</v>
      </c>
      <c r="HK163" s="869"/>
      <c r="HL163" s="373"/>
      <c r="HM163" s="373"/>
      <c r="HN163" s="870"/>
      <c r="HO163" s="373"/>
      <c r="HP163" s="373"/>
      <c r="HQ163" s="373"/>
      <c r="HR163" s="618"/>
      <c r="HS163" s="374">
        <v>0</v>
      </c>
      <c r="HT163" s="869">
        <v>1</v>
      </c>
      <c r="HU163" s="373"/>
      <c r="HV163" s="373">
        <v>2</v>
      </c>
      <c r="HW163" s="870"/>
      <c r="HX163" s="373"/>
      <c r="HY163" s="373"/>
      <c r="HZ163" s="373"/>
      <c r="IA163" s="618"/>
      <c r="IB163" s="374">
        <v>0</v>
      </c>
      <c r="IC163" s="869">
        <v>2</v>
      </c>
      <c r="ID163" s="373">
        <v>1</v>
      </c>
      <c r="IE163" s="373">
        <v>4</v>
      </c>
      <c r="IF163" s="870">
        <v>2</v>
      </c>
      <c r="IG163" s="373">
        <v>2</v>
      </c>
      <c r="IH163" s="373"/>
      <c r="II163" s="373">
        <v>3</v>
      </c>
      <c r="IJ163" s="618"/>
      <c r="IK163" s="374">
        <v>1</v>
      </c>
      <c r="IL163" s="377">
        <v>1</v>
      </c>
      <c r="IM163" s="373">
        <v>1</v>
      </c>
      <c r="IN163" s="373">
        <v>1</v>
      </c>
      <c r="IO163" s="871">
        <v>2</v>
      </c>
      <c r="IP163" s="871">
        <v>1</v>
      </c>
      <c r="IQ163" s="373"/>
      <c r="IR163" s="373"/>
      <c r="IS163" s="618"/>
      <c r="IT163" s="374">
        <v>0</v>
      </c>
    </row>
    <row r="164" spans="1:254" s="245" customFormat="1" ht="12.75" customHeight="1" x14ac:dyDescent="0.2">
      <c r="A164" s="1052"/>
      <c r="B164" s="868" t="s">
        <v>1016</v>
      </c>
      <c r="C164" s="869"/>
      <c r="D164" s="373"/>
      <c r="E164" s="373"/>
      <c r="F164" s="870"/>
      <c r="G164" s="373"/>
      <c r="H164" s="373"/>
      <c r="I164" s="373"/>
      <c r="J164" s="618"/>
      <c r="K164" s="374">
        <v>0</v>
      </c>
      <c r="L164" s="869"/>
      <c r="M164" s="373"/>
      <c r="N164" s="373"/>
      <c r="O164" s="870"/>
      <c r="P164" s="373"/>
      <c r="Q164" s="373"/>
      <c r="R164" s="373"/>
      <c r="S164" s="618"/>
      <c r="T164" s="374">
        <v>0</v>
      </c>
      <c r="U164" s="869"/>
      <c r="V164" s="373"/>
      <c r="W164" s="373"/>
      <c r="X164" s="870"/>
      <c r="Y164" s="373"/>
      <c r="Z164" s="373"/>
      <c r="AA164" s="373"/>
      <c r="AB164" s="618"/>
      <c r="AC164" s="374">
        <v>0</v>
      </c>
      <c r="AD164" s="869"/>
      <c r="AE164" s="373">
        <v>3</v>
      </c>
      <c r="AF164" s="373"/>
      <c r="AG164" s="870"/>
      <c r="AH164" s="373">
        <v>2</v>
      </c>
      <c r="AI164" s="373"/>
      <c r="AJ164" s="373">
        <v>1</v>
      </c>
      <c r="AK164" s="618"/>
      <c r="AL164" s="374">
        <v>0</v>
      </c>
      <c r="AM164" s="869"/>
      <c r="AN164" s="373">
        <v>1</v>
      </c>
      <c r="AO164" s="373"/>
      <c r="AP164" s="870"/>
      <c r="AQ164" s="373"/>
      <c r="AR164" s="373"/>
      <c r="AS164" s="373"/>
      <c r="AT164" s="618"/>
      <c r="AU164" s="374">
        <v>0</v>
      </c>
      <c r="AV164" s="869"/>
      <c r="AW164" s="373"/>
      <c r="AX164" s="373"/>
      <c r="AY164" s="870"/>
      <c r="AZ164" s="373"/>
      <c r="BA164" s="373"/>
      <c r="BB164" s="373"/>
      <c r="BC164" s="618"/>
      <c r="BD164" s="374">
        <v>0</v>
      </c>
      <c r="BE164" s="869"/>
      <c r="BF164" s="373"/>
      <c r="BG164" s="373"/>
      <c r="BH164" s="870"/>
      <c r="BI164" s="373"/>
      <c r="BJ164" s="373"/>
      <c r="BK164" s="373">
        <v>4</v>
      </c>
      <c r="BL164" s="618"/>
      <c r="BM164" s="374">
        <v>0</v>
      </c>
      <c r="BN164" s="869"/>
      <c r="BO164" s="373"/>
      <c r="BP164" s="373"/>
      <c r="BQ164" s="870"/>
      <c r="BR164" s="373"/>
      <c r="BS164" s="373"/>
      <c r="BT164" s="373"/>
      <c r="BU164" s="618"/>
      <c r="BV164" s="374">
        <v>0</v>
      </c>
      <c r="BW164" s="869">
        <v>2</v>
      </c>
      <c r="BX164" s="373">
        <v>4</v>
      </c>
      <c r="BY164" s="373"/>
      <c r="BZ164" s="870">
        <v>2</v>
      </c>
      <c r="CA164" s="373">
        <v>2</v>
      </c>
      <c r="CB164" s="373">
        <v>1</v>
      </c>
      <c r="CC164" s="373"/>
      <c r="CD164" s="618"/>
      <c r="CE164" s="374">
        <v>1</v>
      </c>
      <c r="CF164" s="869"/>
      <c r="CG164" s="373"/>
      <c r="CH164" s="373"/>
      <c r="CI164" s="870"/>
      <c r="CJ164" s="373"/>
      <c r="CK164" s="373"/>
      <c r="CL164" s="373"/>
      <c r="CM164" s="618"/>
      <c r="CN164" s="374">
        <v>0</v>
      </c>
      <c r="CO164" s="869"/>
      <c r="CP164" s="373"/>
      <c r="CQ164" s="373"/>
      <c r="CR164" s="870"/>
      <c r="CS164" s="373"/>
      <c r="CT164" s="373"/>
      <c r="CU164" s="373"/>
      <c r="CV164" s="618"/>
      <c r="CW164" s="374">
        <v>0</v>
      </c>
      <c r="CX164" s="869">
        <v>5</v>
      </c>
      <c r="CY164" s="373">
        <v>8</v>
      </c>
      <c r="CZ164" s="373">
        <v>9</v>
      </c>
      <c r="DA164" s="870">
        <v>3</v>
      </c>
      <c r="DB164" s="373">
        <v>5</v>
      </c>
      <c r="DC164" s="373">
        <v>1</v>
      </c>
      <c r="DD164" s="373">
        <v>5</v>
      </c>
      <c r="DE164" s="618">
        <v>5</v>
      </c>
      <c r="DF164" s="374">
        <v>5</v>
      </c>
      <c r="DG164" s="869"/>
      <c r="DH164" s="373"/>
      <c r="DI164" s="373"/>
      <c r="DJ164" s="870"/>
      <c r="DK164" s="373"/>
      <c r="DL164" s="373"/>
      <c r="DM164" s="373"/>
      <c r="DN164" s="618"/>
      <c r="DO164" s="374">
        <v>0</v>
      </c>
      <c r="DP164" s="869"/>
      <c r="DQ164" s="373">
        <v>1</v>
      </c>
      <c r="DR164" s="373">
        <v>1</v>
      </c>
      <c r="DS164" s="870"/>
      <c r="DT164" s="373">
        <v>1</v>
      </c>
      <c r="DU164" s="373"/>
      <c r="DV164" s="373"/>
      <c r="DW164" s="618"/>
      <c r="DX164" s="374">
        <v>0</v>
      </c>
      <c r="DY164" s="869">
        <v>1</v>
      </c>
      <c r="DZ164" s="373">
        <v>1</v>
      </c>
      <c r="EA164" s="373">
        <v>1</v>
      </c>
      <c r="EB164" s="870"/>
      <c r="EC164" s="373">
        <v>1</v>
      </c>
      <c r="ED164" s="373"/>
      <c r="EE164" s="373"/>
      <c r="EF164" s="618">
        <v>1</v>
      </c>
      <c r="EG164" s="374">
        <v>0</v>
      </c>
      <c r="EH164" s="869"/>
      <c r="EI164" s="373"/>
      <c r="EJ164" s="373">
        <v>1</v>
      </c>
      <c r="EK164" s="870"/>
      <c r="EL164" s="373"/>
      <c r="EM164" s="373"/>
      <c r="EN164" s="373"/>
      <c r="EO164" s="618"/>
      <c r="EP164" s="374">
        <v>0</v>
      </c>
      <c r="EQ164" s="869"/>
      <c r="ER164" s="373"/>
      <c r="ES164" s="373"/>
      <c r="ET164" s="870"/>
      <c r="EU164" s="373"/>
      <c r="EV164" s="373"/>
      <c r="EW164" s="373"/>
      <c r="EX164" s="618"/>
      <c r="EY164" s="374">
        <v>0</v>
      </c>
      <c r="EZ164" s="869"/>
      <c r="FA164" s="373"/>
      <c r="FB164" s="373"/>
      <c r="FC164" s="870"/>
      <c r="FD164" s="373"/>
      <c r="FE164" s="373"/>
      <c r="FF164" s="373"/>
      <c r="FG164" s="618"/>
      <c r="FH164" s="374">
        <v>0</v>
      </c>
      <c r="FI164" s="869"/>
      <c r="FJ164" s="373">
        <v>2</v>
      </c>
      <c r="FK164" s="373">
        <v>1</v>
      </c>
      <c r="FL164" s="870"/>
      <c r="FM164" s="373"/>
      <c r="FN164" s="373"/>
      <c r="FO164" s="373"/>
      <c r="FP164" s="618">
        <v>2</v>
      </c>
      <c r="FQ164" s="374">
        <v>0</v>
      </c>
      <c r="FR164" s="869"/>
      <c r="FS164" s="373"/>
      <c r="FT164" s="373"/>
      <c r="FU164" s="870"/>
      <c r="FV164" s="373"/>
      <c r="FW164" s="373"/>
      <c r="FX164" s="373"/>
      <c r="FY164" s="618"/>
      <c r="FZ164" s="374">
        <v>0</v>
      </c>
      <c r="GA164" s="869"/>
      <c r="GB164" s="373"/>
      <c r="GC164" s="373"/>
      <c r="GD164" s="870"/>
      <c r="GE164" s="373"/>
      <c r="GF164" s="373"/>
      <c r="GG164" s="373"/>
      <c r="GH164" s="618"/>
      <c r="GI164" s="374">
        <v>0</v>
      </c>
      <c r="GJ164" s="869">
        <v>7</v>
      </c>
      <c r="GK164" s="373">
        <v>17</v>
      </c>
      <c r="GL164" s="373">
        <v>11</v>
      </c>
      <c r="GM164" s="870">
        <v>5</v>
      </c>
      <c r="GN164" s="373">
        <v>9</v>
      </c>
      <c r="GO164" s="373">
        <v>2</v>
      </c>
      <c r="GP164" s="373">
        <v>10</v>
      </c>
      <c r="GQ164" s="618">
        <v>7</v>
      </c>
      <c r="GR164" s="374">
        <v>6</v>
      </c>
      <c r="GS164" s="869">
        <v>2</v>
      </c>
      <c r="GT164" s="373">
        <v>10</v>
      </c>
      <c r="GU164" s="373">
        <v>5</v>
      </c>
      <c r="GV164" s="870">
        <v>1</v>
      </c>
      <c r="GW164" s="373">
        <v>1</v>
      </c>
      <c r="GX164" s="373"/>
      <c r="GY164" s="373"/>
      <c r="GZ164" s="618"/>
      <c r="HA164" s="374">
        <v>4</v>
      </c>
      <c r="HB164" s="869"/>
      <c r="HC164" s="373"/>
      <c r="HD164" s="373"/>
      <c r="HE164" s="870"/>
      <c r="HF164" s="373"/>
      <c r="HG164" s="373">
        <v>6</v>
      </c>
      <c r="HH164" s="373"/>
      <c r="HI164" s="618"/>
      <c r="HJ164" s="374">
        <v>0</v>
      </c>
      <c r="HK164" s="869">
        <v>1</v>
      </c>
      <c r="HL164" s="373"/>
      <c r="HM164" s="373"/>
      <c r="HN164" s="870"/>
      <c r="HO164" s="373"/>
      <c r="HP164" s="373"/>
      <c r="HQ164" s="373"/>
      <c r="HR164" s="618"/>
      <c r="HS164" s="374">
        <v>0</v>
      </c>
      <c r="HT164" s="869">
        <v>5</v>
      </c>
      <c r="HU164" s="373">
        <v>11</v>
      </c>
      <c r="HV164" s="373">
        <v>5</v>
      </c>
      <c r="HW164" s="870">
        <v>3</v>
      </c>
      <c r="HX164" s="373">
        <v>1</v>
      </c>
      <c r="HY164" s="373">
        <v>8</v>
      </c>
      <c r="HZ164" s="373"/>
      <c r="IA164" s="618">
        <v>2</v>
      </c>
      <c r="IB164" s="374">
        <v>6</v>
      </c>
      <c r="IC164" s="869">
        <v>15</v>
      </c>
      <c r="ID164" s="373">
        <v>23</v>
      </c>
      <c r="IE164" s="373">
        <v>17</v>
      </c>
      <c r="IF164" s="870">
        <v>8</v>
      </c>
      <c r="IG164" s="373">
        <v>14</v>
      </c>
      <c r="IH164" s="373">
        <v>13</v>
      </c>
      <c r="II164" s="373">
        <v>14</v>
      </c>
      <c r="IJ164" s="618">
        <v>12</v>
      </c>
      <c r="IK164" s="374">
        <v>12</v>
      </c>
      <c r="IL164" s="377">
        <v>2</v>
      </c>
      <c r="IM164" s="373">
        <v>1</v>
      </c>
      <c r="IN164" s="373">
        <v>2</v>
      </c>
      <c r="IO164" s="871"/>
      <c r="IP164" s="871"/>
      <c r="IQ164" s="373"/>
      <c r="IR164" s="373"/>
      <c r="IS164" s="618">
        <v>2</v>
      </c>
      <c r="IT164" s="374">
        <v>1</v>
      </c>
    </row>
    <row r="165" spans="1:254" s="245" customFormat="1" ht="12.75" customHeight="1" x14ac:dyDescent="0.2">
      <c r="A165" s="1052"/>
      <c r="B165" s="868" t="s">
        <v>1017</v>
      </c>
      <c r="C165" s="869"/>
      <c r="D165" s="373"/>
      <c r="E165" s="373"/>
      <c r="F165" s="870"/>
      <c r="G165" s="373"/>
      <c r="H165" s="373"/>
      <c r="I165" s="373"/>
      <c r="J165" s="618"/>
      <c r="K165" s="374">
        <v>0</v>
      </c>
      <c r="L165" s="869"/>
      <c r="M165" s="373"/>
      <c r="N165" s="373"/>
      <c r="O165" s="870"/>
      <c r="P165" s="373"/>
      <c r="Q165" s="373"/>
      <c r="R165" s="373"/>
      <c r="S165" s="618"/>
      <c r="T165" s="374">
        <v>0</v>
      </c>
      <c r="U165" s="869"/>
      <c r="V165" s="373"/>
      <c r="W165" s="373"/>
      <c r="X165" s="870"/>
      <c r="Y165" s="373"/>
      <c r="Z165" s="373"/>
      <c r="AA165" s="373"/>
      <c r="AB165" s="618"/>
      <c r="AC165" s="374">
        <v>0</v>
      </c>
      <c r="AD165" s="869"/>
      <c r="AE165" s="373"/>
      <c r="AF165" s="373">
        <v>1</v>
      </c>
      <c r="AG165" s="870">
        <v>2</v>
      </c>
      <c r="AH165" s="373"/>
      <c r="AI165" s="373"/>
      <c r="AJ165" s="373"/>
      <c r="AK165" s="618"/>
      <c r="AL165" s="374">
        <v>0</v>
      </c>
      <c r="AM165" s="869"/>
      <c r="AN165" s="373"/>
      <c r="AO165" s="373"/>
      <c r="AP165" s="870"/>
      <c r="AQ165" s="373"/>
      <c r="AR165" s="373"/>
      <c r="AS165" s="373"/>
      <c r="AT165" s="618"/>
      <c r="AU165" s="374">
        <v>0</v>
      </c>
      <c r="AV165" s="869"/>
      <c r="AW165" s="373"/>
      <c r="AX165" s="373"/>
      <c r="AY165" s="870"/>
      <c r="AZ165" s="373"/>
      <c r="BA165" s="373"/>
      <c r="BB165" s="373"/>
      <c r="BC165" s="618"/>
      <c r="BD165" s="374">
        <v>0</v>
      </c>
      <c r="BE165" s="869"/>
      <c r="BF165" s="373"/>
      <c r="BG165" s="373"/>
      <c r="BH165" s="870"/>
      <c r="BI165" s="373"/>
      <c r="BJ165" s="373"/>
      <c r="BK165" s="373"/>
      <c r="BL165" s="618"/>
      <c r="BM165" s="374">
        <v>0</v>
      </c>
      <c r="BN165" s="869"/>
      <c r="BO165" s="373"/>
      <c r="BP165" s="373"/>
      <c r="BQ165" s="870"/>
      <c r="BR165" s="373"/>
      <c r="BS165" s="373"/>
      <c r="BT165" s="373"/>
      <c r="BU165" s="618"/>
      <c r="BV165" s="374">
        <v>0</v>
      </c>
      <c r="BW165" s="869"/>
      <c r="BX165" s="373">
        <v>3</v>
      </c>
      <c r="BY165" s="373">
        <v>1</v>
      </c>
      <c r="BZ165" s="870">
        <v>3</v>
      </c>
      <c r="CA165" s="373"/>
      <c r="CB165" s="373"/>
      <c r="CC165" s="373"/>
      <c r="CD165" s="618">
        <v>1</v>
      </c>
      <c r="CE165" s="374">
        <v>1</v>
      </c>
      <c r="CF165" s="869"/>
      <c r="CG165" s="373"/>
      <c r="CH165" s="373"/>
      <c r="CI165" s="870"/>
      <c r="CJ165" s="373"/>
      <c r="CK165" s="373"/>
      <c r="CL165" s="373"/>
      <c r="CM165" s="618"/>
      <c r="CN165" s="374">
        <v>0</v>
      </c>
      <c r="CO165" s="869"/>
      <c r="CP165" s="373"/>
      <c r="CQ165" s="373"/>
      <c r="CR165" s="870"/>
      <c r="CS165" s="373">
        <v>1</v>
      </c>
      <c r="CT165" s="373"/>
      <c r="CU165" s="373"/>
      <c r="CV165" s="618"/>
      <c r="CW165" s="374">
        <v>0</v>
      </c>
      <c r="CX165" s="869">
        <v>11</v>
      </c>
      <c r="CY165" s="373">
        <v>3</v>
      </c>
      <c r="CZ165" s="373">
        <v>2</v>
      </c>
      <c r="DA165" s="870">
        <v>5</v>
      </c>
      <c r="DB165" s="373">
        <v>10</v>
      </c>
      <c r="DC165" s="373">
        <v>6</v>
      </c>
      <c r="DD165" s="373">
        <v>4</v>
      </c>
      <c r="DE165" s="618">
        <v>3</v>
      </c>
      <c r="DF165" s="374">
        <v>8</v>
      </c>
      <c r="DG165" s="869"/>
      <c r="DH165" s="373"/>
      <c r="DI165" s="373"/>
      <c r="DJ165" s="870"/>
      <c r="DK165" s="373"/>
      <c r="DL165" s="373"/>
      <c r="DM165" s="373"/>
      <c r="DN165" s="618"/>
      <c r="DO165" s="374">
        <v>0</v>
      </c>
      <c r="DP165" s="869">
        <v>1</v>
      </c>
      <c r="DQ165" s="373"/>
      <c r="DR165" s="373"/>
      <c r="DS165" s="870"/>
      <c r="DT165" s="373"/>
      <c r="DU165" s="373"/>
      <c r="DV165" s="373"/>
      <c r="DW165" s="618"/>
      <c r="DX165" s="374">
        <v>0</v>
      </c>
      <c r="DY165" s="869">
        <v>2</v>
      </c>
      <c r="DZ165" s="373"/>
      <c r="EA165" s="373">
        <v>1</v>
      </c>
      <c r="EB165" s="870"/>
      <c r="EC165" s="373">
        <v>1</v>
      </c>
      <c r="ED165" s="373">
        <v>1</v>
      </c>
      <c r="EE165" s="373">
        <v>1</v>
      </c>
      <c r="EF165" s="618">
        <v>1</v>
      </c>
      <c r="EG165" s="374">
        <v>1</v>
      </c>
      <c r="EH165" s="869"/>
      <c r="EI165" s="373"/>
      <c r="EJ165" s="373"/>
      <c r="EK165" s="870"/>
      <c r="EL165" s="373"/>
      <c r="EM165" s="373"/>
      <c r="EN165" s="373"/>
      <c r="EO165" s="618"/>
      <c r="EP165" s="374">
        <v>0</v>
      </c>
      <c r="EQ165" s="869"/>
      <c r="ER165" s="373"/>
      <c r="ES165" s="373"/>
      <c r="ET165" s="870"/>
      <c r="EU165" s="373"/>
      <c r="EV165" s="373"/>
      <c r="EW165" s="373"/>
      <c r="EX165" s="618"/>
      <c r="EY165" s="374">
        <v>0</v>
      </c>
      <c r="EZ165" s="869"/>
      <c r="FA165" s="373"/>
      <c r="FB165" s="373"/>
      <c r="FC165" s="870"/>
      <c r="FD165" s="373"/>
      <c r="FE165" s="373"/>
      <c r="FF165" s="373"/>
      <c r="FG165" s="618"/>
      <c r="FH165" s="374">
        <v>0</v>
      </c>
      <c r="FI165" s="869"/>
      <c r="FJ165" s="373"/>
      <c r="FK165" s="373"/>
      <c r="FL165" s="870"/>
      <c r="FM165" s="373"/>
      <c r="FN165" s="373"/>
      <c r="FO165" s="373"/>
      <c r="FP165" s="618"/>
      <c r="FQ165" s="374">
        <v>1</v>
      </c>
      <c r="FR165" s="869"/>
      <c r="FS165" s="373"/>
      <c r="FT165" s="373"/>
      <c r="FU165" s="870"/>
      <c r="FV165" s="373"/>
      <c r="FW165" s="373"/>
      <c r="FX165" s="373"/>
      <c r="FY165" s="618"/>
      <c r="FZ165" s="374">
        <v>1</v>
      </c>
      <c r="GA165" s="869"/>
      <c r="GB165" s="373"/>
      <c r="GC165" s="373"/>
      <c r="GD165" s="870"/>
      <c r="GE165" s="373"/>
      <c r="GF165" s="373"/>
      <c r="GG165" s="373"/>
      <c r="GH165" s="618"/>
      <c r="GI165" s="374">
        <v>0</v>
      </c>
      <c r="GJ165" s="869">
        <v>11</v>
      </c>
      <c r="GK165" s="373">
        <v>6</v>
      </c>
      <c r="GL165" s="373">
        <v>4</v>
      </c>
      <c r="GM165" s="870">
        <v>10</v>
      </c>
      <c r="GN165" s="373">
        <v>11</v>
      </c>
      <c r="GO165" s="373">
        <v>6</v>
      </c>
      <c r="GP165" s="373">
        <v>4</v>
      </c>
      <c r="GQ165" s="618">
        <v>4</v>
      </c>
      <c r="GR165" s="374">
        <v>11</v>
      </c>
      <c r="GS165" s="869">
        <v>3</v>
      </c>
      <c r="GT165" s="373">
        <v>1</v>
      </c>
      <c r="GU165" s="373">
        <v>2</v>
      </c>
      <c r="GV165" s="870">
        <v>6</v>
      </c>
      <c r="GW165" s="373">
        <v>3</v>
      </c>
      <c r="GX165" s="373">
        <v>1</v>
      </c>
      <c r="GY165" s="373"/>
      <c r="GZ165" s="618">
        <v>1</v>
      </c>
      <c r="HA165" s="374">
        <v>2</v>
      </c>
      <c r="HB165" s="869"/>
      <c r="HC165" s="373"/>
      <c r="HD165" s="373"/>
      <c r="HE165" s="870">
        <v>1</v>
      </c>
      <c r="HF165" s="373"/>
      <c r="HG165" s="373"/>
      <c r="HH165" s="373"/>
      <c r="HI165" s="618"/>
      <c r="HJ165" s="374">
        <v>0</v>
      </c>
      <c r="HK165" s="869"/>
      <c r="HL165" s="373"/>
      <c r="HM165" s="373"/>
      <c r="HN165" s="870"/>
      <c r="HO165" s="373"/>
      <c r="HP165" s="373"/>
      <c r="HQ165" s="373"/>
      <c r="HR165" s="618"/>
      <c r="HS165" s="374">
        <v>0</v>
      </c>
      <c r="HT165" s="869">
        <v>4</v>
      </c>
      <c r="HU165" s="373">
        <v>1</v>
      </c>
      <c r="HV165" s="373">
        <v>2</v>
      </c>
      <c r="HW165" s="870">
        <v>12</v>
      </c>
      <c r="HX165" s="373">
        <v>4</v>
      </c>
      <c r="HY165" s="373">
        <v>2</v>
      </c>
      <c r="HZ165" s="373">
        <v>3</v>
      </c>
      <c r="IA165" s="618">
        <v>3</v>
      </c>
      <c r="IB165" s="374">
        <v>2</v>
      </c>
      <c r="IC165" s="869">
        <v>23</v>
      </c>
      <c r="ID165" s="373">
        <v>15</v>
      </c>
      <c r="IE165" s="373">
        <v>4</v>
      </c>
      <c r="IF165" s="870">
        <v>20</v>
      </c>
      <c r="IG165" s="373">
        <v>14</v>
      </c>
      <c r="IH165" s="373">
        <v>13</v>
      </c>
      <c r="II165" s="373">
        <v>9</v>
      </c>
      <c r="IJ165" s="618">
        <v>11</v>
      </c>
      <c r="IK165" s="374">
        <v>22</v>
      </c>
      <c r="IL165" s="377">
        <v>3</v>
      </c>
      <c r="IM165" s="373"/>
      <c r="IN165" s="373">
        <v>1</v>
      </c>
      <c r="IO165" s="871"/>
      <c r="IP165" s="871">
        <v>1</v>
      </c>
      <c r="IQ165" s="373">
        <v>2</v>
      </c>
      <c r="IR165" s="373">
        <v>1</v>
      </c>
      <c r="IS165" s="618">
        <v>1</v>
      </c>
      <c r="IT165" s="374">
        <v>3</v>
      </c>
    </row>
    <row r="166" spans="1:254" s="245" customFormat="1" ht="12.75" customHeight="1" x14ac:dyDescent="0.2">
      <c r="A166" s="1052"/>
      <c r="B166" s="868" t="s">
        <v>1018</v>
      </c>
      <c r="C166" s="869"/>
      <c r="D166" s="373"/>
      <c r="E166" s="373"/>
      <c r="F166" s="870"/>
      <c r="G166" s="373"/>
      <c r="H166" s="373"/>
      <c r="I166" s="373"/>
      <c r="J166" s="618"/>
      <c r="K166" s="374">
        <v>0</v>
      </c>
      <c r="L166" s="869"/>
      <c r="M166" s="373"/>
      <c r="N166" s="373"/>
      <c r="O166" s="870"/>
      <c r="P166" s="373"/>
      <c r="Q166" s="373"/>
      <c r="R166" s="373"/>
      <c r="S166" s="618"/>
      <c r="T166" s="374">
        <v>0</v>
      </c>
      <c r="U166" s="869"/>
      <c r="V166" s="373"/>
      <c r="W166" s="373"/>
      <c r="X166" s="870"/>
      <c r="Y166" s="373"/>
      <c r="Z166" s="373"/>
      <c r="AA166" s="373"/>
      <c r="AB166" s="618"/>
      <c r="AC166" s="374">
        <v>0</v>
      </c>
      <c r="AD166" s="869">
        <v>2</v>
      </c>
      <c r="AE166" s="373">
        <v>1</v>
      </c>
      <c r="AF166" s="373"/>
      <c r="AG166" s="870"/>
      <c r="AH166" s="373"/>
      <c r="AI166" s="373">
        <v>3</v>
      </c>
      <c r="AJ166" s="373">
        <v>3</v>
      </c>
      <c r="AK166" s="618">
        <v>1</v>
      </c>
      <c r="AL166" s="374">
        <v>0</v>
      </c>
      <c r="AM166" s="869">
        <v>2</v>
      </c>
      <c r="AN166" s="373">
        <v>1</v>
      </c>
      <c r="AO166" s="373"/>
      <c r="AP166" s="870"/>
      <c r="AQ166" s="373"/>
      <c r="AR166" s="373">
        <v>2</v>
      </c>
      <c r="AS166" s="373">
        <v>3</v>
      </c>
      <c r="AT166" s="618"/>
      <c r="AU166" s="374">
        <v>0</v>
      </c>
      <c r="AV166" s="869"/>
      <c r="AW166" s="373"/>
      <c r="AX166" s="373"/>
      <c r="AY166" s="870"/>
      <c r="AZ166" s="373"/>
      <c r="BA166" s="373"/>
      <c r="BB166" s="373"/>
      <c r="BC166" s="618"/>
      <c r="BD166" s="374">
        <v>0</v>
      </c>
      <c r="BE166" s="869"/>
      <c r="BF166" s="373"/>
      <c r="BG166" s="373"/>
      <c r="BH166" s="870"/>
      <c r="BI166" s="373"/>
      <c r="BJ166" s="373"/>
      <c r="BK166" s="373"/>
      <c r="BL166" s="618"/>
      <c r="BM166" s="374">
        <v>0</v>
      </c>
      <c r="BN166" s="869"/>
      <c r="BO166" s="373"/>
      <c r="BP166" s="373"/>
      <c r="BQ166" s="870"/>
      <c r="BR166" s="373"/>
      <c r="BS166" s="373"/>
      <c r="BT166" s="373"/>
      <c r="BU166" s="618"/>
      <c r="BV166" s="374">
        <v>0</v>
      </c>
      <c r="BW166" s="869"/>
      <c r="BX166" s="373"/>
      <c r="BY166" s="373">
        <v>1</v>
      </c>
      <c r="BZ166" s="870"/>
      <c r="CA166" s="373"/>
      <c r="CB166" s="373"/>
      <c r="CC166" s="373">
        <v>1</v>
      </c>
      <c r="CD166" s="618"/>
      <c r="CE166" s="374">
        <v>1</v>
      </c>
      <c r="CF166" s="869"/>
      <c r="CG166" s="373"/>
      <c r="CH166" s="373"/>
      <c r="CI166" s="870"/>
      <c r="CJ166" s="373"/>
      <c r="CK166" s="373"/>
      <c r="CL166" s="373"/>
      <c r="CM166" s="618"/>
      <c r="CN166" s="374">
        <v>0</v>
      </c>
      <c r="CO166" s="869"/>
      <c r="CP166" s="373"/>
      <c r="CQ166" s="373"/>
      <c r="CR166" s="870"/>
      <c r="CS166" s="373"/>
      <c r="CT166" s="373"/>
      <c r="CU166" s="373"/>
      <c r="CV166" s="618"/>
      <c r="CW166" s="374">
        <v>0</v>
      </c>
      <c r="CX166" s="869">
        <v>6</v>
      </c>
      <c r="CY166" s="373">
        <v>4</v>
      </c>
      <c r="CZ166" s="373">
        <v>7</v>
      </c>
      <c r="DA166" s="870">
        <v>10</v>
      </c>
      <c r="DB166" s="373"/>
      <c r="DC166" s="373">
        <v>5</v>
      </c>
      <c r="DD166" s="373">
        <v>6</v>
      </c>
      <c r="DE166" s="618">
        <v>2</v>
      </c>
      <c r="DF166" s="374">
        <v>1</v>
      </c>
      <c r="DG166" s="869"/>
      <c r="DH166" s="373"/>
      <c r="DI166" s="373"/>
      <c r="DJ166" s="870"/>
      <c r="DK166" s="373"/>
      <c r="DL166" s="373"/>
      <c r="DM166" s="373"/>
      <c r="DN166" s="618"/>
      <c r="DO166" s="374">
        <v>0</v>
      </c>
      <c r="DP166" s="869"/>
      <c r="DQ166" s="373"/>
      <c r="DR166" s="373">
        <v>1</v>
      </c>
      <c r="DS166" s="870"/>
      <c r="DT166" s="373"/>
      <c r="DU166" s="373"/>
      <c r="DV166" s="373"/>
      <c r="DW166" s="618"/>
      <c r="DX166" s="374">
        <v>0</v>
      </c>
      <c r="DY166" s="869">
        <v>2</v>
      </c>
      <c r="DZ166" s="373">
        <v>2</v>
      </c>
      <c r="EA166" s="373"/>
      <c r="EB166" s="870">
        <v>5</v>
      </c>
      <c r="EC166" s="373"/>
      <c r="ED166" s="373">
        <v>2</v>
      </c>
      <c r="EE166" s="373">
        <v>1</v>
      </c>
      <c r="EF166" s="618"/>
      <c r="EG166" s="374">
        <v>0</v>
      </c>
      <c r="EH166" s="869"/>
      <c r="EI166" s="373"/>
      <c r="EJ166" s="373"/>
      <c r="EK166" s="870"/>
      <c r="EL166" s="373"/>
      <c r="EM166" s="373"/>
      <c r="EN166" s="373"/>
      <c r="EO166" s="618"/>
      <c r="EP166" s="374">
        <v>0</v>
      </c>
      <c r="EQ166" s="869"/>
      <c r="ER166" s="373"/>
      <c r="ES166" s="373"/>
      <c r="ET166" s="870"/>
      <c r="EU166" s="373"/>
      <c r="EV166" s="373"/>
      <c r="EW166" s="373"/>
      <c r="EX166" s="618"/>
      <c r="EY166" s="374">
        <v>0</v>
      </c>
      <c r="EZ166" s="869"/>
      <c r="FA166" s="373"/>
      <c r="FB166" s="373"/>
      <c r="FC166" s="870"/>
      <c r="FD166" s="373"/>
      <c r="FE166" s="373"/>
      <c r="FF166" s="373"/>
      <c r="FG166" s="618"/>
      <c r="FH166" s="374">
        <v>0</v>
      </c>
      <c r="FI166" s="869">
        <v>2</v>
      </c>
      <c r="FJ166" s="373"/>
      <c r="FK166" s="373"/>
      <c r="FL166" s="870">
        <v>2</v>
      </c>
      <c r="FM166" s="373">
        <v>1</v>
      </c>
      <c r="FN166" s="373"/>
      <c r="FO166" s="373"/>
      <c r="FP166" s="618"/>
      <c r="FQ166" s="374">
        <v>1</v>
      </c>
      <c r="FR166" s="869"/>
      <c r="FS166" s="373"/>
      <c r="FT166" s="373"/>
      <c r="FU166" s="870"/>
      <c r="FV166" s="373"/>
      <c r="FW166" s="373"/>
      <c r="FX166" s="373"/>
      <c r="FY166" s="618"/>
      <c r="FZ166" s="374">
        <v>0</v>
      </c>
      <c r="GA166" s="869"/>
      <c r="GB166" s="373"/>
      <c r="GC166" s="373"/>
      <c r="GD166" s="870"/>
      <c r="GE166" s="373"/>
      <c r="GF166" s="373"/>
      <c r="GG166" s="373"/>
      <c r="GH166" s="618"/>
      <c r="GI166" s="374">
        <v>0</v>
      </c>
      <c r="GJ166" s="869">
        <v>10</v>
      </c>
      <c r="GK166" s="373">
        <v>5</v>
      </c>
      <c r="GL166" s="373">
        <v>8</v>
      </c>
      <c r="GM166" s="870">
        <v>12</v>
      </c>
      <c r="GN166" s="373">
        <v>1</v>
      </c>
      <c r="GO166" s="373">
        <v>8</v>
      </c>
      <c r="GP166" s="373">
        <v>10</v>
      </c>
      <c r="GQ166" s="618">
        <v>3</v>
      </c>
      <c r="GR166" s="374">
        <v>3</v>
      </c>
      <c r="GS166" s="869">
        <v>2</v>
      </c>
      <c r="GT166" s="373"/>
      <c r="GU166" s="373">
        <v>1</v>
      </c>
      <c r="GV166" s="870">
        <v>2</v>
      </c>
      <c r="GW166" s="373"/>
      <c r="GX166" s="373">
        <v>1</v>
      </c>
      <c r="GY166" s="373"/>
      <c r="GZ166" s="618"/>
      <c r="HA166" s="374">
        <v>1</v>
      </c>
      <c r="HB166" s="869"/>
      <c r="HC166" s="373"/>
      <c r="HD166" s="373">
        <v>1</v>
      </c>
      <c r="HE166" s="870"/>
      <c r="HF166" s="373"/>
      <c r="HG166" s="373"/>
      <c r="HH166" s="373"/>
      <c r="HI166" s="618"/>
      <c r="HJ166" s="374">
        <v>0</v>
      </c>
      <c r="HK166" s="869"/>
      <c r="HL166" s="373"/>
      <c r="HM166" s="373"/>
      <c r="HN166" s="870"/>
      <c r="HO166" s="373"/>
      <c r="HP166" s="373"/>
      <c r="HQ166" s="373"/>
      <c r="HR166" s="618"/>
      <c r="HS166" s="374">
        <v>0</v>
      </c>
      <c r="HT166" s="869">
        <v>2</v>
      </c>
      <c r="HU166" s="373">
        <v>2</v>
      </c>
      <c r="HV166" s="373">
        <v>2</v>
      </c>
      <c r="HW166" s="870">
        <v>2</v>
      </c>
      <c r="HX166" s="373"/>
      <c r="HY166" s="373">
        <v>2</v>
      </c>
      <c r="HZ166" s="373"/>
      <c r="IA166" s="618"/>
      <c r="IB166" s="374">
        <v>1</v>
      </c>
      <c r="IC166" s="869">
        <v>13</v>
      </c>
      <c r="ID166" s="373">
        <v>8</v>
      </c>
      <c r="IE166" s="373">
        <v>11</v>
      </c>
      <c r="IF166" s="870">
        <v>14</v>
      </c>
      <c r="IG166" s="373">
        <v>2</v>
      </c>
      <c r="IH166" s="373">
        <v>10</v>
      </c>
      <c r="II166" s="373">
        <v>22</v>
      </c>
      <c r="IJ166" s="618">
        <v>6</v>
      </c>
      <c r="IK166" s="374">
        <v>4</v>
      </c>
      <c r="IL166" s="377">
        <v>4</v>
      </c>
      <c r="IM166" s="373">
        <v>3</v>
      </c>
      <c r="IN166" s="373">
        <v>2</v>
      </c>
      <c r="IO166" s="871">
        <v>9</v>
      </c>
      <c r="IP166" s="871"/>
      <c r="IQ166" s="373">
        <v>2</v>
      </c>
      <c r="IR166" s="373">
        <v>1</v>
      </c>
      <c r="IS166" s="618">
        <v>1</v>
      </c>
      <c r="IT166" s="374">
        <v>1</v>
      </c>
    </row>
    <row r="167" spans="1:254" s="245" customFormat="1" ht="12.75" customHeight="1" x14ac:dyDescent="0.2">
      <c r="A167" s="1052"/>
      <c r="B167" s="868" t="s">
        <v>1019</v>
      </c>
      <c r="C167" s="869"/>
      <c r="D167" s="373"/>
      <c r="E167" s="373"/>
      <c r="F167" s="870"/>
      <c r="G167" s="373"/>
      <c r="H167" s="373"/>
      <c r="I167" s="373"/>
      <c r="J167" s="618"/>
      <c r="K167" s="374">
        <v>0</v>
      </c>
      <c r="L167" s="869"/>
      <c r="M167" s="373"/>
      <c r="N167" s="373"/>
      <c r="O167" s="870"/>
      <c r="P167" s="373"/>
      <c r="Q167" s="373"/>
      <c r="R167" s="373"/>
      <c r="S167" s="618"/>
      <c r="T167" s="374">
        <v>0</v>
      </c>
      <c r="U167" s="869"/>
      <c r="V167" s="373"/>
      <c r="W167" s="373"/>
      <c r="X167" s="870"/>
      <c r="Y167" s="373"/>
      <c r="Z167" s="373"/>
      <c r="AA167" s="373"/>
      <c r="AB167" s="618"/>
      <c r="AC167" s="374">
        <v>0</v>
      </c>
      <c r="AD167" s="869">
        <v>1</v>
      </c>
      <c r="AE167" s="373"/>
      <c r="AF167" s="373"/>
      <c r="AG167" s="870"/>
      <c r="AH167" s="373"/>
      <c r="AI167" s="373"/>
      <c r="AJ167" s="373">
        <v>1</v>
      </c>
      <c r="AK167" s="618"/>
      <c r="AL167" s="374">
        <v>0</v>
      </c>
      <c r="AM167" s="869">
        <v>1</v>
      </c>
      <c r="AN167" s="373"/>
      <c r="AO167" s="373"/>
      <c r="AP167" s="870"/>
      <c r="AQ167" s="373"/>
      <c r="AR167" s="373"/>
      <c r="AS167" s="373"/>
      <c r="AT167" s="618"/>
      <c r="AU167" s="374">
        <v>0</v>
      </c>
      <c r="AV167" s="869"/>
      <c r="AW167" s="373"/>
      <c r="AX167" s="373"/>
      <c r="AY167" s="870"/>
      <c r="AZ167" s="373"/>
      <c r="BA167" s="373"/>
      <c r="BB167" s="373"/>
      <c r="BC167" s="618"/>
      <c r="BD167" s="374">
        <v>0</v>
      </c>
      <c r="BE167" s="869"/>
      <c r="BF167" s="373"/>
      <c r="BG167" s="373"/>
      <c r="BH167" s="870"/>
      <c r="BI167" s="373"/>
      <c r="BJ167" s="373"/>
      <c r="BK167" s="373"/>
      <c r="BL167" s="618"/>
      <c r="BM167" s="374">
        <v>0</v>
      </c>
      <c r="BN167" s="869"/>
      <c r="BO167" s="373"/>
      <c r="BP167" s="373"/>
      <c r="BQ167" s="870"/>
      <c r="BR167" s="373"/>
      <c r="BS167" s="373"/>
      <c r="BT167" s="373"/>
      <c r="BU167" s="618"/>
      <c r="BV167" s="374">
        <v>0</v>
      </c>
      <c r="BW167" s="869"/>
      <c r="BX167" s="373"/>
      <c r="BY167" s="373"/>
      <c r="BZ167" s="870"/>
      <c r="CA167" s="373"/>
      <c r="CB167" s="373"/>
      <c r="CC167" s="373">
        <v>1</v>
      </c>
      <c r="CD167" s="618"/>
      <c r="CE167" s="374">
        <v>0</v>
      </c>
      <c r="CF167" s="869"/>
      <c r="CG167" s="373"/>
      <c r="CH167" s="373"/>
      <c r="CI167" s="870"/>
      <c r="CJ167" s="373"/>
      <c r="CK167" s="373"/>
      <c r="CL167" s="373"/>
      <c r="CM167" s="618"/>
      <c r="CN167" s="374">
        <v>0</v>
      </c>
      <c r="CO167" s="869"/>
      <c r="CP167" s="373"/>
      <c r="CQ167" s="373"/>
      <c r="CR167" s="870"/>
      <c r="CS167" s="373"/>
      <c r="CT167" s="373"/>
      <c r="CU167" s="373"/>
      <c r="CV167" s="618"/>
      <c r="CW167" s="374">
        <v>0</v>
      </c>
      <c r="CX167" s="869">
        <v>3</v>
      </c>
      <c r="CY167" s="373">
        <v>4</v>
      </c>
      <c r="CZ167" s="373">
        <v>10</v>
      </c>
      <c r="DA167" s="870">
        <v>1</v>
      </c>
      <c r="DB167" s="373">
        <v>2</v>
      </c>
      <c r="DC167" s="373">
        <v>3</v>
      </c>
      <c r="DD167" s="373">
        <v>1</v>
      </c>
      <c r="DE167" s="618"/>
      <c r="DF167" s="374">
        <v>2</v>
      </c>
      <c r="DG167" s="869"/>
      <c r="DH167" s="373"/>
      <c r="DI167" s="373"/>
      <c r="DJ167" s="870"/>
      <c r="DK167" s="373"/>
      <c r="DL167" s="373"/>
      <c r="DM167" s="373"/>
      <c r="DN167" s="618"/>
      <c r="DO167" s="374">
        <v>0</v>
      </c>
      <c r="DP167" s="869"/>
      <c r="DQ167" s="373"/>
      <c r="DR167" s="373"/>
      <c r="DS167" s="870"/>
      <c r="DT167" s="373"/>
      <c r="DU167" s="373"/>
      <c r="DV167" s="373"/>
      <c r="DW167" s="618"/>
      <c r="DX167" s="374">
        <v>0</v>
      </c>
      <c r="DY167" s="869">
        <v>1</v>
      </c>
      <c r="DZ167" s="373">
        <v>4</v>
      </c>
      <c r="EA167" s="373">
        <v>4</v>
      </c>
      <c r="EB167" s="870">
        <v>1</v>
      </c>
      <c r="EC167" s="373"/>
      <c r="ED167" s="373">
        <v>1</v>
      </c>
      <c r="EE167" s="373">
        <v>1</v>
      </c>
      <c r="EF167" s="618"/>
      <c r="EG167" s="374">
        <v>0</v>
      </c>
      <c r="EH167" s="869"/>
      <c r="EI167" s="373"/>
      <c r="EJ167" s="373"/>
      <c r="EK167" s="870"/>
      <c r="EL167" s="373"/>
      <c r="EM167" s="373"/>
      <c r="EN167" s="373"/>
      <c r="EO167" s="618"/>
      <c r="EP167" s="374">
        <v>0</v>
      </c>
      <c r="EQ167" s="869"/>
      <c r="ER167" s="373"/>
      <c r="ES167" s="373"/>
      <c r="ET167" s="870"/>
      <c r="EU167" s="373"/>
      <c r="EV167" s="373"/>
      <c r="EW167" s="373"/>
      <c r="EX167" s="618"/>
      <c r="EY167" s="374">
        <v>0</v>
      </c>
      <c r="EZ167" s="869"/>
      <c r="FA167" s="373"/>
      <c r="FB167" s="373"/>
      <c r="FC167" s="870"/>
      <c r="FD167" s="373"/>
      <c r="FE167" s="373"/>
      <c r="FF167" s="373"/>
      <c r="FG167" s="618"/>
      <c r="FH167" s="374">
        <v>0</v>
      </c>
      <c r="FI167" s="869">
        <v>1</v>
      </c>
      <c r="FJ167" s="373"/>
      <c r="FK167" s="373"/>
      <c r="FL167" s="870">
        <v>1</v>
      </c>
      <c r="FM167" s="373"/>
      <c r="FN167" s="373"/>
      <c r="FO167" s="373"/>
      <c r="FP167" s="618"/>
      <c r="FQ167" s="374">
        <v>0</v>
      </c>
      <c r="FR167" s="869"/>
      <c r="FS167" s="373"/>
      <c r="FT167" s="373"/>
      <c r="FU167" s="870"/>
      <c r="FV167" s="373"/>
      <c r="FW167" s="373"/>
      <c r="FX167" s="373"/>
      <c r="FY167" s="618"/>
      <c r="FZ167" s="374">
        <v>0</v>
      </c>
      <c r="GA167" s="869"/>
      <c r="GB167" s="373"/>
      <c r="GC167" s="373"/>
      <c r="GD167" s="870"/>
      <c r="GE167" s="373"/>
      <c r="GF167" s="373"/>
      <c r="GG167" s="373"/>
      <c r="GH167" s="618"/>
      <c r="GI167" s="374">
        <v>0</v>
      </c>
      <c r="GJ167" s="869">
        <v>5</v>
      </c>
      <c r="GK167" s="373">
        <v>4</v>
      </c>
      <c r="GL167" s="373">
        <v>10</v>
      </c>
      <c r="GM167" s="870">
        <v>2</v>
      </c>
      <c r="GN167" s="373">
        <v>2</v>
      </c>
      <c r="GO167" s="373">
        <v>3</v>
      </c>
      <c r="GP167" s="373">
        <v>3</v>
      </c>
      <c r="GQ167" s="618"/>
      <c r="GR167" s="374">
        <v>2</v>
      </c>
      <c r="GS167" s="869">
        <v>2</v>
      </c>
      <c r="GT167" s="373"/>
      <c r="GU167" s="373">
        <v>1</v>
      </c>
      <c r="GV167" s="870"/>
      <c r="GW167" s="373"/>
      <c r="GX167" s="373"/>
      <c r="GY167" s="373">
        <v>2</v>
      </c>
      <c r="GZ167" s="618"/>
      <c r="HA167" s="374">
        <v>1</v>
      </c>
      <c r="HB167" s="869"/>
      <c r="HC167" s="373"/>
      <c r="HD167" s="373"/>
      <c r="HE167" s="870"/>
      <c r="HF167" s="373"/>
      <c r="HG167" s="373"/>
      <c r="HH167" s="373">
        <v>1</v>
      </c>
      <c r="HI167" s="618"/>
      <c r="HJ167" s="374">
        <v>0</v>
      </c>
      <c r="HK167" s="869"/>
      <c r="HL167" s="373"/>
      <c r="HM167" s="373"/>
      <c r="HN167" s="870"/>
      <c r="HO167" s="373"/>
      <c r="HP167" s="373"/>
      <c r="HQ167" s="373"/>
      <c r="HR167" s="618"/>
      <c r="HS167" s="374">
        <v>0</v>
      </c>
      <c r="HT167" s="869">
        <v>4</v>
      </c>
      <c r="HU167" s="373"/>
      <c r="HV167" s="373">
        <v>3</v>
      </c>
      <c r="HW167" s="870">
        <v>1</v>
      </c>
      <c r="HX167" s="373">
        <v>1</v>
      </c>
      <c r="HY167" s="373">
        <v>1</v>
      </c>
      <c r="HZ167" s="373">
        <v>3</v>
      </c>
      <c r="IA167" s="618"/>
      <c r="IB167" s="374">
        <v>1</v>
      </c>
      <c r="IC167" s="869">
        <v>7</v>
      </c>
      <c r="ID167" s="373">
        <v>5</v>
      </c>
      <c r="IE167" s="373">
        <v>12</v>
      </c>
      <c r="IF167" s="870">
        <v>3</v>
      </c>
      <c r="IG167" s="373">
        <v>5</v>
      </c>
      <c r="IH167" s="373">
        <v>4</v>
      </c>
      <c r="II167" s="373">
        <v>6</v>
      </c>
      <c r="IJ167" s="618">
        <v>2</v>
      </c>
      <c r="IK167" s="374">
        <v>2</v>
      </c>
      <c r="IL167" s="377">
        <v>2</v>
      </c>
      <c r="IM167" s="373">
        <v>4</v>
      </c>
      <c r="IN167" s="373">
        <v>7</v>
      </c>
      <c r="IO167" s="871"/>
      <c r="IP167" s="871">
        <v>1</v>
      </c>
      <c r="IQ167" s="373">
        <v>1</v>
      </c>
      <c r="IR167" s="373">
        <v>1</v>
      </c>
      <c r="IS167" s="618"/>
      <c r="IT167" s="374">
        <v>0</v>
      </c>
    </row>
    <row r="168" spans="1:254" s="245" customFormat="1" ht="12.75" customHeight="1" x14ac:dyDescent="0.2">
      <c r="A168" s="1052"/>
      <c r="B168" s="868" t="s">
        <v>1020</v>
      </c>
      <c r="C168" s="869"/>
      <c r="D168" s="373"/>
      <c r="E168" s="373"/>
      <c r="F168" s="870"/>
      <c r="G168" s="373"/>
      <c r="H168" s="373"/>
      <c r="I168" s="373"/>
      <c r="J168" s="618"/>
      <c r="K168" s="374">
        <v>0</v>
      </c>
      <c r="L168" s="869"/>
      <c r="M168" s="373"/>
      <c r="N168" s="373"/>
      <c r="O168" s="870"/>
      <c r="P168" s="373"/>
      <c r="Q168" s="373"/>
      <c r="R168" s="373"/>
      <c r="S168" s="618"/>
      <c r="T168" s="374">
        <v>0</v>
      </c>
      <c r="U168" s="869"/>
      <c r="V168" s="373"/>
      <c r="W168" s="373"/>
      <c r="X168" s="870"/>
      <c r="Y168" s="373"/>
      <c r="Z168" s="373"/>
      <c r="AA168" s="373"/>
      <c r="AB168" s="618"/>
      <c r="AC168" s="374">
        <v>0</v>
      </c>
      <c r="AD168" s="869"/>
      <c r="AE168" s="373"/>
      <c r="AF168" s="373"/>
      <c r="AG168" s="870"/>
      <c r="AH168" s="373"/>
      <c r="AI168" s="373"/>
      <c r="AJ168" s="373"/>
      <c r="AK168" s="618"/>
      <c r="AL168" s="374">
        <v>0</v>
      </c>
      <c r="AM168" s="869"/>
      <c r="AN168" s="373"/>
      <c r="AO168" s="373"/>
      <c r="AP168" s="870"/>
      <c r="AQ168" s="373"/>
      <c r="AR168" s="373"/>
      <c r="AS168" s="373"/>
      <c r="AT168" s="618"/>
      <c r="AU168" s="374">
        <v>0</v>
      </c>
      <c r="AV168" s="869"/>
      <c r="AW168" s="373"/>
      <c r="AX168" s="373"/>
      <c r="AY168" s="870"/>
      <c r="AZ168" s="373"/>
      <c r="BA168" s="373"/>
      <c r="BB168" s="373"/>
      <c r="BC168" s="618"/>
      <c r="BD168" s="374">
        <v>0</v>
      </c>
      <c r="BE168" s="869"/>
      <c r="BF168" s="373"/>
      <c r="BG168" s="373"/>
      <c r="BH168" s="870"/>
      <c r="BI168" s="373"/>
      <c r="BJ168" s="373"/>
      <c r="BK168" s="373"/>
      <c r="BL168" s="618"/>
      <c r="BM168" s="374">
        <v>0</v>
      </c>
      <c r="BN168" s="869"/>
      <c r="BO168" s="373"/>
      <c r="BP168" s="373"/>
      <c r="BQ168" s="870"/>
      <c r="BR168" s="373"/>
      <c r="BS168" s="373"/>
      <c r="BT168" s="373"/>
      <c r="BU168" s="618"/>
      <c r="BV168" s="374">
        <v>0</v>
      </c>
      <c r="BW168" s="869"/>
      <c r="BX168" s="373"/>
      <c r="BY168" s="373"/>
      <c r="BZ168" s="870"/>
      <c r="CA168" s="373"/>
      <c r="CB168" s="373"/>
      <c r="CC168" s="373"/>
      <c r="CD168" s="618"/>
      <c r="CE168" s="374">
        <v>0</v>
      </c>
      <c r="CF168" s="869"/>
      <c r="CG168" s="373"/>
      <c r="CH168" s="373"/>
      <c r="CI168" s="870"/>
      <c r="CJ168" s="373"/>
      <c r="CK168" s="373"/>
      <c r="CL168" s="373"/>
      <c r="CM168" s="618"/>
      <c r="CN168" s="374">
        <v>0</v>
      </c>
      <c r="CO168" s="869"/>
      <c r="CP168" s="373"/>
      <c r="CQ168" s="373"/>
      <c r="CR168" s="870"/>
      <c r="CS168" s="373"/>
      <c r="CT168" s="373"/>
      <c r="CU168" s="373"/>
      <c r="CV168" s="618"/>
      <c r="CW168" s="374">
        <v>0</v>
      </c>
      <c r="CX168" s="869">
        <v>2</v>
      </c>
      <c r="CY168" s="373"/>
      <c r="CZ168" s="373"/>
      <c r="DA168" s="870"/>
      <c r="DB168" s="373">
        <v>1</v>
      </c>
      <c r="DC168" s="373"/>
      <c r="DD168" s="373"/>
      <c r="DE168" s="618"/>
      <c r="DF168" s="374">
        <v>1</v>
      </c>
      <c r="DG168" s="869"/>
      <c r="DH168" s="373"/>
      <c r="DI168" s="373"/>
      <c r="DJ168" s="870"/>
      <c r="DK168" s="373"/>
      <c r="DL168" s="373"/>
      <c r="DM168" s="373"/>
      <c r="DN168" s="618"/>
      <c r="DO168" s="374">
        <v>0</v>
      </c>
      <c r="DP168" s="869"/>
      <c r="DQ168" s="373"/>
      <c r="DR168" s="373"/>
      <c r="DS168" s="870"/>
      <c r="DT168" s="373">
        <v>1</v>
      </c>
      <c r="DU168" s="373"/>
      <c r="DV168" s="373"/>
      <c r="DW168" s="618"/>
      <c r="DX168" s="374">
        <v>0</v>
      </c>
      <c r="DY168" s="869">
        <v>2</v>
      </c>
      <c r="DZ168" s="373"/>
      <c r="EA168" s="373"/>
      <c r="EB168" s="870"/>
      <c r="EC168" s="373"/>
      <c r="ED168" s="373"/>
      <c r="EE168" s="373"/>
      <c r="EF168" s="618"/>
      <c r="EG168" s="374">
        <v>0</v>
      </c>
      <c r="EH168" s="869"/>
      <c r="EI168" s="373"/>
      <c r="EJ168" s="373"/>
      <c r="EK168" s="870"/>
      <c r="EL168" s="373"/>
      <c r="EM168" s="373"/>
      <c r="EN168" s="373"/>
      <c r="EO168" s="618"/>
      <c r="EP168" s="374">
        <v>0</v>
      </c>
      <c r="EQ168" s="869"/>
      <c r="ER168" s="373"/>
      <c r="ES168" s="373"/>
      <c r="ET168" s="870"/>
      <c r="EU168" s="373"/>
      <c r="EV168" s="373"/>
      <c r="EW168" s="373"/>
      <c r="EX168" s="618"/>
      <c r="EY168" s="374">
        <v>0</v>
      </c>
      <c r="EZ168" s="869"/>
      <c r="FA168" s="373"/>
      <c r="FB168" s="373"/>
      <c r="FC168" s="870"/>
      <c r="FD168" s="373"/>
      <c r="FE168" s="373"/>
      <c r="FF168" s="373"/>
      <c r="FG168" s="618"/>
      <c r="FH168" s="374">
        <v>0</v>
      </c>
      <c r="FI168" s="869"/>
      <c r="FJ168" s="373"/>
      <c r="FK168" s="373"/>
      <c r="FL168" s="870"/>
      <c r="FM168" s="373"/>
      <c r="FN168" s="373"/>
      <c r="FO168" s="373"/>
      <c r="FP168" s="618"/>
      <c r="FQ168" s="374">
        <v>0</v>
      </c>
      <c r="FR168" s="869"/>
      <c r="FS168" s="373"/>
      <c r="FT168" s="373"/>
      <c r="FU168" s="870"/>
      <c r="FV168" s="373"/>
      <c r="FW168" s="373"/>
      <c r="FX168" s="373"/>
      <c r="FY168" s="618"/>
      <c r="FZ168" s="374">
        <v>0</v>
      </c>
      <c r="GA168" s="869"/>
      <c r="GB168" s="373"/>
      <c r="GC168" s="373"/>
      <c r="GD168" s="870"/>
      <c r="GE168" s="373"/>
      <c r="GF168" s="373"/>
      <c r="GG168" s="373"/>
      <c r="GH168" s="618"/>
      <c r="GI168" s="374">
        <v>0</v>
      </c>
      <c r="GJ168" s="869">
        <v>2</v>
      </c>
      <c r="GK168" s="373"/>
      <c r="GL168" s="373"/>
      <c r="GM168" s="870"/>
      <c r="GN168" s="373">
        <v>1</v>
      </c>
      <c r="GO168" s="373"/>
      <c r="GP168" s="373"/>
      <c r="GQ168" s="618"/>
      <c r="GR168" s="374">
        <v>1</v>
      </c>
      <c r="GS168" s="869"/>
      <c r="GT168" s="373"/>
      <c r="GU168" s="373"/>
      <c r="GV168" s="870"/>
      <c r="GW168" s="373"/>
      <c r="GX168" s="373"/>
      <c r="GY168" s="373"/>
      <c r="GZ168" s="618"/>
      <c r="HA168" s="374">
        <v>1</v>
      </c>
      <c r="HB168" s="869"/>
      <c r="HC168" s="373"/>
      <c r="HD168" s="373"/>
      <c r="HE168" s="870"/>
      <c r="HF168" s="373"/>
      <c r="HG168" s="373"/>
      <c r="HH168" s="373"/>
      <c r="HI168" s="618"/>
      <c r="HJ168" s="374">
        <v>0</v>
      </c>
      <c r="HK168" s="869"/>
      <c r="HL168" s="373"/>
      <c r="HM168" s="373"/>
      <c r="HN168" s="870"/>
      <c r="HO168" s="373"/>
      <c r="HP168" s="373"/>
      <c r="HQ168" s="373"/>
      <c r="HR168" s="618"/>
      <c r="HS168" s="374">
        <v>0</v>
      </c>
      <c r="HT168" s="869"/>
      <c r="HU168" s="373"/>
      <c r="HV168" s="373"/>
      <c r="HW168" s="870"/>
      <c r="HX168" s="373">
        <v>1</v>
      </c>
      <c r="HY168" s="373">
        <v>1</v>
      </c>
      <c r="HZ168" s="373"/>
      <c r="IA168" s="618"/>
      <c r="IB168" s="374">
        <v>1</v>
      </c>
      <c r="IC168" s="869">
        <v>2</v>
      </c>
      <c r="ID168" s="373"/>
      <c r="IE168" s="373"/>
      <c r="IF168" s="870"/>
      <c r="IG168" s="373">
        <v>2</v>
      </c>
      <c r="IH168" s="373">
        <v>1</v>
      </c>
      <c r="II168" s="373"/>
      <c r="IJ168" s="618"/>
      <c r="IK168" s="374">
        <v>3</v>
      </c>
      <c r="IL168" s="377">
        <v>2</v>
      </c>
      <c r="IM168" s="373"/>
      <c r="IN168" s="373"/>
      <c r="IO168" s="871"/>
      <c r="IP168" s="871"/>
      <c r="IQ168" s="373"/>
      <c r="IR168" s="373"/>
      <c r="IS168" s="618"/>
      <c r="IT168" s="374">
        <v>0</v>
      </c>
    </row>
    <row r="169" spans="1:254" s="245" customFormat="1" ht="12.75" customHeight="1" x14ac:dyDescent="0.2">
      <c r="A169" s="1052"/>
      <c r="B169" s="868" t="s">
        <v>1021</v>
      </c>
      <c r="C169" s="869"/>
      <c r="D169" s="373"/>
      <c r="E169" s="373"/>
      <c r="F169" s="870"/>
      <c r="G169" s="373"/>
      <c r="H169" s="373"/>
      <c r="I169" s="373"/>
      <c r="J169" s="618"/>
      <c r="K169" s="374">
        <v>0</v>
      </c>
      <c r="L169" s="869"/>
      <c r="M169" s="373"/>
      <c r="N169" s="373"/>
      <c r="O169" s="870"/>
      <c r="P169" s="373"/>
      <c r="Q169" s="373"/>
      <c r="R169" s="373"/>
      <c r="S169" s="618"/>
      <c r="T169" s="374">
        <v>0</v>
      </c>
      <c r="U169" s="869"/>
      <c r="V169" s="373"/>
      <c r="W169" s="373"/>
      <c r="X169" s="870"/>
      <c r="Y169" s="373"/>
      <c r="Z169" s="373"/>
      <c r="AA169" s="373"/>
      <c r="AB169" s="618"/>
      <c r="AC169" s="374">
        <v>0</v>
      </c>
      <c r="AD169" s="869">
        <v>12</v>
      </c>
      <c r="AE169" s="373">
        <v>15</v>
      </c>
      <c r="AF169" s="373">
        <v>9</v>
      </c>
      <c r="AG169" s="870">
        <v>10</v>
      </c>
      <c r="AH169" s="373">
        <v>10</v>
      </c>
      <c r="AI169" s="373">
        <v>8</v>
      </c>
      <c r="AJ169" s="373">
        <v>15</v>
      </c>
      <c r="AK169" s="618">
        <v>14</v>
      </c>
      <c r="AL169" s="374">
        <v>7</v>
      </c>
      <c r="AM169" s="869">
        <v>7</v>
      </c>
      <c r="AN169" s="373">
        <v>7</v>
      </c>
      <c r="AO169" s="373">
        <v>6</v>
      </c>
      <c r="AP169" s="870">
        <v>3</v>
      </c>
      <c r="AQ169" s="373">
        <v>5</v>
      </c>
      <c r="AR169" s="373">
        <v>4</v>
      </c>
      <c r="AS169" s="373">
        <v>5</v>
      </c>
      <c r="AT169" s="618">
        <v>6</v>
      </c>
      <c r="AU169" s="374">
        <v>4</v>
      </c>
      <c r="AV169" s="869"/>
      <c r="AW169" s="373"/>
      <c r="AX169" s="373"/>
      <c r="AY169" s="870"/>
      <c r="AZ169" s="373"/>
      <c r="BA169" s="373"/>
      <c r="BB169" s="373"/>
      <c r="BC169" s="618"/>
      <c r="BD169" s="374">
        <v>0</v>
      </c>
      <c r="BE169" s="869"/>
      <c r="BF169" s="373">
        <v>9</v>
      </c>
      <c r="BG169" s="373">
        <v>6</v>
      </c>
      <c r="BH169" s="870"/>
      <c r="BI169" s="373"/>
      <c r="BJ169" s="373"/>
      <c r="BK169" s="373">
        <v>3</v>
      </c>
      <c r="BL169" s="618"/>
      <c r="BM169" s="374">
        <v>3</v>
      </c>
      <c r="BN169" s="869"/>
      <c r="BO169" s="373"/>
      <c r="BP169" s="373"/>
      <c r="BQ169" s="870"/>
      <c r="BR169" s="373"/>
      <c r="BS169" s="373"/>
      <c r="BT169" s="373"/>
      <c r="BU169" s="618"/>
      <c r="BV169" s="374">
        <v>0</v>
      </c>
      <c r="BW169" s="869">
        <v>30</v>
      </c>
      <c r="BX169" s="373">
        <v>26</v>
      </c>
      <c r="BY169" s="373">
        <v>24</v>
      </c>
      <c r="BZ169" s="870">
        <v>23</v>
      </c>
      <c r="CA169" s="373">
        <v>36</v>
      </c>
      <c r="CB169" s="373">
        <v>30</v>
      </c>
      <c r="CC169" s="373">
        <v>30</v>
      </c>
      <c r="CD169" s="618">
        <v>16</v>
      </c>
      <c r="CE169" s="374">
        <v>15</v>
      </c>
      <c r="CF169" s="869">
        <v>1</v>
      </c>
      <c r="CG169" s="373"/>
      <c r="CH169" s="373">
        <v>1</v>
      </c>
      <c r="CI169" s="870"/>
      <c r="CJ169" s="373">
        <v>1</v>
      </c>
      <c r="CK169" s="373"/>
      <c r="CL169" s="373">
        <v>2</v>
      </c>
      <c r="CM169" s="618">
        <v>1</v>
      </c>
      <c r="CN169" s="374">
        <v>0</v>
      </c>
      <c r="CO169" s="869"/>
      <c r="CP169" s="373"/>
      <c r="CQ169" s="373"/>
      <c r="CR169" s="870"/>
      <c r="CS169" s="373">
        <v>1</v>
      </c>
      <c r="CT169" s="373"/>
      <c r="CU169" s="373">
        <v>1</v>
      </c>
      <c r="CV169" s="618"/>
      <c r="CW169" s="374">
        <v>0</v>
      </c>
      <c r="CX169" s="869">
        <v>169</v>
      </c>
      <c r="CY169" s="373">
        <v>142</v>
      </c>
      <c r="CZ169" s="373">
        <v>172</v>
      </c>
      <c r="DA169" s="870">
        <v>150</v>
      </c>
      <c r="DB169" s="373">
        <v>171</v>
      </c>
      <c r="DC169" s="373">
        <v>128</v>
      </c>
      <c r="DD169" s="373">
        <v>128</v>
      </c>
      <c r="DE169" s="618">
        <v>150</v>
      </c>
      <c r="DF169" s="374">
        <v>80</v>
      </c>
      <c r="DG169" s="869"/>
      <c r="DH169" s="373"/>
      <c r="DI169" s="373">
        <v>3</v>
      </c>
      <c r="DJ169" s="870">
        <v>1</v>
      </c>
      <c r="DK169" s="373">
        <v>1</v>
      </c>
      <c r="DL169" s="373">
        <v>2</v>
      </c>
      <c r="DM169" s="373"/>
      <c r="DN169" s="618"/>
      <c r="DO169" s="374">
        <v>0</v>
      </c>
      <c r="DP169" s="869"/>
      <c r="DQ169" s="373">
        <v>14</v>
      </c>
      <c r="DR169" s="373">
        <v>2</v>
      </c>
      <c r="DS169" s="870">
        <v>1</v>
      </c>
      <c r="DT169" s="373">
        <v>1</v>
      </c>
      <c r="DU169" s="373"/>
      <c r="DV169" s="373">
        <v>1</v>
      </c>
      <c r="DW169" s="618">
        <v>2</v>
      </c>
      <c r="DX169" s="374">
        <v>1</v>
      </c>
      <c r="DY169" s="869">
        <v>8</v>
      </c>
      <c r="DZ169" s="373">
        <v>6</v>
      </c>
      <c r="EA169" s="373">
        <v>27</v>
      </c>
      <c r="EB169" s="870">
        <v>20</v>
      </c>
      <c r="EC169" s="373">
        <v>24</v>
      </c>
      <c r="ED169" s="373">
        <v>16</v>
      </c>
      <c r="EE169" s="373">
        <v>11</v>
      </c>
      <c r="EF169" s="618">
        <v>12</v>
      </c>
      <c r="EG169" s="374">
        <v>3</v>
      </c>
      <c r="EH169" s="869">
        <v>2</v>
      </c>
      <c r="EI169" s="373">
        <v>2</v>
      </c>
      <c r="EJ169" s="373">
        <v>2</v>
      </c>
      <c r="EK169" s="870"/>
      <c r="EL169" s="373">
        <v>2</v>
      </c>
      <c r="EM169" s="373"/>
      <c r="EN169" s="373"/>
      <c r="EO169" s="618">
        <v>1</v>
      </c>
      <c r="EP169" s="374">
        <v>0</v>
      </c>
      <c r="EQ169" s="869"/>
      <c r="ER169" s="373">
        <v>1</v>
      </c>
      <c r="ES169" s="373">
        <v>2</v>
      </c>
      <c r="ET169" s="870"/>
      <c r="EU169" s="373"/>
      <c r="EV169" s="373"/>
      <c r="EW169" s="373"/>
      <c r="EX169" s="618">
        <v>4</v>
      </c>
      <c r="EY169" s="374">
        <v>4</v>
      </c>
      <c r="EZ169" s="869"/>
      <c r="FA169" s="373">
        <v>2</v>
      </c>
      <c r="FB169" s="373">
        <v>4</v>
      </c>
      <c r="FC169" s="870"/>
      <c r="FD169" s="373"/>
      <c r="FE169" s="373"/>
      <c r="FF169" s="373"/>
      <c r="FG169" s="618"/>
      <c r="FH169" s="374">
        <v>0</v>
      </c>
      <c r="FI169" s="869">
        <v>11</v>
      </c>
      <c r="FJ169" s="373">
        <v>8</v>
      </c>
      <c r="FK169" s="373">
        <v>5</v>
      </c>
      <c r="FL169" s="870">
        <v>7</v>
      </c>
      <c r="FM169" s="373">
        <v>4</v>
      </c>
      <c r="FN169" s="373">
        <v>6</v>
      </c>
      <c r="FO169" s="373">
        <v>3</v>
      </c>
      <c r="FP169" s="618">
        <v>6</v>
      </c>
      <c r="FQ169" s="374">
        <v>2</v>
      </c>
      <c r="FR169" s="869">
        <v>4</v>
      </c>
      <c r="FS169" s="373">
        <v>1</v>
      </c>
      <c r="FT169" s="373"/>
      <c r="FU169" s="870">
        <v>1</v>
      </c>
      <c r="FV169" s="373">
        <v>1</v>
      </c>
      <c r="FW169" s="373">
        <v>2</v>
      </c>
      <c r="FX169" s="373"/>
      <c r="FY169" s="618"/>
      <c r="FZ169" s="374">
        <v>0</v>
      </c>
      <c r="GA169" s="869"/>
      <c r="GB169" s="373"/>
      <c r="GC169" s="373"/>
      <c r="GD169" s="870">
        <v>3</v>
      </c>
      <c r="GE169" s="373">
        <v>5</v>
      </c>
      <c r="GF169" s="373">
        <v>2</v>
      </c>
      <c r="GG169" s="373">
        <v>1</v>
      </c>
      <c r="GH169" s="618">
        <v>7</v>
      </c>
      <c r="GI169" s="374">
        <v>3</v>
      </c>
      <c r="GJ169" s="869">
        <v>229</v>
      </c>
      <c r="GK169" s="373">
        <v>206</v>
      </c>
      <c r="GL169" s="373">
        <v>225</v>
      </c>
      <c r="GM169" s="870">
        <v>194</v>
      </c>
      <c r="GN169" s="373">
        <v>231</v>
      </c>
      <c r="GO169" s="373">
        <v>176</v>
      </c>
      <c r="GP169" s="373">
        <v>183</v>
      </c>
      <c r="GQ169" s="618">
        <v>199</v>
      </c>
      <c r="GR169" s="374">
        <v>114</v>
      </c>
      <c r="GS169" s="869">
        <v>67</v>
      </c>
      <c r="GT169" s="373">
        <v>73</v>
      </c>
      <c r="GU169" s="373">
        <v>65</v>
      </c>
      <c r="GV169" s="870">
        <v>56</v>
      </c>
      <c r="GW169" s="373">
        <v>58</v>
      </c>
      <c r="GX169" s="373">
        <v>45</v>
      </c>
      <c r="GY169" s="373">
        <v>44</v>
      </c>
      <c r="GZ169" s="618">
        <v>63</v>
      </c>
      <c r="HA169" s="374">
        <v>39</v>
      </c>
      <c r="HB169" s="869">
        <v>1</v>
      </c>
      <c r="HC169" s="373">
        <v>1</v>
      </c>
      <c r="HD169" s="373"/>
      <c r="HE169" s="870"/>
      <c r="HF169" s="373"/>
      <c r="HG169" s="373">
        <v>1</v>
      </c>
      <c r="HH169" s="373"/>
      <c r="HI169" s="618"/>
      <c r="HJ169" s="374">
        <v>2</v>
      </c>
      <c r="HK169" s="869"/>
      <c r="HL169" s="373"/>
      <c r="HM169" s="373"/>
      <c r="HN169" s="870"/>
      <c r="HO169" s="373">
        <v>1</v>
      </c>
      <c r="HP169" s="373"/>
      <c r="HQ169" s="373"/>
      <c r="HR169" s="618"/>
      <c r="HS169" s="374">
        <v>0</v>
      </c>
      <c r="HT169" s="869">
        <v>96</v>
      </c>
      <c r="HU169" s="373">
        <v>117</v>
      </c>
      <c r="HV169" s="373">
        <v>87</v>
      </c>
      <c r="HW169" s="870">
        <v>103</v>
      </c>
      <c r="HX169" s="373">
        <v>99</v>
      </c>
      <c r="HY169" s="373">
        <v>92</v>
      </c>
      <c r="HZ169" s="373">
        <v>76</v>
      </c>
      <c r="IA169" s="618">
        <v>93</v>
      </c>
      <c r="IB169" s="374">
        <v>81</v>
      </c>
      <c r="IC169" s="869">
        <v>388</v>
      </c>
      <c r="ID169" s="373">
        <v>452</v>
      </c>
      <c r="IE169" s="373">
        <v>410</v>
      </c>
      <c r="IF169" s="870">
        <v>397</v>
      </c>
      <c r="IG169" s="373">
        <v>376</v>
      </c>
      <c r="IH169" s="373">
        <v>322</v>
      </c>
      <c r="II169" s="373">
        <v>327</v>
      </c>
      <c r="IJ169" s="618">
        <v>341</v>
      </c>
      <c r="IK169" s="374">
        <v>550</v>
      </c>
      <c r="IL169" s="377">
        <v>55</v>
      </c>
      <c r="IM169" s="373">
        <v>21</v>
      </c>
      <c r="IN169" s="373">
        <v>54</v>
      </c>
      <c r="IO169" s="871">
        <v>29</v>
      </c>
      <c r="IP169" s="871">
        <v>26</v>
      </c>
      <c r="IQ169" s="373">
        <v>22</v>
      </c>
      <c r="IR169" s="373">
        <v>17</v>
      </c>
      <c r="IS169" s="618">
        <v>15</v>
      </c>
      <c r="IT169" s="374">
        <v>4</v>
      </c>
    </row>
    <row r="170" spans="1:254" s="245" customFormat="1" ht="12.75" customHeight="1" x14ac:dyDescent="0.2">
      <c r="A170" s="1052"/>
      <c r="B170" s="868" t="s">
        <v>1022</v>
      </c>
      <c r="C170" s="872"/>
      <c r="D170" s="807"/>
      <c r="E170" s="807"/>
      <c r="F170" s="873"/>
      <c r="G170" s="807"/>
      <c r="H170" s="807"/>
      <c r="I170" s="807"/>
      <c r="J170" s="808"/>
      <c r="K170" s="809">
        <v>0</v>
      </c>
      <c r="L170" s="872"/>
      <c r="M170" s="807"/>
      <c r="N170" s="807"/>
      <c r="O170" s="873"/>
      <c r="P170" s="807"/>
      <c r="Q170" s="807"/>
      <c r="R170" s="807"/>
      <c r="S170" s="808"/>
      <c r="T170" s="809">
        <v>0</v>
      </c>
      <c r="U170" s="872"/>
      <c r="V170" s="807"/>
      <c r="W170" s="807"/>
      <c r="X170" s="873"/>
      <c r="Y170" s="807"/>
      <c r="Z170" s="807"/>
      <c r="AA170" s="807"/>
      <c r="AB170" s="808"/>
      <c r="AC170" s="809">
        <v>0</v>
      </c>
      <c r="AD170" s="872"/>
      <c r="AE170" s="807">
        <v>1</v>
      </c>
      <c r="AF170" s="807">
        <v>1</v>
      </c>
      <c r="AG170" s="873"/>
      <c r="AH170" s="807"/>
      <c r="AI170" s="807"/>
      <c r="AJ170" s="807"/>
      <c r="AK170" s="808"/>
      <c r="AL170" s="809">
        <v>0</v>
      </c>
      <c r="AM170" s="872"/>
      <c r="AN170" s="807"/>
      <c r="AO170" s="807">
        <v>1</v>
      </c>
      <c r="AP170" s="873"/>
      <c r="AQ170" s="807"/>
      <c r="AR170" s="807"/>
      <c r="AS170" s="807"/>
      <c r="AT170" s="808"/>
      <c r="AU170" s="809">
        <v>0</v>
      </c>
      <c r="AV170" s="872"/>
      <c r="AW170" s="807"/>
      <c r="AX170" s="807"/>
      <c r="AY170" s="873"/>
      <c r="AZ170" s="807"/>
      <c r="BA170" s="807"/>
      <c r="BB170" s="807"/>
      <c r="BC170" s="808"/>
      <c r="BD170" s="809">
        <v>0</v>
      </c>
      <c r="BE170" s="872"/>
      <c r="BF170" s="807">
        <v>2</v>
      </c>
      <c r="BG170" s="807"/>
      <c r="BH170" s="873"/>
      <c r="BI170" s="807"/>
      <c r="BJ170" s="807"/>
      <c r="BK170" s="807"/>
      <c r="BL170" s="808"/>
      <c r="BM170" s="809">
        <v>0</v>
      </c>
      <c r="BN170" s="872"/>
      <c r="BO170" s="807"/>
      <c r="BP170" s="807"/>
      <c r="BQ170" s="873"/>
      <c r="BR170" s="807"/>
      <c r="BS170" s="807"/>
      <c r="BT170" s="807"/>
      <c r="BU170" s="808"/>
      <c r="BV170" s="809">
        <v>0</v>
      </c>
      <c r="BW170" s="872">
        <v>2</v>
      </c>
      <c r="BX170" s="807">
        <v>1</v>
      </c>
      <c r="BY170" s="807">
        <v>2</v>
      </c>
      <c r="BZ170" s="873">
        <v>1</v>
      </c>
      <c r="CA170" s="807">
        <v>1</v>
      </c>
      <c r="CB170" s="807"/>
      <c r="CC170" s="807"/>
      <c r="CD170" s="808"/>
      <c r="CE170" s="809">
        <v>0</v>
      </c>
      <c r="CF170" s="872"/>
      <c r="CG170" s="807"/>
      <c r="CH170" s="807"/>
      <c r="CI170" s="873"/>
      <c r="CJ170" s="807"/>
      <c r="CK170" s="807"/>
      <c r="CL170" s="807"/>
      <c r="CM170" s="808"/>
      <c r="CN170" s="809">
        <v>0</v>
      </c>
      <c r="CO170" s="872"/>
      <c r="CP170" s="807"/>
      <c r="CQ170" s="807"/>
      <c r="CR170" s="873"/>
      <c r="CS170" s="807"/>
      <c r="CT170" s="807"/>
      <c r="CU170" s="807"/>
      <c r="CV170" s="808"/>
      <c r="CW170" s="809">
        <v>3</v>
      </c>
      <c r="CX170" s="872">
        <v>12</v>
      </c>
      <c r="CY170" s="807">
        <v>16</v>
      </c>
      <c r="CZ170" s="807">
        <v>12</v>
      </c>
      <c r="DA170" s="873">
        <v>7</v>
      </c>
      <c r="DB170" s="807">
        <v>5</v>
      </c>
      <c r="DC170" s="807">
        <v>10</v>
      </c>
      <c r="DD170" s="807">
        <v>3</v>
      </c>
      <c r="DE170" s="808">
        <v>4</v>
      </c>
      <c r="DF170" s="809">
        <v>3</v>
      </c>
      <c r="DG170" s="872"/>
      <c r="DH170" s="807"/>
      <c r="DI170" s="807"/>
      <c r="DJ170" s="873"/>
      <c r="DK170" s="807"/>
      <c r="DL170" s="807"/>
      <c r="DM170" s="807"/>
      <c r="DN170" s="808"/>
      <c r="DO170" s="809">
        <v>0</v>
      </c>
      <c r="DP170" s="872"/>
      <c r="DQ170" s="807"/>
      <c r="DR170" s="807"/>
      <c r="DS170" s="873">
        <v>2</v>
      </c>
      <c r="DT170" s="807"/>
      <c r="DU170" s="807"/>
      <c r="DV170" s="807"/>
      <c r="DW170" s="808"/>
      <c r="DX170" s="809">
        <v>0</v>
      </c>
      <c r="DY170" s="872">
        <v>1</v>
      </c>
      <c r="DZ170" s="807">
        <v>3</v>
      </c>
      <c r="EA170" s="807">
        <v>2</v>
      </c>
      <c r="EB170" s="873">
        <v>1</v>
      </c>
      <c r="EC170" s="807">
        <v>1</v>
      </c>
      <c r="ED170" s="807">
        <v>2</v>
      </c>
      <c r="EE170" s="807">
        <v>2</v>
      </c>
      <c r="EF170" s="808">
        <v>2</v>
      </c>
      <c r="EG170" s="809">
        <v>1</v>
      </c>
      <c r="EH170" s="872"/>
      <c r="EI170" s="807"/>
      <c r="EJ170" s="807"/>
      <c r="EK170" s="873"/>
      <c r="EL170" s="807"/>
      <c r="EM170" s="807">
        <v>1</v>
      </c>
      <c r="EN170" s="807"/>
      <c r="EO170" s="808"/>
      <c r="EP170" s="809">
        <v>0</v>
      </c>
      <c r="EQ170" s="872"/>
      <c r="ER170" s="807"/>
      <c r="ES170" s="807"/>
      <c r="ET170" s="873"/>
      <c r="EU170" s="807"/>
      <c r="EV170" s="807"/>
      <c r="EW170" s="807"/>
      <c r="EX170" s="808"/>
      <c r="EY170" s="809">
        <v>0</v>
      </c>
      <c r="EZ170" s="872"/>
      <c r="FA170" s="807"/>
      <c r="FB170" s="807">
        <v>1</v>
      </c>
      <c r="FC170" s="873"/>
      <c r="FD170" s="807"/>
      <c r="FE170" s="807"/>
      <c r="FF170" s="807"/>
      <c r="FG170" s="808"/>
      <c r="FH170" s="809">
        <v>0</v>
      </c>
      <c r="FI170" s="872"/>
      <c r="FJ170" s="807">
        <v>1</v>
      </c>
      <c r="FK170" s="807"/>
      <c r="FL170" s="873"/>
      <c r="FM170" s="807">
        <v>1</v>
      </c>
      <c r="FN170" s="807"/>
      <c r="FO170" s="807">
        <v>1</v>
      </c>
      <c r="FP170" s="808"/>
      <c r="FQ170" s="809">
        <v>0</v>
      </c>
      <c r="FR170" s="872"/>
      <c r="FS170" s="807"/>
      <c r="FT170" s="807"/>
      <c r="FU170" s="873"/>
      <c r="FV170" s="807"/>
      <c r="FW170" s="807"/>
      <c r="FX170" s="807"/>
      <c r="FY170" s="808"/>
      <c r="FZ170" s="809">
        <v>0</v>
      </c>
      <c r="GA170" s="872"/>
      <c r="GB170" s="807"/>
      <c r="GC170" s="807"/>
      <c r="GD170" s="873"/>
      <c r="GE170" s="807"/>
      <c r="GF170" s="807"/>
      <c r="GG170" s="807"/>
      <c r="GH170" s="808"/>
      <c r="GI170" s="809">
        <v>0</v>
      </c>
      <c r="GJ170" s="872">
        <v>14</v>
      </c>
      <c r="GK170" s="807">
        <v>21</v>
      </c>
      <c r="GL170" s="807">
        <v>16</v>
      </c>
      <c r="GM170" s="873">
        <v>8</v>
      </c>
      <c r="GN170" s="807">
        <v>7</v>
      </c>
      <c r="GO170" s="807">
        <v>11</v>
      </c>
      <c r="GP170" s="807">
        <v>4</v>
      </c>
      <c r="GQ170" s="808">
        <v>4</v>
      </c>
      <c r="GR170" s="809">
        <v>6</v>
      </c>
      <c r="GS170" s="872">
        <v>2</v>
      </c>
      <c r="GT170" s="807">
        <v>7</v>
      </c>
      <c r="GU170" s="807">
        <v>7</v>
      </c>
      <c r="GV170" s="873">
        <v>6</v>
      </c>
      <c r="GW170" s="807">
        <v>1</v>
      </c>
      <c r="GX170" s="807"/>
      <c r="GY170" s="807"/>
      <c r="GZ170" s="808"/>
      <c r="HA170" s="809">
        <v>0</v>
      </c>
      <c r="HB170" s="872"/>
      <c r="HC170" s="807"/>
      <c r="HD170" s="807"/>
      <c r="HE170" s="873"/>
      <c r="HF170" s="807"/>
      <c r="HG170" s="807"/>
      <c r="HH170" s="807"/>
      <c r="HI170" s="808"/>
      <c r="HJ170" s="809">
        <v>0</v>
      </c>
      <c r="HK170" s="872"/>
      <c r="HL170" s="807">
        <v>1</v>
      </c>
      <c r="HM170" s="807"/>
      <c r="HN170" s="873"/>
      <c r="HO170" s="807"/>
      <c r="HP170" s="807"/>
      <c r="HQ170" s="807"/>
      <c r="HR170" s="808"/>
      <c r="HS170" s="809">
        <v>0</v>
      </c>
      <c r="HT170" s="872">
        <v>2</v>
      </c>
      <c r="HU170" s="807">
        <v>9</v>
      </c>
      <c r="HV170" s="807">
        <v>8</v>
      </c>
      <c r="HW170" s="873">
        <v>7</v>
      </c>
      <c r="HX170" s="807">
        <v>4</v>
      </c>
      <c r="HY170" s="807"/>
      <c r="HZ170" s="807">
        <v>1</v>
      </c>
      <c r="IA170" s="808">
        <v>1</v>
      </c>
      <c r="IB170" s="809">
        <v>1</v>
      </c>
      <c r="IC170" s="872">
        <v>23</v>
      </c>
      <c r="ID170" s="807">
        <v>36</v>
      </c>
      <c r="IE170" s="807">
        <v>19</v>
      </c>
      <c r="IF170" s="873">
        <v>11</v>
      </c>
      <c r="IG170" s="807">
        <v>16</v>
      </c>
      <c r="IH170" s="807">
        <v>15</v>
      </c>
      <c r="II170" s="807">
        <v>10</v>
      </c>
      <c r="IJ170" s="808">
        <v>9</v>
      </c>
      <c r="IK170" s="809">
        <v>11</v>
      </c>
      <c r="IL170" s="806">
        <v>2</v>
      </c>
      <c r="IM170" s="807">
        <v>4</v>
      </c>
      <c r="IN170" s="807">
        <v>3</v>
      </c>
      <c r="IO170" s="871">
        <v>1</v>
      </c>
      <c r="IP170" s="871">
        <v>1</v>
      </c>
      <c r="IQ170" s="807">
        <v>4</v>
      </c>
      <c r="IR170" s="807">
        <v>2</v>
      </c>
      <c r="IS170" s="808">
        <v>3</v>
      </c>
      <c r="IT170" s="809">
        <v>2</v>
      </c>
    </row>
    <row r="171" spans="1:254" s="245" customFormat="1" ht="12.75" customHeight="1" x14ac:dyDescent="0.2">
      <c r="A171" s="1052"/>
      <c r="B171" s="868" t="s">
        <v>1023</v>
      </c>
      <c r="C171" s="869"/>
      <c r="D171" s="373"/>
      <c r="E171" s="373"/>
      <c r="F171" s="870"/>
      <c r="G171" s="373"/>
      <c r="H171" s="373"/>
      <c r="I171" s="373"/>
      <c r="J171" s="618"/>
      <c r="K171" s="374">
        <v>0</v>
      </c>
      <c r="L171" s="869"/>
      <c r="M171" s="373"/>
      <c r="N171" s="373"/>
      <c r="O171" s="870"/>
      <c r="P171" s="373"/>
      <c r="Q171" s="373"/>
      <c r="R171" s="373"/>
      <c r="S171" s="618"/>
      <c r="T171" s="374">
        <v>0</v>
      </c>
      <c r="U171" s="869"/>
      <c r="V171" s="373"/>
      <c r="W171" s="373"/>
      <c r="X171" s="870"/>
      <c r="Y171" s="373"/>
      <c r="Z171" s="373"/>
      <c r="AA171" s="373"/>
      <c r="AB171" s="618"/>
      <c r="AC171" s="374">
        <v>0</v>
      </c>
      <c r="AD171" s="869"/>
      <c r="AE171" s="373">
        <v>1</v>
      </c>
      <c r="AF171" s="373"/>
      <c r="AG171" s="870"/>
      <c r="AH171" s="373">
        <v>5</v>
      </c>
      <c r="AI171" s="373"/>
      <c r="AJ171" s="373"/>
      <c r="AK171" s="618"/>
      <c r="AL171" s="374">
        <v>0</v>
      </c>
      <c r="AM171" s="869"/>
      <c r="AN171" s="373"/>
      <c r="AO171" s="373"/>
      <c r="AP171" s="870"/>
      <c r="AQ171" s="373">
        <v>2</v>
      </c>
      <c r="AR171" s="373"/>
      <c r="AS171" s="373"/>
      <c r="AT171" s="618"/>
      <c r="AU171" s="374">
        <v>0</v>
      </c>
      <c r="AV171" s="869"/>
      <c r="AW171" s="373"/>
      <c r="AX171" s="373"/>
      <c r="AY171" s="870"/>
      <c r="AZ171" s="373"/>
      <c r="BA171" s="373"/>
      <c r="BB171" s="373"/>
      <c r="BC171" s="618"/>
      <c r="BD171" s="374">
        <v>0</v>
      </c>
      <c r="BE171" s="869"/>
      <c r="BF171" s="373"/>
      <c r="BG171" s="373"/>
      <c r="BH171" s="870"/>
      <c r="BI171" s="373"/>
      <c r="BJ171" s="373"/>
      <c r="BK171" s="373"/>
      <c r="BL171" s="618"/>
      <c r="BM171" s="374">
        <v>0</v>
      </c>
      <c r="BN171" s="869"/>
      <c r="BO171" s="373"/>
      <c r="BP171" s="373"/>
      <c r="BQ171" s="870"/>
      <c r="BR171" s="373"/>
      <c r="BS171" s="373"/>
      <c r="BT171" s="373"/>
      <c r="BU171" s="618"/>
      <c r="BV171" s="374">
        <v>0</v>
      </c>
      <c r="BW171" s="869"/>
      <c r="BX171" s="373">
        <v>1</v>
      </c>
      <c r="BY171" s="373"/>
      <c r="BZ171" s="870"/>
      <c r="CA171" s="373"/>
      <c r="CB171" s="373"/>
      <c r="CC171" s="373"/>
      <c r="CD171" s="618"/>
      <c r="CE171" s="374">
        <v>0</v>
      </c>
      <c r="CF171" s="869"/>
      <c r="CG171" s="373"/>
      <c r="CH171" s="373"/>
      <c r="CI171" s="870"/>
      <c r="CJ171" s="373"/>
      <c r="CK171" s="373"/>
      <c r="CL171" s="373">
        <v>1</v>
      </c>
      <c r="CM171" s="618"/>
      <c r="CN171" s="374">
        <v>0</v>
      </c>
      <c r="CO171" s="869"/>
      <c r="CP171" s="373"/>
      <c r="CQ171" s="373"/>
      <c r="CR171" s="870"/>
      <c r="CS171" s="373"/>
      <c r="CT171" s="373"/>
      <c r="CU171" s="373"/>
      <c r="CV171" s="618"/>
      <c r="CW171" s="374">
        <v>0</v>
      </c>
      <c r="CX171" s="869"/>
      <c r="CY171" s="373">
        <v>3</v>
      </c>
      <c r="CZ171" s="373">
        <v>5</v>
      </c>
      <c r="DA171" s="870">
        <v>4</v>
      </c>
      <c r="DB171" s="373">
        <v>3</v>
      </c>
      <c r="DC171" s="373">
        <v>15</v>
      </c>
      <c r="DD171" s="373">
        <v>4</v>
      </c>
      <c r="DE171" s="618">
        <v>2</v>
      </c>
      <c r="DF171" s="374">
        <v>3</v>
      </c>
      <c r="DG171" s="869"/>
      <c r="DH171" s="373"/>
      <c r="DI171" s="373"/>
      <c r="DJ171" s="870"/>
      <c r="DK171" s="373"/>
      <c r="DL171" s="373"/>
      <c r="DM171" s="373"/>
      <c r="DN171" s="618"/>
      <c r="DO171" s="374">
        <v>0</v>
      </c>
      <c r="DP171" s="869"/>
      <c r="DQ171" s="373"/>
      <c r="DR171" s="373"/>
      <c r="DS171" s="870"/>
      <c r="DT171" s="373"/>
      <c r="DU171" s="373"/>
      <c r="DV171" s="373"/>
      <c r="DW171" s="618"/>
      <c r="DX171" s="374">
        <v>0</v>
      </c>
      <c r="DY171" s="869"/>
      <c r="DZ171" s="373"/>
      <c r="EA171" s="373">
        <v>2</v>
      </c>
      <c r="EB171" s="870"/>
      <c r="EC171" s="373">
        <v>1</v>
      </c>
      <c r="ED171" s="373">
        <v>2</v>
      </c>
      <c r="EE171" s="373">
        <v>2</v>
      </c>
      <c r="EF171" s="618"/>
      <c r="EG171" s="374">
        <v>0</v>
      </c>
      <c r="EH171" s="869"/>
      <c r="EI171" s="373"/>
      <c r="EJ171" s="373"/>
      <c r="EK171" s="870"/>
      <c r="EL171" s="373"/>
      <c r="EM171" s="373"/>
      <c r="EN171" s="373"/>
      <c r="EO171" s="618"/>
      <c r="EP171" s="374">
        <v>0</v>
      </c>
      <c r="EQ171" s="869"/>
      <c r="ER171" s="373"/>
      <c r="ES171" s="373"/>
      <c r="ET171" s="870"/>
      <c r="EU171" s="373"/>
      <c r="EV171" s="373"/>
      <c r="EW171" s="373"/>
      <c r="EX171" s="618"/>
      <c r="EY171" s="374">
        <v>0</v>
      </c>
      <c r="EZ171" s="869"/>
      <c r="FA171" s="373"/>
      <c r="FB171" s="373"/>
      <c r="FC171" s="870"/>
      <c r="FD171" s="373">
        <v>1</v>
      </c>
      <c r="FE171" s="373"/>
      <c r="FF171" s="373"/>
      <c r="FG171" s="618"/>
      <c r="FH171" s="374">
        <v>0</v>
      </c>
      <c r="FI171" s="869"/>
      <c r="FJ171" s="373"/>
      <c r="FK171" s="373"/>
      <c r="FL171" s="870"/>
      <c r="FM171" s="373"/>
      <c r="FN171" s="373"/>
      <c r="FO171" s="373"/>
      <c r="FP171" s="618"/>
      <c r="FQ171" s="374">
        <v>0</v>
      </c>
      <c r="FR171" s="869"/>
      <c r="FS171" s="373"/>
      <c r="FT171" s="373"/>
      <c r="FU171" s="870"/>
      <c r="FV171" s="373"/>
      <c r="FW171" s="373"/>
      <c r="FX171" s="373"/>
      <c r="FY171" s="618"/>
      <c r="FZ171" s="374">
        <v>0</v>
      </c>
      <c r="GA171" s="869"/>
      <c r="GB171" s="373"/>
      <c r="GC171" s="373"/>
      <c r="GD171" s="870"/>
      <c r="GE171" s="373"/>
      <c r="GF171" s="373"/>
      <c r="GG171" s="373"/>
      <c r="GH171" s="618"/>
      <c r="GI171" s="374">
        <v>0</v>
      </c>
      <c r="GJ171" s="869"/>
      <c r="GK171" s="373">
        <v>5</v>
      </c>
      <c r="GL171" s="373">
        <v>5</v>
      </c>
      <c r="GM171" s="870">
        <v>4</v>
      </c>
      <c r="GN171" s="373">
        <v>9</v>
      </c>
      <c r="GO171" s="373">
        <v>15</v>
      </c>
      <c r="GP171" s="373">
        <v>5</v>
      </c>
      <c r="GQ171" s="618">
        <v>2</v>
      </c>
      <c r="GR171" s="374">
        <v>3</v>
      </c>
      <c r="GS171" s="869"/>
      <c r="GT171" s="373">
        <v>3</v>
      </c>
      <c r="GU171" s="373"/>
      <c r="GV171" s="870">
        <v>1</v>
      </c>
      <c r="GW171" s="373"/>
      <c r="GX171" s="373">
        <v>11</v>
      </c>
      <c r="GY171" s="373"/>
      <c r="GZ171" s="618"/>
      <c r="HA171" s="374">
        <v>0</v>
      </c>
      <c r="HB171" s="869"/>
      <c r="HC171" s="373"/>
      <c r="HD171" s="373"/>
      <c r="HE171" s="870"/>
      <c r="HF171" s="373"/>
      <c r="HG171" s="373"/>
      <c r="HH171" s="373"/>
      <c r="HI171" s="618"/>
      <c r="HJ171" s="374">
        <v>0</v>
      </c>
      <c r="HK171" s="869"/>
      <c r="HL171" s="373"/>
      <c r="HM171" s="373"/>
      <c r="HN171" s="870"/>
      <c r="HO171" s="373"/>
      <c r="HP171" s="373"/>
      <c r="HQ171" s="373"/>
      <c r="HR171" s="618"/>
      <c r="HS171" s="374">
        <v>0</v>
      </c>
      <c r="HT171" s="869">
        <v>1</v>
      </c>
      <c r="HU171" s="373">
        <v>4</v>
      </c>
      <c r="HV171" s="373"/>
      <c r="HW171" s="870">
        <v>1</v>
      </c>
      <c r="HX171" s="373">
        <v>2</v>
      </c>
      <c r="HY171" s="373">
        <v>11</v>
      </c>
      <c r="HZ171" s="373"/>
      <c r="IA171" s="618">
        <v>1</v>
      </c>
      <c r="IB171" s="374">
        <v>3</v>
      </c>
      <c r="IC171" s="869">
        <v>5</v>
      </c>
      <c r="ID171" s="373">
        <v>17</v>
      </c>
      <c r="IE171" s="373">
        <v>11</v>
      </c>
      <c r="IF171" s="870">
        <v>5</v>
      </c>
      <c r="IG171" s="373">
        <v>13</v>
      </c>
      <c r="IH171" s="373">
        <v>15</v>
      </c>
      <c r="II171" s="373">
        <v>5</v>
      </c>
      <c r="IJ171" s="618">
        <v>5</v>
      </c>
      <c r="IK171" s="374">
        <v>6</v>
      </c>
      <c r="IL171" s="377"/>
      <c r="IM171" s="373">
        <v>2</v>
      </c>
      <c r="IN171" s="373">
        <v>5</v>
      </c>
      <c r="IO171" s="871"/>
      <c r="IP171" s="871">
        <v>3</v>
      </c>
      <c r="IQ171" s="373">
        <v>3</v>
      </c>
      <c r="IR171" s="373">
        <v>2</v>
      </c>
      <c r="IS171" s="618"/>
      <c r="IT171" s="374">
        <v>2</v>
      </c>
    </row>
    <row r="172" spans="1:254" s="245" customFormat="1" ht="12.75" customHeight="1" x14ac:dyDescent="0.2">
      <c r="A172" s="1052"/>
      <c r="B172" s="868" t="s">
        <v>1024</v>
      </c>
      <c r="C172" s="869"/>
      <c r="D172" s="373"/>
      <c r="E172" s="373"/>
      <c r="F172" s="870"/>
      <c r="G172" s="373"/>
      <c r="H172" s="373"/>
      <c r="I172" s="373"/>
      <c r="J172" s="618"/>
      <c r="K172" s="374">
        <v>0</v>
      </c>
      <c r="L172" s="869"/>
      <c r="M172" s="373"/>
      <c r="N172" s="373"/>
      <c r="O172" s="870"/>
      <c r="P172" s="373"/>
      <c r="Q172" s="373"/>
      <c r="R172" s="373"/>
      <c r="S172" s="618"/>
      <c r="T172" s="374">
        <v>0</v>
      </c>
      <c r="U172" s="869"/>
      <c r="V172" s="373"/>
      <c r="W172" s="373"/>
      <c r="X172" s="870"/>
      <c r="Y172" s="373"/>
      <c r="Z172" s="373"/>
      <c r="AA172" s="373"/>
      <c r="AB172" s="618"/>
      <c r="AC172" s="374">
        <v>0</v>
      </c>
      <c r="AD172" s="869"/>
      <c r="AE172" s="373">
        <v>1</v>
      </c>
      <c r="AF172" s="373">
        <v>1</v>
      </c>
      <c r="AG172" s="870"/>
      <c r="AH172" s="373"/>
      <c r="AI172" s="373"/>
      <c r="AJ172" s="373"/>
      <c r="AK172" s="618">
        <v>1</v>
      </c>
      <c r="AL172" s="374">
        <v>1</v>
      </c>
      <c r="AM172" s="869"/>
      <c r="AN172" s="373">
        <v>1</v>
      </c>
      <c r="AO172" s="373"/>
      <c r="AP172" s="870"/>
      <c r="AQ172" s="373"/>
      <c r="AR172" s="373"/>
      <c r="AS172" s="373"/>
      <c r="AT172" s="618">
        <v>1</v>
      </c>
      <c r="AU172" s="374">
        <v>1</v>
      </c>
      <c r="AV172" s="869"/>
      <c r="AW172" s="373"/>
      <c r="AX172" s="373"/>
      <c r="AY172" s="870"/>
      <c r="AZ172" s="373"/>
      <c r="BA172" s="373"/>
      <c r="BB172" s="373"/>
      <c r="BC172" s="618"/>
      <c r="BD172" s="374">
        <v>0</v>
      </c>
      <c r="BE172" s="869"/>
      <c r="BF172" s="373"/>
      <c r="BG172" s="373"/>
      <c r="BH172" s="870"/>
      <c r="BI172" s="373"/>
      <c r="BJ172" s="373"/>
      <c r="BK172" s="373"/>
      <c r="BL172" s="618"/>
      <c r="BM172" s="374">
        <v>0</v>
      </c>
      <c r="BN172" s="869"/>
      <c r="BO172" s="373"/>
      <c r="BP172" s="373"/>
      <c r="BQ172" s="870"/>
      <c r="BR172" s="373"/>
      <c r="BS172" s="373"/>
      <c r="BT172" s="373"/>
      <c r="BU172" s="618"/>
      <c r="BV172" s="374">
        <v>0</v>
      </c>
      <c r="BW172" s="869">
        <v>1</v>
      </c>
      <c r="BX172" s="373">
        <v>1</v>
      </c>
      <c r="BY172" s="373">
        <v>1</v>
      </c>
      <c r="BZ172" s="870">
        <v>1</v>
      </c>
      <c r="CA172" s="373"/>
      <c r="CB172" s="373"/>
      <c r="CC172" s="373"/>
      <c r="CD172" s="618">
        <v>1</v>
      </c>
      <c r="CE172" s="374">
        <v>0</v>
      </c>
      <c r="CF172" s="869"/>
      <c r="CG172" s="373"/>
      <c r="CH172" s="373"/>
      <c r="CI172" s="870"/>
      <c r="CJ172" s="373"/>
      <c r="CK172" s="373"/>
      <c r="CL172" s="373"/>
      <c r="CM172" s="618"/>
      <c r="CN172" s="374">
        <v>0</v>
      </c>
      <c r="CO172" s="869"/>
      <c r="CP172" s="373"/>
      <c r="CQ172" s="373"/>
      <c r="CR172" s="870"/>
      <c r="CS172" s="373"/>
      <c r="CT172" s="373"/>
      <c r="CU172" s="373"/>
      <c r="CV172" s="618"/>
      <c r="CW172" s="374">
        <v>0</v>
      </c>
      <c r="CX172" s="869">
        <v>9</v>
      </c>
      <c r="CY172" s="373">
        <v>2</v>
      </c>
      <c r="CZ172" s="373">
        <v>6</v>
      </c>
      <c r="DA172" s="870">
        <v>9</v>
      </c>
      <c r="DB172" s="373">
        <v>5</v>
      </c>
      <c r="DC172" s="373">
        <v>4</v>
      </c>
      <c r="DD172" s="373">
        <v>6</v>
      </c>
      <c r="DE172" s="618">
        <v>4</v>
      </c>
      <c r="DF172" s="374">
        <v>2</v>
      </c>
      <c r="DG172" s="869"/>
      <c r="DH172" s="373"/>
      <c r="DI172" s="373"/>
      <c r="DJ172" s="870"/>
      <c r="DK172" s="373"/>
      <c r="DL172" s="373"/>
      <c r="DM172" s="373"/>
      <c r="DN172" s="618"/>
      <c r="DO172" s="374">
        <v>0</v>
      </c>
      <c r="DP172" s="869"/>
      <c r="DQ172" s="373"/>
      <c r="DR172" s="373"/>
      <c r="DS172" s="870">
        <v>2</v>
      </c>
      <c r="DT172" s="373"/>
      <c r="DU172" s="373"/>
      <c r="DV172" s="373"/>
      <c r="DW172" s="618"/>
      <c r="DX172" s="374">
        <v>0</v>
      </c>
      <c r="DY172" s="869"/>
      <c r="DZ172" s="373"/>
      <c r="EA172" s="373">
        <v>1</v>
      </c>
      <c r="EB172" s="870">
        <v>3</v>
      </c>
      <c r="EC172" s="373"/>
      <c r="ED172" s="373"/>
      <c r="EE172" s="373"/>
      <c r="EF172" s="618"/>
      <c r="EG172" s="374">
        <v>0</v>
      </c>
      <c r="EH172" s="869"/>
      <c r="EI172" s="373"/>
      <c r="EJ172" s="373"/>
      <c r="EK172" s="870"/>
      <c r="EL172" s="373"/>
      <c r="EM172" s="373"/>
      <c r="EN172" s="373"/>
      <c r="EO172" s="618"/>
      <c r="EP172" s="374">
        <v>0</v>
      </c>
      <c r="EQ172" s="869"/>
      <c r="ER172" s="373"/>
      <c r="ES172" s="373"/>
      <c r="ET172" s="870"/>
      <c r="EU172" s="373"/>
      <c r="EV172" s="373"/>
      <c r="EW172" s="373"/>
      <c r="EX172" s="618"/>
      <c r="EY172" s="374">
        <v>0</v>
      </c>
      <c r="EZ172" s="869"/>
      <c r="FA172" s="373"/>
      <c r="FB172" s="373"/>
      <c r="FC172" s="870"/>
      <c r="FD172" s="373"/>
      <c r="FE172" s="373"/>
      <c r="FF172" s="373"/>
      <c r="FG172" s="618"/>
      <c r="FH172" s="374">
        <v>0</v>
      </c>
      <c r="FI172" s="869">
        <v>1</v>
      </c>
      <c r="FJ172" s="373"/>
      <c r="FK172" s="373"/>
      <c r="FL172" s="870"/>
      <c r="FM172" s="373"/>
      <c r="FN172" s="373">
        <v>1</v>
      </c>
      <c r="FO172" s="373"/>
      <c r="FP172" s="618"/>
      <c r="FQ172" s="374">
        <v>0</v>
      </c>
      <c r="FR172" s="869"/>
      <c r="FS172" s="373"/>
      <c r="FT172" s="373"/>
      <c r="FU172" s="870"/>
      <c r="FV172" s="373"/>
      <c r="FW172" s="373">
        <v>1</v>
      </c>
      <c r="FX172" s="373"/>
      <c r="FY172" s="618"/>
      <c r="FZ172" s="374">
        <v>0</v>
      </c>
      <c r="GA172" s="869"/>
      <c r="GB172" s="373"/>
      <c r="GC172" s="373"/>
      <c r="GD172" s="870"/>
      <c r="GE172" s="373"/>
      <c r="GF172" s="373"/>
      <c r="GG172" s="373"/>
      <c r="GH172" s="618"/>
      <c r="GI172" s="374">
        <v>0</v>
      </c>
      <c r="GJ172" s="869">
        <v>11</v>
      </c>
      <c r="GK172" s="373">
        <v>4</v>
      </c>
      <c r="GL172" s="373">
        <v>8</v>
      </c>
      <c r="GM172" s="870">
        <v>10</v>
      </c>
      <c r="GN172" s="373">
        <v>5</v>
      </c>
      <c r="GO172" s="373">
        <v>6</v>
      </c>
      <c r="GP172" s="373">
        <v>6</v>
      </c>
      <c r="GQ172" s="618">
        <v>6</v>
      </c>
      <c r="GR172" s="374">
        <v>3</v>
      </c>
      <c r="GS172" s="869">
        <v>4</v>
      </c>
      <c r="GT172" s="373">
        <v>1</v>
      </c>
      <c r="GU172" s="373"/>
      <c r="GV172" s="870">
        <v>3</v>
      </c>
      <c r="GW172" s="373">
        <v>1</v>
      </c>
      <c r="GX172" s="373">
        <v>2</v>
      </c>
      <c r="GY172" s="373">
        <v>1</v>
      </c>
      <c r="GZ172" s="618"/>
      <c r="HA172" s="374">
        <v>0</v>
      </c>
      <c r="HB172" s="869"/>
      <c r="HC172" s="373"/>
      <c r="HD172" s="373">
        <v>1</v>
      </c>
      <c r="HE172" s="870"/>
      <c r="HF172" s="373"/>
      <c r="HG172" s="373"/>
      <c r="HH172" s="373"/>
      <c r="HI172" s="618"/>
      <c r="HJ172" s="374">
        <v>0</v>
      </c>
      <c r="HK172" s="869"/>
      <c r="HL172" s="373"/>
      <c r="HM172" s="373"/>
      <c r="HN172" s="870">
        <v>1</v>
      </c>
      <c r="HO172" s="373"/>
      <c r="HP172" s="373"/>
      <c r="HQ172" s="373"/>
      <c r="HR172" s="618"/>
      <c r="HS172" s="374">
        <v>0</v>
      </c>
      <c r="HT172" s="869">
        <v>5</v>
      </c>
      <c r="HU172" s="373">
        <v>3</v>
      </c>
      <c r="HV172" s="373">
        <v>1</v>
      </c>
      <c r="HW172" s="870">
        <v>6</v>
      </c>
      <c r="HX172" s="373">
        <v>3</v>
      </c>
      <c r="HY172" s="373">
        <v>3</v>
      </c>
      <c r="HZ172" s="373">
        <v>2</v>
      </c>
      <c r="IA172" s="618">
        <v>3</v>
      </c>
      <c r="IB172" s="374">
        <v>1</v>
      </c>
      <c r="IC172" s="869">
        <v>17</v>
      </c>
      <c r="ID172" s="373">
        <v>10</v>
      </c>
      <c r="IE172" s="373">
        <v>10</v>
      </c>
      <c r="IF172" s="870">
        <v>16</v>
      </c>
      <c r="IG172" s="373">
        <v>11</v>
      </c>
      <c r="IH172" s="373">
        <v>8</v>
      </c>
      <c r="II172" s="373">
        <v>7</v>
      </c>
      <c r="IJ172" s="618">
        <v>9</v>
      </c>
      <c r="IK172" s="374">
        <v>4</v>
      </c>
      <c r="IL172" s="377">
        <v>4</v>
      </c>
      <c r="IM172" s="373">
        <v>1</v>
      </c>
      <c r="IN172" s="373">
        <v>2</v>
      </c>
      <c r="IO172" s="871">
        <v>1</v>
      </c>
      <c r="IP172" s="871"/>
      <c r="IQ172" s="373">
        <v>1</v>
      </c>
      <c r="IR172" s="373">
        <v>1</v>
      </c>
      <c r="IS172" s="618">
        <v>1</v>
      </c>
      <c r="IT172" s="374">
        <v>0</v>
      </c>
    </row>
    <row r="173" spans="1:254" s="245" customFormat="1" ht="12.75" customHeight="1" x14ac:dyDescent="0.2">
      <c r="A173" s="1052"/>
      <c r="B173" s="868" t="s">
        <v>1025</v>
      </c>
      <c r="C173" s="869"/>
      <c r="D173" s="373"/>
      <c r="E173" s="373"/>
      <c r="F173" s="870"/>
      <c r="G173" s="373"/>
      <c r="H173" s="373"/>
      <c r="I173" s="373"/>
      <c r="J173" s="618"/>
      <c r="K173" s="374">
        <v>0</v>
      </c>
      <c r="L173" s="869"/>
      <c r="M173" s="373"/>
      <c r="N173" s="373"/>
      <c r="O173" s="870"/>
      <c r="P173" s="373"/>
      <c r="Q173" s="373"/>
      <c r="R173" s="373"/>
      <c r="S173" s="618"/>
      <c r="T173" s="374">
        <v>0</v>
      </c>
      <c r="U173" s="869"/>
      <c r="V173" s="373"/>
      <c r="W173" s="373"/>
      <c r="X173" s="870"/>
      <c r="Y173" s="373"/>
      <c r="Z173" s="373"/>
      <c r="AA173" s="373"/>
      <c r="AB173" s="618"/>
      <c r="AC173" s="374">
        <v>0</v>
      </c>
      <c r="AD173" s="869">
        <v>1</v>
      </c>
      <c r="AE173" s="373"/>
      <c r="AF173" s="373"/>
      <c r="AG173" s="870">
        <v>1</v>
      </c>
      <c r="AH173" s="373"/>
      <c r="AI173" s="373"/>
      <c r="AJ173" s="373"/>
      <c r="AK173" s="618"/>
      <c r="AL173" s="374">
        <v>1</v>
      </c>
      <c r="AM173" s="869">
        <v>1</v>
      </c>
      <c r="AN173" s="373"/>
      <c r="AO173" s="373"/>
      <c r="AP173" s="870">
        <v>1</v>
      </c>
      <c r="AQ173" s="373"/>
      <c r="AR173" s="373"/>
      <c r="AS173" s="373"/>
      <c r="AT173" s="618"/>
      <c r="AU173" s="374">
        <v>0</v>
      </c>
      <c r="AV173" s="869"/>
      <c r="AW173" s="373"/>
      <c r="AX173" s="373"/>
      <c r="AY173" s="870"/>
      <c r="AZ173" s="373"/>
      <c r="BA173" s="373"/>
      <c r="BB173" s="373"/>
      <c r="BC173" s="618"/>
      <c r="BD173" s="374">
        <v>0</v>
      </c>
      <c r="BE173" s="869"/>
      <c r="BF173" s="373"/>
      <c r="BG173" s="373"/>
      <c r="BH173" s="870"/>
      <c r="BI173" s="373"/>
      <c r="BJ173" s="373"/>
      <c r="BK173" s="373"/>
      <c r="BL173" s="618"/>
      <c r="BM173" s="374">
        <v>0</v>
      </c>
      <c r="BN173" s="869"/>
      <c r="BO173" s="373"/>
      <c r="BP173" s="373"/>
      <c r="BQ173" s="870"/>
      <c r="BR173" s="373"/>
      <c r="BS173" s="373"/>
      <c r="BT173" s="373"/>
      <c r="BU173" s="618"/>
      <c r="BV173" s="374">
        <v>0</v>
      </c>
      <c r="BW173" s="869"/>
      <c r="BX173" s="373"/>
      <c r="BY173" s="373">
        <v>1</v>
      </c>
      <c r="BZ173" s="870">
        <v>2</v>
      </c>
      <c r="CA173" s="373"/>
      <c r="CB173" s="373"/>
      <c r="CC173" s="373"/>
      <c r="CD173" s="618">
        <v>1</v>
      </c>
      <c r="CE173" s="374">
        <v>0</v>
      </c>
      <c r="CF173" s="869"/>
      <c r="CG173" s="373"/>
      <c r="CH173" s="373"/>
      <c r="CI173" s="870"/>
      <c r="CJ173" s="373"/>
      <c r="CK173" s="373"/>
      <c r="CL173" s="373"/>
      <c r="CM173" s="618"/>
      <c r="CN173" s="374">
        <v>0</v>
      </c>
      <c r="CO173" s="869"/>
      <c r="CP173" s="373"/>
      <c r="CQ173" s="373"/>
      <c r="CR173" s="870"/>
      <c r="CS173" s="373"/>
      <c r="CT173" s="373"/>
      <c r="CU173" s="373"/>
      <c r="CV173" s="618">
        <v>1</v>
      </c>
      <c r="CW173" s="374">
        <v>0</v>
      </c>
      <c r="CX173" s="869">
        <v>3</v>
      </c>
      <c r="CY173" s="373">
        <v>4</v>
      </c>
      <c r="CZ173" s="373">
        <v>3</v>
      </c>
      <c r="DA173" s="870"/>
      <c r="DB173" s="373"/>
      <c r="DC173" s="373">
        <v>1</v>
      </c>
      <c r="DD173" s="373">
        <v>4</v>
      </c>
      <c r="DE173" s="618">
        <v>2</v>
      </c>
      <c r="DF173" s="374">
        <v>0</v>
      </c>
      <c r="DG173" s="869"/>
      <c r="DH173" s="373"/>
      <c r="DI173" s="373"/>
      <c r="DJ173" s="870"/>
      <c r="DK173" s="373"/>
      <c r="DL173" s="373"/>
      <c r="DM173" s="373"/>
      <c r="DN173" s="618"/>
      <c r="DO173" s="374">
        <v>0</v>
      </c>
      <c r="DP173" s="869"/>
      <c r="DQ173" s="373"/>
      <c r="DR173" s="373"/>
      <c r="DS173" s="870"/>
      <c r="DT173" s="373"/>
      <c r="DU173" s="373"/>
      <c r="DV173" s="373"/>
      <c r="DW173" s="618"/>
      <c r="DX173" s="374">
        <v>0</v>
      </c>
      <c r="DY173" s="869">
        <v>1</v>
      </c>
      <c r="DZ173" s="373">
        <v>2</v>
      </c>
      <c r="EA173" s="373">
        <v>1</v>
      </c>
      <c r="EB173" s="870"/>
      <c r="EC173" s="373"/>
      <c r="ED173" s="373"/>
      <c r="EE173" s="373">
        <v>1</v>
      </c>
      <c r="EF173" s="618"/>
      <c r="EG173" s="374">
        <v>0</v>
      </c>
      <c r="EH173" s="869"/>
      <c r="EI173" s="373"/>
      <c r="EJ173" s="373"/>
      <c r="EK173" s="870"/>
      <c r="EL173" s="373"/>
      <c r="EM173" s="373"/>
      <c r="EN173" s="373"/>
      <c r="EO173" s="618"/>
      <c r="EP173" s="374">
        <v>0</v>
      </c>
      <c r="EQ173" s="869"/>
      <c r="ER173" s="373"/>
      <c r="ES173" s="373"/>
      <c r="ET173" s="870"/>
      <c r="EU173" s="373"/>
      <c r="EV173" s="373">
        <v>9</v>
      </c>
      <c r="EW173" s="373"/>
      <c r="EX173" s="618"/>
      <c r="EY173" s="374">
        <v>0</v>
      </c>
      <c r="EZ173" s="869"/>
      <c r="FA173" s="373"/>
      <c r="FB173" s="373"/>
      <c r="FC173" s="870"/>
      <c r="FD173" s="373"/>
      <c r="FE173" s="373"/>
      <c r="FF173" s="373"/>
      <c r="FG173" s="618"/>
      <c r="FH173" s="374">
        <v>0</v>
      </c>
      <c r="FI173" s="869">
        <v>1</v>
      </c>
      <c r="FJ173" s="373">
        <v>1</v>
      </c>
      <c r="FK173" s="373"/>
      <c r="FL173" s="870"/>
      <c r="FM173" s="373"/>
      <c r="FN173" s="373"/>
      <c r="FO173" s="373"/>
      <c r="FP173" s="618"/>
      <c r="FQ173" s="374">
        <v>0</v>
      </c>
      <c r="FR173" s="869"/>
      <c r="FS173" s="373"/>
      <c r="FT173" s="373"/>
      <c r="FU173" s="870"/>
      <c r="FV173" s="373"/>
      <c r="FW173" s="373"/>
      <c r="FX173" s="373"/>
      <c r="FY173" s="618"/>
      <c r="FZ173" s="374">
        <v>0</v>
      </c>
      <c r="GA173" s="869"/>
      <c r="GB173" s="373"/>
      <c r="GC173" s="373"/>
      <c r="GD173" s="870"/>
      <c r="GE173" s="373"/>
      <c r="GF173" s="373"/>
      <c r="GG173" s="373"/>
      <c r="GH173" s="618">
        <v>1</v>
      </c>
      <c r="GI173" s="374">
        <v>0</v>
      </c>
      <c r="GJ173" s="869">
        <v>5</v>
      </c>
      <c r="GK173" s="373">
        <v>5</v>
      </c>
      <c r="GL173" s="373">
        <v>4</v>
      </c>
      <c r="GM173" s="870">
        <v>3</v>
      </c>
      <c r="GN173" s="373"/>
      <c r="GO173" s="373">
        <v>10</v>
      </c>
      <c r="GP173" s="373">
        <v>4</v>
      </c>
      <c r="GQ173" s="618">
        <v>5</v>
      </c>
      <c r="GR173" s="374">
        <v>1</v>
      </c>
      <c r="GS173" s="869"/>
      <c r="GT173" s="373">
        <v>2</v>
      </c>
      <c r="GU173" s="373"/>
      <c r="GV173" s="870">
        <v>3</v>
      </c>
      <c r="GW173" s="373"/>
      <c r="GX173" s="373"/>
      <c r="GY173" s="373"/>
      <c r="GZ173" s="618">
        <v>3</v>
      </c>
      <c r="HA173" s="374">
        <v>0</v>
      </c>
      <c r="HB173" s="869"/>
      <c r="HC173" s="373"/>
      <c r="HD173" s="373"/>
      <c r="HE173" s="870"/>
      <c r="HF173" s="373"/>
      <c r="HG173" s="373"/>
      <c r="HH173" s="373"/>
      <c r="HI173" s="618"/>
      <c r="HJ173" s="374">
        <v>0</v>
      </c>
      <c r="HK173" s="869"/>
      <c r="HL173" s="373"/>
      <c r="HM173" s="373"/>
      <c r="HN173" s="870"/>
      <c r="HO173" s="373"/>
      <c r="HP173" s="373"/>
      <c r="HQ173" s="373"/>
      <c r="HR173" s="618"/>
      <c r="HS173" s="374">
        <v>0</v>
      </c>
      <c r="HT173" s="869">
        <v>3</v>
      </c>
      <c r="HU173" s="373">
        <v>4</v>
      </c>
      <c r="HV173" s="373">
        <v>2</v>
      </c>
      <c r="HW173" s="870">
        <v>6</v>
      </c>
      <c r="HX173" s="373">
        <v>1</v>
      </c>
      <c r="HY173" s="373">
        <v>1</v>
      </c>
      <c r="HZ173" s="373"/>
      <c r="IA173" s="618">
        <v>5</v>
      </c>
      <c r="IB173" s="374">
        <v>0</v>
      </c>
      <c r="IC173" s="869">
        <v>9</v>
      </c>
      <c r="ID173" s="373">
        <v>7</v>
      </c>
      <c r="IE173" s="373">
        <v>7</v>
      </c>
      <c r="IF173" s="870">
        <v>7</v>
      </c>
      <c r="IG173" s="373">
        <v>4</v>
      </c>
      <c r="IH173" s="373">
        <v>13</v>
      </c>
      <c r="II173" s="373">
        <v>4</v>
      </c>
      <c r="IJ173" s="618">
        <v>11</v>
      </c>
      <c r="IK173" s="374">
        <v>1</v>
      </c>
      <c r="IL173" s="377">
        <v>2</v>
      </c>
      <c r="IM173" s="373">
        <v>3</v>
      </c>
      <c r="IN173" s="373">
        <v>1</v>
      </c>
      <c r="IO173" s="871"/>
      <c r="IP173" s="871"/>
      <c r="IQ173" s="373"/>
      <c r="IR173" s="373">
        <v>1</v>
      </c>
      <c r="IS173" s="618">
        <v>1</v>
      </c>
      <c r="IT173" s="374">
        <v>0</v>
      </c>
    </row>
    <row r="174" spans="1:254" s="245" customFormat="1" ht="12.75" customHeight="1" x14ac:dyDescent="0.2">
      <c r="A174" s="1052"/>
      <c r="B174" s="868" t="s">
        <v>1026</v>
      </c>
      <c r="C174" s="869"/>
      <c r="D174" s="373"/>
      <c r="E174" s="373"/>
      <c r="F174" s="870"/>
      <c r="G174" s="373"/>
      <c r="H174" s="373"/>
      <c r="I174" s="373"/>
      <c r="J174" s="618"/>
      <c r="K174" s="374">
        <v>0</v>
      </c>
      <c r="L174" s="869"/>
      <c r="M174" s="373"/>
      <c r="N174" s="373"/>
      <c r="O174" s="870"/>
      <c r="P174" s="373"/>
      <c r="Q174" s="373"/>
      <c r="R174" s="373"/>
      <c r="S174" s="618"/>
      <c r="T174" s="374">
        <v>0</v>
      </c>
      <c r="U174" s="869"/>
      <c r="V174" s="373"/>
      <c r="W174" s="373"/>
      <c r="X174" s="870"/>
      <c r="Y174" s="373"/>
      <c r="Z174" s="373"/>
      <c r="AA174" s="373"/>
      <c r="AB174" s="618"/>
      <c r="AC174" s="374">
        <v>0</v>
      </c>
      <c r="AD174" s="869"/>
      <c r="AE174" s="373"/>
      <c r="AF174" s="373"/>
      <c r="AG174" s="870"/>
      <c r="AH174" s="373"/>
      <c r="AI174" s="373"/>
      <c r="AJ174" s="373"/>
      <c r="AK174" s="618"/>
      <c r="AL174" s="374">
        <v>0</v>
      </c>
      <c r="AM174" s="869"/>
      <c r="AN174" s="373"/>
      <c r="AO174" s="373"/>
      <c r="AP174" s="870"/>
      <c r="AQ174" s="373"/>
      <c r="AR174" s="373"/>
      <c r="AS174" s="373"/>
      <c r="AT174" s="618"/>
      <c r="AU174" s="374">
        <v>0</v>
      </c>
      <c r="AV174" s="869"/>
      <c r="AW174" s="373"/>
      <c r="AX174" s="373"/>
      <c r="AY174" s="870"/>
      <c r="AZ174" s="373"/>
      <c r="BA174" s="373"/>
      <c r="BB174" s="373"/>
      <c r="BC174" s="618"/>
      <c r="BD174" s="374">
        <v>0</v>
      </c>
      <c r="BE174" s="869"/>
      <c r="BF174" s="373">
        <v>6</v>
      </c>
      <c r="BG174" s="373">
        <v>1</v>
      </c>
      <c r="BH174" s="870"/>
      <c r="BI174" s="373"/>
      <c r="BJ174" s="373"/>
      <c r="BK174" s="373"/>
      <c r="BL174" s="618"/>
      <c r="BM174" s="374">
        <v>0</v>
      </c>
      <c r="BN174" s="869"/>
      <c r="BO174" s="373"/>
      <c r="BP174" s="373"/>
      <c r="BQ174" s="870"/>
      <c r="BR174" s="373"/>
      <c r="BS174" s="373"/>
      <c r="BT174" s="373"/>
      <c r="BU174" s="618"/>
      <c r="BV174" s="374">
        <v>0</v>
      </c>
      <c r="BW174" s="869"/>
      <c r="BX174" s="373"/>
      <c r="BY174" s="373"/>
      <c r="BZ174" s="870">
        <v>1</v>
      </c>
      <c r="CA174" s="373"/>
      <c r="CB174" s="373"/>
      <c r="CC174" s="373"/>
      <c r="CD174" s="618"/>
      <c r="CE174" s="374">
        <v>0</v>
      </c>
      <c r="CF174" s="869"/>
      <c r="CG174" s="373"/>
      <c r="CH174" s="373"/>
      <c r="CI174" s="870"/>
      <c r="CJ174" s="373"/>
      <c r="CK174" s="373"/>
      <c r="CL174" s="373"/>
      <c r="CM174" s="618"/>
      <c r="CN174" s="374">
        <v>0</v>
      </c>
      <c r="CO174" s="869"/>
      <c r="CP174" s="373"/>
      <c r="CQ174" s="373"/>
      <c r="CR174" s="870"/>
      <c r="CS174" s="373"/>
      <c r="CT174" s="373"/>
      <c r="CU174" s="373"/>
      <c r="CV174" s="618"/>
      <c r="CW174" s="374">
        <v>0</v>
      </c>
      <c r="CX174" s="869"/>
      <c r="CY174" s="373">
        <v>3</v>
      </c>
      <c r="CZ174" s="373">
        <v>2</v>
      </c>
      <c r="DA174" s="870"/>
      <c r="DB174" s="373">
        <v>1</v>
      </c>
      <c r="DC174" s="373"/>
      <c r="DD174" s="373"/>
      <c r="DE174" s="618"/>
      <c r="DF174" s="374">
        <v>0</v>
      </c>
      <c r="DG174" s="869"/>
      <c r="DH174" s="373"/>
      <c r="DI174" s="373"/>
      <c r="DJ174" s="870"/>
      <c r="DK174" s="373"/>
      <c r="DL174" s="373"/>
      <c r="DM174" s="373"/>
      <c r="DN174" s="618"/>
      <c r="DO174" s="374">
        <v>0</v>
      </c>
      <c r="DP174" s="869"/>
      <c r="DQ174" s="373"/>
      <c r="DR174" s="373"/>
      <c r="DS174" s="870"/>
      <c r="DT174" s="373"/>
      <c r="DU174" s="373"/>
      <c r="DV174" s="373"/>
      <c r="DW174" s="618"/>
      <c r="DX174" s="374">
        <v>0</v>
      </c>
      <c r="DY174" s="869"/>
      <c r="DZ174" s="373"/>
      <c r="EA174" s="373"/>
      <c r="EB174" s="870"/>
      <c r="EC174" s="373"/>
      <c r="ED174" s="373"/>
      <c r="EE174" s="373"/>
      <c r="EF174" s="618"/>
      <c r="EG174" s="374">
        <v>0</v>
      </c>
      <c r="EH174" s="869"/>
      <c r="EI174" s="373"/>
      <c r="EJ174" s="373"/>
      <c r="EK174" s="870"/>
      <c r="EL174" s="373"/>
      <c r="EM174" s="373"/>
      <c r="EN174" s="373"/>
      <c r="EO174" s="618"/>
      <c r="EP174" s="374">
        <v>0</v>
      </c>
      <c r="EQ174" s="869"/>
      <c r="ER174" s="373"/>
      <c r="ES174" s="373"/>
      <c r="ET174" s="870"/>
      <c r="EU174" s="373"/>
      <c r="EV174" s="373"/>
      <c r="EW174" s="373"/>
      <c r="EX174" s="618"/>
      <c r="EY174" s="374">
        <v>0</v>
      </c>
      <c r="EZ174" s="869"/>
      <c r="FA174" s="373"/>
      <c r="FB174" s="373"/>
      <c r="FC174" s="870"/>
      <c r="FD174" s="373"/>
      <c r="FE174" s="373"/>
      <c r="FF174" s="373"/>
      <c r="FG174" s="618"/>
      <c r="FH174" s="374">
        <v>0</v>
      </c>
      <c r="FI174" s="869"/>
      <c r="FJ174" s="373"/>
      <c r="FK174" s="373"/>
      <c r="FL174" s="870"/>
      <c r="FM174" s="373"/>
      <c r="FN174" s="373"/>
      <c r="FO174" s="373"/>
      <c r="FP174" s="618"/>
      <c r="FQ174" s="374">
        <v>0</v>
      </c>
      <c r="FR174" s="869"/>
      <c r="FS174" s="373"/>
      <c r="FT174" s="373"/>
      <c r="FU174" s="870"/>
      <c r="FV174" s="373"/>
      <c r="FW174" s="373"/>
      <c r="FX174" s="373"/>
      <c r="FY174" s="618"/>
      <c r="FZ174" s="374">
        <v>0</v>
      </c>
      <c r="GA174" s="869"/>
      <c r="GB174" s="373"/>
      <c r="GC174" s="373"/>
      <c r="GD174" s="870"/>
      <c r="GE174" s="373"/>
      <c r="GF174" s="373"/>
      <c r="GG174" s="373"/>
      <c r="GH174" s="618"/>
      <c r="GI174" s="374">
        <v>0</v>
      </c>
      <c r="GJ174" s="869"/>
      <c r="GK174" s="373">
        <v>9</v>
      </c>
      <c r="GL174" s="373">
        <v>3</v>
      </c>
      <c r="GM174" s="870">
        <v>1</v>
      </c>
      <c r="GN174" s="373">
        <v>1</v>
      </c>
      <c r="GO174" s="373"/>
      <c r="GP174" s="373"/>
      <c r="GQ174" s="618"/>
      <c r="GR174" s="374">
        <v>0</v>
      </c>
      <c r="GS174" s="869"/>
      <c r="GT174" s="373"/>
      <c r="GU174" s="373">
        <v>1</v>
      </c>
      <c r="GV174" s="870">
        <v>1</v>
      </c>
      <c r="GW174" s="373"/>
      <c r="GX174" s="373"/>
      <c r="GY174" s="373"/>
      <c r="GZ174" s="618"/>
      <c r="HA174" s="374">
        <v>0</v>
      </c>
      <c r="HB174" s="869"/>
      <c r="HC174" s="373"/>
      <c r="HD174" s="373"/>
      <c r="HE174" s="870"/>
      <c r="HF174" s="373"/>
      <c r="HG174" s="373"/>
      <c r="HH174" s="373"/>
      <c r="HI174" s="618"/>
      <c r="HJ174" s="374">
        <v>0</v>
      </c>
      <c r="HK174" s="869"/>
      <c r="HL174" s="373"/>
      <c r="HM174" s="373"/>
      <c r="HN174" s="870"/>
      <c r="HO174" s="373"/>
      <c r="HP174" s="373"/>
      <c r="HQ174" s="373"/>
      <c r="HR174" s="618"/>
      <c r="HS174" s="374">
        <v>0</v>
      </c>
      <c r="HT174" s="869"/>
      <c r="HU174" s="373">
        <v>1</v>
      </c>
      <c r="HV174" s="373">
        <v>2</v>
      </c>
      <c r="HW174" s="870">
        <v>1</v>
      </c>
      <c r="HX174" s="373"/>
      <c r="HY174" s="373">
        <v>1</v>
      </c>
      <c r="HZ174" s="373">
        <v>1</v>
      </c>
      <c r="IA174" s="618"/>
      <c r="IB174" s="374">
        <v>0</v>
      </c>
      <c r="IC174" s="869">
        <v>1</v>
      </c>
      <c r="ID174" s="373">
        <v>11</v>
      </c>
      <c r="IE174" s="373">
        <v>4</v>
      </c>
      <c r="IF174" s="870">
        <v>1</v>
      </c>
      <c r="IG174" s="373">
        <v>1</v>
      </c>
      <c r="IH174" s="373">
        <v>1</v>
      </c>
      <c r="II174" s="373">
        <v>1</v>
      </c>
      <c r="IJ174" s="618"/>
      <c r="IK174" s="374">
        <v>1</v>
      </c>
      <c r="IL174" s="377"/>
      <c r="IM174" s="373">
        <v>2</v>
      </c>
      <c r="IN174" s="373"/>
      <c r="IO174" s="871"/>
      <c r="IP174" s="871"/>
      <c r="IQ174" s="373"/>
      <c r="IR174" s="373"/>
      <c r="IS174" s="618"/>
      <c r="IT174" s="374">
        <v>0</v>
      </c>
    </row>
    <row r="175" spans="1:254" s="245" customFormat="1" ht="12.75" customHeight="1" x14ac:dyDescent="0.2">
      <c r="A175" s="1052"/>
      <c r="B175" s="868" t="s">
        <v>1027</v>
      </c>
      <c r="C175" s="869"/>
      <c r="D175" s="373"/>
      <c r="E175" s="373"/>
      <c r="F175" s="870"/>
      <c r="G175" s="373"/>
      <c r="H175" s="373"/>
      <c r="I175" s="373"/>
      <c r="J175" s="618"/>
      <c r="K175" s="374">
        <v>0</v>
      </c>
      <c r="L175" s="869"/>
      <c r="M175" s="373"/>
      <c r="N175" s="373"/>
      <c r="O175" s="870"/>
      <c r="P175" s="373"/>
      <c r="Q175" s="373"/>
      <c r="R175" s="373"/>
      <c r="S175" s="618"/>
      <c r="T175" s="374">
        <v>0</v>
      </c>
      <c r="U175" s="869"/>
      <c r="V175" s="373"/>
      <c r="W175" s="373"/>
      <c r="X175" s="870"/>
      <c r="Y175" s="373"/>
      <c r="Z175" s="373"/>
      <c r="AA175" s="373"/>
      <c r="AB175" s="618"/>
      <c r="AC175" s="374">
        <v>0</v>
      </c>
      <c r="AD175" s="869"/>
      <c r="AE175" s="373">
        <v>3</v>
      </c>
      <c r="AF175" s="373">
        <v>3</v>
      </c>
      <c r="AG175" s="870"/>
      <c r="AH175" s="373">
        <v>1</v>
      </c>
      <c r="AI175" s="373"/>
      <c r="AJ175" s="373">
        <v>1</v>
      </c>
      <c r="AK175" s="618">
        <v>1</v>
      </c>
      <c r="AL175" s="374">
        <v>1</v>
      </c>
      <c r="AM175" s="869"/>
      <c r="AN175" s="373">
        <v>2</v>
      </c>
      <c r="AO175" s="373"/>
      <c r="AP175" s="870"/>
      <c r="AQ175" s="373">
        <v>1</v>
      </c>
      <c r="AR175" s="373"/>
      <c r="AS175" s="373">
        <v>1</v>
      </c>
      <c r="AT175" s="618"/>
      <c r="AU175" s="374">
        <v>0</v>
      </c>
      <c r="AV175" s="869"/>
      <c r="AW175" s="373"/>
      <c r="AX175" s="373"/>
      <c r="AY175" s="870"/>
      <c r="AZ175" s="373"/>
      <c r="BA175" s="373"/>
      <c r="BB175" s="373"/>
      <c r="BC175" s="618"/>
      <c r="BD175" s="374">
        <v>0</v>
      </c>
      <c r="BE175" s="869"/>
      <c r="BF175" s="373"/>
      <c r="BG175" s="373"/>
      <c r="BH175" s="870"/>
      <c r="BI175" s="373"/>
      <c r="BJ175" s="373"/>
      <c r="BK175" s="373"/>
      <c r="BL175" s="618"/>
      <c r="BM175" s="374">
        <v>0</v>
      </c>
      <c r="BN175" s="869"/>
      <c r="BO175" s="373"/>
      <c r="BP175" s="373"/>
      <c r="BQ175" s="870"/>
      <c r="BR175" s="373"/>
      <c r="BS175" s="373"/>
      <c r="BT175" s="373"/>
      <c r="BU175" s="618"/>
      <c r="BV175" s="374">
        <v>0</v>
      </c>
      <c r="BW175" s="869">
        <v>1</v>
      </c>
      <c r="BX175" s="373">
        <v>2</v>
      </c>
      <c r="BY175" s="373">
        <v>2</v>
      </c>
      <c r="BZ175" s="870">
        <v>1</v>
      </c>
      <c r="CA175" s="373"/>
      <c r="CB175" s="373"/>
      <c r="CC175" s="373">
        <v>1</v>
      </c>
      <c r="CD175" s="618">
        <v>2</v>
      </c>
      <c r="CE175" s="374">
        <v>1</v>
      </c>
      <c r="CF175" s="869"/>
      <c r="CG175" s="373"/>
      <c r="CH175" s="373"/>
      <c r="CI175" s="870"/>
      <c r="CJ175" s="373"/>
      <c r="CK175" s="373"/>
      <c r="CL175" s="373"/>
      <c r="CM175" s="618"/>
      <c r="CN175" s="374">
        <v>0</v>
      </c>
      <c r="CO175" s="869"/>
      <c r="CP175" s="373"/>
      <c r="CQ175" s="373"/>
      <c r="CR175" s="870"/>
      <c r="CS175" s="373"/>
      <c r="CT175" s="373"/>
      <c r="CU175" s="373"/>
      <c r="CV175" s="618"/>
      <c r="CW175" s="374">
        <v>0</v>
      </c>
      <c r="CX175" s="869">
        <v>1</v>
      </c>
      <c r="CY175" s="373">
        <v>4</v>
      </c>
      <c r="CZ175" s="373">
        <v>5</v>
      </c>
      <c r="DA175" s="870">
        <v>2</v>
      </c>
      <c r="DB175" s="373">
        <v>3</v>
      </c>
      <c r="DC175" s="373"/>
      <c r="DD175" s="373">
        <v>3</v>
      </c>
      <c r="DE175" s="618">
        <v>1</v>
      </c>
      <c r="DF175" s="374">
        <v>2</v>
      </c>
      <c r="DG175" s="869"/>
      <c r="DH175" s="373"/>
      <c r="DI175" s="373"/>
      <c r="DJ175" s="870"/>
      <c r="DK175" s="373"/>
      <c r="DL175" s="373"/>
      <c r="DM175" s="373"/>
      <c r="DN175" s="618"/>
      <c r="DO175" s="374">
        <v>0</v>
      </c>
      <c r="DP175" s="869"/>
      <c r="DQ175" s="373"/>
      <c r="DR175" s="373">
        <v>1</v>
      </c>
      <c r="DS175" s="870"/>
      <c r="DT175" s="373"/>
      <c r="DU175" s="373"/>
      <c r="DV175" s="373"/>
      <c r="DW175" s="618"/>
      <c r="DX175" s="374">
        <v>0</v>
      </c>
      <c r="DY175" s="869"/>
      <c r="DZ175" s="373">
        <v>1</v>
      </c>
      <c r="EA175" s="373"/>
      <c r="EB175" s="870"/>
      <c r="EC175" s="373"/>
      <c r="ED175" s="373"/>
      <c r="EE175" s="373"/>
      <c r="EF175" s="618"/>
      <c r="EG175" s="374">
        <v>0</v>
      </c>
      <c r="EH175" s="869"/>
      <c r="EI175" s="373"/>
      <c r="EJ175" s="373"/>
      <c r="EK175" s="870"/>
      <c r="EL175" s="373"/>
      <c r="EM175" s="373"/>
      <c r="EN175" s="373"/>
      <c r="EO175" s="618"/>
      <c r="EP175" s="374">
        <v>0</v>
      </c>
      <c r="EQ175" s="869"/>
      <c r="ER175" s="373"/>
      <c r="ES175" s="373"/>
      <c r="ET175" s="870"/>
      <c r="EU175" s="373"/>
      <c r="EV175" s="373"/>
      <c r="EW175" s="373"/>
      <c r="EX175" s="618"/>
      <c r="EY175" s="374">
        <v>0</v>
      </c>
      <c r="EZ175" s="869"/>
      <c r="FA175" s="373"/>
      <c r="FB175" s="373"/>
      <c r="FC175" s="870"/>
      <c r="FD175" s="373"/>
      <c r="FE175" s="373"/>
      <c r="FF175" s="373"/>
      <c r="FG175" s="618"/>
      <c r="FH175" s="374">
        <v>0</v>
      </c>
      <c r="FI175" s="869"/>
      <c r="FJ175" s="373">
        <v>2</v>
      </c>
      <c r="FK175" s="373"/>
      <c r="FL175" s="870"/>
      <c r="FM175" s="373"/>
      <c r="FN175" s="373"/>
      <c r="FO175" s="373"/>
      <c r="FP175" s="618"/>
      <c r="FQ175" s="374">
        <v>0</v>
      </c>
      <c r="FR175" s="869"/>
      <c r="FS175" s="373"/>
      <c r="FT175" s="373"/>
      <c r="FU175" s="870"/>
      <c r="FV175" s="373"/>
      <c r="FW175" s="373"/>
      <c r="FX175" s="373"/>
      <c r="FY175" s="618"/>
      <c r="FZ175" s="374">
        <v>0</v>
      </c>
      <c r="GA175" s="869"/>
      <c r="GB175" s="373"/>
      <c r="GC175" s="373"/>
      <c r="GD175" s="870"/>
      <c r="GE175" s="373"/>
      <c r="GF175" s="373"/>
      <c r="GG175" s="373"/>
      <c r="GH175" s="618"/>
      <c r="GI175" s="374">
        <v>0</v>
      </c>
      <c r="GJ175" s="869">
        <v>2</v>
      </c>
      <c r="GK175" s="373">
        <v>11</v>
      </c>
      <c r="GL175" s="373">
        <v>10</v>
      </c>
      <c r="GM175" s="870">
        <v>3</v>
      </c>
      <c r="GN175" s="373">
        <v>4</v>
      </c>
      <c r="GO175" s="373"/>
      <c r="GP175" s="373">
        <v>5</v>
      </c>
      <c r="GQ175" s="618">
        <v>4</v>
      </c>
      <c r="GR175" s="374">
        <v>4</v>
      </c>
      <c r="GS175" s="869"/>
      <c r="GT175" s="373">
        <v>3</v>
      </c>
      <c r="GU175" s="373">
        <v>3</v>
      </c>
      <c r="GV175" s="870"/>
      <c r="GW175" s="373">
        <v>1</v>
      </c>
      <c r="GX175" s="373"/>
      <c r="GY175" s="373"/>
      <c r="GZ175" s="618">
        <v>1</v>
      </c>
      <c r="HA175" s="374">
        <v>1</v>
      </c>
      <c r="HB175" s="869"/>
      <c r="HC175" s="373"/>
      <c r="HD175" s="373"/>
      <c r="HE175" s="870"/>
      <c r="HF175" s="373"/>
      <c r="HG175" s="373">
        <v>1</v>
      </c>
      <c r="HH175" s="373"/>
      <c r="HI175" s="618"/>
      <c r="HJ175" s="374">
        <v>0</v>
      </c>
      <c r="HK175" s="869"/>
      <c r="HL175" s="373"/>
      <c r="HM175" s="373"/>
      <c r="HN175" s="870"/>
      <c r="HO175" s="373">
        <v>1</v>
      </c>
      <c r="HP175" s="373"/>
      <c r="HQ175" s="373"/>
      <c r="HR175" s="618"/>
      <c r="HS175" s="374">
        <v>0</v>
      </c>
      <c r="HT175" s="869"/>
      <c r="HU175" s="373">
        <v>5</v>
      </c>
      <c r="HV175" s="373">
        <v>3</v>
      </c>
      <c r="HW175" s="870"/>
      <c r="HX175" s="373">
        <v>3</v>
      </c>
      <c r="HY175" s="373">
        <v>2</v>
      </c>
      <c r="HZ175" s="373"/>
      <c r="IA175" s="618">
        <v>2</v>
      </c>
      <c r="IB175" s="374">
        <v>3</v>
      </c>
      <c r="IC175" s="869">
        <v>5</v>
      </c>
      <c r="ID175" s="373">
        <v>19</v>
      </c>
      <c r="IE175" s="373">
        <v>13</v>
      </c>
      <c r="IF175" s="870">
        <v>6</v>
      </c>
      <c r="IG175" s="373">
        <v>8</v>
      </c>
      <c r="IH175" s="373">
        <v>4</v>
      </c>
      <c r="II175" s="373">
        <v>8</v>
      </c>
      <c r="IJ175" s="618">
        <v>9</v>
      </c>
      <c r="IK175" s="374">
        <v>7</v>
      </c>
      <c r="IL175" s="377">
        <v>1</v>
      </c>
      <c r="IM175" s="373">
        <v>1</v>
      </c>
      <c r="IN175" s="373">
        <v>1</v>
      </c>
      <c r="IO175" s="871"/>
      <c r="IP175" s="871"/>
      <c r="IQ175" s="373"/>
      <c r="IR175" s="373"/>
      <c r="IS175" s="618"/>
      <c r="IT175" s="374">
        <v>0</v>
      </c>
    </row>
    <row r="176" spans="1:254" s="245" customFormat="1" ht="12.75" customHeight="1" x14ac:dyDescent="0.2">
      <c r="A176" s="1052"/>
      <c r="B176" s="868" t="s">
        <v>1028</v>
      </c>
      <c r="C176" s="869"/>
      <c r="D176" s="373"/>
      <c r="E176" s="373"/>
      <c r="F176" s="870"/>
      <c r="G176" s="373"/>
      <c r="H176" s="373"/>
      <c r="I176" s="373"/>
      <c r="J176" s="618"/>
      <c r="K176" s="374">
        <v>0</v>
      </c>
      <c r="L176" s="869"/>
      <c r="M176" s="373"/>
      <c r="N176" s="373"/>
      <c r="O176" s="870"/>
      <c r="P176" s="373"/>
      <c r="Q176" s="373"/>
      <c r="R176" s="373"/>
      <c r="S176" s="618"/>
      <c r="T176" s="374">
        <v>0</v>
      </c>
      <c r="U176" s="869"/>
      <c r="V176" s="373"/>
      <c r="W176" s="373"/>
      <c r="X176" s="870"/>
      <c r="Y176" s="373"/>
      <c r="Z176" s="373"/>
      <c r="AA176" s="373"/>
      <c r="AB176" s="618"/>
      <c r="AC176" s="374">
        <v>0</v>
      </c>
      <c r="AD176" s="869"/>
      <c r="AE176" s="373"/>
      <c r="AF176" s="373"/>
      <c r="AG176" s="870"/>
      <c r="AH176" s="373"/>
      <c r="AI176" s="373"/>
      <c r="AJ176" s="373"/>
      <c r="AK176" s="618"/>
      <c r="AL176" s="374">
        <v>1</v>
      </c>
      <c r="AM176" s="869"/>
      <c r="AN176" s="373"/>
      <c r="AO176" s="373"/>
      <c r="AP176" s="870"/>
      <c r="AQ176" s="373"/>
      <c r="AR176" s="373"/>
      <c r="AS176" s="373"/>
      <c r="AT176" s="618"/>
      <c r="AU176" s="374">
        <v>0</v>
      </c>
      <c r="AV176" s="869"/>
      <c r="AW176" s="373"/>
      <c r="AX176" s="373"/>
      <c r="AY176" s="870"/>
      <c r="AZ176" s="373"/>
      <c r="BA176" s="373"/>
      <c r="BB176" s="373"/>
      <c r="BC176" s="618"/>
      <c r="BD176" s="374">
        <v>0</v>
      </c>
      <c r="BE176" s="869"/>
      <c r="BF176" s="373"/>
      <c r="BG176" s="373">
        <v>1</v>
      </c>
      <c r="BH176" s="870"/>
      <c r="BI176" s="373"/>
      <c r="BJ176" s="373"/>
      <c r="BK176" s="373"/>
      <c r="BL176" s="618"/>
      <c r="BM176" s="374">
        <v>0</v>
      </c>
      <c r="BN176" s="869"/>
      <c r="BO176" s="373"/>
      <c r="BP176" s="373"/>
      <c r="BQ176" s="870"/>
      <c r="BR176" s="373"/>
      <c r="BS176" s="373"/>
      <c r="BT176" s="373"/>
      <c r="BU176" s="618"/>
      <c r="BV176" s="374">
        <v>0</v>
      </c>
      <c r="BW176" s="869"/>
      <c r="BX176" s="373">
        <v>1</v>
      </c>
      <c r="BY176" s="373">
        <v>1</v>
      </c>
      <c r="BZ176" s="870"/>
      <c r="CA176" s="373"/>
      <c r="CB176" s="373"/>
      <c r="CC176" s="373"/>
      <c r="CD176" s="618">
        <v>1</v>
      </c>
      <c r="CE176" s="374">
        <v>0</v>
      </c>
      <c r="CF176" s="869"/>
      <c r="CG176" s="373"/>
      <c r="CH176" s="373"/>
      <c r="CI176" s="870"/>
      <c r="CJ176" s="373"/>
      <c r="CK176" s="373"/>
      <c r="CL176" s="373"/>
      <c r="CM176" s="618"/>
      <c r="CN176" s="374">
        <v>0</v>
      </c>
      <c r="CO176" s="869"/>
      <c r="CP176" s="373"/>
      <c r="CQ176" s="373"/>
      <c r="CR176" s="870"/>
      <c r="CS176" s="373"/>
      <c r="CT176" s="373"/>
      <c r="CU176" s="373"/>
      <c r="CV176" s="618"/>
      <c r="CW176" s="374">
        <v>0</v>
      </c>
      <c r="CX176" s="869">
        <v>9</v>
      </c>
      <c r="CY176" s="373">
        <v>1</v>
      </c>
      <c r="CZ176" s="373">
        <v>3</v>
      </c>
      <c r="DA176" s="870">
        <v>4</v>
      </c>
      <c r="DB176" s="373">
        <v>4</v>
      </c>
      <c r="DC176" s="373">
        <v>3</v>
      </c>
      <c r="DD176" s="373">
        <v>1</v>
      </c>
      <c r="DE176" s="618">
        <v>3</v>
      </c>
      <c r="DF176" s="374">
        <v>0</v>
      </c>
      <c r="DG176" s="869"/>
      <c r="DH176" s="373"/>
      <c r="DI176" s="373"/>
      <c r="DJ176" s="870"/>
      <c r="DK176" s="373"/>
      <c r="DL176" s="373"/>
      <c r="DM176" s="373"/>
      <c r="DN176" s="618"/>
      <c r="DO176" s="374">
        <v>0</v>
      </c>
      <c r="DP176" s="869"/>
      <c r="DQ176" s="373"/>
      <c r="DR176" s="373"/>
      <c r="DS176" s="870"/>
      <c r="DT176" s="373"/>
      <c r="DU176" s="373"/>
      <c r="DV176" s="373"/>
      <c r="DW176" s="618"/>
      <c r="DX176" s="374">
        <v>0</v>
      </c>
      <c r="DY176" s="869"/>
      <c r="DZ176" s="373"/>
      <c r="EA176" s="373"/>
      <c r="EB176" s="870"/>
      <c r="EC176" s="373"/>
      <c r="ED176" s="373"/>
      <c r="EE176" s="373"/>
      <c r="EF176" s="618"/>
      <c r="EG176" s="374">
        <v>0</v>
      </c>
      <c r="EH176" s="869">
        <v>1</v>
      </c>
      <c r="EI176" s="373"/>
      <c r="EJ176" s="373"/>
      <c r="EK176" s="870"/>
      <c r="EL176" s="373"/>
      <c r="EM176" s="373"/>
      <c r="EN176" s="373"/>
      <c r="EO176" s="618"/>
      <c r="EP176" s="374">
        <v>0</v>
      </c>
      <c r="EQ176" s="869"/>
      <c r="ER176" s="373"/>
      <c r="ES176" s="373"/>
      <c r="ET176" s="870"/>
      <c r="EU176" s="373"/>
      <c r="EV176" s="373"/>
      <c r="EW176" s="373"/>
      <c r="EX176" s="618"/>
      <c r="EY176" s="374">
        <v>0</v>
      </c>
      <c r="EZ176" s="869"/>
      <c r="FA176" s="373"/>
      <c r="FB176" s="373"/>
      <c r="FC176" s="870"/>
      <c r="FD176" s="373">
        <v>1</v>
      </c>
      <c r="FE176" s="373"/>
      <c r="FF176" s="373"/>
      <c r="FG176" s="618"/>
      <c r="FH176" s="374">
        <v>0</v>
      </c>
      <c r="FI176" s="869"/>
      <c r="FJ176" s="373"/>
      <c r="FK176" s="373">
        <v>1</v>
      </c>
      <c r="FL176" s="870"/>
      <c r="FM176" s="373"/>
      <c r="FN176" s="373"/>
      <c r="FO176" s="373"/>
      <c r="FP176" s="618"/>
      <c r="FQ176" s="374">
        <v>0</v>
      </c>
      <c r="FR176" s="869"/>
      <c r="FS176" s="373"/>
      <c r="FT176" s="373"/>
      <c r="FU176" s="870"/>
      <c r="FV176" s="373"/>
      <c r="FW176" s="373"/>
      <c r="FX176" s="373"/>
      <c r="FY176" s="618"/>
      <c r="FZ176" s="374">
        <v>0</v>
      </c>
      <c r="GA176" s="869"/>
      <c r="GB176" s="373"/>
      <c r="GC176" s="373"/>
      <c r="GD176" s="870"/>
      <c r="GE176" s="373"/>
      <c r="GF176" s="373"/>
      <c r="GG176" s="373"/>
      <c r="GH176" s="618"/>
      <c r="GI176" s="374">
        <v>0</v>
      </c>
      <c r="GJ176" s="869">
        <v>10</v>
      </c>
      <c r="GK176" s="373">
        <v>2</v>
      </c>
      <c r="GL176" s="373">
        <v>6</v>
      </c>
      <c r="GM176" s="870">
        <v>4</v>
      </c>
      <c r="GN176" s="373">
        <v>5</v>
      </c>
      <c r="GO176" s="373">
        <v>3</v>
      </c>
      <c r="GP176" s="373">
        <v>1</v>
      </c>
      <c r="GQ176" s="618">
        <v>4</v>
      </c>
      <c r="GR176" s="374">
        <v>1</v>
      </c>
      <c r="GS176" s="869"/>
      <c r="GT176" s="373">
        <v>2</v>
      </c>
      <c r="GU176" s="373">
        <v>2</v>
      </c>
      <c r="GV176" s="870">
        <v>3</v>
      </c>
      <c r="GW176" s="373"/>
      <c r="GX176" s="373">
        <v>1</v>
      </c>
      <c r="GY176" s="373">
        <v>1</v>
      </c>
      <c r="GZ176" s="618"/>
      <c r="HA176" s="374">
        <v>0</v>
      </c>
      <c r="HB176" s="869"/>
      <c r="HC176" s="373"/>
      <c r="HD176" s="373"/>
      <c r="HE176" s="870"/>
      <c r="HF176" s="373"/>
      <c r="HG176" s="373"/>
      <c r="HH176" s="373"/>
      <c r="HI176" s="618"/>
      <c r="HJ176" s="374">
        <v>0</v>
      </c>
      <c r="HK176" s="869"/>
      <c r="HL176" s="373"/>
      <c r="HM176" s="373"/>
      <c r="HN176" s="870"/>
      <c r="HO176" s="373"/>
      <c r="HP176" s="373"/>
      <c r="HQ176" s="373"/>
      <c r="HR176" s="618"/>
      <c r="HS176" s="374">
        <v>0</v>
      </c>
      <c r="HT176" s="869"/>
      <c r="HU176" s="373">
        <v>3</v>
      </c>
      <c r="HV176" s="373">
        <v>3</v>
      </c>
      <c r="HW176" s="870">
        <v>5</v>
      </c>
      <c r="HX176" s="373"/>
      <c r="HY176" s="373">
        <v>2</v>
      </c>
      <c r="HZ176" s="373">
        <v>1</v>
      </c>
      <c r="IA176" s="618"/>
      <c r="IB176" s="374">
        <v>0</v>
      </c>
      <c r="IC176" s="869">
        <v>18</v>
      </c>
      <c r="ID176" s="373">
        <v>3</v>
      </c>
      <c r="IE176" s="373">
        <v>14</v>
      </c>
      <c r="IF176" s="870">
        <v>9</v>
      </c>
      <c r="IG176" s="373">
        <v>6</v>
      </c>
      <c r="IH176" s="373">
        <v>7</v>
      </c>
      <c r="II176" s="373">
        <v>2</v>
      </c>
      <c r="IJ176" s="618">
        <v>6</v>
      </c>
      <c r="IK176" s="374">
        <v>2</v>
      </c>
      <c r="IL176" s="377"/>
      <c r="IM176" s="373"/>
      <c r="IN176" s="373"/>
      <c r="IO176" s="871"/>
      <c r="IP176" s="871"/>
      <c r="IQ176" s="373">
        <v>1</v>
      </c>
      <c r="IR176" s="373"/>
      <c r="IS176" s="618"/>
      <c r="IT176" s="374">
        <v>0</v>
      </c>
    </row>
    <row r="177" spans="1:254" s="245" customFormat="1" ht="12.75" customHeight="1" x14ac:dyDescent="0.2">
      <c r="A177" s="1052"/>
      <c r="B177" s="868" t="s">
        <v>1029</v>
      </c>
      <c r="C177" s="869"/>
      <c r="D177" s="373"/>
      <c r="E177" s="373"/>
      <c r="F177" s="870"/>
      <c r="G177" s="373"/>
      <c r="H177" s="373"/>
      <c r="I177" s="373"/>
      <c r="J177" s="618"/>
      <c r="K177" s="374">
        <v>0</v>
      </c>
      <c r="L177" s="869"/>
      <c r="M177" s="373"/>
      <c r="N177" s="373"/>
      <c r="O177" s="870"/>
      <c r="P177" s="373"/>
      <c r="Q177" s="373"/>
      <c r="R177" s="373"/>
      <c r="S177" s="618"/>
      <c r="T177" s="374">
        <v>0</v>
      </c>
      <c r="U177" s="869"/>
      <c r="V177" s="373"/>
      <c r="W177" s="373"/>
      <c r="X177" s="870"/>
      <c r="Y177" s="373"/>
      <c r="Z177" s="373"/>
      <c r="AA177" s="373"/>
      <c r="AB177" s="618"/>
      <c r="AC177" s="374">
        <v>0</v>
      </c>
      <c r="AD177" s="869"/>
      <c r="AE177" s="373"/>
      <c r="AF177" s="373"/>
      <c r="AG177" s="870"/>
      <c r="AH177" s="373"/>
      <c r="AI177" s="373"/>
      <c r="AJ177" s="373"/>
      <c r="AK177" s="618"/>
      <c r="AL177" s="374">
        <v>1</v>
      </c>
      <c r="AM177" s="869"/>
      <c r="AN177" s="373"/>
      <c r="AO177" s="373"/>
      <c r="AP177" s="870"/>
      <c r="AQ177" s="373"/>
      <c r="AR177" s="373"/>
      <c r="AS177" s="373"/>
      <c r="AT177" s="618"/>
      <c r="AU177" s="374">
        <v>0</v>
      </c>
      <c r="AV177" s="869"/>
      <c r="AW177" s="373"/>
      <c r="AX177" s="373"/>
      <c r="AY177" s="870"/>
      <c r="AZ177" s="373"/>
      <c r="BA177" s="373"/>
      <c r="BB177" s="373"/>
      <c r="BC177" s="618"/>
      <c r="BD177" s="374">
        <v>0</v>
      </c>
      <c r="BE177" s="869"/>
      <c r="BF177" s="373"/>
      <c r="BG177" s="373"/>
      <c r="BH177" s="870"/>
      <c r="BI177" s="373"/>
      <c r="BJ177" s="373"/>
      <c r="BK177" s="373"/>
      <c r="BL177" s="618"/>
      <c r="BM177" s="374">
        <v>0</v>
      </c>
      <c r="BN177" s="869"/>
      <c r="BO177" s="373"/>
      <c r="BP177" s="373"/>
      <c r="BQ177" s="870"/>
      <c r="BR177" s="373"/>
      <c r="BS177" s="373"/>
      <c r="BT177" s="373"/>
      <c r="BU177" s="618"/>
      <c r="BV177" s="374">
        <v>0</v>
      </c>
      <c r="BW177" s="869"/>
      <c r="BX177" s="373"/>
      <c r="BY177" s="373"/>
      <c r="BZ177" s="870">
        <v>1</v>
      </c>
      <c r="CA177" s="373"/>
      <c r="CB177" s="373"/>
      <c r="CC177" s="373"/>
      <c r="CD177" s="618"/>
      <c r="CE177" s="374">
        <v>1</v>
      </c>
      <c r="CF177" s="869"/>
      <c r="CG177" s="373"/>
      <c r="CH177" s="373"/>
      <c r="CI177" s="870"/>
      <c r="CJ177" s="373"/>
      <c r="CK177" s="373"/>
      <c r="CL177" s="373"/>
      <c r="CM177" s="618"/>
      <c r="CN177" s="374">
        <v>0</v>
      </c>
      <c r="CO177" s="869"/>
      <c r="CP177" s="373"/>
      <c r="CQ177" s="373">
        <v>1</v>
      </c>
      <c r="CR177" s="870"/>
      <c r="CS177" s="373"/>
      <c r="CT177" s="373"/>
      <c r="CU177" s="373"/>
      <c r="CV177" s="618"/>
      <c r="CW177" s="374">
        <v>0</v>
      </c>
      <c r="CX177" s="869">
        <v>3</v>
      </c>
      <c r="CY177" s="373">
        <v>3</v>
      </c>
      <c r="CZ177" s="373"/>
      <c r="DA177" s="870">
        <v>1</v>
      </c>
      <c r="DB177" s="373"/>
      <c r="DC177" s="373">
        <v>4</v>
      </c>
      <c r="DD177" s="373">
        <v>3</v>
      </c>
      <c r="DE177" s="618">
        <v>1</v>
      </c>
      <c r="DF177" s="374">
        <v>0</v>
      </c>
      <c r="DG177" s="869"/>
      <c r="DH177" s="373"/>
      <c r="DI177" s="373"/>
      <c r="DJ177" s="870"/>
      <c r="DK177" s="373"/>
      <c r="DL177" s="373"/>
      <c r="DM177" s="373"/>
      <c r="DN177" s="618"/>
      <c r="DO177" s="374">
        <v>0</v>
      </c>
      <c r="DP177" s="869"/>
      <c r="DQ177" s="373"/>
      <c r="DR177" s="373"/>
      <c r="DS177" s="870"/>
      <c r="DT177" s="373"/>
      <c r="DU177" s="373"/>
      <c r="DV177" s="373"/>
      <c r="DW177" s="618"/>
      <c r="DX177" s="374">
        <v>0</v>
      </c>
      <c r="DY177" s="869"/>
      <c r="DZ177" s="373"/>
      <c r="EA177" s="373"/>
      <c r="EB177" s="870"/>
      <c r="EC177" s="373"/>
      <c r="ED177" s="373">
        <v>1</v>
      </c>
      <c r="EE177" s="373">
        <v>1</v>
      </c>
      <c r="EF177" s="618"/>
      <c r="EG177" s="374">
        <v>0</v>
      </c>
      <c r="EH177" s="869"/>
      <c r="EI177" s="373"/>
      <c r="EJ177" s="373"/>
      <c r="EK177" s="870"/>
      <c r="EL177" s="373"/>
      <c r="EM177" s="373"/>
      <c r="EN177" s="373"/>
      <c r="EO177" s="618"/>
      <c r="EP177" s="374">
        <v>0</v>
      </c>
      <c r="EQ177" s="869"/>
      <c r="ER177" s="373"/>
      <c r="ES177" s="373"/>
      <c r="ET177" s="870"/>
      <c r="EU177" s="373"/>
      <c r="EV177" s="373"/>
      <c r="EW177" s="373"/>
      <c r="EX177" s="618"/>
      <c r="EY177" s="374">
        <v>0</v>
      </c>
      <c r="EZ177" s="869"/>
      <c r="FA177" s="373"/>
      <c r="FB177" s="373"/>
      <c r="FC177" s="870"/>
      <c r="FD177" s="373"/>
      <c r="FE177" s="373"/>
      <c r="FF177" s="373"/>
      <c r="FG177" s="618"/>
      <c r="FH177" s="374">
        <v>0</v>
      </c>
      <c r="FI177" s="869">
        <v>1</v>
      </c>
      <c r="FJ177" s="373"/>
      <c r="FK177" s="373"/>
      <c r="FL177" s="870"/>
      <c r="FM177" s="373"/>
      <c r="FN177" s="373"/>
      <c r="FO177" s="373">
        <v>1</v>
      </c>
      <c r="FP177" s="618"/>
      <c r="FQ177" s="374">
        <v>2</v>
      </c>
      <c r="FR177" s="869"/>
      <c r="FS177" s="373"/>
      <c r="FT177" s="373"/>
      <c r="FU177" s="870"/>
      <c r="FV177" s="373"/>
      <c r="FW177" s="373"/>
      <c r="FX177" s="373"/>
      <c r="FY177" s="618"/>
      <c r="FZ177" s="374">
        <v>0</v>
      </c>
      <c r="GA177" s="869"/>
      <c r="GB177" s="373"/>
      <c r="GC177" s="373"/>
      <c r="GD177" s="870"/>
      <c r="GE177" s="373"/>
      <c r="GF177" s="373"/>
      <c r="GG177" s="373"/>
      <c r="GH177" s="618"/>
      <c r="GI177" s="374">
        <v>0</v>
      </c>
      <c r="GJ177" s="869">
        <v>4</v>
      </c>
      <c r="GK177" s="373">
        <v>3</v>
      </c>
      <c r="GL177" s="373">
        <v>1</v>
      </c>
      <c r="GM177" s="870">
        <v>2</v>
      </c>
      <c r="GN177" s="373"/>
      <c r="GO177" s="373">
        <v>4</v>
      </c>
      <c r="GP177" s="373">
        <v>4</v>
      </c>
      <c r="GQ177" s="618">
        <v>1</v>
      </c>
      <c r="GR177" s="374">
        <v>4</v>
      </c>
      <c r="GS177" s="869">
        <v>1</v>
      </c>
      <c r="GT177" s="373"/>
      <c r="GU177" s="373"/>
      <c r="GV177" s="870">
        <v>1</v>
      </c>
      <c r="GW177" s="373"/>
      <c r="GX177" s="373"/>
      <c r="GY177" s="373"/>
      <c r="GZ177" s="618"/>
      <c r="HA177" s="374">
        <v>4</v>
      </c>
      <c r="HB177" s="869"/>
      <c r="HC177" s="373"/>
      <c r="HD177" s="373"/>
      <c r="HE177" s="870"/>
      <c r="HF177" s="373"/>
      <c r="HG177" s="373">
        <v>1</v>
      </c>
      <c r="HH177" s="373">
        <v>1</v>
      </c>
      <c r="HI177" s="618"/>
      <c r="HJ177" s="374">
        <v>0</v>
      </c>
      <c r="HK177" s="869"/>
      <c r="HL177" s="373"/>
      <c r="HM177" s="373"/>
      <c r="HN177" s="870"/>
      <c r="HO177" s="373"/>
      <c r="HP177" s="373"/>
      <c r="HQ177" s="373"/>
      <c r="HR177" s="618"/>
      <c r="HS177" s="374">
        <v>0</v>
      </c>
      <c r="HT177" s="869">
        <v>2</v>
      </c>
      <c r="HU177" s="373">
        <v>1</v>
      </c>
      <c r="HV177" s="373"/>
      <c r="HW177" s="870">
        <v>4</v>
      </c>
      <c r="HX177" s="373"/>
      <c r="HY177" s="373">
        <v>5</v>
      </c>
      <c r="HZ177" s="373">
        <v>1</v>
      </c>
      <c r="IA177" s="618"/>
      <c r="IB177" s="374">
        <v>4</v>
      </c>
      <c r="IC177" s="869">
        <v>7</v>
      </c>
      <c r="ID177" s="373">
        <v>7</v>
      </c>
      <c r="IE177" s="373">
        <v>3</v>
      </c>
      <c r="IF177" s="870">
        <v>9</v>
      </c>
      <c r="IG177" s="373">
        <v>1</v>
      </c>
      <c r="IH177" s="373">
        <v>11</v>
      </c>
      <c r="II177" s="373">
        <v>7</v>
      </c>
      <c r="IJ177" s="618">
        <v>2</v>
      </c>
      <c r="IK177" s="374">
        <v>7</v>
      </c>
      <c r="IL177" s="377">
        <v>2</v>
      </c>
      <c r="IM177" s="373">
        <v>1</v>
      </c>
      <c r="IN177" s="373"/>
      <c r="IO177" s="871">
        <v>1</v>
      </c>
      <c r="IP177" s="871"/>
      <c r="IQ177" s="373">
        <v>4</v>
      </c>
      <c r="IR177" s="373">
        <v>2</v>
      </c>
      <c r="IS177" s="618"/>
      <c r="IT177" s="374">
        <v>0</v>
      </c>
    </row>
    <row r="178" spans="1:254" s="245" customFormat="1" ht="12.75" customHeight="1" x14ac:dyDescent="0.2">
      <c r="A178" s="1052"/>
      <c r="B178" s="868" t="s">
        <v>1030</v>
      </c>
      <c r="C178" s="869"/>
      <c r="D178" s="373"/>
      <c r="E178" s="373"/>
      <c r="F178" s="870"/>
      <c r="G178" s="373"/>
      <c r="H178" s="373"/>
      <c r="I178" s="373"/>
      <c r="J178" s="618"/>
      <c r="K178" s="374">
        <v>0</v>
      </c>
      <c r="L178" s="869"/>
      <c r="M178" s="373"/>
      <c r="N178" s="373"/>
      <c r="O178" s="870"/>
      <c r="P178" s="373"/>
      <c r="Q178" s="373"/>
      <c r="R178" s="373"/>
      <c r="S178" s="618"/>
      <c r="T178" s="374">
        <v>0</v>
      </c>
      <c r="U178" s="869"/>
      <c r="V178" s="373"/>
      <c r="W178" s="373"/>
      <c r="X178" s="870"/>
      <c r="Y178" s="373"/>
      <c r="Z178" s="373"/>
      <c r="AA178" s="373"/>
      <c r="AB178" s="618"/>
      <c r="AC178" s="374">
        <v>0</v>
      </c>
      <c r="AD178" s="869"/>
      <c r="AE178" s="373"/>
      <c r="AF178" s="373"/>
      <c r="AG178" s="870"/>
      <c r="AH178" s="373"/>
      <c r="AI178" s="373"/>
      <c r="AJ178" s="373"/>
      <c r="AK178" s="618">
        <v>1</v>
      </c>
      <c r="AL178" s="374">
        <v>0</v>
      </c>
      <c r="AM178" s="869"/>
      <c r="AN178" s="373"/>
      <c r="AO178" s="373"/>
      <c r="AP178" s="870"/>
      <c r="AQ178" s="373"/>
      <c r="AR178" s="373"/>
      <c r="AS178" s="373"/>
      <c r="AT178" s="618"/>
      <c r="AU178" s="374">
        <v>0</v>
      </c>
      <c r="AV178" s="869"/>
      <c r="AW178" s="373"/>
      <c r="AX178" s="373"/>
      <c r="AY178" s="870"/>
      <c r="AZ178" s="373"/>
      <c r="BA178" s="373"/>
      <c r="BB178" s="373"/>
      <c r="BC178" s="618"/>
      <c r="BD178" s="374">
        <v>0</v>
      </c>
      <c r="BE178" s="869"/>
      <c r="BF178" s="373"/>
      <c r="BG178" s="373"/>
      <c r="BH178" s="870"/>
      <c r="BI178" s="373"/>
      <c r="BJ178" s="373"/>
      <c r="BK178" s="373"/>
      <c r="BL178" s="618"/>
      <c r="BM178" s="374">
        <v>0</v>
      </c>
      <c r="BN178" s="869"/>
      <c r="BO178" s="373"/>
      <c r="BP178" s="373"/>
      <c r="BQ178" s="870"/>
      <c r="BR178" s="373"/>
      <c r="BS178" s="373"/>
      <c r="BT178" s="373"/>
      <c r="BU178" s="618"/>
      <c r="BV178" s="374">
        <v>0</v>
      </c>
      <c r="BW178" s="869"/>
      <c r="BX178" s="373"/>
      <c r="BY178" s="373"/>
      <c r="BZ178" s="870"/>
      <c r="CA178" s="373"/>
      <c r="CB178" s="373">
        <v>1</v>
      </c>
      <c r="CC178" s="373"/>
      <c r="CD178" s="618"/>
      <c r="CE178" s="374">
        <v>0</v>
      </c>
      <c r="CF178" s="869"/>
      <c r="CG178" s="373"/>
      <c r="CH178" s="373"/>
      <c r="CI178" s="870"/>
      <c r="CJ178" s="373"/>
      <c r="CK178" s="373"/>
      <c r="CL178" s="373"/>
      <c r="CM178" s="618"/>
      <c r="CN178" s="374">
        <v>0</v>
      </c>
      <c r="CO178" s="869"/>
      <c r="CP178" s="373"/>
      <c r="CQ178" s="373"/>
      <c r="CR178" s="870"/>
      <c r="CS178" s="373"/>
      <c r="CT178" s="373"/>
      <c r="CU178" s="373"/>
      <c r="CV178" s="618"/>
      <c r="CW178" s="374">
        <v>0</v>
      </c>
      <c r="CX178" s="869">
        <v>3</v>
      </c>
      <c r="CY178" s="373">
        <v>3</v>
      </c>
      <c r="CZ178" s="373"/>
      <c r="DA178" s="870"/>
      <c r="DB178" s="373"/>
      <c r="DC178" s="373">
        <v>1</v>
      </c>
      <c r="DD178" s="373"/>
      <c r="DE178" s="618">
        <v>2</v>
      </c>
      <c r="DF178" s="374">
        <v>0</v>
      </c>
      <c r="DG178" s="869"/>
      <c r="DH178" s="373"/>
      <c r="DI178" s="373"/>
      <c r="DJ178" s="870"/>
      <c r="DK178" s="373"/>
      <c r="DL178" s="373"/>
      <c r="DM178" s="373"/>
      <c r="DN178" s="618"/>
      <c r="DO178" s="374">
        <v>0</v>
      </c>
      <c r="DP178" s="869"/>
      <c r="DQ178" s="373"/>
      <c r="DR178" s="373"/>
      <c r="DS178" s="870"/>
      <c r="DT178" s="373"/>
      <c r="DU178" s="373"/>
      <c r="DV178" s="373"/>
      <c r="DW178" s="618"/>
      <c r="DX178" s="374">
        <v>0</v>
      </c>
      <c r="DY178" s="869">
        <v>1</v>
      </c>
      <c r="DZ178" s="373">
        <v>2</v>
      </c>
      <c r="EA178" s="373"/>
      <c r="EB178" s="870"/>
      <c r="EC178" s="373"/>
      <c r="ED178" s="373"/>
      <c r="EE178" s="373"/>
      <c r="EF178" s="618"/>
      <c r="EG178" s="374">
        <v>0</v>
      </c>
      <c r="EH178" s="869"/>
      <c r="EI178" s="373"/>
      <c r="EJ178" s="373"/>
      <c r="EK178" s="870"/>
      <c r="EL178" s="373"/>
      <c r="EM178" s="373"/>
      <c r="EN178" s="373"/>
      <c r="EO178" s="618"/>
      <c r="EP178" s="374">
        <v>0</v>
      </c>
      <c r="EQ178" s="869"/>
      <c r="ER178" s="373"/>
      <c r="ES178" s="373"/>
      <c r="ET178" s="870"/>
      <c r="EU178" s="373"/>
      <c r="EV178" s="373"/>
      <c r="EW178" s="373"/>
      <c r="EX178" s="618"/>
      <c r="EY178" s="374">
        <v>0</v>
      </c>
      <c r="EZ178" s="869"/>
      <c r="FA178" s="373"/>
      <c r="FB178" s="373"/>
      <c r="FC178" s="870"/>
      <c r="FD178" s="373"/>
      <c r="FE178" s="373"/>
      <c r="FF178" s="373"/>
      <c r="FG178" s="618"/>
      <c r="FH178" s="374">
        <v>0</v>
      </c>
      <c r="FI178" s="869">
        <v>1</v>
      </c>
      <c r="FJ178" s="373">
        <v>4</v>
      </c>
      <c r="FK178" s="373">
        <v>1</v>
      </c>
      <c r="FL178" s="870"/>
      <c r="FM178" s="373"/>
      <c r="FN178" s="373"/>
      <c r="FO178" s="373"/>
      <c r="FP178" s="618"/>
      <c r="FQ178" s="374">
        <v>0</v>
      </c>
      <c r="FR178" s="869"/>
      <c r="FS178" s="373"/>
      <c r="FT178" s="373"/>
      <c r="FU178" s="870"/>
      <c r="FV178" s="373"/>
      <c r="FW178" s="373"/>
      <c r="FX178" s="373"/>
      <c r="FY178" s="618"/>
      <c r="FZ178" s="374">
        <v>0</v>
      </c>
      <c r="GA178" s="869"/>
      <c r="GB178" s="373"/>
      <c r="GC178" s="373"/>
      <c r="GD178" s="870"/>
      <c r="GE178" s="373"/>
      <c r="GF178" s="373"/>
      <c r="GG178" s="373"/>
      <c r="GH178" s="618"/>
      <c r="GI178" s="374">
        <v>0</v>
      </c>
      <c r="GJ178" s="869">
        <v>4</v>
      </c>
      <c r="GK178" s="373">
        <v>7</v>
      </c>
      <c r="GL178" s="373">
        <v>1</v>
      </c>
      <c r="GM178" s="870"/>
      <c r="GN178" s="373"/>
      <c r="GO178" s="373">
        <v>2</v>
      </c>
      <c r="GP178" s="373"/>
      <c r="GQ178" s="618">
        <v>3</v>
      </c>
      <c r="GR178" s="374">
        <v>0</v>
      </c>
      <c r="GS178" s="869"/>
      <c r="GT178" s="373"/>
      <c r="GU178" s="373">
        <v>1</v>
      </c>
      <c r="GV178" s="870"/>
      <c r="GW178" s="373"/>
      <c r="GX178" s="373"/>
      <c r="GY178" s="373"/>
      <c r="GZ178" s="618">
        <v>1</v>
      </c>
      <c r="HA178" s="374">
        <v>0</v>
      </c>
      <c r="HB178" s="869"/>
      <c r="HC178" s="373"/>
      <c r="HD178" s="373"/>
      <c r="HE178" s="870"/>
      <c r="HF178" s="373"/>
      <c r="HG178" s="373"/>
      <c r="HH178" s="373"/>
      <c r="HI178" s="618"/>
      <c r="HJ178" s="374">
        <v>0</v>
      </c>
      <c r="HK178" s="869"/>
      <c r="HL178" s="373"/>
      <c r="HM178" s="373"/>
      <c r="HN178" s="870"/>
      <c r="HO178" s="373"/>
      <c r="HP178" s="373"/>
      <c r="HQ178" s="373"/>
      <c r="HR178" s="618"/>
      <c r="HS178" s="374">
        <v>0</v>
      </c>
      <c r="HT178" s="869"/>
      <c r="HU178" s="373"/>
      <c r="HV178" s="373">
        <v>2</v>
      </c>
      <c r="HW178" s="870"/>
      <c r="HX178" s="373"/>
      <c r="HY178" s="373"/>
      <c r="HZ178" s="373"/>
      <c r="IA178" s="618">
        <v>1</v>
      </c>
      <c r="IB178" s="374">
        <v>0</v>
      </c>
      <c r="IC178" s="869">
        <v>4</v>
      </c>
      <c r="ID178" s="373">
        <v>7</v>
      </c>
      <c r="IE178" s="373">
        <v>2</v>
      </c>
      <c r="IF178" s="870">
        <v>1</v>
      </c>
      <c r="IG178" s="373"/>
      <c r="IH178" s="373">
        <v>5</v>
      </c>
      <c r="II178" s="373"/>
      <c r="IJ178" s="618">
        <v>3</v>
      </c>
      <c r="IK178" s="374">
        <v>1</v>
      </c>
      <c r="IL178" s="377">
        <v>3</v>
      </c>
      <c r="IM178" s="373">
        <v>3</v>
      </c>
      <c r="IN178" s="373"/>
      <c r="IO178" s="871"/>
      <c r="IP178" s="871"/>
      <c r="IQ178" s="373"/>
      <c r="IR178" s="373"/>
      <c r="IS178" s="618"/>
      <c r="IT178" s="374">
        <v>0</v>
      </c>
    </row>
    <row r="179" spans="1:254" s="245" customFormat="1" ht="12.75" customHeight="1" x14ac:dyDescent="0.2">
      <c r="A179" s="1052"/>
      <c r="B179" s="868" t="s">
        <v>1031</v>
      </c>
      <c r="C179" s="869"/>
      <c r="D179" s="373"/>
      <c r="E179" s="373"/>
      <c r="F179" s="870"/>
      <c r="G179" s="373"/>
      <c r="H179" s="373"/>
      <c r="I179" s="373"/>
      <c r="J179" s="618"/>
      <c r="K179" s="374">
        <v>0</v>
      </c>
      <c r="L179" s="869"/>
      <c r="M179" s="373"/>
      <c r="N179" s="373"/>
      <c r="O179" s="870"/>
      <c r="P179" s="373"/>
      <c r="Q179" s="373"/>
      <c r="R179" s="373"/>
      <c r="S179" s="618"/>
      <c r="T179" s="374">
        <v>0</v>
      </c>
      <c r="U179" s="869"/>
      <c r="V179" s="373"/>
      <c r="W179" s="373"/>
      <c r="X179" s="870"/>
      <c r="Y179" s="373"/>
      <c r="Z179" s="373"/>
      <c r="AA179" s="373"/>
      <c r="AB179" s="618"/>
      <c r="AC179" s="374">
        <v>0</v>
      </c>
      <c r="AD179" s="869">
        <v>1</v>
      </c>
      <c r="AE179" s="373">
        <v>1</v>
      </c>
      <c r="AF179" s="373">
        <v>1</v>
      </c>
      <c r="AG179" s="870">
        <v>1</v>
      </c>
      <c r="AH179" s="373"/>
      <c r="AI179" s="373">
        <v>1</v>
      </c>
      <c r="AJ179" s="373">
        <v>1</v>
      </c>
      <c r="AK179" s="618"/>
      <c r="AL179" s="374">
        <v>1</v>
      </c>
      <c r="AM179" s="869"/>
      <c r="AN179" s="373">
        <v>1</v>
      </c>
      <c r="AO179" s="373">
        <v>1</v>
      </c>
      <c r="AP179" s="870">
        <v>1</v>
      </c>
      <c r="AQ179" s="373"/>
      <c r="AR179" s="373"/>
      <c r="AS179" s="373"/>
      <c r="AT179" s="618"/>
      <c r="AU179" s="374">
        <v>1</v>
      </c>
      <c r="AV179" s="869"/>
      <c r="AW179" s="373"/>
      <c r="AX179" s="373"/>
      <c r="AY179" s="870"/>
      <c r="AZ179" s="373"/>
      <c r="BA179" s="373"/>
      <c r="BB179" s="373"/>
      <c r="BC179" s="618"/>
      <c r="BD179" s="374">
        <v>0</v>
      </c>
      <c r="BE179" s="869"/>
      <c r="BF179" s="373"/>
      <c r="BG179" s="373"/>
      <c r="BH179" s="870"/>
      <c r="BI179" s="373"/>
      <c r="BJ179" s="373"/>
      <c r="BK179" s="373"/>
      <c r="BL179" s="618"/>
      <c r="BM179" s="374">
        <v>0</v>
      </c>
      <c r="BN179" s="869"/>
      <c r="BO179" s="373"/>
      <c r="BP179" s="373"/>
      <c r="BQ179" s="870"/>
      <c r="BR179" s="373"/>
      <c r="BS179" s="373"/>
      <c r="BT179" s="373"/>
      <c r="BU179" s="618"/>
      <c r="BV179" s="374">
        <v>0</v>
      </c>
      <c r="BW179" s="869">
        <v>2</v>
      </c>
      <c r="BX179" s="373"/>
      <c r="BY179" s="373"/>
      <c r="BZ179" s="870">
        <v>1</v>
      </c>
      <c r="CA179" s="373"/>
      <c r="CB179" s="373"/>
      <c r="CC179" s="373"/>
      <c r="CD179" s="618">
        <v>2</v>
      </c>
      <c r="CE179" s="374">
        <v>1</v>
      </c>
      <c r="CF179" s="869"/>
      <c r="CG179" s="373"/>
      <c r="CH179" s="373"/>
      <c r="CI179" s="870"/>
      <c r="CJ179" s="373"/>
      <c r="CK179" s="373"/>
      <c r="CL179" s="373"/>
      <c r="CM179" s="618"/>
      <c r="CN179" s="374">
        <v>0</v>
      </c>
      <c r="CO179" s="869"/>
      <c r="CP179" s="373"/>
      <c r="CQ179" s="373"/>
      <c r="CR179" s="870"/>
      <c r="CS179" s="373"/>
      <c r="CT179" s="373"/>
      <c r="CU179" s="373"/>
      <c r="CV179" s="618"/>
      <c r="CW179" s="374">
        <v>0</v>
      </c>
      <c r="CX179" s="869">
        <v>1</v>
      </c>
      <c r="CY179" s="373">
        <v>2</v>
      </c>
      <c r="CZ179" s="373">
        <v>2</v>
      </c>
      <c r="DA179" s="870">
        <v>2</v>
      </c>
      <c r="DB179" s="373">
        <v>5</v>
      </c>
      <c r="DC179" s="373">
        <v>1</v>
      </c>
      <c r="DD179" s="373">
        <v>1</v>
      </c>
      <c r="DE179" s="618"/>
      <c r="DF179" s="374">
        <v>0</v>
      </c>
      <c r="DG179" s="869"/>
      <c r="DH179" s="373"/>
      <c r="DI179" s="373"/>
      <c r="DJ179" s="870"/>
      <c r="DK179" s="373"/>
      <c r="DL179" s="373">
        <v>1</v>
      </c>
      <c r="DM179" s="373"/>
      <c r="DN179" s="618"/>
      <c r="DO179" s="374">
        <v>0</v>
      </c>
      <c r="DP179" s="869"/>
      <c r="DQ179" s="373"/>
      <c r="DR179" s="373"/>
      <c r="DS179" s="870"/>
      <c r="DT179" s="373"/>
      <c r="DU179" s="373"/>
      <c r="DV179" s="373"/>
      <c r="DW179" s="618"/>
      <c r="DX179" s="374">
        <v>0</v>
      </c>
      <c r="DY179" s="869"/>
      <c r="DZ179" s="373"/>
      <c r="EA179" s="373"/>
      <c r="EB179" s="870">
        <v>2</v>
      </c>
      <c r="EC179" s="373">
        <v>1</v>
      </c>
      <c r="ED179" s="373"/>
      <c r="EE179" s="373"/>
      <c r="EF179" s="618"/>
      <c r="EG179" s="374">
        <v>0</v>
      </c>
      <c r="EH179" s="869"/>
      <c r="EI179" s="373"/>
      <c r="EJ179" s="373"/>
      <c r="EK179" s="870"/>
      <c r="EL179" s="373"/>
      <c r="EM179" s="373"/>
      <c r="EN179" s="373"/>
      <c r="EO179" s="618"/>
      <c r="EP179" s="374">
        <v>0</v>
      </c>
      <c r="EQ179" s="869"/>
      <c r="ER179" s="373"/>
      <c r="ES179" s="373"/>
      <c r="ET179" s="870"/>
      <c r="EU179" s="373"/>
      <c r="EV179" s="373"/>
      <c r="EW179" s="373"/>
      <c r="EX179" s="618"/>
      <c r="EY179" s="374">
        <v>0</v>
      </c>
      <c r="EZ179" s="869"/>
      <c r="FA179" s="373"/>
      <c r="FB179" s="373"/>
      <c r="FC179" s="870"/>
      <c r="FD179" s="373"/>
      <c r="FE179" s="373"/>
      <c r="FF179" s="373"/>
      <c r="FG179" s="618"/>
      <c r="FH179" s="374">
        <v>0</v>
      </c>
      <c r="FI179" s="869"/>
      <c r="FJ179" s="373">
        <v>1</v>
      </c>
      <c r="FK179" s="373"/>
      <c r="FL179" s="870"/>
      <c r="FM179" s="373"/>
      <c r="FN179" s="373"/>
      <c r="FO179" s="373"/>
      <c r="FP179" s="618"/>
      <c r="FQ179" s="374">
        <v>0</v>
      </c>
      <c r="FR179" s="869"/>
      <c r="FS179" s="373"/>
      <c r="FT179" s="373"/>
      <c r="FU179" s="870"/>
      <c r="FV179" s="373"/>
      <c r="FW179" s="373"/>
      <c r="FX179" s="373"/>
      <c r="FY179" s="618"/>
      <c r="FZ179" s="374">
        <v>0</v>
      </c>
      <c r="GA179" s="869"/>
      <c r="GB179" s="373"/>
      <c r="GC179" s="373"/>
      <c r="GD179" s="870"/>
      <c r="GE179" s="373"/>
      <c r="GF179" s="373"/>
      <c r="GG179" s="373"/>
      <c r="GH179" s="618"/>
      <c r="GI179" s="374">
        <v>0</v>
      </c>
      <c r="GJ179" s="869">
        <v>4</v>
      </c>
      <c r="GK179" s="373">
        <v>4</v>
      </c>
      <c r="GL179" s="373">
        <v>3</v>
      </c>
      <c r="GM179" s="870">
        <v>4</v>
      </c>
      <c r="GN179" s="373">
        <v>5</v>
      </c>
      <c r="GO179" s="373">
        <v>2</v>
      </c>
      <c r="GP179" s="373">
        <v>2</v>
      </c>
      <c r="GQ179" s="618">
        <v>2</v>
      </c>
      <c r="GR179" s="374">
        <v>2</v>
      </c>
      <c r="GS179" s="869"/>
      <c r="GT179" s="373">
        <v>1</v>
      </c>
      <c r="GU179" s="373">
        <v>2</v>
      </c>
      <c r="GV179" s="870"/>
      <c r="GW179" s="373"/>
      <c r="GX179" s="373"/>
      <c r="GY179" s="373"/>
      <c r="GZ179" s="618">
        <v>2</v>
      </c>
      <c r="HA179" s="374">
        <v>1</v>
      </c>
      <c r="HB179" s="869"/>
      <c r="HC179" s="373"/>
      <c r="HD179" s="373"/>
      <c r="HE179" s="870"/>
      <c r="HF179" s="373"/>
      <c r="HG179" s="373"/>
      <c r="HH179" s="373"/>
      <c r="HI179" s="618"/>
      <c r="HJ179" s="374">
        <v>0</v>
      </c>
      <c r="HK179" s="869"/>
      <c r="HL179" s="373"/>
      <c r="HM179" s="373"/>
      <c r="HN179" s="870"/>
      <c r="HO179" s="373"/>
      <c r="HP179" s="373"/>
      <c r="HQ179" s="373"/>
      <c r="HR179" s="618"/>
      <c r="HS179" s="374">
        <v>0</v>
      </c>
      <c r="HT179" s="869"/>
      <c r="HU179" s="373">
        <v>2</v>
      </c>
      <c r="HV179" s="373">
        <v>2</v>
      </c>
      <c r="HW179" s="870">
        <v>1</v>
      </c>
      <c r="HX179" s="373"/>
      <c r="HY179" s="373"/>
      <c r="HZ179" s="373"/>
      <c r="IA179" s="618">
        <v>2</v>
      </c>
      <c r="IB179" s="374">
        <v>1</v>
      </c>
      <c r="IC179" s="869">
        <v>5</v>
      </c>
      <c r="ID179" s="373">
        <v>7</v>
      </c>
      <c r="IE179" s="373">
        <v>6</v>
      </c>
      <c r="IF179" s="870">
        <v>6</v>
      </c>
      <c r="IG179" s="373">
        <v>8</v>
      </c>
      <c r="IH179" s="373">
        <v>5</v>
      </c>
      <c r="II179" s="373">
        <v>3</v>
      </c>
      <c r="IJ179" s="618">
        <v>2</v>
      </c>
      <c r="IK179" s="374">
        <v>3</v>
      </c>
      <c r="IL179" s="377"/>
      <c r="IM179" s="373"/>
      <c r="IN179" s="373"/>
      <c r="IO179" s="871">
        <v>2</v>
      </c>
      <c r="IP179" s="871"/>
      <c r="IQ179" s="373"/>
      <c r="IR179" s="373"/>
      <c r="IS179" s="618"/>
      <c r="IT179" s="374">
        <v>0</v>
      </c>
    </row>
    <row r="180" spans="1:254" s="245" customFormat="1" ht="12.75" customHeight="1" x14ac:dyDescent="0.2">
      <c r="A180" s="1052"/>
      <c r="B180" s="868" t="s">
        <v>1032</v>
      </c>
      <c r="C180" s="869"/>
      <c r="D180" s="373"/>
      <c r="E180" s="373"/>
      <c r="F180" s="870"/>
      <c r="G180" s="373"/>
      <c r="H180" s="373"/>
      <c r="I180" s="373"/>
      <c r="J180" s="618"/>
      <c r="K180" s="374">
        <v>0</v>
      </c>
      <c r="L180" s="869"/>
      <c r="M180" s="373"/>
      <c r="N180" s="373"/>
      <c r="O180" s="870"/>
      <c r="P180" s="373"/>
      <c r="Q180" s="373"/>
      <c r="R180" s="373"/>
      <c r="S180" s="618"/>
      <c r="T180" s="374">
        <v>0</v>
      </c>
      <c r="U180" s="869"/>
      <c r="V180" s="373"/>
      <c r="W180" s="373"/>
      <c r="X180" s="870"/>
      <c r="Y180" s="373"/>
      <c r="Z180" s="373"/>
      <c r="AA180" s="373"/>
      <c r="AB180" s="618"/>
      <c r="AC180" s="374">
        <v>0</v>
      </c>
      <c r="AD180" s="869"/>
      <c r="AE180" s="373"/>
      <c r="AF180" s="373"/>
      <c r="AG180" s="870"/>
      <c r="AH180" s="373"/>
      <c r="AI180" s="373"/>
      <c r="AJ180" s="373"/>
      <c r="AK180" s="618"/>
      <c r="AL180" s="374">
        <v>0</v>
      </c>
      <c r="AM180" s="869"/>
      <c r="AN180" s="373"/>
      <c r="AO180" s="373"/>
      <c r="AP180" s="870"/>
      <c r="AQ180" s="373"/>
      <c r="AR180" s="373"/>
      <c r="AS180" s="373"/>
      <c r="AT180" s="618"/>
      <c r="AU180" s="374">
        <v>0</v>
      </c>
      <c r="AV180" s="869"/>
      <c r="AW180" s="373"/>
      <c r="AX180" s="373"/>
      <c r="AY180" s="870"/>
      <c r="AZ180" s="373"/>
      <c r="BA180" s="373"/>
      <c r="BB180" s="373"/>
      <c r="BC180" s="618"/>
      <c r="BD180" s="374">
        <v>0</v>
      </c>
      <c r="BE180" s="869"/>
      <c r="BF180" s="373"/>
      <c r="BG180" s="373"/>
      <c r="BH180" s="870"/>
      <c r="BI180" s="373"/>
      <c r="BJ180" s="373"/>
      <c r="BK180" s="373"/>
      <c r="BL180" s="618"/>
      <c r="BM180" s="374">
        <v>0</v>
      </c>
      <c r="BN180" s="869"/>
      <c r="BO180" s="373"/>
      <c r="BP180" s="373"/>
      <c r="BQ180" s="870"/>
      <c r="BR180" s="373"/>
      <c r="BS180" s="373"/>
      <c r="BT180" s="373"/>
      <c r="BU180" s="618"/>
      <c r="BV180" s="374">
        <v>0</v>
      </c>
      <c r="BW180" s="869"/>
      <c r="BX180" s="373"/>
      <c r="BY180" s="373"/>
      <c r="BZ180" s="870"/>
      <c r="CA180" s="373"/>
      <c r="CB180" s="373"/>
      <c r="CC180" s="373"/>
      <c r="CD180" s="618"/>
      <c r="CE180" s="374">
        <v>1</v>
      </c>
      <c r="CF180" s="869"/>
      <c r="CG180" s="373"/>
      <c r="CH180" s="373"/>
      <c r="CI180" s="870"/>
      <c r="CJ180" s="373"/>
      <c r="CK180" s="373"/>
      <c r="CL180" s="373"/>
      <c r="CM180" s="618"/>
      <c r="CN180" s="374">
        <v>0</v>
      </c>
      <c r="CO180" s="869"/>
      <c r="CP180" s="373"/>
      <c r="CQ180" s="373"/>
      <c r="CR180" s="870"/>
      <c r="CS180" s="373"/>
      <c r="CT180" s="373"/>
      <c r="CU180" s="373"/>
      <c r="CV180" s="618"/>
      <c r="CW180" s="374">
        <v>0</v>
      </c>
      <c r="CX180" s="869">
        <v>1</v>
      </c>
      <c r="CY180" s="373">
        <v>4</v>
      </c>
      <c r="CZ180" s="373">
        <v>7</v>
      </c>
      <c r="DA180" s="870"/>
      <c r="DB180" s="373">
        <v>3</v>
      </c>
      <c r="DC180" s="373"/>
      <c r="DD180" s="373">
        <v>3</v>
      </c>
      <c r="DE180" s="618">
        <v>4</v>
      </c>
      <c r="DF180" s="374">
        <v>0</v>
      </c>
      <c r="DG180" s="869"/>
      <c r="DH180" s="373"/>
      <c r="DI180" s="373"/>
      <c r="DJ180" s="870"/>
      <c r="DK180" s="373"/>
      <c r="DL180" s="373"/>
      <c r="DM180" s="373"/>
      <c r="DN180" s="618"/>
      <c r="DO180" s="374">
        <v>0</v>
      </c>
      <c r="DP180" s="869"/>
      <c r="DQ180" s="373"/>
      <c r="DR180" s="373"/>
      <c r="DS180" s="870"/>
      <c r="DT180" s="373"/>
      <c r="DU180" s="373"/>
      <c r="DV180" s="373">
        <v>1</v>
      </c>
      <c r="DW180" s="618"/>
      <c r="DX180" s="374">
        <v>0</v>
      </c>
      <c r="DY180" s="869"/>
      <c r="DZ180" s="373"/>
      <c r="EA180" s="373"/>
      <c r="EB180" s="870"/>
      <c r="EC180" s="373"/>
      <c r="ED180" s="373"/>
      <c r="EE180" s="373"/>
      <c r="EF180" s="618"/>
      <c r="EG180" s="374">
        <v>0</v>
      </c>
      <c r="EH180" s="869"/>
      <c r="EI180" s="373"/>
      <c r="EJ180" s="373"/>
      <c r="EK180" s="870"/>
      <c r="EL180" s="373"/>
      <c r="EM180" s="373"/>
      <c r="EN180" s="373"/>
      <c r="EO180" s="618"/>
      <c r="EP180" s="374">
        <v>0</v>
      </c>
      <c r="EQ180" s="869"/>
      <c r="ER180" s="373"/>
      <c r="ES180" s="373"/>
      <c r="ET180" s="870"/>
      <c r="EU180" s="373"/>
      <c r="EV180" s="373"/>
      <c r="EW180" s="373"/>
      <c r="EX180" s="618"/>
      <c r="EY180" s="374">
        <v>0</v>
      </c>
      <c r="EZ180" s="869"/>
      <c r="FA180" s="373"/>
      <c r="FB180" s="373"/>
      <c r="FC180" s="870"/>
      <c r="FD180" s="373"/>
      <c r="FE180" s="373"/>
      <c r="FF180" s="373"/>
      <c r="FG180" s="618"/>
      <c r="FH180" s="374">
        <v>0</v>
      </c>
      <c r="FI180" s="869">
        <v>1</v>
      </c>
      <c r="FJ180" s="373">
        <v>2</v>
      </c>
      <c r="FK180" s="373">
        <v>1</v>
      </c>
      <c r="FL180" s="870"/>
      <c r="FM180" s="373"/>
      <c r="FN180" s="373">
        <v>1</v>
      </c>
      <c r="FO180" s="373"/>
      <c r="FP180" s="618"/>
      <c r="FQ180" s="374">
        <v>0</v>
      </c>
      <c r="FR180" s="869"/>
      <c r="FS180" s="373"/>
      <c r="FT180" s="373"/>
      <c r="FU180" s="870"/>
      <c r="FV180" s="373"/>
      <c r="FW180" s="373"/>
      <c r="FX180" s="373"/>
      <c r="FY180" s="618"/>
      <c r="FZ180" s="374">
        <v>0</v>
      </c>
      <c r="GA180" s="869"/>
      <c r="GB180" s="373"/>
      <c r="GC180" s="373"/>
      <c r="GD180" s="870"/>
      <c r="GE180" s="373"/>
      <c r="GF180" s="373"/>
      <c r="GG180" s="373"/>
      <c r="GH180" s="618"/>
      <c r="GI180" s="374">
        <v>0</v>
      </c>
      <c r="GJ180" s="869">
        <v>2</v>
      </c>
      <c r="GK180" s="373">
        <v>6</v>
      </c>
      <c r="GL180" s="373">
        <v>8</v>
      </c>
      <c r="GM180" s="870"/>
      <c r="GN180" s="373">
        <v>3</v>
      </c>
      <c r="GO180" s="373">
        <v>1</v>
      </c>
      <c r="GP180" s="373">
        <v>3</v>
      </c>
      <c r="GQ180" s="618">
        <v>4</v>
      </c>
      <c r="GR180" s="374">
        <v>1</v>
      </c>
      <c r="GS180" s="869">
        <v>2</v>
      </c>
      <c r="GT180" s="373">
        <v>6</v>
      </c>
      <c r="GU180" s="373">
        <v>7</v>
      </c>
      <c r="GV180" s="870"/>
      <c r="GW180" s="373"/>
      <c r="GX180" s="373"/>
      <c r="GY180" s="373"/>
      <c r="GZ180" s="618"/>
      <c r="HA180" s="374">
        <v>1</v>
      </c>
      <c r="HB180" s="869"/>
      <c r="HC180" s="373"/>
      <c r="HD180" s="373"/>
      <c r="HE180" s="870"/>
      <c r="HF180" s="373"/>
      <c r="HG180" s="373"/>
      <c r="HH180" s="373"/>
      <c r="HI180" s="618"/>
      <c r="HJ180" s="374">
        <v>0</v>
      </c>
      <c r="HK180" s="869"/>
      <c r="HL180" s="373"/>
      <c r="HM180" s="373"/>
      <c r="HN180" s="870"/>
      <c r="HO180" s="373"/>
      <c r="HP180" s="373"/>
      <c r="HQ180" s="373"/>
      <c r="HR180" s="618"/>
      <c r="HS180" s="374">
        <v>0</v>
      </c>
      <c r="HT180" s="869">
        <v>2</v>
      </c>
      <c r="HU180" s="373">
        <v>7</v>
      </c>
      <c r="HV180" s="373">
        <v>8</v>
      </c>
      <c r="HW180" s="870"/>
      <c r="HX180" s="373"/>
      <c r="HY180" s="373">
        <v>1</v>
      </c>
      <c r="HZ180" s="373"/>
      <c r="IA180" s="618"/>
      <c r="IB180" s="374">
        <v>1</v>
      </c>
      <c r="IC180" s="869">
        <v>3</v>
      </c>
      <c r="ID180" s="373">
        <v>8</v>
      </c>
      <c r="IE180" s="373">
        <v>11</v>
      </c>
      <c r="IF180" s="870">
        <v>1</v>
      </c>
      <c r="IG180" s="373">
        <v>3</v>
      </c>
      <c r="IH180" s="373">
        <v>2</v>
      </c>
      <c r="II180" s="373">
        <v>3</v>
      </c>
      <c r="IJ180" s="618">
        <v>5</v>
      </c>
      <c r="IK180" s="374">
        <v>2</v>
      </c>
      <c r="IL180" s="377"/>
      <c r="IM180" s="373"/>
      <c r="IN180" s="373"/>
      <c r="IO180" s="871"/>
      <c r="IP180" s="871"/>
      <c r="IQ180" s="373"/>
      <c r="IR180" s="373"/>
      <c r="IS180" s="618">
        <v>3</v>
      </c>
      <c r="IT180" s="374">
        <v>0</v>
      </c>
    </row>
    <row r="181" spans="1:254" s="245" customFormat="1" ht="12.75" customHeight="1" x14ac:dyDescent="0.2">
      <c r="A181" s="1052"/>
      <c r="B181" s="868" t="s">
        <v>1033</v>
      </c>
      <c r="C181" s="869"/>
      <c r="D181" s="373"/>
      <c r="E181" s="373"/>
      <c r="F181" s="870"/>
      <c r="G181" s="373"/>
      <c r="H181" s="373"/>
      <c r="I181" s="373"/>
      <c r="J181" s="618"/>
      <c r="K181" s="374">
        <v>0</v>
      </c>
      <c r="L181" s="869"/>
      <c r="M181" s="373"/>
      <c r="N181" s="373"/>
      <c r="O181" s="870"/>
      <c r="P181" s="373"/>
      <c r="Q181" s="373"/>
      <c r="R181" s="373"/>
      <c r="S181" s="618"/>
      <c r="T181" s="374">
        <v>0</v>
      </c>
      <c r="U181" s="869"/>
      <c r="V181" s="373"/>
      <c r="W181" s="373"/>
      <c r="X181" s="870"/>
      <c r="Y181" s="373"/>
      <c r="Z181" s="373"/>
      <c r="AA181" s="373"/>
      <c r="AB181" s="618"/>
      <c r="AC181" s="374">
        <v>0</v>
      </c>
      <c r="AD181" s="869"/>
      <c r="AE181" s="373"/>
      <c r="AF181" s="373"/>
      <c r="AG181" s="870"/>
      <c r="AH181" s="373"/>
      <c r="AI181" s="373"/>
      <c r="AJ181" s="373"/>
      <c r="AK181" s="618">
        <v>1</v>
      </c>
      <c r="AL181" s="374">
        <v>0</v>
      </c>
      <c r="AM181" s="869"/>
      <c r="AN181" s="373"/>
      <c r="AO181" s="373"/>
      <c r="AP181" s="870"/>
      <c r="AQ181" s="373"/>
      <c r="AR181" s="373"/>
      <c r="AS181" s="373"/>
      <c r="AT181" s="618"/>
      <c r="AU181" s="374">
        <v>0</v>
      </c>
      <c r="AV181" s="869"/>
      <c r="AW181" s="373"/>
      <c r="AX181" s="373"/>
      <c r="AY181" s="870"/>
      <c r="AZ181" s="373"/>
      <c r="BA181" s="373"/>
      <c r="BB181" s="373"/>
      <c r="BC181" s="618"/>
      <c r="BD181" s="374">
        <v>0</v>
      </c>
      <c r="BE181" s="869"/>
      <c r="BF181" s="373"/>
      <c r="BG181" s="373"/>
      <c r="BH181" s="870"/>
      <c r="BI181" s="373"/>
      <c r="BJ181" s="373"/>
      <c r="BK181" s="373"/>
      <c r="BL181" s="618"/>
      <c r="BM181" s="374">
        <v>0</v>
      </c>
      <c r="BN181" s="869"/>
      <c r="BO181" s="373"/>
      <c r="BP181" s="373"/>
      <c r="BQ181" s="870"/>
      <c r="BR181" s="373"/>
      <c r="BS181" s="373"/>
      <c r="BT181" s="373"/>
      <c r="BU181" s="618"/>
      <c r="BV181" s="374">
        <v>0</v>
      </c>
      <c r="BW181" s="869"/>
      <c r="BX181" s="373"/>
      <c r="BY181" s="373"/>
      <c r="BZ181" s="870">
        <v>1</v>
      </c>
      <c r="CA181" s="373">
        <v>1</v>
      </c>
      <c r="CB181" s="373"/>
      <c r="CC181" s="373"/>
      <c r="CD181" s="618"/>
      <c r="CE181" s="374">
        <v>0</v>
      </c>
      <c r="CF181" s="869"/>
      <c r="CG181" s="373"/>
      <c r="CH181" s="373"/>
      <c r="CI181" s="870"/>
      <c r="CJ181" s="373"/>
      <c r="CK181" s="373"/>
      <c r="CL181" s="373"/>
      <c r="CM181" s="618"/>
      <c r="CN181" s="374">
        <v>0</v>
      </c>
      <c r="CO181" s="869"/>
      <c r="CP181" s="373"/>
      <c r="CQ181" s="373"/>
      <c r="CR181" s="870"/>
      <c r="CS181" s="373"/>
      <c r="CT181" s="373"/>
      <c r="CU181" s="373"/>
      <c r="CV181" s="618"/>
      <c r="CW181" s="374">
        <v>0</v>
      </c>
      <c r="CX181" s="869">
        <v>4</v>
      </c>
      <c r="CY181" s="373">
        <v>3</v>
      </c>
      <c r="CZ181" s="373"/>
      <c r="DA181" s="870"/>
      <c r="DB181" s="373">
        <v>3</v>
      </c>
      <c r="DC181" s="373"/>
      <c r="DD181" s="373">
        <v>5</v>
      </c>
      <c r="DE181" s="618"/>
      <c r="DF181" s="374">
        <v>0</v>
      </c>
      <c r="DG181" s="869"/>
      <c r="DH181" s="373"/>
      <c r="DI181" s="373"/>
      <c r="DJ181" s="870"/>
      <c r="DK181" s="373"/>
      <c r="DL181" s="373"/>
      <c r="DM181" s="373"/>
      <c r="DN181" s="618"/>
      <c r="DO181" s="374">
        <v>0</v>
      </c>
      <c r="DP181" s="869"/>
      <c r="DQ181" s="373"/>
      <c r="DR181" s="373"/>
      <c r="DS181" s="870"/>
      <c r="DT181" s="373"/>
      <c r="DU181" s="373"/>
      <c r="DV181" s="373"/>
      <c r="DW181" s="618"/>
      <c r="DX181" s="374">
        <v>0</v>
      </c>
      <c r="DY181" s="869">
        <v>1</v>
      </c>
      <c r="DZ181" s="373"/>
      <c r="EA181" s="373"/>
      <c r="EB181" s="870"/>
      <c r="EC181" s="373"/>
      <c r="ED181" s="373"/>
      <c r="EE181" s="373">
        <v>1</v>
      </c>
      <c r="EF181" s="618"/>
      <c r="EG181" s="374">
        <v>0</v>
      </c>
      <c r="EH181" s="869"/>
      <c r="EI181" s="373"/>
      <c r="EJ181" s="373"/>
      <c r="EK181" s="870"/>
      <c r="EL181" s="373"/>
      <c r="EM181" s="373"/>
      <c r="EN181" s="373"/>
      <c r="EO181" s="618"/>
      <c r="EP181" s="374">
        <v>0</v>
      </c>
      <c r="EQ181" s="869"/>
      <c r="ER181" s="373"/>
      <c r="ES181" s="373"/>
      <c r="ET181" s="870"/>
      <c r="EU181" s="373"/>
      <c r="EV181" s="373"/>
      <c r="EW181" s="373"/>
      <c r="EX181" s="618"/>
      <c r="EY181" s="374">
        <v>0</v>
      </c>
      <c r="EZ181" s="869"/>
      <c r="FA181" s="373"/>
      <c r="FB181" s="373"/>
      <c r="FC181" s="870"/>
      <c r="FD181" s="373"/>
      <c r="FE181" s="373"/>
      <c r="FF181" s="373"/>
      <c r="FG181" s="618"/>
      <c r="FH181" s="374">
        <v>0</v>
      </c>
      <c r="FI181" s="869"/>
      <c r="FJ181" s="373">
        <v>1</v>
      </c>
      <c r="FK181" s="373">
        <v>1</v>
      </c>
      <c r="FL181" s="870"/>
      <c r="FM181" s="373"/>
      <c r="FN181" s="373"/>
      <c r="FO181" s="373"/>
      <c r="FP181" s="618"/>
      <c r="FQ181" s="374">
        <v>0</v>
      </c>
      <c r="FR181" s="869"/>
      <c r="FS181" s="373"/>
      <c r="FT181" s="373"/>
      <c r="FU181" s="870">
        <v>1</v>
      </c>
      <c r="FV181" s="373"/>
      <c r="FW181" s="373"/>
      <c r="FX181" s="373"/>
      <c r="FY181" s="618"/>
      <c r="FZ181" s="374">
        <v>0</v>
      </c>
      <c r="GA181" s="869"/>
      <c r="GB181" s="373"/>
      <c r="GC181" s="373"/>
      <c r="GD181" s="870"/>
      <c r="GE181" s="373"/>
      <c r="GF181" s="373"/>
      <c r="GG181" s="373"/>
      <c r="GH181" s="618"/>
      <c r="GI181" s="374">
        <v>0</v>
      </c>
      <c r="GJ181" s="869">
        <v>4</v>
      </c>
      <c r="GK181" s="373">
        <v>4</v>
      </c>
      <c r="GL181" s="373">
        <v>1</v>
      </c>
      <c r="GM181" s="870">
        <v>2</v>
      </c>
      <c r="GN181" s="373">
        <v>4</v>
      </c>
      <c r="GO181" s="373"/>
      <c r="GP181" s="373">
        <v>5</v>
      </c>
      <c r="GQ181" s="618">
        <v>1</v>
      </c>
      <c r="GR181" s="374">
        <v>0</v>
      </c>
      <c r="GS181" s="869">
        <v>1</v>
      </c>
      <c r="GT181" s="373">
        <v>2</v>
      </c>
      <c r="GU181" s="373">
        <v>1</v>
      </c>
      <c r="GV181" s="870"/>
      <c r="GW181" s="373">
        <v>1</v>
      </c>
      <c r="GX181" s="373"/>
      <c r="GY181" s="373"/>
      <c r="GZ181" s="618"/>
      <c r="HA181" s="374">
        <v>0</v>
      </c>
      <c r="HB181" s="869"/>
      <c r="HC181" s="373"/>
      <c r="HD181" s="373"/>
      <c r="HE181" s="870"/>
      <c r="HF181" s="373"/>
      <c r="HG181" s="373"/>
      <c r="HH181" s="373"/>
      <c r="HI181" s="618"/>
      <c r="HJ181" s="374">
        <v>0</v>
      </c>
      <c r="HK181" s="869"/>
      <c r="HL181" s="373"/>
      <c r="HM181" s="373"/>
      <c r="HN181" s="870"/>
      <c r="HO181" s="373"/>
      <c r="HP181" s="373"/>
      <c r="HQ181" s="373"/>
      <c r="HR181" s="618"/>
      <c r="HS181" s="374">
        <v>0</v>
      </c>
      <c r="HT181" s="869">
        <v>1</v>
      </c>
      <c r="HU181" s="373">
        <v>2</v>
      </c>
      <c r="HV181" s="373">
        <v>1</v>
      </c>
      <c r="HW181" s="870"/>
      <c r="HX181" s="373">
        <v>1</v>
      </c>
      <c r="HY181" s="373">
        <v>1</v>
      </c>
      <c r="HZ181" s="373"/>
      <c r="IA181" s="618"/>
      <c r="IB181" s="374">
        <v>0</v>
      </c>
      <c r="IC181" s="869">
        <v>4</v>
      </c>
      <c r="ID181" s="373">
        <v>4</v>
      </c>
      <c r="IE181" s="373">
        <v>2</v>
      </c>
      <c r="IF181" s="870">
        <v>3</v>
      </c>
      <c r="IG181" s="373">
        <v>6</v>
      </c>
      <c r="IH181" s="373">
        <v>1</v>
      </c>
      <c r="II181" s="373">
        <v>5</v>
      </c>
      <c r="IJ181" s="618">
        <v>1</v>
      </c>
      <c r="IK181" s="374">
        <v>1</v>
      </c>
      <c r="IL181" s="377">
        <v>2</v>
      </c>
      <c r="IM181" s="373">
        <v>1</v>
      </c>
      <c r="IN181" s="373"/>
      <c r="IO181" s="871"/>
      <c r="IP181" s="871">
        <v>1</v>
      </c>
      <c r="IQ181" s="373"/>
      <c r="IR181" s="373">
        <v>4</v>
      </c>
      <c r="IS181" s="618"/>
      <c r="IT181" s="374">
        <v>0</v>
      </c>
    </row>
    <row r="182" spans="1:254" s="245" customFormat="1" ht="12.75" customHeight="1" x14ac:dyDescent="0.2">
      <c r="A182" s="1052"/>
      <c r="B182" s="868" t="s">
        <v>1034</v>
      </c>
      <c r="C182" s="869"/>
      <c r="D182" s="373"/>
      <c r="E182" s="373"/>
      <c r="F182" s="870"/>
      <c r="G182" s="373"/>
      <c r="H182" s="373"/>
      <c r="I182" s="373"/>
      <c r="J182" s="618"/>
      <c r="K182" s="374">
        <v>0</v>
      </c>
      <c r="L182" s="869"/>
      <c r="M182" s="373"/>
      <c r="N182" s="373"/>
      <c r="O182" s="870"/>
      <c r="P182" s="373"/>
      <c r="Q182" s="373"/>
      <c r="R182" s="373"/>
      <c r="S182" s="618"/>
      <c r="T182" s="374">
        <v>0</v>
      </c>
      <c r="U182" s="869"/>
      <c r="V182" s="373"/>
      <c r="W182" s="373"/>
      <c r="X182" s="870"/>
      <c r="Y182" s="373"/>
      <c r="Z182" s="373"/>
      <c r="AA182" s="373"/>
      <c r="AB182" s="618"/>
      <c r="AC182" s="374">
        <v>0</v>
      </c>
      <c r="AD182" s="869"/>
      <c r="AE182" s="373"/>
      <c r="AF182" s="373"/>
      <c r="AG182" s="870"/>
      <c r="AH182" s="373"/>
      <c r="AI182" s="373"/>
      <c r="AJ182" s="373"/>
      <c r="AK182" s="618"/>
      <c r="AL182" s="374">
        <v>0</v>
      </c>
      <c r="AM182" s="869"/>
      <c r="AN182" s="373"/>
      <c r="AO182" s="373"/>
      <c r="AP182" s="870"/>
      <c r="AQ182" s="373"/>
      <c r="AR182" s="373"/>
      <c r="AS182" s="373"/>
      <c r="AT182" s="618"/>
      <c r="AU182" s="374">
        <v>0</v>
      </c>
      <c r="AV182" s="869"/>
      <c r="AW182" s="373"/>
      <c r="AX182" s="373"/>
      <c r="AY182" s="870"/>
      <c r="AZ182" s="373"/>
      <c r="BA182" s="373"/>
      <c r="BB182" s="373"/>
      <c r="BC182" s="618"/>
      <c r="BD182" s="374">
        <v>0</v>
      </c>
      <c r="BE182" s="869"/>
      <c r="BF182" s="373"/>
      <c r="BG182" s="373"/>
      <c r="BH182" s="870"/>
      <c r="BI182" s="373"/>
      <c r="BJ182" s="373"/>
      <c r="BK182" s="373"/>
      <c r="BL182" s="618"/>
      <c r="BM182" s="374">
        <v>0</v>
      </c>
      <c r="BN182" s="869"/>
      <c r="BO182" s="373"/>
      <c r="BP182" s="373"/>
      <c r="BQ182" s="870"/>
      <c r="BR182" s="373"/>
      <c r="BS182" s="373"/>
      <c r="BT182" s="373"/>
      <c r="BU182" s="618"/>
      <c r="BV182" s="374">
        <v>0</v>
      </c>
      <c r="BW182" s="869"/>
      <c r="BX182" s="373"/>
      <c r="BY182" s="373"/>
      <c r="BZ182" s="870"/>
      <c r="CA182" s="373"/>
      <c r="CB182" s="373"/>
      <c r="CC182" s="373"/>
      <c r="CD182" s="618"/>
      <c r="CE182" s="374">
        <v>0</v>
      </c>
      <c r="CF182" s="869"/>
      <c r="CG182" s="373"/>
      <c r="CH182" s="373"/>
      <c r="CI182" s="870"/>
      <c r="CJ182" s="373"/>
      <c r="CK182" s="373"/>
      <c r="CL182" s="373"/>
      <c r="CM182" s="618"/>
      <c r="CN182" s="374">
        <v>0</v>
      </c>
      <c r="CO182" s="869"/>
      <c r="CP182" s="373"/>
      <c r="CQ182" s="373"/>
      <c r="CR182" s="870"/>
      <c r="CS182" s="373"/>
      <c r="CT182" s="373"/>
      <c r="CU182" s="373"/>
      <c r="CV182" s="618"/>
      <c r="CW182" s="374">
        <v>0</v>
      </c>
      <c r="CX182" s="869">
        <v>1</v>
      </c>
      <c r="CY182" s="373">
        <v>1</v>
      </c>
      <c r="CZ182" s="373">
        <v>1</v>
      </c>
      <c r="DA182" s="870"/>
      <c r="DB182" s="373"/>
      <c r="DC182" s="373"/>
      <c r="DD182" s="373"/>
      <c r="DE182" s="618">
        <v>2</v>
      </c>
      <c r="DF182" s="374">
        <v>0</v>
      </c>
      <c r="DG182" s="869"/>
      <c r="DH182" s="373"/>
      <c r="DI182" s="373"/>
      <c r="DJ182" s="870"/>
      <c r="DK182" s="373"/>
      <c r="DL182" s="373"/>
      <c r="DM182" s="373"/>
      <c r="DN182" s="618"/>
      <c r="DO182" s="374">
        <v>0</v>
      </c>
      <c r="DP182" s="869"/>
      <c r="DQ182" s="373"/>
      <c r="DR182" s="373"/>
      <c r="DS182" s="870"/>
      <c r="DT182" s="373"/>
      <c r="DU182" s="373"/>
      <c r="DV182" s="373"/>
      <c r="DW182" s="618"/>
      <c r="DX182" s="374">
        <v>0</v>
      </c>
      <c r="DY182" s="869"/>
      <c r="DZ182" s="373"/>
      <c r="EA182" s="373"/>
      <c r="EB182" s="870"/>
      <c r="EC182" s="373"/>
      <c r="ED182" s="373"/>
      <c r="EE182" s="373"/>
      <c r="EF182" s="618"/>
      <c r="EG182" s="374">
        <v>0</v>
      </c>
      <c r="EH182" s="869"/>
      <c r="EI182" s="373"/>
      <c r="EJ182" s="373"/>
      <c r="EK182" s="870"/>
      <c r="EL182" s="373"/>
      <c r="EM182" s="373"/>
      <c r="EN182" s="373"/>
      <c r="EO182" s="618"/>
      <c r="EP182" s="374">
        <v>0</v>
      </c>
      <c r="EQ182" s="869"/>
      <c r="ER182" s="373"/>
      <c r="ES182" s="373"/>
      <c r="ET182" s="870"/>
      <c r="EU182" s="373"/>
      <c r="EV182" s="373"/>
      <c r="EW182" s="373"/>
      <c r="EX182" s="618"/>
      <c r="EY182" s="374">
        <v>0</v>
      </c>
      <c r="EZ182" s="869"/>
      <c r="FA182" s="373"/>
      <c r="FB182" s="373"/>
      <c r="FC182" s="870"/>
      <c r="FD182" s="373"/>
      <c r="FE182" s="373"/>
      <c r="FF182" s="373"/>
      <c r="FG182" s="618"/>
      <c r="FH182" s="374">
        <v>0</v>
      </c>
      <c r="FI182" s="869"/>
      <c r="FJ182" s="373"/>
      <c r="FK182" s="373"/>
      <c r="FL182" s="870"/>
      <c r="FM182" s="373"/>
      <c r="FN182" s="373"/>
      <c r="FO182" s="373"/>
      <c r="FP182" s="618"/>
      <c r="FQ182" s="374">
        <v>0</v>
      </c>
      <c r="FR182" s="869"/>
      <c r="FS182" s="373"/>
      <c r="FT182" s="373"/>
      <c r="FU182" s="870"/>
      <c r="FV182" s="373"/>
      <c r="FW182" s="373"/>
      <c r="FX182" s="373"/>
      <c r="FY182" s="618"/>
      <c r="FZ182" s="374">
        <v>0</v>
      </c>
      <c r="GA182" s="869"/>
      <c r="GB182" s="373"/>
      <c r="GC182" s="373"/>
      <c r="GD182" s="870"/>
      <c r="GE182" s="373"/>
      <c r="GF182" s="373"/>
      <c r="GG182" s="373"/>
      <c r="GH182" s="618"/>
      <c r="GI182" s="374">
        <v>0</v>
      </c>
      <c r="GJ182" s="869">
        <v>1</v>
      </c>
      <c r="GK182" s="373">
        <v>1</v>
      </c>
      <c r="GL182" s="373">
        <v>1</v>
      </c>
      <c r="GM182" s="870"/>
      <c r="GN182" s="373"/>
      <c r="GO182" s="373"/>
      <c r="GP182" s="373"/>
      <c r="GQ182" s="618">
        <v>2</v>
      </c>
      <c r="GR182" s="374">
        <v>0</v>
      </c>
      <c r="GS182" s="869"/>
      <c r="GT182" s="373"/>
      <c r="GU182" s="373">
        <v>1</v>
      </c>
      <c r="GV182" s="870"/>
      <c r="GW182" s="373"/>
      <c r="GX182" s="373"/>
      <c r="GY182" s="373"/>
      <c r="GZ182" s="618"/>
      <c r="HA182" s="374">
        <v>0</v>
      </c>
      <c r="HB182" s="869"/>
      <c r="HC182" s="373"/>
      <c r="HD182" s="373"/>
      <c r="HE182" s="870"/>
      <c r="HF182" s="373"/>
      <c r="HG182" s="373"/>
      <c r="HH182" s="373"/>
      <c r="HI182" s="618"/>
      <c r="HJ182" s="374">
        <v>0</v>
      </c>
      <c r="HK182" s="869"/>
      <c r="HL182" s="373"/>
      <c r="HM182" s="373"/>
      <c r="HN182" s="870"/>
      <c r="HO182" s="373"/>
      <c r="HP182" s="373"/>
      <c r="HQ182" s="373"/>
      <c r="HR182" s="618"/>
      <c r="HS182" s="374">
        <v>0</v>
      </c>
      <c r="HT182" s="869"/>
      <c r="HU182" s="373"/>
      <c r="HV182" s="373">
        <v>1</v>
      </c>
      <c r="HW182" s="870"/>
      <c r="HX182" s="373"/>
      <c r="HY182" s="373"/>
      <c r="HZ182" s="373">
        <v>1</v>
      </c>
      <c r="IA182" s="618"/>
      <c r="IB182" s="374">
        <v>1</v>
      </c>
      <c r="IC182" s="869">
        <v>2</v>
      </c>
      <c r="ID182" s="373">
        <v>1</v>
      </c>
      <c r="IE182" s="373">
        <v>1</v>
      </c>
      <c r="IF182" s="870">
        <v>1</v>
      </c>
      <c r="IG182" s="373"/>
      <c r="IH182" s="373"/>
      <c r="II182" s="373">
        <v>1</v>
      </c>
      <c r="IJ182" s="618">
        <v>4</v>
      </c>
      <c r="IK182" s="374">
        <v>2</v>
      </c>
      <c r="IL182" s="377"/>
      <c r="IM182" s="373"/>
      <c r="IN182" s="373"/>
      <c r="IO182" s="871"/>
      <c r="IP182" s="871"/>
      <c r="IQ182" s="373"/>
      <c r="IR182" s="373"/>
      <c r="IS182" s="618"/>
      <c r="IT182" s="374">
        <v>0</v>
      </c>
    </row>
    <row r="183" spans="1:254" s="245" customFormat="1" ht="12.75" customHeight="1" x14ac:dyDescent="0.2">
      <c r="A183" s="1052"/>
      <c r="B183" s="868" t="s">
        <v>1035</v>
      </c>
      <c r="C183" s="869"/>
      <c r="D183" s="373"/>
      <c r="E183" s="373"/>
      <c r="F183" s="870"/>
      <c r="G183" s="373"/>
      <c r="H183" s="373"/>
      <c r="I183" s="373"/>
      <c r="J183" s="618"/>
      <c r="K183" s="374">
        <v>0</v>
      </c>
      <c r="L183" s="869"/>
      <c r="M183" s="373"/>
      <c r="N183" s="373"/>
      <c r="O183" s="870"/>
      <c r="P183" s="373"/>
      <c r="Q183" s="373"/>
      <c r="R183" s="373"/>
      <c r="S183" s="618"/>
      <c r="T183" s="374">
        <v>0</v>
      </c>
      <c r="U183" s="869"/>
      <c r="V183" s="373"/>
      <c r="W183" s="373"/>
      <c r="X183" s="870"/>
      <c r="Y183" s="373"/>
      <c r="Z183" s="373"/>
      <c r="AA183" s="373"/>
      <c r="AB183" s="618"/>
      <c r="AC183" s="374">
        <v>0</v>
      </c>
      <c r="AD183" s="869">
        <v>2</v>
      </c>
      <c r="AE183" s="373">
        <v>2</v>
      </c>
      <c r="AF183" s="373"/>
      <c r="AG183" s="870"/>
      <c r="AH183" s="373"/>
      <c r="AI183" s="373"/>
      <c r="AJ183" s="373"/>
      <c r="AK183" s="618"/>
      <c r="AL183" s="374">
        <v>0</v>
      </c>
      <c r="AM183" s="869">
        <v>1</v>
      </c>
      <c r="AN183" s="373">
        <v>1</v>
      </c>
      <c r="AO183" s="373"/>
      <c r="AP183" s="870"/>
      <c r="AQ183" s="373"/>
      <c r="AR183" s="373"/>
      <c r="AS183" s="373"/>
      <c r="AT183" s="618"/>
      <c r="AU183" s="374">
        <v>0</v>
      </c>
      <c r="AV183" s="869"/>
      <c r="AW183" s="373"/>
      <c r="AX183" s="373"/>
      <c r="AY183" s="870"/>
      <c r="AZ183" s="373"/>
      <c r="BA183" s="373"/>
      <c r="BB183" s="373"/>
      <c r="BC183" s="618"/>
      <c r="BD183" s="374">
        <v>0</v>
      </c>
      <c r="BE183" s="869"/>
      <c r="BF183" s="373"/>
      <c r="BG183" s="373"/>
      <c r="BH183" s="870"/>
      <c r="BI183" s="373"/>
      <c r="BJ183" s="373"/>
      <c r="BK183" s="373"/>
      <c r="BL183" s="618"/>
      <c r="BM183" s="374">
        <v>0</v>
      </c>
      <c r="BN183" s="869"/>
      <c r="BO183" s="373"/>
      <c r="BP183" s="373"/>
      <c r="BQ183" s="870"/>
      <c r="BR183" s="373"/>
      <c r="BS183" s="373"/>
      <c r="BT183" s="373"/>
      <c r="BU183" s="618"/>
      <c r="BV183" s="374">
        <v>0</v>
      </c>
      <c r="BW183" s="869">
        <v>1</v>
      </c>
      <c r="BX183" s="373"/>
      <c r="BY183" s="373">
        <v>1</v>
      </c>
      <c r="BZ183" s="870">
        <v>1</v>
      </c>
      <c r="CA183" s="373"/>
      <c r="CB183" s="373"/>
      <c r="CC183" s="373"/>
      <c r="CD183" s="618"/>
      <c r="CE183" s="374">
        <v>0</v>
      </c>
      <c r="CF183" s="869"/>
      <c r="CG183" s="373"/>
      <c r="CH183" s="373"/>
      <c r="CI183" s="870"/>
      <c r="CJ183" s="373"/>
      <c r="CK183" s="373"/>
      <c r="CL183" s="373"/>
      <c r="CM183" s="618"/>
      <c r="CN183" s="374">
        <v>0</v>
      </c>
      <c r="CO183" s="869"/>
      <c r="CP183" s="373"/>
      <c r="CQ183" s="373"/>
      <c r="CR183" s="870"/>
      <c r="CS183" s="373"/>
      <c r="CT183" s="373"/>
      <c r="CU183" s="373"/>
      <c r="CV183" s="618"/>
      <c r="CW183" s="374">
        <v>0</v>
      </c>
      <c r="CX183" s="869">
        <v>13</v>
      </c>
      <c r="CY183" s="373">
        <v>4</v>
      </c>
      <c r="CZ183" s="373">
        <v>2</v>
      </c>
      <c r="DA183" s="870">
        <v>2</v>
      </c>
      <c r="DB183" s="373">
        <v>2</v>
      </c>
      <c r="DC183" s="373">
        <v>5</v>
      </c>
      <c r="DD183" s="373">
        <v>2</v>
      </c>
      <c r="DE183" s="618">
        <v>1</v>
      </c>
      <c r="DF183" s="374">
        <v>3</v>
      </c>
      <c r="DG183" s="869"/>
      <c r="DH183" s="373"/>
      <c r="DI183" s="373"/>
      <c r="DJ183" s="870"/>
      <c r="DK183" s="373"/>
      <c r="DL183" s="373"/>
      <c r="DM183" s="373"/>
      <c r="DN183" s="618"/>
      <c r="DO183" s="374">
        <v>0</v>
      </c>
      <c r="DP183" s="869"/>
      <c r="DQ183" s="373"/>
      <c r="DR183" s="373"/>
      <c r="DS183" s="870"/>
      <c r="DT183" s="373"/>
      <c r="DU183" s="373"/>
      <c r="DV183" s="373"/>
      <c r="DW183" s="618"/>
      <c r="DX183" s="374">
        <v>0</v>
      </c>
      <c r="DY183" s="869"/>
      <c r="DZ183" s="373">
        <v>1</v>
      </c>
      <c r="EA183" s="373">
        <v>2</v>
      </c>
      <c r="EB183" s="870"/>
      <c r="EC183" s="373"/>
      <c r="ED183" s="373">
        <v>1</v>
      </c>
      <c r="EE183" s="373">
        <v>1</v>
      </c>
      <c r="EF183" s="618"/>
      <c r="EG183" s="374">
        <v>0</v>
      </c>
      <c r="EH183" s="869"/>
      <c r="EI183" s="373"/>
      <c r="EJ183" s="373"/>
      <c r="EK183" s="870"/>
      <c r="EL183" s="373"/>
      <c r="EM183" s="373"/>
      <c r="EN183" s="373"/>
      <c r="EO183" s="618"/>
      <c r="EP183" s="374">
        <v>0</v>
      </c>
      <c r="EQ183" s="869"/>
      <c r="ER183" s="373"/>
      <c r="ES183" s="373"/>
      <c r="ET183" s="870"/>
      <c r="EU183" s="373"/>
      <c r="EV183" s="373"/>
      <c r="EW183" s="373"/>
      <c r="EX183" s="618"/>
      <c r="EY183" s="374">
        <v>0</v>
      </c>
      <c r="EZ183" s="869"/>
      <c r="FA183" s="373"/>
      <c r="FB183" s="373"/>
      <c r="FC183" s="870"/>
      <c r="FD183" s="373"/>
      <c r="FE183" s="373"/>
      <c r="FF183" s="373"/>
      <c r="FG183" s="618"/>
      <c r="FH183" s="374">
        <v>0</v>
      </c>
      <c r="FI183" s="869"/>
      <c r="FJ183" s="373"/>
      <c r="FK183" s="373"/>
      <c r="FL183" s="870"/>
      <c r="FM183" s="373"/>
      <c r="FN183" s="373"/>
      <c r="FO183" s="373"/>
      <c r="FP183" s="618"/>
      <c r="FQ183" s="374">
        <v>0</v>
      </c>
      <c r="FR183" s="869"/>
      <c r="FS183" s="373"/>
      <c r="FT183" s="373"/>
      <c r="FU183" s="870"/>
      <c r="FV183" s="373"/>
      <c r="FW183" s="373"/>
      <c r="FX183" s="373"/>
      <c r="FY183" s="618"/>
      <c r="FZ183" s="374">
        <v>0</v>
      </c>
      <c r="GA183" s="869"/>
      <c r="GB183" s="373"/>
      <c r="GC183" s="373"/>
      <c r="GD183" s="870"/>
      <c r="GE183" s="373">
        <v>1</v>
      </c>
      <c r="GF183" s="373"/>
      <c r="GG183" s="373"/>
      <c r="GH183" s="618"/>
      <c r="GI183" s="374">
        <v>0</v>
      </c>
      <c r="GJ183" s="869">
        <v>16</v>
      </c>
      <c r="GK183" s="373">
        <v>6</v>
      </c>
      <c r="GL183" s="373">
        <v>3</v>
      </c>
      <c r="GM183" s="870">
        <v>3</v>
      </c>
      <c r="GN183" s="373">
        <v>3</v>
      </c>
      <c r="GO183" s="373">
        <v>5</v>
      </c>
      <c r="GP183" s="373">
        <v>2</v>
      </c>
      <c r="GQ183" s="618">
        <v>1</v>
      </c>
      <c r="GR183" s="374">
        <v>3</v>
      </c>
      <c r="GS183" s="869">
        <v>7</v>
      </c>
      <c r="GT183" s="373">
        <v>1</v>
      </c>
      <c r="GU183" s="373">
        <v>1</v>
      </c>
      <c r="GV183" s="870">
        <v>2</v>
      </c>
      <c r="GW183" s="373"/>
      <c r="GX183" s="373"/>
      <c r="GY183" s="373"/>
      <c r="GZ183" s="618"/>
      <c r="HA183" s="374">
        <v>2</v>
      </c>
      <c r="HB183" s="869"/>
      <c r="HC183" s="373"/>
      <c r="HD183" s="373"/>
      <c r="HE183" s="870"/>
      <c r="HF183" s="373"/>
      <c r="HG183" s="373"/>
      <c r="HH183" s="373"/>
      <c r="HI183" s="618"/>
      <c r="HJ183" s="374">
        <v>0</v>
      </c>
      <c r="HK183" s="869"/>
      <c r="HL183" s="373"/>
      <c r="HM183" s="373"/>
      <c r="HN183" s="870"/>
      <c r="HO183" s="373"/>
      <c r="HP183" s="373"/>
      <c r="HQ183" s="373"/>
      <c r="HR183" s="618"/>
      <c r="HS183" s="374">
        <v>0</v>
      </c>
      <c r="HT183" s="869">
        <v>9</v>
      </c>
      <c r="HU183" s="373">
        <v>2</v>
      </c>
      <c r="HV183" s="373">
        <v>2</v>
      </c>
      <c r="HW183" s="870">
        <v>2</v>
      </c>
      <c r="HX183" s="373"/>
      <c r="HY183" s="373">
        <v>1</v>
      </c>
      <c r="HZ183" s="373">
        <v>2</v>
      </c>
      <c r="IA183" s="618">
        <v>3</v>
      </c>
      <c r="IB183" s="374">
        <v>5</v>
      </c>
      <c r="IC183" s="869">
        <v>19</v>
      </c>
      <c r="ID183" s="373">
        <v>15</v>
      </c>
      <c r="IE183" s="373">
        <v>9</v>
      </c>
      <c r="IF183" s="870">
        <v>4</v>
      </c>
      <c r="IG183" s="373">
        <v>6</v>
      </c>
      <c r="IH183" s="373">
        <v>6</v>
      </c>
      <c r="II183" s="373">
        <v>5</v>
      </c>
      <c r="IJ183" s="618">
        <v>5</v>
      </c>
      <c r="IK183" s="374">
        <v>7</v>
      </c>
      <c r="IL183" s="377">
        <v>6</v>
      </c>
      <c r="IM183" s="373">
        <v>3</v>
      </c>
      <c r="IN183" s="373">
        <v>2</v>
      </c>
      <c r="IO183" s="871"/>
      <c r="IP183" s="871"/>
      <c r="IQ183" s="373">
        <v>1</v>
      </c>
      <c r="IR183" s="373">
        <v>1</v>
      </c>
      <c r="IS183" s="618"/>
      <c r="IT183" s="374">
        <v>1</v>
      </c>
    </row>
    <row r="184" spans="1:254" s="245" customFormat="1" ht="12.75" customHeight="1" x14ac:dyDescent="0.2">
      <c r="A184" s="1052"/>
      <c r="B184" s="868" t="s">
        <v>1036</v>
      </c>
      <c r="C184" s="869"/>
      <c r="D184" s="373"/>
      <c r="E184" s="373"/>
      <c r="F184" s="870"/>
      <c r="G184" s="373"/>
      <c r="H184" s="373"/>
      <c r="I184" s="373"/>
      <c r="J184" s="618"/>
      <c r="K184" s="374">
        <v>0</v>
      </c>
      <c r="L184" s="869"/>
      <c r="M184" s="373"/>
      <c r="N184" s="373"/>
      <c r="O184" s="870"/>
      <c r="P184" s="373"/>
      <c r="Q184" s="373"/>
      <c r="R184" s="373"/>
      <c r="S184" s="618"/>
      <c r="T184" s="374">
        <v>0</v>
      </c>
      <c r="U184" s="869"/>
      <c r="V184" s="373"/>
      <c r="W184" s="373"/>
      <c r="X184" s="870"/>
      <c r="Y184" s="373"/>
      <c r="Z184" s="373"/>
      <c r="AA184" s="373"/>
      <c r="AB184" s="618"/>
      <c r="AC184" s="374">
        <v>0</v>
      </c>
      <c r="AD184" s="869">
        <v>2</v>
      </c>
      <c r="AE184" s="373"/>
      <c r="AF184" s="373">
        <v>1</v>
      </c>
      <c r="AG184" s="870"/>
      <c r="AH184" s="373"/>
      <c r="AI184" s="373"/>
      <c r="AJ184" s="373"/>
      <c r="AK184" s="618">
        <v>1</v>
      </c>
      <c r="AL184" s="374">
        <v>0</v>
      </c>
      <c r="AM184" s="869">
        <v>1</v>
      </c>
      <c r="AN184" s="373"/>
      <c r="AO184" s="373">
        <v>1</v>
      </c>
      <c r="AP184" s="870"/>
      <c r="AQ184" s="373"/>
      <c r="AR184" s="373"/>
      <c r="AS184" s="373"/>
      <c r="AT184" s="618">
        <v>1</v>
      </c>
      <c r="AU184" s="374">
        <v>0</v>
      </c>
      <c r="AV184" s="869"/>
      <c r="AW184" s="373"/>
      <c r="AX184" s="373"/>
      <c r="AY184" s="870"/>
      <c r="AZ184" s="373"/>
      <c r="BA184" s="373"/>
      <c r="BB184" s="373"/>
      <c r="BC184" s="618"/>
      <c r="BD184" s="374">
        <v>0</v>
      </c>
      <c r="BE184" s="869"/>
      <c r="BF184" s="373"/>
      <c r="BG184" s="373"/>
      <c r="BH184" s="870"/>
      <c r="BI184" s="373"/>
      <c r="BJ184" s="373"/>
      <c r="BK184" s="373"/>
      <c r="BL184" s="618"/>
      <c r="BM184" s="374">
        <v>0</v>
      </c>
      <c r="BN184" s="869"/>
      <c r="BO184" s="373"/>
      <c r="BP184" s="373"/>
      <c r="BQ184" s="870"/>
      <c r="BR184" s="373"/>
      <c r="BS184" s="373"/>
      <c r="BT184" s="373"/>
      <c r="BU184" s="618"/>
      <c r="BV184" s="374">
        <v>0</v>
      </c>
      <c r="BW184" s="869"/>
      <c r="BX184" s="373">
        <v>3</v>
      </c>
      <c r="BY184" s="373">
        <v>1</v>
      </c>
      <c r="BZ184" s="870"/>
      <c r="CA184" s="373"/>
      <c r="CB184" s="373">
        <v>1</v>
      </c>
      <c r="CC184" s="373"/>
      <c r="CD184" s="618"/>
      <c r="CE184" s="374">
        <v>0</v>
      </c>
      <c r="CF184" s="869"/>
      <c r="CG184" s="373"/>
      <c r="CH184" s="373"/>
      <c r="CI184" s="870"/>
      <c r="CJ184" s="373"/>
      <c r="CK184" s="373"/>
      <c r="CL184" s="373"/>
      <c r="CM184" s="618"/>
      <c r="CN184" s="374">
        <v>0</v>
      </c>
      <c r="CO184" s="869"/>
      <c r="CP184" s="373"/>
      <c r="CQ184" s="373"/>
      <c r="CR184" s="870"/>
      <c r="CS184" s="373"/>
      <c r="CT184" s="373"/>
      <c r="CU184" s="373"/>
      <c r="CV184" s="618"/>
      <c r="CW184" s="374">
        <v>0</v>
      </c>
      <c r="CX184" s="869">
        <v>2</v>
      </c>
      <c r="CY184" s="373">
        <v>10</v>
      </c>
      <c r="CZ184" s="373">
        <v>4</v>
      </c>
      <c r="DA184" s="870">
        <v>3</v>
      </c>
      <c r="DB184" s="373">
        <v>4</v>
      </c>
      <c r="DC184" s="373">
        <v>2</v>
      </c>
      <c r="DD184" s="373">
        <v>7</v>
      </c>
      <c r="DE184" s="618">
        <v>1</v>
      </c>
      <c r="DF184" s="374">
        <v>1</v>
      </c>
      <c r="DG184" s="869"/>
      <c r="DH184" s="373"/>
      <c r="DI184" s="373"/>
      <c r="DJ184" s="870"/>
      <c r="DK184" s="373"/>
      <c r="DL184" s="373"/>
      <c r="DM184" s="373"/>
      <c r="DN184" s="618"/>
      <c r="DO184" s="374">
        <v>0</v>
      </c>
      <c r="DP184" s="869"/>
      <c r="DQ184" s="373"/>
      <c r="DR184" s="373"/>
      <c r="DS184" s="870"/>
      <c r="DT184" s="373"/>
      <c r="DU184" s="373">
        <v>1</v>
      </c>
      <c r="DV184" s="373"/>
      <c r="DW184" s="618"/>
      <c r="DX184" s="374">
        <v>0</v>
      </c>
      <c r="DY184" s="869"/>
      <c r="DZ184" s="373">
        <v>1</v>
      </c>
      <c r="EA184" s="373"/>
      <c r="EB184" s="870"/>
      <c r="EC184" s="373">
        <v>2</v>
      </c>
      <c r="ED184" s="373"/>
      <c r="EE184" s="373">
        <v>1</v>
      </c>
      <c r="EF184" s="618">
        <v>1</v>
      </c>
      <c r="EG184" s="374">
        <v>0</v>
      </c>
      <c r="EH184" s="869"/>
      <c r="EI184" s="373"/>
      <c r="EJ184" s="373"/>
      <c r="EK184" s="870"/>
      <c r="EL184" s="373"/>
      <c r="EM184" s="373"/>
      <c r="EN184" s="373"/>
      <c r="EO184" s="618"/>
      <c r="EP184" s="374">
        <v>0</v>
      </c>
      <c r="EQ184" s="869"/>
      <c r="ER184" s="373"/>
      <c r="ES184" s="373"/>
      <c r="ET184" s="870"/>
      <c r="EU184" s="373"/>
      <c r="EV184" s="373"/>
      <c r="EW184" s="373"/>
      <c r="EX184" s="618"/>
      <c r="EY184" s="374">
        <v>0</v>
      </c>
      <c r="EZ184" s="869"/>
      <c r="FA184" s="373"/>
      <c r="FB184" s="373"/>
      <c r="FC184" s="870"/>
      <c r="FD184" s="373"/>
      <c r="FE184" s="373"/>
      <c r="FF184" s="373"/>
      <c r="FG184" s="618"/>
      <c r="FH184" s="374">
        <v>0</v>
      </c>
      <c r="FI184" s="869"/>
      <c r="FJ184" s="373">
        <v>4</v>
      </c>
      <c r="FK184" s="373">
        <v>1</v>
      </c>
      <c r="FL184" s="870"/>
      <c r="FM184" s="373"/>
      <c r="FN184" s="373"/>
      <c r="FO184" s="373"/>
      <c r="FP184" s="618"/>
      <c r="FQ184" s="374">
        <v>0</v>
      </c>
      <c r="FR184" s="869"/>
      <c r="FS184" s="373"/>
      <c r="FT184" s="373"/>
      <c r="FU184" s="870"/>
      <c r="FV184" s="373"/>
      <c r="FW184" s="373"/>
      <c r="FX184" s="373"/>
      <c r="FY184" s="618"/>
      <c r="FZ184" s="374">
        <v>0</v>
      </c>
      <c r="GA184" s="869"/>
      <c r="GB184" s="373"/>
      <c r="GC184" s="373"/>
      <c r="GD184" s="870"/>
      <c r="GE184" s="373"/>
      <c r="GF184" s="373"/>
      <c r="GG184" s="373"/>
      <c r="GH184" s="618"/>
      <c r="GI184" s="374">
        <v>0</v>
      </c>
      <c r="GJ184" s="869">
        <v>4</v>
      </c>
      <c r="GK184" s="373">
        <v>17</v>
      </c>
      <c r="GL184" s="373">
        <v>7</v>
      </c>
      <c r="GM184" s="870">
        <v>3</v>
      </c>
      <c r="GN184" s="373">
        <v>4</v>
      </c>
      <c r="GO184" s="373">
        <v>3</v>
      </c>
      <c r="GP184" s="373">
        <v>7</v>
      </c>
      <c r="GQ184" s="618">
        <v>2</v>
      </c>
      <c r="GR184" s="374">
        <v>1</v>
      </c>
      <c r="GS184" s="869"/>
      <c r="GT184" s="373">
        <v>4</v>
      </c>
      <c r="GU184" s="373">
        <v>5</v>
      </c>
      <c r="GV184" s="870">
        <v>1</v>
      </c>
      <c r="GW184" s="373"/>
      <c r="GX184" s="373">
        <v>1</v>
      </c>
      <c r="GY184" s="373">
        <v>1</v>
      </c>
      <c r="GZ184" s="618"/>
      <c r="HA184" s="374">
        <v>1</v>
      </c>
      <c r="HB184" s="869"/>
      <c r="HC184" s="373"/>
      <c r="HD184" s="373"/>
      <c r="HE184" s="870"/>
      <c r="HF184" s="373"/>
      <c r="HG184" s="373"/>
      <c r="HH184" s="373"/>
      <c r="HI184" s="618"/>
      <c r="HJ184" s="374">
        <v>0</v>
      </c>
      <c r="HK184" s="869">
        <v>1</v>
      </c>
      <c r="HL184" s="373"/>
      <c r="HM184" s="373"/>
      <c r="HN184" s="870"/>
      <c r="HO184" s="373"/>
      <c r="HP184" s="373"/>
      <c r="HQ184" s="373"/>
      <c r="HR184" s="618"/>
      <c r="HS184" s="374">
        <v>0</v>
      </c>
      <c r="HT184" s="869">
        <v>1</v>
      </c>
      <c r="HU184" s="373">
        <v>5</v>
      </c>
      <c r="HV184" s="373">
        <v>6</v>
      </c>
      <c r="HW184" s="870">
        <v>1</v>
      </c>
      <c r="HX184" s="373">
        <v>1</v>
      </c>
      <c r="HY184" s="373">
        <v>2</v>
      </c>
      <c r="HZ184" s="373">
        <v>1</v>
      </c>
      <c r="IA184" s="618">
        <v>2</v>
      </c>
      <c r="IB184" s="374">
        <v>2</v>
      </c>
      <c r="IC184" s="869">
        <v>8</v>
      </c>
      <c r="ID184" s="373">
        <v>21</v>
      </c>
      <c r="IE184" s="373">
        <v>9</v>
      </c>
      <c r="IF184" s="870">
        <v>4</v>
      </c>
      <c r="IG184" s="373">
        <v>8</v>
      </c>
      <c r="IH184" s="373">
        <v>9</v>
      </c>
      <c r="II184" s="373">
        <v>11</v>
      </c>
      <c r="IJ184" s="618">
        <v>4</v>
      </c>
      <c r="IK184" s="374">
        <v>3</v>
      </c>
      <c r="IL184" s="377"/>
      <c r="IM184" s="373">
        <v>2</v>
      </c>
      <c r="IN184" s="373">
        <v>1</v>
      </c>
      <c r="IO184" s="871"/>
      <c r="IP184" s="871">
        <v>2</v>
      </c>
      <c r="IQ184" s="373"/>
      <c r="IR184" s="373">
        <v>3</v>
      </c>
      <c r="IS184" s="618">
        <v>1</v>
      </c>
      <c r="IT184" s="374">
        <v>0</v>
      </c>
    </row>
    <row r="185" spans="1:254" s="245" customFormat="1" ht="12.75" customHeight="1" x14ac:dyDescent="0.2">
      <c r="A185" s="1052"/>
      <c r="B185" s="868" t="s">
        <v>1037</v>
      </c>
      <c r="C185" s="869"/>
      <c r="D185" s="373"/>
      <c r="E185" s="373"/>
      <c r="F185" s="870"/>
      <c r="G185" s="373"/>
      <c r="H185" s="373"/>
      <c r="I185" s="373"/>
      <c r="J185" s="618"/>
      <c r="K185" s="374">
        <v>0</v>
      </c>
      <c r="L185" s="869"/>
      <c r="M185" s="373"/>
      <c r="N185" s="373"/>
      <c r="O185" s="870"/>
      <c r="P185" s="373"/>
      <c r="Q185" s="373"/>
      <c r="R185" s="373"/>
      <c r="S185" s="618"/>
      <c r="T185" s="374">
        <v>0</v>
      </c>
      <c r="U185" s="869"/>
      <c r="V185" s="373"/>
      <c r="W185" s="373"/>
      <c r="X185" s="870"/>
      <c r="Y185" s="373"/>
      <c r="Z185" s="373"/>
      <c r="AA185" s="373"/>
      <c r="AB185" s="618"/>
      <c r="AC185" s="374">
        <v>0</v>
      </c>
      <c r="AD185" s="869">
        <v>2</v>
      </c>
      <c r="AE185" s="373">
        <v>5</v>
      </c>
      <c r="AF185" s="373">
        <v>4</v>
      </c>
      <c r="AG185" s="870">
        <v>4</v>
      </c>
      <c r="AH185" s="373">
        <v>10</v>
      </c>
      <c r="AI185" s="373">
        <v>10</v>
      </c>
      <c r="AJ185" s="373">
        <v>11</v>
      </c>
      <c r="AK185" s="618">
        <v>10</v>
      </c>
      <c r="AL185" s="374">
        <v>6</v>
      </c>
      <c r="AM185" s="869">
        <v>1</v>
      </c>
      <c r="AN185" s="373">
        <v>1</v>
      </c>
      <c r="AO185" s="373">
        <v>2</v>
      </c>
      <c r="AP185" s="870">
        <v>3</v>
      </c>
      <c r="AQ185" s="373">
        <v>5</v>
      </c>
      <c r="AR185" s="373">
        <v>2</v>
      </c>
      <c r="AS185" s="373">
        <v>4</v>
      </c>
      <c r="AT185" s="618">
        <v>3</v>
      </c>
      <c r="AU185" s="374">
        <v>1</v>
      </c>
      <c r="AV185" s="869"/>
      <c r="AW185" s="373"/>
      <c r="AX185" s="373"/>
      <c r="AY185" s="870"/>
      <c r="AZ185" s="373"/>
      <c r="BA185" s="373"/>
      <c r="BB185" s="373"/>
      <c r="BC185" s="618"/>
      <c r="BD185" s="374">
        <v>0</v>
      </c>
      <c r="BE185" s="869"/>
      <c r="BF185" s="373"/>
      <c r="BG185" s="373"/>
      <c r="BH185" s="870">
        <v>2</v>
      </c>
      <c r="BI185" s="373"/>
      <c r="BJ185" s="373"/>
      <c r="BK185" s="373"/>
      <c r="BL185" s="618">
        <v>1</v>
      </c>
      <c r="BM185" s="374">
        <v>0</v>
      </c>
      <c r="BN185" s="869"/>
      <c r="BO185" s="373">
        <v>2</v>
      </c>
      <c r="BP185" s="373">
        <v>2</v>
      </c>
      <c r="BQ185" s="870">
        <v>2</v>
      </c>
      <c r="BR185" s="373"/>
      <c r="BS185" s="373">
        <v>2</v>
      </c>
      <c r="BT185" s="373"/>
      <c r="BU185" s="618"/>
      <c r="BV185" s="374">
        <v>0</v>
      </c>
      <c r="BW185" s="869">
        <v>11</v>
      </c>
      <c r="BX185" s="373">
        <v>14</v>
      </c>
      <c r="BY185" s="373">
        <v>14</v>
      </c>
      <c r="BZ185" s="870">
        <v>8</v>
      </c>
      <c r="CA185" s="373">
        <v>13</v>
      </c>
      <c r="CB185" s="373">
        <v>13</v>
      </c>
      <c r="CC185" s="373">
        <v>7</v>
      </c>
      <c r="CD185" s="618">
        <v>5</v>
      </c>
      <c r="CE185" s="374">
        <v>10</v>
      </c>
      <c r="CF185" s="869"/>
      <c r="CG185" s="373"/>
      <c r="CH185" s="373">
        <v>1</v>
      </c>
      <c r="CI185" s="870"/>
      <c r="CJ185" s="373"/>
      <c r="CK185" s="373"/>
      <c r="CL185" s="373">
        <v>2</v>
      </c>
      <c r="CM185" s="618"/>
      <c r="CN185" s="374">
        <v>0</v>
      </c>
      <c r="CO185" s="869">
        <v>6</v>
      </c>
      <c r="CP185" s="373">
        <v>3</v>
      </c>
      <c r="CQ185" s="373">
        <v>3</v>
      </c>
      <c r="CR185" s="870"/>
      <c r="CS185" s="373"/>
      <c r="CT185" s="373">
        <v>4</v>
      </c>
      <c r="CU185" s="373">
        <v>2</v>
      </c>
      <c r="CV185" s="618"/>
      <c r="CW185" s="374">
        <v>0</v>
      </c>
      <c r="CX185" s="869">
        <v>63</v>
      </c>
      <c r="CY185" s="373">
        <v>60</v>
      </c>
      <c r="CZ185" s="373">
        <v>77</v>
      </c>
      <c r="DA185" s="870">
        <v>29</v>
      </c>
      <c r="DB185" s="373">
        <v>26</v>
      </c>
      <c r="DC185" s="373">
        <v>31</v>
      </c>
      <c r="DD185" s="373">
        <v>16</v>
      </c>
      <c r="DE185" s="618">
        <v>16</v>
      </c>
      <c r="DF185" s="374">
        <v>22</v>
      </c>
      <c r="DG185" s="869"/>
      <c r="DH185" s="373"/>
      <c r="DI185" s="373"/>
      <c r="DJ185" s="870"/>
      <c r="DK185" s="373">
        <v>1</v>
      </c>
      <c r="DL185" s="373"/>
      <c r="DM185" s="373"/>
      <c r="DN185" s="618"/>
      <c r="DO185" s="374">
        <v>0</v>
      </c>
      <c r="DP185" s="869"/>
      <c r="DQ185" s="373">
        <v>9</v>
      </c>
      <c r="DR185" s="373">
        <v>22</v>
      </c>
      <c r="DS185" s="870">
        <v>1</v>
      </c>
      <c r="DT185" s="373">
        <v>1</v>
      </c>
      <c r="DU185" s="373">
        <v>1</v>
      </c>
      <c r="DV185" s="373"/>
      <c r="DW185" s="618"/>
      <c r="DX185" s="374">
        <v>1</v>
      </c>
      <c r="DY185" s="869">
        <v>4</v>
      </c>
      <c r="DZ185" s="373">
        <v>3</v>
      </c>
      <c r="EA185" s="373">
        <v>2</v>
      </c>
      <c r="EB185" s="870">
        <v>3</v>
      </c>
      <c r="EC185" s="373">
        <v>4</v>
      </c>
      <c r="ED185" s="373">
        <v>6</v>
      </c>
      <c r="EE185" s="373">
        <v>2</v>
      </c>
      <c r="EF185" s="618">
        <v>1</v>
      </c>
      <c r="EG185" s="374">
        <v>0</v>
      </c>
      <c r="EH185" s="869"/>
      <c r="EI185" s="373"/>
      <c r="EJ185" s="373">
        <v>1</v>
      </c>
      <c r="EK185" s="870">
        <v>2</v>
      </c>
      <c r="EL185" s="373"/>
      <c r="EM185" s="373"/>
      <c r="EN185" s="373"/>
      <c r="EO185" s="618"/>
      <c r="EP185" s="374">
        <v>0</v>
      </c>
      <c r="EQ185" s="869"/>
      <c r="ER185" s="373"/>
      <c r="ES185" s="373"/>
      <c r="ET185" s="870"/>
      <c r="EU185" s="373"/>
      <c r="EV185" s="373"/>
      <c r="EW185" s="373"/>
      <c r="EX185" s="618"/>
      <c r="EY185" s="374">
        <v>0</v>
      </c>
      <c r="EZ185" s="869"/>
      <c r="FA185" s="373">
        <v>1</v>
      </c>
      <c r="FB185" s="373">
        <v>2</v>
      </c>
      <c r="FC185" s="870"/>
      <c r="FD185" s="373"/>
      <c r="FE185" s="373"/>
      <c r="FF185" s="373">
        <v>1</v>
      </c>
      <c r="FG185" s="618"/>
      <c r="FH185" s="374">
        <v>0</v>
      </c>
      <c r="FI185" s="869">
        <v>8</v>
      </c>
      <c r="FJ185" s="373">
        <v>9</v>
      </c>
      <c r="FK185" s="373">
        <v>4</v>
      </c>
      <c r="FL185" s="870">
        <v>3</v>
      </c>
      <c r="FM185" s="373">
        <v>5</v>
      </c>
      <c r="FN185" s="373">
        <v>4</v>
      </c>
      <c r="FO185" s="373">
        <v>3</v>
      </c>
      <c r="FP185" s="618">
        <v>8</v>
      </c>
      <c r="FQ185" s="374">
        <v>3</v>
      </c>
      <c r="FR185" s="869"/>
      <c r="FS185" s="373"/>
      <c r="FT185" s="373"/>
      <c r="FU185" s="870">
        <v>1</v>
      </c>
      <c r="FV185" s="373"/>
      <c r="FW185" s="373"/>
      <c r="FX185" s="373"/>
      <c r="FY185" s="618">
        <v>1</v>
      </c>
      <c r="FZ185" s="374">
        <v>0</v>
      </c>
      <c r="GA185" s="869">
        <v>1</v>
      </c>
      <c r="GB185" s="373">
        <v>1</v>
      </c>
      <c r="GC185" s="373">
        <v>1</v>
      </c>
      <c r="GD185" s="870">
        <v>1</v>
      </c>
      <c r="GE185" s="373"/>
      <c r="GF185" s="373">
        <v>1</v>
      </c>
      <c r="GG185" s="373"/>
      <c r="GH185" s="618"/>
      <c r="GI185" s="374">
        <v>2</v>
      </c>
      <c r="GJ185" s="869">
        <v>91</v>
      </c>
      <c r="GK185" s="373">
        <v>95</v>
      </c>
      <c r="GL185" s="373">
        <v>109</v>
      </c>
      <c r="GM185" s="870">
        <v>52</v>
      </c>
      <c r="GN185" s="373">
        <v>54</v>
      </c>
      <c r="GO185" s="373">
        <v>65</v>
      </c>
      <c r="GP185" s="373">
        <v>42</v>
      </c>
      <c r="GQ185" s="618">
        <v>41</v>
      </c>
      <c r="GR185" s="374">
        <v>43</v>
      </c>
      <c r="GS185" s="869">
        <v>15</v>
      </c>
      <c r="GT185" s="373">
        <v>22</v>
      </c>
      <c r="GU185" s="373">
        <v>22</v>
      </c>
      <c r="GV185" s="870">
        <v>14</v>
      </c>
      <c r="GW185" s="373">
        <v>8</v>
      </c>
      <c r="GX185" s="373">
        <v>16</v>
      </c>
      <c r="GY185" s="373">
        <v>8</v>
      </c>
      <c r="GZ185" s="618">
        <v>8</v>
      </c>
      <c r="HA185" s="374">
        <v>17</v>
      </c>
      <c r="HB185" s="869">
        <v>1</v>
      </c>
      <c r="HC185" s="373"/>
      <c r="HD185" s="373"/>
      <c r="HE185" s="870">
        <v>1</v>
      </c>
      <c r="HF185" s="373"/>
      <c r="HG185" s="373">
        <v>2</v>
      </c>
      <c r="HH185" s="373">
        <v>1</v>
      </c>
      <c r="HI185" s="618">
        <v>1</v>
      </c>
      <c r="HJ185" s="374">
        <v>0</v>
      </c>
      <c r="HK185" s="869"/>
      <c r="HL185" s="373">
        <v>1</v>
      </c>
      <c r="HM185" s="373">
        <v>1</v>
      </c>
      <c r="HN185" s="870"/>
      <c r="HO185" s="373"/>
      <c r="HP185" s="373"/>
      <c r="HQ185" s="373"/>
      <c r="HR185" s="618"/>
      <c r="HS185" s="374">
        <v>0</v>
      </c>
      <c r="HT185" s="869">
        <v>41</v>
      </c>
      <c r="HU185" s="373">
        <v>55</v>
      </c>
      <c r="HV185" s="373">
        <v>37</v>
      </c>
      <c r="HW185" s="870">
        <v>41</v>
      </c>
      <c r="HX185" s="373">
        <v>28</v>
      </c>
      <c r="HY185" s="373">
        <v>32</v>
      </c>
      <c r="HZ185" s="373">
        <v>18</v>
      </c>
      <c r="IA185" s="618">
        <v>29</v>
      </c>
      <c r="IB185" s="374">
        <v>42</v>
      </c>
      <c r="IC185" s="869">
        <v>181</v>
      </c>
      <c r="ID185" s="373">
        <v>195</v>
      </c>
      <c r="IE185" s="373">
        <v>212</v>
      </c>
      <c r="IF185" s="870">
        <v>141</v>
      </c>
      <c r="IG185" s="373">
        <v>125</v>
      </c>
      <c r="IH185" s="373">
        <v>127</v>
      </c>
      <c r="II185" s="373">
        <v>148</v>
      </c>
      <c r="IJ185" s="618">
        <v>89</v>
      </c>
      <c r="IK185" s="374">
        <v>100</v>
      </c>
      <c r="IL185" s="377">
        <v>15</v>
      </c>
      <c r="IM185" s="373">
        <v>10</v>
      </c>
      <c r="IN185" s="373">
        <v>4</v>
      </c>
      <c r="IO185" s="871">
        <v>1</v>
      </c>
      <c r="IP185" s="871">
        <v>2</v>
      </c>
      <c r="IQ185" s="373">
        <v>6</v>
      </c>
      <c r="IR185" s="373">
        <v>4</v>
      </c>
      <c r="IS185" s="618">
        <v>3</v>
      </c>
      <c r="IT185" s="374">
        <v>1</v>
      </c>
    </row>
    <row r="186" spans="1:254" s="245" customFormat="1" ht="12.75" customHeight="1" x14ac:dyDescent="0.2">
      <c r="A186" s="1052"/>
      <c r="B186" s="868" t="s">
        <v>1038</v>
      </c>
      <c r="C186" s="869"/>
      <c r="D186" s="373"/>
      <c r="E186" s="373"/>
      <c r="F186" s="870"/>
      <c r="G186" s="373"/>
      <c r="H186" s="373"/>
      <c r="I186" s="373"/>
      <c r="J186" s="618"/>
      <c r="K186" s="374">
        <v>0</v>
      </c>
      <c r="L186" s="869"/>
      <c r="M186" s="373"/>
      <c r="N186" s="373"/>
      <c r="O186" s="870"/>
      <c r="P186" s="373"/>
      <c r="Q186" s="373"/>
      <c r="R186" s="373"/>
      <c r="S186" s="618"/>
      <c r="T186" s="374">
        <v>0</v>
      </c>
      <c r="U186" s="869"/>
      <c r="V186" s="373"/>
      <c r="W186" s="373"/>
      <c r="X186" s="870"/>
      <c r="Y186" s="373"/>
      <c r="Z186" s="373"/>
      <c r="AA186" s="373"/>
      <c r="AB186" s="618"/>
      <c r="AC186" s="374">
        <v>0</v>
      </c>
      <c r="AD186" s="869"/>
      <c r="AE186" s="373">
        <v>2</v>
      </c>
      <c r="AF186" s="373">
        <v>1</v>
      </c>
      <c r="AG186" s="870">
        <v>1</v>
      </c>
      <c r="AH186" s="373"/>
      <c r="AI186" s="373">
        <v>1</v>
      </c>
      <c r="AJ186" s="373">
        <v>1</v>
      </c>
      <c r="AK186" s="618"/>
      <c r="AL186" s="374">
        <v>0</v>
      </c>
      <c r="AM186" s="869"/>
      <c r="AN186" s="373"/>
      <c r="AO186" s="373">
        <v>1</v>
      </c>
      <c r="AP186" s="870">
        <v>1</v>
      </c>
      <c r="AQ186" s="373"/>
      <c r="AR186" s="373">
        <v>1</v>
      </c>
      <c r="AS186" s="373">
        <v>1</v>
      </c>
      <c r="AT186" s="618"/>
      <c r="AU186" s="374">
        <v>0</v>
      </c>
      <c r="AV186" s="869"/>
      <c r="AW186" s="373"/>
      <c r="AX186" s="373"/>
      <c r="AY186" s="870"/>
      <c r="AZ186" s="373"/>
      <c r="BA186" s="373"/>
      <c r="BB186" s="373"/>
      <c r="BC186" s="618"/>
      <c r="BD186" s="374">
        <v>0</v>
      </c>
      <c r="BE186" s="869"/>
      <c r="BF186" s="373"/>
      <c r="BG186" s="373"/>
      <c r="BH186" s="870"/>
      <c r="BI186" s="373"/>
      <c r="BJ186" s="373"/>
      <c r="BK186" s="373"/>
      <c r="BL186" s="618"/>
      <c r="BM186" s="374">
        <v>0</v>
      </c>
      <c r="BN186" s="869"/>
      <c r="BO186" s="373"/>
      <c r="BP186" s="373">
        <v>1</v>
      </c>
      <c r="BQ186" s="870">
        <v>1</v>
      </c>
      <c r="BR186" s="373">
        <v>2</v>
      </c>
      <c r="BS186" s="373"/>
      <c r="BT186" s="373"/>
      <c r="BU186" s="618"/>
      <c r="BV186" s="374">
        <v>0</v>
      </c>
      <c r="BW186" s="869">
        <v>1</v>
      </c>
      <c r="BX186" s="373">
        <v>1</v>
      </c>
      <c r="BY186" s="373">
        <v>3</v>
      </c>
      <c r="BZ186" s="870">
        <v>1</v>
      </c>
      <c r="CA186" s="373"/>
      <c r="CB186" s="373"/>
      <c r="CC186" s="373"/>
      <c r="CD186" s="618"/>
      <c r="CE186" s="374">
        <v>1</v>
      </c>
      <c r="CF186" s="869"/>
      <c r="CG186" s="373"/>
      <c r="CH186" s="373"/>
      <c r="CI186" s="870"/>
      <c r="CJ186" s="373"/>
      <c r="CK186" s="373"/>
      <c r="CL186" s="373"/>
      <c r="CM186" s="618"/>
      <c r="CN186" s="374">
        <v>0</v>
      </c>
      <c r="CO186" s="869"/>
      <c r="CP186" s="373"/>
      <c r="CQ186" s="373"/>
      <c r="CR186" s="870"/>
      <c r="CS186" s="373"/>
      <c r="CT186" s="373"/>
      <c r="CU186" s="373"/>
      <c r="CV186" s="618"/>
      <c r="CW186" s="374">
        <v>0</v>
      </c>
      <c r="CX186" s="869">
        <v>7</v>
      </c>
      <c r="CY186" s="373">
        <v>3</v>
      </c>
      <c r="CZ186" s="373">
        <v>1</v>
      </c>
      <c r="DA186" s="870">
        <v>2</v>
      </c>
      <c r="DB186" s="373"/>
      <c r="DC186" s="373"/>
      <c r="DD186" s="373">
        <v>4</v>
      </c>
      <c r="DE186" s="618">
        <v>1</v>
      </c>
      <c r="DF186" s="374">
        <v>9</v>
      </c>
      <c r="DG186" s="869"/>
      <c r="DH186" s="373"/>
      <c r="DI186" s="373"/>
      <c r="DJ186" s="870"/>
      <c r="DK186" s="373"/>
      <c r="DL186" s="373"/>
      <c r="DM186" s="373"/>
      <c r="DN186" s="618"/>
      <c r="DO186" s="374">
        <v>0</v>
      </c>
      <c r="DP186" s="869"/>
      <c r="DQ186" s="373">
        <v>1</v>
      </c>
      <c r="DR186" s="373">
        <v>1</v>
      </c>
      <c r="DS186" s="870">
        <v>1</v>
      </c>
      <c r="DT186" s="373"/>
      <c r="DU186" s="373"/>
      <c r="DV186" s="373"/>
      <c r="DW186" s="618"/>
      <c r="DX186" s="374">
        <v>1</v>
      </c>
      <c r="DY186" s="869">
        <v>1</v>
      </c>
      <c r="DZ186" s="373"/>
      <c r="EA186" s="373"/>
      <c r="EB186" s="870"/>
      <c r="EC186" s="373"/>
      <c r="ED186" s="373"/>
      <c r="EE186" s="373">
        <v>3</v>
      </c>
      <c r="EF186" s="618"/>
      <c r="EG186" s="374">
        <v>1</v>
      </c>
      <c r="EH186" s="869"/>
      <c r="EI186" s="373"/>
      <c r="EJ186" s="373"/>
      <c r="EK186" s="870"/>
      <c r="EL186" s="373"/>
      <c r="EM186" s="373"/>
      <c r="EN186" s="373"/>
      <c r="EO186" s="618"/>
      <c r="EP186" s="374">
        <v>0</v>
      </c>
      <c r="EQ186" s="869"/>
      <c r="ER186" s="373"/>
      <c r="ES186" s="373"/>
      <c r="ET186" s="870"/>
      <c r="EU186" s="373"/>
      <c r="EV186" s="373"/>
      <c r="EW186" s="373"/>
      <c r="EX186" s="618"/>
      <c r="EY186" s="374">
        <v>0</v>
      </c>
      <c r="EZ186" s="869"/>
      <c r="FA186" s="373"/>
      <c r="FB186" s="373"/>
      <c r="FC186" s="870"/>
      <c r="FD186" s="373"/>
      <c r="FE186" s="373"/>
      <c r="FF186" s="373"/>
      <c r="FG186" s="618"/>
      <c r="FH186" s="374">
        <v>0</v>
      </c>
      <c r="FI186" s="869"/>
      <c r="FJ186" s="373">
        <v>1</v>
      </c>
      <c r="FK186" s="373">
        <v>1</v>
      </c>
      <c r="FL186" s="870"/>
      <c r="FM186" s="373"/>
      <c r="FN186" s="373"/>
      <c r="FO186" s="373"/>
      <c r="FP186" s="618"/>
      <c r="FQ186" s="374">
        <v>0</v>
      </c>
      <c r="FR186" s="869"/>
      <c r="FS186" s="373"/>
      <c r="FT186" s="373"/>
      <c r="FU186" s="870"/>
      <c r="FV186" s="373"/>
      <c r="FW186" s="373"/>
      <c r="FX186" s="373"/>
      <c r="FY186" s="618"/>
      <c r="FZ186" s="374">
        <v>0</v>
      </c>
      <c r="GA186" s="869">
        <v>1</v>
      </c>
      <c r="GB186" s="373"/>
      <c r="GC186" s="373"/>
      <c r="GD186" s="870">
        <v>1</v>
      </c>
      <c r="GE186" s="373"/>
      <c r="GF186" s="373"/>
      <c r="GG186" s="373"/>
      <c r="GH186" s="618"/>
      <c r="GI186" s="374">
        <v>0</v>
      </c>
      <c r="GJ186" s="869">
        <v>9</v>
      </c>
      <c r="GK186" s="373">
        <v>7</v>
      </c>
      <c r="GL186" s="373">
        <v>7</v>
      </c>
      <c r="GM186" s="870">
        <v>6</v>
      </c>
      <c r="GN186" s="373">
        <v>2</v>
      </c>
      <c r="GO186" s="373">
        <v>1</v>
      </c>
      <c r="GP186" s="373">
        <v>5</v>
      </c>
      <c r="GQ186" s="618">
        <v>1</v>
      </c>
      <c r="GR186" s="374">
        <v>10</v>
      </c>
      <c r="GS186" s="869">
        <v>3</v>
      </c>
      <c r="GT186" s="373">
        <v>1</v>
      </c>
      <c r="GU186" s="373">
        <v>4</v>
      </c>
      <c r="GV186" s="870">
        <v>3</v>
      </c>
      <c r="GW186" s="373"/>
      <c r="GX186" s="373"/>
      <c r="GY186" s="373"/>
      <c r="GZ186" s="618"/>
      <c r="HA186" s="374">
        <v>3</v>
      </c>
      <c r="HB186" s="869"/>
      <c r="HC186" s="373"/>
      <c r="HD186" s="373"/>
      <c r="HE186" s="870"/>
      <c r="HF186" s="373"/>
      <c r="HG186" s="373"/>
      <c r="HH186" s="373"/>
      <c r="HI186" s="618"/>
      <c r="HJ186" s="374">
        <v>0</v>
      </c>
      <c r="HK186" s="869"/>
      <c r="HL186" s="373"/>
      <c r="HM186" s="373"/>
      <c r="HN186" s="870"/>
      <c r="HO186" s="373"/>
      <c r="HP186" s="373"/>
      <c r="HQ186" s="373"/>
      <c r="HR186" s="618"/>
      <c r="HS186" s="374">
        <v>0</v>
      </c>
      <c r="HT186" s="869">
        <v>5</v>
      </c>
      <c r="HU186" s="373">
        <v>1</v>
      </c>
      <c r="HV186" s="373">
        <v>4</v>
      </c>
      <c r="HW186" s="870">
        <v>5</v>
      </c>
      <c r="HX186" s="373">
        <v>2</v>
      </c>
      <c r="HY186" s="373">
        <v>1</v>
      </c>
      <c r="HZ186" s="373"/>
      <c r="IA186" s="618">
        <v>1</v>
      </c>
      <c r="IB186" s="374">
        <v>3</v>
      </c>
      <c r="IC186" s="869">
        <v>14</v>
      </c>
      <c r="ID186" s="373">
        <v>21</v>
      </c>
      <c r="IE186" s="373">
        <v>8</v>
      </c>
      <c r="IF186" s="870">
        <v>10</v>
      </c>
      <c r="IG186" s="373">
        <v>9</v>
      </c>
      <c r="IH186" s="373">
        <v>5</v>
      </c>
      <c r="II186" s="373">
        <v>8</v>
      </c>
      <c r="IJ186" s="618">
        <v>6</v>
      </c>
      <c r="IK186" s="374">
        <v>22</v>
      </c>
      <c r="IL186" s="377">
        <v>1</v>
      </c>
      <c r="IM186" s="373"/>
      <c r="IN186" s="373"/>
      <c r="IO186" s="871"/>
      <c r="IP186" s="871"/>
      <c r="IQ186" s="373"/>
      <c r="IR186" s="373">
        <v>3</v>
      </c>
      <c r="IS186" s="618"/>
      <c r="IT186" s="374">
        <v>3</v>
      </c>
    </row>
    <row r="187" spans="1:254" s="245" customFormat="1" ht="12.75" customHeight="1" x14ac:dyDescent="0.2">
      <c r="A187" s="1052"/>
      <c r="B187" s="868" t="s">
        <v>1039</v>
      </c>
      <c r="C187" s="869"/>
      <c r="D187" s="373"/>
      <c r="E187" s="373"/>
      <c r="F187" s="870"/>
      <c r="G187" s="373"/>
      <c r="H187" s="373"/>
      <c r="I187" s="373"/>
      <c r="J187" s="618"/>
      <c r="K187" s="374">
        <v>0</v>
      </c>
      <c r="L187" s="869"/>
      <c r="M187" s="373"/>
      <c r="N187" s="373"/>
      <c r="O187" s="870"/>
      <c r="P187" s="373"/>
      <c r="Q187" s="373"/>
      <c r="R187" s="373"/>
      <c r="S187" s="618"/>
      <c r="T187" s="374">
        <v>0</v>
      </c>
      <c r="U187" s="869"/>
      <c r="V187" s="373"/>
      <c r="W187" s="373"/>
      <c r="X187" s="870"/>
      <c r="Y187" s="373"/>
      <c r="Z187" s="373"/>
      <c r="AA187" s="373"/>
      <c r="AB187" s="618"/>
      <c r="AC187" s="374">
        <v>0</v>
      </c>
      <c r="AD187" s="869"/>
      <c r="AE187" s="373"/>
      <c r="AF187" s="373"/>
      <c r="AG187" s="870"/>
      <c r="AH187" s="373"/>
      <c r="AI187" s="373"/>
      <c r="AJ187" s="373"/>
      <c r="AK187" s="618"/>
      <c r="AL187" s="374">
        <v>0</v>
      </c>
      <c r="AM187" s="869"/>
      <c r="AN187" s="373"/>
      <c r="AO187" s="373"/>
      <c r="AP187" s="870"/>
      <c r="AQ187" s="373"/>
      <c r="AR187" s="373"/>
      <c r="AS187" s="373"/>
      <c r="AT187" s="618"/>
      <c r="AU187" s="374">
        <v>0</v>
      </c>
      <c r="AV187" s="869"/>
      <c r="AW187" s="373"/>
      <c r="AX187" s="373"/>
      <c r="AY187" s="870"/>
      <c r="AZ187" s="373"/>
      <c r="BA187" s="373"/>
      <c r="BB187" s="373"/>
      <c r="BC187" s="618"/>
      <c r="BD187" s="374">
        <v>0</v>
      </c>
      <c r="BE187" s="869"/>
      <c r="BF187" s="373"/>
      <c r="BG187" s="373"/>
      <c r="BH187" s="870"/>
      <c r="BI187" s="373"/>
      <c r="BJ187" s="373"/>
      <c r="BK187" s="373"/>
      <c r="BL187" s="618"/>
      <c r="BM187" s="374">
        <v>0</v>
      </c>
      <c r="BN187" s="869"/>
      <c r="BO187" s="373"/>
      <c r="BP187" s="373"/>
      <c r="BQ187" s="870"/>
      <c r="BR187" s="373"/>
      <c r="BS187" s="373"/>
      <c r="BT187" s="373"/>
      <c r="BU187" s="618"/>
      <c r="BV187" s="374">
        <v>0</v>
      </c>
      <c r="BW187" s="869"/>
      <c r="BX187" s="373"/>
      <c r="BY187" s="373"/>
      <c r="BZ187" s="870"/>
      <c r="CA187" s="373"/>
      <c r="CB187" s="373"/>
      <c r="CC187" s="373"/>
      <c r="CD187" s="618"/>
      <c r="CE187" s="374">
        <v>0</v>
      </c>
      <c r="CF187" s="869"/>
      <c r="CG187" s="373"/>
      <c r="CH187" s="373"/>
      <c r="CI187" s="870"/>
      <c r="CJ187" s="373"/>
      <c r="CK187" s="373"/>
      <c r="CL187" s="373"/>
      <c r="CM187" s="618"/>
      <c r="CN187" s="374">
        <v>0</v>
      </c>
      <c r="CO187" s="869"/>
      <c r="CP187" s="373"/>
      <c r="CQ187" s="373"/>
      <c r="CR187" s="870"/>
      <c r="CS187" s="373"/>
      <c r="CT187" s="373"/>
      <c r="CU187" s="373"/>
      <c r="CV187" s="618"/>
      <c r="CW187" s="374">
        <v>0</v>
      </c>
      <c r="CX187" s="869">
        <v>1</v>
      </c>
      <c r="CY187" s="373"/>
      <c r="CZ187" s="373">
        <v>1</v>
      </c>
      <c r="DA187" s="870"/>
      <c r="DB187" s="373">
        <v>3</v>
      </c>
      <c r="DC187" s="373">
        <v>3</v>
      </c>
      <c r="DD187" s="373"/>
      <c r="DE187" s="618"/>
      <c r="DF187" s="374">
        <v>0</v>
      </c>
      <c r="DG187" s="869"/>
      <c r="DH187" s="373"/>
      <c r="DI187" s="373"/>
      <c r="DJ187" s="870"/>
      <c r="DK187" s="373"/>
      <c r="DL187" s="373"/>
      <c r="DM187" s="373"/>
      <c r="DN187" s="618"/>
      <c r="DO187" s="374">
        <v>0</v>
      </c>
      <c r="DP187" s="869"/>
      <c r="DQ187" s="373"/>
      <c r="DR187" s="373"/>
      <c r="DS187" s="870"/>
      <c r="DT187" s="373"/>
      <c r="DU187" s="373"/>
      <c r="DV187" s="373"/>
      <c r="DW187" s="618"/>
      <c r="DX187" s="374">
        <v>0</v>
      </c>
      <c r="DY187" s="869"/>
      <c r="DZ187" s="373"/>
      <c r="EA187" s="373">
        <v>1</v>
      </c>
      <c r="EB187" s="870"/>
      <c r="EC187" s="373"/>
      <c r="ED187" s="373"/>
      <c r="EE187" s="373"/>
      <c r="EF187" s="618"/>
      <c r="EG187" s="374">
        <v>0</v>
      </c>
      <c r="EH187" s="869"/>
      <c r="EI187" s="373"/>
      <c r="EJ187" s="373"/>
      <c r="EK187" s="870"/>
      <c r="EL187" s="373"/>
      <c r="EM187" s="373"/>
      <c r="EN187" s="373"/>
      <c r="EO187" s="618"/>
      <c r="EP187" s="374">
        <v>0</v>
      </c>
      <c r="EQ187" s="869"/>
      <c r="ER187" s="373"/>
      <c r="ES187" s="373"/>
      <c r="ET187" s="870"/>
      <c r="EU187" s="373"/>
      <c r="EV187" s="373"/>
      <c r="EW187" s="373"/>
      <c r="EX187" s="618"/>
      <c r="EY187" s="374">
        <v>0</v>
      </c>
      <c r="EZ187" s="869"/>
      <c r="FA187" s="373"/>
      <c r="FB187" s="373"/>
      <c r="FC187" s="870"/>
      <c r="FD187" s="373"/>
      <c r="FE187" s="373"/>
      <c r="FF187" s="373"/>
      <c r="FG187" s="618"/>
      <c r="FH187" s="374">
        <v>0</v>
      </c>
      <c r="FI187" s="869"/>
      <c r="FJ187" s="373">
        <v>1</v>
      </c>
      <c r="FK187" s="373"/>
      <c r="FL187" s="870"/>
      <c r="FM187" s="373"/>
      <c r="FN187" s="373"/>
      <c r="FO187" s="373"/>
      <c r="FP187" s="618"/>
      <c r="FQ187" s="374">
        <v>0</v>
      </c>
      <c r="FR187" s="869"/>
      <c r="FS187" s="373"/>
      <c r="FT187" s="373"/>
      <c r="FU187" s="870"/>
      <c r="FV187" s="373"/>
      <c r="FW187" s="373"/>
      <c r="FX187" s="373"/>
      <c r="FY187" s="618"/>
      <c r="FZ187" s="374">
        <v>0</v>
      </c>
      <c r="GA187" s="869"/>
      <c r="GB187" s="373"/>
      <c r="GC187" s="373"/>
      <c r="GD187" s="870"/>
      <c r="GE187" s="373"/>
      <c r="GF187" s="373"/>
      <c r="GG187" s="373"/>
      <c r="GH187" s="618"/>
      <c r="GI187" s="374">
        <v>0</v>
      </c>
      <c r="GJ187" s="869">
        <v>1</v>
      </c>
      <c r="GK187" s="373">
        <v>1</v>
      </c>
      <c r="GL187" s="373">
        <v>1</v>
      </c>
      <c r="GM187" s="870"/>
      <c r="GN187" s="373">
        <v>3</v>
      </c>
      <c r="GO187" s="373">
        <v>3</v>
      </c>
      <c r="GP187" s="373"/>
      <c r="GQ187" s="618"/>
      <c r="GR187" s="374">
        <v>0</v>
      </c>
      <c r="GS187" s="869">
        <v>1</v>
      </c>
      <c r="GT187" s="373"/>
      <c r="GU187" s="373"/>
      <c r="GV187" s="870"/>
      <c r="GW187" s="373"/>
      <c r="GX187" s="373"/>
      <c r="GY187" s="373"/>
      <c r="GZ187" s="618"/>
      <c r="HA187" s="374">
        <v>0</v>
      </c>
      <c r="HB187" s="869"/>
      <c r="HC187" s="373"/>
      <c r="HD187" s="373"/>
      <c r="HE187" s="870"/>
      <c r="HF187" s="373"/>
      <c r="HG187" s="373"/>
      <c r="HH187" s="373"/>
      <c r="HI187" s="618"/>
      <c r="HJ187" s="374">
        <v>0</v>
      </c>
      <c r="HK187" s="869"/>
      <c r="HL187" s="373"/>
      <c r="HM187" s="373"/>
      <c r="HN187" s="870"/>
      <c r="HO187" s="373"/>
      <c r="HP187" s="373"/>
      <c r="HQ187" s="373"/>
      <c r="HR187" s="618"/>
      <c r="HS187" s="374">
        <v>0</v>
      </c>
      <c r="HT187" s="869">
        <v>1</v>
      </c>
      <c r="HU187" s="373">
        <v>1</v>
      </c>
      <c r="HV187" s="373"/>
      <c r="HW187" s="870"/>
      <c r="HX187" s="373"/>
      <c r="HY187" s="373"/>
      <c r="HZ187" s="373"/>
      <c r="IA187" s="618"/>
      <c r="IB187" s="374">
        <v>0</v>
      </c>
      <c r="IC187" s="869">
        <v>2</v>
      </c>
      <c r="ID187" s="373">
        <v>2</v>
      </c>
      <c r="IE187" s="373">
        <v>1</v>
      </c>
      <c r="IF187" s="870"/>
      <c r="IG187" s="373">
        <v>3</v>
      </c>
      <c r="IH187" s="373">
        <v>4</v>
      </c>
      <c r="II187" s="373"/>
      <c r="IJ187" s="618"/>
      <c r="IK187" s="374">
        <v>0</v>
      </c>
      <c r="IL187" s="377"/>
      <c r="IM187" s="373"/>
      <c r="IN187" s="373">
        <v>1</v>
      </c>
      <c r="IO187" s="871"/>
      <c r="IP187" s="871">
        <v>1</v>
      </c>
      <c r="IQ187" s="373"/>
      <c r="IR187" s="373"/>
      <c r="IS187" s="618"/>
      <c r="IT187" s="374">
        <v>0</v>
      </c>
    </row>
    <row r="188" spans="1:254" s="245" customFormat="1" ht="12.75" customHeight="1" x14ac:dyDescent="0.2">
      <c r="A188" s="1052"/>
      <c r="B188" s="868" t="s">
        <v>1040</v>
      </c>
      <c r="C188" s="869">
        <v>2</v>
      </c>
      <c r="D188" s="373">
        <v>2</v>
      </c>
      <c r="E188" s="373">
        <v>3</v>
      </c>
      <c r="F188" s="870">
        <v>4</v>
      </c>
      <c r="G188" s="373"/>
      <c r="H188" s="373">
        <v>1</v>
      </c>
      <c r="I188" s="373">
        <v>1</v>
      </c>
      <c r="J188" s="618">
        <v>2</v>
      </c>
      <c r="K188" s="374">
        <v>2</v>
      </c>
      <c r="L188" s="869">
        <v>2</v>
      </c>
      <c r="M188" s="373">
        <v>2</v>
      </c>
      <c r="N188" s="373"/>
      <c r="O188" s="870">
        <v>2</v>
      </c>
      <c r="P188" s="373"/>
      <c r="Q188" s="373">
        <v>1</v>
      </c>
      <c r="R188" s="373">
        <v>1</v>
      </c>
      <c r="S188" s="618">
        <v>1</v>
      </c>
      <c r="T188" s="374">
        <v>1</v>
      </c>
      <c r="U188" s="869"/>
      <c r="V188" s="373"/>
      <c r="W188" s="373">
        <v>3</v>
      </c>
      <c r="X188" s="870">
        <v>1</v>
      </c>
      <c r="Y188" s="373"/>
      <c r="Z188" s="373"/>
      <c r="AA188" s="373"/>
      <c r="AB188" s="618">
        <v>1</v>
      </c>
      <c r="AC188" s="374">
        <v>1</v>
      </c>
      <c r="AD188" s="869">
        <v>119</v>
      </c>
      <c r="AE188" s="373">
        <v>129</v>
      </c>
      <c r="AF188" s="373">
        <v>109</v>
      </c>
      <c r="AG188" s="870">
        <v>106</v>
      </c>
      <c r="AH188" s="373">
        <v>109</v>
      </c>
      <c r="AI188" s="373">
        <v>95</v>
      </c>
      <c r="AJ188" s="373">
        <v>57</v>
      </c>
      <c r="AK188" s="618">
        <v>57</v>
      </c>
      <c r="AL188" s="374">
        <v>57</v>
      </c>
      <c r="AM188" s="869">
        <v>51</v>
      </c>
      <c r="AN188" s="373">
        <v>42</v>
      </c>
      <c r="AO188" s="373">
        <v>40</v>
      </c>
      <c r="AP188" s="870">
        <v>47</v>
      </c>
      <c r="AQ188" s="373">
        <v>39</v>
      </c>
      <c r="AR188" s="373">
        <v>43</v>
      </c>
      <c r="AS188" s="373">
        <v>24</v>
      </c>
      <c r="AT188" s="618">
        <v>26</v>
      </c>
      <c r="AU188" s="374">
        <v>27</v>
      </c>
      <c r="AV188" s="869"/>
      <c r="AW188" s="373"/>
      <c r="AX188" s="373"/>
      <c r="AY188" s="870"/>
      <c r="AZ188" s="373"/>
      <c r="BA188" s="373">
        <v>1</v>
      </c>
      <c r="BB188" s="373"/>
      <c r="BC188" s="618"/>
      <c r="BD188" s="374">
        <v>0</v>
      </c>
      <c r="BE188" s="869">
        <v>11</v>
      </c>
      <c r="BF188" s="373">
        <v>18</v>
      </c>
      <c r="BG188" s="373">
        <v>6</v>
      </c>
      <c r="BH188" s="870">
        <v>5</v>
      </c>
      <c r="BI188" s="373">
        <v>5</v>
      </c>
      <c r="BJ188" s="373">
        <v>2</v>
      </c>
      <c r="BK188" s="373">
        <v>3</v>
      </c>
      <c r="BL188" s="618">
        <v>23</v>
      </c>
      <c r="BM188" s="374">
        <v>5</v>
      </c>
      <c r="BN188" s="869"/>
      <c r="BO188" s="373"/>
      <c r="BP188" s="373"/>
      <c r="BQ188" s="870"/>
      <c r="BR188" s="373"/>
      <c r="BS188" s="373"/>
      <c r="BT188" s="373">
        <v>2</v>
      </c>
      <c r="BU188" s="618"/>
      <c r="BV188" s="374">
        <v>0</v>
      </c>
      <c r="BW188" s="869">
        <v>245</v>
      </c>
      <c r="BX188" s="373">
        <v>212</v>
      </c>
      <c r="BY188" s="373">
        <v>246</v>
      </c>
      <c r="BZ188" s="870">
        <v>203</v>
      </c>
      <c r="CA188" s="373">
        <v>223</v>
      </c>
      <c r="CB188" s="373">
        <v>176</v>
      </c>
      <c r="CC188" s="373">
        <v>134</v>
      </c>
      <c r="CD188" s="618">
        <v>143</v>
      </c>
      <c r="CE188" s="374">
        <v>105</v>
      </c>
      <c r="CF188" s="869">
        <v>5</v>
      </c>
      <c r="CG188" s="373">
        <v>3</v>
      </c>
      <c r="CH188" s="373">
        <v>2</v>
      </c>
      <c r="CI188" s="870">
        <v>6</v>
      </c>
      <c r="CJ188" s="373">
        <v>2</v>
      </c>
      <c r="CK188" s="373"/>
      <c r="CL188" s="373">
        <v>3</v>
      </c>
      <c r="CM188" s="618">
        <v>1</v>
      </c>
      <c r="CN188" s="374">
        <v>1</v>
      </c>
      <c r="CO188" s="869">
        <v>11</v>
      </c>
      <c r="CP188" s="373">
        <v>18</v>
      </c>
      <c r="CQ188" s="373">
        <v>8</v>
      </c>
      <c r="CR188" s="870">
        <v>13</v>
      </c>
      <c r="CS188" s="373">
        <v>12</v>
      </c>
      <c r="CT188" s="373">
        <v>8</v>
      </c>
      <c r="CU188" s="373">
        <v>3</v>
      </c>
      <c r="CV188" s="618">
        <v>9</v>
      </c>
      <c r="CW188" s="374">
        <v>14</v>
      </c>
      <c r="CX188" s="869">
        <v>1687</v>
      </c>
      <c r="CY188" s="373">
        <v>1384</v>
      </c>
      <c r="CZ188" s="373">
        <v>1245</v>
      </c>
      <c r="DA188" s="870">
        <v>955</v>
      </c>
      <c r="DB188" s="373">
        <v>1114</v>
      </c>
      <c r="DC188" s="373">
        <v>819</v>
      </c>
      <c r="DD188" s="373">
        <v>568</v>
      </c>
      <c r="DE188" s="618">
        <v>584</v>
      </c>
      <c r="DF188" s="374">
        <v>359</v>
      </c>
      <c r="DG188" s="869">
        <v>5</v>
      </c>
      <c r="DH188" s="373">
        <v>7</v>
      </c>
      <c r="DI188" s="373">
        <v>5</v>
      </c>
      <c r="DJ188" s="870">
        <v>4</v>
      </c>
      <c r="DK188" s="373">
        <v>3</v>
      </c>
      <c r="DL188" s="373">
        <v>1</v>
      </c>
      <c r="DM188" s="373">
        <v>3</v>
      </c>
      <c r="DN188" s="618">
        <v>2</v>
      </c>
      <c r="DO188" s="374">
        <v>0</v>
      </c>
      <c r="DP188" s="869">
        <v>102</v>
      </c>
      <c r="DQ188" s="373">
        <v>29</v>
      </c>
      <c r="DR188" s="373">
        <v>27</v>
      </c>
      <c r="DS188" s="870">
        <v>18</v>
      </c>
      <c r="DT188" s="373">
        <v>36</v>
      </c>
      <c r="DU188" s="373">
        <v>24</v>
      </c>
      <c r="DV188" s="373">
        <v>7</v>
      </c>
      <c r="DW188" s="618">
        <v>8</v>
      </c>
      <c r="DX188" s="374">
        <v>3</v>
      </c>
      <c r="DY188" s="869">
        <v>125</v>
      </c>
      <c r="DZ188" s="373">
        <v>79</v>
      </c>
      <c r="EA188" s="373">
        <v>113</v>
      </c>
      <c r="EB188" s="870">
        <v>74</v>
      </c>
      <c r="EC188" s="373">
        <v>79</v>
      </c>
      <c r="ED188" s="373">
        <v>85</v>
      </c>
      <c r="EE188" s="373">
        <v>78</v>
      </c>
      <c r="EF188" s="618">
        <v>52</v>
      </c>
      <c r="EG188" s="374">
        <v>49</v>
      </c>
      <c r="EH188" s="869">
        <v>45</v>
      </c>
      <c r="EI188" s="373">
        <v>18</v>
      </c>
      <c r="EJ188" s="373">
        <v>17</v>
      </c>
      <c r="EK188" s="870">
        <v>8</v>
      </c>
      <c r="EL188" s="373">
        <v>12</v>
      </c>
      <c r="EM188" s="373">
        <v>5</v>
      </c>
      <c r="EN188" s="373">
        <v>6</v>
      </c>
      <c r="EO188" s="618">
        <v>3</v>
      </c>
      <c r="EP188" s="374">
        <v>0</v>
      </c>
      <c r="EQ188" s="869">
        <v>1</v>
      </c>
      <c r="ER188" s="373">
        <v>6</v>
      </c>
      <c r="ES188" s="373">
        <v>7</v>
      </c>
      <c r="ET188" s="870">
        <v>5</v>
      </c>
      <c r="EU188" s="373">
        <v>4</v>
      </c>
      <c r="EV188" s="373">
        <v>4</v>
      </c>
      <c r="EW188" s="373">
        <v>10</v>
      </c>
      <c r="EX188" s="618">
        <v>18</v>
      </c>
      <c r="EY188" s="374">
        <v>1</v>
      </c>
      <c r="EZ188" s="869">
        <v>12</v>
      </c>
      <c r="FA188" s="373">
        <v>5</v>
      </c>
      <c r="FB188" s="373">
        <v>11</v>
      </c>
      <c r="FC188" s="870">
        <v>3</v>
      </c>
      <c r="FD188" s="373">
        <v>6</v>
      </c>
      <c r="FE188" s="373">
        <v>4</v>
      </c>
      <c r="FF188" s="373"/>
      <c r="FG188" s="618">
        <v>2</v>
      </c>
      <c r="FH188" s="374">
        <v>15</v>
      </c>
      <c r="FI188" s="869">
        <v>142</v>
      </c>
      <c r="FJ188" s="373">
        <v>110</v>
      </c>
      <c r="FK188" s="373">
        <v>87</v>
      </c>
      <c r="FL188" s="870">
        <v>79</v>
      </c>
      <c r="FM188" s="373">
        <v>76</v>
      </c>
      <c r="FN188" s="373">
        <v>71</v>
      </c>
      <c r="FO188" s="373">
        <v>60</v>
      </c>
      <c r="FP188" s="618">
        <v>78</v>
      </c>
      <c r="FQ188" s="374">
        <v>66</v>
      </c>
      <c r="FR188" s="869">
        <v>3</v>
      </c>
      <c r="FS188" s="373">
        <v>21</v>
      </c>
      <c r="FT188" s="373">
        <v>19</v>
      </c>
      <c r="FU188" s="870">
        <v>3</v>
      </c>
      <c r="FV188" s="373">
        <v>16</v>
      </c>
      <c r="FW188" s="373">
        <v>13</v>
      </c>
      <c r="FX188" s="373"/>
      <c r="FY188" s="618">
        <v>2</v>
      </c>
      <c r="FZ188" s="374">
        <v>0</v>
      </c>
      <c r="GA188" s="869">
        <v>6</v>
      </c>
      <c r="GB188" s="373">
        <v>7</v>
      </c>
      <c r="GC188" s="373">
        <v>4</v>
      </c>
      <c r="GD188" s="870">
        <v>4</v>
      </c>
      <c r="GE188" s="373">
        <v>10</v>
      </c>
      <c r="GF188" s="373">
        <v>6</v>
      </c>
      <c r="GG188" s="373">
        <v>8</v>
      </c>
      <c r="GH188" s="618">
        <v>18</v>
      </c>
      <c r="GI188" s="374">
        <v>8</v>
      </c>
      <c r="GJ188" s="869">
        <v>2289</v>
      </c>
      <c r="GK188" s="373">
        <v>1933</v>
      </c>
      <c r="GL188" s="373">
        <v>1764</v>
      </c>
      <c r="GM188" s="870">
        <v>1394</v>
      </c>
      <c r="GN188" s="373">
        <v>1589</v>
      </c>
      <c r="GO188" s="373">
        <v>1204</v>
      </c>
      <c r="GP188" s="373">
        <v>855</v>
      </c>
      <c r="GQ188" s="618">
        <v>940</v>
      </c>
      <c r="GR188" s="374">
        <v>633</v>
      </c>
      <c r="GS188" s="869">
        <v>747</v>
      </c>
      <c r="GT188" s="373">
        <v>661</v>
      </c>
      <c r="GU188" s="373">
        <v>623</v>
      </c>
      <c r="GV188" s="870">
        <v>418</v>
      </c>
      <c r="GW188" s="373">
        <v>307</v>
      </c>
      <c r="GX188" s="373">
        <v>258</v>
      </c>
      <c r="GY188" s="373">
        <v>239</v>
      </c>
      <c r="GZ188" s="618">
        <v>171</v>
      </c>
      <c r="HA188" s="374">
        <v>222</v>
      </c>
      <c r="HB188" s="869">
        <v>5</v>
      </c>
      <c r="HC188" s="373">
        <v>12</v>
      </c>
      <c r="HD188" s="373">
        <v>9</v>
      </c>
      <c r="HE188" s="870">
        <v>5</v>
      </c>
      <c r="HF188" s="373">
        <v>4</v>
      </c>
      <c r="HG188" s="373">
        <v>4</v>
      </c>
      <c r="HH188" s="373">
        <v>6</v>
      </c>
      <c r="HI188" s="618">
        <v>6</v>
      </c>
      <c r="HJ188" s="374">
        <v>1</v>
      </c>
      <c r="HK188" s="869">
        <v>1</v>
      </c>
      <c r="HL188" s="373">
        <v>6</v>
      </c>
      <c r="HM188" s="373">
        <v>2</v>
      </c>
      <c r="HN188" s="870">
        <v>3</v>
      </c>
      <c r="HO188" s="373">
        <v>1</v>
      </c>
      <c r="HP188" s="373">
        <v>1</v>
      </c>
      <c r="HQ188" s="373">
        <v>3</v>
      </c>
      <c r="HR188" s="618">
        <v>4</v>
      </c>
      <c r="HS188" s="374">
        <v>1</v>
      </c>
      <c r="HT188" s="869">
        <v>966</v>
      </c>
      <c r="HU188" s="373">
        <v>885</v>
      </c>
      <c r="HV188" s="373">
        <v>837</v>
      </c>
      <c r="HW188" s="870">
        <v>684</v>
      </c>
      <c r="HX188" s="373">
        <v>535</v>
      </c>
      <c r="HY188" s="373">
        <v>487</v>
      </c>
      <c r="HZ188" s="373">
        <v>447</v>
      </c>
      <c r="IA188" s="618">
        <v>467</v>
      </c>
      <c r="IB188" s="374">
        <v>451</v>
      </c>
      <c r="IC188" s="869">
        <v>3708</v>
      </c>
      <c r="ID188" s="373">
        <v>3726</v>
      </c>
      <c r="IE188" s="373">
        <v>3346</v>
      </c>
      <c r="IF188" s="870">
        <v>2467</v>
      </c>
      <c r="IG188" s="373">
        <v>2577</v>
      </c>
      <c r="IH188" s="373">
        <v>2302</v>
      </c>
      <c r="II188" s="373">
        <v>1608</v>
      </c>
      <c r="IJ188" s="618">
        <v>2070</v>
      </c>
      <c r="IK188" s="374">
        <v>1387</v>
      </c>
      <c r="IL188" s="377">
        <v>405</v>
      </c>
      <c r="IM188" s="373">
        <v>285</v>
      </c>
      <c r="IN188" s="373">
        <v>313</v>
      </c>
      <c r="IO188" s="871">
        <v>136</v>
      </c>
      <c r="IP188" s="871">
        <v>71</v>
      </c>
      <c r="IQ188" s="373">
        <v>173</v>
      </c>
      <c r="IR188" s="373">
        <v>119</v>
      </c>
      <c r="IS188" s="618">
        <v>87</v>
      </c>
      <c r="IT188" s="374">
        <v>77</v>
      </c>
    </row>
    <row r="189" spans="1:254" s="245" customFormat="1" ht="12.75" customHeight="1" x14ac:dyDescent="0.2">
      <c r="A189" s="1052"/>
      <c r="B189" s="868" t="s">
        <v>1041</v>
      </c>
      <c r="C189" s="869"/>
      <c r="D189" s="373"/>
      <c r="E189" s="373"/>
      <c r="F189" s="870"/>
      <c r="G189" s="373"/>
      <c r="H189" s="373"/>
      <c r="I189" s="373"/>
      <c r="J189" s="618"/>
      <c r="K189" s="374">
        <v>0</v>
      </c>
      <c r="L189" s="869"/>
      <c r="M189" s="373"/>
      <c r="N189" s="373"/>
      <c r="O189" s="870"/>
      <c r="P189" s="373"/>
      <c r="Q189" s="373"/>
      <c r="R189" s="373"/>
      <c r="S189" s="618"/>
      <c r="T189" s="374">
        <v>0</v>
      </c>
      <c r="U189" s="869"/>
      <c r="V189" s="373"/>
      <c r="W189" s="373"/>
      <c r="X189" s="870"/>
      <c r="Y189" s="373"/>
      <c r="Z189" s="373"/>
      <c r="AA189" s="373"/>
      <c r="AB189" s="618"/>
      <c r="AC189" s="374">
        <v>0</v>
      </c>
      <c r="AD189" s="869">
        <v>1</v>
      </c>
      <c r="AE189" s="373"/>
      <c r="AF189" s="373">
        <v>1</v>
      </c>
      <c r="AG189" s="870"/>
      <c r="AH189" s="373"/>
      <c r="AI189" s="373"/>
      <c r="AJ189" s="373"/>
      <c r="AK189" s="618"/>
      <c r="AL189" s="374">
        <v>0</v>
      </c>
      <c r="AM189" s="869">
        <v>1</v>
      </c>
      <c r="AN189" s="373"/>
      <c r="AO189" s="373"/>
      <c r="AP189" s="870"/>
      <c r="AQ189" s="373"/>
      <c r="AR189" s="373"/>
      <c r="AS189" s="373"/>
      <c r="AT189" s="618"/>
      <c r="AU189" s="374">
        <v>0</v>
      </c>
      <c r="AV189" s="869">
        <v>1</v>
      </c>
      <c r="AW189" s="373"/>
      <c r="AX189" s="373"/>
      <c r="AY189" s="870"/>
      <c r="AZ189" s="373"/>
      <c r="BA189" s="373"/>
      <c r="BB189" s="373"/>
      <c r="BC189" s="618"/>
      <c r="BD189" s="374">
        <v>0</v>
      </c>
      <c r="BE189" s="869"/>
      <c r="BF189" s="373"/>
      <c r="BG189" s="373">
        <v>2</v>
      </c>
      <c r="BH189" s="870"/>
      <c r="BI189" s="373"/>
      <c r="BJ189" s="373"/>
      <c r="BK189" s="373"/>
      <c r="BL189" s="618"/>
      <c r="BM189" s="374">
        <v>0</v>
      </c>
      <c r="BN189" s="869"/>
      <c r="BO189" s="373"/>
      <c r="BP189" s="373"/>
      <c r="BQ189" s="870"/>
      <c r="BR189" s="373"/>
      <c r="BS189" s="373"/>
      <c r="BT189" s="373"/>
      <c r="BU189" s="618"/>
      <c r="BV189" s="374">
        <v>0</v>
      </c>
      <c r="BW189" s="869"/>
      <c r="BX189" s="373"/>
      <c r="BY189" s="373"/>
      <c r="BZ189" s="870"/>
      <c r="CA189" s="373"/>
      <c r="CB189" s="373"/>
      <c r="CC189" s="373"/>
      <c r="CD189" s="618"/>
      <c r="CE189" s="374">
        <v>0</v>
      </c>
      <c r="CF189" s="869"/>
      <c r="CG189" s="373"/>
      <c r="CH189" s="373"/>
      <c r="CI189" s="870"/>
      <c r="CJ189" s="373"/>
      <c r="CK189" s="373"/>
      <c r="CL189" s="373"/>
      <c r="CM189" s="618"/>
      <c r="CN189" s="374">
        <v>0</v>
      </c>
      <c r="CO189" s="869"/>
      <c r="CP189" s="373"/>
      <c r="CQ189" s="373"/>
      <c r="CR189" s="870"/>
      <c r="CS189" s="373"/>
      <c r="CT189" s="373"/>
      <c r="CU189" s="373"/>
      <c r="CV189" s="618"/>
      <c r="CW189" s="374">
        <v>0</v>
      </c>
      <c r="CX189" s="869">
        <v>8</v>
      </c>
      <c r="CY189" s="373">
        <v>10</v>
      </c>
      <c r="CZ189" s="373">
        <v>3</v>
      </c>
      <c r="DA189" s="870">
        <v>1</v>
      </c>
      <c r="DB189" s="373">
        <v>1</v>
      </c>
      <c r="DC189" s="373"/>
      <c r="DD189" s="373">
        <v>1</v>
      </c>
      <c r="DE189" s="618">
        <v>1</v>
      </c>
      <c r="DF189" s="374">
        <v>1</v>
      </c>
      <c r="DG189" s="869"/>
      <c r="DH189" s="373"/>
      <c r="DI189" s="373"/>
      <c r="DJ189" s="870"/>
      <c r="DK189" s="373"/>
      <c r="DL189" s="373"/>
      <c r="DM189" s="373"/>
      <c r="DN189" s="618"/>
      <c r="DO189" s="374">
        <v>0</v>
      </c>
      <c r="DP189" s="869"/>
      <c r="DQ189" s="373"/>
      <c r="DR189" s="373"/>
      <c r="DS189" s="870"/>
      <c r="DT189" s="373">
        <v>1</v>
      </c>
      <c r="DU189" s="373"/>
      <c r="DV189" s="373"/>
      <c r="DW189" s="618"/>
      <c r="DX189" s="374">
        <v>0</v>
      </c>
      <c r="DY189" s="869">
        <v>3</v>
      </c>
      <c r="DZ189" s="373">
        <v>1</v>
      </c>
      <c r="EA189" s="373"/>
      <c r="EB189" s="870"/>
      <c r="EC189" s="373"/>
      <c r="ED189" s="373"/>
      <c r="EE189" s="373"/>
      <c r="EF189" s="618"/>
      <c r="EG189" s="374">
        <v>0</v>
      </c>
      <c r="EH189" s="869"/>
      <c r="EI189" s="373"/>
      <c r="EJ189" s="373"/>
      <c r="EK189" s="870"/>
      <c r="EL189" s="373"/>
      <c r="EM189" s="373"/>
      <c r="EN189" s="373"/>
      <c r="EO189" s="618"/>
      <c r="EP189" s="374">
        <v>0</v>
      </c>
      <c r="EQ189" s="869"/>
      <c r="ER189" s="373"/>
      <c r="ES189" s="373"/>
      <c r="ET189" s="870"/>
      <c r="EU189" s="373"/>
      <c r="EV189" s="373"/>
      <c r="EW189" s="373"/>
      <c r="EX189" s="618"/>
      <c r="EY189" s="374">
        <v>0</v>
      </c>
      <c r="EZ189" s="869"/>
      <c r="FA189" s="373"/>
      <c r="FB189" s="373"/>
      <c r="FC189" s="870"/>
      <c r="FD189" s="373"/>
      <c r="FE189" s="373"/>
      <c r="FF189" s="373"/>
      <c r="FG189" s="618"/>
      <c r="FH189" s="374">
        <v>0</v>
      </c>
      <c r="FI189" s="869"/>
      <c r="FJ189" s="373"/>
      <c r="FK189" s="373">
        <v>1</v>
      </c>
      <c r="FL189" s="870"/>
      <c r="FM189" s="373"/>
      <c r="FN189" s="373"/>
      <c r="FO189" s="373"/>
      <c r="FP189" s="618"/>
      <c r="FQ189" s="374">
        <v>0</v>
      </c>
      <c r="FR189" s="869"/>
      <c r="FS189" s="373"/>
      <c r="FT189" s="373"/>
      <c r="FU189" s="870"/>
      <c r="FV189" s="373">
        <v>1</v>
      </c>
      <c r="FW189" s="373"/>
      <c r="FX189" s="373"/>
      <c r="FY189" s="618"/>
      <c r="FZ189" s="374">
        <v>0</v>
      </c>
      <c r="GA189" s="869"/>
      <c r="GB189" s="373"/>
      <c r="GC189" s="373"/>
      <c r="GD189" s="870"/>
      <c r="GE189" s="373"/>
      <c r="GF189" s="373"/>
      <c r="GG189" s="373"/>
      <c r="GH189" s="618"/>
      <c r="GI189" s="374">
        <v>0</v>
      </c>
      <c r="GJ189" s="869">
        <v>9</v>
      </c>
      <c r="GK189" s="373">
        <v>10</v>
      </c>
      <c r="GL189" s="373">
        <v>7</v>
      </c>
      <c r="GM189" s="870">
        <v>1</v>
      </c>
      <c r="GN189" s="373">
        <v>2</v>
      </c>
      <c r="GO189" s="373"/>
      <c r="GP189" s="373">
        <v>1</v>
      </c>
      <c r="GQ189" s="618">
        <v>1</v>
      </c>
      <c r="GR189" s="374">
        <v>1</v>
      </c>
      <c r="GS189" s="869">
        <v>3</v>
      </c>
      <c r="GT189" s="373">
        <v>2</v>
      </c>
      <c r="GU189" s="373">
        <v>3</v>
      </c>
      <c r="GV189" s="870"/>
      <c r="GW189" s="373">
        <v>1</v>
      </c>
      <c r="GX189" s="373"/>
      <c r="GY189" s="373"/>
      <c r="GZ189" s="618"/>
      <c r="HA189" s="374">
        <v>0</v>
      </c>
      <c r="HB189" s="869"/>
      <c r="HC189" s="373"/>
      <c r="HD189" s="373"/>
      <c r="HE189" s="870"/>
      <c r="HF189" s="373"/>
      <c r="HG189" s="373"/>
      <c r="HH189" s="373"/>
      <c r="HI189" s="618"/>
      <c r="HJ189" s="374">
        <v>0</v>
      </c>
      <c r="HK189" s="869"/>
      <c r="HL189" s="373"/>
      <c r="HM189" s="373"/>
      <c r="HN189" s="870"/>
      <c r="HO189" s="373"/>
      <c r="HP189" s="373"/>
      <c r="HQ189" s="373"/>
      <c r="HR189" s="618"/>
      <c r="HS189" s="374">
        <v>0</v>
      </c>
      <c r="HT189" s="869">
        <v>3</v>
      </c>
      <c r="HU189" s="373">
        <v>3</v>
      </c>
      <c r="HV189" s="373">
        <v>3</v>
      </c>
      <c r="HW189" s="870">
        <v>1</v>
      </c>
      <c r="HX189" s="373">
        <v>1</v>
      </c>
      <c r="HY189" s="373"/>
      <c r="HZ189" s="373"/>
      <c r="IA189" s="618"/>
      <c r="IB189" s="374">
        <v>0</v>
      </c>
      <c r="IC189" s="869">
        <v>10</v>
      </c>
      <c r="ID189" s="373">
        <v>14</v>
      </c>
      <c r="IE189" s="373">
        <v>7</v>
      </c>
      <c r="IF189" s="870">
        <v>5</v>
      </c>
      <c r="IG189" s="373">
        <v>4</v>
      </c>
      <c r="IH189" s="373"/>
      <c r="II189" s="373">
        <v>4</v>
      </c>
      <c r="IJ189" s="618">
        <v>3</v>
      </c>
      <c r="IK189" s="374">
        <v>1</v>
      </c>
      <c r="IL189" s="377">
        <v>5</v>
      </c>
      <c r="IM189" s="373">
        <v>6</v>
      </c>
      <c r="IN189" s="373"/>
      <c r="IO189" s="871"/>
      <c r="IP189" s="871"/>
      <c r="IQ189" s="373"/>
      <c r="IR189" s="373"/>
      <c r="IS189" s="618"/>
      <c r="IT189" s="374">
        <v>0</v>
      </c>
    </row>
    <row r="190" spans="1:254" s="245" customFormat="1" ht="12.75" customHeight="1" x14ac:dyDescent="0.2">
      <c r="A190" s="1052"/>
      <c r="B190" s="868" t="s">
        <v>1042</v>
      </c>
      <c r="C190" s="869"/>
      <c r="D190" s="373"/>
      <c r="E190" s="373"/>
      <c r="F190" s="870"/>
      <c r="G190" s="373"/>
      <c r="H190" s="373"/>
      <c r="I190" s="373"/>
      <c r="J190" s="618"/>
      <c r="K190" s="374">
        <v>0</v>
      </c>
      <c r="L190" s="869"/>
      <c r="M190" s="373"/>
      <c r="N190" s="373"/>
      <c r="O190" s="870"/>
      <c r="P190" s="373"/>
      <c r="Q190" s="373"/>
      <c r="R190" s="373"/>
      <c r="S190" s="618"/>
      <c r="T190" s="374">
        <v>0</v>
      </c>
      <c r="U190" s="869"/>
      <c r="V190" s="373"/>
      <c r="W190" s="373"/>
      <c r="X190" s="870"/>
      <c r="Y190" s="373"/>
      <c r="Z190" s="373"/>
      <c r="AA190" s="373"/>
      <c r="AB190" s="618"/>
      <c r="AC190" s="374">
        <v>0</v>
      </c>
      <c r="AD190" s="869"/>
      <c r="AE190" s="373"/>
      <c r="AF190" s="373">
        <v>1</v>
      </c>
      <c r="AG190" s="870">
        <v>2</v>
      </c>
      <c r="AH190" s="373"/>
      <c r="AI190" s="373"/>
      <c r="AJ190" s="373"/>
      <c r="AK190" s="618"/>
      <c r="AL190" s="374">
        <v>0</v>
      </c>
      <c r="AM190" s="869"/>
      <c r="AN190" s="373"/>
      <c r="AO190" s="373"/>
      <c r="AP190" s="870">
        <v>1</v>
      </c>
      <c r="AQ190" s="373"/>
      <c r="AR190" s="373"/>
      <c r="AS190" s="373"/>
      <c r="AT190" s="618"/>
      <c r="AU190" s="374">
        <v>0</v>
      </c>
      <c r="AV190" s="869"/>
      <c r="AW190" s="373"/>
      <c r="AX190" s="373"/>
      <c r="AY190" s="870"/>
      <c r="AZ190" s="373"/>
      <c r="BA190" s="373"/>
      <c r="BB190" s="373"/>
      <c r="BC190" s="618"/>
      <c r="BD190" s="374">
        <v>0</v>
      </c>
      <c r="BE190" s="869"/>
      <c r="BF190" s="373"/>
      <c r="BG190" s="373"/>
      <c r="BH190" s="870"/>
      <c r="BI190" s="373"/>
      <c r="BJ190" s="373"/>
      <c r="BK190" s="373"/>
      <c r="BL190" s="618">
        <v>1</v>
      </c>
      <c r="BM190" s="374">
        <v>0</v>
      </c>
      <c r="BN190" s="869"/>
      <c r="BO190" s="373"/>
      <c r="BP190" s="373"/>
      <c r="BQ190" s="870"/>
      <c r="BR190" s="373"/>
      <c r="BS190" s="373"/>
      <c r="BT190" s="373"/>
      <c r="BU190" s="618"/>
      <c r="BV190" s="374">
        <v>0</v>
      </c>
      <c r="BW190" s="869"/>
      <c r="BX190" s="373"/>
      <c r="BY190" s="373">
        <v>1</v>
      </c>
      <c r="BZ190" s="870">
        <v>1</v>
      </c>
      <c r="CA190" s="373"/>
      <c r="CB190" s="373"/>
      <c r="CC190" s="373"/>
      <c r="CD190" s="618"/>
      <c r="CE190" s="374">
        <v>0</v>
      </c>
      <c r="CF190" s="869"/>
      <c r="CG190" s="373"/>
      <c r="CH190" s="373"/>
      <c r="CI190" s="870"/>
      <c r="CJ190" s="373"/>
      <c r="CK190" s="373"/>
      <c r="CL190" s="373"/>
      <c r="CM190" s="618"/>
      <c r="CN190" s="374">
        <v>0</v>
      </c>
      <c r="CO190" s="869"/>
      <c r="CP190" s="373"/>
      <c r="CQ190" s="373"/>
      <c r="CR190" s="870"/>
      <c r="CS190" s="373"/>
      <c r="CT190" s="373"/>
      <c r="CU190" s="373"/>
      <c r="CV190" s="618"/>
      <c r="CW190" s="374">
        <v>0</v>
      </c>
      <c r="CX190" s="869">
        <v>1</v>
      </c>
      <c r="CY190" s="373">
        <v>20</v>
      </c>
      <c r="CZ190" s="373">
        <v>5</v>
      </c>
      <c r="DA190" s="870">
        <v>2</v>
      </c>
      <c r="DB190" s="373">
        <v>2</v>
      </c>
      <c r="DC190" s="373"/>
      <c r="DD190" s="373">
        <v>4</v>
      </c>
      <c r="DE190" s="618">
        <v>1</v>
      </c>
      <c r="DF190" s="374">
        <v>1</v>
      </c>
      <c r="DG190" s="869"/>
      <c r="DH190" s="373"/>
      <c r="DI190" s="373"/>
      <c r="DJ190" s="870"/>
      <c r="DK190" s="373"/>
      <c r="DL190" s="373"/>
      <c r="DM190" s="373"/>
      <c r="DN190" s="618"/>
      <c r="DO190" s="374">
        <v>0</v>
      </c>
      <c r="DP190" s="869"/>
      <c r="DQ190" s="373"/>
      <c r="DR190" s="373"/>
      <c r="DS190" s="870"/>
      <c r="DT190" s="373"/>
      <c r="DU190" s="373"/>
      <c r="DV190" s="373"/>
      <c r="DW190" s="618"/>
      <c r="DX190" s="374">
        <v>0</v>
      </c>
      <c r="DY190" s="869"/>
      <c r="DZ190" s="373"/>
      <c r="EA190" s="373">
        <v>1</v>
      </c>
      <c r="EB190" s="870">
        <v>1</v>
      </c>
      <c r="EC190" s="373"/>
      <c r="ED190" s="373"/>
      <c r="EE190" s="373">
        <v>3</v>
      </c>
      <c r="EF190" s="618"/>
      <c r="EG190" s="374">
        <v>0</v>
      </c>
      <c r="EH190" s="869"/>
      <c r="EI190" s="373"/>
      <c r="EJ190" s="373"/>
      <c r="EK190" s="870"/>
      <c r="EL190" s="373"/>
      <c r="EM190" s="373"/>
      <c r="EN190" s="373"/>
      <c r="EO190" s="618"/>
      <c r="EP190" s="374">
        <v>0</v>
      </c>
      <c r="EQ190" s="869"/>
      <c r="ER190" s="373"/>
      <c r="ES190" s="373"/>
      <c r="ET190" s="870"/>
      <c r="EU190" s="373"/>
      <c r="EV190" s="373"/>
      <c r="EW190" s="373"/>
      <c r="EX190" s="618"/>
      <c r="EY190" s="374">
        <v>0</v>
      </c>
      <c r="EZ190" s="869"/>
      <c r="FA190" s="373"/>
      <c r="FB190" s="373"/>
      <c r="FC190" s="870"/>
      <c r="FD190" s="373"/>
      <c r="FE190" s="373"/>
      <c r="FF190" s="373"/>
      <c r="FG190" s="618"/>
      <c r="FH190" s="374">
        <v>0</v>
      </c>
      <c r="FI190" s="869">
        <v>2</v>
      </c>
      <c r="FJ190" s="373"/>
      <c r="FK190" s="373">
        <v>1</v>
      </c>
      <c r="FL190" s="870"/>
      <c r="FM190" s="373"/>
      <c r="FN190" s="373"/>
      <c r="FO190" s="373"/>
      <c r="FP190" s="618"/>
      <c r="FQ190" s="374">
        <v>0</v>
      </c>
      <c r="FR190" s="869"/>
      <c r="FS190" s="373">
        <v>1</v>
      </c>
      <c r="FT190" s="373"/>
      <c r="FU190" s="870"/>
      <c r="FV190" s="373"/>
      <c r="FW190" s="373"/>
      <c r="FX190" s="373"/>
      <c r="FY190" s="618"/>
      <c r="FZ190" s="374">
        <v>0</v>
      </c>
      <c r="GA190" s="869"/>
      <c r="GB190" s="373"/>
      <c r="GC190" s="373"/>
      <c r="GD190" s="870"/>
      <c r="GE190" s="373"/>
      <c r="GF190" s="373"/>
      <c r="GG190" s="373"/>
      <c r="GH190" s="618"/>
      <c r="GI190" s="374">
        <v>0</v>
      </c>
      <c r="GJ190" s="869">
        <v>3</v>
      </c>
      <c r="GK190" s="373">
        <v>21</v>
      </c>
      <c r="GL190" s="373">
        <v>8</v>
      </c>
      <c r="GM190" s="870">
        <v>5</v>
      </c>
      <c r="GN190" s="373">
        <v>2</v>
      </c>
      <c r="GO190" s="373"/>
      <c r="GP190" s="373">
        <v>4</v>
      </c>
      <c r="GQ190" s="618">
        <v>2</v>
      </c>
      <c r="GR190" s="374">
        <v>1</v>
      </c>
      <c r="GS190" s="869"/>
      <c r="GT190" s="373">
        <v>16</v>
      </c>
      <c r="GU190" s="373">
        <v>3</v>
      </c>
      <c r="GV190" s="870"/>
      <c r="GW190" s="373"/>
      <c r="GX190" s="373"/>
      <c r="GY190" s="373"/>
      <c r="GZ190" s="618"/>
      <c r="HA190" s="374">
        <v>0</v>
      </c>
      <c r="HB190" s="869"/>
      <c r="HC190" s="373"/>
      <c r="HD190" s="373"/>
      <c r="HE190" s="870"/>
      <c r="HF190" s="373"/>
      <c r="HG190" s="373"/>
      <c r="HH190" s="373"/>
      <c r="HI190" s="618"/>
      <c r="HJ190" s="374">
        <v>0</v>
      </c>
      <c r="HK190" s="869"/>
      <c r="HL190" s="373">
        <v>1</v>
      </c>
      <c r="HM190" s="373"/>
      <c r="HN190" s="870"/>
      <c r="HO190" s="373"/>
      <c r="HP190" s="373"/>
      <c r="HQ190" s="373"/>
      <c r="HR190" s="618"/>
      <c r="HS190" s="374">
        <v>0</v>
      </c>
      <c r="HT190" s="869">
        <v>1</v>
      </c>
      <c r="HU190" s="373">
        <v>18</v>
      </c>
      <c r="HV190" s="373">
        <v>8</v>
      </c>
      <c r="HW190" s="870">
        <v>5</v>
      </c>
      <c r="HX190" s="373">
        <v>1</v>
      </c>
      <c r="HY190" s="373">
        <v>1</v>
      </c>
      <c r="HZ190" s="373"/>
      <c r="IA190" s="618"/>
      <c r="IB190" s="374">
        <v>1</v>
      </c>
      <c r="IC190" s="869">
        <v>7</v>
      </c>
      <c r="ID190" s="373">
        <v>27</v>
      </c>
      <c r="IE190" s="373">
        <v>14</v>
      </c>
      <c r="IF190" s="870">
        <v>10</v>
      </c>
      <c r="IG190" s="373">
        <v>6</v>
      </c>
      <c r="IH190" s="373">
        <v>1</v>
      </c>
      <c r="II190" s="373">
        <v>7</v>
      </c>
      <c r="IJ190" s="618">
        <v>4</v>
      </c>
      <c r="IK190" s="374">
        <v>5</v>
      </c>
      <c r="IL190" s="377"/>
      <c r="IM190" s="373"/>
      <c r="IN190" s="373">
        <v>1</v>
      </c>
      <c r="IO190" s="871"/>
      <c r="IP190" s="871"/>
      <c r="IQ190" s="373"/>
      <c r="IR190" s="373">
        <v>3</v>
      </c>
      <c r="IS190" s="618"/>
      <c r="IT190" s="374">
        <v>0</v>
      </c>
    </row>
    <row r="191" spans="1:254" s="245" customFormat="1" ht="12.75" customHeight="1" x14ac:dyDescent="0.2">
      <c r="A191" s="1052"/>
      <c r="B191" s="868" t="s">
        <v>1043</v>
      </c>
      <c r="C191" s="869"/>
      <c r="D191" s="373"/>
      <c r="E191" s="373"/>
      <c r="F191" s="870"/>
      <c r="G191" s="373"/>
      <c r="H191" s="373"/>
      <c r="I191" s="373"/>
      <c r="J191" s="618"/>
      <c r="K191" s="374">
        <v>0</v>
      </c>
      <c r="L191" s="869"/>
      <c r="M191" s="373"/>
      <c r="N191" s="373"/>
      <c r="O191" s="870"/>
      <c r="P191" s="373"/>
      <c r="Q191" s="373"/>
      <c r="R191" s="373"/>
      <c r="S191" s="618"/>
      <c r="T191" s="374">
        <v>0</v>
      </c>
      <c r="U191" s="869"/>
      <c r="V191" s="373"/>
      <c r="W191" s="373"/>
      <c r="X191" s="870"/>
      <c r="Y191" s="373"/>
      <c r="Z191" s="373"/>
      <c r="AA191" s="373"/>
      <c r="AB191" s="618"/>
      <c r="AC191" s="374">
        <v>0</v>
      </c>
      <c r="AD191" s="869">
        <v>1</v>
      </c>
      <c r="AE191" s="373">
        <v>1</v>
      </c>
      <c r="AF191" s="373">
        <v>2</v>
      </c>
      <c r="AG191" s="870">
        <v>1</v>
      </c>
      <c r="AH191" s="373"/>
      <c r="AI191" s="373">
        <v>5</v>
      </c>
      <c r="AJ191" s="373"/>
      <c r="AK191" s="618">
        <v>4</v>
      </c>
      <c r="AL191" s="374">
        <v>2</v>
      </c>
      <c r="AM191" s="869"/>
      <c r="AN191" s="373">
        <v>1</v>
      </c>
      <c r="AO191" s="373"/>
      <c r="AP191" s="870">
        <v>1</v>
      </c>
      <c r="AQ191" s="373"/>
      <c r="AR191" s="373">
        <v>3</v>
      </c>
      <c r="AS191" s="373"/>
      <c r="AT191" s="618">
        <v>3</v>
      </c>
      <c r="AU191" s="374">
        <v>2</v>
      </c>
      <c r="AV191" s="869"/>
      <c r="AW191" s="373"/>
      <c r="AX191" s="373"/>
      <c r="AY191" s="870"/>
      <c r="AZ191" s="373"/>
      <c r="BA191" s="373"/>
      <c r="BB191" s="373"/>
      <c r="BC191" s="618"/>
      <c r="BD191" s="374">
        <v>0</v>
      </c>
      <c r="BE191" s="869"/>
      <c r="BF191" s="373"/>
      <c r="BG191" s="373"/>
      <c r="BH191" s="870"/>
      <c r="BI191" s="373"/>
      <c r="BJ191" s="373"/>
      <c r="BK191" s="373"/>
      <c r="BL191" s="618"/>
      <c r="BM191" s="374">
        <v>0</v>
      </c>
      <c r="BN191" s="869"/>
      <c r="BO191" s="373"/>
      <c r="BP191" s="373"/>
      <c r="BQ191" s="870"/>
      <c r="BR191" s="373"/>
      <c r="BS191" s="373"/>
      <c r="BT191" s="373"/>
      <c r="BU191" s="618"/>
      <c r="BV191" s="374">
        <v>0</v>
      </c>
      <c r="BW191" s="869"/>
      <c r="BX191" s="373">
        <v>2</v>
      </c>
      <c r="BY191" s="373">
        <v>5</v>
      </c>
      <c r="BZ191" s="870"/>
      <c r="CA191" s="373"/>
      <c r="CB191" s="373">
        <v>2</v>
      </c>
      <c r="CC191" s="373"/>
      <c r="CD191" s="618">
        <v>2</v>
      </c>
      <c r="CE191" s="374">
        <v>3</v>
      </c>
      <c r="CF191" s="869"/>
      <c r="CG191" s="373"/>
      <c r="CH191" s="373"/>
      <c r="CI191" s="870"/>
      <c r="CJ191" s="373"/>
      <c r="CK191" s="373"/>
      <c r="CL191" s="373"/>
      <c r="CM191" s="618"/>
      <c r="CN191" s="374">
        <v>0</v>
      </c>
      <c r="CO191" s="869"/>
      <c r="CP191" s="373"/>
      <c r="CQ191" s="373"/>
      <c r="CR191" s="870">
        <v>1</v>
      </c>
      <c r="CS191" s="373">
        <v>1</v>
      </c>
      <c r="CT191" s="373"/>
      <c r="CU191" s="373"/>
      <c r="CV191" s="618"/>
      <c r="CW191" s="374">
        <v>0</v>
      </c>
      <c r="CX191" s="869">
        <v>5</v>
      </c>
      <c r="CY191" s="373">
        <v>5</v>
      </c>
      <c r="CZ191" s="373">
        <v>13</v>
      </c>
      <c r="DA191" s="870">
        <v>5</v>
      </c>
      <c r="DB191" s="373">
        <v>5</v>
      </c>
      <c r="DC191" s="373">
        <v>6</v>
      </c>
      <c r="DD191" s="373">
        <v>2</v>
      </c>
      <c r="DE191" s="618"/>
      <c r="DF191" s="374">
        <v>2</v>
      </c>
      <c r="DG191" s="869"/>
      <c r="DH191" s="373"/>
      <c r="DI191" s="373"/>
      <c r="DJ191" s="870"/>
      <c r="DK191" s="373"/>
      <c r="DL191" s="373"/>
      <c r="DM191" s="373"/>
      <c r="DN191" s="618"/>
      <c r="DO191" s="374">
        <v>0</v>
      </c>
      <c r="DP191" s="869"/>
      <c r="DQ191" s="373"/>
      <c r="DR191" s="373"/>
      <c r="DS191" s="870"/>
      <c r="DT191" s="373"/>
      <c r="DU191" s="373">
        <v>1</v>
      </c>
      <c r="DV191" s="373"/>
      <c r="DW191" s="618"/>
      <c r="DX191" s="374">
        <v>0</v>
      </c>
      <c r="DY191" s="869">
        <v>1</v>
      </c>
      <c r="DZ191" s="373"/>
      <c r="EA191" s="373">
        <v>2</v>
      </c>
      <c r="EB191" s="870">
        <v>1</v>
      </c>
      <c r="EC191" s="373">
        <v>1</v>
      </c>
      <c r="ED191" s="373">
        <v>4</v>
      </c>
      <c r="EE191" s="373"/>
      <c r="EF191" s="618"/>
      <c r="EG191" s="374">
        <v>1</v>
      </c>
      <c r="EH191" s="869"/>
      <c r="EI191" s="373"/>
      <c r="EJ191" s="373"/>
      <c r="EK191" s="870"/>
      <c r="EL191" s="373"/>
      <c r="EM191" s="373"/>
      <c r="EN191" s="373"/>
      <c r="EO191" s="618"/>
      <c r="EP191" s="374">
        <v>0</v>
      </c>
      <c r="EQ191" s="869"/>
      <c r="ER191" s="373"/>
      <c r="ES191" s="373"/>
      <c r="ET191" s="870"/>
      <c r="EU191" s="373"/>
      <c r="EV191" s="373"/>
      <c r="EW191" s="373">
        <v>2</v>
      </c>
      <c r="EX191" s="618"/>
      <c r="EY191" s="374">
        <v>0</v>
      </c>
      <c r="EZ191" s="869"/>
      <c r="FA191" s="373"/>
      <c r="FB191" s="373"/>
      <c r="FC191" s="870"/>
      <c r="FD191" s="373"/>
      <c r="FE191" s="373"/>
      <c r="FF191" s="373"/>
      <c r="FG191" s="618"/>
      <c r="FH191" s="374">
        <v>0</v>
      </c>
      <c r="FI191" s="869">
        <v>1</v>
      </c>
      <c r="FJ191" s="373">
        <v>4</v>
      </c>
      <c r="FK191" s="373">
        <v>3</v>
      </c>
      <c r="FL191" s="870"/>
      <c r="FM191" s="373"/>
      <c r="FN191" s="373"/>
      <c r="FO191" s="373"/>
      <c r="FP191" s="618">
        <v>1</v>
      </c>
      <c r="FQ191" s="374">
        <v>0</v>
      </c>
      <c r="FR191" s="869"/>
      <c r="FS191" s="373"/>
      <c r="FT191" s="373"/>
      <c r="FU191" s="870">
        <v>1</v>
      </c>
      <c r="FV191" s="373">
        <v>1</v>
      </c>
      <c r="FW191" s="373"/>
      <c r="FX191" s="373"/>
      <c r="FY191" s="618"/>
      <c r="FZ191" s="374">
        <v>0</v>
      </c>
      <c r="GA191" s="869"/>
      <c r="GB191" s="373"/>
      <c r="GC191" s="373"/>
      <c r="GD191" s="870"/>
      <c r="GE191" s="373"/>
      <c r="GF191" s="373"/>
      <c r="GG191" s="373"/>
      <c r="GH191" s="618"/>
      <c r="GI191" s="374">
        <v>0</v>
      </c>
      <c r="GJ191" s="869">
        <v>7</v>
      </c>
      <c r="GK191" s="373">
        <v>12</v>
      </c>
      <c r="GL191" s="373">
        <v>23</v>
      </c>
      <c r="GM191" s="870">
        <v>8</v>
      </c>
      <c r="GN191" s="373">
        <v>7</v>
      </c>
      <c r="GO191" s="373">
        <v>13</v>
      </c>
      <c r="GP191" s="373">
        <v>4</v>
      </c>
      <c r="GQ191" s="618">
        <v>7</v>
      </c>
      <c r="GR191" s="374">
        <v>7</v>
      </c>
      <c r="GS191" s="869">
        <v>2</v>
      </c>
      <c r="GT191" s="373">
        <v>7</v>
      </c>
      <c r="GU191" s="373">
        <v>8</v>
      </c>
      <c r="GV191" s="870"/>
      <c r="GW191" s="373"/>
      <c r="GX191" s="373">
        <v>5</v>
      </c>
      <c r="GY191" s="373"/>
      <c r="GZ191" s="618">
        <v>1</v>
      </c>
      <c r="HA191" s="374">
        <v>4</v>
      </c>
      <c r="HB191" s="869"/>
      <c r="HC191" s="373"/>
      <c r="HD191" s="373"/>
      <c r="HE191" s="870"/>
      <c r="HF191" s="373"/>
      <c r="HG191" s="373"/>
      <c r="HH191" s="373"/>
      <c r="HI191" s="618"/>
      <c r="HJ191" s="374">
        <v>0</v>
      </c>
      <c r="HK191" s="869"/>
      <c r="HL191" s="373"/>
      <c r="HM191" s="373"/>
      <c r="HN191" s="870"/>
      <c r="HO191" s="373"/>
      <c r="HP191" s="373"/>
      <c r="HQ191" s="373"/>
      <c r="HR191" s="618"/>
      <c r="HS191" s="374">
        <v>0</v>
      </c>
      <c r="HT191" s="869">
        <v>4</v>
      </c>
      <c r="HU191" s="373">
        <v>12</v>
      </c>
      <c r="HV191" s="373">
        <v>8</v>
      </c>
      <c r="HW191" s="870">
        <v>1</v>
      </c>
      <c r="HX191" s="373">
        <v>1</v>
      </c>
      <c r="HY191" s="373">
        <v>6</v>
      </c>
      <c r="HZ191" s="373">
        <v>4</v>
      </c>
      <c r="IA191" s="618">
        <v>2</v>
      </c>
      <c r="IB191" s="374">
        <v>5</v>
      </c>
      <c r="IC191" s="869">
        <v>48</v>
      </c>
      <c r="ID191" s="373">
        <v>22</v>
      </c>
      <c r="IE191" s="373">
        <v>26</v>
      </c>
      <c r="IF191" s="870">
        <v>21</v>
      </c>
      <c r="IG191" s="373">
        <v>19</v>
      </c>
      <c r="IH191" s="373">
        <v>19</v>
      </c>
      <c r="II191" s="373">
        <v>14</v>
      </c>
      <c r="IJ191" s="618">
        <v>13</v>
      </c>
      <c r="IK191" s="374">
        <v>13</v>
      </c>
      <c r="IL191" s="377">
        <v>3</v>
      </c>
      <c r="IM191" s="373">
        <v>2</v>
      </c>
      <c r="IN191" s="373">
        <v>8</v>
      </c>
      <c r="IO191" s="871">
        <v>1</v>
      </c>
      <c r="IP191" s="871">
        <v>2</v>
      </c>
      <c r="IQ191" s="373">
        <v>4</v>
      </c>
      <c r="IR191" s="373"/>
      <c r="IS191" s="618"/>
      <c r="IT191" s="374">
        <v>1</v>
      </c>
    </row>
    <row r="192" spans="1:254" s="245" customFormat="1" ht="12.75" customHeight="1" x14ac:dyDescent="0.2">
      <c r="A192" s="1052"/>
      <c r="B192" s="868" t="s">
        <v>1044</v>
      </c>
      <c r="C192" s="869"/>
      <c r="D192" s="373"/>
      <c r="E192" s="373"/>
      <c r="F192" s="870"/>
      <c r="G192" s="373"/>
      <c r="H192" s="373"/>
      <c r="I192" s="373"/>
      <c r="J192" s="618"/>
      <c r="K192" s="374">
        <v>0</v>
      </c>
      <c r="L192" s="869"/>
      <c r="M192" s="373"/>
      <c r="N192" s="373"/>
      <c r="O192" s="870"/>
      <c r="P192" s="373"/>
      <c r="Q192" s="373"/>
      <c r="R192" s="373"/>
      <c r="S192" s="618"/>
      <c r="T192" s="374">
        <v>0</v>
      </c>
      <c r="U192" s="869"/>
      <c r="V192" s="373"/>
      <c r="W192" s="373"/>
      <c r="X192" s="870"/>
      <c r="Y192" s="373"/>
      <c r="Z192" s="373"/>
      <c r="AA192" s="373"/>
      <c r="AB192" s="618"/>
      <c r="AC192" s="374">
        <v>0</v>
      </c>
      <c r="AD192" s="869">
        <v>6</v>
      </c>
      <c r="AE192" s="373">
        <v>2</v>
      </c>
      <c r="AF192" s="373">
        <v>2</v>
      </c>
      <c r="AG192" s="870"/>
      <c r="AH192" s="373">
        <v>5</v>
      </c>
      <c r="AI192" s="373">
        <v>1</v>
      </c>
      <c r="AJ192" s="373">
        <v>6</v>
      </c>
      <c r="AK192" s="618">
        <v>3</v>
      </c>
      <c r="AL192" s="374">
        <v>2</v>
      </c>
      <c r="AM192" s="869">
        <v>1</v>
      </c>
      <c r="AN192" s="373">
        <v>1</v>
      </c>
      <c r="AO192" s="373"/>
      <c r="AP192" s="870"/>
      <c r="AQ192" s="373">
        <v>1</v>
      </c>
      <c r="AR192" s="373"/>
      <c r="AS192" s="373"/>
      <c r="AT192" s="618"/>
      <c r="AU192" s="374">
        <v>0</v>
      </c>
      <c r="AV192" s="869"/>
      <c r="AW192" s="373"/>
      <c r="AX192" s="373"/>
      <c r="AY192" s="870"/>
      <c r="AZ192" s="373"/>
      <c r="BA192" s="373"/>
      <c r="BB192" s="373"/>
      <c r="BC192" s="618"/>
      <c r="BD192" s="374">
        <v>0</v>
      </c>
      <c r="BE192" s="869">
        <v>8</v>
      </c>
      <c r="BF192" s="373"/>
      <c r="BG192" s="373"/>
      <c r="BH192" s="870"/>
      <c r="BI192" s="373"/>
      <c r="BJ192" s="373"/>
      <c r="BK192" s="373"/>
      <c r="BL192" s="618">
        <v>4</v>
      </c>
      <c r="BM192" s="374">
        <v>0</v>
      </c>
      <c r="BN192" s="869"/>
      <c r="BO192" s="373"/>
      <c r="BP192" s="373"/>
      <c r="BQ192" s="870"/>
      <c r="BR192" s="373"/>
      <c r="BS192" s="373"/>
      <c r="BT192" s="373"/>
      <c r="BU192" s="618"/>
      <c r="BV192" s="374">
        <v>0</v>
      </c>
      <c r="BW192" s="869">
        <v>4</v>
      </c>
      <c r="BX192" s="373">
        <v>1</v>
      </c>
      <c r="BY192" s="373">
        <v>2</v>
      </c>
      <c r="BZ192" s="870">
        <v>1</v>
      </c>
      <c r="CA192" s="373">
        <v>2</v>
      </c>
      <c r="CB192" s="373"/>
      <c r="CC192" s="373">
        <v>2</v>
      </c>
      <c r="CD192" s="618">
        <v>3</v>
      </c>
      <c r="CE192" s="374">
        <v>3</v>
      </c>
      <c r="CF192" s="869"/>
      <c r="CG192" s="373"/>
      <c r="CH192" s="373"/>
      <c r="CI192" s="870"/>
      <c r="CJ192" s="373"/>
      <c r="CK192" s="373"/>
      <c r="CL192" s="373"/>
      <c r="CM192" s="618"/>
      <c r="CN192" s="374">
        <v>0</v>
      </c>
      <c r="CO192" s="869"/>
      <c r="CP192" s="373"/>
      <c r="CQ192" s="373"/>
      <c r="CR192" s="870"/>
      <c r="CS192" s="373"/>
      <c r="CT192" s="373"/>
      <c r="CU192" s="373"/>
      <c r="CV192" s="618"/>
      <c r="CW192" s="374">
        <v>0</v>
      </c>
      <c r="CX192" s="869">
        <v>8</v>
      </c>
      <c r="CY192" s="373">
        <v>6</v>
      </c>
      <c r="CZ192" s="373">
        <v>3</v>
      </c>
      <c r="DA192" s="870">
        <v>3</v>
      </c>
      <c r="DB192" s="373">
        <v>3</v>
      </c>
      <c r="DC192" s="373">
        <v>1</v>
      </c>
      <c r="DD192" s="373"/>
      <c r="DE192" s="618">
        <v>2</v>
      </c>
      <c r="DF192" s="374">
        <v>0</v>
      </c>
      <c r="DG192" s="869">
        <v>1</v>
      </c>
      <c r="DH192" s="373"/>
      <c r="DI192" s="373"/>
      <c r="DJ192" s="870"/>
      <c r="DK192" s="373"/>
      <c r="DL192" s="373"/>
      <c r="DM192" s="373"/>
      <c r="DN192" s="618"/>
      <c r="DO192" s="374">
        <v>0</v>
      </c>
      <c r="DP192" s="869"/>
      <c r="DQ192" s="373"/>
      <c r="DR192" s="373"/>
      <c r="DS192" s="870">
        <v>1</v>
      </c>
      <c r="DT192" s="373">
        <v>2</v>
      </c>
      <c r="DU192" s="373"/>
      <c r="DV192" s="373"/>
      <c r="DW192" s="618"/>
      <c r="DX192" s="374">
        <v>0</v>
      </c>
      <c r="DY192" s="869">
        <v>1</v>
      </c>
      <c r="DZ192" s="373">
        <v>2</v>
      </c>
      <c r="EA192" s="373"/>
      <c r="EB192" s="870"/>
      <c r="EC192" s="373"/>
      <c r="ED192" s="373">
        <v>1</v>
      </c>
      <c r="EE192" s="373"/>
      <c r="EF192" s="618"/>
      <c r="EG192" s="374">
        <v>0</v>
      </c>
      <c r="EH192" s="869"/>
      <c r="EI192" s="373"/>
      <c r="EJ192" s="373"/>
      <c r="EK192" s="870"/>
      <c r="EL192" s="373"/>
      <c r="EM192" s="373"/>
      <c r="EN192" s="373"/>
      <c r="EO192" s="618"/>
      <c r="EP192" s="374">
        <v>0</v>
      </c>
      <c r="EQ192" s="869"/>
      <c r="ER192" s="373"/>
      <c r="ES192" s="373"/>
      <c r="ET192" s="870"/>
      <c r="EU192" s="373"/>
      <c r="EV192" s="373"/>
      <c r="EW192" s="373"/>
      <c r="EX192" s="618"/>
      <c r="EY192" s="374">
        <v>0</v>
      </c>
      <c r="EZ192" s="869"/>
      <c r="FA192" s="373"/>
      <c r="FB192" s="373"/>
      <c r="FC192" s="870">
        <v>1</v>
      </c>
      <c r="FD192" s="373"/>
      <c r="FE192" s="373"/>
      <c r="FF192" s="373"/>
      <c r="FG192" s="618"/>
      <c r="FH192" s="374">
        <v>0</v>
      </c>
      <c r="FI192" s="869"/>
      <c r="FJ192" s="373"/>
      <c r="FK192" s="373">
        <v>1</v>
      </c>
      <c r="FL192" s="870"/>
      <c r="FM192" s="373">
        <v>1</v>
      </c>
      <c r="FN192" s="373"/>
      <c r="FO192" s="373"/>
      <c r="FP192" s="618"/>
      <c r="FQ192" s="374">
        <v>0</v>
      </c>
      <c r="FR192" s="869"/>
      <c r="FS192" s="373"/>
      <c r="FT192" s="373">
        <v>1</v>
      </c>
      <c r="FU192" s="870"/>
      <c r="FV192" s="373"/>
      <c r="FW192" s="373"/>
      <c r="FX192" s="373"/>
      <c r="FY192" s="618"/>
      <c r="FZ192" s="374">
        <v>0</v>
      </c>
      <c r="GA192" s="869"/>
      <c r="GB192" s="373"/>
      <c r="GC192" s="373"/>
      <c r="GD192" s="870"/>
      <c r="GE192" s="373"/>
      <c r="GF192" s="373"/>
      <c r="GG192" s="373"/>
      <c r="GH192" s="618"/>
      <c r="GI192" s="374">
        <v>0</v>
      </c>
      <c r="GJ192" s="869">
        <v>26</v>
      </c>
      <c r="GK192" s="373">
        <v>9</v>
      </c>
      <c r="GL192" s="373">
        <v>9</v>
      </c>
      <c r="GM192" s="870">
        <v>5</v>
      </c>
      <c r="GN192" s="373">
        <v>11</v>
      </c>
      <c r="GO192" s="373">
        <v>2</v>
      </c>
      <c r="GP192" s="373">
        <v>8</v>
      </c>
      <c r="GQ192" s="618">
        <v>12</v>
      </c>
      <c r="GR192" s="374">
        <v>5</v>
      </c>
      <c r="GS192" s="869">
        <v>6</v>
      </c>
      <c r="GT192" s="373"/>
      <c r="GU192" s="373">
        <v>1</v>
      </c>
      <c r="GV192" s="870">
        <v>2</v>
      </c>
      <c r="GW192" s="373">
        <v>3</v>
      </c>
      <c r="GX192" s="373"/>
      <c r="GY192" s="373"/>
      <c r="GZ192" s="618">
        <v>6</v>
      </c>
      <c r="HA192" s="374">
        <v>1</v>
      </c>
      <c r="HB192" s="869"/>
      <c r="HC192" s="373"/>
      <c r="HD192" s="373"/>
      <c r="HE192" s="870"/>
      <c r="HF192" s="373"/>
      <c r="HG192" s="373"/>
      <c r="HH192" s="373"/>
      <c r="HI192" s="618"/>
      <c r="HJ192" s="374">
        <v>0</v>
      </c>
      <c r="HK192" s="869"/>
      <c r="HL192" s="373"/>
      <c r="HM192" s="373"/>
      <c r="HN192" s="870"/>
      <c r="HO192" s="373"/>
      <c r="HP192" s="373"/>
      <c r="HQ192" s="373"/>
      <c r="HR192" s="618"/>
      <c r="HS192" s="374">
        <v>0</v>
      </c>
      <c r="HT192" s="869">
        <v>6</v>
      </c>
      <c r="HU192" s="373">
        <v>1</v>
      </c>
      <c r="HV192" s="373">
        <v>4</v>
      </c>
      <c r="HW192" s="870">
        <v>3</v>
      </c>
      <c r="HX192" s="373">
        <v>4</v>
      </c>
      <c r="HY192" s="373"/>
      <c r="HZ192" s="373">
        <v>3</v>
      </c>
      <c r="IA192" s="618">
        <v>6</v>
      </c>
      <c r="IB192" s="374">
        <v>1</v>
      </c>
      <c r="IC192" s="869">
        <v>30</v>
      </c>
      <c r="ID192" s="373">
        <v>14</v>
      </c>
      <c r="IE192" s="373">
        <v>14</v>
      </c>
      <c r="IF192" s="870">
        <v>9</v>
      </c>
      <c r="IG192" s="373">
        <v>16</v>
      </c>
      <c r="IH192" s="373">
        <v>4</v>
      </c>
      <c r="II192" s="373">
        <v>11</v>
      </c>
      <c r="IJ192" s="618">
        <v>14</v>
      </c>
      <c r="IK192" s="374">
        <v>9</v>
      </c>
      <c r="IL192" s="377">
        <v>3</v>
      </c>
      <c r="IM192" s="373">
        <v>4</v>
      </c>
      <c r="IN192" s="373"/>
      <c r="IO192" s="871"/>
      <c r="IP192" s="871"/>
      <c r="IQ192" s="373">
        <v>1</v>
      </c>
      <c r="IR192" s="373"/>
      <c r="IS192" s="618"/>
      <c r="IT192" s="374">
        <v>0</v>
      </c>
    </row>
    <row r="193" spans="1:254" s="245" customFormat="1" ht="12.75" customHeight="1" x14ac:dyDescent="0.2">
      <c r="A193" s="1052"/>
      <c r="B193" s="868" t="s">
        <v>1045</v>
      </c>
      <c r="C193" s="869"/>
      <c r="D193" s="373"/>
      <c r="E193" s="373"/>
      <c r="F193" s="870"/>
      <c r="G193" s="373"/>
      <c r="H193" s="373"/>
      <c r="I193" s="373"/>
      <c r="J193" s="618"/>
      <c r="K193" s="374">
        <v>0</v>
      </c>
      <c r="L193" s="869"/>
      <c r="M193" s="373"/>
      <c r="N193" s="373"/>
      <c r="O193" s="870"/>
      <c r="P193" s="373"/>
      <c r="Q193" s="373"/>
      <c r="R193" s="373"/>
      <c r="S193" s="618"/>
      <c r="T193" s="374">
        <v>0</v>
      </c>
      <c r="U193" s="869"/>
      <c r="V193" s="373"/>
      <c r="W193" s="373"/>
      <c r="X193" s="870"/>
      <c r="Y193" s="373"/>
      <c r="Z193" s="373"/>
      <c r="AA193" s="373"/>
      <c r="AB193" s="618"/>
      <c r="AC193" s="374">
        <v>0</v>
      </c>
      <c r="AD193" s="869">
        <v>1</v>
      </c>
      <c r="AE193" s="373"/>
      <c r="AF193" s="373"/>
      <c r="AG193" s="870"/>
      <c r="AH193" s="373"/>
      <c r="AI193" s="373"/>
      <c r="AJ193" s="373">
        <v>1</v>
      </c>
      <c r="AK193" s="618"/>
      <c r="AL193" s="374">
        <v>0</v>
      </c>
      <c r="AM193" s="869">
        <v>1</v>
      </c>
      <c r="AN193" s="373"/>
      <c r="AO193" s="373"/>
      <c r="AP193" s="870"/>
      <c r="AQ193" s="373"/>
      <c r="AR193" s="373"/>
      <c r="AS193" s="373"/>
      <c r="AT193" s="618"/>
      <c r="AU193" s="374">
        <v>0</v>
      </c>
      <c r="AV193" s="869"/>
      <c r="AW193" s="373"/>
      <c r="AX193" s="373"/>
      <c r="AY193" s="870"/>
      <c r="AZ193" s="373"/>
      <c r="BA193" s="373"/>
      <c r="BB193" s="373"/>
      <c r="BC193" s="618"/>
      <c r="BD193" s="374">
        <v>0</v>
      </c>
      <c r="BE193" s="869"/>
      <c r="BF193" s="373"/>
      <c r="BG193" s="373"/>
      <c r="BH193" s="870"/>
      <c r="BI193" s="373"/>
      <c r="BJ193" s="373"/>
      <c r="BK193" s="373"/>
      <c r="BL193" s="618"/>
      <c r="BM193" s="374">
        <v>0</v>
      </c>
      <c r="BN193" s="869"/>
      <c r="BO193" s="373"/>
      <c r="BP193" s="373"/>
      <c r="BQ193" s="870"/>
      <c r="BR193" s="373"/>
      <c r="BS193" s="373"/>
      <c r="BT193" s="373"/>
      <c r="BU193" s="618"/>
      <c r="BV193" s="374">
        <v>0</v>
      </c>
      <c r="BW193" s="869"/>
      <c r="BX193" s="373"/>
      <c r="BY193" s="373"/>
      <c r="BZ193" s="870"/>
      <c r="CA193" s="373"/>
      <c r="CB193" s="373"/>
      <c r="CC193" s="373"/>
      <c r="CD193" s="618"/>
      <c r="CE193" s="374">
        <v>0</v>
      </c>
      <c r="CF193" s="869"/>
      <c r="CG193" s="373"/>
      <c r="CH193" s="373"/>
      <c r="CI193" s="870"/>
      <c r="CJ193" s="373"/>
      <c r="CK193" s="373"/>
      <c r="CL193" s="373"/>
      <c r="CM193" s="618"/>
      <c r="CN193" s="374">
        <v>0</v>
      </c>
      <c r="CO193" s="869"/>
      <c r="CP193" s="373"/>
      <c r="CQ193" s="373"/>
      <c r="CR193" s="870"/>
      <c r="CS193" s="373"/>
      <c r="CT193" s="373"/>
      <c r="CU193" s="373"/>
      <c r="CV193" s="618"/>
      <c r="CW193" s="374">
        <v>0</v>
      </c>
      <c r="CX193" s="869">
        <v>3</v>
      </c>
      <c r="CY193" s="373">
        <v>1</v>
      </c>
      <c r="CZ193" s="373"/>
      <c r="DA193" s="870">
        <v>1</v>
      </c>
      <c r="DB193" s="373">
        <v>1</v>
      </c>
      <c r="DC193" s="373">
        <v>1</v>
      </c>
      <c r="DD193" s="373">
        <v>3</v>
      </c>
      <c r="DE193" s="618"/>
      <c r="DF193" s="374">
        <v>0</v>
      </c>
      <c r="DG193" s="869"/>
      <c r="DH193" s="373"/>
      <c r="DI193" s="373"/>
      <c r="DJ193" s="870"/>
      <c r="DK193" s="373"/>
      <c r="DL193" s="373"/>
      <c r="DM193" s="373"/>
      <c r="DN193" s="618"/>
      <c r="DO193" s="374">
        <v>0</v>
      </c>
      <c r="DP193" s="869"/>
      <c r="DQ193" s="373"/>
      <c r="DR193" s="373"/>
      <c r="DS193" s="870"/>
      <c r="DT193" s="373"/>
      <c r="DU193" s="373"/>
      <c r="DV193" s="373"/>
      <c r="DW193" s="618"/>
      <c r="DX193" s="374">
        <v>0</v>
      </c>
      <c r="DY193" s="869">
        <v>2</v>
      </c>
      <c r="DZ193" s="373"/>
      <c r="EA193" s="373"/>
      <c r="EB193" s="870"/>
      <c r="EC193" s="373"/>
      <c r="ED193" s="373">
        <v>1</v>
      </c>
      <c r="EE193" s="373">
        <v>1</v>
      </c>
      <c r="EF193" s="618"/>
      <c r="EG193" s="374">
        <v>0</v>
      </c>
      <c r="EH193" s="869"/>
      <c r="EI193" s="373"/>
      <c r="EJ193" s="373"/>
      <c r="EK193" s="870"/>
      <c r="EL193" s="373"/>
      <c r="EM193" s="373"/>
      <c r="EN193" s="373"/>
      <c r="EO193" s="618"/>
      <c r="EP193" s="374">
        <v>0</v>
      </c>
      <c r="EQ193" s="869"/>
      <c r="ER193" s="373"/>
      <c r="ES193" s="373"/>
      <c r="ET193" s="870"/>
      <c r="EU193" s="373"/>
      <c r="EV193" s="373"/>
      <c r="EW193" s="373"/>
      <c r="EX193" s="618"/>
      <c r="EY193" s="374">
        <v>0</v>
      </c>
      <c r="EZ193" s="869"/>
      <c r="FA193" s="373"/>
      <c r="FB193" s="373"/>
      <c r="FC193" s="870"/>
      <c r="FD193" s="373"/>
      <c r="FE193" s="373"/>
      <c r="FF193" s="373"/>
      <c r="FG193" s="618"/>
      <c r="FH193" s="374">
        <v>0</v>
      </c>
      <c r="FI193" s="869"/>
      <c r="FJ193" s="373"/>
      <c r="FK193" s="373"/>
      <c r="FL193" s="870"/>
      <c r="FM193" s="373"/>
      <c r="FN193" s="373"/>
      <c r="FO193" s="373"/>
      <c r="FP193" s="618"/>
      <c r="FQ193" s="374">
        <v>0</v>
      </c>
      <c r="FR193" s="869"/>
      <c r="FS193" s="373"/>
      <c r="FT193" s="373"/>
      <c r="FU193" s="870"/>
      <c r="FV193" s="373"/>
      <c r="FW193" s="373"/>
      <c r="FX193" s="373"/>
      <c r="FY193" s="618"/>
      <c r="FZ193" s="374">
        <v>0</v>
      </c>
      <c r="GA193" s="869"/>
      <c r="GB193" s="373"/>
      <c r="GC193" s="373"/>
      <c r="GD193" s="870"/>
      <c r="GE193" s="373"/>
      <c r="GF193" s="373"/>
      <c r="GG193" s="373"/>
      <c r="GH193" s="618"/>
      <c r="GI193" s="374">
        <v>1</v>
      </c>
      <c r="GJ193" s="869">
        <v>4</v>
      </c>
      <c r="GK193" s="373">
        <v>1</v>
      </c>
      <c r="GL193" s="373"/>
      <c r="GM193" s="870">
        <v>1</v>
      </c>
      <c r="GN193" s="373">
        <v>1</v>
      </c>
      <c r="GO193" s="373">
        <v>1</v>
      </c>
      <c r="GP193" s="373">
        <v>4</v>
      </c>
      <c r="GQ193" s="618"/>
      <c r="GR193" s="374">
        <v>1</v>
      </c>
      <c r="GS193" s="869"/>
      <c r="GT193" s="373"/>
      <c r="GU193" s="373"/>
      <c r="GV193" s="870"/>
      <c r="GW193" s="373"/>
      <c r="GX193" s="373"/>
      <c r="GY193" s="373"/>
      <c r="GZ193" s="618"/>
      <c r="HA193" s="374">
        <v>0</v>
      </c>
      <c r="HB193" s="869"/>
      <c r="HC193" s="373"/>
      <c r="HD193" s="373"/>
      <c r="HE193" s="870"/>
      <c r="HF193" s="373"/>
      <c r="HG193" s="373"/>
      <c r="HH193" s="373"/>
      <c r="HI193" s="618"/>
      <c r="HJ193" s="374">
        <v>0</v>
      </c>
      <c r="HK193" s="869"/>
      <c r="HL193" s="373"/>
      <c r="HM193" s="373"/>
      <c r="HN193" s="870"/>
      <c r="HO193" s="373"/>
      <c r="HP193" s="373"/>
      <c r="HQ193" s="373"/>
      <c r="HR193" s="618"/>
      <c r="HS193" s="374">
        <v>0</v>
      </c>
      <c r="HT193" s="869">
        <v>4</v>
      </c>
      <c r="HU193" s="373">
        <v>1</v>
      </c>
      <c r="HV193" s="373"/>
      <c r="HW193" s="870"/>
      <c r="HX193" s="373"/>
      <c r="HY193" s="373"/>
      <c r="HZ193" s="373">
        <v>1</v>
      </c>
      <c r="IA193" s="618"/>
      <c r="IB193" s="374">
        <v>0</v>
      </c>
      <c r="IC193" s="869">
        <v>9</v>
      </c>
      <c r="ID193" s="373">
        <v>2</v>
      </c>
      <c r="IE193" s="373"/>
      <c r="IF193" s="870">
        <v>4</v>
      </c>
      <c r="IG193" s="373">
        <v>1</v>
      </c>
      <c r="IH193" s="373">
        <v>1</v>
      </c>
      <c r="II193" s="373">
        <v>5</v>
      </c>
      <c r="IJ193" s="618"/>
      <c r="IK193" s="374">
        <v>1</v>
      </c>
      <c r="IL193" s="377">
        <v>3</v>
      </c>
      <c r="IM193" s="373"/>
      <c r="IN193" s="373"/>
      <c r="IO193" s="871">
        <v>1</v>
      </c>
      <c r="IP193" s="871"/>
      <c r="IQ193" s="373">
        <v>1</v>
      </c>
      <c r="IR193" s="373">
        <v>2</v>
      </c>
      <c r="IS193" s="618"/>
      <c r="IT193" s="374">
        <v>0</v>
      </c>
    </row>
    <row r="194" spans="1:254" s="245" customFormat="1" ht="12.75" customHeight="1" x14ac:dyDescent="0.2">
      <c r="A194" s="1052"/>
      <c r="B194" s="868" t="s">
        <v>1046</v>
      </c>
      <c r="C194" s="869"/>
      <c r="D194" s="373"/>
      <c r="E194" s="373"/>
      <c r="F194" s="870"/>
      <c r="G194" s="373"/>
      <c r="H194" s="373"/>
      <c r="I194" s="373"/>
      <c r="J194" s="618"/>
      <c r="K194" s="374">
        <v>0</v>
      </c>
      <c r="L194" s="869"/>
      <c r="M194" s="373"/>
      <c r="N194" s="373"/>
      <c r="O194" s="870"/>
      <c r="P194" s="373"/>
      <c r="Q194" s="373"/>
      <c r="R194" s="373"/>
      <c r="S194" s="618"/>
      <c r="T194" s="374">
        <v>0</v>
      </c>
      <c r="U194" s="869"/>
      <c r="V194" s="373"/>
      <c r="W194" s="373"/>
      <c r="X194" s="870"/>
      <c r="Y194" s="373"/>
      <c r="Z194" s="373"/>
      <c r="AA194" s="373"/>
      <c r="AB194" s="618"/>
      <c r="AC194" s="374">
        <v>0</v>
      </c>
      <c r="AD194" s="869"/>
      <c r="AE194" s="373"/>
      <c r="AF194" s="373"/>
      <c r="AG194" s="870"/>
      <c r="AH194" s="373"/>
      <c r="AI194" s="373"/>
      <c r="AJ194" s="373"/>
      <c r="AK194" s="618"/>
      <c r="AL194" s="374">
        <v>0</v>
      </c>
      <c r="AM194" s="869"/>
      <c r="AN194" s="373"/>
      <c r="AO194" s="373"/>
      <c r="AP194" s="870"/>
      <c r="AQ194" s="373"/>
      <c r="AR194" s="373"/>
      <c r="AS194" s="373"/>
      <c r="AT194" s="618"/>
      <c r="AU194" s="374">
        <v>0</v>
      </c>
      <c r="AV194" s="869"/>
      <c r="AW194" s="373"/>
      <c r="AX194" s="373"/>
      <c r="AY194" s="870"/>
      <c r="AZ194" s="373"/>
      <c r="BA194" s="373"/>
      <c r="BB194" s="373"/>
      <c r="BC194" s="618"/>
      <c r="BD194" s="374">
        <v>0</v>
      </c>
      <c r="BE194" s="869"/>
      <c r="BF194" s="373"/>
      <c r="BG194" s="373"/>
      <c r="BH194" s="870"/>
      <c r="BI194" s="373"/>
      <c r="BJ194" s="373"/>
      <c r="BK194" s="373"/>
      <c r="BL194" s="618"/>
      <c r="BM194" s="374">
        <v>0</v>
      </c>
      <c r="BN194" s="869"/>
      <c r="BO194" s="373"/>
      <c r="BP194" s="373"/>
      <c r="BQ194" s="870"/>
      <c r="BR194" s="373"/>
      <c r="BS194" s="373"/>
      <c r="BT194" s="373"/>
      <c r="BU194" s="618"/>
      <c r="BV194" s="374">
        <v>0</v>
      </c>
      <c r="BW194" s="869">
        <v>1</v>
      </c>
      <c r="BX194" s="373"/>
      <c r="BY194" s="373"/>
      <c r="BZ194" s="870">
        <v>2</v>
      </c>
      <c r="CA194" s="373"/>
      <c r="CB194" s="373"/>
      <c r="CC194" s="373"/>
      <c r="CD194" s="618"/>
      <c r="CE194" s="374">
        <v>0</v>
      </c>
      <c r="CF194" s="869"/>
      <c r="CG194" s="373"/>
      <c r="CH194" s="373"/>
      <c r="CI194" s="870"/>
      <c r="CJ194" s="373"/>
      <c r="CK194" s="373"/>
      <c r="CL194" s="373"/>
      <c r="CM194" s="618"/>
      <c r="CN194" s="374">
        <v>0</v>
      </c>
      <c r="CO194" s="869"/>
      <c r="CP194" s="373"/>
      <c r="CQ194" s="373"/>
      <c r="CR194" s="870"/>
      <c r="CS194" s="373"/>
      <c r="CT194" s="373"/>
      <c r="CU194" s="373"/>
      <c r="CV194" s="618"/>
      <c r="CW194" s="374">
        <v>0</v>
      </c>
      <c r="CX194" s="869">
        <v>2</v>
      </c>
      <c r="CY194" s="373">
        <v>2</v>
      </c>
      <c r="CZ194" s="373">
        <v>3</v>
      </c>
      <c r="DA194" s="870">
        <v>5</v>
      </c>
      <c r="DB194" s="373"/>
      <c r="DC194" s="373">
        <v>3</v>
      </c>
      <c r="DD194" s="373">
        <v>1</v>
      </c>
      <c r="DE194" s="618"/>
      <c r="DF194" s="374">
        <v>0</v>
      </c>
      <c r="DG194" s="869"/>
      <c r="DH194" s="373"/>
      <c r="DI194" s="373"/>
      <c r="DJ194" s="870"/>
      <c r="DK194" s="373"/>
      <c r="DL194" s="373"/>
      <c r="DM194" s="373"/>
      <c r="DN194" s="618"/>
      <c r="DO194" s="374">
        <v>0</v>
      </c>
      <c r="DP194" s="869"/>
      <c r="DQ194" s="373">
        <v>1</v>
      </c>
      <c r="DR194" s="373"/>
      <c r="DS194" s="870"/>
      <c r="DT194" s="373"/>
      <c r="DU194" s="373"/>
      <c r="DV194" s="373"/>
      <c r="DW194" s="618"/>
      <c r="DX194" s="374">
        <v>0</v>
      </c>
      <c r="DY194" s="869"/>
      <c r="DZ194" s="373"/>
      <c r="EA194" s="373"/>
      <c r="EB194" s="870"/>
      <c r="EC194" s="373"/>
      <c r="ED194" s="373"/>
      <c r="EE194" s="373"/>
      <c r="EF194" s="618"/>
      <c r="EG194" s="374">
        <v>0</v>
      </c>
      <c r="EH194" s="869"/>
      <c r="EI194" s="373"/>
      <c r="EJ194" s="373"/>
      <c r="EK194" s="870"/>
      <c r="EL194" s="373"/>
      <c r="EM194" s="373"/>
      <c r="EN194" s="373"/>
      <c r="EO194" s="618"/>
      <c r="EP194" s="374">
        <v>0</v>
      </c>
      <c r="EQ194" s="869"/>
      <c r="ER194" s="373"/>
      <c r="ES194" s="373"/>
      <c r="ET194" s="870"/>
      <c r="EU194" s="373"/>
      <c r="EV194" s="373"/>
      <c r="EW194" s="373"/>
      <c r="EX194" s="618"/>
      <c r="EY194" s="374">
        <v>0</v>
      </c>
      <c r="EZ194" s="869"/>
      <c r="FA194" s="373"/>
      <c r="FB194" s="373"/>
      <c r="FC194" s="870"/>
      <c r="FD194" s="373"/>
      <c r="FE194" s="373"/>
      <c r="FF194" s="373"/>
      <c r="FG194" s="618"/>
      <c r="FH194" s="374">
        <v>0</v>
      </c>
      <c r="FI194" s="869"/>
      <c r="FJ194" s="373"/>
      <c r="FK194" s="373"/>
      <c r="FL194" s="870">
        <v>1</v>
      </c>
      <c r="FM194" s="373"/>
      <c r="FN194" s="373"/>
      <c r="FO194" s="373"/>
      <c r="FP194" s="618"/>
      <c r="FQ194" s="374">
        <v>0</v>
      </c>
      <c r="FR194" s="869"/>
      <c r="FS194" s="373"/>
      <c r="FT194" s="373"/>
      <c r="FU194" s="870"/>
      <c r="FV194" s="373"/>
      <c r="FW194" s="373"/>
      <c r="FX194" s="373"/>
      <c r="FY194" s="618"/>
      <c r="FZ194" s="374">
        <v>0</v>
      </c>
      <c r="GA194" s="869"/>
      <c r="GB194" s="373"/>
      <c r="GC194" s="373"/>
      <c r="GD194" s="870"/>
      <c r="GE194" s="373"/>
      <c r="GF194" s="373"/>
      <c r="GG194" s="373"/>
      <c r="GH194" s="618"/>
      <c r="GI194" s="374">
        <v>0</v>
      </c>
      <c r="GJ194" s="869">
        <v>3</v>
      </c>
      <c r="GK194" s="373">
        <v>2</v>
      </c>
      <c r="GL194" s="373">
        <v>3</v>
      </c>
      <c r="GM194" s="870">
        <v>8</v>
      </c>
      <c r="GN194" s="373"/>
      <c r="GO194" s="373">
        <v>3</v>
      </c>
      <c r="GP194" s="373">
        <v>1</v>
      </c>
      <c r="GQ194" s="618"/>
      <c r="GR194" s="374">
        <v>0</v>
      </c>
      <c r="GS194" s="869"/>
      <c r="GT194" s="373">
        <v>1</v>
      </c>
      <c r="GU194" s="373">
        <v>1</v>
      </c>
      <c r="GV194" s="870"/>
      <c r="GW194" s="373"/>
      <c r="GX194" s="373"/>
      <c r="GY194" s="373"/>
      <c r="GZ194" s="618"/>
      <c r="HA194" s="374">
        <v>0</v>
      </c>
      <c r="HB194" s="869"/>
      <c r="HC194" s="373"/>
      <c r="HD194" s="373"/>
      <c r="HE194" s="870"/>
      <c r="HF194" s="373"/>
      <c r="HG194" s="373"/>
      <c r="HH194" s="373"/>
      <c r="HI194" s="618"/>
      <c r="HJ194" s="374">
        <v>0</v>
      </c>
      <c r="HK194" s="869"/>
      <c r="HL194" s="373"/>
      <c r="HM194" s="373"/>
      <c r="HN194" s="870"/>
      <c r="HO194" s="373"/>
      <c r="HP194" s="373"/>
      <c r="HQ194" s="373"/>
      <c r="HR194" s="618"/>
      <c r="HS194" s="374">
        <v>0</v>
      </c>
      <c r="HT194" s="869">
        <v>1</v>
      </c>
      <c r="HU194" s="373">
        <v>2</v>
      </c>
      <c r="HV194" s="373">
        <v>3</v>
      </c>
      <c r="HW194" s="870">
        <v>1</v>
      </c>
      <c r="HX194" s="373">
        <v>1</v>
      </c>
      <c r="HY194" s="373">
        <v>2</v>
      </c>
      <c r="HZ194" s="373">
        <v>3</v>
      </c>
      <c r="IA194" s="618">
        <v>1</v>
      </c>
      <c r="IB194" s="374">
        <v>0</v>
      </c>
      <c r="IC194" s="869">
        <v>6</v>
      </c>
      <c r="ID194" s="373">
        <v>3</v>
      </c>
      <c r="IE194" s="373">
        <v>6</v>
      </c>
      <c r="IF194" s="870">
        <v>11</v>
      </c>
      <c r="IG194" s="373">
        <v>1</v>
      </c>
      <c r="IH194" s="373">
        <v>6</v>
      </c>
      <c r="II194" s="373">
        <v>7</v>
      </c>
      <c r="IJ194" s="618">
        <v>3</v>
      </c>
      <c r="IK194" s="374">
        <v>0</v>
      </c>
      <c r="IL194" s="377">
        <v>2</v>
      </c>
      <c r="IM194" s="373">
        <v>1</v>
      </c>
      <c r="IN194" s="373">
        <v>2</v>
      </c>
      <c r="IO194" s="871">
        <v>4</v>
      </c>
      <c r="IP194" s="871"/>
      <c r="IQ194" s="373"/>
      <c r="IR194" s="373">
        <v>1</v>
      </c>
      <c r="IS194" s="618"/>
      <c r="IT194" s="374">
        <v>0</v>
      </c>
    </row>
    <row r="195" spans="1:254" s="245" customFormat="1" ht="12.75" customHeight="1" x14ac:dyDescent="0.2">
      <c r="A195" s="1052"/>
      <c r="B195" s="868" t="s">
        <v>1047</v>
      </c>
      <c r="C195" s="869"/>
      <c r="D195" s="373"/>
      <c r="E195" s="373"/>
      <c r="F195" s="870"/>
      <c r="G195" s="373"/>
      <c r="H195" s="373"/>
      <c r="I195" s="373"/>
      <c r="J195" s="618"/>
      <c r="K195" s="374">
        <v>0</v>
      </c>
      <c r="L195" s="869"/>
      <c r="M195" s="373"/>
      <c r="N195" s="373"/>
      <c r="O195" s="870"/>
      <c r="P195" s="373"/>
      <c r="Q195" s="373"/>
      <c r="R195" s="373"/>
      <c r="S195" s="618"/>
      <c r="T195" s="374">
        <v>0</v>
      </c>
      <c r="U195" s="869"/>
      <c r="V195" s="373"/>
      <c r="W195" s="373"/>
      <c r="X195" s="870"/>
      <c r="Y195" s="373"/>
      <c r="Z195" s="373"/>
      <c r="AA195" s="373"/>
      <c r="AB195" s="618"/>
      <c r="AC195" s="374">
        <v>0</v>
      </c>
      <c r="AD195" s="869"/>
      <c r="AE195" s="373"/>
      <c r="AF195" s="373"/>
      <c r="AG195" s="870"/>
      <c r="AH195" s="373"/>
      <c r="AI195" s="373"/>
      <c r="AJ195" s="373"/>
      <c r="AK195" s="618">
        <v>1</v>
      </c>
      <c r="AL195" s="374">
        <v>0</v>
      </c>
      <c r="AM195" s="869"/>
      <c r="AN195" s="373"/>
      <c r="AO195" s="373"/>
      <c r="AP195" s="870"/>
      <c r="AQ195" s="373"/>
      <c r="AR195" s="373"/>
      <c r="AS195" s="373"/>
      <c r="AT195" s="618"/>
      <c r="AU195" s="374">
        <v>0</v>
      </c>
      <c r="AV195" s="869"/>
      <c r="AW195" s="373"/>
      <c r="AX195" s="373"/>
      <c r="AY195" s="870"/>
      <c r="AZ195" s="373"/>
      <c r="BA195" s="373"/>
      <c r="BB195" s="373"/>
      <c r="BC195" s="618"/>
      <c r="BD195" s="374">
        <v>0</v>
      </c>
      <c r="BE195" s="869"/>
      <c r="BF195" s="373"/>
      <c r="BG195" s="373"/>
      <c r="BH195" s="870"/>
      <c r="BI195" s="373"/>
      <c r="BJ195" s="373"/>
      <c r="BK195" s="373"/>
      <c r="BL195" s="618"/>
      <c r="BM195" s="374">
        <v>0</v>
      </c>
      <c r="BN195" s="869"/>
      <c r="BO195" s="373"/>
      <c r="BP195" s="373"/>
      <c r="BQ195" s="870"/>
      <c r="BR195" s="373"/>
      <c r="BS195" s="373"/>
      <c r="BT195" s="373"/>
      <c r="BU195" s="618"/>
      <c r="BV195" s="374">
        <v>0</v>
      </c>
      <c r="BW195" s="869"/>
      <c r="BX195" s="373"/>
      <c r="BY195" s="373">
        <v>1</v>
      </c>
      <c r="BZ195" s="870"/>
      <c r="CA195" s="373"/>
      <c r="CB195" s="373"/>
      <c r="CC195" s="373"/>
      <c r="CD195" s="618">
        <v>2</v>
      </c>
      <c r="CE195" s="374">
        <v>0</v>
      </c>
      <c r="CF195" s="869"/>
      <c r="CG195" s="373"/>
      <c r="CH195" s="373"/>
      <c r="CI195" s="870"/>
      <c r="CJ195" s="373"/>
      <c r="CK195" s="373"/>
      <c r="CL195" s="373"/>
      <c r="CM195" s="618"/>
      <c r="CN195" s="374">
        <v>0</v>
      </c>
      <c r="CO195" s="869"/>
      <c r="CP195" s="373"/>
      <c r="CQ195" s="373"/>
      <c r="CR195" s="870"/>
      <c r="CS195" s="373"/>
      <c r="CT195" s="373"/>
      <c r="CU195" s="373"/>
      <c r="CV195" s="618"/>
      <c r="CW195" s="374">
        <v>0</v>
      </c>
      <c r="CX195" s="869">
        <v>3</v>
      </c>
      <c r="CY195" s="373">
        <v>5</v>
      </c>
      <c r="CZ195" s="373"/>
      <c r="DA195" s="870">
        <v>4</v>
      </c>
      <c r="DB195" s="373"/>
      <c r="DC195" s="373"/>
      <c r="DD195" s="373"/>
      <c r="DE195" s="618"/>
      <c r="DF195" s="374">
        <v>0</v>
      </c>
      <c r="DG195" s="869"/>
      <c r="DH195" s="373"/>
      <c r="DI195" s="373"/>
      <c r="DJ195" s="870"/>
      <c r="DK195" s="373"/>
      <c r="DL195" s="373"/>
      <c r="DM195" s="373"/>
      <c r="DN195" s="618"/>
      <c r="DO195" s="374">
        <v>0</v>
      </c>
      <c r="DP195" s="869"/>
      <c r="DQ195" s="373"/>
      <c r="DR195" s="373"/>
      <c r="DS195" s="870"/>
      <c r="DT195" s="373"/>
      <c r="DU195" s="373"/>
      <c r="DV195" s="373"/>
      <c r="DW195" s="618"/>
      <c r="DX195" s="374">
        <v>0</v>
      </c>
      <c r="DY195" s="869">
        <v>1</v>
      </c>
      <c r="DZ195" s="373"/>
      <c r="EA195" s="373"/>
      <c r="EB195" s="870"/>
      <c r="EC195" s="373"/>
      <c r="ED195" s="373"/>
      <c r="EE195" s="373"/>
      <c r="EF195" s="618"/>
      <c r="EG195" s="374">
        <v>0</v>
      </c>
      <c r="EH195" s="869"/>
      <c r="EI195" s="373"/>
      <c r="EJ195" s="373"/>
      <c r="EK195" s="870"/>
      <c r="EL195" s="373"/>
      <c r="EM195" s="373"/>
      <c r="EN195" s="373"/>
      <c r="EO195" s="618"/>
      <c r="EP195" s="374">
        <v>0</v>
      </c>
      <c r="EQ195" s="869"/>
      <c r="ER195" s="373"/>
      <c r="ES195" s="373"/>
      <c r="ET195" s="870"/>
      <c r="EU195" s="373"/>
      <c r="EV195" s="373"/>
      <c r="EW195" s="373"/>
      <c r="EX195" s="618"/>
      <c r="EY195" s="374">
        <v>0</v>
      </c>
      <c r="EZ195" s="869"/>
      <c r="FA195" s="373"/>
      <c r="FB195" s="373"/>
      <c r="FC195" s="870"/>
      <c r="FD195" s="373"/>
      <c r="FE195" s="373"/>
      <c r="FF195" s="373"/>
      <c r="FG195" s="618"/>
      <c r="FH195" s="374">
        <v>0</v>
      </c>
      <c r="FI195" s="869"/>
      <c r="FJ195" s="373"/>
      <c r="FK195" s="373">
        <v>1</v>
      </c>
      <c r="FL195" s="870"/>
      <c r="FM195" s="373"/>
      <c r="FN195" s="373"/>
      <c r="FO195" s="373"/>
      <c r="FP195" s="618">
        <v>1</v>
      </c>
      <c r="FQ195" s="374">
        <v>0</v>
      </c>
      <c r="FR195" s="869"/>
      <c r="FS195" s="373"/>
      <c r="FT195" s="373"/>
      <c r="FU195" s="870"/>
      <c r="FV195" s="373"/>
      <c r="FW195" s="373"/>
      <c r="FX195" s="373"/>
      <c r="FY195" s="618"/>
      <c r="FZ195" s="374">
        <v>0</v>
      </c>
      <c r="GA195" s="869"/>
      <c r="GB195" s="373"/>
      <c r="GC195" s="373"/>
      <c r="GD195" s="870"/>
      <c r="GE195" s="373"/>
      <c r="GF195" s="373"/>
      <c r="GG195" s="373"/>
      <c r="GH195" s="618"/>
      <c r="GI195" s="374">
        <v>0</v>
      </c>
      <c r="GJ195" s="869">
        <v>3</v>
      </c>
      <c r="GK195" s="373">
        <v>5</v>
      </c>
      <c r="GL195" s="373">
        <v>2</v>
      </c>
      <c r="GM195" s="870">
        <v>4</v>
      </c>
      <c r="GN195" s="373"/>
      <c r="GO195" s="373"/>
      <c r="GP195" s="373"/>
      <c r="GQ195" s="618">
        <v>4</v>
      </c>
      <c r="GR195" s="374">
        <v>0</v>
      </c>
      <c r="GS195" s="869">
        <v>1</v>
      </c>
      <c r="GT195" s="373">
        <v>2</v>
      </c>
      <c r="GU195" s="373">
        <v>2</v>
      </c>
      <c r="GV195" s="870">
        <v>1</v>
      </c>
      <c r="GW195" s="373"/>
      <c r="GX195" s="373"/>
      <c r="GY195" s="373"/>
      <c r="GZ195" s="618">
        <v>4</v>
      </c>
      <c r="HA195" s="374">
        <v>0</v>
      </c>
      <c r="HB195" s="869"/>
      <c r="HC195" s="373">
        <v>1</v>
      </c>
      <c r="HD195" s="373"/>
      <c r="HE195" s="870"/>
      <c r="HF195" s="373"/>
      <c r="HG195" s="373"/>
      <c r="HH195" s="373"/>
      <c r="HI195" s="618"/>
      <c r="HJ195" s="374">
        <v>0</v>
      </c>
      <c r="HK195" s="869"/>
      <c r="HL195" s="373"/>
      <c r="HM195" s="373"/>
      <c r="HN195" s="870"/>
      <c r="HO195" s="373"/>
      <c r="HP195" s="373">
        <v>1</v>
      </c>
      <c r="HQ195" s="373"/>
      <c r="HR195" s="618"/>
      <c r="HS195" s="374">
        <v>0</v>
      </c>
      <c r="HT195" s="869">
        <v>2</v>
      </c>
      <c r="HU195" s="373">
        <v>3</v>
      </c>
      <c r="HV195" s="373">
        <v>2</v>
      </c>
      <c r="HW195" s="870">
        <v>1</v>
      </c>
      <c r="HX195" s="373">
        <v>3</v>
      </c>
      <c r="HY195" s="373">
        <v>4</v>
      </c>
      <c r="HZ195" s="373"/>
      <c r="IA195" s="618">
        <v>8</v>
      </c>
      <c r="IB195" s="374">
        <v>0</v>
      </c>
      <c r="IC195" s="869">
        <v>4</v>
      </c>
      <c r="ID195" s="373">
        <v>10</v>
      </c>
      <c r="IE195" s="373">
        <v>2</v>
      </c>
      <c r="IF195" s="870">
        <v>5</v>
      </c>
      <c r="IG195" s="373">
        <v>6</v>
      </c>
      <c r="IH195" s="373">
        <v>7</v>
      </c>
      <c r="II195" s="373">
        <v>1</v>
      </c>
      <c r="IJ195" s="618">
        <v>11</v>
      </c>
      <c r="IK195" s="374">
        <v>0</v>
      </c>
      <c r="IL195" s="377">
        <v>1</v>
      </c>
      <c r="IM195" s="373">
        <v>1</v>
      </c>
      <c r="IN195" s="373"/>
      <c r="IO195" s="871">
        <v>2</v>
      </c>
      <c r="IP195" s="871"/>
      <c r="IQ195" s="373"/>
      <c r="IR195" s="373"/>
      <c r="IS195" s="618"/>
      <c r="IT195" s="374">
        <v>0</v>
      </c>
    </row>
    <row r="196" spans="1:254" s="245" customFormat="1" ht="12.75" customHeight="1" x14ac:dyDescent="0.2">
      <c r="A196" s="1052"/>
      <c r="B196" s="868" t="s">
        <v>1048</v>
      </c>
      <c r="C196" s="869"/>
      <c r="D196" s="373"/>
      <c r="E196" s="373"/>
      <c r="F196" s="870"/>
      <c r="G196" s="373"/>
      <c r="H196" s="373"/>
      <c r="I196" s="373"/>
      <c r="J196" s="618"/>
      <c r="K196" s="374">
        <v>0</v>
      </c>
      <c r="L196" s="869"/>
      <c r="M196" s="373"/>
      <c r="N196" s="373"/>
      <c r="O196" s="870"/>
      <c r="P196" s="373"/>
      <c r="Q196" s="373"/>
      <c r="R196" s="373"/>
      <c r="S196" s="618"/>
      <c r="T196" s="374">
        <v>0</v>
      </c>
      <c r="U196" s="869"/>
      <c r="V196" s="373"/>
      <c r="W196" s="373"/>
      <c r="X196" s="870"/>
      <c r="Y196" s="373"/>
      <c r="Z196" s="373"/>
      <c r="AA196" s="373"/>
      <c r="AB196" s="618"/>
      <c r="AC196" s="374">
        <v>0</v>
      </c>
      <c r="AD196" s="869">
        <v>1</v>
      </c>
      <c r="AE196" s="373">
        <v>4</v>
      </c>
      <c r="AF196" s="373">
        <v>1</v>
      </c>
      <c r="AG196" s="870">
        <v>1</v>
      </c>
      <c r="AH196" s="373">
        <v>3</v>
      </c>
      <c r="AI196" s="373">
        <v>4</v>
      </c>
      <c r="AJ196" s="373">
        <v>1</v>
      </c>
      <c r="AK196" s="618"/>
      <c r="AL196" s="374">
        <v>1</v>
      </c>
      <c r="AM196" s="869">
        <v>1</v>
      </c>
      <c r="AN196" s="373"/>
      <c r="AO196" s="373"/>
      <c r="AP196" s="870">
        <v>1</v>
      </c>
      <c r="AQ196" s="373">
        <v>3</v>
      </c>
      <c r="AR196" s="373">
        <v>2</v>
      </c>
      <c r="AS196" s="373"/>
      <c r="AT196" s="618"/>
      <c r="AU196" s="374">
        <v>0</v>
      </c>
      <c r="AV196" s="869"/>
      <c r="AW196" s="373"/>
      <c r="AX196" s="373"/>
      <c r="AY196" s="870"/>
      <c r="AZ196" s="373"/>
      <c r="BA196" s="373"/>
      <c r="BB196" s="373"/>
      <c r="BC196" s="618"/>
      <c r="BD196" s="374">
        <v>0</v>
      </c>
      <c r="BE196" s="869"/>
      <c r="BF196" s="373"/>
      <c r="BG196" s="373"/>
      <c r="BH196" s="870"/>
      <c r="BI196" s="373">
        <v>2</v>
      </c>
      <c r="BJ196" s="373"/>
      <c r="BK196" s="373"/>
      <c r="BL196" s="618"/>
      <c r="BM196" s="374">
        <v>0</v>
      </c>
      <c r="BN196" s="869"/>
      <c r="BO196" s="373"/>
      <c r="BP196" s="373"/>
      <c r="BQ196" s="870"/>
      <c r="BR196" s="373">
        <v>2</v>
      </c>
      <c r="BS196" s="373"/>
      <c r="BT196" s="373"/>
      <c r="BU196" s="618"/>
      <c r="BV196" s="374">
        <v>0</v>
      </c>
      <c r="BW196" s="869"/>
      <c r="BX196" s="373">
        <v>6</v>
      </c>
      <c r="BY196" s="373">
        <v>2</v>
      </c>
      <c r="BZ196" s="870">
        <v>3</v>
      </c>
      <c r="CA196" s="373">
        <v>1</v>
      </c>
      <c r="CB196" s="373">
        <v>5</v>
      </c>
      <c r="CC196" s="373">
        <v>1</v>
      </c>
      <c r="CD196" s="618"/>
      <c r="CE196" s="374">
        <v>0</v>
      </c>
      <c r="CF196" s="869">
        <v>1</v>
      </c>
      <c r="CG196" s="373">
        <v>1</v>
      </c>
      <c r="CH196" s="373"/>
      <c r="CI196" s="870"/>
      <c r="CJ196" s="373"/>
      <c r="CK196" s="373"/>
      <c r="CL196" s="373"/>
      <c r="CM196" s="618"/>
      <c r="CN196" s="374">
        <v>0</v>
      </c>
      <c r="CO196" s="869"/>
      <c r="CP196" s="373">
        <v>2</v>
      </c>
      <c r="CQ196" s="373"/>
      <c r="CR196" s="870"/>
      <c r="CS196" s="373"/>
      <c r="CT196" s="373"/>
      <c r="CU196" s="373"/>
      <c r="CV196" s="618"/>
      <c r="CW196" s="374">
        <v>0</v>
      </c>
      <c r="CX196" s="869">
        <v>36</v>
      </c>
      <c r="CY196" s="373">
        <v>30</v>
      </c>
      <c r="CZ196" s="373">
        <v>20</v>
      </c>
      <c r="DA196" s="870">
        <v>10</v>
      </c>
      <c r="DB196" s="373">
        <v>9</v>
      </c>
      <c r="DC196" s="373">
        <v>9</v>
      </c>
      <c r="DD196" s="373">
        <v>6</v>
      </c>
      <c r="DE196" s="618">
        <v>5</v>
      </c>
      <c r="DF196" s="374">
        <v>1</v>
      </c>
      <c r="DG196" s="869"/>
      <c r="DH196" s="373"/>
      <c r="DI196" s="373"/>
      <c r="DJ196" s="870"/>
      <c r="DK196" s="373"/>
      <c r="DL196" s="373"/>
      <c r="DM196" s="373"/>
      <c r="DN196" s="618"/>
      <c r="DO196" s="374">
        <v>0</v>
      </c>
      <c r="DP196" s="869"/>
      <c r="DQ196" s="373"/>
      <c r="DR196" s="373"/>
      <c r="DS196" s="870"/>
      <c r="DT196" s="373"/>
      <c r="DU196" s="373">
        <v>1</v>
      </c>
      <c r="DV196" s="373"/>
      <c r="DW196" s="618"/>
      <c r="DX196" s="374">
        <v>0</v>
      </c>
      <c r="DY196" s="869">
        <v>4</v>
      </c>
      <c r="DZ196" s="373">
        <v>6</v>
      </c>
      <c r="EA196" s="373">
        <v>1</v>
      </c>
      <c r="EB196" s="870">
        <v>1</v>
      </c>
      <c r="EC196" s="373">
        <v>1</v>
      </c>
      <c r="ED196" s="373">
        <v>1</v>
      </c>
      <c r="EE196" s="373">
        <v>4</v>
      </c>
      <c r="EF196" s="618">
        <v>1</v>
      </c>
      <c r="EG196" s="374">
        <v>0</v>
      </c>
      <c r="EH196" s="869"/>
      <c r="EI196" s="373"/>
      <c r="EJ196" s="373"/>
      <c r="EK196" s="870"/>
      <c r="EL196" s="373"/>
      <c r="EM196" s="373"/>
      <c r="EN196" s="373"/>
      <c r="EO196" s="618"/>
      <c r="EP196" s="374">
        <v>0</v>
      </c>
      <c r="EQ196" s="869"/>
      <c r="ER196" s="373"/>
      <c r="ES196" s="373"/>
      <c r="ET196" s="870"/>
      <c r="EU196" s="373"/>
      <c r="EV196" s="373"/>
      <c r="EW196" s="373"/>
      <c r="EX196" s="618"/>
      <c r="EY196" s="374">
        <v>0</v>
      </c>
      <c r="EZ196" s="869"/>
      <c r="FA196" s="373"/>
      <c r="FB196" s="373"/>
      <c r="FC196" s="870"/>
      <c r="FD196" s="373"/>
      <c r="FE196" s="373"/>
      <c r="FF196" s="373"/>
      <c r="FG196" s="618"/>
      <c r="FH196" s="374">
        <v>0</v>
      </c>
      <c r="FI196" s="869">
        <v>2</v>
      </c>
      <c r="FJ196" s="373"/>
      <c r="FK196" s="373">
        <v>1</v>
      </c>
      <c r="FL196" s="870">
        <v>2</v>
      </c>
      <c r="FM196" s="373">
        <v>12</v>
      </c>
      <c r="FN196" s="373">
        <v>1</v>
      </c>
      <c r="FO196" s="373">
        <v>4</v>
      </c>
      <c r="FP196" s="618"/>
      <c r="FQ196" s="374">
        <v>0</v>
      </c>
      <c r="FR196" s="869"/>
      <c r="FS196" s="373"/>
      <c r="FT196" s="373">
        <v>1</v>
      </c>
      <c r="FU196" s="870"/>
      <c r="FV196" s="373"/>
      <c r="FW196" s="373"/>
      <c r="FX196" s="373"/>
      <c r="FY196" s="618"/>
      <c r="FZ196" s="374">
        <v>0</v>
      </c>
      <c r="GA196" s="869">
        <v>1</v>
      </c>
      <c r="GB196" s="373"/>
      <c r="GC196" s="373"/>
      <c r="GD196" s="870"/>
      <c r="GE196" s="373"/>
      <c r="GF196" s="373"/>
      <c r="GG196" s="373"/>
      <c r="GH196" s="618">
        <v>1</v>
      </c>
      <c r="GI196" s="374">
        <v>0</v>
      </c>
      <c r="GJ196" s="869">
        <v>41</v>
      </c>
      <c r="GK196" s="373">
        <v>43</v>
      </c>
      <c r="GL196" s="373">
        <v>25</v>
      </c>
      <c r="GM196" s="870">
        <v>16</v>
      </c>
      <c r="GN196" s="373">
        <v>29</v>
      </c>
      <c r="GO196" s="373">
        <v>19</v>
      </c>
      <c r="GP196" s="373">
        <v>12</v>
      </c>
      <c r="GQ196" s="618">
        <v>6</v>
      </c>
      <c r="GR196" s="374">
        <v>2</v>
      </c>
      <c r="GS196" s="869">
        <v>17</v>
      </c>
      <c r="GT196" s="373">
        <v>21</v>
      </c>
      <c r="GU196" s="373">
        <v>5</v>
      </c>
      <c r="GV196" s="870">
        <v>5</v>
      </c>
      <c r="GW196" s="373">
        <v>13</v>
      </c>
      <c r="GX196" s="373">
        <v>10</v>
      </c>
      <c r="GY196" s="373">
        <v>3</v>
      </c>
      <c r="GZ196" s="618">
        <v>2</v>
      </c>
      <c r="HA196" s="374">
        <v>0</v>
      </c>
      <c r="HB196" s="869"/>
      <c r="HC196" s="373">
        <v>1</v>
      </c>
      <c r="HD196" s="373"/>
      <c r="HE196" s="870"/>
      <c r="HF196" s="373"/>
      <c r="HG196" s="373">
        <v>1</v>
      </c>
      <c r="HH196" s="373"/>
      <c r="HI196" s="618"/>
      <c r="HJ196" s="374">
        <v>0</v>
      </c>
      <c r="HK196" s="869"/>
      <c r="HL196" s="373"/>
      <c r="HM196" s="373"/>
      <c r="HN196" s="870"/>
      <c r="HO196" s="373"/>
      <c r="HP196" s="373"/>
      <c r="HQ196" s="373"/>
      <c r="HR196" s="618"/>
      <c r="HS196" s="374">
        <v>0</v>
      </c>
      <c r="HT196" s="869">
        <v>17</v>
      </c>
      <c r="HU196" s="373">
        <v>28</v>
      </c>
      <c r="HV196" s="373">
        <v>6</v>
      </c>
      <c r="HW196" s="870">
        <v>12</v>
      </c>
      <c r="HX196" s="373">
        <v>22</v>
      </c>
      <c r="HY196" s="373">
        <v>11</v>
      </c>
      <c r="HZ196" s="373">
        <v>3</v>
      </c>
      <c r="IA196" s="618">
        <v>4</v>
      </c>
      <c r="IB196" s="374">
        <v>6</v>
      </c>
      <c r="IC196" s="869">
        <v>52</v>
      </c>
      <c r="ID196" s="373">
        <v>75</v>
      </c>
      <c r="IE196" s="373">
        <v>38</v>
      </c>
      <c r="IF196" s="870">
        <v>29</v>
      </c>
      <c r="IG196" s="373">
        <v>45</v>
      </c>
      <c r="IH196" s="373">
        <v>28</v>
      </c>
      <c r="II196" s="373">
        <v>18</v>
      </c>
      <c r="IJ196" s="618">
        <v>14</v>
      </c>
      <c r="IK196" s="374">
        <v>24</v>
      </c>
      <c r="IL196" s="377">
        <v>8</v>
      </c>
      <c r="IM196" s="373">
        <v>9</v>
      </c>
      <c r="IN196" s="373">
        <v>2</v>
      </c>
      <c r="IO196" s="871">
        <v>1</v>
      </c>
      <c r="IP196" s="871"/>
      <c r="IQ196" s="373">
        <v>2</v>
      </c>
      <c r="IR196" s="373">
        <v>4</v>
      </c>
      <c r="IS196" s="618">
        <v>2</v>
      </c>
      <c r="IT196" s="374">
        <v>0</v>
      </c>
    </row>
    <row r="197" spans="1:254" s="245" customFormat="1" ht="12.75" customHeight="1" x14ac:dyDescent="0.2">
      <c r="A197" s="1052"/>
      <c r="B197" s="868" t="s">
        <v>1049</v>
      </c>
      <c r="C197" s="869"/>
      <c r="D197" s="373"/>
      <c r="E197" s="373"/>
      <c r="F197" s="870"/>
      <c r="G197" s="373"/>
      <c r="H197" s="373"/>
      <c r="I197" s="373"/>
      <c r="J197" s="618"/>
      <c r="K197" s="374">
        <v>0</v>
      </c>
      <c r="L197" s="869"/>
      <c r="M197" s="373"/>
      <c r="N197" s="373"/>
      <c r="O197" s="870"/>
      <c r="P197" s="373"/>
      <c r="Q197" s="373"/>
      <c r="R197" s="373"/>
      <c r="S197" s="618"/>
      <c r="T197" s="374">
        <v>0</v>
      </c>
      <c r="U197" s="869"/>
      <c r="V197" s="373"/>
      <c r="W197" s="373"/>
      <c r="X197" s="870"/>
      <c r="Y197" s="373"/>
      <c r="Z197" s="373"/>
      <c r="AA197" s="373"/>
      <c r="AB197" s="618"/>
      <c r="AC197" s="374">
        <v>0</v>
      </c>
      <c r="AD197" s="869"/>
      <c r="AE197" s="373"/>
      <c r="AF197" s="373"/>
      <c r="AG197" s="870"/>
      <c r="AH197" s="373"/>
      <c r="AI197" s="373"/>
      <c r="AJ197" s="373"/>
      <c r="AK197" s="618"/>
      <c r="AL197" s="374">
        <v>0</v>
      </c>
      <c r="AM197" s="869"/>
      <c r="AN197" s="373"/>
      <c r="AO197" s="373"/>
      <c r="AP197" s="870"/>
      <c r="AQ197" s="373"/>
      <c r="AR197" s="373"/>
      <c r="AS197" s="373"/>
      <c r="AT197" s="618"/>
      <c r="AU197" s="374">
        <v>0</v>
      </c>
      <c r="AV197" s="869"/>
      <c r="AW197" s="373"/>
      <c r="AX197" s="373"/>
      <c r="AY197" s="870"/>
      <c r="AZ197" s="373"/>
      <c r="BA197" s="373"/>
      <c r="BB197" s="373"/>
      <c r="BC197" s="618"/>
      <c r="BD197" s="374">
        <v>0</v>
      </c>
      <c r="BE197" s="869"/>
      <c r="BF197" s="373"/>
      <c r="BG197" s="373"/>
      <c r="BH197" s="870"/>
      <c r="BI197" s="373"/>
      <c r="BJ197" s="373"/>
      <c r="BK197" s="373"/>
      <c r="BL197" s="618"/>
      <c r="BM197" s="374">
        <v>0</v>
      </c>
      <c r="BN197" s="869"/>
      <c r="BO197" s="373"/>
      <c r="BP197" s="373"/>
      <c r="BQ197" s="870"/>
      <c r="BR197" s="373"/>
      <c r="BS197" s="373"/>
      <c r="BT197" s="373"/>
      <c r="BU197" s="618"/>
      <c r="BV197" s="374">
        <v>0</v>
      </c>
      <c r="BW197" s="869"/>
      <c r="BX197" s="373"/>
      <c r="BY197" s="373"/>
      <c r="BZ197" s="870"/>
      <c r="CA197" s="373"/>
      <c r="CB197" s="373"/>
      <c r="CC197" s="373"/>
      <c r="CD197" s="618">
        <v>1</v>
      </c>
      <c r="CE197" s="374">
        <v>0</v>
      </c>
      <c r="CF197" s="869"/>
      <c r="CG197" s="373"/>
      <c r="CH197" s="373"/>
      <c r="CI197" s="870"/>
      <c r="CJ197" s="373"/>
      <c r="CK197" s="373"/>
      <c r="CL197" s="373"/>
      <c r="CM197" s="618"/>
      <c r="CN197" s="374">
        <v>0</v>
      </c>
      <c r="CO197" s="869"/>
      <c r="CP197" s="373"/>
      <c r="CQ197" s="373"/>
      <c r="CR197" s="870"/>
      <c r="CS197" s="373"/>
      <c r="CT197" s="373"/>
      <c r="CU197" s="373"/>
      <c r="CV197" s="618"/>
      <c r="CW197" s="374">
        <v>0</v>
      </c>
      <c r="CX197" s="869">
        <v>3</v>
      </c>
      <c r="CY197" s="373">
        <v>4</v>
      </c>
      <c r="CZ197" s="373">
        <v>1</v>
      </c>
      <c r="DA197" s="870">
        <v>1</v>
      </c>
      <c r="DB197" s="373">
        <v>1</v>
      </c>
      <c r="DC197" s="373"/>
      <c r="DD197" s="373">
        <v>1</v>
      </c>
      <c r="DE197" s="618"/>
      <c r="DF197" s="374">
        <v>0</v>
      </c>
      <c r="DG197" s="869"/>
      <c r="DH197" s="373"/>
      <c r="DI197" s="373"/>
      <c r="DJ197" s="870"/>
      <c r="DK197" s="373"/>
      <c r="DL197" s="373"/>
      <c r="DM197" s="373"/>
      <c r="DN197" s="618"/>
      <c r="DO197" s="374">
        <v>0</v>
      </c>
      <c r="DP197" s="869"/>
      <c r="DQ197" s="373">
        <v>1</v>
      </c>
      <c r="DR197" s="373">
        <v>1</v>
      </c>
      <c r="DS197" s="870"/>
      <c r="DT197" s="373"/>
      <c r="DU197" s="373"/>
      <c r="DV197" s="373"/>
      <c r="DW197" s="618"/>
      <c r="DX197" s="374">
        <v>0</v>
      </c>
      <c r="DY197" s="869"/>
      <c r="DZ197" s="373">
        <v>1</v>
      </c>
      <c r="EA197" s="373"/>
      <c r="EB197" s="870">
        <v>1</v>
      </c>
      <c r="EC197" s="373"/>
      <c r="ED197" s="373"/>
      <c r="EE197" s="373">
        <v>1</v>
      </c>
      <c r="EF197" s="618"/>
      <c r="EG197" s="374">
        <v>0</v>
      </c>
      <c r="EH197" s="869"/>
      <c r="EI197" s="373"/>
      <c r="EJ197" s="373"/>
      <c r="EK197" s="870"/>
      <c r="EL197" s="373"/>
      <c r="EM197" s="373"/>
      <c r="EN197" s="373"/>
      <c r="EO197" s="618"/>
      <c r="EP197" s="374">
        <v>0</v>
      </c>
      <c r="EQ197" s="869"/>
      <c r="ER197" s="373"/>
      <c r="ES197" s="373"/>
      <c r="ET197" s="870"/>
      <c r="EU197" s="373"/>
      <c r="EV197" s="373"/>
      <c r="EW197" s="373"/>
      <c r="EX197" s="618"/>
      <c r="EY197" s="374">
        <v>0</v>
      </c>
      <c r="EZ197" s="869"/>
      <c r="FA197" s="373"/>
      <c r="FB197" s="373"/>
      <c r="FC197" s="870"/>
      <c r="FD197" s="373"/>
      <c r="FE197" s="373"/>
      <c r="FF197" s="373"/>
      <c r="FG197" s="618"/>
      <c r="FH197" s="374">
        <v>0</v>
      </c>
      <c r="FI197" s="869"/>
      <c r="FJ197" s="373"/>
      <c r="FK197" s="373">
        <v>2</v>
      </c>
      <c r="FL197" s="870"/>
      <c r="FM197" s="373"/>
      <c r="FN197" s="373"/>
      <c r="FO197" s="373"/>
      <c r="FP197" s="618"/>
      <c r="FQ197" s="374">
        <v>0</v>
      </c>
      <c r="FR197" s="869"/>
      <c r="FS197" s="373"/>
      <c r="FT197" s="373"/>
      <c r="FU197" s="870"/>
      <c r="FV197" s="373"/>
      <c r="FW197" s="373"/>
      <c r="FX197" s="373"/>
      <c r="FY197" s="618"/>
      <c r="FZ197" s="374">
        <v>0</v>
      </c>
      <c r="GA197" s="869"/>
      <c r="GB197" s="373"/>
      <c r="GC197" s="373"/>
      <c r="GD197" s="870"/>
      <c r="GE197" s="373"/>
      <c r="GF197" s="373"/>
      <c r="GG197" s="373"/>
      <c r="GH197" s="618"/>
      <c r="GI197" s="374">
        <v>0</v>
      </c>
      <c r="GJ197" s="869">
        <v>3</v>
      </c>
      <c r="GK197" s="373">
        <v>4</v>
      </c>
      <c r="GL197" s="373">
        <v>3</v>
      </c>
      <c r="GM197" s="870">
        <v>1</v>
      </c>
      <c r="GN197" s="373">
        <v>1</v>
      </c>
      <c r="GO197" s="373"/>
      <c r="GP197" s="373">
        <v>1</v>
      </c>
      <c r="GQ197" s="618">
        <v>1</v>
      </c>
      <c r="GR197" s="374">
        <v>0</v>
      </c>
      <c r="GS197" s="869"/>
      <c r="GT197" s="373">
        <v>3</v>
      </c>
      <c r="GU197" s="373">
        <v>1</v>
      </c>
      <c r="GV197" s="870"/>
      <c r="GW197" s="373"/>
      <c r="GX197" s="373"/>
      <c r="GY197" s="373"/>
      <c r="GZ197" s="618">
        <v>1</v>
      </c>
      <c r="HA197" s="374">
        <v>0</v>
      </c>
      <c r="HB197" s="869"/>
      <c r="HC197" s="373"/>
      <c r="HD197" s="373">
        <v>1</v>
      </c>
      <c r="HE197" s="870"/>
      <c r="HF197" s="373"/>
      <c r="HG197" s="373"/>
      <c r="HH197" s="373"/>
      <c r="HI197" s="618"/>
      <c r="HJ197" s="374">
        <v>0</v>
      </c>
      <c r="HK197" s="869"/>
      <c r="HL197" s="373"/>
      <c r="HM197" s="373"/>
      <c r="HN197" s="870"/>
      <c r="HO197" s="373"/>
      <c r="HP197" s="373"/>
      <c r="HQ197" s="373"/>
      <c r="HR197" s="618"/>
      <c r="HS197" s="374">
        <v>0</v>
      </c>
      <c r="HT197" s="869">
        <v>1</v>
      </c>
      <c r="HU197" s="373">
        <v>3</v>
      </c>
      <c r="HV197" s="373">
        <v>2</v>
      </c>
      <c r="HW197" s="870">
        <v>1</v>
      </c>
      <c r="HX197" s="373"/>
      <c r="HY197" s="373"/>
      <c r="HZ197" s="373"/>
      <c r="IA197" s="618">
        <v>1</v>
      </c>
      <c r="IB197" s="374">
        <v>1</v>
      </c>
      <c r="IC197" s="869">
        <v>5</v>
      </c>
      <c r="ID197" s="373">
        <v>9</v>
      </c>
      <c r="IE197" s="373">
        <v>5</v>
      </c>
      <c r="IF197" s="870">
        <v>3</v>
      </c>
      <c r="IG197" s="373">
        <v>2</v>
      </c>
      <c r="IH197" s="373">
        <v>1</v>
      </c>
      <c r="II197" s="373">
        <v>2</v>
      </c>
      <c r="IJ197" s="618">
        <v>4</v>
      </c>
      <c r="IK197" s="374">
        <v>2</v>
      </c>
      <c r="IL197" s="377">
        <v>2</v>
      </c>
      <c r="IM197" s="373">
        <v>1</v>
      </c>
      <c r="IN197" s="373"/>
      <c r="IO197" s="871">
        <v>1</v>
      </c>
      <c r="IP197" s="871"/>
      <c r="IQ197" s="373"/>
      <c r="IR197" s="373">
        <v>1</v>
      </c>
      <c r="IS197" s="618"/>
      <c r="IT197" s="374">
        <v>0</v>
      </c>
    </row>
    <row r="198" spans="1:254" s="245" customFormat="1" ht="12.75" customHeight="1" x14ac:dyDescent="0.2">
      <c r="A198" s="1052"/>
      <c r="B198" s="868" t="s">
        <v>1050</v>
      </c>
      <c r="C198" s="869"/>
      <c r="D198" s="373"/>
      <c r="E198" s="373"/>
      <c r="F198" s="870"/>
      <c r="G198" s="373"/>
      <c r="H198" s="373"/>
      <c r="I198" s="373"/>
      <c r="J198" s="618"/>
      <c r="K198" s="374">
        <v>0</v>
      </c>
      <c r="L198" s="869"/>
      <c r="M198" s="373"/>
      <c r="N198" s="373"/>
      <c r="O198" s="870"/>
      <c r="P198" s="373"/>
      <c r="Q198" s="373"/>
      <c r="R198" s="373"/>
      <c r="S198" s="618"/>
      <c r="T198" s="374">
        <v>0</v>
      </c>
      <c r="U198" s="869"/>
      <c r="V198" s="373"/>
      <c r="W198" s="373"/>
      <c r="X198" s="870"/>
      <c r="Y198" s="373"/>
      <c r="Z198" s="373"/>
      <c r="AA198" s="373"/>
      <c r="AB198" s="618"/>
      <c r="AC198" s="374">
        <v>0</v>
      </c>
      <c r="AD198" s="869">
        <v>1</v>
      </c>
      <c r="AE198" s="373"/>
      <c r="AF198" s="373"/>
      <c r="AG198" s="870"/>
      <c r="AH198" s="373">
        <v>1</v>
      </c>
      <c r="AI198" s="373"/>
      <c r="AJ198" s="373"/>
      <c r="AK198" s="618"/>
      <c r="AL198" s="374">
        <v>0</v>
      </c>
      <c r="AM198" s="869">
        <v>1</v>
      </c>
      <c r="AN198" s="373"/>
      <c r="AO198" s="373"/>
      <c r="AP198" s="870"/>
      <c r="AQ198" s="373">
        <v>1</v>
      </c>
      <c r="AR198" s="373"/>
      <c r="AS198" s="373"/>
      <c r="AT198" s="618"/>
      <c r="AU198" s="374">
        <v>0</v>
      </c>
      <c r="AV198" s="869"/>
      <c r="AW198" s="373"/>
      <c r="AX198" s="373"/>
      <c r="AY198" s="870"/>
      <c r="AZ198" s="373"/>
      <c r="BA198" s="373"/>
      <c r="BB198" s="373"/>
      <c r="BC198" s="618"/>
      <c r="BD198" s="374">
        <v>0</v>
      </c>
      <c r="BE198" s="869"/>
      <c r="BF198" s="373"/>
      <c r="BG198" s="373"/>
      <c r="BH198" s="870"/>
      <c r="BI198" s="373"/>
      <c r="BJ198" s="373"/>
      <c r="BK198" s="373"/>
      <c r="BL198" s="618"/>
      <c r="BM198" s="374">
        <v>0</v>
      </c>
      <c r="BN198" s="869"/>
      <c r="BO198" s="373"/>
      <c r="BP198" s="373"/>
      <c r="BQ198" s="870"/>
      <c r="BR198" s="373"/>
      <c r="BS198" s="373"/>
      <c r="BT198" s="373"/>
      <c r="BU198" s="618"/>
      <c r="BV198" s="374">
        <v>0</v>
      </c>
      <c r="BW198" s="869">
        <v>1</v>
      </c>
      <c r="BX198" s="373"/>
      <c r="BY198" s="373">
        <v>1</v>
      </c>
      <c r="BZ198" s="870"/>
      <c r="CA198" s="373"/>
      <c r="CB198" s="373">
        <v>1</v>
      </c>
      <c r="CC198" s="373"/>
      <c r="CD198" s="618">
        <v>1</v>
      </c>
      <c r="CE198" s="374">
        <v>0</v>
      </c>
      <c r="CF198" s="869"/>
      <c r="CG198" s="373"/>
      <c r="CH198" s="373"/>
      <c r="CI198" s="870"/>
      <c r="CJ198" s="373"/>
      <c r="CK198" s="373"/>
      <c r="CL198" s="373"/>
      <c r="CM198" s="618"/>
      <c r="CN198" s="374">
        <v>0</v>
      </c>
      <c r="CO198" s="869"/>
      <c r="CP198" s="373"/>
      <c r="CQ198" s="373"/>
      <c r="CR198" s="870"/>
      <c r="CS198" s="373"/>
      <c r="CT198" s="373"/>
      <c r="CU198" s="373"/>
      <c r="CV198" s="618"/>
      <c r="CW198" s="374">
        <v>0</v>
      </c>
      <c r="CX198" s="869">
        <v>1</v>
      </c>
      <c r="CY198" s="373">
        <v>5</v>
      </c>
      <c r="CZ198" s="373">
        <v>3</v>
      </c>
      <c r="DA198" s="870">
        <v>3</v>
      </c>
      <c r="DB198" s="373">
        <v>4</v>
      </c>
      <c r="DC198" s="373">
        <v>4</v>
      </c>
      <c r="DD198" s="373">
        <v>6</v>
      </c>
      <c r="DE198" s="618">
        <v>1</v>
      </c>
      <c r="DF198" s="374">
        <v>2</v>
      </c>
      <c r="DG198" s="869"/>
      <c r="DH198" s="373"/>
      <c r="DI198" s="373"/>
      <c r="DJ198" s="870"/>
      <c r="DK198" s="373"/>
      <c r="DL198" s="373">
        <v>1</v>
      </c>
      <c r="DM198" s="373"/>
      <c r="DN198" s="618"/>
      <c r="DO198" s="374">
        <v>0</v>
      </c>
      <c r="DP198" s="869"/>
      <c r="DQ198" s="373"/>
      <c r="DR198" s="373"/>
      <c r="DS198" s="870">
        <v>1</v>
      </c>
      <c r="DT198" s="373"/>
      <c r="DU198" s="373"/>
      <c r="DV198" s="373"/>
      <c r="DW198" s="618"/>
      <c r="DX198" s="374">
        <v>0</v>
      </c>
      <c r="DY198" s="869"/>
      <c r="DZ198" s="373">
        <v>1</v>
      </c>
      <c r="EA198" s="373"/>
      <c r="EB198" s="870"/>
      <c r="EC198" s="373"/>
      <c r="ED198" s="373">
        <v>2</v>
      </c>
      <c r="EE198" s="373"/>
      <c r="EF198" s="618">
        <v>1</v>
      </c>
      <c r="EG198" s="374">
        <v>0</v>
      </c>
      <c r="EH198" s="869"/>
      <c r="EI198" s="373"/>
      <c r="EJ198" s="373"/>
      <c r="EK198" s="870"/>
      <c r="EL198" s="373"/>
      <c r="EM198" s="373"/>
      <c r="EN198" s="373"/>
      <c r="EO198" s="618"/>
      <c r="EP198" s="374">
        <v>0</v>
      </c>
      <c r="EQ198" s="869"/>
      <c r="ER198" s="373"/>
      <c r="ES198" s="373"/>
      <c r="ET198" s="870"/>
      <c r="EU198" s="373"/>
      <c r="EV198" s="373"/>
      <c r="EW198" s="373"/>
      <c r="EX198" s="618"/>
      <c r="EY198" s="374">
        <v>0</v>
      </c>
      <c r="EZ198" s="869"/>
      <c r="FA198" s="373"/>
      <c r="FB198" s="373"/>
      <c r="FC198" s="870"/>
      <c r="FD198" s="373"/>
      <c r="FE198" s="373"/>
      <c r="FF198" s="373"/>
      <c r="FG198" s="618"/>
      <c r="FH198" s="374">
        <v>0</v>
      </c>
      <c r="FI198" s="869"/>
      <c r="FJ198" s="373"/>
      <c r="FK198" s="373"/>
      <c r="FL198" s="870"/>
      <c r="FM198" s="373"/>
      <c r="FN198" s="373"/>
      <c r="FO198" s="373"/>
      <c r="FP198" s="618"/>
      <c r="FQ198" s="374">
        <v>1</v>
      </c>
      <c r="FR198" s="869"/>
      <c r="FS198" s="373"/>
      <c r="FT198" s="373"/>
      <c r="FU198" s="870"/>
      <c r="FV198" s="373">
        <v>1</v>
      </c>
      <c r="FW198" s="373"/>
      <c r="FX198" s="373"/>
      <c r="FY198" s="618"/>
      <c r="FZ198" s="374">
        <v>0</v>
      </c>
      <c r="GA198" s="869"/>
      <c r="GB198" s="373"/>
      <c r="GC198" s="373"/>
      <c r="GD198" s="870"/>
      <c r="GE198" s="373"/>
      <c r="GF198" s="373"/>
      <c r="GG198" s="373"/>
      <c r="GH198" s="618"/>
      <c r="GI198" s="374">
        <v>0</v>
      </c>
      <c r="GJ198" s="869">
        <v>3</v>
      </c>
      <c r="GK198" s="373">
        <v>5</v>
      </c>
      <c r="GL198" s="373">
        <v>4</v>
      </c>
      <c r="GM198" s="870">
        <v>3</v>
      </c>
      <c r="GN198" s="373">
        <v>6</v>
      </c>
      <c r="GO198" s="373">
        <v>5</v>
      </c>
      <c r="GP198" s="373">
        <v>6</v>
      </c>
      <c r="GQ198" s="618">
        <v>2</v>
      </c>
      <c r="GR198" s="374">
        <v>3</v>
      </c>
      <c r="GS198" s="869"/>
      <c r="GT198" s="373">
        <v>1</v>
      </c>
      <c r="GU198" s="373"/>
      <c r="GV198" s="870"/>
      <c r="GW198" s="373">
        <v>1</v>
      </c>
      <c r="GX198" s="373">
        <v>1</v>
      </c>
      <c r="GY198" s="373"/>
      <c r="GZ198" s="618">
        <v>1</v>
      </c>
      <c r="HA198" s="374">
        <v>0</v>
      </c>
      <c r="HB198" s="869"/>
      <c r="HC198" s="373"/>
      <c r="HD198" s="373"/>
      <c r="HE198" s="870"/>
      <c r="HF198" s="373"/>
      <c r="HG198" s="373"/>
      <c r="HH198" s="373"/>
      <c r="HI198" s="618"/>
      <c r="HJ198" s="374">
        <v>0</v>
      </c>
      <c r="HK198" s="869"/>
      <c r="HL198" s="373"/>
      <c r="HM198" s="373"/>
      <c r="HN198" s="870"/>
      <c r="HO198" s="373"/>
      <c r="HP198" s="373"/>
      <c r="HQ198" s="373"/>
      <c r="HR198" s="618"/>
      <c r="HS198" s="374">
        <v>0</v>
      </c>
      <c r="HT198" s="869"/>
      <c r="HU198" s="373">
        <v>4</v>
      </c>
      <c r="HV198" s="373"/>
      <c r="HW198" s="870"/>
      <c r="HX198" s="373">
        <v>1</v>
      </c>
      <c r="HY198" s="373">
        <v>1</v>
      </c>
      <c r="HZ198" s="373">
        <v>3</v>
      </c>
      <c r="IA198" s="618">
        <v>2</v>
      </c>
      <c r="IB198" s="374">
        <v>5</v>
      </c>
      <c r="IC198" s="869">
        <v>5</v>
      </c>
      <c r="ID198" s="373">
        <v>13</v>
      </c>
      <c r="IE198" s="373">
        <v>9</v>
      </c>
      <c r="IF198" s="870">
        <v>4</v>
      </c>
      <c r="IG198" s="373">
        <v>6</v>
      </c>
      <c r="IH198" s="373">
        <v>5</v>
      </c>
      <c r="II198" s="373">
        <v>12</v>
      </c>
      <c r="IJ198" s="618">
        <v>5</v>
      </c>
      <c r="IK198" s="374">
        <v>8</v>
      </c>
      <c r="IL198" s="377">
        <v>1</v>
      </c>
      <c r="IM198" s="373">
        <v>3</v>
      </c>
      <c r="IN198" s="373">
        <v>2</v>
      </c>
      <c r="IO198" s="871">
        <v>2</v>
      </c>
      <c r="IP198" s="871">
        <v>1</v>
      </c>
      <c r="IQ198" s="373">
        <v>2</v>
      </c>
      <c r="IR198" s="373">
        <v>3</v>
      </c>
      <c r="IS198" s="618">
        <v>1</v>
      </c>
      <c r="IT198" s="374">
        <v>0</v>
      </c>
    </row>
    <row r="199" spans="1:254" s="245" customFormat="1" ht="12.75" customHeight="1" x14ac:dyDescent="0.2">
      <c r="A199" s="1052"/>
      <c r="B199" s="868" t="s">
        <v>1051</v>
      </c>
      <c r="C199" s="869"/>
      <c r="D199" s="373"/>
      <c r="E199" s="373"/>
      <c r="F199" s="870"/>
      <c r="G199" s="373"/>
      <c r="H199" s="373"/>
      <c r="I199" s="373"/>
      <c r="J199" s="618"/>
      <c r="K199" s="374">
        <v>0</v>
      </c>
      <c r="L199" s="869"/>
      <c r="M199" s="373"/>
      <c r="N199" s="373"/>
      <c r="O199" s="870"/>
      <c r="P199" s="373"/>
      <c r="Q199" s="373"/>
      <c r="R199" s="373"/>
      <c r="S199" s="618"/>
      <c r="T199" s="374">
        <v>0</v>
      </c>
      <c r="U199" s="869"/>
      <c r="V199" s="373"/>
      <c r="W199" s="373"/>
      <c r="X199" s="870"/>
      <c r="Y199" s="373"/>
      <c r="Z199" s="373"/>
      <c r="AA199" s="373"/>
      <c r="AB199" s="618"/>
      <c r="AC199" s="374">
        <v>0</v>
      </c>
      <c r="AD199" s="869"/>
      <c r="AE199" s="373"/>
      <c r="AF199" s="373"/>
      <c r="AG199" s="870"/>
      <c r="AH199" s="373"/>
      <c r="AI199" s="373"/>
      <c r="AJ199" s="373"/>
      <c r="AK199" s="618"/>
      <c r="AL199" s="374">
        <v>0</v>
      </c>
      <c r="AM199" s="869"/>
      <c r="AN199" s="373"/>
      <c r="AO199" s="373"/>
      <c r="AP199" s="870"/>
      <c r="AQ199" s="373"/>
      <c r="AR199" s="373"/>
      <c r="AS199" s="373"/>
      <c r="AT199" s="618"/>
      <c r="AU199" s="374">
        <v>0</v>
      </c>
      <c r="AV199" s="869"/>
      <c r="AW199" s="373"/>
      <c r="AX199" s="373"/>
      <c r="AY199" s="870"/>
      <c r="AZ199" s="373"/>
      <c r="BA199" s="373"/>
      <c r="BB199" s="373"/>
      <c r="BC199" s="618"/>
      <c r="BD199" s="374">
        <v>0</v>
      </c>
      <c r="BE199" s="869"/>
      <c r="BF199" s="373"/>
      <c r="BG199" s="373"/>
      <c r="BH199" s="870"/>
      <c r="BI199" s="373"/>
      <c r="BJ199" s="373"/>
      <c r="BK199" s="373"/>
      <c r="BL199" s="618"/>
      <c r="BM199" s="374">
        <v>0</v>
      </c>
      <c r="BN199" s="869"/>
      <c r="BO199" s="373"/>
      <c r="BP199" s="373"/>
      <c r="BQ199" s="870"/>
      <c r="BR199" s="373"/>
      <c r="BS199" s="373"/>
      <c r="BT199" s="373"/>
      <c r="BU199" s="618"/>
      <c r="BV199" s="374">
        <v>0</v>
      </c>
      <c r="BW199" s="869"/>
      <c r="BX199" s="373"/>
      <c r="BY199" s="373"/>
      <c r="BZ199" s="870"/>
      <c r="CA199" s="373"/>
      <c r="CB199" s="373"/>
      <c r="CC199" s="373"/>
      <c r="CD199" s="618"/>
      <c r="CE199" s="374">
        <v>0</v>
      </c>
      <c r="CF199" s="869"/>
      <c r="CG199" s="373"/>
      <c r="CH199" s="373"/>
      <c r="CI199" s="870"/>
      <c r="CJ199" s="373"/>
      <c r="CK199" s="373"/>
      <c r="CL199" s="373"/>
      <c r="CM199" s="618"/>
      <c r="CN199" s="374">
        <v>0</v>
      </c>
      <c r="CO199" s="869"/>
      <c r="CP199" s="373"/>
      <c r="CQ199" s="373"/>
      <c r="CR199" s="870"/>
      <c r="CS199" s="373"/>
      <c r="CT199" s="373"/>
      <c r="CU199" s="373"/>
      <c r="CV199" s="618"/>
      <c r="CW199" s="374">
        <v>0</v>
      </c>
      <c r="CX199" s="869">
        <v>2</v>
      </c>
      <c r="CY199" s="373">
        <v>1</v>
      </c>
      <c r="CZ199" s="373">
        <v>2</v>
      </c>
      <c r="DA199" s="870">
        <v>1</v>
      </c>
      <c r="DB199" s="373">
        <v>3</v>
      </c>
      <c r="DC199" s="373">
        <v>1</v>
      </c>
      <c r="DD199" s="373">
        <v>2</v>
      </c>
      <c r="DE199" s="618">
        <v>2</v>
      </c>
      <c r="DF199" s="374">
        <v>0</v>
      </c>
      <c r="DG199" s="869"/>
      <c r="DH199" s="373"/>
      <c r="DI199" s="373"/>
      <c r="DJ199" s="870"/>
      <c r="DK199" s="373"/>
      <c r="DL199" s="373"/>
      <c r="DM199" s="373"/>
      <c r="DN199" s="618"/>
      <c r="DO199" s="374">
        <v>0</v>
      </c>
      <c r="DP199" s="869"/>
      <c r="DQ199" s="373"/>
      <c r="DR199" s="373"/>
      <c r="DS199" s="870"/>
      <c r="DT199" s="373"/>
      <c r="DU199" s="373"/>
      <c r="DV199" s="373"/>
      <c r="DW199" s="618"/>
      <c r="DX199" s="374">
        <v>0</v>
      </c>
      <c r="DY199" s="869">
        <v>1</v>
      </c>
      <c r="DZ199" s="373"/>
      <c r="EA199" s="373"/>
      <c r="EB199" s="870"/>
      <c r="EC199" s="373"/>
      <c r="ED199" s="373"/>
      <c r="EE199" s="373"/>
      <c r="EF199" s="618"/>
      <c r="EG199" s="374">
        <v>0</v>
      </c>
      <c r="EH199" s="869"/>
      <c r="EI199" s="373"/>
      <c r="EJ199" s="373"/>
      <c r="EK199" s="870"/>
      <c r="EL199" s="373"/>
      <c r="EM199" s="373"/>
      <c r="EN199" s="373"/>
      <c r="EO199" s="618"/>
      <c r="EP199" s="374">
        <v>0</v>
      </c>
      <c r="EQ199" s="869"/>
      <c r="ER199" s="373"/>
      <c r="ES199" s="373"/>
      <c r="ET199" s="870"/>
      <c r="EU199" s="373"/>
      <c r="EV199" s="373"/>
      <c r="EW199" s="373"/>
      <c r="EX199" s="618"/>
      <c r="EY199" s="374">
        <v>0</v>
      </c>
      <c r="EZ199" s="869"/>
      <c r="FA199" s="373"/>
      <c r="FB199" s="373"/>
      <c r="FC199" s="870"/>
      <c r="FD199" s="373"/>
      <c r="FE199" s="373"/>
      <c r="FF199" s="373"/>
      <c r="FG199" s="618"/>
      <c r="FH199" s="374">
        <v>0</v>
      </c>
      <c r="FI199" s="869"/>
      <c r="FJ199" s="373"/>
      <c r="FK199" s="373"/>
      <c r="FL199" s="870">
        <v>3</v>
      </c>
      <c r="FM199" s="373"/>
      <c r="FN199" s="373"/>
      <c r="FO199" s="373"/>
      <c r="FP199" s="618">
        <v>1</v>
      </c>
      <c r="FQ199" s="374">
        <v>0</v>
      </c>
      <c r="FR199" s="869"/>
      <c r="FS199" s="373"/>
      <c r="FT199" s="373"/>
      <c r="FU199" s="870"/>
      <c r="FV199" s="373"/>
      <c r="FW199" s="373"/>
      <c r="FX199" s="373"/>
      <c r="FY199" s="618"/>
      <c r="FZ199" s="374">
        <v>0</v>
      </c>
      <c r="GA199" s="869"/>
      <c r="GB199" s="373"/>
      <c r="GC199" s="373"/>
      <c r="GD199" s="870"/>
      <c r="GE199" s="373"/>
      <c r="GF199" s="373"/>
      <c r="GG199" s="373"/>
      <c r="GH199" s="618">
        <v>1</v>
      </c>
      <c r="GI199" s="374">
        <v>0</v>
      </c>
      <c r="GJ199" s="869">
        <v>2</v>
      </c>
      <c r="GK199" s="373">
        <v>1</v>
      </c>
      <c r="GL199" s="373">
        <v>2</v>
      </c>
      <c r="GM199" s="870">
        <v>4</v>
      </c>
      <c r="GN199" s="373">
        <v>3</v>
      </c>
      <c r="GO199" s="373">
        <v>1</v>
      </c>
      <c r="GP199" s="373">
        <v>2</v>
      </c>
      <c r="GQ199" s="618">
        <v>4</v>
      </c>
      <c r="GR199" s="374">
        <v>0</v>
      </c>
      <c r="GS199" s="869">
        <v>1</v>
      </c>
      <c r="GT199" s="373"/>
      <c r="GU199" s="373"/>
      <c r="GV199" s="870">
        <v>2</v>
      </c>
      <c r="GW199" s="373"/>
      <c r="GX199" s="373"/>
      <c r="GY199" s="373"/>
      <c r="GZ199" s="618">
        <v>1</v>
      </c>
      <c r="HA199" s="374">
        <v>0</v>
      </c>
      <c r="HB199" s="869"/>
      <c r="HC199" s="373"/>
      <c r="HD199" s="373"/>
      <c r="HE199" s="870"/>
      <c r="HF199" s="373"/>
      <c r="HG199" s="373"/>
      <c r="HH199" s="373"/>
      <c r="HI199" s="618"/>
      <c r="HJ199" s="374">
        <v>0</v>
      </c>
      <c r="HK199" s="869"/>
      <c r="HL199" s="373"/>
      <c r="HM199" s="373"/>
      <c r="HN199" s="870"/>
      <c r="HO199" s="373"/>
      <c r="HP199" s="373"/>
      <c r="HQ199" s="373"/>
      <c r="HR199" s="618"/>
      <c r="HS199" s="374">
        <v>0</v>
      </c>
      <c r="HT199" s="869">
        <v>3</v>
      </c>
      <c r="HU199" s="373"/>
      <c r="HV199" s="373"/>
      <c r="HW199" s="870">
        <v>2</v>
      </c>
      <c r="HX199" s="373"/>
      <c r="HY199" s="373">
        <v>1</v>
      </c>
      <c r="HZ199" s="373"/>
      <c r="IA199" s="618">
        <v>2</v>
      </c>
      <c r="IB199" s="374">
        <v>0</v>
      </c>
      <c r="IC199" s="869">
        <v>6</v>
      </c>
      <c r="ID199" s="373">
        <v>1</v>
      </c>
      <c r="IE199" s="373">
        <v>2</v>
      </c>
      <c r="IF199" s="870">
        <v>5</v>
      </c>
      <c r="IG199" s="373">
        <v>4</v>
      </c>
      <c r="IH199" s="373">
        <v>3</v>
      </c>
      <c r="II199" s="373">
        <v>3</v>
      </c>
      <c r="IJ199" s="618">
        <v>6</v>
      </c>
      <c r="IK199" s="374">
        <v>0</v>
      </c>
      <c r="IL199" s="377">
        <v>1</v>
      </c>
      <c r="IM199" s="373">
        <v>1</v>
      </c>
      <c r="IN199" s="373"/>
      <c r="IO199" s="871"/>
      <c r="IP199" s="871"/>
      <c r="IQ199" s="373"/>
      <c r="IR199" s="373"/>
      <c r="IS199" s="618"/>
      <c r="IT199" s="374">
        <v>0</v>
      </c>
    </row>
    <row r="200" spans="1:254" s="245" customFormat="1" ht="12.75" customHeight="1" x14ac:dyDescent="0.2">
      <c r="A200" s="1052"/>
      <c r="B200" s="868" t="s">
        <v>1052</v>
      </c>
      <c r="C200" s="869"/>
      <c r="D200" s="373"/>
      <c r="E200" s="373"/>
      <c r="F200" s="870"/>
      <c r="G200" s="373"/>
      <c r="H200" s="373"/>
      <c r="I200" s="373"/>
      <c r="J200" s="618"/>
      <c r="K200" s="374">
        <v>0</v>
      </c>
      <c r="L200" s="869"/>
      <c r="M200" s="373"/>
      <c r="N200" s="373"/>
      <c r="O200" s="870"/>
      <c r="P200" s="373"/>
      <c r="Q200" s="373"/>
      <c r="R200" s="373"/>
      <c r="S200" s="618"/>
      <c r="T200" s="374">
        <v>0</v>
      </c>
      <c r="U200" s="869"/>
      <c r="V200" s="373"/>
      <c r="W200" s="373"/>
      <c r="X200" s="870"/>
      <c r="Y200" s="373"/>
      <c r="Z200" s="373"/>
      <c r="AA200" s="373"/>
      <c r="AB200" s="618"/>
      <c r="AC200" s="374">
        <v>0</v>
      </c>
      <c r="AD200" s="869"/>
      <c r="AE200" s="373"/>
      <c r="AF200" s="373"/>
      <c r="AG200" s="870">
        <v>1</v>
      </c>
      <c r="AH200" s="373"/>
      <c r="AI200" s="373"/>
      <c r="AJ200" s="373">
        <v>2</v>
      </c>
      <c r="AK200" s="618"/>
      <c r="AL200" s="374">
        <v>0</v>
      </c>
      <c r="AM200" s="869"/>
      <c r="AN200" s="373"/>
      <c r="AO200" s="373"/>
      <c r="AP200" s="870"/>
      <c r="AQ200" s="373"/>
      <c r="AR200" s="373"/>
      <c r="AS200" s="373"/>
      <c r="AT200" s="618"/>
      <c r="AU200" s="374">
        <v>0</v>
      </c>
      <c r="AV200" s="869"/>
      <c r="AW200" s="373"/>
      <c r="AX200" s="373"/>
      <c r="AY200" s="870"/>
      <c r="AZ200" s="373"/>
      <c r="BA200" s="373"/>
      <c r="BB200" s="373"/>
      <c r="BC200" s="618"/>
      <c r="BD200" s="374">
        <v>0</v>
      </c>
      <c r="BE200" s="869"/>
      <c r="BF200" s="373"/>
      <c r="BG200" s="373"/>
      <c r="BH200" s="870"/>
      <c r="BI200" s="373"/>
      <c r="BJ200" s="373"/>
      <c r="BK200" s="373"/>
      <c r="BL200" s="618"/>
      <c r="BM200" s="374">
        <v>0</v>
      </c>
      <c r="BN200" s="869"/>
      <c r="BO200" s="373"/>
      <c r="BP200" s="373"/>
      <c r="BQ200" s="870">
        <v>1</v>
      </c>
      <c r="BR200" s="373"/>
      <c r="BS200" s="373"/>
      <c r="BT200" s="373"/>
      <c r="BU200" s="618"/>
      <c r="BV200" s="374">
        <v>0</v>
      </c>
      <c r="BW200" s="869"/>
      <c r="BX200" s="373"/>
      <c r="BY200" s="373"/>
      <c r="BZ200" s="870"/>
      <c r="CA200" s="373"/>
      <c r="CB200" s="373"/>
      <c r="CC200" s="373"/>
      <c r="CD200" s="618"/>
      <c r="CE200" s="374">
        <v>0</v>
      </c>
      <c r="CF200" s="869"/>
      <c r="CG200" s="373"/>
      <c r="CH200" s="373"/>
      <c r="CI200" s="870"/>
      <c r="CJ200" s="373"/>
      <c r="CK200" s="373"/>
      <c r="CL200" s="373"/>
      <c r="CM200" s="618"/>
      <c r="CN200" s="374">
        <v>0</v>
      </c>
      <c r="CO200" s="869"/>
      <c r="CP200" s="373"/>
      <c r="CQ200" s="373"/>
      <c r="CR200" s="870"/>
      <c r="CS200" s="373"/>
      <c r="CT200" s="373"/>
      <c r="CU200" s="373"/>
      <c r="CV200" s="618"/>
      <c r="CW200" s="374">
        <v>0</v>
      </c>
      <c r="CX200" s="869">
        <v>4</v>
      </c>
      <c r="CY200" s="373">
        <v>4</v>
      </c>
      <c r="CZ200" s="373">
        <v>2</v>
      </c>
      <c r="DA200" s="870"/>
      <c r="DB200" s="373">
        <v>1</v>
      </c>
      <c r="DC200" s="373">
        <v>2</v>
      </c>
      <c r="DD200" s="373"/>
      <c r="DE200" s="618"/>
      <c r="DF200" s="374">
        <v>1</v>
      </c>
      <c r="DG200" s="869"/>
      <c r="DH200" s="373"/>
      <c r="DI200" s="373"/>
      <c r="DJ200" s="870"/>
      <c r="DK200" s="373"/>
      <c r="DL200" s="373"/>
      <c r="DM200" s="373"/>
      <c r="DN200" s="618"/>
      <c r="DO200" s="374">
        <v>0</v>
      </c>
      <c r="DP200" s="869"/>
      <c r="DQ200" s="373"/>
      <c r="DR200" s="373"/>
      <c r="DS200" s="870"/>
      <c r="DT200" s="373"/>
      <c r="DU200" s="373"/>
      <c r="DV200" s="373"/>
      <c r="DW200" s="618"/>
      <c r="DX200" s="374">
        <v>0</v>
      </c>
      <c r="DY200" s="869">
        <v>2</v>
      </c>
      <c r="DZ200" s="373"/>
      <c r="EA200" s="373"/>
      <c r="EB200" s="870"/>
      <c r="EC200" s="373"/>
      <c r="ED200" s="373"/>
      <c r="EE200" s="373"/>
      <c r="EF200" s="618"/>
      <c r="EG200" s="374">
        <v>0</v>
      </c>
      <c r="EH200" s="869"/>
      <c r="EI200" s="373"/>
      <c r="EJ200" s="373"/>
      <c r="EK200" s="870"/>
      <c r="EL200" s="373"/>
      <c r="EM200" s="373"/>
      <c r="EN200" s="373"/>
      <c r="EO200" s="618"/>
      <c r="EP200" s="374">
        <v>0</v>
      </c>
      <c r="EQ200" s="869"/>
      <c r="ER200" s="373"/>
      <c r="ES200" s="373"/>
      <c r="ET200" s="870"/>
      <c r="EU200" s="373"/>
      <c r="EV200" s="373"/>
      <c r="EW200" s="373"/>
      <c r="EX200" s="618"/>
      <c r="EY200" s="374">
        <v>0</v>
      </c>
      <c r="EZ200" s="869"/>
      <c r="FA200" s="373"/>
      <c r="FB200" s="373"/>
      <c r="FC200" s="870"/>
      <c r="FD200" s="373"/>
      <c r="FE200" s="373"/>
      <c r="FF200" s="373"/>
      <c r="FG200" s="618"/>
      <c r="FH200" s="374">
        <v>0</v>
      </c>
      <c r="FI200" s="869"/>
      <c r="FJ200" s="373"/>
      <c r="FK200" s="373"/>
      <c r="FL200" s="870"/>
      <c r="FM200" s="373"/>
      <c r="FN200" s="373"/>
      <c r="FO200" s="373"/>
      <c r="FP200" s="618"/>
      <c r="FQ200" s="374">
        <v>0</v>
      </c>
      <c r="FR200" s="869"/>
      <c r="FS200" s="373"/>
      <c r="FT200" s="373"/>
      <c r="FU200" s="870"/>
      <c r="FV200" s="373"/>
      <c r="FW200" s="373"/>
      <c r="FX200" s="373"/>
      <c r="FY200" s="618">
        <v>1</v>
      </c>
      <c r="FZ200" s="374">
        <v>0</v>
      </c>
      <c r="GA200" s="869"/>
      <c r="GB200" s="373"/>
      <c r="GC200" s="373"/>
      <c r="GD200" s="870"/>
      <c r="GE200" s="373"/>
      <c r="GF200" s="373"/>
      <c r="GG200" s="373">
        <v>1</v>
      </c>
      <c r="GH200" s="618"/>
      <c r="GI200" s="374">
        <v>0</v>
      </c>
      <c r="GJ200" s="869">
        <v>4</v>
      </c>
      <c r="GK200" s="373">
        <v>4</v>
      </c>
      <c r="GL200" s="373">
        <v>2</v>
      </c>
      <c r="GM200" s="870">
        <v>2</v>
      </c>
      <c r="GN200" s="373">
        <v>1</v>
      </c>
      <c r="GO200" s="373">
        <v>2</v>
      </c>
      <c r="GP200" s="373">
        <v>3</v>
      </c>
      <c r="GQ200" s="618">
        <v>1</v>
      </c>
      <c r="GR200" s="374">
        <v>1</v>
      </c>
      <c r="GS200" s="869"/>
      <c r="GT200" s="373">
        <v>1</v>
      </c>
      <c r="GU200" s="373"/>
      <c r="GV200" s="870"/>
      <c r="GW200" s="373"/>
      <c r="GX200" s="373"/>
      <c r="GY200" s="373">
        <v>1</v>
      </c>
      <c r="GZ200" s="618"/>
      <c r="HA200" s="374">
        <v>0</v>
      </c>
      <c r="HB200" s="869"/>
      <c r="HC200" s="373"/>
      <c r="HD200" s="373"/>
      <c r="HE200" s="870"/>
      <c r="HF200" s="373"/>
      <c r="HG200" s="373"/>
      <c r="HH200" s="373"/>
      <c r="HI200" s="618"/>
      <c r="HJ200" s="374">
        <v>0</v>
      </c>
      <c r="HK200" s="869"/>
      <c r="HL200" s="373"/>
      <c r="HM200" s="373"/>
      <c r="HN200" s="870"/>
      <c r="HO200" s="373"/>
      <c r="HP200" s="373"/>
      <c r="HQ200" s="373"/>
      <c r="HR200" s="618"/>
      <c r="HS200" s="374">
        <v>0</v>
      </c>
      <c r="HT200" s="869"/>
      <c r="HU200" s="373">
        <v>1</v>
      </c>
      <c r="HV200" s="373"/>
      <c r="HW200" s="870"/>
      <c r="HX200" s="373">
        <v>2</v>
      </c>
      <c r="HY200" s="373"/>
      <c r="HZ200" s="373">
        <v>1</v>
      </c>
      <c r="IA200" s="618"/>
      <c r="IB200" s="374">
        <v>0</v>
      </c>
      <c r="IC200" s="869">
        <v>5</v>
      </c>
      <c r="ID200" s="373">
        <v>6</v>
      </c>
      <c r="IE200" s="373">
        <v>9</v>
      </c>
      <c r="IF200" s="870">
        <v>3</v>
      </c>
      <c r="IG200" s="373">
        <v>4</v>
      </c>
      <c r="IH200" s="373">
        <v>3</v>
      </c>
      <c r="II200" s="373">
        <v>3</v>
      </c>
      <c r="IJ200" s="618">
        <v>2</v>
      </c>
      <c r="IK200" s="374">
        <v>3</v>
      </c>
      <c r="IL200" s="377">
        <v>2</v>
      </c>
      <c r="IM200" s="373"/>
      <c r="IN200" s="373"/>
      <c r="IO200" s="871"/>
      <c r="IP200" s="871">
        <v>1</v>
      </c>
      <c r="IQ200" s="373"/>
      <c r="IR200" s="373"/>
      <c r="IS200" s="618"/>
      <c r="IT200" s="374">
        <v>0</v>
      </c>
    </row>
    <row r="201" spans="1:254" s="245" customFormat="1" ht="12.75" customHeight="1" x14ac:dyDescent="0.2">
      <c r="A201" s="1052"/>
      <c r="B201" s="868" t="s">
        <v>1053</v>
      </c>
      <c r="C201" s="869"/>
      <c r="D201" s="373"/>
      <c r="E201" s="373"/>
      <c r="F201" s="870"/>
      <c r="G201" s="373"/>
      <c r="H201" s="373"/>
      <c r="I201" s="373"/>
      <c r="J201" s="618"/>
      <c r="K201" s="374">
        <v>0</v>
      </c>
      <c r="L201" s="869"/>
      <c r="M201" s="373"/>
      <c r="N201" s="373"/>
      <c r="O201" s="870"/>
      <c r="P201" s="373"/>
      <c r="Q201" s="373"/>
      <c r="R201" s="373"/>
      <c r="S201" s="618"/>
      <c r="T201" s="374">
        <v>0</v>
      </c>
      <c r="U201" s="869"/>
      <c r="V201" s="373"/>
      <c r="W201" s="373"/>
      <c r="X201" s="870"/>
      <c r="Y201" s="373"/>
      <c r="Z201" s="373"/>
      <c r="AA201" s="373"/>
      <c r="AB201" s="618"/>
      <c r="AC201" s="374">
        <v>0</v>
      </c>
      <c r="AD201" s="869"/>
      <c r="AE201" s="373"/>
      <c r="AF201" s="373">
        <v>1</v>
      </c>
      <c r="AG201" s="870"/>
      <c r="AH201" s="373"/>
      <c r="AI201" s="373"/>
      <c r="AJ201" s="373"/>
      <c r="AK201" s="618"/>
      <c r="AL201" s="374">
        <v>0</v>
      </c>
      <c r="AM201" s="869"/>
      <c r="AN201" s="373"/>
      <c r="AO201" s="373">
        <v>1</v>
      </c>
      <c r="AP201" s="870"/>
      <c r="AQ201" s="373"/>
      <c r="AR201" s="373"/>
      <c r="AS201" s="373"/>
      <c r="AT201" s="618"/>
      <c r="AU201" s="374">
        <v>0</v>
      </c>
      <c r="AV201" s="869"/>
      <c r="AW201" s="373"/>
      <c r="AX201" s="373"/>
      <c r="AY201" s="870"/>
      <c r="AZ201" s="373"/>
      <c r="BA201" s="373"/>
      <c r="BB201" s="373"/>
      <c r="BC201" s="618"/>
      <c r="BD201" s="374">
        <v>0</v>
      </c>
      <c r="BE201" s="869">
        <v>3</v>
      </c>
      <c r="BF201" s="373"/>
      <c r="BG201" s="373"/>
      <c r="BH201" s="870"/>
      <c r="BI201" s="373"/>
      <c r="BJ201" s="373"/>
      <c r="BK201" s="373"/>
      <c r="BL201" s="618"/>
      <c r="BM201" s="374">
        <v>0</v>
      </c>
      <c r="BN201" s="869"/>
      <c r="BO201" s="373"/>
      <c r="BP201" s="373"/>
      <c r="BQ201" s="870"/>
      <c r="BR201" s="373"/>
      <c r="BS201" s="373"/>
      <c r="BT201" s="373"/>
      <c r="BU201" s="618"/>
      <c r="BV201" s="374">
        <v>0</v>
      </c>
      <c r="BW201" s="869">
        <v>1</v>
      </c>
      <c r="BX201" s="373">
        <v>1</v>
      </c>
      <c r="BY201" s="373">
        <v>1</v>
      </c>
      <c r="BZ201" s="870"/>
      <c r="CA201" s="373"/>
      <c r="CB201" s="373"/>
      <c r="CC201" s="373"/>
      <c r="CD201" s="618"/>
      <c r="CE201" s="374">
        <v>0</v>
      </c>
      <c r="CF201" s="869"/>
      <c r="CG201" s="373"/>
      <c r="CH201" s="373"/>
      <c r="CI201" s="870"/>
      <c r="CJ201" s="373"/>
      <c r="CK201" s="373"/>
      <c r="CL201" s="373"/>
      <c r="CM201" s="618"/>
      <c r="CN201" s="374">
        <v>0</v>
      </c>
      <c r="CO201" s="869"/>
      <c r="CP201" s="373"/>
      <c r="CQ201" s="373"/>
      <c r="CR201" s="870"/>
      <c r="CS201" s="373"/>
      <c r="CT201" s="373"/>
      <c r="CU201" s="373"/>
      <c r="CV201" s="618"/>
      <c r="CW201" s="374">
        <v>0</v>
      </c>
      <c r="CX201" s="869"/>
      <c r="CY201" s="373"/>
      <c r="CZ201" s="373">
        <v>3</v>
      </c>
      <c r="DA201" s="870"/>
      <c r="DB201" s="373">
        <v>3</v>
      </c>
      <c r="DC201" s="373"/>
      <c r="DD201" s="373"/>
      <c r="DE201" s="618">
        <v>1</v>
      </c>
      <c r="DF201" s="374">
        <v>1</v>
      </c>
      <c r="DG201" s="869"/>
      <c r="DH201" s="373"/>
      <c r="DI201" s="373"/>
      <c r="DJ201" s="870"/>
      <c r="DK201" s="373">
        <v>1</v>
      </c>
      <c r="DL201" s="373"/>
      <c r="DM201" s="373"/>
      <c r="DN201" s="618"/>
      <c r="DO201" s="374">
        <v>0</v>
      </c>
      <c r="DP201" s="869"/>
      <c r="DQ201" s="373"/>
      <c r="DR201" s="373"/>
      <c r="DS201" s="870"/>
      <c r="DT201" s="373"/>
      <c r="DU201" s="373"/>
      <c r="DV201" s="373"/>
      <c r="DW201" s="618"/>
      <c r="DX201" s="374">
        <v>0</v>
      </c>
      <c r="DY201" s="869"/>
      <c r="DZ201" s="373"/>
      <c r="EA201" s="373">
        <v>1</v>
      </c>
      <c r="EB201" s="870"/>
      <c r="EC201" s="373"/>
      <c r="ED201" s="373"/>
      <c r="EE201" s="373"/>
      <c r="EF201" s="618"/>
      <c r="EG201" s="374">
        <v>0</v>
      </c>
      <c r="EH201" s="869"/>
      <c r="EI201" s="373"/>
      <c r="EJ201" s="373"/>
      <c r="EK201" s="870"/>
      <c r="EL201" s="373"/>
      <c r="EM201" s="373"/>
      <c r="EN201" s="373"/>
      <c r="EO201" s="618"/>
      <c r="EP201" s="374">
        <v>0</v>
      </c>
      <c r="EQ201" s="869"/>
      <c r="ER201" s="373"/>
      <c r="ES201" s="373"/>
      <c r="ET201" s="870"/>
      <c r="EU201" s="373"/>
      <c r="EV201" s="373"/>
      <c r="EW201" s="373"/>
      <c r="EX201" s="618"/>
      <c r="EY201" s="374">
        <v>0</v>
      </c>
      <c r="EZ201" s="869"/>
      <c r="FA201" s="373"/>
      <c r="FB201" s="373"/>
      <c r="FC201" s="870"/>
      <c r="FD201" s="373"/>
      <c r="FE201" s="373"/>
      <c r="FF201" s="373"/>
      <c r="FG201" s="618"/>
      <c r="FH201" s="374">
        <v>0</v>
      </c>
      <c r="FI201" s="869"/>
      <c r="FJ201" s="373">
        <v>1</v>
      </c>
      <c r="FK201" s="373"/>
      <c r="FL201" s="870"/>
      <c r="FM201" s="373"/>
      <c r="FN201" s="373"/>
      <c r="FO201" s="373"/>
      <c r="FP201" s="618"/>
      <c r="FQ201" s="374">
        <v>0</v>
      </c>
      <c r="FR201" s="869"/>
      <c r="FS201" s="373"/>
      <c r="FT201" s="373"/>
      <c r="FU201" s="870"/>
      <c r="FV201" s="373"/>
      <c r="FW201" s="373"/>
      <c r="FX201" s="373"/>
      <c r="FY201" s="618"/>
      <c r="FZ201" s="374">
        <v>0</v>
      </c>
      <c r="GA201" s="869"/>
      <c r="GB201" s="373"/>
      <c r="GC201" s="373"/>
      <c r="GD201" s="870"/>
      <c r="GE201" s="373"/>
      <c r="GF201" s="373"/>
      <c r="GG201" s="373"/>
      <c r="GH201" s="618"/>
      <c r="GI201" s="374">
        <v>0</v>
      </c>
      <c r="GJ201" s="869">
        <v>4</v>
      </c>
      <c r="GK201" s="373">
        <v>2</v>
      </c>
      <c r="GL201" s="373">
        <v>5</v>
      </c>
      <c r="GM201" s="870"/>
      <c r="GN201" s="373">
        <v>3</v>
      </c>
      <c r="GO201" s="373"/>
      <c r="GP201" s="373"/>
      <c r="GQ201" s="618">
        <v>1</v>
      </c>
      <c r="GR201" s="374">
        <v>1</v>
      </c>
      <c r="GS201" s="869"/>
      <c r="GT201" s="373">
        <v>1</v>
      </c>
      <c r="GU201" s="373"/>
      <c r="GV201" s="870"/>
      <c r="GW201" s="373">
        <v>2</v>
      </c>
      <c r="GX201" s="373"/>
      <c r="GY201" s="373"/>
      <c r="GZ201" s="618"/>
      <c r="HA201" s="374">
        <v>0</v>
      </c>
      <c r="HB201" s="869"/>
      <c r="HC201" s="373"/>
      <c r="HD201" s="373"/>
      <c r="HE201" s="870"/>
      <c r="HF201" s="373"/>
      <c r="HG201" s="373"/>
      <c r="HH201" s="373"/>
      <c r="HI201" s="618"/>
      <c r="HJ201" s="374">
        <v>0</v>
      </c>
      <c r="HK201" s="869"/>
      <c r="HL201" s="373"/>
      <c r="HM201" s="373"/>
      <c r="HN201" s="870"/>
      <c r="HO201" s="373"/>
      <c r="HP201" s="373"/>
      <c r="HQ201" s="373"/>
      <c r="HR201" s="618"/>
      <c r="HS201" s="374">
        <v>0</v>
      </c>
      <c r="HT201" s="869"/>
      <c r="HU201" s="373">
        <v>2</v>
      </c>
      <c r="HV201" s="373"/>
      <c r="HW201" s="870"/>
      <c r="HX201" s="373">
        <v>2</v>
      </c>
      <c r="HY201" s="373"/>
      <c r="HZ201" s="373"/>
      <c r="IA201" s="618"/>
      <c r="IB201" s="374">
        <v>1</v>
      </c>
      <c r="IC201" s="869">
        <v>9</v>
      </c>
      <c r="ID201" s="373">
        <v>4</v>
      </c>
      <c r="IE201" s="373">
        <v>5</v>
      </c>
      <c r="IF201" s="870">
        <v>2</v>
      </c>
      <c r="IG201" s="373">
        <v>6</v>
      </c>
      <c r="IH201" s="373"/>
      <c r="II201" s="373">
        <v>1</v>
      </c>
      <c r="IJ201" s="618">
        <v>3</v>
      </c>
      <c r="IK201" s="374">
        <v>2</v>
      </c>
      <c r="IL201" s="377"/>
      <c r="IM201" s="373"/>
      <c r="IN201" s="373">
        <v>1</v>
      </c>
      <c r="IO201" s="871"/>
      <c r="IP201" s="871"/>
      <c r="IQ201" s="373"/>
      <c r="IR201" s="373"/>
      <c r="IS201" s="618"/>
      <c r="IT201" s="374">
        <v>0</v>
      </c>
    </row>
    <row r="202" spans="1:254" s="245" customFormat="1" ht="12.75" customHeight="1" x14ac:dyDescent="0.2">
      <c r="A202" s="1052"/>
      <c r="B202" s="868" t="s">
        <v>1054</v>
      </c>
      <c r="C202" s="869"/>
      <c r="D202" s="373"/>
      <c r="E202" s="373"/>
      <c r="F202" s="870"/>
      <c r="G202" s="373"/>
      <c r="H202" s="373"/>
      <c r="I202" s="373"/>
      <c r="J202" s="618"/>
      <c r="K202" s="374">
        <v>0</v>
      </c>
      <c r="L202" s="869"/>
      <c r="M202" s="373"/>
      <c r="N202" s="373"/>
      <c r="O202" s="870"/>
      <c r="P202" s="373"/>
      <c r="Q202" s="373"/>
      <c r="R202" s="373"/>
      <c r="S202" s="618"/>
      <c r="T202" s="374">
        <v>0</v>
      </c>
      <c r="U202" s="869"/>
      <c r="V202" s="373"/>
      <c r="W202" s="373"/>
      <c r="X202" s="870"/>
      <c r="Y202" s="373"/>
      <c r="Z202" s="373"/>
      <c r="AA202" s="373"/>
      <c r="AB202" s="618"/>
      <c r="AC202" s="374">
        <v>0</v>
      </c>
      <c r="AD202" s="869"/>
      <c r="AE202" s="373"/>
      <c r="AF202" s="373"/>
      <c r="AG202" s="870"/>
      <c r="AH202" s="373"/>
      <c r="AI202" s="373"/>
      <c r="AJ202" s="373">
        <v>1</v>
      </c>
      <c r="AK202" s="618"/>
      <c r="AL202" s="374">
        <v>0</v>
      </c>
      <c r="AM202" s="869"/>
      <c r="AN202" s="373"/>
      <c r="AO202" s="373"/>
      <c r="AP202" s="870"/>
      <c r="AQ202" s="373"/>
      <c r="AR202" s="373"/>
      <c r="AS202" s="373"/>
      <c r="AT202" s="618"/>
      <c r="AU202" s="374">
        <v>0</v>
      </c>
      <c r="AV202" s="869"/>
      <c r="AW202" s="373"/>
      <c r="AX202" s="373"/>
      <c r="AY202" s="870"/>
      <c r="AZ202" s="373"/>
      <c r="BA202" s="373"/>
      <c r="BB202" s="373"/>
      <c r="BC202" s="618"/>
      <c r="BD202" s="374">
        <v>0</v>
      </c>
      <c r="BE202" s="869"/>
      <c r="BF202" s="373"/>
      <c r="BG202" s="373"/>
      <c r="BH202" s="870"/>
      <c r="BI202" s="373"/>
      <c r="BJ202" s="373"/>
      <c r="BK202" s="373"/>
      <c r="BL202" s="618"/>
      <c r="BM202" s="374">
        <v>0</v>
      </c>
      <c r="BN202" s="869"/>
      <c r="BO202" s="373"/>
      <c r="BP202" s="373"/>
      <c r="BQ202" s="870"/>
      <c r="BR202" s="373"/>
      <c r="BS202" s="373"/>
      <c r="BT202" s="373"/>
      <c r="BU202" s="618"/>
      <c r="BV202" s="374">
        <v>0</v>
      </c>
      <c r="BW202" s="869"/>
      <c r="BX202" s="373"/>
      <c r="BY202" s="373"/>
      <c r="BZ202" s="870"/>
      <c r="CA202" s="373"/>
      <c r="CB202" s="373"/>
      <c r="CC202" s="373">
        <v>2</v>
      </c>
      <c r="CD202" s="618">
        <v>1</v>
      </c>
      <c r="CE202" s="374">
        <v>0</v>
      </c>
      <c r="CF202" s="869"/>
      <c r="CG202" s="373"/>
      <c r="CH202" s="373"/>
      <c r="CI202" s="870"/>
      <c r="CJ202" s="373"/>
      <c r="CK202" s="373"/>
      <c r="CL202" s="373"/>
      <c r="CM202" s="618"/>
      <c r="CN202" s="374">
        <v>0</v>
      </c>
      <c r="CO202" s="869"/>
      <c r="CP202" s="373"/>
      <c r="CQ202" s="373"/>
      <c r="CR202" s="870"/>
      <c r="CS202" s="373"/>
      <c r="CT202" s="373"/>
      <c r="CU202" s="373"/>
      <c r="CV202" s="618"/>
      <c r="CW202" s="374">
        <v>0</v>
      </c>
      <c r="CX202" s="869"/>
      <c r="CY202" s="373">
        <v>1</v>
      </c>
      <c r="CZ202" s="373"/>
      <c r="DA202" s="870">
        <v>1</v>
      </c>
      <c r="DB202" s="373">
        <v>1</v>
      </c>
      <c r="DC202" s="373">
        <v>2</v>
      </c>
      <c r="DD202" s="373">
        <v>3</v>
      </c>
      <c r="DE202" s="618">
        <v>2</v>
      </c>
      <c r="DF202" s="374">
        <v>0</v>
      </c>
      <c r="DG202" s="869"/>
      <c r="DH202" s="373"/>
      <c r="DI202" s="373"/>
      <c r="DJ202" s="870"/>
      <c r="DK202" s="373"/>
      <c r="DL202" s="373"/>
      <c r="DM202" s="373"/>
      <c r="DN202" s="618"/>
      <c r="DO202" s="374">
        <v>0</v>
      </c>
      <c r="DP202" s="869"/>
      <c r="DQ202" s="373"/>
      <c r="DR202" s="373"/>
      <c r="DS202" s="870">
        <v>1</v>
      </c>
      <c r="DT202" s="373"/>
      <c r="DU202" s="373"/>
      <c r="DV202" s="373"/>
      <c r="DW202" s="618"/>
      <c r="DX202" s="374">
        <v>0</v>
      </c>
      <c r="DY202" s="869"/>
      <c r="DZ202" s="373">
        <v>1</v>
      </c>
      <c r="EA202" s="373"/>
      <c r="EB202" s="870"/>
      <c r="EC202" s="373"/>
      <c r="ED202" s="373"/>
      <c r="EE202" s="373">
        <v>2</v>
      </c>
      <c r="EF202" s="618">
        <v>1</v>
      </c>
      <c r="EG202" s="374">
        <v>0</v>
      </c>
      <c r="EH202" s="869"/>
      <c r="EI202" s="373"/>
      <c r="EJ202" s="373"/>
      <c r="EK202" s="870"/>
      <c r="EL202" s="373"/>
      <c r="EM202" s="373"/>
      <c r="EN202" s="373"/>
      <c r="EO202" s="618"/>
      <c r="EP202" s="374">
        <v>0</v>
      </c>
      <c r="EQ202" s="869"/>
      <c r="ER202" s="373"/>
      <c r="ES202" s="373"/>
      <c r="ET202" s="870"/>
      <c r="EU202" s="373"/>
      <c r="EV202" s="373"/>
      <c r="EW202" s="373"/>
      <c r="EX202" s="618"/>
      <c r="EY202" s="374">
        <v>0</v>
      </c>
      <c r="EZ202" s="869"/>
      <c r="FA202" s="373"/>
      <c r="FB202" s="373"/>
      <c r="FC202" s="870"/>
      <c r="FD202" s="373"/>
      <c r="FE202" s="373"/>
      <c r="FF202" s="373"/>
      <c r="FG202" s="618"/>
      <c r="FH202" s="374">
        <v>0</v>
      </c>
      <c r="FI202" s="869"/>
      <c r="FJ202" s="373"/>
      <c r="FK202" s="373"/>
      <c r="FL202" s="870"/>
      <c r="FM202" s="373"/>
      <c r="FN202" s="373"/>
      <c r="FO202" s="373"/>
      <c r="FP202" s="618"/>
      <c r="FQ202" s="374">
        <v>0</v>
      </c>
      <c r="FR202" s="869"/>
      <c r="FS202" s="373"/>
      <c r="FT202" s="373"/>
      <c r="FU202" s="870"/>
      <c r="FV202" s="373"/>
      <c r="FW202" s="373"/>
      <c r="FX202" s="373"/>
      <c r="FY202" s="618"/>
      <c r="FZ202" s="374">
        <v>0</v>
      </c>
      <c r="GA202" s="869"/>
      <c r="GB202" s="373"/>
      <c r="GC202" s="373"/>
      <c r="GD202" s="870"/>
      <c r="GE202" s="373"/>
      <c r="GF202" s="373"/>
      <c r="GG202" s="373"/>
      <c r="GH202" s="618"/>
      <c r="GI202" s="374">
        <v>0</v>
      </c>
      <c r="GJ202" s="869"/>
      <c r="GK202" s="373">
        <v>1</v>
      </c>
      <c r="GL202" s="373"/>
      <c r="GM202" s="870">
        <v>1</v>
      </c>
      <c r="GN202" s="373">
        <v>1</v>
      </c>
      <c r="GO202" s="373">
        <v>2</v>
      </c>
      <c r="GP202" s="373">
        <v>6</v>
      </c>
      <c r="GQ202" s="618">
        <v>3</v>
      </c>
      <c r="GR202" s="374">
        <v>0</v>
      </c>
      <c r="GS202" s="869"/>
      <c r="GT202" s="373"/>
      <c r="GU202" s="373"/>
      <c r="GV202" s="870"/>
      <c r="GW202" s="373"/>
      <c r="GX202" s="373"/>
      <c r="GY202" s="373">
        <v>1</v>
      </c>
      <c r="GZ202" s="618"/>
      <c r="HA202" s="374">
        <v>0</v>
      </c>
      <c r="HB202" s="869"/>
      <c r="HC202" s="373"/>
      <c r="HD202" s="373"/>
      <c r="HE202" s="870"/>
      <c r="HF202" s="373"/>
      <c r="HG202" s="373"/>
      <c r="HH202" s="373"/>
      <c r="HI202" s="618"/>
      <c r="HJ202" s="374">
        <v>0</v>
      </c>
      <c r="HK202" s="869"/>
      <c r="HL202" s="373"/>
      <c r="HM202" s="373"/>
      <c r="HN202" s="870"/>
      <c r="HO202" s="373"/>
      <c r="HP202" s="373"/>
      <c r="HQ202" s="373"/>
      <c r="HR202" s="618"/>
      <c r="HS202" s="374">
        <v>0</v>
      </c>
      <c r="HT202" s="869">
        <v>2</v>
      </c>
      <c r="HU202" s="373">
        <v>1</v>
      </c>
      <c r="HV202" s="373"/>
      <c r="HW202" s="870">
        <v>2</v>
      </c>
      <c r="HX202" s="373">
        <v>1</v>
      </c>
      <c r="HY202" s="373">
        <v>3</v>
      </c>
      <c r="HZ202" s="373">
        <v>2</v>
      </c>
      <c r="IA202" s="618"/>
      <c r="IB202" s="374">
        <v>2</v>
      </c>
      <c r="IC202" s="869">
        <v>2</v>
      </c>
      <c r="ID202" s="373">
        <v>4</v>
      </c>
      <c r="IE202" s="373"/>
      <c r="IF202" s="870">
        <v>3</v>
      </c>
      <c r="IG202" s="373">
        <v>2</v>
      </c>
      <c r="IH202" s="373">
        <v>8</v>
      </c>
      <c r="II202" s="373">
        <v>9</v>
      </c>
      <c r="IJ202" s="618">
        <v>6</v>
      </c>
      <c r="IK202" s="374">
        <v>2</v>
      </c>
      <c r="IL202" s="377"/>
      <c r="IM202" s="373">
        <v>1</v>
      </c>
      <c r="IN202" s="373"/>
      <c r="IO202" s="871"/>
      <c r="IP202" s="871"/>
      <c r="IQ202" s="373">
        <v>1</v>
      </c>
      <c r="IR202" s="373">
        <v>2</v>
      </c>
      <c r="IS202" s="618">
        <v>1</v>
      </c>
      <c r="IT202" s="374">
        <v>0</v>
      </c>
    </row>
    <row r="203" spans="1:254" s="245" customFormat="1" ht="12.75" customHeight="1" x14ac:dyDescent="0.2">
      <c r="A203" s="1052"/>
      <c r="B203" s="868" t="s">
        <v>1055</v>
      </c>
      <c r="C203" s="869"/>
      <c r="D203" s="373"/>
      <c r="E203" s="373"/>
      <c r="F203" s="870"/>
      <c r="G203" s="373"/>
      <c r="H203" s="373"/>
      <c r="I203" s="373"/>
      <c r="J203" s="618"/>
      <c r="K203" s="374">
        <v>0</v>
      </c>
      <c r="L203" s="869"/>
      <c r="M203" s="373"/>
      <c r="N203" s="373"/>
      <c r="O203" s="870"/>
      <c r="P203" s="373"/>
      <c r="Q203" s="373"/>
      <c r="R203" s="373"/>
      <c r="S203" s="618"/>
      <c r="T203" s="374">
        <v>0</v>
      </c>
      <c r="U203" s="869"/>
      <c r="V203" s="373"/>
      <c r="W203" s="373"/>
      <c r="X203" s="870"/>
      <c r="Y203" s="373"/>
      <c r="Z203" s="373"/>
      <c r="AA203" s="373"/>
      <c r="AB203" s="618"/>
      <c r="AC203" s="374">
        <v>0</v>
      </c>
      <c r="AD203" s="869"/>
      <c r="AE203" s="373"/>
      <c r="AF203" s="373"/>
      <c r="AG203" s="870"/>
      <c r="AH203" s="373"/>
      <c r="AI203" s="373"/>
      <c r="AJ203" s="373"/>
      <c r="AK203" s="618"/>
      <c r="AL203" s="374">
        <v>0</v>
      </c>
      <c r="AM203" s="869"/>
      <c r="AN203" s="373"/>
      <c r="AO203" s="373"/>
      <c r="AP203" s="870"/>
      <c r="AQ203" s="373"/>
      <c r="AR203" s="373"/>
      <c r="AS203" s="373"/>
      <c r="AT203" s="618"/>
      <c r="AU203" s="374">
        <v>0</v>
      </c>
      <c r="AV203" s="869"/>
      <c r="AW203" s="373"/>
      <c r="AX203" s="373"/>
      <c r="AY203" s="870"/>
      <c r="AZ203" s="373"/>
      <c r="BA203" s="373"/>
      <c r="BB203" s="373"/>
      <c r="BC203" s="618"/>
      <c r="BD203" s="374">
        <v>0</v>
      </c>
      <c r="BE203" s="869"/>
      <c r="BF203" s="373"/>
      <c r="BG203" s="373"/>
      <c r="BH203" s="870"/>
      <c r="BI203" s="373"/>
      <c r="BJ203" s="373"/>
      <c r="BK203" s="373"/>
      <c r="BL203" s="618"/>
      <c r="BM203" s="374">
        <v>0</v>
      </c>
      <c r="BN203" s="869"/>
      <c r="BO203" s="373"/>
      <c r="BP203" s="373"/>
      <c r="BQ203" s="870"/>
      <c r="BR203" s="373"/>
      <c r="BS203" s="373"/>
      <c r="BT203" s="373">
        <v>1</v>
      </c>
      <c r="BU203" s="618"/>
      <c r="BV203" s="374">
        <v>0</v>
      </c>
      <c r="BW203" s="869"/>
      <c r="BX203" s="373"/>
      <c r="BY203" s="373"/>
      <c r="BZ203" s="870"/>
      <c r="CA203" s="373"/>
      <c r="CB203" s="373"/>
      <c r="CC203" s="373"/>
      <c r="CD203" s="618"/>
      <c r="CE203" s="374">
        <v>0</v>
      </c>
      <c r="CF203" s="869"/>
      <c r="CG203" s="373"/>
      <c r="CH203" s="373"/>
      <c r="CI203" s="870"/>
      <c r="CJ203" s="373"/>
      <c r="CK203" s="373"/>
      <c r="CL203" s="373"/>
      <c r="CM203" s="618"/>
      <c r="CN203" s="374">
        <v>0</v>
      </c>
      <c r="CO203" s="869"/>
      <c r="CP203" s="373"/>
      <c r="CQ203" s="373"/>
      <c r="CR203" s="870"/>
      <c r="CS203" s="373"/>
      <c r="CT203" s="373"/>
      <c r="CU203" s="373"/>
      <c r="CV203" s="618"/>
      <c r="CW203" s="374">
        <v>0</v>
      </c>
      <c r="CX203" s="869">
        <v>1</v>
      </c>
      <c r="CY203" s="373">
        <v>3</v>
      </c>
      <c r="CZ203" s="373">
        <v>8</v>
      </c>
      <c r="DA203" s="870">
        <v>3</v>
      </c>
      <c r="DB203" s="373">
        <v>4</v>
      </c>
      <c r="DC203" s="373">
        <v>2</v>
      </c>
      <c r="DD203" s="373">
        <v>2</v>
      </c>
      <c r="DE203" s="618"/>
      <c r="DF203" s="374">
        <v>0</v>
      </c>
      <c r="DG203" s="869"/>
      <c r="DH203" s="373"/>
      <c r="DI203" s="373">
        <v>1</v>
      </c>
      <c r="DJ203" s="870"/>
      <c r="DK203" s="373"/>
      <c r="DL203" s="373"/>
      <c r="DM203" s="373"/>
      <c r="DN203" s="618"/>
      <c r="DO203" s="374">
        <v>0</v>
      </c>
      <c r="DP203" s="869"/>
      <c r="DQ203" s="373"/>
      <c r="DR203" s="373"/>
      <c r="DS203" s="870"/>
      <c r="DT203" s="373"/>
      <c r="DU203" s="373"/>
      <c r="DV203" s="373"/>
      <c r="DW203" s="618"/>
      <c r="DX203" s="374">
        <v>0</v>
      </c>
      <c r="DY203" s="869">
        <v>1</v>
      </c>
      <c r="DZ203" s="373">
        <v>1</v>
      </c>
      <c r="EA203" s="373">
        <v>2</v>
      </c>
      <c r="EB203" s="870">
        <v>2</v>
      </c>
      <c r="EC203" s="373">
        <v>1</v>
      </c>
      <c r="ED203" s="373">
        <v>1</v>
      </c>
      <c r="EE203" s="373">
        <v>1</v>
      </c>
      <c r="EF203" s="618"/>
      <c r="EG203" s="374">
        <v>0</v>
      </c>
      <c r="EH203" s="869"/>
      <c r="EI203" s="373"/>
      <c r="EJ203" s="373"/>
      <c r="EK203" s="870"/>
      <c r="EL203" s="373"/>
      <c r="EM203" s="373"/>
      <c r="EN203" s="373"/>
      <c r="EO203" s="618"/>
      <c r="EP203" s="374">
        <v>0</v>
      </c>
      <c r="EQ203" s="869"/>
      <c r="ER203" s="373"/>
      <c r="ES203" s="373"/>
      <c r="ET203" s="870"/>
      <c r="EU203" s="373"/>
      <c r="EV203" s="373"/>
      <c r="EW203" s="373"/>
      <c r="EX203" s="618"/>
      <c r="EY203" s="374">
        <v>0</v>
      </c>
      <c r="EZ203" s="869"/>
      <c r="FA203" s="373"/>
      <c r="FB203" s="373"/>
      <c r="FC203" s="870"/>
      <c r="FD203" s="373"/>
      <c r="FE203" s="373"/>
      <c r="FF203" s="373"/>
      <c r="FG203" s="618"/>
      <c r="FH203" s="374">
        <v>0</v>
      </c>
      <c r="FI203" s="869"/>
      <c r="FJ203" s="373"/>
      <c r="FK203" s="373"/>
      <c r="FL203" s="870"/>
      <c r="FM203" s="373"/>
      <c r="FN203" s="373"/>
      <c r="FO203" s="373"/>
      <c r="FP203" s="618"/>
      <c r="FQ203" s="374">
        <v>0</v>
      </c>
      <c r="FR203" s="869"/>
      <c r="FS203" s="373"/>
      <c r="FT203" s="373"/>
      <c r="FU203" s="870"/>
      <c r="FV203" s="373"/>
      <c r="FW203" s="373"/>
      <c r="FX203" s="373"/>
      <c r="FY203" s="618"/>
      <c r="FZ203" s="374">
        <v>0</v>
      </c>
      <c r="GA203" s="869"/>
      <c r="GB203" s="373"/>
      <c r="GC203" s="373"/>
      <c r="GD203" s="870"/>
      <c r="GE203" s="373"/>
      <c r="GF203" s="373"/>
      <c r="GG203" s="373"/>
      <c r="GH203" s="618"/>
      <c r="GI203" s="374">
        <v>0</v>
      </c>
      <c r="GJ203" s="869">
        <v>1</v>
      </c>
      <c r="GK203" s="373">
        <v>3</v>
      </c>
      <c r="GL203" s="373">
        <v>8</v>
      </c>
      <c r="GM203" s="870">
        <v>3</v>
      </c>
      <c r="GN203" s="373">
        <v>4</v>
      </c>
      <c r="GO203" s="373">
        <v>2</v>
      </c>
      <c r="GP203" s="373">
        <v>3</v>
      </c>
      <c r="GQ203" s="618"/>
      <c r="GR203" s="374">
        <v>0</v>
      </c>
      <c r="GS203" s="869"/>
      <c r="GT203" s="373"/>
      <c r="GU203" s="373">
        <v>2</v>
      </c>
      <c r="GV203" s="870"/>
      <c r="GW203" s="373"/>
      <c r="GX203" s="373"/>
      <c r="GY203" s="373"/>
      <c r="GZ203" s="618"/>
      <c r="HA203" s="374">
        <v>0</v>
      </c>
      <c r="HB203" s="869"/>
      <c r="HC203" s="373"/>
      <c r="HD203" s="373"/>
      <c r="HE203" s="870"/>
      <c r="HF203" s="373"/>
      <c r="HG203" s="373"/>
      <c r="HH203" s="373"/>
      <c r="HI203" s="618"/>
      <c r="HJ203" s="374">
        <v>0</v>
      </c>
      <c r="HK203" s="869"/>
      <c r="HL203" s="373"/>
      <c r="HM203" s="373"/>
      <c r="HN203" s="870"/>
      <c r="HO203" s="373"/>
      <c r="HP203" s="373"/>
      <c r="HQ203" s="373"/>
      <c r="HR203" s="618"/>
      <c r="HS203" s="374">
        <v>0</v>
      </c>
      <c r="HT203" s="869">
        <v>2</v>
      </c>
      <c r="HU203" s="373">
        <v>2</v>
      </c>
      <c r="HV203" s="373">
        <v>3</v>
      </c>
      <c r="HW203" s="870">
        <v>1</v>
      </c>
      <c r="HX203" s="373">
        <v>1</v>
      </c>
      <c r="HY203" s="373">
        <v>1</v>
      </c>
      <c r="HZ203" s="373">
        <v>1</v>
      </c>
      <c r="IA203" s="618">
        <v>3</v>
      </c>
      <c r="IB203" s="374">
        <v>2</v>
      </c>
      <c r="IC203" s="869">
        <v>4</v>
      </c>
      <c r="ID203" s="373">
        <v>6</v>
      </c>
      <c r="IE203" s="373">
        <v>12</v>
      </c>
      <c r="IF203" s="870">
        <v>5</v>
      </c>
      <c r="IG203" s="373">
        <v>5</v>
      </c>
      <c r="IH203" s="373">
        <v>3</v>
      </c>
      <c r="II203" s="373">
        <v>4</v>
      </c>
      <c r="IJ203" s="618">
        <v>3</v>
      </c>
      <c r="IK203" s="374">
        <v>2</v>
      </c>
      <c r="IL203" s="377">
        <v>1</v>
      </c>
      <c r="IM203" s="373">
        <v>3</v>
      </c>
      <c r="IN203" s="373">
        <v>5</v>
      </c>
      <c r="IO203" s="871">
        <v>3</v>
      </c>
      <c r="IP203" s="871">
        <v>2</v>
      </c>
      <c r="IQ203" s="373">
        <v>2</v>
      </c>
      <c r="IR203" s="373">
        <v>1</v>
      </c>
      <c r="IS203" s="618"/>
      <c r="IT203" s="374">
        <v>0</v>
      </c>
    </row>
    <row r="204" spans="1:254" s="245" customFormat="1" ht="12.75" customHeight="1" x14ac:dyDescent="0.2">
      <c r="A204" s="1052"/>
      <c r="B204" s="868" t="s">
        <v>1056</v>
      </c>
      <c r="C204" s="869"/>
      <c r="D204" s="373"/>
      <c r="E204" s="373"/>
      <c r="F204" s="870"/>
      <c r="G204" s="373"/>
      <c r="H204" s="373"/>
      <c r="I204" s="373"/>
      <c r="J204" s="618"/>
      <c r="K204" s="374">
        <v>0</v>
      </c>
      <c r="L204" s="869"/>
      <c r="M204" s="373"/>
      <c r="N204" s="373"/>
      <c r="O204" s="870"/>
      <c r="P204" s="373"/>
      <c r="Q204" s="373"/>
      <c r="R204" s="373"/>
      <c r="S204" s="618"/>
      <c r="T204" s="374">
        <v>0</v>
      </c>
      <c r="U204" s="869"/>
      <c r="V204" s="373"/>
      <c r="W204" s="373"/>
      <c r="X204" s="870"/>
      <c r="Y204" s="373"/>
      <c r="Z204" s="373"/>
      <c r="AA204" s="373"/>
      <c r="AB204" s="618"/>
      <c r="AC204" s="374">
        <v>0</v>
      </c>
      <c r="AD204" s="869"/>
      <c r="AE204" s="373">
        <v>1</v>
      </c>
      <c r="AF204" s="373"/>
      <c r="AG204" s="870">
        <v>1</v>
      </c>
      <c r="AH204" s="373"/>
      <c r="AI204" s="373"/>
      <c r="AJ204" s="373">
        <v>2</v>
      </c>
      <c r="AK204" s="618">
        <v>1</v>
      </c>
      <c r="AL204" s="374">
        <v>0</v>
      </c>
      <c r="AM204" s="869"/>
      <c r="AN204" s="373"/>
      <c r="AO204" s="373"/>
      <c r="AP204" s="870">
        <v>1</v>
      </c>
      <c r="AQ204" s="373"/>
      <c r="AR204" s="373"/>
      <c r="AS204" s="373">
        <v>1</v>
      </c>
      <c r="AT204" s="618">
        <v>1</v>
      </c>
      <c r="AU204" s="374">
        <v>0</v>
      </c>
      <c r="AV204" s="869"/>
      <c r="AW204" s="373"/>
      <c r="AX204" s="373"/>
      <c r="AY204" s="870"/>
      <c r="AZ204" s="373"/>
      <c r="BA204" s="373"/>
      <c r="BB204" s="373"/>
      <c r="BC204" s="618"/>
      <c r="BD204" s="374">
        <v>0</v>
      </c>
      <c r="BE204" s="869"/>
      <c r="BF204" s="373"/>
      <c r="BG204" s="373"/>
      <c r="BH204" s="870"/>
      <c r="BI204" s="373"/>
      <c r="BJ204" s="373"/>
      <c r="BK204" s="373"/>
      <c r="BL204" s="618"/>
      <c r="BM204" s="374">
        <v>0</v>
      </c>
      <c r="BN204" s="869"/>
      <c r="BO204" s="373"/>
      <c r="BP204" s="373"/>
      <c r="BQ204" s="870"/>
      <c r="BR204" s="373"/>
      <c r="BS204" s="373"/>
      <c r="BT204" s="373"/>
      <c r="BU204" s="618"/>
      <c r="BV204" s="374">
        <v>0</v>
      </c>
      <c r="BW204" s="869"/>
      <c r="BX204" s="373">
        <v>1</v>
      </c>
      <c r="BY204" s="373"/>
      <c r="BZ204" s="870"/>
      <c r="CA204" s="373"/>
      <c r="CB204" s="373"/>
      <c r="CC204" s="373">
        <v>1</v>
      </c>
      <c r="CD204" s="618"/>
      <c r="CE204" s="374">
        <v>1</v>
      </c>
      <c r="CF204" s="869"/>
      <c r="CG204" s="373"/>
      <c r="CH204" s="373"/>
      <c r="CI204" s="870"/>
      <c r="CJ204" s="373"/>
      <c r="CK204" s="373"/>
      <c r="CL204" s="373"/>
      <c r="CM204" s="618"/>
      <c r="CN204" s="374">
        <v>0</v>
      </c>
      <c r="CO204" s="869"/>
      <c r="CP204" s="373"/>
      <c r="CQ204" s="373"/>
      <c r="CR204" s="870"/>
      <c r="CS204" s="373"/>
      <c r="CT204" s="373"/>
      <c r="CU204" s="373"/>
      <c r="CV204" s="618"/>
      <c r="CW204" s="374">
        <v>0</v>
      </c>
      <c r="CX204" s="869"/>
      <c r="CY204" s="373"/>
      <c r="CZ204" s="373">
        <v>2</v>
      </c>
      <c r="DA204" s="870">
        <v>4</v>
      </c>
      <c r="DB204" s="373">
        <v>2</v>
      </c>
      <c r="DC204" s="373">
        <v>2</v>
      </c>
      <c r="DD204" s="373"/>
      <c r="DE204" s="618">
        <v>1</v>
      </c>
      <c r="DF204" s="374">
        <v>0</v>
      </c>
      <c r="DG204" s="869"/>
      <c r="DH204" s="373"/>
      <c r="DI204" s="373"/>
      <c r="DJ204" s="870"/>
      <c r="DK204" s="373"/>
      <c r="DL204" s="373"/>
      <c r="DM204" s="373"/>
      <c r="DN204" s="618"/>
      <c r="DO204" s="374">
        <v>0</v>
      </c>
      <c r="DP204" s="869"/>
      <c r="DQ204" s="373"/>
      <c r="DR204" s="373"/>
      <c r="DS204" s="870"/>
      <c r="DT204" s="373"/>
      <c r="DU204" s="373"/>
      <c r="DV204" s="373"/>
      <c r="DW204" s="618"/>
      <c r="DX204" s="374">
        <v>0</v>
      </c>
      <c r="DY204" s="869"/>
      <c r="DZ204" s="373"/>
      <c r="EA204" s="373"/>
      <c r="EB204" s="870"/>
      <c r="EC204" s="373"/>
      <c r="ED204" s="373"/>
      <c r="EE204" s="373"/>
      <c r="EF204" s="618"/>
      <c r="EG204" s="374">
        <v>0</v>
      </c>
      <c r="EH204" s="869"/>
      <c r="EI204" s="373"/>
      <c r="EJ204" s="373"/>
      <c r="EK204" s="870"/>
      <c r="EL204" s="373"/>
      <c r="EM204" s="373"/>
      <c r="EN204" s="373"/>
      <c r="EO204" s="618"/>
      <c r="EP204" s="374">
        <v>0</v>
      </c>
      <c r="EQ204" s="869"/>
      <c r="ER204" s="373"/>
      <c r="ES204" s="373"/>
      <c r="ET204" s="870"/>
      <c r="EU204" s="373"/>
      <c r="EV204" s="373"/>
      <c r="EW204" s="373"/>
      <c r="EX204" s="618"/>
      <c r="EY204" s="374">
        <v>0</v>
      </c>
      <c r="EZ204" s="869"/>
      <c r="FA204" s="373"/>
      <c r="FB204" s="373"/>
      <c r="FC204" s="870"/>
      <c r="FD204" s="373"/>
      <c r="FE204" s="373"/>
      <c r="FF204" s="373"/>
      <c r="FG204" s="618"/>
      <c r="FH204" s="374">
        <v>0</v>
      </c>
      <c r="FI204" s="869"/>
      <c r="FJ204" s="373"/>
      <c r="FK204" s="373"/>
      <c r="FL204" s="870"/>
      <c r="FM204" s="373"/>
      <c r="FN204" s="373"/>
      <c r="FO204" s="373"/>
      <c r="FP204" s="618"/>
      <c r="FQ204" s="374">
        <v>0</v>
      </c>
      <c r="FR204" s="869"/>
      <c r="FS204" s="373"/>
      <c r="FT204" s="373"/>
      <c r="FU204" s="870"/>
      <c r="FV204" s="373"/>
      <c r="FW204" s="373"/>
      <c r="FX204" s="373"/>
      <c r="FY204" s="618"/>
      <c r="FZ204" s="374">
        <v>0</v>
      </c>
      <c r="GA204" s="869"/>
      <c r="GB204" s="373">
        <v>1</v>
      </c>
      <c r="GC204" s="373"/>
      <c r="GD204" s="870"/>
      <c r="GE204" s="373"/>
      <c r="GF204" s="373"/>
      <c r="GG204" s="373"/>
      <c r="GH204" s="618"/>
      <c r="GI204" s="374">
        <v>0</v>
      </c>
      <c r="GJ204" s="869"/>
      <c r="GK204" s="373">
        <v>3</v>
      </c>
      <c r="GL204" s="373">
        <v>2</v>
      </c>
      <c r="GM204" s="870">
        <v>5</v>
      </c>
      <c r="GN204" s="373">
        <v>2</v>
      </c>
      <c r="GO204" s="373">
        <v>2</v>
      </c>
      <c r="GP204" s="373">
        <v>3</v>
      </c>
      <c r="GQ204" s="618">
        <v>2</v>
      </c>
      <c r="GR204" s="374">
        <v>1</v>
      </c>
      <c r="GS204" s="869"/>
      <c r="GT204" s="373"/>
      <c r="GU204" s="373">
        <v>1</v>
      </c>
      <c r="GV204" s="870">
        <v>4</v>
      </c>
      <c r="GW204" s="373"/>
      <c r="GX204" s="373"/>
      <c r="GY204" s="373">
        <v>1</v>
      </c>
      <c r="GZ204" s="618">
        <v>1</v>
      </c>
      <c r="HA204" s="374">
        <v>1</v>
      </c>
      <c r="HB204" s="869"/>
      <c r="HC204" s="373"/>
      <c r="HD204" s="373"/>
      <c r="HE204" s="870"/>
      <c r="HF204" s="373"/>
      <c r="HG204" s="373"/>
      <c r="HH204" s="373"/>
      <c r="HI204" s="618"/>
      <c r="HJ204" s="374">
        <v>0</v>
      </c>
      <c r="HK204" s="869"/>
      <c r="HL204" s="373"/>
      <c r="HM204" s="373"/>
      <c r="HN204" s="870"/>
      <c r="HO204" s="373"/>
      <c r="HP204" s="373"/>
      <c r="HQ204" s="373"/>
      <c r="HR204" s="618"/>
      <c r="HS204" s="374">
        <v>0</v>
      </c>
      <c r="HT204" s="869"/>
      <c r="HU204" s="373"/>
      <c r="HV204" s="373">
        <v>2</v>
      </c>
      <c r="HW204" s="870">
        <v>4</v>
      </c>
      <c r="HX204" s="373"/>
      <c r="HY204" s="373"/>
      <c r="HZ204" s="373">
        <v>1</v>
      </c>
      <c r="IA204" s="618">
        <v>1</v>
      </c>
      <c r="IB204" s="374">
        <v>1</v>
      </c>
      <c r="IC204" s="869">
        <v>4</v>
      </c>
      <c r="ID204" s="373">
        <v>5</v>
      </c>
      <c r="IE204" s="373">
        <v>3</v>
      </c>
      <c r="IF204" s="870">
        <v>5</v>
      </c>
      <c r="IG204" s="373">
        <v>2</v>
      </c>
      <c r="IH204" s="373">
        <v>3</v>
      </c>
      <c r="II204" s="373">
        <v>3</v>
      </c>
      <c r="IJ204" s="618">
        <v>3</v>
      </c>
      <c r="IK204" s="374">
        <v>2</v>
      </c>
      <c r="IL204" s="377"/>
      <c r="IM204" s="373"/>
      <c r="IN204" s="373"/>
      <c r="IO204" s="871"/>
      <c r="IP204" s="871"/>
      <c r="IQ204" s="373"/>
      <c r="IR204" s="373"/>
      <c r="IS204" s="618"/>
      <c r="IT204" s="374">
        <v>0</v>
      </c>
    </row>
    <row r="205" spans="1:254" s="245" customFormat="1" ht="12.75" customHeight="1" x14ac:dyDescent="0.2">
      <c r="A205" s="1052"/>
      <c r="B205" s="868" t="s">
        <v>1057</v>
      </c>
      <c r="C205" s="869"/>
      <c r="D205" s="373"/>
      <c r="E205" s="373"/>
      <c r="F205" s="870"/>
      <c r="G205" s="373"/>
      <c r="H205" s="373"/>
      <c r="I205" s="373"/>
      <c r="J205" s="618"/>
      <c r="K205" s="374">
        <v>0</v>
      </c>
      <c r="L205" s="869"/>
      <c r="M205" s="373"/>
      <c r="N205" s="373"/>
      <c r="O205" s="870"/>
      <c r="P205" s="373"/>
      <c r="Q205" s="373"/>
      <c r="R205" s="373"/>
      <c r="S205" s="618"/>
      <c r="T205" s="374">
        <v>0</v>
      </c>
      <c r="U205" s="869"/>
      <c r="V205" s="373"/>
      <c r="W205" s="373"/>
      <c r="X205" s="870"/>
      <c r="Y205" s="373"/>
      <c r="Z205" s="373"/>
      <c r="AA205" s="373"/>
      <c r="AB205" s="618"/>
      <c r="AC205" s="374">
        <v>0</v>
      </c>
      <c r="AD205" s="869">
        <v>1</v>
      </c>
      <c r="AE205" s="373"/>
      <c r="AF205" s="373"/>
      <c r="AG205" s="870"/>
      <c r="AH205" s="373"/>
      <c r="AI205" s="373"/>
      <c r="AJ205" s="373"/>
      <c r="AK205" s="618"/>
      <c r="AL205" s="374">
        <v>0</v>
      </c>
      <c r="AM205" s="869">
        <v>1</v>
      </c>
      <c r="AN205" s="373"/>
      <c r="AO205" s="373"/>
      <c r="AP205" s="870"/>
      <c r="AQ205" s="373"/>
      <c r="AR205" s="373"/>
      <c r="AS205" s="373"/>
      <c r="AT205" s="618"/>
      <c r="AU205" s="374">
        <v>0</v>
      </c>
      <c r="AV205" s="869"/>
      <c r="AW205" s="373"/>
      <c r="AX205" s="373"/>
      <c r="AY205" s="870"/>
      <c r="AZ205" s="373"/>
      <c r="BA205" s="373"/>
      <c r="BB205" s="373"/>
      <c r="BC205" s="618"/>
      <c r="BD205" s="374">
        <v>0</v>
      </c>
      <c r="BE205" s="869"/>
      <c r="BF205" s="373"/>
      <c r="BG205" s="373"/>
      <c r="BH205" s="870"/>
      <c r="BI205" s="373"/>
      <c r="BJ205" s="373"/>
      <c r="BK205" s="373"/>
      <c r="BL205" s="618"/>
      <c r="BM205" s="374">
        <v>0</v>
      </c>
      <c r="BN205" s="869"/>
      <c r="BO205" s="373"/>
      <c r="BP205" s="373">
        <v>1</v>
      </c>
      <c r="BQ205" s="870"/>
      <c r="BR205" s="373"/>
      <c r="BS205" s="373"/>
      <c r="BT205" s="373"/>
      <c r="BU205" s="618"/>
      <c r="BV205" s="374">
        <v>0</v>
      </c>
      <c r="BW205" s="869">
        <v>1</v>
      </c>
      <c r="BX205" s="373"/>
      <c r="BY205" s="373"/>
      <c r="BZ205" s="870"/>
      <c r="CA205" s="373">
        <v>1</v>
      </c>
      <c r="CB205" s="373"/>
      <c r="CC205" s="373"/>
      <c r="CD205" s="618"/>
      <c r="CE205" s="374">
        <v>0</v>
      </c>
      <c r="CF205" s="869"/>
      <c r="CG205" s="373"/>
      <c r="CH205" s="373"/>
      <c r="CI205" s="870"/>
      <c r="CJ205" s="373"/>
      <c r="CK205" s="373"/>
      <c r="CL205" s="373"/>
      <c r="CM205" s="618"/>
      <c r="CN205" s="374">
        <v>0</v>
      </c>
      <c r="CO205" s="869"/>
      <c r="CP205" s="373"/>
      <c r="CQ205" s="373"/>
      <c r="CR205" s="870"/>
      <c r="CS205" s="373"/>
      <c r="CT205" s="373"/>
      <c r="CU205" s="373"/>
      <c r="CV205" s="618"/>
      <c r="CW205" s="374">
        <v>0</v>
      </c>
      <c r="CX205" s="869">
        <v>7</v>
      </c>
      <c r="CY205" s="373">
        <v>7</v>
      </c>
      <c r="CZ205" s="373">
        <v>12</v>
      </c>
      <c r="DA205" s="870"/>
      <c r="DB205" s="373">
        <v>8</v>
      </c>
      <c r="DC205" s="373">
        <v>2</v>
      </c>
      <c r="DD205" s="373">
        <v>1</v>
      </c>
      <c r="DE205" s="618">
        <v>1</v>
      </c>
      <c r="DF205" s="374">
        <v>1</v>
      </c>
      <c r="DG205" s="869"/>
      <c r="DH205" s="373"/>
      <c r="DI205" s="373"/>
      <c r="DJ205" s="870"/>
      <c r="DK205" s="373"/>
      <c r="DL205" s="373"/>
      <c r="DM205" s="373"/>
      <c r="DN205" s="618"/>
      <c r="DO205" s="374">
        <v>0</v>
      </c>
      <c r="DP205" s="869"/>
      <c r="DQ205" s="373"/>
      <c r="DR205" s="373"/>
      <c r="DS205" s="870"/>
      <c r="DT205" s="373"/>
      <c r="DU205" s="373"/>
      <c r="DV205" s="373"/>
      <c r="DW205" s="618"/>
      <c r="DX205" s="374">
        <v>0</v>
      </c>
      <c r="DY205" s="869"/>
      <c r="DZ205" s="373"/>
      <c r="EA205" s="373"/>
      <c r="EB205" s="870"/>
      <c r="EC205" s="373"/>
      <c r="ED205" s="373"/>
      <c r="EE205" s="373"/>
      <c r="EF205" s="618"/>
      <c r="EG205" s="374">
        <v>0</v>
      </c>
      <c r="EH205" s="869"/>
      <c r="EI205" s="373"/>
      <c r="EJ205" s="373"/>
      <c r="EK205" s="870"/>
      <c r="EL205" s="373"/>
      <c r="EM205" s="373"/>
      <c r="EN205" s="373"/>
      <c r="EO205" s="618"/>
      <c r="EP205" s="374">
        <v>0</v>
      </c>
      <c r="EQ205" s="869"/>
      <c r="ER205" s="373"/>
      <c r="ES205" s="373"/>
      <c r="ET205" s="870"/>
      <c r="EU205" s="373"/>
      <c r="EV205" s="373"/>
      <c r="EW205" s="373"/>
      <c r="EX205" s="618"/>
      <c r="EY205" s="374">
        <v>0</v>
      </c>
      <c r="EZ205" s="869"/>
      <c r="FA205" s="373"/>
      <c r="FB205" s="373"/>
      <c r="FC205" s="870"/>
      <c r="FD205" s="373"/>
      <c r="FE205" s="373"/>
      <c r="FF205" s="373"/>
      <c r="FG205" s="618"/>
      <c r="FH205" s="374">
        <v>0</v>
      </c>
      <c r="FI205" s="869">
        <v>1</v>
      </c>
      <c r="FJ205" s="373">
        <v>1</v>
      </c>
      <c r="FK205" s="373"/>
      <c r="FL205" s="870"/>
      <c r="FM205" s="373"/>
      <c r="FN205" s="373"/>
      <c r="FO205" s="373">
        <v>1</v>
      </c>
      <c r="FP205" s="618"/>
      <c r="FQ205" s="374">
        <v>0</v>
      </c>
      <c r="FR205" s="869"/>
      <c r="FS205" s="373"/>
      <c r="FT205" s="373"/>
      <c r="FU205" s="870"/>
      <c r="FV205" s="373"/>
      <c r="FW205" s="373"/>
      <c r="FX205" s="373"/>
      <c r="FY205" s="618"/>
      <c r="FZ205" s="374">
        <v>0</v>
      </c>
      <c r="GA205" s="869"/>
      <c r="GB205" s="373"/>
      <c r="GC205" s="373"/>
      <c r="GD205" s="870"/>
      <c r="GE205" s="373"/>
      <c r="GF205" s="373"/>
      <c r="GG205" s="373"/>
      <c r="GH205" s="618"/>
      <c r="GI205" s="374">
        <v>0</v>
      </c>
      <c r="GJ205" s="869">
        <v>10</v>
      </c>
      <c r="GK205" s="373">
        <v>8</v>
      </c>
      <c r="GL205" s="373">
        <v>13</v>
      </c>
      <c r="GM205" s="870"/>
      <c r="GN205" s="373">
        <v>9</v>
      </c>
      <c r="GO205" s="373">
        <v>2</v>
      </c>
      <c r="GP205" s="373">
        <v>2</v>
      </c>
      <c r="GQ205" s="618">
        <v>1</v>
      </c>
      <c r="GR205" s="374">
        <v>1</v>
      </c>
      <c r="GS205" s="869">
        <v>3</v>
      </c>
      <c r="GT205" s="373">
        <v>1</v>
      </c>
      <c r="GU205" s="373"/>
      <c r="GV205" s="870"/>
      <c r="GW205" s="373">
        <v>1</v>
      </c>
      <c r="GX205" s="373"/>
      <c r="GY205" s="373"/>
      <c r="GZ205" s="618"/>
      <c r="HA205" s="374">
        <v>0</v>
      </c>
      <c r="HB205" s="869"/>
      <c r="HC205" s="373"/>
      <c r="HD205" s="373"/>
      <c r="HE205" s="870"/>
      <c r="HF205" s="373"/>
      <c r="HG205" s="373"/>
      <c r="HH205" s="373"/>
      <c r="HI205" s="618"/>
      <c r="HJ205" s="374">
        <v>0</v>
      </c>
      <c r="HK205" s="869"/>
      <c r="HL205" s="373"/>
      <c r="HM205" s="373"/>
      <c r="HN205" s="870"/>
      <c r="HO205" s="373"/>
      <c r="HP205" s="373"/>
      <c r="HQ205" s="373"/>
      <c r="HR205" s="618"/>
      <c r="HS205" s="374">
        <v>0</v>
      </c>
      <c r="HT205" s="869">
        <v>3</v>
      </c>
      <c r="HU205" s="373">
        <v>1</v>
      </c>
      <c r="HV205" s="373"/>
      <c r="HW205" s="870">
        <v>1</v>
      </c>
      <c r="HX205" s="373">
        <v>3</v>
      </c>
      <c r="HY205" s="373">
        <v>1</v>
      </c>
      <c r="HZ205" s="373"/>
      <c r="IA205" s="618"/>
      <c r="IB205" s="374">
        <v>0</v>
      </c>
      <c r="IC205" s="869">
        <v>11</v>
      </c>
      <c r="ID205" s="373">
        <v>9</v>
      </c>
      <c r="IE205" s="373">
        <v>18</v>
      </c>
      <c r="IF205" s="870">
        <v>5</v>
      </c>
      <c r="IG205" s="373">
        <v>14</v>
      </c>
      <c r="IH205" s="373">
        <v>3</v>
      </c>
      <c r="II205" s="373">
        <v>3</v>
      </c>
      <c r="IJ205" s="618">
        <v>1</v>
      </c>
      <c r="IK205" s="374">
        <v>5</v>
      </c>
      <c r="IL205" s="377">
        <v>5</v>
      </c>
      <c r="IM205" s="373">
        <v>2</v>
      </c>
      <c r="IN205" s="373">
        <v>12</v>
      </c>
      <c r="IO205" s="871"/>
      <c r="IP205" s="871">
        <v>7</v>
      </c>
      <c r="IQ205" s="373">
        <v>1</v>
      </c>
      <c r="IR205" s="373"/>
      <c r="IS205" s="618">
        <v>1</v>
      </c>
      <c r="IT205" s="374">
        <v>0</v>
      </c>
    </row>
    <row r="206" spans="1:254" s="245" customFormat="1" ht="12.75" customHeight="1" x14ac:dyDescent="0.2">
      <c r="A206" s="1052"/>
      <c r="B206" s="868" t="s">
        <v>1058</v>
      </c>
      <c r="C206" s="869"/>
      <c r="D206" s="373"/>
      <c r="E206" s="373"/>
      <c r="F206" s="870"/>
      <c r="G206" s="373"/>
      <c r="H206" s="373"/>
      <c r="I206" s="373"/>
      <c r="J206" s="618"/>
      <c r="K206" s="374">
        <v>0</v>
      </c>
      <c r="L206" s="869"/>
      <c r="M206" s="373"/>
      <c r="N206" s="373"/>
      <c r="O206" s="870"/>
      <c r="P206" s="373"/>
      <c r="Q206" s="373"/>
      <c r="R206" s="373"/>
      <c r="S206" s="618"/>
      <c r="T206" s="374">
        <v>0</v>
      </c>
      <c r="U206" s="869"/>
      <c r="V206" s="373"/>
      <c r="W206" s="373"/>
      <c r="X206" s="870"/>
      <c r="Y206" s="373"/>
      <c r="Z206" s="373"/>
      <c r="AA206" s="373"/>
      <c r="AB206" s="618"/>
      <c r="AC206" s="374">
        <v>0</v>
      </c>
      <c r="AD206" s="869">
        <v>2</v>
      </c>
      <c r="AE206" s="373"/>
      <c r="AF206" s="373"/>
      <c r="AG206" s="870"/>
      <c r="AH206" s="373"/>
      <c r="AI206" s="373"/>
      <c r="AJ206" s="373"/>
      <c r="AK206" s="618"/>
      <c r="AL206" s="374">
        <v>0</v>
      </c>
      <c r="AM206" s="869"/>
      <c r="AN206" s="373"/>
      <c r="AO206" s="373"/>
      <c r="AP206" s="870"/>
      <c r="AQ206" s="373"/>
      <c r="AR206" s="373"/>
      <c r="AS206" s="373"/>
      <c r="AT206" s="618"/>
      <c r="AU206" s="374">
        <v>0</v>
      </c>
      <c r="AV206" s="869"/>
      <c r="AW206" s="373"/>
      <c r="AX206" s="373"/>
      <c r="AY206" s="870"/>
      <c r="AZ206" s="373"/>
      <c r="BA206" s="373"/>
      <c r="BB206" s="373"/>
      <c r="BC206" s="618"/>
      <c r="BD206" s="374">
        <v>0</v>
      </c>
      <c r="BE206" s="869"/>
      <c r="BF206" s="373"/>
      <c r="BG206" s="373"/>
      <c r="BH206" s="870"/>
      <c r="BI206" s="373"/>
      <c r="BJ206" s="373"/>
      <c r="BK206" s="373"/>
      <c r="BL206" s="618"/>
      <c r="BM206" s="374">
        <v>0</v>
      </c>
      <c r="BN206" s="869"/>
      <c r="BO206" s="373"/>
      <c r="BP206" s="373"/>
      <c r="BQ206" s="870"/>
      <c r="BR206" s="373"/>
      <c r="BS206" s="373"/>
      <c r="BT206" s="373"/>
      <c r="BU206" s="618"/>
      <c r="BV206" s="374">
        <v>0</v>
      </c>
      <c r="BW206" s="869">
        <v>4</v>
      </c>
      <c r="BX206" s="373"/>
      <c r="BY206" s="373"/>
      <c r="BZ206" s="870"/>
      <c r="CA206" s="373"/>
      <c r="CB206" s="373">
        <v>1</v>
      </c>
      <c r="CC206" s="373"/>
      <c r="CD206" s="618"/>
      <c r="CE206" s="374">
        <v>0</v>
      </c>
      <c r="CF206" s="869"/>
      <c r="CG206" s="373"/>
      <c r="CH206" s="373"/>
      <c r="CI206" s="870"/>
      <c r="CJ206" s="373"/>
      <c r="CK206" s="373"/>
      <c r="CL206" s="373"/>
      <c r="CM206" s="618"/>
      <c r="CN206" s="374">
        <v>0</v>
      </c>
      <c r="CO206" s="869"/>
      <c r="CP206" s="373"/>
      <c r="CQ206" s="373"/>
      <c r="CR206" s="870"/>
      <c r="CS206" s="373"/>
      <c r="CT206" s="373"/>
      <c r="CU206" s="373"/>
      <c r="CV206" s="618"/>
      <c r="CW206" s="374">
        <v>0</v>
      </c>
      <c r="CX206" s="869">
        <v>9</v>
      </c>
      <c r="CY206" s="373">
        <v>11</v>
      </c>
      <c r="CZ206" s="373">
        <v>3</v>
      </c>
      <c r="DA206" s="870">
        <v>1</v>
      </c>
      <c r="DB206" s="373"/>
      <c r="DC206" s="373"/>
      <c r="DD206" s="373"/>
      <c r="DE206" s="618"/>
      <c r="DF206" s="374">
        <v>0</v>
      </c>
      <c r="DG206" s="869"/>
      <c r="DH206" s="373"/>
      <c r="DI206" s="373"/>
      <c r="DJ206" s="870"/>
      <c r="DK206" s="373"/>
      <c r="DL206" s="373"/>
      <c r="DM206" s="373"/>
      <c r="DN206" s="618"/>
      <c r="DO206" s="374">
        <v>0</v>
      </c>
      <c r="DP206" s="869"/>
      <c r="DQ206" s="373"/>
      <c r="DR206" s="373">
        <v>1</v>
      </c>
      <c r="DS206" s="870"/>
      <c r="DT206" s="373"/>
      <c r="DU206" s="373"/>
      <c r="DV206" s="373"/>
      <c r="DW206" s="618"/>
      <c r="DX206" s="374">
        <v>0</v>
      </c>
      <c r="DY206" s="869">
        <v>1</v>
      </c>
      <c r="DZ206" s="373">
        <v>6</v>
      </c>
      <c r="EA206" s="373">
        <v>1</v>
      </c>
      <c r="EB206" s="870"/>
      <c r="EC206" s="373"/>
      <c r="ED206" s="373"/>
      <c r="EE206" s="373"/>
      <c r="EF206" s="618"/>
      <c r="EG206" s="374">
        <v>0</v>
      </c>
      <c r="EH206" s="869"/>
      <c r="EI206" s="373"/>
      <c r="EJ206" s="373"/>
      <c r="EK206" s="870"/>
      <c r="EL206" s="373"/>
      <c r="EM206" s="373"/>
      <c r="EN206" s="373"/>
      <c r="EO206" s="618"/>
      <c r="EP206" s="374">
        <v>0</v>
      </c>
      <c r="EQ206" s="869"/>
      <c r="ER206" s="373"/>
      <c r="ES206" s="373"/>
      <c r="ET206" s="870"/>
      <c r="EU206" s="373"/>
      <c r="EV206" s="373"/>
      <c r="EW206" s="373"/>
      <c r="EX206" s="618"/>
      <c r="EY206" s="374">
        <v>0</v>
      </c>
      <c r="EZ206" s="869"/>
      <c r="FA206" s="373"/>
      <c r="FB206" s="373"/>
      <c r="FC206" s="870"/>
      <c r="FD206" s="373"/>
      <c r="FE206" s="373"/>
      <c r="FF206" s="373"/>
      <c r="FG206" s="618"/>
      <c r="FH206" s="374">
        <v>0</v>
      </c>
      <c r="FI206" s="869"/>
      <c r="FJ206" s="373"/>
      <c r="FK206" s="373"/>
      <c r="FL206" s="870"/>
      <c r="FM206" s="373"/>
      <c r="FN206" s="373"/>
      <c r="FO206" s="373"/>
      <c r="FP206" s="618"/>
      <c r="FQ206" s="374">
        <v>0</v>
      </c>
      <c r="FR206" s="869"/>
      <c r="FS206" s="373"/>
      <c r="FT206" s="373"/>
      <c r="FU206" s="870"/>
      <c r="FV206" s="373"/>
      <c r="FW206" s="373"/>
      <c r="FX206" s="373"/>
      <c r="FY206" s="618"/>
      <c r="FZ206" s="374">
        <v>0</v>
      </c>
      <c r="GA206" s="869"/>
      <c r="GB206" s="373"/>
      <c r="GC206" s="373"/>
      <c r="GD206" s="870"/>
      <c r="GE206" s="373"/>
      <c r="GF206" s="373"/>
      <c r="GG206" s="373"/>
      <c r="GH206" s="618"/>
      <c r="GI206" s="374">
        <v>0</v>
      </c>
      <c r="GJ206" s="869">
        <v>15</v>
      </c>
      <c r="GK206" s="373">
        <v>11</v>
      </c>
      <c r="GL206" s="373">
        <v>3</v>
      </c>
      <c r="GM206" s="870">
        <v>1</v>
      </c>
      <c r="GN206" s="373"/>
      <c r="GO206" s="373">
        <v>1</v>
      </c>
      <c r="GP206" s="373"/>
      <c r="GQ206" s="618"/>
      <c r="GR206" s="374">
        <v>0</v>
      </c>
      <c r="GS206" s="869">
        <v>6</v>
      </c>
      <c r="GT206" s="373"/>
      <c r="GU206" s="373"/>
      <c r="GV206" s="870"/>
      <c r="GW206" s="373"/>
      <c r="GX206" s="373"/>
      <c r="GY206" s="373"/>
      <c r="GZ206" s="618"/>
      <c r="HA206" s="374">
        <v>0</v>
      </c>
      <c r="HB206" s="869"/>
      <c r="HC206" s="373"/>
      <c r="HD206" s="373"/>
      <c r="HE206" s="870"/>
      <c r="HF206" s="373"/>
      <c r="HG206" s="373"/>
      <c r="HH206" s="373"/>
      <c r="HI206" s="618"/>
      <c r="HJ206" s="374">
        <v>0</v>
      </c>
      <c r="HK206" s="869"/>
      <c r="HL206" s="373"/>
      <c r="HM206" s="373"/>
      <c r="HN206" s="870"/>
      <c r="HO206" s="373"/>
      <c r="HP206" s="373"/>
      <c r="HQ206" s="373"/>
      <c r="HR206" s="618"/>
      <c r="HS206" s="374">
        <v>0</v>
      </c>
      <c r="HT206" s="869">
        <v>6</v>
      </c>
      <c r="HU206" s="373"/>
      <c r="HV206" s="373"/>
      <c r="HW206" s="870">
        <v>1</v>
      </c>
      <c r="HX206" s="373">
        <v>1</v>
      </c>
      <c r="HY206" s="373">
        <v>1</v>
      </c>
      <c r="HZ206" s="373"/>
      <c r="IA206" s="618"/>
      <c r="IB206" s="374">
        <v>1</v>
      </c>
      <c r="IC206" s="869">
        <v>16</v>
      </c>
      <c r="ID206" s="373">
        <v>14</v>
      </c>
      <c r="IE206" s="373">
        <v>6</v>
      </c>
      <c r="IF206" s="870">
        <v>3</v>
      </c>
      <c r="IG206" s="373">
        <v>4</v>
      </c>
      <c r="IH206" s="373">
        <v>3</v>
      </c>
      <c r="II206" s="373">
        <v>1</v>
      </c>
      <c r="IJ206" s="618">
        <v>1</v>
      </c>
      <c r="IK206" s="374">
        <v>3</v>
      </c>
      <c r="IL206" s="377">
        <v>6</v>
      </c>
      <c r="IM206" s="373">
        <v>7</v>
      </c>
      <c r="IN206" s="373">
        <v>1</v>
      </c>
      <c r="IO206" s="871">
        <v>1</v>
      </c>
      <c r="IP206" s="871"/>
      <c r="IQ206" s="373"/>
      <c r="IR206" s="373"/>
      <c r="IS206" s="618"/>
      <c r="IT206" s="374">
        <v>0</v>
      </c>
    </row>
    <row r="207" spans="1:254" s="245" customFormat="1" ht="12.75" customHeight="1" x14ac:dyDescent="0.2">
      <c r="A207" s="1052"/>
      <c r="B207" s="868" t="s">
        <v>1059</v>
      </c>
      <c r="C207" s="869"/>
      <c r="D207" s="373"/>
      <c r="E207" s="373"/>
      <c r="F207" s="870">
        <v>1</v>
      </c>
      <c r="G207" s="373"/>
      <c r="H207" s="373"/>
      <c r="I207" s="373"/>
      <c r="J207" s="618"/>
      <c r="K207" s="374">
        <v>0</v>
      </c>
      <c r="L207" s="869"/>
      <c r="M207" s="373"/>
      <c r="N207" s="373"/>
      <c r="O207" s="870">
        <v>1</v>
      </c>
      <c r="P207" s="373"/>
      <c r="Q207" s="373"/>
      <c r="R207" s="373"/>
      <c r="S207" s="618"/>
      <c r="T207" s="374">
        <v>0</v>
      </c>
      <c r="U207" s="869"/>
      <c r="V207" s="373"/>
      <c r="W207" s="373"/>
      <c r="X207" s="870"/>
      <c r="Y207" s="373"/>
      <c r="Z207" s="373"/>
      <c r="AA207" s="373"/>
      <c r="AB207" s="618"/>
      <c r="AC207" s="374">
        <v>0</v>
      </c>
      <c r="AD207" s="869">
        <v>16</v>
      </c>
      <c r="AE207" s="373">
        <v>26</v>
      </c>
      <c r="AF207" s="373">
        <v>18</v>
      </c>
      <c r="AG207" s="870">
        <v>13</v>
      </c>
      <c r="AH207" s="373">
        <v>9</v>
      </c>
      <c r="AI207" s="373">
        <v>13</v>
      </c>
      <c r="AJ207" s="373">
        <v>18</v>
      </c>
      <c r="AK207" s="618">
        <v>20</v>
      </c>
      <c r="AL207" s="374">
        <v>10</v>
      </c>
      <c r="AM207" s="869">
        <v>3</v>
      </c>
      <c r="AN207" s="373">
        <v>3</v>
      </c>
      <c r="AO207" s="373">
        <v>4</v>
      </c>
      <c r="AP207" s="870">
        <v>4</v>
      </c>
      <c r="AQ207" s="373">
        <v>4</v>
      </c>
      <c r="AR207" s="373"/>
      <c r="AS207" s="373">
        <v>2</v>
      </c>
      <c r="AT207" s="618">
        <v>3</v>
      </c>
      <c r="AU207" s="374">
        <v>1</v>
      </c>
      <c r="AV207" s="869"/>
      <c r="AW207" s="373"/>
      <c r="AX207" s="373"/>
      <c r="AY207" s="870"/>
      <c r="AZ207" s="373"/>
      <c r="BA207" s="373"/>
      <c r="BB207" s="373"/>
      <c r="BC207" s="618"/>
      <c r="BD207" s="374">
        <v>0</v>
      </c>
      <c r="BE207" s="869">
        <v>2</v>
      </c>
      <c r="BF207" s="373">
        <v>2</v>
      </c>
      <c r="BG207" s="373">
        <v>2</v>
      </c>
      <c r="BH207" s="870">
        <v>1</v>
      </c>
      <c r="BI207" s="373"/>
      <c r="BJ207" s="373"/>
      <c r="BK207" s="373"/>
      <c r="BL207" s="618"/>
      <c r="BM207" s="374">
        <v>0</v>
      </c>
      <c r="BN207" s="869"/>
      <c r="BO207" s="373"/>
      <c r="BP207" s="373"/>
      <c r="BQ207" s="870"/>
      <c r="BR207" s="373">
        <v>3</v>
      </c>
      <c r="BS207" s="373"/>
      <c r="BT207" s="373"/>
      <c r="BU207" s="618"/>
      <c r="BV207" s="374">
        <v>0</v>
      </c>
      <c r="BW207" s="869">
        <v>31</v>
      </c>
      <c r="BX207" s="373">
        <v>33</v>
      </c>
      <c r="BY207" s="373">
        <v>25</v>
      </c>
      <c r="BZ207" s="870">
        <v>20</v>
      </c>
      <c r="CA207" s="373">
        <v>15</v>
      </c>
      <c r="CB207" s="373">
        <v>18</v>
      </c>
      <c r="CC207" s="373">
        <v>18</v>
      </c>
      <c r="CD207" s="618">
        <v>15</v>
      </c>
      <c r="CE207" s="374">
        <v>24</v>
      </c>
      <c r="CF207" s="869"/>
      <c r="CG207" s="373"/>
      <c r="CH207" s="373"/>
      <c r="CI207" s="870"/>
      <c r="CJ207" s="373">
        <v>1</v>
      </c>
      <c r="CK207" s="373"/>
      <c r="CL207" s="373">
        <v>1</v>
      </c>
      <c r="CM207" s="618">
        <v>1</v>
      </c>
      <c r="CN207" s="374">
        <v>0</v>
      </c>
      <c r="CO207" s="869"/>
      <c r="CP207" s="373"/>
      <c r="CQ207" s="373"/>
      <c r="CR207" s="870"/>
      <c r="CS207" s="373"/>
      <c r="CT207" s="373"/>
      <c r="CU207" s="373"/>
      <c r="CV207" s="618"/>
      <c r="CW207" s="374">
        <v>1</v>
      </c>
      <c r="CX207" s="869">
        <v>68</v>
      </c>
      <c r="CY207" s="373">
        <v>63</v>
      </c>
      <c r="CZ207" s="373">
        <v>58</v>
      </c>
      <c r="DA207" s="870">
        <v>43</v>
      </c>
      <c r="DB207" s="373">
        <v>39</v>
      </c>
      <c r="DC207" s="373">
        <v>31</v>
      </c>
      <c r="DD207" s="373">
        <v>17</v>
      </c>
      <c r="DE207" s="618">
        <v>20</v>
      </c>
      <c r="DF207" s="374">
        <v>24</v>
      </c>
      <c r="DG207" s="869"/>
      <c r="DH207" s="373"/>
      <c r="DI207" s="373"/>
      <c r="DJ207" s="870"/>
      <c r="DK207" s="373"/>
      <c r="DL207" s="373"/>
      <c r="DM207" s="373"/>
      <c r="DN207" s="618"/>
      <c r="DO207" s="374">
        <v>0</v>
      </c>
      <c r="DP207" s="869">
        <v>2</v>
      </c>
      <c r="DQ207" s="373">
        <v>2</v>
      </c>
      <c r="DR207" s="373"/>
      <c r="DS207" s="870"/>
      <c r="DT207" s="373"/>
      <c r="DU207" s="373"/>
      <c r="DV207" s="373">
        <v>1</v>
      </c>
      <c r="DW207" s="618"/>
      <c r="DX207" s="374">
        <v>0</v>
      </c>
      <c r="DY207" s="869">
        <v>11</v>
      </c>
      <c r="DZ207" s="373">
        <v>11</v>
      </c>
      <c r="EA207" s="373">
        <v>8</v>
      </c>
      <c r="EB207" s="870">
        <v>6</v>
      </c>
      <c r="EC207" s="373">
        <v>8</v>
      </c>
      <c r="ED207" s="373">
        <v>4</v>
      </c>
      <c r="EE207" s="373">
        <v>6</v>
      </c>
      <c r="EF207" s="618">
        <v>5</v>
      </c>
      <c r="EG207" s="374">
        <v>4</v>
      </c>
      <c r="EH207" s="869">
        <v>1</v>
      </c>
      <c r="EI207" s="373">
        <v>2</v>
      </c>
      <c r="EJ207" s="373"/>
      <c r="EK207" s="870"/>
      <c r="EL207" s="373"/>
      <c r="EM207" s="373">
        <v>1</v>
      </c>
      <c r="EN207" s="373"/>
      <c r="EO207" s="618"/>
      <c r="EP207" s="374">
        <v>0</v>
      </c>
      <c r="EQ207" s="869"/>
      <c r="ER207" s="373"/>
      <c r="ES207" s="373"/>
      <c r="ET207" s="870"/>
      <c r="EU207" s="373"/>
      <c r="EV207" s="373"/>
      <c r="EW207" s="373"/>
      <c r="EX207" s="618">
        <v>1</v>
      </c>
      <c r="EY207" s="374">
        <v>0</v>
      </c>
      <c r="EZ207" s="869"/>
      <c r="FA207" s="373"/>
      <c r="FB207" s="373">
        <v>1</v>
      </c>
      <c r="FC207" s="870"/>
      <c r="FD207" s="373"/>
      <c r="FE207" s="373"/>
      <c r="FF207" s="373"/>
      <c r="FG207" s="618"/>
      <c r="FH207" s="374">
        <v>0</v>
      </c>
      <c r="FI207" s="869">
        <v>14</v>
      </c>
      <c r="FJ207" s="373">
        <v>5</v>
      </c>
      <c r="FK207" s="373">
        <v>3</v>
      </c>
      <c r="FL207" s="870">
        <v>10</v>
      </c>
      <c r="FM207" s="373">
        <v>2</v>
      </c>
      <c r="FN207" s="373">
        <v>1</v>
      </c>
      <c r="FO207" s="373">
        <v>5</v>
      </c>
      <c r="FP207" s="618"/>
      <c r="FQ207" s="374">
        <v>1</v>
      </c>
      <c r="FR207" s="869">
        <v>3</v>
      </c>
      <c r="FS207" s="373">
        <v>1</v>
      </c>
      <c r="FT207" s="373"/>
      <c r="FU207" s="870"/>
      <c r="FV207" s="373"/>
      <c r="FW207" s="373"/>
      <c r="FX207" s="373"/>
      <c r="FY207" s="618"/>
      <c r="FZ207" s="374">
        <v>0</v>
      </c>
      <c r="GA207" s="869">
        <v>1</v>
      </c>
      <c r="GB207" s="373"/>
      <c r="GC207" s="373"/>
      <c r="GD207" s="870">
        <v>1</v>
      </c>
      <c r="GE207" s="373"/>
      <c r="GF207" s="373"/>
      <c r="GG207" s="373"/>
      <c r="GH207" s="618">
        <v>1</v>
      </c>
      <c r="GI207" s="374">
        <v>1</v>
      </c>
      <c r="GJ207" s="869">
        <v>136</v>
      </c>
      <c r="GK207" s="373">
        <v>132</v>
      </c>
      <c r="GL207" s="373">
        <v>107</v>
      </c>
      <c r="GM207" s="870">
        <v>89</v>
      </c>
      <c r="GN207" s="373">
        <v>69</v>
      </c>
      <c r="GO207" s="373">
        <v>64</v>
      </c>
      <c r="GP207" s="373">
        <v>59</v>
      </c>
      <c r="GQ207" s="618">
        <v>58</v>
      </c>
      <c r="GR207" s="374">
        <v>61</v>
      </c>
      <c r="GS207" s="869">
        <v>54</v>
      </c>
      <c r="GT207" s="373">
        <v>57</v>
      </c>
      <c r="GU207" s="373">
        <v>37</v>
      </c>
      <c r="GV207" s="870">
        <v>26</v>
      </c>
      <c r="GW207" s="373">
        <v>9</v>
      </c>
      <c r="GX207" s="373">
        <v>9</v>
      </c>
      <c r="GY207" s="373">
        <v>12</v>
      </c>
      <c r="GZ207" s="618">
        <v>18</v>
      </c>
      <c r="HA207" s="374">
        <v>22</v>
      </c>
      <c r="HB207" s="869">
        <v>1</v>
      </c>
      <c r="HC207" s="373"/>
      <c r="HD207" s="373"/>
      <c r="HE207" s="870"/>
      <c r="HF207" s="373">
        <v>1</v>
      </c>
      <c r="HG207" s="373"/>
      <c r="HH207" s="373"/>
      <c r="HI207" s="618"/>
      <c r="HJ207" s="374">
        <v>0</v>
      </c>
      <c r="HK207" s="869"/>
      <c r="HL207" s="373">
        <v>2</v>
      </c>
      <c r="HM207" s="373"/>
      <c r="HN207" s="870"/>
      <c r="HO207" s="373"/>
      <c r="HP207" s="373"/>
      <c r="HQ207" s="373"/>
      <c r="HR207" s="618"/>
      <c r="HS207" s="374">
        <v>1</v>
      </c>
      <c r="HT207" s="869">
        <v>70</v>
      </c>
      <c r="HU207" s="373">
        <v>77</v>
      </c>
      <c r="HV207" s="373">
        <v>62</v>
      </c>
      <c r="HW207" s="870">
        <v>38</v>
      </c>
      <c r="HX207" s="373">
        <v>24</v>
      </c>
      <c r="HY207" s="373">
        <v>16</v>
      </c>
      <c r="HZ207" s="373">
        <v>18</v>
      </c>
      <c r="IA207" s="618">
        <v>27</v>
      </c>
      <c r="IB207" s="374">
        <v>35</v>
      </c>
      <c r="IC207" s="869">
        <v>190</v>
      </c>
      <c r="ID207" s="373">
        <v>509</v>
      </c>
      <c r="IE207" s="373">
        <v>155</v>
      </c>
      <c r="IF207" s="870">
        <v>144</v>
      </c>
      <c r="IG207" s="373">
        <v>106</v>
      </c>
      <c r="IH207" s="373">
        <v>84</v>
      </c>
      <c r="II207" s="373">
        <v>150</v>
      </c>
      <c r="IJ207" s="618">
        <v>88</v>
      </c>
      <c r="IK207" s="374">
        <v>98</v>
      </c>
      <c r="IL207" s="377">
        <v>22</v>
      </c>
      <c r="IM207" s="373">
        <v>15</v>
      </c>
      <c r="IN207" s="373">
        <v>10</v>
      </c>
      <c r="IO207" s="871">
        <v>13</v>
      </c>
      <c r="IP207" s="871">
        <v>5</v>
      </c>
      <c r="IQ207" s="373">
        <v>12</v>
      </c>
      <c r="IR207" s="373">
        <v>9</v>
      </c>
      <c r="IS207" s="618">
        <v>6</v>
      </c>
      <c r="IT207" s="374">
        <v>8</v>
      </c>
    </row>
    <row r="208" spans="1:254" s="245" customFormat="1" ht="12.75" customHeight="1" x14ac:dyDescent="0.2">
      <c r="A208" s="1052"/>
      <c r="B208" s="868" t="s">
        <v>1060</v>
      </c>
      <c r="C208" s="869"/>
      <c r="D208" s="373"/>
      <c r="E208" s="373"/>
      <c r="F208" s="870"/>
      <c r="G208" s="373"/>
      <c r="H208" s="373"/>
      <c r="I208" s="373"/>
      <c r="J208" s="618"/>
      <c r="K208" s="374">
        <v>0</v>
      </c>
      <c r="L208" s="869"/>
      <c r="M208" s="373"/>
      <c r="N208" s="373"/>
      <c r="O208" s="870"/>
      <c r="P208" s="373"/>
      <c r="Q208" s="373"/>
      <c r="R208" s="373"/>
      <c r="S208" s="618"/>
      <c r="T208" s="374">
        <v>0</v>
      </c>
      <c r="U208" s="869"/>
      <c r="V208" s="373"/>
      <c r="W208" s="373"/>
      <c r="X208" s="870"/>
      <c r="Y208" s="373"/>
      <c r="Z208" s="373"/>
      <c r="AA208" s="373"/>
      <c r="AB208" s="618"/>
      <c r="AC208" s="374">
        <v>0</v>
      </c>
      <c r="AD208" s="869">
        <v>1</v>
      </c>
      <c r="AE208" s="373">
        <v>1</v>
      </c>
      <c r="AF208" s="373"/>
      <c r="AG208" s="870">
        <v>1</v>
      </c>
      <c r="AH208" s="373"/>
      <c r="AI208" s="373"/>
      <c r="AJ208" s="373"/>
      <c r="AK208" s="618"/>
      <c r="AL208" s="374">
        <v>0</v>
      </c>
      <c r="AM208" s="869">
        <v>1</v>
      </c>
      <c r="AN208" s="373"/>
      <c r="AO208" s="373"/>
      <c r="AP208" s="870">
        <v>1</v>
      </c>
      <c r="AQ208" s="373"/>
      <c r="AR208" s="373"/>
      <c r="AS208" s="373"/>
      <c r="AT208" s="618"/>
      <c r="AU208" s="374">
        <v>0</v>
      </c>
      <c r="AV208" s="869"/>
      <c r="AW208" s="373"/>
      <c r="AX208" s="373"/>
      <c r="AY208" s="870"/>
      <c r="AZ208" s="373"/>
      <c r="BA208" s="373"/>
      <c r="BB208" s="373"/>
      <c r="BC208" s="618"/>
      <c r="BD208" s="374">
        <v>0</v>
      </c>
      <c r="BE208" s="869"/>
      <c r="BF208" s="373"/>
      <c r="BG208" s="373"/>
      <c r="BH208" s="870"/>
      <c r="BI208" s="373"/>
      <c r="BJ208" s="373"/>
      <c r="BK208" s="373"/>
      <c r="BL208" s="618"/>
      <c r="BM208" s="374">
        <v>0</v>
      </c>
      <c r="BN208" s="869"/>
      <c r="BO208" s="373"/>
      <c r="BP208" s="373"/>
      <c r="BQ208" s="870"/>
      <c r="BR208" s="373"/>
      <c r="BS208" s="373"/>
      <c r="BT208" s="373"/>
      <c r="BU208" s="618"/>
      <c r="BV208" s="374">
        <v>0</v>
      </c>
      <c r="BW208" s="869">
        <v>1</v>
      </c>
      <c r="BX208" s="373">
        <v>1</v>
      </c>
      <c r="BY208" s="373"/>
      <c r="BZ208" s="870">
        <v>4</v>
      </c>
      <c r="CA208" s="373">
        <v>2</v>
      </c>
      <c r="CB208" s="373"/>
      <c r="CC208" s="373">
        <v>1</v>
      </c>
      <c r="CD208" s="618"/>
      <c r="CE208" s="374">
        <v>0</v>
      </c>
      <c r="CF208" s="869"/>
      <c r="CG208" s="373"/>
      <c r="CH208" s="373"/>
      <c r="CI208" s="870">
        <v>1</v>
      </c>
      <c r="CJ208" s="373"/>
      <c r="CK208" s="373"/>
      <c r="CL208" s="373"/>
      <c r="CM208" s="618"/>
      <c r="CN208" s="374">
        <v>0</v>
      </c>
      <c r="CO208" s="869"/>
      <c r="CP208" s="373"/>
      <c r="CQ208" s="373"/>
      <c r="CR208" s="870"/>
      <c r="CS208" s="373"/>
      <c r="CT208" s="373"/>
      <c r="CU208" s="373"/>
      <c r="CV208" s="618"/>
      <c r="CW208" s="374">
        <v>0</v>
      </c>
      <c r="CX208" s="869">
        <v>9</v>
      </c>
      <c r="CY208" s="373">
        <v>6</v>
      </c>
      <c r="CZ208" s="373">
        <v>6</v>
      </c>
      <c r="DA208" s="870">
        <v>3</v>
      </c>
      <c r="DB208" s="373">
        <v>4</v>
      </c>
      <c r="DC208" s="373">
        <v>5</v>
      </c>
      <c r="DD208" s="373">
        <v>1</v>
      </c>
      <c r="DE208" s="618">
        <v>2</v>
      </c>
      <c r="DF208" s="374">
        <v>3</v>
      </c>
      <c r="DG208" s="869"/>
      <c r="DH208" s="373"/>
      <c r="DI208" s="373"/>
      <c r="DJ208" s="870"/>
      <c r="DK208" s="373"/>
      <c r="DL208" s="373"/>
      <c r="DM208" s="373"/>
      <c r="DN208" s="618"/>
      <c r="DO208" s="374">
        <v>0</v>
      </c>
      <c r="DP208" s="869"/>
      <c r="DQ208" s="373"/>
      <c r="DR208" s="373">
        <v>1</v>
      </c>
      <c r="DS208" s="870">
        <v>1</v>
      </c>
      <c r="DT208" s="373">
        <v>2</v>
      </c>
      <c r="DU208" s="373"/>
      <c r="DV208" s="373"/>
      <c r="DW208" s="618"/>
      <c r="DX208" s="374">
        <v>0</v>
      </c>
      <c r="DY208" s="869">
        <v>1</v>
      </c>
      <c r="DZ208" s="373">
        <v>1</v>
      </c>
      <c r="EA208" s="373"/>
      <c r="EB208" s="870"/>
      <c r="EC208" s="373"/>
      <c r="ED208" s="373">
        <v>2</v>
      </c>
      <c r="EE208" s="373">
        <v>1</v>
      </c>
      <c r="EF208" s="618">
        <v>1</v>
      </c>
      <c r="EG208" s="374">
        <v>1</v>
      </c>
      <c r="EH208" s="869"/>
      <c r="EI208" s="373"/>
      <c r="EJ208" s="373"/>
      <c r="EK208" s="870"/>
      <c r="EL208" s="373"/>
      <c r="EM208" s="373"/>
      <c r="EN208" s="373"/>
      <c r="EO208" s="618"/>
      <c r="EP208" s="374">
        <v>0</v>
      </c>
      <c r="EQ208" s="869"/>
      <c r="ER208" s="373"/>
      <c r="ES208" s="373"/>
      <c r="ET208" s="870"/>
      <c r="EU208" s="373"/>
      <c r="EV208" s="373"/>
      <c r="EW208" s="373"/>
      <c r="EX208" s="618"/>
      <c r="EY208" s="374">
        <v>0</v>
      </c>
      <c r="EZ208" s="869"/>
      <c r="FA208" s="373"/>
      <c r="FB208" s="373"/>
      <c r="FC208" s="870"/>
      <c r="FD208" s="373"/>
      <c r="FE208" s="373"/>
      <c r="FF208" s="373"/>
      <c r="FG208" s="618"/>
      <c r="FH208" s="374">
        <v>0</v>
      </c>
      <c r="FI208" s="869">
        <v>2</v>
      </c>
      <c r="FJ208" s="373"/>
      <c r="FK208" s="373"/>
      <c r="FL208" s="870">
        <v>1</v>
      </c>
      <c r="FM208" s="373"/>
      <c r="FN208" s="373"/>
      <c r="FO208" s="373"/>
      <c r="FP208" s="618"/>
      <c r="FQ208" s="374">
        <v>1</v>
      </c>
      <c r="FR208" s="869"/>
      <c r="FS208" s="373"/>
      <c r="FT208" s="373"/>
      <c r="FU208" s="870"/>
      <c r="FV208" s="373"/>
      <c r="FW208" s="373"/>
      <c r="FX208" s="373"/>
      <c r="FY208" s="618"/>
      <c r="FZ208" s="374">
        <v>0</v>
      </c>
      <c r="GA208" s="869"/>
      <c r="GB208" s="373"/>
      <c r="GC208" s="373"/>
      <c r="GD208" s="870">
        <v>1</v>
      </c>
      <c r="GE208" s="373"/>
      <c r="GF208" s="373"/>
      <c r="GG208" s="373"/>
      <c r="GH208" s="618">
        <v>1</v>
      </c>
      <c r="GI208" s="374">
        <v>0</v>
      </c>
      <c r="GJ208" s="869">
        <v>13</v>
      </c>
      <c r="GK208" s="373">
        <v>8</v>
      </c>
      <c r="GL208" s="373">
        <v>6</v>
      </c>
      <c r="GM208" s="870">
        <v>11</v>
      </c>
      <c r="GN208" s="373">
        <v>6</v>
      </c>
      <c r="GO208" s="373">
        <v>5</v>
      </c>
      <c r="GP208" s="373">
        <v>2</v>
      </c>
      <c r="GQ208" s="618">
        <v>3</v>
      </c>
      <c r="GR208" s="374">
        <v>4</v>
      </c>
      <c r="GS208" s="869">
        <v>6</v>
      </c>
      <c r="GT208" s="373">
        <v>1</v>
      </c>
      <c r="GU208" s="373">
        <v>3</v>
      </c>
      <c r="GV208" s="870">
        <v>3</v>
      </c>
      <c r="GW208" s="373">
        <v>1</v>
      </c>
      <c r="GX208" s="373">
        <v>2</v>
      </c>
      <c r="GY208" s="373"/>
      <c r="GZ208" s="618">
        <v>1</v>
      </c>
      <c r="HA208" s="374">
        <v>1</v>
      </c>
      <c r="HB208" s="869">
        <v>1</v>
      </c>
      <c r="HC208" s="373"/>
      <c r="HD208" s="373"/>
      <c r="HE208" s="870"/>
      <c r="HF208" s="373">
        <v>2</v>
      </c>
      <c r="HG208" s="373"/>
      <c r="HH208" s="373"/>
      <c r="HI208" s="618"/>
      <c r="HJ208" s="374">
        <v>0</v>
      </c>
      <c r="HK208" s="869"/>
      <c r="HL208" s="373"/>
      <c r="HM208" s="373"/>
      <c r="HN208" s="870"/>
      <c r="HO208" s="373"/>
      <c r="HP208" s="373"/>
      <c r="HQ208" s="373"/>
      <c r="HR208" s="618"/>
      <c r="HS208" s="374">
        <v>1</v>
      </c>
      <c r="HT208" s="869">
        <v>10</v>
      </c>
      <c r="HU208" s="373">
        <v>1</v>
      </c>
      <c r="HV208" s="373">
        <v>3</v>
      </c>
      <c r="HW208" s="870">
        <v>5</v>
      </c>
      <c r="HX208" s="373">
        <v>5</v>
      </c>
      <c r="HY208" s="373">
        <v>3</v>
      </c>
      <c r="HZ208" s="373">
        <v>2</v>
      </c>
      <c r="IA208" s="618">
        <v>2</v>
      </c>
      <c r="IB208" s="374">
        <v>3</v>
      </c>
      <c r="IC208" s="869">
        <v>23</v>
      </c>
      <c r="ID208" s="373">
        <v>12</v>
      </c>
      <c r="IE208" s="373">
        <v>10</v>
      </c>
      <c r="IF208" s="870">
        <v>17</v>
      </c>
      <c r="IG208" s="373">
        <v>14</v>
      </c>
      <c r="IH208" s="373">
        <v>9</v>
      </c>
      <c r="II208" s="373">
        <v>12</v>
      </c>
      <c r="IJ208" s="618">
        <v>8</v>
      </c>
      <c r="IK208" s="374">
        <v>9</v>
      </c>
      <c r="IL208" s="377">
        <v>3</v>
      </c>
      <c r="IM208" s="373">
        <v>3</v>
      </c>
      <c r="IN208" s="373">
        <v>2</v>
      </c>
      <c r="IO208" s="871"/>
      <c r="IP208" s="871">
        <v>1</v>
      </c>
      <c r="IQ208" s="373">
        <v>2</v>
      </c>
      <c r="IR208" s="373">
        <v>1</v>
      </c>
      <c r="IS208" s="618">
        <v>1</v>
      </c>
      <c r="IT208" s="374">
        <v>1</v>
      </c>
    </row>
    <row r="209" spans="1:254" s="245" customFormat="1" ht="12.75" customHeight="1" x14ac:dyDescent="0.2">
      <c r="A209" s="1052"/>
      <c r="B209" s="868" t="s">
        <v>1061</v>
      </c>
      <c r="C209" s="869"/>
      <c r="D209" s="373"/>
      <c r="E209" s="373"/>
      <c r="F209" s="870"/>
      <c r="G209" s="373"/>
      <c r="H209" s="373"/>
      <c r="I209" s="373"/>
      <c r="J209" s="618"/>
      <c r="K209" s="374">
        <v>0</v>
      </c>
      <c r="L209" s="869"/>
      <c r="M209" s="373"/>
      <c r="N209" s="373"/>
      <c r="O209" s="870"/>
      <c r="P209" s="373"/>
      <c r="Q209" s="373"/>
      <c r="R209" s="373"/>
      <c r="S209" s="618"/>
      <c r="T209" s="374">
        <v>0</v>
      </c>
      <c r="U209" s="869"/>
      <c r="V209" s="373"/>
      <c r="W209" s="373"/>
      <c r="X209" s="870"/>
      <c r="Y209" s="373"/>
      <c r="Z209" s="373"/>
      <c r="AA209" s="373"/>
      <c r="AB209" s="618"/>
      <c r="AC209" s="374">
        <v>0</v>
      </c>
      <c r="AD209" s="869">
        <v>3</v>
      </c>
      <c r="AE209" s="373"/>
      <c r="AF209" s="373"/>
      <c r="AG209" s="870"/>
      <c r="AH209" s="373"/>
      <c r="AI209" s="373"/>
      <c r="AJ209" s="373"/>
      <c r="AK209" s="618"/>
      <c r="AL209" s="374">
        <v>1</v>
      </c>
      <c r="AM209" s="869"/>
      <c r="AN209" s="373"/>
      <c r="AO209" s="373"/>
      <c r="AP209" s="870"/>
      <c r="AQ209" s="373"/>
      <c r="AR209" s="373"/>
      <c r="AS209" s="373"/>
      <c r="AT209" s="618"/>
      <c r="AU209" s="374">
        <v>1</v>
      </c>
      <c r="AV209" s="869"/>
      <c r="AW209" s="373"/>
      <c r="AX209" s="373"/>
      <c r="AY209" s="870"/>
      <c r="AZ209" s="373"/>
      <c r="BA209" s="373"/>
      <c r="BB209" s="373"/>
      <c r="BC209" s="618"/>
      <c r="BD209" s="374">
        <v>0</v>
      </c>
      <c r="BE209" s="869"/>
      <c r="BF209" s="373"/>
      <c r="BG209" s="373"/>
      <c r="BH209" s="870"/>
      <c r="BI209" s="373"/>
      <c r="BJ209" s="373"/>
      <c r="BK209" s="373"/>
      <c r="BL209" s="618">
        <v>5</v>
      </c>
      <c r="BM209" s="374">
        <v>0</v>
      </c>
      <c r="BN209" s="869"/>
      <c r="BO209" s="373"/>
      <c r="BP209" s="373"/>
      <c r="BQ209" s="870"/>
      <c r="BR209" s="373"/>
      <c r="BS209" s="373"/>
      <c r="BT209" s="373"/>
      <c r="BU209" s="618"/>
      <c r="BV209" s="374">
        <v>0</v>
      </c>
      <c r="BW209" s="869">
        <v>1</v>
      </c>
      <c r="BX209" s="373"/>
      <c r="BY209" s="373"/>
      <c r="BZ209" s="870"/>
      <c r="CA209" s="373"/>
      <c r="CB209" s="373"/>
      <c r="CC209" s="373"/>
      <c r="CD209" s="618"/>
      <c r="CE209" s="374">
        <v>0</v>
      </c>
      <c r="CF209" s="869"/>
      <c r="CG209" s="373"/>
      <c r="CH209" s="373"/>
      <c r="CI209" s="870"/>
      <c r="CJ209" s="373"/>
      <c r="CK209" s="373"/>
      <c r="CL209" s="373"/>
      <c r="CM209" s="618"/>
      <c r="CN209" s="374">
        <v>0</v>
      </c>
      <c r="CO209" s="869"/>
      <c r="CP209" s="373"/>
      <c r="CQ209" s="373"/>
      <c r="CR209" s="870"/>
      <c r="CS209" s="373"/>
      <c r="CT209" s="373"/>
      <c r="CU209" s="373"/>
      <c r="CV209" s="618"/>
      <c r="CW209" s="374">
        <v>0</v>
      </c>
      <c r="CX209" s="869">
        <v>1</v>
      </c>
      <c r="CY209" s="373">
        <v>3</v>
      </c>
      <c r="CZ209" s="373">
        <v>4</v>
      </c>
      <c r="DA209" s="870">
        <v>1</v>
      </c>
      <c r="DB209" s="373">
        <v>1</v>
      </c>
      <c r="DC209" s="373"/>
      <c r="DD209" s="373"/>
      <c r="DE209" s="618"/>
      <c r="DF209" s="374">
        <v>1</v>
      </c>
      <c r="DG209" s="869"/>
      <c r="DH209" s="373"/>
      <c r="DI209" s="373"/>
      <c r="DJ209" s="870"/>
      <c r="DK209" s="373"/>
      <c r="DL209" s="373"/>
      <c r="DM209" s="373"/>
      <c r="DN209" s="618"/>
      <c r="DO209" s="374">
        <v>0</v>
      </c>
      <c r="DP209" s="869"/>
      <c r="DQ209" s="373"/>
      <c r="DR209" s="373"/>
      <c r="DS209" s="870"/>
      <c r="DT209" s="373"/>
      <c r="DU209" s="373"/>
      <c r="DV209" s="373"/>
      <c r="DW209" s="618"/>
      <c r="DX209" s="374">
        <v>0</v>
      </c>
      <c r="DY209" s="869"/>
      <c r="DZ209" s="373"/>
      <c r="EA209" s="373"/>
      <c r="EB209" s="870"/>
      <c r="EC209" s="373"/>
      <c r="ED209" s="373"/>
      <c r="EE209" s="373"/>
      <c r="EF209" s="618"/>
      <c r="EG209" s="374">
        <v>0</v>
      </c>
      <c r="EH209" s="869"/>
      <c r="EI209" s="373"/>
      <c r="EJ209" s="373"/>
      <c r="EK209" s="870"/>
      <c r="EL209" s="373"/>
      <c r="EM209" s="373"/>
      <c r="EN209" s="373"/>
      <c r="EO209" s="618"/>
      <c r="EP209" s="374">
        <v>0</v>
      </c>
      <c r="EQ209" s="869"/>
      <c r="ER209" s="373"/>
      <c r="ES209" s="373"/>
      <c r="ET209" s="870"/>
      <c r="EU209" s="373"/>
      <c r="EV209" s="373"/>
      <c r="EW209" s="373"/>
      <c r="EX209" s="618"/>
      <c r="EY209" s="374">
        <v>0</v>
      </c>
      <c r="EZ209" s="869"/>
      <c r="FA209" s="373"/>
      <c r="FB209" s="373"/>
      <c r="FC209" s="870"/>
      <c r="FD209" s="373"/>
      <c r="FE209" s="373"/>
      <c r="FF209" s="373"/>
      <c r="FG209" s="618"/>
      <c r="FH209" s="374">
        <v>0</v>
      </c>
      <c r="FI209" s="869"/>
      <c r="FJ209" s="373"/>
      <c r="FK209" s="373"/>
      <c r="FL209" s="870"/>
      <c r="FM209" s="373"/>
      <c r="FN209" s="373"/>
      <c r="FO209" s="373"/>
      <c r="FP209" s="618"/>
      <c r="FQ209" s="374">
        <v>0</v>
      </c>
      <c r="FR209" s="869"/>
      <c r="FS209" s="373"/>
      <c r="FT209" s="373"/>
      <c r="FU209" s="870"/>
      <c r="FV209" s="373"/>
      <c r="FW209" s="373"/>
      <c r="FX209" s="373"/>
      <c r="FY209" s="618"/>
      <c r="FZ209" s="374">
        <v>0</v>
      </c>
      <c r="GA209" s="869"/>
      <c r="GB209" s="373"/>
      <c r="GC209" s="373"/>
      <c r="GD209" s="870"/>
      <c r="GE209" s="373"/>
      <c r="GF209" s="373"/>
      <c r="GG209" s="373"/>
      <c r="GH209" s="618"/>
      <c r="GI209" s="374">
        <v>0</v>
      </c>
      <c r="GJ209" s="869">
        <v>5</v>
      </c>
      <c r="GK209" s="373">
        <v>3</v>
      </c>
      <c r="GL209" s="373">
        <v>4</v>
      </c>
      <c r="GM209" s="870">
        <v>1</v>
      </c>
      <c r="GN209" s="373">
        <v>1</v>
      </c>
      <c r="GO209" s="373"/>
      <c r="GP209" s="373"/>
      <c r="GQ209" s="618">
        <v>5</v>
      </c>
      <c r="GR209" s="374">
        <v>2</v>
      </c>
      <c r="GS209" s="869">
        <v>4</v>
      </c>
      <c r="GT209" s="373">
        <v>1</v>
      </c>
      <c r="GU209" s="373"/>
      <c r="GV209" s="870"/>
      <c r="GW209" s="373"/>
      <c r="GX209" s="373"/>
      <c r="GY209" s="373"/>
      <c r="GZ209" s="618"/>
      <c r="HA209" s="374">
        <v>1</v>
      </c>
      <c r="HB209" s="869"/>
      <c r="HC209" s="373"/>
      <c r="HD209" s="373"/>
      <c r="HE209" s="870"/>
      <c r="HF209" s="373"/>
      <c r="HG209" s="373"/>
      <c r="HH209" s="373"/>
      <c r="HI209" s="618"/>
      <c r="HJ209" s="374">
        <v>0</v>
      </c>
      <c r="HK209" s="869"/>
      <c r="HL209" s="373"/>
      <c r="HM209" s="373"/>
      <c r="HN209" s="870"/>
      <c r="HO209" s="373"/>
      <c r="HP209" s="373"/>
      <c r="HQ209" s="373"/>
      <c r="HR209" s="618"/>
      <c r="HS209" s="374">
        <v>0</v>
      </c>
      <c r="HT209" s="869">
        <v>4</v>
      </c>
      <c r="HU209" s="373">
        <v>2</v>
      </c>
      <c r="HV209" s="373">
        <v>1</v>
      </c>
      <c r="HW209" s="870"/>
      <c r="HX209" s="373"/>
      <c r="HY209" s="373"/>
      <c r="HZ209" s="373"/>
      <c r="IA209" s="618"/>
      <c r="IB209" s="374">
        <v>3</v>
      </c>
      <c r="IC209" s="869">
        <v>7</v>
      </c>
      <c r="ID209" s="373">
        <v>5</v>
      </c>
      <c r="IE209" s="373">
        <v>6</v>
      </c>
      <c r="IF209" s="870">
        <v>9</v>
      </c>
      <c r="IG209" s="373">
        <v>2</v>
      </c>
      <c r="IH209" s="373">
        <v>2</v>
      </c>
      <c r="II209" s="373">
        <v>1</v>
      </c>
      <c r="IJ209" s="618">
        <v>6</v>
      </c>
      <c r="IK209" s="374">
        <v>7</v>
      </c>
      <c r="IL209" s="377"/>
      <c r="IM209" s="373"/>
      <c r="IN209" s="373"/>
      <c r="IO209" s="871"/>
      <c r="IP209" s="871"/>
      <c r="IQ209" s="373"/>
      <c r="IR209" s="373"/>
      <c r="IS209" s="618"/>
      <c r="IT209" s="374">
        <v>0</v>
      </c>
    </row>
    <row r="210" spans="1:254" s="245" customFormat="1" ht="12.75" customHeight="1" x14ac:dyDescent="0.2">
      <c r="A210" s="1052"/>
      <c r="B210" s="868" t="s">
        <v>1062</v>
      </c>
      <c r="C210" s="869"/>
      <c r="D210" s="373"/>
      <c r="E210" s="373"/>
      <c r="F210" s="870"/>
      <c r="G210" s="373"/>
      <c r="H210" s="373"/>
      <c r="I210" s="373"/>
      <c r="J210" s="618"/>
      <c r="K210" s="374">
        <v>0</v>
      </c>
      <c r="L210" s="869"/>
      <c r="M210" s="373"/>
      <c r="N210" s="373"/>
      <c r="O210" s="870"/>
      <c r="P210" s="373"/>
      <c r="Q210" s="373"/>
      <c r="R210" s="373"/>
      <c r="S210" s="618"/>
      <c r="T210" s="374">
        <v>0</v>
      </c>
      <c r="U210" s="869"/>
      <c r="V210" s="373"/>
      <c r="W210" s="373"/>
      <c r="X210" s="870"/>
      <c r="Y210" s="373"/>
      <c r="Z210" s="373"/>
      <c r="AA210" s="373"/>
      <c r="AB210" s="618"/>
      <c r="AC210" s="374">
        <v>0</v>
      </c>
      <c r="AD210" s="869"/>
      <c r="AE210" s="373"/>
      <c r="AF210" s="373">
        <v>1</v>
      </c>
      <c r="AG210" s="870"/>
      <c r="AH210" s="373"/>
      <c r="AI210" s="373"/>
      <c r="AJ210" s="373"/>
      <c r="AK210" s="618"/>
      <c r="AL210" s="374">
        <v>0</v>
      </c>
      <c r="AM210" s="869"/>
      <c r="AN210" s="373"/>
      <c r="AO210" s="373"/>
      <c r="AP210" s="870"/>
      <c r="AQ210" s="373"/>
      <c r="AR210" s="373"/>
      <c r="AS210" s="373"/>
      <c r="AT210" s="618"/>
      <c r="AU210" s="374">
        <v>0</v>
      </c>
      <c r="AV210" s="869"/>
      <c r="AW210" s="373"/>
      <c r="AX210" s="373"/>
      <c r="AY210" s="870"/>
      <c r="AZ210" s="373"/>
      <c r="BA210" s="373"/>
      <c r="BB210" s="373"/>
      <c r="BC210" s="618"/>
      <c r="BD210" s="374">
        <v>0</v>
      </c>
      <c r="BE210" s="869"/>
      <c r="BF210" s="373"/>
      <c r="BG210" s="373"/>
      <c r="BH210" s="870"/>
      <c r="BI210" s="373"/>
      <c r="BJ210" s="373"/>
      <c r="BK210" s="373"/>
      <c r="BL210" s="618"/>
      <c r="BM210" s="374">
        <v>0</v>
      </c>
      <c r="BN210" s="869"/>
      <c r="BO210" s="373"/>
      <c r="BP210" s="373"/>
      <c r="BQ210" s="870"/>
      <c r="BR210" s="373"/>
      <c r="BS210" s="373"/>
      <c r="BT210" s="373"/>
      <c r="BU210" s="618"/>
      <c r="BV210" s="374">
        <v>0</v>
      </c>
      <c r="BW210" s="869"/>
      <c r="BX210" s="373"/>
      <c r="BY210" s="373">
        <v>1</v>
      </c>
      <c r="BZ210" s="870">
        <v>1</v>
      </c>
      <c r="CA210" s="373"/>
      <c r="CB210" s="373">
        <v>1</v>
      </c>
      <c r="CC210" s="373"/>
      <c r="CD210" s="618">
        <v>1</v>
      </c>
      <c r="CE210" s="374">
        <v>0</v>
      </c>
      <c r="CF210" s="869"/>
      <c r="CG210" s="373"/>
      <c r="CH210" s="373"/>
      <c r="CI210" s="870"/>
      <c r="CJ210" s="373"/>
      <c r="CK210" s="373"/>
      <c r="CL210" s="373"/>
      <c r="CM210" s="618"/>
      <c r="CN210" s="374">
        <v>0</v>
      </c>
      <c r="CO210" s="869"/>
      <c r="CP210" s="373"/>
      <c r="CQ210" s="373"/>
      <c r="CR210" s="870"/>
      <c r="CS210" s="373"/>
      <c r="CT210" s="373"/>
      <c r="CU210" s="373"/>
      <c r="CV210" s="618"/>
      <c r="CW210" s="374">
        <v>0</v>
      </c>
      <c r="CX210" s="869">
        <v>1</v>
      </c>
      <c r="CY210" s="373">
        <v>2</v>
      </c>
      <c r="CZ210" s="373">
        <v>1</v>
      </c>
      <c r="DA210" s="870">
        <v>2</v>
      </c>
      <c r="DB210" s="373"/>
      <c r="DC210" s="373"/>
      <c r="DD210" s="373">
        <v>1</v>
      </c>
      <c r="DE210" s="618"/>
      <c r="DF210" s="374">
        <v>0</v>
      </c>
      <c r="DG210" s="869"/>
      <c r="DH210" s="373"/>
      <c r="DI210" s="373"/>
      <c r="DJ210" s="870"/>
      <c r="DK210" s="373"/>
      <c r="DL210" s="373"/>
      <c r="DM210" s="373"/>
      <c r="DN210" s="618"/>
      <c r="DO210" s="374">
        <v>0</v>
      </c>
      <c r="DP210" s="869"/>
      <c r="DQ210" s="373"/>
      <c r="DR210" s="373"/>
      <c r="DS210" s="870"/>
      <c r="DT210" s="373"/>
      <c r="DU210" s="373"/>
      <c r="DV210" s="373"/>
      <c r="DW210" s="618"/>
      <c r="DX210" s="374">
        <v>0</v>
      </c>
      <c r="DY210" s="869"/>
      <c r="DZ210" s="373"/>
      <c r="EA210" s="373"/>
      <c r="EB210" s="870"/>
      <c r="EC210" s="373"/>
      <c r="ED210" s="373"/>
      <c r="EE210" s="373">
        <v>1</v>
      </c>
      <c r="EF210" s="618"/>
      <c r="EG210" s="374">
        <v>0</v>
      </c>
      <c r="EH210" s="869"/>
      <c r="EI210" s="373"/>
      <c r="EJ210" s="373"/>
      <c r="EK210" s="870"/>
      <c r="EL210" s="373"/>
      <c r="EM210" s="373"/>
      <c r="EN210" s="373"/>
      <c r="EO210" s="618"/>
      <c r="EP210" s="374">
        <v>0</v>
      </c>
      <c r="EQ210" s="869"/>
      <c r="ER210" s="373"/>
      <c r="ES210" s="373"/>
      <c r="ET210" s="870"/>
      <c r="EU210" s="373"/>
      <c r="EV210" s="373"/>
      <c r="EW210" s="373"/>
      <c r="EX210" s="618"/>
      <c r="EY210" s="374">
        <v>0</v>
      </c>
      <c r="EZ210" s="869"/>
      <c r="FA210" s="373"/>
      <c r="FB210" s="373"/>
      <c r="FC210" s="870"/>
      <c r="FD210" s="373"/>
      <c r="FE210" s="373"/>
      <c r="FF210" s="373"/>
      <c r="FG210" s="618"/>
      <c r="FH210" s="374">
        <v>0</v>
      </c>
      <c r="FI210" s="869">
        <v>1</v>
      </c>
      <c r="FJ210" s="373"/>
      <c r="FK210" s="373"/>
      <c r="FL210" s="870"/>
      <c r="FM210" s="373"/>
      <c r="FN210" s="373"/>
      <c r="FO210" s="373"/>
      <c r="FP210" s="618"/>
      <c r="FQ210" s="374">
        <v>0</v>
      </c>
      <c r="FR210" s="869"/>
      <c r="FS210" s="373"/>
      <c r="FT210" s="373"/>
      <c r="FU210" s="870"/>
      <c r="FV210" s="373"/>
      <c r="FW210" s="373"/>
      <c r="FX210" s="373"/>
      <c r="FY210" s="618"/>
      <c r="FZ210" s="374">
        <v>0</v>
      </c>
      <c r="GA210" s="869"/>
      <c r="GB210" s="373"/>
      <c r="GC210" s="373"/>
      <c r="GD210" s="870"/>
      <c r="GE210" s="373"/>
      <c r="GF210" s="373"/>
      <c r="GG210" s="373"/>
      <c r="GH210" s="618"/>
      <c r="GI210" s="374">
        <v>0</v>
      </c>
      <c r="GJ210" s="869">
        <v>2</v>
      </c>
      <c r="GK210" s="373">
        <v>2</v>
      </c>
      <c r="GL210" s="373">
        <v>3</v>
      </c>
      <c r="GM210" s="870">
        <v>3</v>
      </c>
      <c r="GN210" s="373"/>
      <c r="GO210" s="373">
        <v>1</v>
      </c>
      <c r="GP210" s="373">
        <v>1</v>
      </c>
      <c r="GQ210" s="618">
        <v>1</v>
      </c>
      <c r="GR210" s="374">
        <v>0</v>
      </c>
      <c r="GS210" s="869">
        <v>1</v>
      </c>
      <c r="GT210" s="373"/>
      <c r="GU210" s="373">
        <v>2</v>
      </c>
      <c r="GV210" s="870"/>
      <c r="GW210" s="373"/>
      <c r="GX210" s="373"/>
      <c r="GY210" s="373"/>
      <c r="GZ210" s="618">
        <v>1</v>
      </c>
      <c r="HA210" s="374">
        <v>0</v>
      </c>
      <c r="HB210" s="869"/>
      <c r="HC210" s="373"/>
      <c r="HD210" s="373"/>
      <c r="HE210" s="870"/>
      <c r="HF210" s="373"/>
      <c r="HG210" s="373"/>
      <c r="HH210" s="373"/>
      <c r="HI210" s="618"/>
      <c r="HJ210" s="374">
        <v>0</v>
      </c>
      <c r="HK210" s="869"/>
      <c r="HL210" s="373"/>
      <c r="HM210" s="373"/>
      <c r="HN210" s="870"/>
      <c r="HO210" s="373"/>
      <c r="HP210" s="373"/>
      <c r="HQ210" s="373"/>
      <c r="HR210" s="618"/>
      <c r="HS210" s="374">
        <v>0</v>
      </c>
      <c r="HT210" s="869">
        <v>1</v>
      </c>
      <c r="HU210" s="373"/>
      <c r="HV210" s="373">
        <v>3</v>
      </c>
      <c r="HW210" s="870"/>
      <c r="HX210" s="373"/>
      <c r="HY210" s="373"/>
      <c r="HZ210" s="373"/>
      <c r="IA210" s="618">
        <v>2</v>
      </c>
      <c r="IB210" s="374">
        <v>1</v>
      </c>
      <c r="IC210" s="869">
        <v>14</v>
      </c>
      <c r="ID210" s="373">
        <v>3</v>
      </c>
      <c r="IE210" s="373">
        <v>7</v>
      </c>
      <c r="IF210" s="870">
        <v>4</v>
      </c>
      <c r="IG210" s="373">
        <v>5</v>
      </c>
      <c r="IH210" s="373">
        <v>2</v>
      </c>
      <c r="II210" s="373">
        <v>2</v>
      </c>
      <c r="IJ210" s="618">
        <v>2</v>
      </c>
      <c r="IK210" s="374">
        <v>2</v>
      </c>
      <c r="IL210" s="377"/>
      <c r="IM210" s="373">
        <v>1</v>
      </c>
      <c r="IN210" s="373"/>
      <c r="IO210" s="871">
        <v>1</v>
      </c>
      <c r="IP210" s="871"/>
      <c r="IQ210" s="373"/>
      <c r="IR210" s="373">
        <v>1</v>
      </c>
      <c r="IS210" s="618"/>
      <c r="IT210" s="374">
        <v>0</v>
      </c>
    </row>
    <row r="211" spans="1:254" s="245" customFormat="1" ht="12.75" customHeight="1" x14ac:dyDescent="0.2">
      <c r="A211" s="1052"/>
      <c r="B211" s="868" t="s">
        <v>1063</v>
      </c>
      <c r="C211" s="869"/>
      <c r="D211" s="373"/>
      <c r="E211" s="373"/>
      <c r="F211" s="870"/>
      <c r="G211" s="373"/>
      <c r="H211" s="373"/>
      <c r="I211" s="373"/>
      <c r="J211" s="618"/>
      <c r="K211" s="374">
        <v>0</v>
      </c>
      <c r="L211" s="869"/>
      <c r="M211" s="373"/>
      <c r="N211" s="373"/>
      <c r="O211" s="870"/>
      <c r="P211" s="373"/>
      <c r="Q211" s="373"/>
      <c r="R211" s="373"/>
      <c r="S211" s="618"/>
      <c r="T211" s="374">
        <v>0</v>
      </c>
      <c r="U211" s="869"/>
      <c r="V211" s="373"/>
      <c r="W211" s="373"/>
      <c r="X211" s="870"/>
      <c r="Y211" s="373"/>
      <c r="Z211" s="373"/>
      <c r="AA211" s="373"/>
      <c r="AB211" s="618"/>
      <c r="AC211" s="374">
        <v>0</v>
      </c>
      <c r="AD211" s="869"/>
      <c r="AE211" s="373">
        <v>1</v>
      </c>
      <c r="AF211" s="373">
        <v>1</v>
      </c>
      <c r="AG211" s="870"/>
      <c r="AH211" s="373"/>
      <c r="AI211" s="373"/>
      <c r="AJ211" s="373"/>
      <c r="AK211" s="618"/>
      <c r="AL211" s="374">
        <v>1</v>
      </c>
      <c r="AM211" s="869"/>
      <c r="AN211" s="373">
        <v>1</v>
      </c>
      <c r="AO211" s="373"/>
      <c r="AP211" s="870"/>
      <c r="AQ211" s="373"/>
      <c r="AR211" s="373"/>
      <c r="AS211" s="373"/>
      <c r="AT211" s="618"/>
      <c r="AU211" s="374">
        <v>1</v>
      </c>
      <c r="AV211" s="869"/>
      <c r="AW211" s="373"/>
      <c r="AX211" s="373"/>
      <c r="AY211" s="870"/>
      <c r="AZ211" s="373"/>
      <c r="BA211" s="373"/>
      <c r="BB211" s="373"/>
      <c r="BC211" s="618"/>
      <c r="BD211" s="374">
        <v>0</v>
      </c>
      <c r="BE211" s="869"/>
      <c r="BF211" s="373"/>
      <c r="BG211" s="373"/>
      <c r="BH211" s="870"/>
      <c r="BI211" s="373"/>
      <c r="BJ211" s="373"/>
      <c r="BK211" s="373"/>
      <c r="BL211" s="618"/>
      <c r="BM211" s="374">
        <v>0</v>
      </c>
      <c r="BN211" s="869"/>
      <c r="BO211" s="373"/>
      <c r="BP211" s="373"/>
      <c r="BQ211" s="870"/>
      <c r="BR211" s="373"/>
      <c r="BS211" s="373"/>
      <c r="BT211" s="373"/>
      <c r="BU211" s="618"/>
      <c r="BV211" s="374">
        <v>0</v>
      </c>
      <c r="BW211" s="869"/>
      <c r="BX211" s="373"/>
      <c r="BY211" s="373">
        <v>1</v>
      </c>
      <c r="BZ211" s="870"/>
      <c r="CA211" s="373"/>
      <c r="CB211" s="373"/>
      <c r="CC211" s="373"/>
      <c r="CD211" s="618"/>
      <c r="CE211" s="374">
        <v>0</v>
      </c>
      <c r="CF211" s="869"/>
      <c r="CG211" s="373"/>
      <c r="CH211" s="373"/>
      <c r="CI211" s="870"/>
      <c r="CJ211" s="373"/>
      <c r="CK211" s="373"/>
      <c r="CL211" s="373"/>
      <c r="CM211" s="618"/>
      <c r="CN211" s="374">
        <v>0</v>
      </c>
      <c r="CO211" s="869"/>
      <c r="CP211" s="373"/>
      <c r="CQ211" s="373"/>
      <c r="CR211" s="870"/>
      <c r="CS211" s="373"/>
      <c r="CT211" s="373"/>
      <c r="CU211" s="373"/>
      <c r="CV211" s="618"/>
      <c r="CW211" s="374">
        <v>0</v>
      </c>
      <c r="CX211" s="869">
        <v>1</v>
      </c>
      <c r="CY211" s="373">
        <v>4</v>
      </c>
      <c r="CZ211" s="373">
        <v>7</v>
      </c>
      <c r="DA211" s="870">
        <v>3</v>
      </c>
      <c r="DB211" s="373">
        <v>1</v>
      </c>
      <c r="DC211" s="373">
        <v>3</v>
      </c>
      <c r="DD211" s="373">
        <v>1</v>
      </c>
      <c r="DE211" s="618">
        <v>1</v>
      </c>
      <c r="DF211" s="374">
        <v>2</v>
      </c>
      <c r="DG211" s="869"/>
      <c r="DH211" s="373"/>
      <c r="DI211" s="373"/>
      <c r="DJ211" s="870"/>
      <c r="DK211" s="373"/>
      <c r="DL211" s="373"/>
      <c r="DM211" s="373"/>
      <c r="DN211" s="618"/>
      <c r="DO211" s="374">
        <v>0</v>
      </c>
      <c r="DP211" s="869"/>
      <c r="DQ211" s="373"/>
      <c r="DR211" s="373">
        <v>1</v>
      </c>
      <c r="DS211" s="870"/>
      <c r="DT211" s="373"/>
      <c r="DU211" s="373"/>
      <c r="DV211" s="373"/>
      <c r="DW211" s="618"/>
      <c r="DX211" s="374">
        <v>1</v>
      </c>
      <c r="DY211" s="869"/>
      <c r="DZ211" s="373"/>
      <c r="EA211" s="373"/>
      <c r="EB211" s="870"/>
      <c r="EC211" s="373"/>
      <c r="ED211" s="373"/>
      <c r="EE211" s="373"/>
      <c r="EF211" s="618"/>
      <c r="EG211" s="374">
        <v>0</v>
      </c>
      <c r="EH211" s="869"/>
      <c r="EI211" s="373"/>
      <c r="EJ211" s="373"/>
      <c r="EK211" s="870"/>
      <c r="EL211" s="373"/>
      <c r="EM211" s="373"/>
      <c r="EN211" s="373"/>
      <c r="EO211" s="618"/>
      <c r="EP211" s="374">
        <v>0</v>
      </c>
      <c r="EQ211" s="869"/>
      <c r="ER211" s="373"/>
      <c r="ES211" s="373"/>
      <c r="ET211" s="870"/>
      <c r="EU211" s="373"/>
      <c r="EV211" s="373"/>
      <c r="EW211" s="373"/>
      <c r="EX211" s="618"/>
      <c r="EY211" s="374">
        <v>0</v>
      </c>
      <c r="EZ211" s="869"/>
      <c r="FA211" s="373"/>
      <c r="FB211" s="373"/>
      <c r="FC211" s="870"/>
      <c r="FD211" s="373"/>
      <c r="FE211" s="373"/>
      <c r="FF211" s="373"/>
      <c r="FG211" s="618"/>
      <c r="FH211" s="374">
        <v>0</v>
      </c>
      <c r="FI211" s="869"/>
      <c r="FJ211" s="373">
        <v>1</v>
      </c>
      <c r="FK211" s="373"/>
      <c r="FL211" s="870">
        <v>1</v>
      </c>
      <c r="FM211" s="373"/>
      <c r="FN211" s="373"/>
      <c r="FO211" s="373"/>
      <c r="FP211" s="618"/>
      <c r="FQ211" s="374">
        <v>0</v>
      </c>
      <c r="FR211" s="869"/>
      <c r="FS211" s="373"/>
      <c r="FT211" s="373"/>
      <c r="FU211" s="870"/>
      <c r="FV211" s="373"/>
      <c r="FW211" s="373"/>
      <c r="FX211" s="373"/>
      <c r="FY211" s="618"/>
      <c r="FZ211" s="374">
        <v>0</v>
      </c>
      <c r="GA211" s="869"/>
      <c r="GB211" s="373"/>
      <c r="GC211" s="373"/>
      <c r="GD211" s="870"/>
      <c r="GE211" s="373"/>
      <c r="GF211" s="373"/>
      <c r="GG211" s="373"/>
      <c r="GH211" s="618"/>
      <c r="GI211" s="374">
        <v>0</v>
      </c>
      <c r="GJ211" s="869">
        <v>1</v>
      </c>
      <c r="GK211" s="373">
        <v>6</v>
      </c>
      <c r="GL211" s="373">
        <v>9</v>
      </c>
      <c r="GM211" s="870">
        <v>4</v>
      </c>
      <c r="GN211" s="373">
        <v>1</v>
      </c>
      <c r="GO211" s="373">
        <v>3</v>
      </c>
      <c r="GP211" s="373">
        <v>1</v>
      </c>
      <c r="GQ211" s="618">
        <v>1</v>
      </c>
      <c r="GR211" s="374">
        <v>3</v>
      </c>
      <c r="GS211" s="869"/>
      <c r="GT211" s="373"/>
      <c r="GU211" s="373">
        <v>6</v>
      </c>
      <c r="GV211" s="870">
        <v>1</v>
      </c>
      <c r="GW211" s="373"/>
      <c r="GX211" s="373">
        <v>1</v>
      </c>
      <c r="GY211" s="373">
        <v>1</v>
      </c>
      <c r="GZ211" s="618"/>
      <c r="HA211" s="374">
        <v>3</v>
      </c>
      <c r="HB211" s="869"/>
      <c r="HC211" s="373"/>
      <c r="HD211" s="373"/>
      <c r="HE211" s="870"/>
      <c r="HF211" s="373"/>
      <c r="HG211" s="373"/>
      <c r="HH211" s="373"/>
      <c r="HI211" s="618"/>
      <c r="HJ211" s="374">
        <v>0</v>
      </c>
      <c r="HK211" s="869">
        <v>1</v>
      </c>
      <c r="HL211" s="373"/>
      <c r="HM211" s="373"/>
      <c r="HN211" s="870"/>
      <c r="HO211" s="373"/>
      <c r="HP211" s="373"/>
      <c r="HQ211" s="373"/>
      <c r="HR211" s="618"/>
      <c r="HS211" s="374">
        <v>0</v>
      </c>
      <c r="HT211" s="869">
        <v>3</v>
      </c>
      <c r="HU211" s="373">
        <v>1</v>
      </c>
      <c r="HV211" s="373">
        <v>8</v>
      </c>
      <c r="HW211" s="870">
        <v>4</v>
      </c>
      <c r="HX211" s="373">
        <v>1</v>
      </c>
      <c r="HY211" s="373">
        <v>1</v>
      </c>
      <c r="HZ211" s="373">
        <v>3</v>
      </c>
      <c r="IA211" s="618">
        <v>2</v>
      </c>
      <c r="IB211" s="374">
        <v>4</v>
      </c>
      <c r="IC211" s="869">
        <v>10</v>
      </c>
      <c r="ID211" s="373">
        <v>9</v>
      </c>
      <c r="IE211" s="373">
        <v>11</v>
      </c>
      <c r="IF211" s="870">
        <v>8</v>
      </c>
      <c r="IG211" s="373">
        <v>2</v>
      </c>
      <c r="IH211" s="373">
        <v>3</v>
      </c>
      <c r="II211" s="373">
        <v>3</v>
      </c>
      <c r="IJ211" s="618">
        <v>7</v>
      </c>
      <c r="IK211" s="374">
        <v>5</v>
      </c>
      <c r="IL211" s="377">
        <v>1</v>
      </c>
      <c r="IM211" s="373">
        <v>3</v>
      </c>
      <c r="IN211" s="373"/>
      <c r="IO211" s="871">
        <v>2</v>
      </c>
      <c r="IP211" s="871"/>
      <c r="IQ211" s="373"/>
      <c r="IR211" s="373"/>
      <c r="IS211" s="618"/>
      <c r="IT211" s="374">
        <v>0</v>
      </c>
    </row>
    <row r="212" spans="1:254" s="245" customFormat="1" ht="12.75" customHeight="1" x14ac:dyDescent="0.2">
      <c r="A212" s="1052"/>
      <c r="B212" s="868" t="s">
        <v>1064</v>
      </c>
      <c r="C212" s="869"/>
      <c r="D212" s="373"/>
      <c r="E212" s="373"/>
      <c r="F212" s="870"/>
      <c r="G212" s="373"/>
      <c r="H212" s="373"/>
      <c r="I212" s="373"/>
      <c r="J212" s="618"/>
      <c r="K212" s="374">
        <v>0</v>
      </c>
      <c r="L212" s="869"/>
      <c r="M212" s="373"/>
      <c r="N212" s="373"/>
      <c r="O212" s="870"/>
      <c r="P212" s="373"/>
      <c r="Q212" s="373"/>
      <c r="R212" s="373"/>
      <c r="S212" s="618"/>
      <c r="T212" s="374">
        <v>0</v>
      </c>
      <c r="U212" s="869"/>
      <c r="V212" s="373"/>
      <c r="W212" s="373"/>
      <c r="X212" s="870"/>
      <c r="Y212" s="373"/>
      <c r="Z212" s="373"/>
      <c r="AA212" s="373"/>
      <c r="AB212" s="618"/>
      <c r="AC212" s="374">
        <v>0</v>
      </c>
      <c r="AD212" s="869"/>
      <c r="AE212" s="373"/>
      <c r="AF212" s="373"/>
      <c r="AG212" s="870"/>
      <c r="AH212" s="373"/>
      <c r="AI212" s="373"/>
      <c r="AJ212" s="373"/>
      <c r="AK212" s="618">
        <v>2</v>
      </c>
      <c r="AL212" s="374">
        <v>0</v>
      </c>
      <c r="AM212" s="869"/>
      <c r="AN212" s="373"/>
      <c r="AO212" s="373"/>
      <c r="AP212" s="870"/>
      <c r="AQ212" s="373"/>
      <c r="AR212" s="373"/>
      <c r="AS212" s="373"/>
      <c r="AT212" s="618"/>
      <c r="AU212" s="374">
        <v>0</v>
      </c>
      <c r="AV212" s="869"/>
      <c r="AW212" s="373"/>
      <c r="AX212" s="373"/>
      <c r="AY212" s="870"/>
      <c r="AZ212" s="373"/>
      <c r="BA212" s="373"/>
      <c r="BB212" s="373"/>
      <c r="BC212" s="618"/>
      <c r="BD212" s="374">
        <v>0</v>
      </c>
      <c r="BE212" s="869"/>
      <c r="BF212" s="373"/>
      <c r="BG212" s="373"/>
      <c r="BH212" s="870"/>
      <c r="BI212" s="373"/>
      <c r="BJ212" s="373"/>
      <c r="BK212" s="373"/>
      <c r="BL212" s="618"/>
      <c r="BM212" s="374">
        <v>0</v>
      </c>
      <c r="BN212" s="869"/>
      <c r="BO212" s="373"/>
      <c r="BP212" s="373"/>
      <c r="BQ212" s="870"/>
      <c r="BR212" s="373"/>
      <c r="BS212" s="373"/>
      <c r="BT212" s="373"/>
      <c r="BU212" s="618"/>
      <c r="BV212" s="374">
        <v>0</v>
      </c>
      <c r="BW212" s="869"/>
      <c r="BX212" s="373"/>
      <c r="BY212" s="373"/>
      <c r="BZ212" s="870">
        <v>1</v>
      </c>
      <c r="CA212" s="373"/>
      <c r="CB212" s="373"/>
      <c r="CC212" s="373">
        <v>1</v>
      </c>
      <c r="CD212" s="618">
        <v>1</v>
      </c>
      <c r="CE212" s="374">
        <v>0</v>
      </c>
      <c r="CF212" s="869"/>
      <c r="CG212" s="373"/>
      <c r="CH212" s="373"/>
      <c r="CI212" s="870"/>
      <c r="CJ212" s="373"/>
      <c r="CK212" s="373"/>
      <c r="CL212" s="373"/>
      <c r="CM212" s="618"/>
      <c r="CN212" s="374">
        <v>0</v>
      </c>
      <c r="CO212" s="869"/>
      <c r="CP212" s="373"/>
      <c r="CQ212" s="373"/>
      <c r="CR212" s="870"/>
      <c r="CS212" s="373"/>
      <c r="CT212" s="373"/>
      <c r="CU212" s="373"/>
      <c r="CV212" s="618"/>
      <c r="CW212" s="374">
        <v>0</v>
      </c>
      <c r="CX212" s="869">
        <v>14</v>
      </c>
      <c r="CY212" s="373">
        <v>1</v>
      </c>
      <c r="CZ212" s="373">
        <v>3</v>
      </c>
      <c r="DA212" s="870">
        <v>3</v>
      </c>
      <c r="DB212" s="373">
        <v>2</v>
      </c>
      <c r="DC212" s="373">
        <v>4</v>
      </c>
      <c r="DD212" s="373"/>
      <c r="DE212" s="618">
        <v>2</v>
      </c>
      <c r="DF212" s="374">
        <v>5</v>
      </c>
      <c r="DG212" s="869"/>
      <c r="DH212" s="373"/>
      <c r="DI212" s="373"/>
      <c r="DJ212" s="870"/>
      <c r="DK212" s="373"/>
      <c r="DL212" s="373"/>
      <c r="DM212" s="373"/>
      <c r="DN212" s="618"/>
      <c r="DO212" s="374">
        <v>0</v>
      </c>
      <c r="DP212" s="869">
        <v>3</v>
      </c>
      <c r="DQ212" s="373"/>
      <c r="DR212" s="373">
        <v>2</v>
      </c>
      <c r="DS212" s="870"/>
      <c r="DT212" s="373"/>
      <c r="DU212" s="373"/>
      <c r="DV212" s="373"/>
      <c r="DW212" s="618"/>
      <c r="DX212" s="374">
        <v>1</v>
      </c>
      <c r="DY212" s="869">
        <v>1</v>
      </c>
      <c r="DZ212" s="373"/>
      <c r="EA212" s="373"/>
      <c r="EB212" s="870">
        <v>1</v>
      </c>
      <c r="EC212" s="373"/>
      <c r="ED212" s="373"/>
      <c r="EE212" s="373"/>
      <c r="EF212" s="618">
        <v>1</v>
      </c>
      <c r="EG212" s="374">
        <v>1</v>
      </c>
      <c r="EH212" s="869"/>
      <c r="EI212" s="373"/>
      <c r="EJ212" s="373"/>
      <c r="EK212" s="870"/>
      <c r="EL212" s="373"/>
      <c r="EM212" s="373"/>
      <c r="EN212" s="373"/>
      <c r="EO212" s="618"/>
      <c r="EP212" s="374">
        <v>0</v>
      </c>
      <c r="EQ212" s="869"/>
      <c r="ER212" s="373"/>
      <c r="ES212" s="373"/>
      <c r="ET212" s="870"/>
      <c r="EU212" s="373"/>
      <c r="EV212" s="373"/>
      <c r="EW212" s="373"/>
      <c r="EX212" s="618"/>
      <c r="EY212" s="374">
        <v>0</v>
      </c>
      <c r="EZ212" s="869"/>
      <c r="FA212" s="373"/>
      <c r="FB212" s="373"/>
      <c r="FC212" s="870"/>
      <c r="FD212" s="373"/>
      <c r="FE212" s="373"/>
      <c r="FF212" s="373"/>
      <c r="FG212" s="618"/>
      <c r="FH212" s="374">
        <v>0</v>
      </c>
      <c r="FI212" s="869">
        <v>1</v>
      </c>
      <c r="FJ212" s="373">
        <v>2</v>
      </c>
      <c r="FK212" s="373"/>
      <c r="FL212" s="870"/>
      <c r="FM212" s="373"/>
      <c r="FN212" s="373">
        <v>1</v>
      </c>
      <c r="FO212" s="373"/>
      <c r="FP212" s="618"/>
      <c r="FQ212" s="374">
        <v>1</v>
      </c>
      <c r="FR212" s="869"/>
      <c r="FS212" s="373"/>
      <c r="FT212" s="373"/>
      <c r="FU212" s="870"/>
      <c r="FV212" s="373"/>
      <c r="FW212" s="373"/>
      <c r="FX212" s="373"/>
      <c r="FY212" s="618"/>
      <c r="FZ212" s="374">
        <v>0</v>
      </c>
      <c r="GA212" s="869"/>
      <c r="GB212" s="373"/>
      <c r="GC212" s="373"/>
      <c r="GD212" s="870"/>
      <c r="GE212" s="373"/>
      <c r="GF212" s="373"/>
      <c r="GG212" s="373"/>
      <c r="GH212" s="618"/>
      <c r="GI212" s="374">
        <v>0</v>
      </c>
      <c r="GJ212" s="869">
        <v>15</v>
      </c>
      <c r="GK212" s="373">
        <v>3</v>
      </c>
      <c r="GL212" s="373">
        <v>3</v>
      </c>
      <c r="GM212" s="870">
        <v>4</v>
      </c>
      <c r="GN212" s="373">
        <v>2</v>
      </c>
      <c r="GO212" s="373">
        <v>5</v>
      </c>
      <c r="GP212" s="373">
        <v>1</v>
      </c>
      <c r="GQ212" s="618">
        <v>5</v>
      </c>
      <c r="GR212" s="374">
        <v>6</v>
      </c>
      <c r="GS212" s="869">
        <v>10</v>
      </c>
      <c r="GT212" s="373"/>
      <c r="GU212" s="373">
        <v>3</v>
      </c>
      <c r="GV212" s="870">
        <v>2</v>
      </c>
      <c r="GW212" s="373">
        <v>1</v>
      </c>
      <c r="GX212" s="373">
        <v>2</v>
      </c>
      <c r="GY212" s="373">
        <v>1</v>
      </c>
      <c r="GZ212" s="618"/>
      <c r="HA212" s="374">
        <v>1</v>
      </c>
      <c r="HB212" s="869"/>
      <c r="HC212" s="373"/>
      <c r="HD212" s="373">
        <v>1</v>
      </c>
      <c r="HE212" s="870"/>
      <c r="HF212" s="373"/>
      <c r="HG212" s="373"/>
      <c r="HH212" s="373"/>
      <c r="HI212" s="618"/>
      <c r="HJ212" s="374">
        <v>0</v>
      </c>
      <c r="HK212" s="869"/>
      <c r="HL212" s="373"/>
      <c r="HM212" s="373"/>
      <c r="HN212" s="870"/>
      <c r="HO212" s="373"/>
      <c r="HP212" s="373"/>
      <c r="HQ212" s="373"/>
      <c r="HR212" s="618"/>
      <c r="HS212" s="374">
        <v>0</v>
      </c>
      <c r="HT212" s="869">
        <v>10</v>
      </c>
      <c r="HU212" s="373">
        <v>1</v>
      </c>
      <c r="HV212" s="373">
        <v>5</v>
      </c>
      <c r="HW212" s="870">
        <v>2</v>
      </c>
      <c r="HX212" s="373">
        <v>1</v>
      </c>
      <c r="HY212" s="373">
        <v>2</v>
      </c>
      <c r="HZ212" s="373">
        <v>2</v>
      </c>
      <c r="IA212" s="618"/>
      <c r="IB212" s="374">
        <v>2</v>
      </c>
      <c r="IC212" s="869">
        <v>17</v>
      </c>
      <c r="ID212" s="373">
        <v>9</v>
      </c>
      <c r="IE212" s="373">
        <v>5</v>
      </c>
      <c r="IF212" s="870">
        <v>5</v>
      </c>
      <c r="IG212" s="373">
        <v>4</v>
      </c>
      <c r="IH212" s="373">
        <v>5</v>
      </c>
      <c r="II212" s="373">
        <v>6</v>
      </c>
      <c r="IJ212" s="618">
        <v>6</v>
      </c>
      <c r="IK212" s="374">
        <v>8</v>
      </c>
      <c r="IL212" s="377">
        <v>1</v>
      </c>
      <c r="IM212" s="373">
        <v>1</v>
      </c>
      <c r="IN212" s="373"/>
      <c r="IO212" s="871"/>
      <c r="IP212" s="871"/>
      <c r="IQ212" s="373"/>
      <c r="IR212" s="373"/>
      <c r="IS212" s="618">
        <v>2</v>
      </c>
      <c r="IT212" s="374">
        <v>1</v>
      </c>
    </row>
    <row r="213" spans="1:254" s="245" customFormat="1" ht="12.75" customHeight="1" x14ac:dyDescent="0.2">
      <c r="A213" s="1052"/>
      <c r="B213" s="868" t="s">
        <v>1065</v>
      </c>
      <c r="C213" s="869"/>
      <c r="D213" s="373"/>
      <c r="E213" s="373"/>
      <c r="F213" s="870"/>
      <c r="G213" s="373"/>
      <c r="H213" s="373"/>
      <c r="I213" s="373"/>
      <c r="J213" s="618"/>
      <c r="K213" s="374">
        <v>0</v>
      </c>
      <c r="L213" s="869"/>
      <c r="M213" s="373"/>
      <c r="N213" s="373"/>
      <c r="O213" s="870"/>
      <c r="P213" s="373"/>
      <c r="Q213" s="373"/>
      <c r="R213" s="373"/>
      <c r="S213" s="618"/>
      <c r="T213" s="374">
        <v>0</v>
      </c>
      <c r="U213" s="869"/>
      <c r="V213" s="373"/>
      <c r="W213" s="373"/>
      <c r="X213" s="870"/>
      <c r="Y213" s="373"/>
      <c r="Z213" s="373"/>
      <c r="AA213" s="373"/>
      <c r="AB213" s="618"/>
      <c r="AC213" s="374">
        <v>0</v>
      </c>
      <c r="AD213" s="869"/>
      <c r="AE213" s="373"/>
      <c r="AF213" s="373"/>
      <c r="AG213" s="870"/>
      <c r="AH213" s="373"/>
      <c r="AI213" s="373">
        <v>1</v>
      </c>
      <c r="AJ213" s="373"/>
      <c r="AK213" s="618"/>
      <c r="AL213" s="374">
        <v>0</v>
      </c>
      <c r="AM213" s="869"/>
      <c r="AN213" s="373"/>
      <c r="AO213" s="373"/>
      <c r="AP213" s="870"/>
      <c r="AQ213" s="373"/>
      <c r="AR213" s="373"/>
      <c r="AS213" s="373"/>
      <c r="AT213" s="618"/>
      <c r="AU213" s="374">
        <v>0</v>
      </c>
      <c r="AV213" s="869"/>
      <c r="AW213" s="373"/>
      <c r="AX213" s="373"/>
      <c r="AY213" s="870"/>
      <c r="AZ213" s="373"/>
      <c r="BA213" s="373"/>
      <c r="BB213" s="373"/>
      <c r="BC213" s="618"/>
      <c r="BD213" s="374">
        <v>0</v>
      </c>
      <c r="BE213" s="869"/>
      <c r="BF213" s="373"/>
      <c r="BG213" s="373"/>
      <c r="BH213" s="870"/>
      <c r="BI213" s="373"/>
      <c r="BJ213" s="373"/>
      <c r="BK213" s="373"/>
      <c r="BL213" s="618"/>
      <c r="BM213" s="374">
        <v>0</v>
      </c>
      <c r="BN213" s="869"/>
      <c r="BO213" s="373"/>
      <c r="BP213" s="373"/>
      <c r="BQ213" s="870"/>
      <c r="BR213" s="373"/>
      <c r="BS213" s="373"/>
      <c r="BT213" s="373"/>
      <c r="BU213" s="618"/>
      <c r="BV213" s="374">
        <v>0</v>
      </c>
      <c r="BW213" s="869"/>
      <c r="BX213" s="373"/>
      <c r="BY213" s="373"/>
      <c r="BZ213" s="870"/>
      <c r="CA213" s="373"/>
      <c r="CB213" s="373"/>
      <c r="CC213" s="373"/>
      <c r="CD213" s="618"/>
      <c r="CE213" s="374">
        <v>1</v>
      </c>
      <c r="CF213" s="869"/>
      <c r="CG213" s="373"/>
      <c r="CH213" s="373"/>
      <c r="CI213" s="870"/>
      <c r="CJ213" s="373"/>
      <c r="CK213" s="373"/>
      <c r="CL213" s="373"/>
      <c r="CM213" s="618"/>
      <c r="CN213" s="374">
        <v>0</v>
      </c>
      <c r="CO213" s="869"/>
      <c r="CP213" s="373"/>
      <c r="CQ213" s="373"/>
      <c r="CR213" s="870"/>
      <c r="CS213" s="373"/>
      <c r="CT213" s="373"/>
      <c r="CU213" s="373"/>
      <c r="CV213" s="618"/>
      <c r="CW213" s="374">
        <v>0</v>
      </c>
      <c r="CX213" s="869">
        <v>1</v>
      </c>
      <c r="CY213" s="373"/>
      <c r="CZ213" s="373"/>
      <c r="DA213" s="870"/>
      <c r="DB213" s="373">
        <v>2</v>
      </c>
      <c r="DC213" s="373">
        <v>2</v>
      </c>
      <c r="DD213" s="373">
        <v>3</v>
      </c>
      <c r="DE213" s="618"/>
      <c r="DF213" s="374">
        <v>2</v>
      </c>
      <c r="DG213" s="869"/>
      <c r="DH213" s="373"/>
      <c r="DI213" s="373"/>
      <c r="DJ213" s="870"/>
      <c r="DK213" s="373"/>
      <c r="DL213" s="373"/>
      <c r="DM213" s="373"/>
      <c r="DN213" s="618"/>
      <c r="DO213" s="374">
        <v>0</v>
      </c>
      <c r="DP213" s="869"/>
      <c r="DQ213" s="373"/>
      <c r="DR213" s="373"/>
      <c r="DS213" s="870"/>
      <c r="DT213" s="373"/>
      <c r="DU213" s="373"/>
      <c r="DV213" s="373"/>
      <c r="DW213" s="618"/>
      <c r="DX213" s="374">
        <v>0</v>
      </c>
      <c r="DY213" s="869"/>
      <c r="DZ213" s="373"/>
      <c r="EA213" s="373"/>
      <c r="EB213" s="870"/>
      <c r="EC213" s="373"/>
      <c r="ED213" s="373"/>
      <c r="EE213" s="373"/>
      <c r="EF213" s="618"/>
      <c r="EG213" s="374">
        <v>0</v>
      </c>
      <c r="EH213" s="869"/>
      <c r="EI213" s="373"/>
      <c r="EJ213" s="373"/>
      <c r="EK213" s="870"/>
      <c r="EL213" s="373"/>
      <c r="EM213" s="373"/>
      <c r="EN213" s="373"/>
      <c r="EO213" s="618"/>
      <c r="EP213" s="374">
        <v>0</v>
      </c>
      <c r="EQ213" s="869"/>
      <c r="ER213" s="373"/>
      <c r="ES213" s="373"/>
      <c r="ET213" s="870"/>
      <c r="EU213" s="373"/>
      <c r="EV213" s="373"/>
      <c r="EW213" s="373"/>
      <c r="EX213" s="618"/>
      <c r="EY213" s="374">
        <v>0</v>
      </c>
      <c r="EZ213" s="869"/>
      <c r="FA213" s="373"/>
      <c r="FB213" s="373"/>
      <c r="FC213" s="870"/>
      <c r="FD213" s="373"/>
      <c r="FE213" s="373"/>
      <c r="FF213" s="373"/>
      <c r="FG213" s="618"/>
      <c r="FH213" s="374">
        <v>0</v>
      </c>
      <c r="FI213" s="869"/>
      <c r="FJ213" s="373"/>
      <c r="FK213" s="373"/>
      <c r="FL213" s="870"/>
      <c r="FM213" s="373"/>
      <c r="FN213" s="373"/>
      <c r="FO213" s="373"/>
      <c r="FP213" s="618"/>
      <c r="FQ213" s="374">
        <v>0</v>
      </c>
      <c r="FR213" s="869"/>
      <c r="FS213" s="373"/>
      <c r="FT213" s="373"/>
      <c r="FU213" s="870"/>
      <c r="FV213" s="373"/>
      <c r="FW213" s="373"/>
      <c r="FX213" s="373"/>
      <c r="FY213" s="618"/>
      <c r="FZ213" s="374">
        <v>0</v>
      </c>
      <c r="GA213" s="869"/>
      <c r="GB213" s="373"/>
      <c r="GC213" s="373"/>
      <c r="GD213" s="870"/>
      <c r="GE213" s="373"/>
      <c r="GF213" s="373"/>
      <c r="GG213" s="373"/>
      <c r="GH213" s="618"/>
      <c r="GI213" s="374">
        <v>0</v>
      </c>
      <c r="GJ213" s="869">
        <v>1</v>
      </c>
      <c r="GK213" s="373"/>
      <c r="GL213" s="373"/>
      <c r="GM213" s="870"/>
      <c r="GN213" s="373">
        <v>2</v>
      </c>
      <c r="GO213" s="373">
        <v>3</v>
      </c>
      <c r="GP213" s="373">
        <v>3</v>
      </c>
      <c r="GQ213" s="618"/>
      <c r="GR213" s="374">
        <v>3</v>
      </c>
      <c r="GS213" s="869">
        <v>1</v>
      </c>
      <c r="GT213" s="373"/>
      <c r="GU213" s="373"/>
      <c r="GV213" s="870"/>
      <c r="GW213" s="373"/>
      <c r="GX213" s="373"/>
      <c r="GY213" s="373"/>
      <c r="GZ213" s="618"/>
      <c r="HA213" s="374">
        <v>1</v>
      </c>
      <c r="HB213" s="869"/>
      <c r="HC213" s="373"/>
      <c r="HD213" s="373"/>
      <c r="HE213" s="870"/>
      <c r="HF213" s="373"/>
      <c r="HG213" s="373"/>
      <c r="HH213" s="373"/>
      <c r="HI213" s="618"/>
      <c r="HJ213" s="374">
        <v>0</v>
      </c>
      <c r="HK213" s="869"/>
      <c r="HL213" s="373"/>
      <c r="HM213" s="373"/>
      <c r="HN213" s="870"/>
      <c r="HO213" s="373"/>
      <c r="HP213" s="373"/>
      <c r="HQ213" s="373"/>
      <c r="HR213" s="618"/>
      <c r="HS213" s="374">
        <v>0</v>
      </c>
      <c r="HT213" s="869">
        <v>1</v>
      </c>
      <c r="HU213" s="373"/>
      <c r="HV213" s="373"/>
      <c r="HW213" s="870"/>
      <c r="HX213" s="373"/>
      <c r="HY213" s="373"/>
      <c r="HZ213" s="373"/>
      <c r="IA213" s="618"/>
      <c r="IB213" s="374">
        <v>2</v>
      </c>
      <c r="IC213" s="869">
        <v>2</v>
      </c>
      <c r="ID213" s="373"/>
      <c r="IE213" s="373">
        <v>3</v>
      </c>
      <c r="IF213" s="870"/>
      <c r="IG213" s="373">
        <v>5</v>
      </c>
      <c r="IH213" s="373">
        <v>3</v>
      </c>
      <c r="II213" s="373">
        <v>3</v>
      </c>
      <c r="IJ213" s="618">
        <v>1</v>
      </c>
      <c r="IK213" s="374">
        <v>4</v>
      </c>
      <c r="IL213" s="377">
        <v>1</v>
      </c>
      <c r="IM213" s="373"/>
      <c r="IN213" s="373"/>
      <c r="IO213" s="871"/>
      <c r="IP213" s="871"/>
      <c r="IQ213" s="373"/>
      <c r="IR213" s="373"/>
      <c r="IS213" s="618"/>
      <c r="IT213" s="374">
        <v>0</v>
      </c>
    </row>
    <row r="214" spans="1:254" s="245" customFormat="1" ht="12.75" customHeight="1" x14ac:dyDescent="0.2">
      <c r="A214" s="1052"/>
      <c r="B214" s="868" t="s">
        <v>1066</v>
      </c>
      <c r="C214" s="869"/>
      <c r="D214" s="373"/>
      <c r="E214" s="373"/>
      <c r="F214" s="870"/>
      <c r="G214" s="373"/>
      <c r="H214" s="373"/>
      <c r="I214" s="373"/>
      <c r="J214" s="618"/>
      <c r="K214" s="374">
        <v>0</v>
      </c>
      <c r="L214" s="869"/>
      <c r="M214" s="373"/>
      <c r="N214" s="373"/>
      <c r="O214" s="870"/>
      <c r="P214" s="373"/>
      <c r="Q214" s="373"/>
      <c r="R214" s="373"/>
      <c r="S214" s="618"/>
      <c r="T214" s="374">
        <v>0</v>
      </c>
      <c r="U214" s="869"/>
      <c r="V214" s="373"/>
      <c r="W214" s="373"/>
      <c r="X214" s="870"/>
      <c r="Y214" s="373"/>
      <c r="Z214" s="373"/>
      <c r="AA214" s="373"/>
      <c r="AB214" s="618"/>
      <c r="AC214" s="374">
        <v>0</v>
      </c>
      <c r="AD214" s="869">
        <v>3</v>
      </c>
      <c r="AE214" s="373">
        <v>2</v>
      </c>
      <c r="AF214" s="373">
        <v>2</v>
      </c>
      <c r="AG214" s="870"/>
      <c r="AH214" s="373">
        <v>4</v>
      </c>
      <c r="AI214" s="373">
        <v>2</v>
      </c>
      <c r="AJ214" s="373">
        <v>2</v>
      </c>
      <c r="AK214" s="618">
        <v>2</v>
      </c>
      <c r="AL214" s="374">
        <v>0</v>
      </c>
      <c r="AM214" s="869">
        <v>1</v>
      </c>
      <c r="AN214" s="373">
        <v>1</v>
      </c>
      <c r="AO214" s="373">
        <v>1</v>
      </c>
      <c r="AP214" s="870"/>
      <c r="AQ214" s="373">
        <v>1</v>
      </c>
      <c r="AR214" s="373">
        <v>1</v>
      </c>
      <c r="AS214" s="373">
        <v>1</v>
      </c>
      <c r="AT214" s="618"/>
      <c r="AU214" s="374">
        <v>0</v>
      </c>
      <c r="AV214" s="869"/>
      <c r="AW214" s="373"/>
      <c r="AX214" s="373"/>
      <c r="AY214" s="870"/>
      <c r="AZ214" s="373"/>
      <c r="BA214" s="373"/>
      <c r="BB214" s="373"/>
      <c r="BC214" s="618"/>
      <c r="BD214" s="374">
        <v>0</v>
      </c>
      <c r="BE214" s="869"/>
      <c r="BF214" s="373"/>
      <c r="BG214" s="373"/>
      <c r="BH214" s="870"/>
      <c r="BI214" s="373"/>
      <c r="BJ214" s="373"/>
      <c r="BK214" s="373"/>
      <c r="BL214" s="618"/>
      <c r="BM214" s="374">
        <v>0</v>
      </c>
      <c r="BN214" s="869"/>
      <c r="BO214" s="373"/>
      <c r="BP214" s="373"/>
      <c r="BQ214" s="870"/>
      <c r="BR214" s="373"/>
      <c r="BS214" s="373"/>
      <c r="BT214" s="373"/>
      <c r="BU214" s="618"/>
      <c r="BV214" s="374">
        <v>0</v>
      </c>
      <c r="BW214" s="869">
        <v>6</v>
      </c>
      <c r="BX214" s="373">
        <v>3</v>
      </c>
      <c r="BY214" s="373">
        <v>2</v>
      </c>
      <c r="BZ214" s="870">
        <v>1</v>
      </c>
      <c r="CA214" s="373">
        <v>3</v>
      </c>
      <c r="CB214" s="373">
        <v>4</v>
      </c>
      <c r="CC214" s="373">
        <v>4</v>
      </c>
      <c r="CD214" s="618">
        <v>2</v>
      </c>
      <c r="CE214" s="374">
        <v>1</v>
      </c>
      <c r="CF214" s="869"/>
      <c r="CG214" s="373"/>
      <c r="CH214" s="373"/>
      <c r="CI214" s="870"/>
      <c r="CJ214" s="373"/>
      <c r="CK214" s="373"/>
      <c r="CL214" s="373"/>
      <c r="CM214" s="618"/>
      <c r="CN214" s="374">
        <v>0</v>
      </c>
      <c r="CO214" s="869"/>
      <c r="CP214" s="373"/>
      <c r="CQ214" s="373"/>
      <c r="CR214" s="870"/>
      <c r="CS214" s="373"/>
      <c r="CT214" s="373">
        <v>1</v>
      </c>
      <c r="CU214" s="373"/>
      <c r="CV214" s="618">
        <v>1</v>
      </c>
      <c r="CW214" s="374">
        <v>0</v>
      </c>
      <c r="CX214" s="869">
        <v>49</v>
      </c>
      <c r="CY214" s="373">
        <v>26</v>
      </c>
      <c r="CZ214" s="373">
        <v>23</v>
      </c>
      <c r="DA214" s="870">
        <v>5</v>
      </c>
      <c r="DB214" s="373">
        <v>16</v>
      </c>
      <c r="DC214" s="373">
        <v>26</v>
      </c>
      <c r="DD214" s="373">
        <v>7</v>
      </c>
      <c r="DE214" s="618">
        <v>7</v>
      </c>
      <c r="DF214" s="374">
        <v>3</v>
      </c>
      <c r="DG214" s="869"/>
      <c r="DH214" s="373"/>
      <c r="DI214" s="373">
        <v>1</v>
      </c>
      <c r="DJ214" s="870"/>
      <c r="DK214" s="373"/>
      <c r="DL214" s="373"/>
      <c r="DM214" s="373"/>
      <c r="DN214" s="618"/>
      <c r="DO214" s="374">
        <v>0</v>
      </c>
      <c r="DP214" s="869">
        <v>1</v>
      </c>
      <c r="DQ214" s="373"/>
      <c r="DR214" s="373"/>
      <c r="DS214" s="870"/>
      <c r="DT214" s="373">
        <v>1</v>
      </c>
      <c r="DU214" s="373"/>
      <c r="DV214" s="373">
        <v>1</v>
      </c>
      <c r="DW214" s="618"/>
      <c r="DX214" s="374">
        <v>0</v>
      </c>
      <c r="DY214" s="869">
        <v>10</v>
      </c>
      <c r="DZ214" s="373">
        <v>4</v>
      </c>
      <c r="EA214" s="373">
        <v>5</v>
      </c>
      <c r="EB214" s="870">
        <v>3</v>
      </c>
      <c r="EC214" s="373">
        <v>1</v>
      </c>
      <c r="ED214" s="373">
        <v>12</v>
      </c>
      <c r="EE214" s="373">
        <v>1</v>
      </c>
      <c r="EF214" s="618">
        <v>2</v>
      </c>
      <c r="EG214" s="374">
        <v>0</v>
      </c>
      <c r="EH214" s="869"/>
      <c r="EI214" s="373">
        <v>2</v>
      </c>
      <c r="EJ214" s="373"/>
      <c r="EK214" s="870"/>
      <c r="EL214" s="373"/>
      <c r="EM214" s="373"/>
      <c r="EN214" s="373"/>
      <c r="EO214" s="618"/>
      <c r="EP214" s="374">
        <v>0</v>
      </c>
      <c r="EQ214" s="869"/>
      <c r="ER214" s="373"/>
      <c r="ES214" s="373"/>
      <c r="ET214" s="870"/>
      <c r="EU214" s="373"/>
      <c r="EV214" s="373"/>
      <c r="EW214" s="373"/>
      <c r="EX214" s="618"/>
      <c r="EY214" s="374">
        <v>0</v>
      </c>
      <c r="EZ214" s="869">
        <v>2</v>
      </c>
      <c r="FA214" s="373"/>
      <c r="FB214" s="373"/>
      <c r="FC214" s="870"/>
      <c r="FD214" s="373"/>
      <c r="FE214" s="373"/>
      <c r="FF214" s="373"/>
      <c r="FG214" s="618">
        <v>1</v>
      </c>
      <c r="FH214" s="374">
        <v>0</v>
      </c>
      <c r="FI214" s="869">
        <v>2</v>
      </c>
      <c r="FJ214" s="373">
        <v>2</v>
      </c>
      <c r="FK214" s="373">
        <v>1</v>
      </c>
      <c r="FL214" s="870"/>
      <c r="FM214" s="373"/>
      <c r="FN214" s="373"/>
      <c r="FO214" s="373"/>
      <c r="FP214" s="618">
        <v>2</v>
      </c>
      <c r="FQ214" s="374">
        <v>3</v>
      </c>
      <c r="FR214" s="869">
        <v>1</v>
      </c>
      <c r="FS214" s="373"/>
      <c r="FT214" s="373"/>
      <c r="FU214" s="870"/>
      <c r="FV214" s="373">
        <v>1</v>
      </c>
      <c r="FW214" s="373"/>
      <c r="FX214" s="373">
        <v>1</v>
      </c>
      <c r="FY214" s="618"/>
      <c r="FZ214" s="374">
        <v>0</v>
      </c>
      <c r="GA214" s="869"/>
      <c r="GB214" s="373"/>
      <c r="GC214" s="373"/>
      <c r="GD214" s="870"/>
      <c r="GE214" s="373"/>
      <c r="GF214" s="373">
        <v>1</v>
      </c>
      <c r="GG214" s="373"/>
      <c r="GH214" s="618"/>
      <c r="GI214" s="374">
        <v>0</v>
      </c>
      <c r="GJ214" s="869">
        <v>63</v>
      </c>
      <c r="GK214" s="373">
        <v>35</v>
      </c>
      <c r="GL214" s="373">
        <v>28</v>
      </c>
      <c r="GM214" s="870">
        <v>6</v>
      </c>
      <c r="GN214" s="373">
        <v>24</v>
      </c>
      <c r="GO214" s="373">
        <v>34</v>
      </c>
      <c r="GP214" s="373">
        <v>14</v>
      </c>
      <c r="GQ214" s="618">
        <v>15</v>
      </c>
      <c r="GR214" s="374">
        <v>7</v>
      </c>
      <c r="GS214" s="869">
        <v>12</v>
      </c>
      <c r="GT214" s="373">
        <v>8</v>
      </c>
      <c r="GU214" s="373">
        <v>3</v>
      </c>
      <c r="GV214" s="870">
        <v>1</v>
      </c>
      <c r="GW214" s="373">
        <v>1</v>
      </c>
      <c r="GX214" s="373">
        <v>7</v>
      </c>
      <c r="GY214" s="373">
        <v>5</v>
      </c>
      <c r="GZ214" s="618">
        <v>3</v>
      </c>
      <c r="HA214" s="374">
        <v>2</v>
      </c>
      <c r="HB214" s="869"/>
      <c r="HC214" s="373"/>
      <c r="HD214" s="373"/>
      <c r="HE214" s="870"/>
      <c r="HF214" s="373"/>
      <c r="HG214" s="373"/>
      <c r="HH214" s="373"/>
      <c r="HI214" s="618"/>
      <c r="HJ214" s="374">
        <v>0</v>
      </c>
      <c r="HK214" s="869"/>
      <c r="HL214" s="373"/>
      <c r="HM214" s="373"/>
      <c r="HN214" s="870"/>
      <c r="HO214" s="373"/>
      <c r="HP214" s="373">
        <v>1</v>
      </c>
      <c r="HQ214" s="373"/>
      <c r="HR214" s="618"/>
      <c r="HS214" s="374">
        <v>0</v>
      </c>
      <c r="HT214" s="869">
        <v>19</v>
      </c>
      <c r="HU214" s="373">
        <v>16</v>
      </c>
      <c r="HV214" s="373">
        <v>6</v>
      </c>
      <c r="HW214" s="870">
        <v>10</v>
      </c>
      <c r="HX214" s="373">
        <v>4</v>
      </c>
      <c r="HY214" s="373">
        <v>13</v>
      </c>
      <c r="HZ214" s="373">
        <v>8</v>
      </c>
      <c r="IA214" s="618">
        <v>4</v>
      </c>
      <c r="IB214" s="374">
        <v>8</v>
      </c>
      <c r="IC214" s="869">
        <v>84</v>
      </c>
      <c r="ID214" s="373">
        <v>129</v>
      </c>
      <c r="IE214" s="373">
        <v>49</v>
      </c>
      <c r="IF214" s="870">
        <v>27</v>
      </c>
      <c r="IG214" s="373">
        <v>40</v>
      </c>
      <c r="IH214" s="373">
        <v>57</v>
      </c>
      <c r="II214" s="373">
        <v>29</v>
      </c>
      <c r="IJ214" s="618">
        <v>25</v>
      </c>
      <c r="IK214" s="374">
        <v>16</v>
      </c>
      <c r="IL214" s="377">
        <v>18</v>
      </c>
      <c r="IM214" s="373">
        <v>7</v>
      </c>
      <c r="IN214" s="373">
        <v>11</v>
      </c>
      <c r="IO214" s="871">
        <v>2</v>
      </c>
      <c r="IP214" s="871">
        <v>2</v>
      </c>
      <c r="IQ214" s="373">
        <v>14</v>
      </c>
      <c r="IR214" s="373">
        <v>1</v>
      </c>
      <c r="IS214" s="618">
        <v>2</v>
      </c>
      <c r="IT214" s="374">
        <v>0</v>
      </c>
    </row>
    <row r="215" spans="1:254" s="245" customFormat="1" ht="12.75" customHeight="1" x14ac:dyDescent="0.2">
      <c r="A215" s="1052"/>
      <c r="B215" s="868" t="s">
        <v>1067</v>
      </c>
      <c r="C215" s="869"/>
      <c r="D215" s="373"/>
      <c r="E215" s="373"/>
      <c r="F215" s="870"/>
      <c r="G215" s="373"/>
      <c r="H215" s="373"/>
      <c r="I215" s="373"/>
      <c r="J215" s="618"/>
      <c r="K215" s="374">
        <v>0</v>
      </c>
      <c r="L215" s="869"/>
      <c r="M215" s="373"/>
      <c r="N215" s="373"/>
      <c r="O215" s="870"/>
      <c r="P215" s="373"/>
      <c r="Q215" s="373"/>
      <c r="R215" s="373"/>
      <c r="S215" s="618"/>
      <c r="T215" s="374">
        <v>0</v>
      </c>
      <c r="U215" s="869"/>
      <c r="V215" s="373"/>
      <c r="W215" s="373"/>
      <c r="X215" s="870"/>
      <c r="Y215" s="373"/>
      <c r="Z215" s="373"/>
      <c r="AA215" s="373"/>
      <c r="AB215" s="618"/>
      <c r="AC215" s="374">
        <v>0</v>
      </c>
      <c r="AD215" s="869"/>
      <c r="AE215" s="373"/>
      <c r="AF215" s="373">
        <v>1</v>
      </c>
      <c r="AG215" s="870">
        <v>1</v>
      </c>
      <c r="AH215" s="373"/>
      <c r="AI215" s="373"/>
      <c r="AJ215" s="373">
        <v>1</v>
      </c>
      <c r="AK215" s="618"/>
      <c r="AL215" s="374">
        <v>0</v>
      </c>
      <c r="AM215" s="869"/>
      <c r="AN215" s="373"/>
      <c r="AO215" s="373"/>
      <c r="AP215" s="870"/>
      <c r="AQ215" s="373"/>
      <c r="AR215" s="373"/>
      <c r="AS215" s="373"/>
      <c r="AT215" s="618"/>
      <c r="AU215" s="374">
        <v>0</v>
      </c>
      <c r="AV215" s="869"/>
      <c r="AW215" s="373"/>
      <c r="AX215" s="373"/>
      <c r="AY215" s="870"/>
      <c r="AZ215" s="373"/>
      <c r="BA215" s="373"/>
      <c r="BB215" s="373"/>
      <c r="BC215" s="618"/>
      <c r="BD215" s="374">
        <v>0</v>
      </c>
      <c r="BE215" s="869"/>
      <c r="BF215" s="373"/>
      <c r="BG215" s="373"/>
      <c r="BH215" s="870"/>
      <c r="BI215" s="373"/>
      <c r="BJ215" s="373"/>
      <c r="BK215" s="373"/>
      <c r="BL215" s="618"/>
      <c r="BM215" s="374">
        <v>0</v>
      </c>
      <c r="BN215" s="869"/>
      <c r="BO215" s="373"/>
      <c r="BP215" s="373"/>
      <c r="BQ215" s="870"/>
      <c r="BR215" s="373"/>
      <c r="BS215" s="373"/>
      <c r="BT215" s="373"/>
      <c r="BU215" s="618"/>
      <c r="BV215" s="374">
        <v>0</v>
      </c>
      <c r="BW215" s="869">
        <v>1</v>
      </c>
      <c r="BX215" s="373"/>
      <c r="BY215" s="373"/>
      <c r="BZ215" s="870"/>
      <c r="CA215" s="373">
        <v>1</v>
      </c>
      <c r="CB215" s="373"/>
      <c r="CC215" s="373"/>
      <c r="CD215" s="618">
        <v>1</v>
      </c>
      <c r="CE215" s="374">
        <v>0</v>
      </c>
      <c r="CF215" s="869"/>
      <c r="CG215" s="373"/>
      <c r="CH215" s="373"/>
      <c r="CI215" s="870">
        <v>1</v>
      </c>
      <c r="CJ215" s="373"/>
      <c r="CK215" s="373"/>
      <c r="CL215" s="373"/>
      <c r="CM215" s="618"/>
      <c r="CN215" s="374">
        <v>0</v>
      </c>
      <c r="CO215" s="869"/>
      <c r="CP215" s="373"/>
      <c r="CQ215" s="373"/>
      <c r="CR215" s="870"/>
      <c r="CS215" s="373"/>
      <c r="CT215" s="373"/>
      <c r="CU215" s="373"/>
      <c r="CV215" s="618"/>
      <c r="CW215" s="374">
        <v>0</v>
      </c>
      <c r="CX215" s="869">
        <v>1</v>
      </c>
      <c r="CY215" s="373"/>
      <c r="CZ215" s="373">
        <v>2</v>
      </c>
      <c r="DA215" s="870"/>
      <c r="DB215" s="373"/>
      <c r="DC215" s="373">
        <v>2</v>
      </c>
      <c r="DD215" s="373"/>
      <c r="DE215" s="618"/>
      <c r="DF215" s="374">
        <v>0</v>
      </c>
      <c r="DG215" s="869"/>
      <c r="DH215" s="373"/>
      <c r="DI215" s="373"/>
      <c r="DJ215" s="870"/>
      <c r="DK215" s="373"/>
      <c r="DL215" s="373"/>
      <c r="DM215" s="373"/>
      <c r="DN215" s="618"/>
      <c r="DO215" s="374">
        <v>0</v>
      </c>
      <c r="DP215" s="869"/>
      <c r="DQ215" s="373"/>
      <c r="DR215" s="373"/>
      <c r="DS215" s="870"/>
      <c r="DT215" s="373"/>
      <c r="DU215" s="373"/>
      <c r="DV215" s="373"/>
      <c r="DW215" s="618"/>
      <c r="DX215" s="374">
        <v>0</v>
      </c>
      <c r="DY215" s="869"/>
      <c r="DZ215" s="373"/>
      <c r="EA215" s="373"/>
      <c r="EB215" s="870"/>
      <c r="EC215" s="373"/>
      <c r="ED215" s="373"/>
      <c r="EE215" s="373"/>
      <c r="EF215" s="618"/>
      <c r="EG215" s="374">
        <v>0</v>
      </c>
      <c r="EH215" s="869"/>
      <c r="EI215" s="373"/>
      <c r="EJ215" s="373"/>
      <c r="EK215" s="870"/>
      <c r="EL215" s="373"/>
      <c r="EM215" s="373"/>
      <c r="EN215" s="373"/>
      <c r="EO215" s="618"/>
      <c r="EP215" s="374">
        <v>0</v>
      </c>
      <c r="EQ215" s="869"/>
      <c r="ER215" s="373"/>
      <c r="ES215" s="373"/>
      <c r="ET215" s="870"/>
      <c r="EU215" s="373"/>
      <c r="EV215" s="373"/>
      <c r="EW215" s="373"/>
      <c r="EX215" s="618"/>
      <c r="EY215" s="374">
        <v>0</v>
      </c>
      <c r="EZ215" s="869"/>
      <c r="FA215" s="373"/>
      <c r="FB215" s="373"/>
      <c r="FC215" s="870"/>
      <c r="FD215" s="373"/>
      <c r="FE215" s="373"/>
      <c r="FF215" s="373"/>
      <c r="FG215" s="618"/>
      <c r="FH215" s="374">
        <v>0</v>
      </c>
      <c r="FI215" s="869">
        <v>1</v>
      </c>
      <c r="FJ215" s="373"/>
      <c r="FK215" s="373"/>
      <c r="FL215" s="870"/>
      <c r="FM215" s="373"/>
      <c r="FN215" s="373"/>
      <c r="FO215" s="373"/>
      <c r="FP215" s="618"/>
      <c r="FQ215" s="374">
        <v>0</v>
      </c>
      <c r="FR215" s="869"/>
      <c r="FS215" s="373"/>
      <c r="FT215" s="373"/>
      <c r="FU215" s="870"/>
      <c r="FV215" s="373"/>
      <c r="FW215" s="373"/>
      <c r="FX215" s="373"/>
      <c r="FY215" s="618"/>
      <c r="FZ215" s="374">
        <v>0</v>
      </c>
      <c r="GA215" s="869"/>
      <c r="GB215" s="373"/>
      <c r="GC215" s="373"/>
      <c r="GD215" s="870"/>
      <c r="GE215" s="373"/>
      <c r="GF215" s="373"/>
      <c r="GG215" s="373"/>
      <c r="GH215" s="618"/>
      <c r="GI215" s="374">
        <v>0</v>
      </c>
      <c r="GJ215" s="869">
        <v>3</v>
      </c>
      <c r="GK215" s="373"/>
      <c r="GL215" s="373">
        <v>3</v>
      </c>
      <c r="GM215" s="870">
        <v>2</v>
      </c>
      <c r="GN215" s="373">
        <v>1</v>
      </c>
      <c r="GO215" s="373">
        <v>2</v>
      </c>
      <c r="GP215" s="373">
        <v>1</v>
      </c>
      <c r="GQ215" s="618">
        <v>1</v>
      </c>
      <c r="GR215" s="374">
        <v>0</v>
      </c>
      <c r="GS215" s="869">
        <v>1</v>
      </c>
      <c r="GT215" s="373"/>
      <c r="GU215" s="373"/>
      <c r="GV215" s="870"/>
      <c r="GW215" s="373"/>
      <c r="GX215" s="373"/>
      <c r="GY215" s="373"/>
      <c r="GZ215" s="618">
        <v>1</v>
      </c>
      <c r="HA215" s="374">
        <v>0</v>
      </c>
      <c r="HB215" s="869"/>
      <c r="HC215" s="373"/>
      <c r="HD215" s="373"/>
      <c r="HE215" s="870"/>
      <c r="HF215" s="373"/>
      <c r="HG215" s="373"/>
      <c r="HH215" s="373"/>
      <c r="HI215" s="618"/>
      <c r="HJ215" s="374">
        <v>0</v>
      </c>
      <c r="HK215" s="869"/>
      <c r="HL215" s="373"/>
      <c r="HM215" s="373"/>
      <c r="HN215" s="870"/>
      <c r="HO215" s="373"/>
      <c r="HP215" s="373"/>
      <c r="HQ215" s="373"/>
      <c r="HR215" s="618"/>
      <c r="HS215" s="374">
        <v>0</v>
      </c>
      <c r="HT215" s="869">
        <v>1</v>
      </c>
      <c r="HU215" s="373"/>
      <c r="HV215" s="373"/>
      <c r="HW215" s="870"/>
      <c r="HX215" s="373"/>
      <c r="HY215" s="373"/>
      <c r="HZ215" s="373"/>
      <c r="IA215" s="618">
        <v>2</v>
      </c>
      <c r="IB215" s="374">
        <v>0</v>
      </c>
      <c r="IC215" s="869">
        <v>3</v>
      </c>
      <c r="ID215" s="373">
        <v>1</v>
      </c>
      <c r="IE215" s="373">
        <v>3</v>
      </c>
      <c r="IF215" s="870">
        <v>3</v>
      </c>
      <c r="IG215" s="373">
        <v>3</v>
      </c>
      <c r="IH215" s="373">
        <v>3</v>
      </c>
      <c r="II215" s="373">
        <v>3</v>
      </c>
      <c r="IJ215" s="618">
        <v>5</v>
      </c>
      <c r="IK215" s="374">
        <v>2</v>
      </c>
      <c r="IL215" s="377">
        <v>1</v>
      </c>
      <c r="IM215" s="373"/>
      <c r="IN215" s="373"/>
      <c r="IO215" s="871"/>
      <c r="IP215" s="871"/>
      <c r="IQ215" s="373"/>
      <c r="IR215" s="373"/>
      <c r="IS215" s="618"/>
      <c r="IT215" s="374">
        <v>0</v>
      </c>
    </row>
    <row r="216" spans="1:254" s="245" customFormat="1" ht="12.75" customHeight="1" x14ac:dyDescent="0.2">
      <c r="A216" s="1052"/>
      <c r="B216" s="868" t="s">
        <v>1068</v>
      </c>
      <c r="C216" s="869"/>
      <c r="D216" s="373"/>
      <c r="E216" s="373"/>
      <c r="F216" s="870"/>
      <c r="G216" s="373"/>
      <c r="H216" s="373"/>
      <c r="I216" s="373"/>
      <c r="J216" s="618"/>
      <c r="K216" s="374">
        <v>0</v>
      </c>
      <c r="L216" s="869"/>
      <c r="M216" s="373"/>
      <c r="N216" s="373"/>
      <c r="O216" s="870"/>
      <c r="P216" s="373"/>
      <c r="Q216" s="373"/>
      <c r="R216" s="373"/>
      <c r="S216" s="618"/>
      <c r="T216" s="374">
        <v>0</v>
      </c>
      <c r="U216" s="869"/>
      <c r="V216" s="373"/>
      <c r="W216" s="373"/>
      <c r="X216" s="870"/>
      <c r="Y216" s="373"/>
      <c r="Z216" s="373"/>
      <c r="AA216" s="373"/>
      <c r="AB216" s="618"/>
      <c r="AC216" s="374">
        <v>0</v>
      </c>
      <c r="AD216" s="869">
        <v>2</v>
      </c>
      <c r="AE216" s="373"/>
      <c r="AF216" s="373"/>
      <c r="AG216" s="870"/>
      <c r="AH216" s="373"/>
      <c r="AI216" s="373"/>
      <c r="AJ216" s="373"/>
      <c r="AK216" s="618">
        <v>1</v>
      </c>
      <c r="AL216" s="374">
        <v>0</v>
      </c>
      <c r="AM216" s="869">
        <v>2</v>
      </c>
      <c r="AN216" s="373"/>
      <c r="AO216" s="373"/>
      <c r="AP216" s="870"/>
      <c r="AQ216" s="373"/>
      <c r="AR216" s="373"/>
      <c r="AS216" s="373"/>
      <c r="AT216" s="618"/>
      <c r="AU216" s="374">
        <v>0</v>
      </c>
      <c r="AV216" s="869"/>
      <c r="AW216" s="373"/>
      <c r="AX216" s="373"/>
      <c r="AY216" s="870"/>
      <c r="AZ216" s="373"/>
      <c r="BA216" s="373"/>
      <c r="BB216" s="373"/>
      <c r="BC216" s="618"/>
      <c r="BD216" s="374">
        <v>0</v>
      </c>
      <c r="BE216" s="869"/>
      <c r="BF216" s="373"/>
      <c r="BG216" s="373"/>
      <c r="BH216" s="870"/>
      <c r="BI216" s="373"/>
      <c r="BJ216" s="373"/>
      <c r="BK216" s="373"/>
      <c r="BL216" s="618"/>
      <c r="BM216" s="374">
        <v>0</v>
      </c>
      <c r="BN216" s="869"/>
      <c r="BO216" s="373"/>
      <c r="BP216" s="373"/>
      <c r="BQ216" s="870"/>
      <c r="BR216" s="373"/>
      <c r="BS216" s="373"/>
      <c r="BT216" s="373"/>
      <c r="BU216" s="618"/>
      <c r="BV216" s="374">
        <v>0</v>
      </c>
      <c r="BW216" s="869">
        <v>1</v>
      </c>
      <c r="BX216" s="373"/>
      <c r="BY216" s="373"/>
      <c r="BZ216" s="870"/>
      <c r="CA216" s="373"/>
      <c r="CB216" s="373"/>
      <c r="CC216" s="373"/>
      <c r="CD216" s="618"/>
      <c r="CE216" s="374">
        <v>1</v>
      </c>
      <c r="CF216" s="869"/>
      <c r="CG216" s="373"/>
      <c r="CH216" s="373"/>
      <c r="CI216" s="870"/>
      <c r="CJ216" s="373"/>
      <c r="CK216" s="373"/>
      <c r="CL216" s="373"/>
      <c r="CM216" s="618"/>
      <c r="CN216" s="374">
        <v>0</v>
      </c>
      <c r="CO216" s="869"/>
      <c r="CP216" s="373"/>
      <c r="CQ216" s="373"/>
      <c r="CR216" s="870"/>
      <c r="CS216" s="373"/>
      <c r="CT216" s="373"/>
      <c r="CU216" s="373"/>
      <c r="CV216" s="618"/>
      <c r="CW216" s="374">
        <v>0</v>
      </c>
      <c r="CX216" s="869">
        <v>5</v>
      </c>
      <c r="CY216" s="373">
        <v>4</v>
      </c>
      <c r="CZ216" s="373">
        <v>3</v>
      </c>
      <c r="DA216" s="870">
        <v>4</v>
      </c>
      <c r="DB216" s="373">
        <v>1</v>
      </c>
      <c r="DC216" s="373">
        <v>2</v>
      </c>
      <c r="DD216" s="373"/>
      <c r="DE216" s="618"/>
      <c r="DF216" s="374">
        <v>1</v>
      </c>
      <c r="DG216" s="869"/>
      <c r="DH216" s="373"/>
      <c r="DI216" s="373"/>
      <c r="DJ216" s="870"/>
      <c r="DK216" s="373"/>
      <c r="DL216" s="373"/>
      <c r="DM216" s="373"/>
      <c r="DN216" s="618"/>
      <c r="DO216" s="374">
        <v>0</v>
      </c>
      <c r="DP216" s="869"/>
      <c r="DQ216" s="373"/>
      <c r="DR216" s="373"/>
      <c r="DS216" s="870"/>
      <c r="DT216" s="373"/>
      <c r="DU216" s="373"/>
      <c r="DV216" s="373"/>
      <c r="DW216" s="618"/>
      <c r="DX216" s="374">
        <v>0</v>
      </c>
      <c r="DY216" s="869">
        <v>1</v>
      </c>
      <c r="DZ216" s="373"/>
      <c r="EA216" s="373"/>
      <c r="EB216" s="870"/>
      <c r="EC216" s="373">
        <v>1</v>
      </c>
      <c r="ED216" s="373"/>
      <c r="EE216" s="373"/>
      <c r="EF216" s="618"/>
      <c r="EG216" s="374">
        <v>0</v>
      </c>
      <c r="EH216" s="869"/>
      <c r="EI216" s="373"/>
      <c r="EJ216" s="373"/>
      <c r="EK216" s="870"/>
      <c r="EL216" s="373"/>
      <c r="EM216" s="373"/>
      <c r="EN216" s="373"/>
      <c r="EO216" s="618"/>
      <c r="EP216" s="374">
        <v>0</v>
      </c>
      <c r="EQ216" s="869"/>
      <c r="ER216" s="373"/>
      <c r="ES216" s="373"/>
      <c r="ET216" s="870"/>
      <c r="EU216" s="373"/>
      <c r="EV216" s="373"/>
      <c r="EW216" s="373"/>
      <c r="EX216" s="618"/>
      <c r="EY216" s="374">
        <v>0</v>
      </c>
      <c r="EZ216" s="869"/>
      <c r="FA216" s="373"/>
      <c r="FB216" s="373"/>
      <c r="FC216" s="870"/>
      <c r="FD216" s="373"/>
      <c r="FE216" s="373"/>
      <c r="FF216" s="373"/>
      <c r="FG216" s="618"/>
      <c r="FH216" s="374">
        <v>0</v>
      </c>
      <c r="FI216" s="869"/>
      <c r="FJ216" s="373">
        <v>2</v>
      </c>
      <c r="FK216" s="373"/>
      <c r="FL216" s="870"/>
      <c r="FM216" s="373">
        <v>1</v>
      </c>
      <c r="FN216" s="373"/>
      <c r="FO216" s="373">
        <v>1</v>
      </c>
      <c r="FP216" s="618"/>
      <c r="FQ216" s="374">
        <v>0</v>
      </c>
      <c r="FR216" s="869"/>
      <c r="FS216" s="373"/>
      <c r="FT216" s="373"/>
      <c r="FU216" s="870"/>
      <c r="FV216" s="373"/>
      <c r="FW216" s="373"/>
      <c r="FX216" s="373"/>
      <c r="FY216" s="618"/>
      <c r="FZ216" s="374">
        <v>0</v>
      </c>
      <c r="GA216" s="869"/>
      <c r="GB216" s="373"/>
      <c r="GC216" s="373"/>
      <c r="GD216" s="870"/>
      <c r="GE216" s="373"/>
      <c r="GF216" s="373"/>
      <c r="GG216" s="373"/>
      <c r="GH216" s="618"/>
      <c r="GI216" s="374">
        <v>0</v>
      </c>
      <c r="GJ216" s="869">
        <v>8</v>
      </c>
      <c r="GK216" s="373">
        <v>6</v>
      </c>
      <c r="GL216" s="373">
        <v>3</v>
      </c>
      <c r="GM216" s="870">
        <v>4</v>
      </c>
      <c r="GN216" s="373">
        <v>2</v>
      </c>
      <c r="GO216" s="373">
        <v>2</v>
      </c>
      <c r="GP216" s="373">
        <v>1</v>
      </c>
      <c r="GQ216" s="618">
        <v>1</v>
      </c>
      <c r="GR216" s="374">
        <v>2</v>
      </c>
      <c r="GS216" s="869">
        <v>4</v>
      </c>
      <c r="GT216" s="373">
        <v>1</v>
      </c>
      <c r="GU216" s="373">
        <v>1</v>
      </c>
      <c r="GV216" s="870">
        <v>1</v>
      </c>
      <c r="GW216" s="373"/>
      <c r="GX216" s="373"/>
      <c r="GY216" s="373"/>
      <c r="GZ216" s="618"/>
      <c r="HA216" s="374">
        <v>0</v>
      </c>
      <c r="HB216" s="869"/>
      <c r="HC216" s="373"/>
      <c r="HD216" s="373"/>
      <c r="HE216" s="870"/>
      <c r="HF216" s="373"/>
      <c r="HG216" s="373"/>
      <c r="HH216" s="373"/>
      <c r="HI216" s="618"/>
      <c r="HJ216" s="374">
        <v>0</v>
      </c>
      <c r="HK216" s="869"/>
      <c r="HL216" s="373"/>
      <c r="HM216" s="373"/>
      <c r="HN216" s="870"/>
      <c r="HO216" s="373"/>
      <c r="HP216" s="373"/>
      <c r="HQ216" s="373"/>
      <c r="HR216" s="618"/>
      <c r="HS216" s="374">
        <v>0</v>
      </c>
      <c r="HT216" s="869">
        <v>7</v>
      </c>
      <c r="HU216" s="373">
        <v>2</v>
      </c>
      <c r="HV216" s="373">
        <v>1</v>
      </c>
      <c r="HW216" s="870">
        <v>2</v>
      </c>
      <c r="HX216" s="373">
        <v>1</v>
      </c>
      <c r="HY216" s="373"/>
      <c r="HZ216" s="373">
        <v>2</v>
      </c>
      <c r="IA216" s="618"/>
      <c r="IB216" s="374">
        <v>3</v>
      </c>
      <c r="IC216" s="869">
        <v>12</v>
      </c>
      <c r="ID216" s="373">
        <v>11</v>
      </c>
      <c r="IE216" s="373">
        <v>4</v>
      </c>
      <c r="IF216" s="870">
        <v>8</v>
      </c>
      <c r="IG216" s="373">
        <v>4</v>
      </c>
      <c r="IH216" s="373">
        <v>5</v>
      </c>
      <c r="II216" s="373">
        <v>5</v>
      </c>
      <c r="IJ216" s="618">
        <v>4</v>
      </c>
      <c r="IK216" s="374">
        <v>6</v>
      </c>
      <c r="IL216" s="377">
        <v>1</v>
      </c>
      <c r="IM216" s="373">
        <v>2</v>
      </c>
      <c r="IN216" s="373">
        <v>1</v>
      </c>
      <c r="IO216" s="871"/>
      <c r="IP216" s="871">
        <v>1</v>
      </c>
      <c r="IQ216" s="373">
        <v>1</v>
      </c>
      <c r="IR216" s="373"/>
      <c r="IS216" s="618"/>
      <c r="IT216" s="374">
        <v>0</v>
      </c>
    </row>
    <row r="217" spans="1:254" s="245" customFormat="1" ht="12.75" customHeight="1" x14ac:dyDescent="0.2">
      <c r="A217" s="1052"/>
      <c r="B217" s="868" t="s">
        <v>1069</v>
      </c>
      <c r="C217" s="869"/>
      <c r="D217" s="373"/>
      <c r="E217" s="373"/>
      <c r="F217" s="870"/>
      <c r="G217" s="373"/>
      <c r="H217" s="373"/>
      <c r="I217" s="373"/>
      <c r="J217" s="618"/>
      <c r="K217" s="374">
        <v>0</v>
      </c>
      <c r="L217" s="869"/>
      <c r="M217" s="373"/>
      <c r="N217" s="373"/>
      <c r="O217" s="870"/>
      <c r="P217" s="373"/>
      <c r="Q217" s="373"/>
      <c r="R217" s="373"/>
      <c r="S217" s="618"/>
      <c r="T217" s="374">
        <v>0</v>
      </c>
      <c r="U217" s="869"/>
      <c r="V217" s="373"/>
      <c r="W217" s="373"/>
      <c r="X217" s="870"/>
      <c r="Y217" s="373"/>
      <c r="Z217" s="373"/>
      <c r="AA217" s="373"/>
      <c r="AB217" s="618"/>
      <c r="AC217" s="374">
        <v>0</v>
      </c>
      <c r="AD217" s="869"/>
      <c r="AE217" s="373"/>
      <c r="AF217" s="373"/>
      <c r="AG217" s="870"/>
      <c r="AH217" s="373"/>
      <c r="AI217" s="373"/>
      <c r="AJ217" s="373"/>
      <c r="AK217" s="618"/>
      <c r="AL217" s="374">
        <v>0</v>
      </c>
      <c r="AM217" s="869"/>
      <c r="AN217" s="373"/>
      <c r="AO217" s="373"/>
      <c r="AP217" s="870"/>
      <c r="AQ217" s="373"/>
      <c r="AR217" s="373"/>
      <c r="AS217" s="373"/>
      <c r="AT217" s="618"/>
      <c r="AU217" s="374">
        <v>0</v>
      </c>
      <c r="AV217" s="869"/>
      <c r="AW217" s="373"/>
      <c r="AX217" s="373"/>
      <c r="AY217" s="870"/>
      <c r="AZ217" s="373"/>
      <c r="BA217" s="373"/>
      <c r="BB217" s="373"/>
      <c r="BC217" s="618"/>
      <c r="BD217" s="374">
        <v>0</v>
      </c>
      <c r="BE217" s="869"/>
      <c r="BF217" s="373"/>
      <c r="BG217" s="373"/>
      <c r="BH217" s="870"/>
      <c r="BI217" s="373"/>
      <c r="BJ217" s="373"/>
      <c r="BK217" s="373"/>
      <c r="BL217" s="618"/>
      <c r="BM217" s="374">
        <v>0</v>
      </c>
      <c r="BN217" s="869"/>
      <c r="BO217" s="373"/>
      <c r="BP217" s="373"/>
      <c r="BQ217" s="870"/>
      <c r="BR217" s="373"/>
      <c r="BS217" s="373"/>
      <c r="BT217" s="373"/>
      <c r="BU217" s="618"/>
      <c r="BV217" s="374">
        <v>0</v>
      </c>
      <c r="BW217" s="869"/>
      <c r="BX217" s="373"/>
      <c r="BY217" s="373"/>
      <c r="BZ217" s="870"/>
      <c r="CA217" s="373"/>
      <c r="CB217" s="373"/>
      <c r="CC217" s="373"/>
      <c r="CD217" s="618"/>
      <c r="CE217" s="374">
        <v>1</v>
      </c>
      <c r="CF217" s="869"/>
      <c r="CG217" s="373"/>
      <c r="CH217" s="373"/>
      <c r="CI217" s="870"/>
      <c r="CJ217" s="373"/>
      <c r="CK217" s="373"/>
      <c r="CL217" s="373"/>
      <c r="CM217" s="618"/>
      <c r="CN217" s="374">
        <v>0</v>
      </c>
      <c r="CO217" s="869"/>
      <c r="CP217" s="373"/>
      <c r="CQ217" s="373"/>
      <c r="CR217" s="870"/>
      <c r="CS217" s="373"/>
      <c r="CT217" s="373"/>
      <c r="CU217" s="373"/>
      <c r="CV217" s="618"/>
      <c r="CW217" s="374">
        <v>0</v>
      </c>
      <c r="CX217" s="869">
        <v>3</v>
      </c>
      <c r="CY217" s="373">
        <v>7</v>
      </c>
      <c r="CZ217" s="373"/>
      <c r="DA217" s="870">
        <v>5</v>
      </c>
      <c r="DB217" s="373">
        <v>1</v>
      </c>
      <c r="DC217" s="373">
        <v>2</v>
      </c>
      <c r="DD217" s="373"/>
      <c r="DE217" s="618">
        <v>3</v>
      </c>
      <c r="DF217" s="374">
        <v>1</v>
      </c>
      <c r="DG217" s="869"/>
      <c r="DH217" s="373"/>
      <c r="DI217" s="373"/>
      <c r="DJ217" s="870"/>
      <c r="DK217" s="373"/>
      <c r="DL217" s="373"/>
      <c r="DM217" s="373"/>
      <c r="DN217" s="618"/>
      <c r="DO217" s="374">
        <v>0</v>
      </c>
      <c r="DP217" s="869"/>
      <c r="DQ217" s="373"/>
      <c r="DR217" s="373"/>
      <c r="DS217" s="870"/>
      <c r="DT217" s="373"/>
      <c r="DU217" s="373"/>
      <c r="DV217" s="373"/>
      <c r="DW217" s="618">
        <v>3</v>
      </c>
      <c r="DX217" s="374">
        <v>0</v>
      </c>
      <c r="DY217" s="869"/>
      <c r="DZ217" s="373">
        <v>1</v>
      </c>
      <c r="EA217" s="373"/>
      <c r="EB217" s="870">
        <v>1</v>
      </c>
      <c r="EC217" s="373"/>
      <c r="ED217" s="373"/>
      <c r="EE217" s="373"/>
      <c r="EF217" s="618"/>
      <c r="EG217" s="374">
        <v>0</v>
      </c>
      <c r="EH217" s="869"/>
      <c r="EI217" s="373"/>
      <c r="EJ217" s="373"/>
      <c r="EK217" s="870"/>
      <c r="EL217" s="373"/>
      <c r="EM217" s="373"/>
      <c r="EN217" s="373"/>
      <c r="EO217" s="618"/>
      <c r="EP217" s="374">
        <v>0</v>
      </c>
      <c r="EQ217" s="869"/>
      <c r="ER217" s="373"/>
      <c r="ES217" s="373"/>
      <c r="ET217" s="870"/>
      <c r="EU217" s="373"/>
      <c r="EV217" s="373"/>
      <c r="EW217" s="373"/>
      <c r="EX217" s="618"/>
      <c r="EY217" s="374">
        <v>0</v>
      </c>
      <c r="EZ217" s="869"/>
      <c r="FA217" s="373"/>
      <c r="FB217" s="373"/>
      <c r="FC217" s="870"/>
      <c r="FD217" s="373"/>
      <c r="FE217" s="373"/>
      <c r="FF217" s="373"/>
      <c r="FG217" s="618"/>
      <c r="FH217" s="374">
        <v>0</v>
      </c>
      <c r="FI217" s="869"/>
      <c r="FJ217" s="373"/>
      <c r="FK217" s="373"/>
      <c r="FL217" s="870"/>
      <c r="FM217" s="373"/>
      <c r="FN217" s="373"/>
      <c r="FO217" s="373"/>
      <c r="FP217" s="618"/>
      <c r="FQ217" s="374">
        <v>0</v>
      </c>
      <c r="FR217" s="869"/>
      <c r="FS217" s="373"/>
      <c r="FT217" s="373"/>
      <c r="FU217" s="870"/>
      <c r="FV217" s="373"/>
      <c r="FW217" s="373"/>
      <c r="FX217" s="373"/>
      <c r="FY217" s="618"/>
      <c r="FZ217" s="374">
        <v>0</v>
      </c>
      <c r="GA217" s="869"/>
      <c r="GB217" s="373"/>
      <c r="GC217" s="373"/>
      <c r="GD217" s="870"/>
      <c r="GE217" s="373"/>
      <c r="GF217" s="373"/>
      <c r="GG217" s="373"/>
      <c r="GH217" s="618"/>
      <c r="GI217" s="374">
        <v>0</v>
      </c>
      <c r="GJ217" s="869">
        <v>3</v>
      </c>
      <c r="GK217" s="373">
        <v>7</v>
      </c>
      <c r="GL217" s="373"/>
      <c r="GM217" s="870">
        <v>5</v>
      </c>
      <c r="GN217" s="373">
        <v>1</v>
      </c>
      <c r="GO217" s="373">
        <v>2</v>
      </c>
      <c r="GP217" s="373"/>
      <c r="GQ217" s="618">
        <v>3</v>
      </c>
      <c r="GR217" s="374">
        <v>2</v>
      </c>
      <c r="GS217" s="869">
        <v>1</v>
      </c>
      <c r="GT217" s="373">
        <v>2</v>
      </c>
      <c r="GU217" s="373"/>
      <c r="GV217" s="870"/>
      <c r="GW217" s="373"/>
      <c r="GX217" s="373"/>
      <c r="GY217" s="373"/>
      <c r="GZ217" s="618"/>
      <c r="HA217" s="374">
        <v>1</v>
      </c>
      <c r="HB217" s="869"/>
      <c r="HC217" s="373"/>
      <c r="HD217" s="373"/>
      <c r="HE217" s="870"/>
      <c r="HF217" s="373"/>
      <c r="HG217" s="373"/>
      <c r="HH217" s="373"/>
      <c r="HI217" s="618"/>
      <c r="HJ217" s="374">
        <v>0</v>
      </c>
      <c r="HK217" s="869"/>
      <c r="HL217" s="373"/>
      <c r="HM217" s="373"/>
      <c r="HN217" s="870"/>
      <c r="HO217" s="373"/>
      <c r="HP217" s="373"/>
      <c r="HQ217" s="373"/>
      <c r="HR217" s="618"/>
      <c r="HS217" s="374">
        <v>0</v>
      </c>
      <c r="HT217" s="869">
        <v>4</v>
      </c>
      <c r="HU217" s="373">
        <v>3</v>
      </c>
      <c r="HV217" s="373"/>
      <c r="HW217" s="870">
        <v>1</v>
      </c>
      <c r="HX217" s="373">
        <v>2</v>
      </c>
      <c r="HY217" s="373"/>
      <c r="HZ217" s="373"/>
      <c r="IA217" s="618"/>
      <c r="IB217" s="374">
        <v>3</v>
      </c>
      <c r="IC217" s="869">
        <v>6</v>
      </c>
      <c r="ID217" s="373">
        <v>8</v>
      </c>
      <c r="IE217" s="373">
        <v>6</v>
      </c>
      <c r="IF217" s="870">
        <v>8</v>
      </c>
      <c r="IG217" s="373">
        <v>4</v>
      </c>
      <c r="IH217" s="373">
        <v>3</v>
      </c>
      <c r="II217" s="373"/>
      <c r="IJ217" s="618">
        <v>5</v>
      </c>
      <c r="IK217" s="374">
        <v>4</v>
      </c>
      <c r="IL217" s="377">
        <v>2</v>
      </c>
      <c r="IM217" s="373">
        <v>4</v>
      </c>
      <c r="IN217" s="373"/>
      <c r="IO217" s="871">
        <v>3</v>
      </c>
      <c r="IP217" s="871"/>
      <c r="IQ217" s="373"/>
      <c r="IR217" s="373"/>
      <c r="IS217" s="618"/>
      <c r="IT217" s="374">
        <v>0</v>
      </c>
    </row>
    <row r="218" spans="1:254" s="245" customFormat="1" ht="12.75" customHeight="1" x14ac:dyDescent="0.2">
      <c r="A218" s="1052"/>
      <c r="B218" s="868" t="s">
        <v>1070</v>
      </c>
      <c r="C218" s="869"/>
      <c r="D218" s="373"/>
      <c r="E218" s="373"/>
      <c r="F218" s="870"/>
      <c r="G218" s="373"/>
      <c r="H218" s="373"/>
      <c r="I218" s="373"/>
      <c r="J218" s="618"/>
      <c r="K218" s="374">
        <v>0</v>
      </c>
      <c r="L218" s="869"/>
      <c r="M218" s="373"/>
      <c r="N218" s="373"/>
      <c r="O218" s="870"/>
      <c r="P218" s="373"/>
      <c r="Q218" s="373"/>
      <c r="R218" s="373"/>
      <c r="S218" s="618"/>
      <c r="T218" s="374">
        <v>0</v>
      </c>
      <c r="U218" s="869"/>
      <c r="V218" s="373"/>
      <c r="W218" s="373"/>
      <c r="X218" s="870"/>
      <c r="Y218" s="373"/>
      <c r="Z218" s="373"/>
      <c r="AA218" s="373"/>
      <c r="AB218" s="618"/>
      <c r="AC218" s="374">
        <v>0</v>
      </c>
      <c r="AD218" s="869"/>
      <c r="AE218" s="373"/>
      <c r="AF218" s="373"/>
      <c r="AG218" s="870"/>
      <c r="AH218" s="373"/>
      <c r="AI218" s="373"/>
      <c r="AJ218" s="373"/>
      <c r="AK218" s="618"/>
      <c r="AL218" s="374">
        <v>0</v>
      </c>
      <c r="AM218" s="869"/>
      <c r="AN218" s="373"/>
      <c r="AO218" s="373"/>
      <c r="AP218" s="870"/>
      <c r="AQ218" s="373"/>
      <c r="AR218" s="373"/>
      <c r="AS218" s="373"/>
      <c r="AT218" s="618"/>
      <c r="AU218" s="374">
        <v>0</v>
      </c>
      <c r="AV218" s="869"/>
      <c r="AW218" s="373"/>
      <c r="AX218" s="373"/>
      <c r="AY218" s="870"/>
      <c r="AZ218" s="373"/>
      <c r="BA218" s="373"/>
      <c r="BB218" s="373"/>
      <c r="BC218" s="618"/>
      <c r="BD218" s="374">
        <v>0</v>
      </c>
      <c r="BE218" s="869"/>
      <c r="BF218" s="373"/>
      <c r="BG218" s="373"/>
      <c r="BH218" s="870"/>
      <c r="BI218" s="373"/>
      <c r="BJ218" s="373"/>
      <c r="BK218" s="373"/>
      <c r="BL218" s="618"/>
      <c r="BM218" s="374">
        <v>0</v>
      </c>
      <c r="BN218" s="869"/>
      <c r="BO218" s="373"/>
      <c r="BP218" s="373"/>
      <c r="BQ218" s="870"/>
      <c r="BR218" s="373"/>
      <c r="BS218" s="373"/>
      <c r="BT218" s="373"/>
      <c r="BU218" s="618"/>
      <c r="BV218" s="374">
        <v>0</v>
      </c>
      <c r="BW218" s="869"/>
      <c r="BX218" s="373"/>
      <c r="BY218" s="373"/>
      <c r="BZ218" s="870"/>
      <c r="CA218" s="373">
        <v>1</v>
      </c>
      <c r="CB218" s="373"/>
      <c r="CC218" s="373"/>
      <c r="CD218" s="618"/>
      <c r="CE218" s="374">
        <v>0</v>
      </c>
      <c r="CF218" s="869"/>
      <c r="CG218" s="373"/>
      <c r="CH218" s="373"/>
      <c r="CI218" s="870"/>
      <c r="CJ218" s="373"/>
      <c r="CK218" s="373"/>
      <c r="CL218" s="373"/>
      <c r="CM218" s="618"/>
      <c r="CN218" s="374">
        <v>0</v>
      </c>
      <c r="CO218" s="869"/>
      <c r="CP218" s="373"/>
      <c r="CQ218" s="373"/>
      <c r="CR218" s="870">
        <v>1</v>
      </c>
      <c r="CS218" s="373"/>
      <c r="CT218" s="373"/>
      <c r="CU218" s="373"/>
      <c r="CV218" s="618"/>
      <c r="CW218" s="374">
        <v>0</v>
      </c>
      <c r="CX218" s="869"/>
      <c r="CY218" s="373"/>
      <c r="CZ218" s="373">
        <v>1</v>
      </c>
      <c r="DA218" s="870">
        <v>7</v>
      </c>
      <c r="DB218" s="373">
        <v>1</v>
      </c>
      <c r="DC218" s="373">
        <v>1</v>
      </c>
      <c r="DD218" s="373"/>
      <c r="DE218" s="618"/>
      <c r="DF218" s="374">
        <v>0</v>
      </c>
      <c r="DG218" s="869"/>
      <c r="DH218" s="373"/>
      <c r="DI218" s="373"/>
      <c r="DJ218" s="870"/>
      <c r="DK218" s="373"/>
      <c r="DL218" s="373"/>
      <c r="DM218" s="373"/>
      <c r="DN218" s="618"/>
      <c r="DO218" s="374">
        <v>0</v>
      </c>
      <c r="DP218" s="869"/>
      <c r="DQ218" s="373"/>
      <c r="DR218" s="373"/>
      <c r="DS218" s="870"/>
      <c r="DT218" s="373"/>
      <c r="DU218" s="373"/>
      <c r="DV218" s="373"/>
      <c r="DW218" s="618"/>
      <c r="DX218" s="374">
        <v>0</v>
      </c>
      <c r="DY218" s="869"/>
      <c r="DZ218" s="373"/>
      <c r="EA218" s="373"/>
      <c r="EB218" s="870"/>
      <c r="EC218" s="373"/>
      <c r="ED218" s="373"/>
      <c r="EE218" s="373"/>
      <c r="EF218" s="618"/>
      <c r="EG218" s="374">
        <v>0</v>
      </c>
      <c r="EH218" s="869"/>
      <c r="EI218" s="373"/>
      <c r="EJ218" s="373"/>
      <c r="EK218" s="870"/>
      <c r="EL218" s="373"/>
      <c r="EM218" s="373"/>
      <c r="EN218" s="373"/>
      <c r="EO218" s="618"/>
      <c r="EP218" s="374">
        <v>0</v>
      </c>
      <c r="EQ218" s="869"/>
      <c r="ER218" s="373"/>
      <c r="ES218" s="373"/>
      <c r="ET218" s="870"/>
      <c r="EU218" s="373"/>
      <c r="EV218" s="373"/>
      <c r="EW218" s="373"/>
      <c r="EX218" s="618"/>
      <c r="EY218" s="374">
        <v>0</v>
      </c>
      <c r="EZ218" s="869"/>
      <c r="FA218" s="373"/>
      <c r="FB218" s="373"/>
      <c r="FC218" s="870"/>
      <c r="FD218" s="373"/>
      <c r="FE218" s="373"/>
      <c r="FF218" s="373"/>
      <c r="FG218" s="618"/>
      <c r="FH218" s="374">
        <v>0</v>
      </c>
      <c r="FI218" s="869"/>
      <c r="FJ218" s="373"/>
      <c r="FK218" s="373"/>
      <c r="FL218" s="870"/>
      <c r="FM218" s="373"/>
      <c r="FN218" s="373"/>
      <c r="FO218" s="373"/>
      <c r="FP218" s="618"/>
      <c r="FQ218" s="374">
        <v>0</v>
      </c>
      <c r="FR218" s="869"/>
      <c r="FS218" s="373"/>
      <c r="FT218" s="373"/>
      <c r="FU218" s="870"/>
      <c r="FV218" s="373"/>
      <c r="FW218" s="373"/>
      <c r="FX218" s="373"/>
      <c r="FY218" s="618"/>
      <c r="FZ218" s="374">
        <v>0</v>
      </c>
      <c r="GA218" s="869"/>
      <c r="GB218" s="373"/>
      <c r="GC218" s="373"/>
      <c r="GD218" s="870"/>
      <c r="GE218" s="373"/>
      <c r="GF218" s="373"/>
      <c r="GG218" s="373"/>
      <c r="GH218" s="618"/>
      <c r="GI218" s="374">
        <v>0</v>
      </c>
      <c r="GJ218" s="869"/>
      <c r="GK218" s="373"/>
      <c r="GL218" s="373">
        <v>1</v>
      </c>
      <c r="GM218" s="870">
        <v>8</v>
      </c>
      <c r="GN218" s="373">
        <v>2</v>
      </c>
      <c r="GO218" s="373">
        <v>1</v>
      </c>
      <c r="GP218" s="373"/>
      <c r="GQ218" s="618"/>
      <c r="GR218" s="374">
        <v>0</v>
      </c>
      <c r="GS218" s="869"/>
      <c r="GT218" s="373"/>
      <c r="GU218" s="373"/>
      <c r="GV218" s="870">
        <v>1</v>
      </c>
      <c r="GW218" s="373"/>
      <c r="GX218" s="373">
        <v>1</v>
      </c>
      <c r="GY218" s="373"/>
      <c r="GZ218" s="618"/>
      <c r="HA218" s="374">
        <v>0</v>
      </c>
      <c r="HB218" s="869"/>
      <c r="HC218" s="373"/>
      <c r="HD218" s="373"/>
      <c r="HE218" s="870"/>
      <c r="HF218" s="373"/>
      <c r="HG218" s="373"/>
      <c r="HH218" s="373"/>
      <c r="HI218" s="618"/>
      <c r="HJ218" s="374">
        <v>0</v>
      </c>
      <c r="HK218" s="869"/>
      <c r="HL218" s="373"/>
      <c r="HM218" s="373"/>
      <c r="HN218" s="870"/>
      <c r="HO218" s="373"/>
      <c r="HP218" s="373"/>
      <c r="HQ218" s="373"/>
      <c r="HR218" s="618"/>
      <c r="HS218" s="374">
        <v>0</v>
      </c>
      <c r="HT218" s="869"/>
      <c r="HU218" s="373"/>
      <c r="HV218" s="373"/>
      <c r="HW218" s="870">
        <v>2</v>
      </c>
      <c r="HX218" s="373">
        <v>1</v>
      </c>
      <c r="HY218" s="373">
        <v>1</v>
      </c>
      <c r="HZ218" s="373"/>
      <c r="IA218" s="618"/>
      <c r="IB218" s="374">
        <v>0</v>
      </c>
      <c r="IC218" s="869">
        <v>2</v>
      </c>
      <c r="ID218" s="373"/>
      <c r="IE218" s="373">
        <v>1</v>
      </c>
      <c r="IF218" s="870">
        <v>11</v>
      </c>
      <c r="IG218" s="373">
        <v>3</v>
      </c>
      <c r="IH218" s="373">
        <v>1</v>
      </c>
      <c r="II218" s="373">
        <v>8</v>
      </c>
      <c r="IJ218" s="618"/>
      <c r="IK218" s="374">
        <v>1</v>
      </c>
      <c r="IL218" s="377"/>
      <c r="IM218" s="373"/>
      <c r="IN218" s="373"/>
      <c r="IO218" s="871"/>
      <c r="IP218" s="871"/>
      <c r="IQ218" s="373"/>
      <c r="IR218" s="373"/>
      <c r="IS218" s="618"/>
      <c r="IT218" s="374">
        <v>0</v>
      </c>
    </row>
    <row r="219" spans="1:254" s="259" customFormat="1" ht="12.75" customHeight="1" thickBot="1" x14ac:dyDescent="0.25">
      <c r="A219" s="1053"/>
      <c r="B219" s="874" t="s">
        <v>560</v>
      </c>
      <c r="C219" s="875">
        <v>3</v>
      </c>
      <c r="D219" s="812">
        <v>5</v>
      </c>
      <c r="E219" s="812">
        <v>5</v>
      </c>
      <c r="F219" s="876">
        <v>6</v>
      </c>
      <c r="G219" s="812">
        <v>2</v>
      </c>
      <c r="H219" s="812">
        <v>2</v>
      </c>
      <c r="I219" s="812">
        <v>6</v>
      </c>
      <c r="J219" s="813">
        <v>2</v>
      </c>
      <c r="K219" s="814">
        <v>7</v>
      </c>
      <c r="L219" s="875">
        <v>3</v>
      </c>
      <c r="M219" s="812">
        <v>3</v>
      </c>
      <c r="N219" s="812">
        <v>1</v>
      </c>
      <c r="O219" s="876">
        <v>4</v>
      </c>
      <c r="P219" s="812">
        <v>1</v>
      </c>
      <c r="Q219" s="812">
        <v>2</v>
      </c>
      <c r="R219" s="812">
        <v>2</v>
      </c>
      <c r="S219" s="813">
        <v>1</v>
      </c>
      <c r="T219" s="814">
        <v>2</v>
      </c>
      <c r="U219" s="875"/>
      <c r="V219" s="812">
        <v>1</v>
      </c>
      <c r="W219" s="812">
        <v>4</v>
      </c>
      <c r="X219" s="876">
        <v>1</v>
      </c>
      <c r="Y219" s="812">
        <v>1</v>
      </c>
      <c r="Z219" s="812"/>
      <c r="AA219" s="812">
        <v>1</v>
      </c>
      <c r="AB219" s="813">
        <v>1</v>
      </c>
      <c r="AC219" s="814">
        <v>4</v>
      </c>
      <c r="AD219" s="875">
        <v>302</v>
      </c>
      <c r="AE219" s="812">
        <v>303</v>
      </c>
      <c r="AF219" s="812">
        <v>274</v>
      </c>
      <c r="AG219" s="876">
        <v>249</v>
      </c>
      <c r="AH219" s="812">
        <v>271</v>
      </c>
      <c r="AI219" s="812">
        <v>267</v>
      </c>
      <c r="AJ219" s="812">
        <v>247</v>
      </c>
      <c r="AK219" s="813">
        <v>263</v>
      </c>
      <c r="AL219" s="814">
        <v>160</v>
      </c>
      <c r="AM219" s="875">
        <v>116</v>
      </c>
      <c r="AN219" s="812">
        <v>104</v>
      </c>
      <c r="AO219" s="812">
        <v>83</v>
      </c>
      <c r="AP219" s="876">
        <v>104</v>
      </c>
      <c r="AQ219" s="812">
        <v>95</v>
      </c>
      <c r="AR219" s="812">
        <v>93</v>
      </c>
      <c r="AS219" s="812">
        <v>65</v>
      </c>
      <c r="AT219" s="813">
        <v>72</v>
      </c>
      <c r="AU219" s="814">
        <v>51</v>
      </c>
      <c r="AV219" s="875">
        <v>2</v>
      </c>
      <c r="AW219" s="812"/>
      <c r="AX219" s="812">
        <v>1</v>
      </c>
      <c r="AY219" s="876"/>
      <c r="AZ219" s="812">
        <v>1</v>
      </c>
      <c r="BA219" s="812">
        <v>1</v>
      </c>
      <c r="BB219" s="812"/>
      <c r="BC219" s="813"/>
      <c r="BD219" s="814">
        <v>1</v>
      </c>
      <c r="BE219" s="875">
        <v>46</v>
      </c>
      <c r="BF219" s="812">
        <v>52</v>
      </c>
      <c r="BG219" s="812">
        <v>40</v>
      </c>
      <c r="BH219" s="876">
        <v>32</v>
      </c>
      <c r="BI219" s="812">
        <v>17</v>
      </c>
      <c r="BJ219" s="812">
        <v>19</v>
      </c>
      <c r="BK219" s="812">
        <v>27</v>
      </c>
      <c r="BL219" s="813">
        <v>41</v>
      </c>
      <c r="BM219" s="814">
        <v>29</v>
      </c>
      <c r="BN219" s="875">
        <v>1</v>
      </c>
      <c r="BO219" s="812">
        <v>5</v>
      </c>
      <c r="BP219" s="812">
        <v>5</v>
      </c>
      <c r="BQ219" s="876">
        <v>7</v>
      </c>
      <c r="BR219" s="812">
        <v>9</v>
      </c>
      <c r="BS219" s="812">
        <v>6</v>
      </c>
      <c r="BT219" s="812">
        <v>4</v>
      </c>
      <c r="BU219" s="813"/>
      <c r="BV219" s="814">
        <v>1</v>
      </c>
      <c r="BW219" s="875">
        <v>528</v>
      </c>
      <c r="BX219" s="812">
        <v>507</v>
      </c>
      <c r="BY219" s="812">
        <v>480</v>
      </c>
      <c r="BZ219" s="876">
        <v>446</v>
      </c>
      <c r="CA219" s="812">
        <v>449</v>
      </c>
      <c r="CB219" s="812">
        <v>395</v>
      </c>
      <c r="CC219" s="812">
        <v>336</v>
      </c>
      <c r="CD219" s="813">
        <v>311</v>
      </c>
      <c r="CE219" s="814">
        <v>249</v>
      </c>
      <c r="CF219" s="875">
        <v>14</v>
      </c>
      <c r="CG219" s="812">
        <v>8</v>
      </c>
      <c r="CH219" s="812">
        <v>9</v>
      </c>
      <c r="CI219" s="876">
        <v>9</v>
      </c>
      <c r="CJ219" s="812">
        <v>5</v>
      </c>
      <c r="CK219" s="812">
        <v>2</v>
      </c>
      <c r="CL219" s="812">
        <v>12</v>
      </c>
      <c r="CM219" s="813">
        <v>4</v>
      </c>
      <c r="CN219" s="814">
        <v>2</v>
      </c>
      <c r="CO219" s="875">
        <v>27</v>
      </c>
      <c r="CP219" s="812">
        <v>37</v>
      </c>
      <c r="CQ219" s="812">
        <v>15</v>
      </c>
      <c r="CR219" s="876">
        <v>23</v>
      </c>
      <c r="CS219" s="812">
        <v>21</v>
      </c>
      <c r="CT219" s="812">
        <v>17</v>
      </c>
      <c r="CU219" s="812">
        <v>16</v>
      </c>
      <c r="CV219" s="813">
        <v>21</v>
      </c>
      <c r="CW219" s="814">
        <v>31</v>
      </c>
      <c r="CX219" s="875">
        <v>3541</v>
      </c>
      <c r="CY219" s="812">
        <v>3017</v>
      </c>
      <c r="CZ219" s="812">
        <v>2863</v>
      </c>
      <c r="DA219" s="876">
        <v>2250</v>
      </c>
      <c r="DB219" s="812">
        <v>2275</v>
      </c>
      <c r="DC219" s="812">
        <v>1872</v>
      </c>
      <c r="DD219" s="812">
        <v>1338</v>
      </c>
      <c r="DE219" s="813">
        <v>1368</v>
      </c>
      <c r="DF219" s="814">
        <v>926</v>
      </c>
      <c r="DG219" s="875">
        <v>10</v>
      </c>
      <c r="DH219" s="812">
        <v>14</v>
      </c>
      <c r="DI219" s="812">
        <v>15</v>
      </c>
      <c r="DJ219" s="876">
        <v>9</v>
      </c>
      <c r="DK219" s="812">
        <v>9</v>
      </c>
      <c r="DL219" s="812">
        <v>12</v>
      </c>
      <c r="DM219" s="812">
        <v>5</v>
      </c>
      <c r="DN219" s="813">
        <v>12</v>
      </c>
      <c r="DO219" s="814">
        <v>2</v>
      </c>
      <c r="DP219" s="875">
        <v>148</v>
      </c>
      <c r="DQ219" s="812">
        <v>90</v>
      </c>
      <c r="DR219" s="812">
        <v>91</v>
      </c>
      <c r="DS219" s="876">
        <v>47</v>
      </c>
      <c r="DT219" s="812">
        <v>72</v>
      </c>
      <c r="DU219" s="812">
        <v>45</v>
      </c>
      <c r="DV219" s="812">
        <v>17</v>
      </c>
      <c r="DW219" s="813">
        <v>20</v>
      </c>
      <c r="DX219" s="814">
        <v>16</v>
      </c>
      <c r="DY219" s="875">
        <v>369</v>
      </c>
      <c r="DZ219" s="812">
        <v>277</v>
      </c>
      <c r="EA219" s="812">
        <v>315</v>
      </c>
      <c r="EB219" s="876">
        <v>249</v>
      </c>
      <c r="EC219" s="812">
        <v>246</v>
      </c>
      <c r="ED219" s="812">
        <v>282</v>
      </c>
      <c r="EE219" s="812">
        <v>209</v>
      </c>
      <c r="EF219" s="813">
        <v>171</v>
      </c>
      <c r="EG219" s="814">
        <v>130</v>
      </c>
      <c r="EH219" s="875">
        <v>62</v>
      </c>
      <c r="EI219" s="812">
        <v>34</v>
      </c>
      <c r="EJ219" s="812">
        <v>31</v>
      </c>
      <c r="EK219" s="876">
        <v>20</v>
      </c>
      <c r="EL219" s="812">
        <v>23</v>
      </c>
      <c r="EM219" s="812">
        <v>12</v>
      </c>
      <c r="EN219" s="812">
        <v>8</v>
      </c>
      <c r="EO219" s="813">
        <v>5</v>
      </c>
      <c r="EP219" s="814">
        <v>0</v>
      </c>
      <c r="EQ219" s="875">
        <v>3</v>
      </c>
      <c r="ER219" s="812">
        <v>10</v>
      </c>
      <c r="ES219" s="812">
        <v>9</v>
      </c>
      <c r="ET219" s="876">
        <v>7</v>
      </c>
      <c r="EU219" s="812">
        <v>9</v>
      </c>
      <c r="EV219" s="812">
        <v>18</v>
      </c>
      <c r="EW219" s="812">
        <v>20</v>
      </c>
      <c r="EX219" s="813">
        <v>27</v>
      </c>
      <c r="EY219" s="814">
        <v>6</v>
      </c>
      <c r="EZ219" s="875">
        <v>15</v>
      </c>
      <c r="FA219" s="812">
        <v>11</v>
      </c>
      <c r="FB219" s="812">
        <v>24</v>
      </c>
      <c r="FC219" s="876">
        <v>4</v>
      </c>
      <c r="FD219" s="812">
        <v>11</v>
      </c>
      <c r="FE219" s="812">
        <v>6</v>
      </c>
      <c r="FF219" s="812">
        <v>4</v>
      </c>
      <c r="FG219" s="813">
        <v>6</v>
      </c>
      <c r="FH219" s="814">
        <v>16</v>
      </c>
      <c r="FI219" s="875">
        <v>302</v>
      </c>
      <c r="FJ219" s="812">
        <v>293</v>
      </c>
      <c r="FK219" s="812">
        <v>205</v>
      </c>
      <c r="FL219" s="876">
        <v>168</v>
      </c>
      <c r="FM219" s="812">
        <v>158</v>
      </c>
      <c r="FN219" s="812">
        <v>151</v>
      </c>
      <c r="FO219" s="812">
        <v>114</v>
      </c>
      <c r="FP219" s="813">
        <v>133</v>
      </c>
      <c r="FQ219" s="814">
        <v>115</v>
      </c>
      <c r="FR219" s="875">
        <v>20</v>
      </c>
      <c r="FS219" s="812">
        <v>30</v>
      </c>
      <c r="FT219" s="812">
        <v>30</v>
      </c>
      <c r="FU219" s="876">
        <v>16</v>
      </c>
      <c r="FV219" s="812">
        <v>29</v>
      </c>
      <c r="FW219" s="812">
        <v>26</v>
      </c>
      <c r="FX219" s="812">
        <v>3</v>
      </c>
      <c r="FY219" s="813">
        <v>11</v>
      </c>
      <c r="FZ219" s="814">
        <v>1</v>
      </c>
      <c r="GA219" s="875">
        <v>20</v>
      </c>
      <c r="GB219" s="812">
        <v>25</v>
      </c>
      <c r="GC219" s="812">
        <v>15</v>
      </c>
      <c r="GD219" s="876">
        <v>18</v>
      </c>
      <c r="GE219" s="812">
        <v>29</v>
      </c>
      <c r="GF219" s="812">
        <v>22</v>
      </c>
      <c r="GG219" s="812">
        <v>25</v>
      </c>
      <c r="GH219" s="813">
        <v>44</v>
      </c>
      <c r="GI219" s="814">
        <v>18</v>
      </c>
      <c r="GJ219" s="875">
        <v>4884</v>
      </c>
      <c r="GK219" s="812">
        <v>4337</v>
      </c>
      <c r="GL219" s="812">
        <v>4005</v>
      </c>
      <c r="GM219" s="876">
        <v>3255</v>
      </c>
      <c r="GN219" s="812">
        <v>3308</v>
      </c>
      <c r="GO219" s="812">
        <v>2815</v>
      </c>
      <c r="GP219" s="812">
        <v>2160</v>
      </c>
      <c r="GQ219" s="813">
        <v>2236</v>
      </c>
      <c r="GR219" s="814">
        <v>1561</v>
      </c>
      <c r="GS219" s="875">
        <v>1472</v>
      </c>
      <c r="GT219" s="812">
        <v>1381</v>
      </c>
      <c r="GU219" s="812">
        <v>1320</v>
      </c>
      <c r="GV219" s="876">
        <v>922</v>
      </c>
      <c r="GW219" s="812">
        <v>610</v>
      </c>
      <c r="GX219" s="812">
        <v>591</v>
      </c>
      <c r="GY219" s="812">
        <v>523</v>
      </c>
      <c r="GZ219" s="813">
        <v>503</v>
      </c>
      <c r="HA219" s="814">
        <v>514</v>
      </c>
      <c r="HB219" s="875">
        <v>18</v>
      </c>
      <c r="HC219" s="812">
        <v>20</v>
      </c>
      <c r="HD219" s="812">
        <v>21</v>
      </c>
      <c r="HE219" s="876">
        <v>11</v>
      </c>
      <c r="HF219" s="812">
        <v>9</v>
      </c>
      <c r="HG219" s="812">
        <v>20</v>
      </c>
      <c r="HH219" s="812">
        <v>12</v>
      </c>
      <c r="HI219" s="813">
        <v>8</v>
      </c>
      <c r="HJ219" s="814">
        <v>5</v>
      </c>
      <c r="HK219" s="875">
        <v>5</v>
      </c>
      <c r="HL219" s="812">
        <v>20</v>
      </c>
      <c r="HM219" s="812">
        <v>7</v>
      </c>
      <c r="HN219" s="876">
        <v>7</v>
      </c>
      <c r="HO219" s="812">
        <v>5</v>
      </c>
      <c r="HP219" s="812">
        <v>5</v>
      </c>
      <c r="HQ219" s="812">
        <v>6</v>
      </c>
      <c r="HR219" s="813">
        <v>7</v>
      </c>
      <c r="HS219" s="814">
        <v>7</v>
      </c>
      <c r="HT219" s="875">
        <v>2080</v>
      </c>
      <c r="HU219" s="812">
        <v>2023</v>
      </c>
      <c r="HV219" s="812">
        <v>1872</v>
      </c>
      <c r="HW219" s="876">
        <v>1584</v>
      </c>
      <c r="HX219" s="812">
        <v>1200</v>
      </c>
      <c r="HY219" s="812">
        <v>1167</v>
      </c>
      <c r="HZ219" s="812">
        <v>1074</v>
      </c>
      <c r="IA219" s="813">
        <v>1191</v>
      </c>
      <c r="IB219" s="814">
        <v>1146</v>
      </c>
      <c r="IC219" s="875">
        <v>8053</v>
      </c>
      <c r="ID219" s="812">
        <v>8453</v>
      </c>
      <c r="IE219" s="812">
        <v>7186</v>
      </c>
      <c r="IF219" s="876">
        <v>5772</v>
      </c>
      <c r="IG219" s="812">
        <v>5677</v>
      </c>
      <c r="IH219" s="812">
        <v>5065</v>
      </c>
      <c r="II219" s="812">
        <v>4236</v>
      </c>
      <c r="IJ219" s="813">
        <v>4562</v>
      </c>
      <c r="IK219" s="814">
        <v>3830</v>
      </c>
      <c r="IL219" s="811">
        <v>1094</v>
      </c>
      <c r="IM219" s="812">
        <v>752</v>
      </c>
      <c r="IN219" s="812">
        <v>806</v>
      </c>
      <c r="IO219" s="877">
        <v>447</v>
      </c>
      <c r="IP219" s="877">
        <v>248</v>
      </c>
      <c r="IQ219" s="812">
        <v>467</v>
      </c>
      <c r="IR219" s="812">
        <v>333</v>
      </c>
      <c r="IS219" s="813">
        <v>268</v>
      </c>
      <c r="IT219" s="814">
        <v>230</v>
      </c>
    </row>
    <row r="220" spans="1:254" x14ac:dyDescent="0.25">
      <c r="A220" s="1054"/>
      <c r="B220" s="1054"/>
    </row>
  </sheetData>
  <mergeCells count="31">
    <mergeCell ref="A1:B1"/>
    <mergeCell ref="IL1:IT1"/>
    <mergeCell ref="A3:A219"/>
    <mergeCell ref="A220:B220"/>
    <mergeCell ref="FR1:FZ1"/>
    <mergeCell ref="GA1:GI1"/>
    <mergeCell ref="GJ1:GR1"/>
    <mergeCell ref="DG1:DO1"/>
    <mergeCell ref="DP1:DX1"/>
    <mergeCell ref="DY1:EG1"/>
    <mergeCell ref="EH1:EP1"/>
    <mergeCell ref="EQ1:EY1"/>
    <mergeCell ref="EZ1:FH1"/>
    <mergeCell ref="BN1:BV1"/>
    <mergeCell ref="BW1:CE1"/>
    <mergeCell ref="CF1:CN1"/>
    <mergeCell ref="CO1:CW1"/>
    <mergeCell ref="FI1:FQ1"/>
    <mergeCell ref="HK1:HS1"/>
    <mergeCell ref="HT1:IB1"/>
    <mergeCell ref="IC1:IK1"/>
    <mergeCell ref="GS1:HA1"/>
    <mergeCell ref="HB1:HJ1"/>
    <mergeCell ref="CX1:DF1"/>
    <mergeCell ref="AV1:BD1"/>
    <mergeCell ref="BE1:BM1"/>
    <mergeCell ref="C1:K1"/>
    <mergeCell ref="L1:T1"/>
    <mergeCell ref="U1:AC1"/>
    <mergeCell ref="AD1:AL1"/>
    <mergeCell ref="AM1:AU1"/>
  </mergeCells>
  <pageMargins left="0.75" right="0.75" top="1" bottom="1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3"/>
  <dimension ref="A1:AM399"/>
  <sheetViews>
    <sheetView topLeftCell="A169" zoomScale="115" zoomScaleNormal="115" zoomScaleSheetLayoutView="76" workbookViewId="0">
      <selection activeCell="M5" sqref="M5"/>
    </sheetView>
  </sheetViews>
  <sheetFormatPr defaultRowHeight="15" x14ac:dyDescent="0.25"/>
  <cols>
    <col min="17" max="30" width="0" hidden="1" customWidth="1"/>
    <col min="35" max="41" width="0" hidden="1" customWidth="1"/>
  </cols>
  <sheetData>
    <row r="1" spans="1:39" x14ac:dyDescent="0.25">
      <c r="A1" s="904" t="s">
        <v>831</v>
      </c>
      <c r="B1" s="905"/>
      <c r="C1" s="905"/>
      <c r="D1" s="905"/>
      <c r="E1" s="905"/>
      <c r="F1" s="905"/>
      <c r="G1" s="905"/>
      <c r="H1" s="905"/>
      <c r="I1" s="905" t="s">
        <v>832</v>
      </c>
      <c r="J1" s="905"/>
      <c r="K1" s="905"/>
      <c r="L1" s="905"/>
      <c r="M1" s="905"/>
      <c r="N1" s="905"/>
      <c r="O1" s="905"/>
      <c r="P1" s="905"/>
    </row>
    <row r="2" spans="1:39" ht="15.75" thickBot="1" x14ac:dyDescent="0.3">
      <c r="A2" s="905" t="str">
        <f>táblázat_eljszerves!$A$3</f>
        <v>az ENyÜBS 2010-2018. évi adatai alapján</v>
      </c>
      <c r="B2" s="905"/>
      <c r="C2" s="905"/>
      <c r="D2" s="905"/>
      <c r="E2" s="905"/>
      <c r="F2" s="905"/>
      <c r="G2" s="905"/>
      <c r="H2" s="905"/>
      <c r="I2" s="905" t="str">
        <f>táblázat_eljszerves!$A$3</f>
        <v>az ENyÜBS 2010-2018. évi adatai alapján</v>
      </c>
      <c r="J2" s="905"/>
      <c r="K2" s="905"/>
      <c r="L2" s="905"/>
      <c r="M2" s="905"/>
      <c r="N2" s="905"/>
      <c r="O2" s="905"/>
      <c r="P2" s="905"/>
    </row>
    <row r="3" spans="1:39" ht="15.75" thickBot="1" x14ac:dyDescent="0.3">
      <c r="A3" s="902" t="str">
        <f>táblázat_eljszerves!$A$1</f>
        <v>Vas Megyei Rendőr-főkapitányság</v>
      </c>
      <c r="B3" s="902"/>
      <c r="C3" s="902"/>
      <c r="D3" s="902"/>
      <c r="E3" s="902"/>
      <c r="F3" s="902"/>
      <c r="G3" s="902"/>
      <c r="H3" s="902"/>
      <c r="I3" s="902" t="str">
        <f>táblázat_eljszerves!$A$1</f>
        <v>Vas Megyei Rendőr-főkapitányság</v>
      </c>
      <c r="J3" s="902"/>
      <c r="K3" s="902"/>
      <c r="L3" s="902"/>
      <c r="M3" s="902"/>
      <c r="N3" s="902"/>
      <c r="O3" s="902"/>
      <c r="P3" s="902"/>
      <c r="Q3" t="str">
        <f>RK_bcs!C2</f>
        <v>2010. év</v>
      </c>
      <c r="R3" t="str">
        <f>RK_bcs!D2</f>
        <v>2011. év</v>
      </c>
      <c r="S3" t="str">
        <f>RK_bcs!E2</f>
        <v>2012. év</v>
      </c>
      <c r="T3" t="str">
        <f>RK_bcs!F2</f>
        <v>2013. év</v>
      </c>
      <c r="U3" t="str">
        <f>RK_bcs!G2</f>
        <v>2014. év</v>
      </c>
      <c r="V3" t="str">
        <f>RK_bcs!H2</f>
        <v>2015. év</v>
      </c>
      <c r="W3" t="str">
        <f>RK_bcs!I2</f>
        <v>2016. év</v>
      </c>
      <c r="X3" t="str">
        <f>RK_bcs!K2</f>
        <v>2018. év</v>
      </c>
      <c r="AI3" s="349" t="str">
        <f>RK_bcs!H2</f>
        <v>2015. év</v>
      </c>
      <c r="AJ3" s="349" t="str">
        <f>RK_bcs!I2</f>
        <v>2016. év</v>
      </c>
      <c r="AK3" s="349" t="str">
        <f>RK_bcs!K2</f>
        <v>2018. év</v>
      </c>
    </row>
    <row r="4" spans="1:39" x14ac:dyDescent="0.25">
      <c r="Z4" s="329">
        <f>VLOOKUP(alap!$A$1,'RK nyomered emb-káb'!$C:$LU,268,FALSE)</f>
        <v>71.428571428571431</v>
      </c>
      <c r="AA4" s="323">
        <f>X4-W4</f>
        <v>0</v>
      </c>
      <c r="AB4" s="324">
        <f>X4-Z4</f>
        <v>-71.428571428571431</v>
      </c>
      <c r="AC4" s="325">
        <f>X4-Q4</f>
        <v>0</v>
      </c>
      <c r="AI4" s="333"/>
      <c r="AJ4" s="334"/>
      <c r="AK4" s="335"/>
      <c r="AM4" s="329">
        <f>AK4-AJ4</f>
        <v>0</v>
      </c>
    </row>
    <row r="5" spans="1:39" x14ac:dyDescent="0.25">
      <c r="Z5" s="330"/>
      <c r="AA5" s="326"/>
      <c r="AB5" s="322"/>
      <c r="AC5" s="327"/>
      <c r="AI5" s="260"/>
      <c r="AJ5" s="261"/>
      <c r="AK5" s="262"/>
      <c r="AM5" s="330"/>
    </row>
    <row r="6" spans="1:39" x14ac:dyDescent="0.25">
      <c r="Z6" s="330"/>
      <c r="AA6" s="326"/>
      <c r="AB6" s="322"/>
      <c r="AC6" s="327"/>
      <c r="AI6" s="260"/>
      <c r="AJ6" s="261"/>
      <c r="AK6" s="262"/>
      <c r="AM6" s="330"/>
    </row>
    <row r="7" spans="1:39" x14ac:dyDescent="0.25">
      <c r="L7" t="str">
        <f>IF(I7&lt;50,"-",(I7/H7*100)-100)</f>
        <v>-</v>
      </c>
      <c r="M7" t="str">
        <f>IF(I7&lt;50,"-",(I7/K7*100)-100)</f>
        <v>-</v>
      </c>
      <c r="N7" t="str">
        <f>IF(I7&lt;50,"-",(I7/B7*100)-100)</f>
        <v>-</v>
      </c>
      <c r="Z7" s="330"/>
      <c r="AA7" s="326"/>
      <c r="AB7" s="322"/>
      <c r="AC7" s="327"/>
      <c r="AI7" s="260"/>
      <c r="AJ7" s="261"/>
      <c r="AK7" s="262"/>
      <c r="AM7" s="330"/>
    </row>
    <row r="8" spans="1:39" x14ac:dyDescent="0.25">
      <c r="Z8" s="330"/>
      <c r="AA8" s="326"/>
      <c r="AB8" s="322"/>
      <c r="AC8" s="327"/>
      <c r="AI8" s="260"/>
      <c r="AJ8" s="261"/>
      <c r="AK8" s="262"/>
      <c r="AM8" s="330">
        <f>AK8-AJ8</f>
        <v>0</v>
      </c>
    </row>
    <row r="9" spans="1:39" x14ac:dyDescent="0.25">
      <c r="Z9" s="330"/>
      <c r="AA9" s="326"/>
      <c r="AB9" s="322"/>
      <c r="AC9" s="327"/>
      <c r="AI9" s="260"/>
      <c r="AJ9" s="261"/>
      <c r="AK9" s="262"/>
      <c r="AM9" s="330"/>
    </row>
    <row r="10" spans="1:39" x14ac:dyDescent="0.25">
      <c r="Z10" s="330"/>
      <c r="AA10" s="326"/>
      <c r="AB10" s="322"/>
      <c r="AC10" s="327"/>
      <c r="AI10" s="260"/>
      <c r="AJ10" s="261"/>
      <c r="AK10" s="262"/>
      <c r="AM10" s="330"/>
    </row>
    <row r="11" spans="1:39" x14ac:dyDescent="0.25">
      <c r="B11" s="80"/>
      <c r="C11" s="80"/>
      <c r="D11" s="80"/>
      <c r="E11" s="80"/>
      <c r="F11" s="80"/>
      <c r="G11" s="80"/>
      <c r="H11" s="80"/>
      <c r="Z11" s="330"/>
      <c r="AA11" s="326"/>
      <c r="AB11" s="322"/>
      <c r="AC11" s="327"/>
      <c r="AI11" s="260"/>
      <c r="AJ11" s="261"/>
      <c r="AK11" s="262"/>
      <c r="AM11" s="330"/>
    </row>
    <row r="12" spans="1:39" x14ac:dyDescent="0.25">
      <c r="B12" s="80"/>
      <c r="C12" s="80"/>
      <c r="D12" s="80"/>
      <c r="E12" s="80"/>
      <c r="F12" s="80"/>
      <c r="G12" s="80"/>
      <c r="H12" s="80"/>
      <c r="Z12" s="330"/>
      <c r="AA12" s="326"/>
      <c r="AB12" s="322"/>
      <c r="AC12" s="327"/>
      <c r="AI12" s="260"/>
      <c r="AJ12" s="261"/>
      <c r="AK12" s="262"/>
      <c r="AM12" s="330"/>
    </row>
    <row r="13" spans="1:39" x14ac:dyDescent="0.25">
      <c r="B13" s="80"/>
      <c r="C13" s="80"/>
      <c r="D13" s="80"/>
      <c r="E13" s="80"/>
      <c r="F13" s="80"/>
      <c r="G13" s="80"/>
      <c r="H13" s="80"/>
      <c r="Z13" s="330"/>
      <c r="AA13" s="326"/>
      <c r="AB13" s="322"/>
      <c r="AC13" s="327"/>
      <c r="AI13" s="260"/>
      <c r="AJ13" s="261"/>
      <c r="AK13" s="262"/>
      <c r="AM13" s="330"/>
    </row>
    <row r="14" spans="1:39" x14ac:dyDescent="0.25">
      <c r="Z14" s="330"/>
      <c r="AA14" s="326"/>
      <c r="AB14" s="322"/>
      <c r="AC14" s="327"/>
      <c r="AI14" s="260"/>
      <c r="AJ14" s="261"/>
      <c r="AK14" s="262"/>
      <c r="AM14" s="330"/>
    </row>
    <row r="15" spans="1:39" x14ac:dyDescent="0.25">
      <c r="Z15" s="330"/>
      <c r="AA15" s="326"/>
      <c r="AB15" s="322"/>
      <c r="AC15" s="327"/>
      <c r="AI15" s="260"/>
      <c r="AJ15" s="261"/>
      <c r="AK15" s="262"/>
      <c r="AM15" s="330"/>
    </row>
    <row r="16" spans="1:39" x14ac:dyDescent="0.25">
      <c r="Z16" s="330"/>
      <c r="AA16" s="326"/>
      <c r="AB16" s="322"/>
      <c r="AC16" s="327"/>
      <c r="AI16" s="260"/>
      <c r="AJ16" s="261"/>
      <c r="AK16" s="262"/>
      <c r="AM16" s="330"/>
    </row>
    <row r="17" spans="1:39" x14ac:dyDescent="0.25">
      <c r="Z17" s="330"/>
      <c r="AA17" s="326"/>
      <c r="AB17" s="322"/>
      <c r="AC17" s="327"/>
      <c r="AI17" s="260"/>
      <c r="AJ17" s="261"/>
      <c r="AK17" s="262"/>
      <c r="AM17" s="330"/>
    </row>
    <row r="18" spans="1:39" x14ac:dyDescent="0.25">
      <c r="Z18" s="330"/>
      <c r="AA18" s="326"/>
      <c r="AB18" s="322"/>
      <c r="AC18" s="327"/>
      <c r="AI18" s="260"/>
      <c r="AJ18" s="261"/>
      <c r="AK18" s="262"/>
      <c r="AM18" s="330"/>
    </row>
    <row r="19" spans="1:39" x14ac:dyDescent="0.25">
      <c r="Z19" s="330"/>
      <c r="AA19" s="326"/>
      <c r="AB19" s="322"/>
      <c r="AC19" s="327"/>
      <c r="AI19" s="260"/>
      <c r="AJ19" s="261"/>
      <c r="AK19" s="262"/>
      <c r="AM19" s="330"/>
    </row>
    <row r="20" spans="1:39" x14ac:dyDescent="0.25">
      <c r="Z20" s="330"/>
      <c r="AA20" s="326"/>
      <c r="AB20" s="322"/>
      <c r="AC20" s="327"/>
      <c r="AI20" s="260"/>
      <c r="AJ20" s="261"/>
      <c r="AK20" s="262"/>
      <c r="AM20" s="330"/>
    </row>
    <row r="21" spans="1:39" x14ac:dyDescent="0.25">
      <c r="Z21" s="330"/>
      <c r="AA21" s="326"/>
      <c r="AB21" s="322"/>
      <c r="AC21" s="327"/>
      <c r="AI21" s="260"/>
      <c r="AJ21" s="261"/>
      <c r="AK21" s="262"/>
      <c r="AM21" s="330"/>
    </row>
    <row r="22" spans="1:39" x14ac:dyDescent="0.25">
      <c r="Z22" s="330"/>
      <c r="AA22" s="326"/>
      <c r="AB22" s="322"/>
      <c r="AC22" s="327"/>
      <c r="AI22" s="260"/>
      <c r="AJ22" s="261"/>
      <c r="AK22" s="262"/>
      <c r="AM22" s="330"/>
    </row>
    <row r="23" spans="1:39" x14ac:dyDescent="0.25">
      <c r="A23" s="902" t="s">
        <v>833</v>
      </c>
      <c r="B23" s="902"/>
      <c r="C23" s="902"/>
      <c r="D23" s="902"/>
      <c r="E23" s="902"/>
      <c r="F23" s="902"/>
      <c r="G23" s="902"/>
      <c r="H23" s="902"/>
      <c r="I23" s="903" t="s">
        <v>834</v>
      </c>
      <c r="J23" s="903"/>
      <c r="K23" s="903"/>
      <c r="L23" s="903"/>
      <c r="M23" s="903"/>
      <c r="N23" s="903"/>
      <c r="O23" s="903"/>
      <c r="P23" s="903"/>
      <c r="Z23" s="330"/>
      <c r="AA23" s="326"/>
      <c r="AB23" s="322"/>
      <c r="AC23" s="327"/>
      <c r="AI23" s="260"/>
      <c r="AJ23" s="261"/>
      <c r="AK23" s="262"/>
      <c r="AM23" s="330"/>
    </row>
    <row r="24" spans="1:39" x14ac:dyDescent="0.25">
      <c r="A24" s="902" t="str">
        <f>táblázat_eljszerves!$A$3</f>
        <v>az ENyÜBS 2010-2018. évi adatai alapján</v>
      </c>
      <c r="B24" s="902"/>
      <c r="C24" s="902"/>
      <c r="D24" s="902"/>
      <c r="E24" s="902"/>
      <c r="F24" s="902"/>
      <c r="G24" s="902"/>
      <c r="H24" s="902"/>
      <c r="I24" s="906"/>
      <c r="J24" s="906"/>
      <c r="K24" s="906"/>
      <c r="L24" s="906"/>
      <c r="M24" s="906"/>
      <c r="N24" s="906"/>
      <c r="O24" s="906"/>
      <c r="P24" s="906"/>
      <c r="Z24" s="330"/>
      <c r="AA24" s="326"/>
      <c r="AB24" s="322"/>
      <c r="AC24" s="327"/>
      <c r="AI24" s="260"/>
      <c r="AJ24" s="261"/>
      <c r="AK24" s="262"/>
      <c r="AM24" s="330"/>
    </row>
    <row r="25" spans="1:39" x14ac:dyDescent="0.25">
      <c r="A25" s="902" t="str">
        <f>táblázat_eljszerves!$A$1</f>
        <v>Vas Megyei Rendőr-főkapitányság</v>
      </c>
      <c r="B25" s="902"/>
      <c r="C25" s="902"/>
      <c r="D25" s="902"/>
      <c r="E25" s="902"/>
      <c r="F25" s="902"/>
      <c r="G25" s="902"/>
      <c r="H25" s="902"/>
      <c r="I25" s="902" t="str">
        <f>táblázat_eljszerves!$A$3</f>
        <v>az ENyÜBS 2010-2018. évi adatai alapján</v>
      </c>
      <c r="J25" s="902"/>
      <c r="K25" s="902"/>
      <c r="L25" s="902"/>
      <c r="M25" s="902"/>
      <c r="N25" s="902"/>
      <c r="O25" s="902"/>
      <c r="P25" s="902"/>
      <c r="Z25" s="330"/>
      <c r="AA25" s="326"/>
      <c r="AB25" s="322"/>
      <c r="AC25" s="327"/>
      <c r="AI25" s="260"/>
      <c r="AJ25" s="261"/>
      <c r="AK25" s="262"/>
      <c r="AM25" s="330"/>
    </row>
    <row r="26" spans="1:39" x14ac:dyDescent="0.25">
      <c r="I26" s="902" t="str">
        <f>táblázat_eljszerves!$A$1</f>
        <v>Vas Megyei Rendőr-főkapitányság</v>
      </c>
      <c r="J26" s="902"/>
      <c r="K26" s="902"/>
      <c r="L26" s="902"/>
      <c r="M26" s="902"/>
      <c r="N26" s="902"/>
      <c r="O26" s="902"/>
      <c r="P26" s="902"/>
      <c r="Z26" s="330"/>
      <c r="AA26" s="326"/>
      <c r="AB26" s="322"/>
      <c r="AC26" s="327"/>
      <c r="AI26" s="260"/>
      <c r="AJ26" s="261"/>
      <c r="AK26" s="262"/>
      <c r="AM26" s="330"/>
    </row>
    <row r="27" spans="1:39" x14ac:dyDescent="0.25">
      <c r="Z27" s="330"/>
      <c r="AA27" s="326"/>
      <c r="AB27" s="322"/>
      <c r="AC27" s="327"/>
      <c r="AI27" s="260"/>
      <c r="AJ27" s="261"/>
      <c r="AK27" s="262"/>
      <c r="AM27" s="330"/>
    </row>
    <row r="28" spans="1:39" x14ac:dyDescent="0.25">
      <c r="Z28" s="330"/>
      <c r="AA28" s="326"/>
      <c r="AB28" s="322"/>
      <c r="AC28" s="327"/>
      <c r="AI28" s="260"/>
      <c r="AJ28" s="261"/>
      <c r="AK28" s="262"/>
      <c r="AM28" s="330"/>
    </row>
    <row r="29" spans="1:39" x14ac:dyDescent="0.25">
      <c r="Z29" s="330"/>
      <c r="AA29" s="326"/>
      <c r="AB29" s="322"/>
      <c r="AC29" s="327"/>
      <c r="AI29" s="260"/>
      <c r="AJ29" s="261"/>
      <c r="AK29" s="262"/>
      <c r="AM29" s="330"/>
    </row>
    <row r="30" spans="1:39" ht="15.75" thickBot="1" x14ac:dyDescent="0.3">
      <c r="Z30" s="331"/>
      <c r="AA30" s="266"/>
      <c r="AB30" s="267"/>
      <c r="AC30" s="268"/>
      <c r="AI30" s="336"/>
      <c r="AJ30" s="337"/>
      <c r="AK30" s="338"/>
      <c r="AM30" s="331"/>
    </row>
    <row r="45" spans="1:16" ht="29.25" customHeight="1" x14ac:dyDescent="0.25">
      <c r="A45" s="902" t="e">
        <f>bcs!#REF!</f>
        <v>#REF!</v>
      </c>
      <c r="B45" s="902"/>
      <c r="C45" s="902"/>
      <c r="D45" s="902"/>
      <c r="E45" s="902"/>
      <c r="F45" s="902"/>
      <c r="G45" s="902"/>
      <c r="H45" s="902"/>
      <c r="I45" s="902" t="s">
        <v>835</v>
      </c>
      <c r="J45" s="902"/>
      <c r="K45" s="902"/>
      <c r="L45" s="902"/>
      <c r="M45" s="902"/>
      <c r="N45" s="902"/>
      <c r="O45" s="902"/>
      <c r="P45" s="902"/>
    </row>
    <row r="46" spans="1:16" x14ac:dyDescent="0.25">
      <c r="A46" s="902" t="str">
        <f>bcs!A3</f>
        <v>az ENyÜBS 2010-2018. évi adatai alapján</v>
      </c>
      <c r="B46" s="902"/>
      <c r="C46" s="902"/>
      <c r="D46" s="902"/>
      <c r="E46" s="902"/>
      <c r="F46" s="902"/>
      <c r="G46" s="902"/>
      <c r="H46" s="902"/>
      <c r="I46" s="902" t="str">
        <f>táblázat_eljszerves!$A$3</f>
        <v>az ENyÜBS 2010-2018. évi adatai alapján</v>
      </c>
      <c r="J46" s="902"/>
      <c r="K46" s="902"/>
      <c r="L46" s="902"/>
      <c r="M46" s="902"/>
      <c r="N46" s="902"/>
      <c r="O46" s="902"/>
      <c r="P46" s="902"/>
    </row>
    <row r="47" spans="1:16" x14ac:dyDescent="0.25">
      <c r="A47" s="902" t="str">
        <f>alap!A1</f>
        <v>Vas Megyei Rendőr-főkapitányság</v>
      </c>
      <c r="B47" s="902"/>
      <c r="C47" s="902"/>
      <c r="D47" s="902"/>
      <c r="E47" s="902"/>
      <c r="F47" s="902"/>
      <c r="G47" s="902"/>
      <c r="H47" s="902"/>
      <c r="I47" s="902" t="str">
        <f>táblázat_eljszerves!$A$1</f>
        <v>Vas Megyei Rendőr-főkapitányság</v>
      </c>
      <c r="J47" s="902"/>
      <c r="K47" s="902"/>
      <c r="L47" s="902"/>
      <c r="M47" s="902"/>
      <c r="N47" s="902"/>
      <c r="O47" s="902"/>
      <c r="P47" s="902"/>
    </row>
    <row r="55" spans="10:16" x14ac:dyDescent="0.25">
      <c r="J55" s="80"/>
      <c r="K55" s="80"/>
      <c r="L55" s="80"/>
      <c r="M55" s="80"/>
      <c r="N55" s="80"/>
      <c r="O55" s="80"/>
      <c r="P55" s="80"/>
    </row>
    <row r="56" spans="10:16" x14ac:dyDescent="0.25">
      <c r="J56" s="80"/>
      <c r="K56" s="80"/>
      <c r="L56" s="80"/>
      <c r="M56" s="80"/>
      <c r="N56" s="80"/>
      <c r="O56" s="80"/>
      <c r="P56" s="80"/>
    </row>
    <row r="57" spans="10:16" x14ac:dyDescent="0.25">
      <c r="J57" s="80"/>
      <c r="K57" s="80"/>
      <c r="L57" s="80"/>
      <c r="M57" s="80"/>
      <c r="N57" s="80"/>
      <c r="O57" s="80"/>
      <c r="P57" s="80"/>
    </row>
    <row r="67" spans="1:16" x14ac:dyDescent="0.25">
      <c r="A67" s="903" t="s">
        <v>1118</v>
      </c>
      <c r="B67" s="903"/>
      <c r="C67" s="903"/>
      <c r="D67" s="903"/>
      <c r="E67" s="903"/>
      <c r="F67" s="903"/>
      <c r="G67" s="903"/>
      <c r="H67" s="903"/>
      <c r="I67" s="902" t="s">
        <v>836</v>
      </c>
      <c r="J67" s="902"/>
      <c r="K67" s="902"/>
      <c r="L67" s="902"/>
      <c r="M67" s="902"/>
      <c r="N67" s="902"/>
      <c r="O67" s="902"/>
      <c r="P67" s="902"/>
    </row>
    <row r="68" spans="1:16" x14ac:dyDescent="0.25">
      <c r="A68" s="902" t="str">
        <f>táblázat_eljszerves!$A$3</f>
        <v>az ENyÜBS 2010-2018. évi adatai alapján</v>
      </c>
      <c r="B68" s="902"/>
      <c r="C68" s="902"/>
      <c r="D68" s="902"/>
      <c r="E68" s="902"/>
      <c r="F68" s="902"/>
      <c r="G68" s="902"/>
      <c r="H68" s="902"/>
      <c r="I68" s="902" t="str">
        <f>táblázat_eljszerves!$A$3</f>
        <v>az ENyÜBS 2010-2018. évi adatai alapján</v>
      </c>
      <c r="J68" s="902"/>
      <c r="K68" s="902"/>
      <c r="L68" s="902"/>
      <c r="M68" s="902"/>
      <c r="N68" s="902"/>
      <c r="O68" s="902"/>
      <c r="P68" s="902"/>
    </row>
    <row r="69" spans="1:16" x14ac:dyDescent="0.25">
      <c r="A69" s="902" t="str">
        <f>táblázat_eljszerves!$A$1</f>
        <v>Vas Megyei Rendőr-főkapitányság</v>
      </c>
      <c r="B69" s="902"/>
      <c r="C69" s="902"/>
      <c r="D69" s="902"/>
      <c r="E69" s="902"/>
      <c r="F69" s="902"/>
      <c r="G69" s="902"/>
      <c r="H69" s="902"/>
      <c r="I69" s="902" t="str">
        <f>táblázat_eljszerves!$A$1</f>
        <v>Vas Megyei Rendőr-főkapitányság</v>
      </c>
      <c r="J69" s="902"/>
      <c r="K69" s="902"/>
      <c r="L69" s="902"/>
      <c r="M69" s="902"/>
      <c r="N69" s="902"/>
      <c r="O69" s="902"/>
      <c r="P69" s="902"/>
    </row>
    <row r="77" spans="1:16" x14ac:dyDescent="0.25">
      <c r="J77" s="80"/>
      <c r="K77" s="80"/>
      <c r="L77" s="80"/>
      <c r="M77" s="80"/>
      <c r="N77" s="80"/>
      <c r="O77" s="80"/>
      <c r="P77" s="80"/>
    </row>
    <row r="78" spans="1:16" x14ac:dyDescent="0.25">
      <c r="J78" s="80"/>
      <c r="K78" s="80"/>
      <c r="L78" s="80"/>
      <c r="M78" s="80"/>
      <c r="N78" s="80"/>
      <c r="O78" s="80"/>
      <c r="P78" s="80"/>
    </row>
    <row r="79" spans="1:16" x14ac:dyDescent="0.25">
      <c r="J79" s="80"/>
      <c r="K79" s="80"/>
      <c r="L79" s="80"/>
      <c r="M79" s="80"/>
      <c r="N79" s="80"/>
      <c r="O79" s="80"/>
      <c r="P79" s="80"/>
    </row>
    <row r="90" spans="1:16" x14ac:dyDescent="0.25">
      <c r="A90" s="902" t="s">
        <v>837</v>
      </c>
      <c r="B90" s="902"/>
      <c r="C90" s="902"/>
      <c r="D90" s="902"/>
      <c r="E90" s="902"/>
      <c r="F90" s="902"/>
      <c r="G90" s="902"/>
      <c r="H90" s="902"/>
      <c r="I90" s="902" t="s">
        <v>838</v>
      </c>
      <c r="J90" s="902"/>
      <c r="K90" s="902"/>
      <c r="L90" s="902"/>
      <c r="M90" s="902"/>
      <c r="N90" s="902"/>
      <c r="O90" s="902"/>
      <c r="P90" s="902"/>
    </row>
    <row r="91" spans="1:16" x14ac:dyDescent="0.25">
      <c r="A91" s="902" t="str">
        <f>táblázat_eljszerves!$A$3</f>
        <v>az ENyÜBS 2010-2018. évi adatai alapján</v>
      </c>
      <c r="B91" s="902"/>
      <c r="C91" s="902"/>
      <c r="D91" s="902"/>
      <c r="E91" s="902"/>
      <c r="F91" s="902"/>
      <c r="G91" s="902"/>
      <c r="H91" s="902"/>
      <c r="I91" s="902" t="str">
        <f>táblázat_eljszerves!$A$3</f>
        <v>az ENyÜBS 2010-2018. évi adatai alapján</v>
      </c>
      <c r="J91" s="902"/>
      <c r="K91" s="902"/>
      <c r="L91" s="902"/>
      <c r="M91" s="902"/>
      <c r="N91" s="902"/>
      <c r="O91" s="902"/>
      <c r="P91" s="902"/>
    </row>
    <row r="92" spans="1:16" x14ac:dyDescent="0.25">
      <c r="A92" s="902" t="str">
        <f>táblázat_eljszerves!$A$1</f>
        <v>Vas Megyei Rendőr-főkapitányság</v>
      </c>
      <c r="B92" s="902"/>
      <c r="C92" s="902"/>
      <c r="D92" s="902"/>
      <c r="E92" s="902"/>
      <c r="F92" s="902"/>
      <c r="G92" s="902"/>
      <c r="H92" s="902"/>
      <c r="I92" s="902" t="str">
        <f>táblázat_eljszerves!$A$1</f>
        <v>Vas Megyei Rendőr-főkapitányság</v>
      </c>
      <c r="J92" s="902"/>
      <c r="K92" s="902"/>
      <c r="L92" s="902"/>
      <c r="M92" s="902"/>
      <c r="N92" s="902"/>
      <c r="O92" s="902"/>
      <c r="P92" s="902"/>
    </row>
    <row r="112" spans="1:32" x14ac:dyDescent="0.25">
      <c r="A112" s="902" t="s">
        <v>839</v>
      </c>
      <c r="B112" s="902"/>
      <c r="C112" s="902"/>
      <c r="D112" s="902"/>
      <c r="E112" s="902"/>
      <c r="F112" s="902"/>
      <c r="G112" s="902"/>
      <c r="H112" s="902"/>
      <c r="I112" s="902" t="s">
        <v>840</v>
      </c>
      <c r="J112" s="902"/>
      <c r="K112" s="902"/>
      <c r="L112" s="902"/>
      <c r="M112" s="902"/>
      <c r="N112" s="902"/>
      <c r="O112" s="902"/>
      <c r="P112" s="902"/>
      <c r="Q112" s="80"/>
      <c r="R112" s="80"/>
      <c r="S112" s="80"/>
      <c r="T112" s="80"/>
      <c r="U112" s="80"/>
      <c r="V112" s="80"/>
      <c r="X112" s="80"/>
      <c r="Y112" s="80"/>
      <c r="Z112" s="80"/>
      <c r="AA112" s="80"/>
      <c r="AB112" s="80"/>
      <c r="AC112" s="80"/>
      <c r="AD112" s="80"/>
      <c r="AE112" s="80"/>
      <c r="AF112" s="80"/>
    </row>
    <row r="113" spans="1:32" x14ac:dyDescent="0.25">
      <c r="A113" s="902" t="str">
        <f>táblázat_eljszerves!$A$3</f>
        <v>az ENyÜBS 2010-2018. évi adatai alapján</v>
      </c>
      <c r="B113" s="902"/>
      <c r="C113" s="902"/>
      <c r="D113" s="902"/>
      <c r="E113" s="902"/>
      <c r="F113" s="902"/>
      <c r="G113" s="902"/>
      <c r="H113" s="902"/>
      <c r="I113" s="902" t="str">
        <f>táblázat_eljszerves!$A$3</f>
        <v>az ENyÜBS 2010-2018. évi adatai alapján</v>
      </c>
      <c r="J113" s="902"/>
      <c r="K113" s="902"/>
      <c r="L113" s="902"/>
      <c r="M113" s="902"/>
      <c r="N113" s="902"/>
      <c r="O113" s="902"/>
      <c r="P113" s="902"/>
      <c r="Q113" s="80"/>
      <c r="R113" s="80"/>
      <c r="S113" s="80"/>
      <c r="T113" s="80"/>
      <c r="U113" s="80"/>
      <c r="V113" s="80"/>
      <c r="X113" s="80"/>
      <c r="Y113" s="80"/>
      <c r="Z113" s="80"/>
      <c r="AA113" s="80"/>
      <c r="AB113" s="80"/>
      <c r="AC113" s="80"/>
      <c r="AD113" s="80"/>
      <c r="AE113" s="80"/>
      <c r="AF113" s="80"/>
    </row>
    <row r="114" spans="1:32" x14ac:dyDescent="0.25">
      <c r="A114" s="902" t="str">
        <f>táblázat_eljszerves!$A$1</f>
        <v>Vas Megyei Rendőr-főkapitányság</v>
      </c>
      <c r="B114" s="902"/>
      <c r="C114" s="902"/>
      <c r="D114" s="902"/>
      <c r="E114" s="902"/>
      <c r="F114" s="902"/>
      <c r="G114" s="902"/>
      <c r="H114" s="902"/>
      <c r="I114" s="902" t="str">
        <f>táblázat_eljszerves!$A$1</f>
        <v>Vas Megyei Rendőr-főkapitányság</v>
      </c>
      <c r="J114" s="902"/>
      <c r="K114" s="902"/>
      <c r="L114" s="902"/>
      <c r="M114" s="902"/>
      <c r="N114" s="902"/>
      <c r="O114" s="902"/>
      <c r="P114" s="902"/>
      <c r="Q114" s="80"/>
      <c r="R114" s="80"/>
      <c r="S114" s="80"/>
      <c r="T114" s="80"/>
      <c r="U114" s="80"/>
      <c r="V114" s="80"/>
      <c r="X114" s="80"/>
      <c r="Y114" s="80"/>
      <c r="Z114" s="80"/>
      <c r="AA114" s="80"/>
      <c r="AB114" s="80"/>
      <c r="AC114" s="80"/>
      <c r="AD114" s="80"/>
      <c r="AE114" s="80"/>
      <c r="AF114" s="80"/>
    </row>
    <row r="119" spans="1:32" x14ac:dyDescent="0.25">
      <c r="J119" s="80"/>
      <c r="K119" s="80"/>
      <c r="L119" s="80"/>
      <c r="M119" s="80"/>
      <c r="N119" s="80"/>
      <c r="O119" s="80"/>
      <c r="P119" s="80"/>
    </row>
    <row r="120" spans="1:32" x14ac:dyDescent="0.25">
      <c r="J120" s="80"/>
      <c r="K120" s="80"/>
      <c r="L120" s="80"/>
      <c r="M120" s="80"/>
      <c r="N120" s="80"/>
      <c r="O120" s="80"/>
      <c r="P120" s="80"/>
    </row>
    <row r="121" spans="1:32" x14ac:dyDescent="0.25">
      <c r="J121" s="80"/>
      <c r="K121" s="80"/>
      <c r="L121" s="80"/>
      <c r="M121" s="80"/>
      <c r="N121" s="80"/>
      <c r="O121" s="80"/>
      <c r="P121" s="80"/>
    </row>
    <row r="122" spans="1:32" x14ac:dyDescent="0.25">
      <c r="J122" s="80"/>
      <c r="K122" s="80"/>
      <c r="L122" s="80"/>
      <c r="M122" s="80"/>
      <c r="N122" s="80"/>
      <c r="O122" s="80"/>
      <c r="P122" s="80"/>
    </row>
    <row r="123" spans="1:32" x14ac:dyDescent="0.25">
      <c r="J123" s="80"/>
      <c r="K123" s="80"/>
      <c r="L123" s="80"/>
      <c r="M123" s="80"/>
      <c r="N123" s="80"/>
      <c r="O123" s="80"/>
      <c r="P123" s="80"/>
    </row>
    <row r="124" spans="1:32" x14ac:dyDescent="0.25">
      <c r="J124" s="80"/>
      <c r="K124" s="80"/>
      <c r="L124" s="80"/>
      <c r="M124" s="80"/>
      <c r="N124" s="80"/>
      <c r="O124" s="80"/>
      <c r="P124" s="80"/>
    </row>
    <row r="135" spans="1:16" x14ac:dyDescent="0.25">
      <c r="A135" s="902" t="s">
        <v>854</v>
      </c>
      <c r="B135" s="902"/>
      <c r="C135" s="902"/>
      <c r="D135" s="902"/>
      <c r="E135" s="902"/>
      <c r="F135" s="902"/>
      <c r="G135" s="902"/>
      <c r="H135" s="902"/>
      <c r="I135" s="902" t="s">
        <v>841</v>
      </c>
      <c r="J135" s="902"/>
      <c r="K135" s="902"/>
      <c r="L135" s="902"/>
      <c r="M135" s="902"/>
      <c r="N135" s="902"/>
      <c r="O135" s="902"/>
      <c r="P135" s="902"/>
    </row>
    <row r="136" spans="1:16" x14ac:dyDescent="0.25">
      <c r="A136" s="902" t="str">
        <f>táblázat_eljszerves!$A$3</f>
        <v>az ENyÜBS 2010-2018. évi adatai alapján</v>
      </c>
      <c r="B136" s="902"/>
      <c r="C136" s="902"/>
      <c r="D136" s="902"/>
      <c r="E136" s="902"/>
      <c r="F136" s="902"/>
      <c r="G136" s="902"/>
      <c r="H136" s="902"/>
      <c r="I136" s="902" t="str">
        <f>táblázat_eljszerves!$A$3</f>
        <v>az ENyÜBS 2010-2018. évi adatai alapján</v>
      </c>
      <c r="J136" s="902"/>
      <c r="K136" s="902"/>
      <c r="L136" s="902"/>
      <c r="M136" s="902"/>
      <c r="N136" s="902"/>
      <c r="O136" s="902"/>
      <c r="P136" s="902"/>
    </row>
    <row r="137" spans="1:16" x14ac:dyDescent="0.25">
      <c r="A137" s="902" t="str">
        <f>táblázat_eljszerves!$A$1</f>
        <v>Vas Megyei Rendőr-főkapitányság</v>
      </c>
      <c r="B137" s="902"/>
      <c r="C137" s="902"/>
      <c r="D137" s="902"/>
      <c r="E137" s="902"/>
      <c r="F137" s="902"/>
      <c r="G137" s="902"/>
      <c r="H137" s="902"/>
      <c r="I137" s="902" t="str">
        <f>táblázat_eljszerves!$A$1</f>
        <v>Vas Megyei Rendőr-főkapitányság</v>
      </c>
      <c r="J137" s="902"/>
      <c r="K137" s="902"/>
      <c r="L137" s="902"/>
      <c r="M137" s="902"/>
      <c r="N137" s="902"/>
      <c r="O137" s="902"/>
      <c r="P137" s="902"/>
    </row>
    <row r="145" spans="1:22" x14ac:dyDescent="0.25">
      <c r="Q145" s="80"/>
      <c r="R145" s="80"/>
      <c r="S145" s="80"/>
      <c r="T145" s="80"/>
      <c r="U145" s="80"/>
      <c r="V145" s="80"/>
    </row>
    <row r="146" spans="1:22" x14ac:dyDescent="0.25">
      <c r="Q146" s="80"/>
      <c r="R146" s="80"/>
      <c r="S146" s="80"/>
      <c r="T146" s="80"/>
      <c r="U146" s="80"/>
      <c r="V146" s="80"/>
    </row>
    <row r="147" spans="1:22" x14ac:dyDescent="0.25">
      <c r="Q147" s="80"/>
      <c r="R147" s="80"/>
      <c r="S147" s="80"/>
      <c r="T147" s="80"/>
      <c r="U147" s="80"/>
      <c r="V147" s="80"/>
    </row>
    <row r="152" spans="1:22" x14ac:dyDescent="0.25">
      <c r="Q152" s="270"/>
      <c r="R152" s="270"/>
      <c r="S152" s="270"/>
      <c r="T152" s="270"/>
    </row>
    <row r="153" spans="1:22" x14ac:dyDescent="0.25">
      <c r="Q153" s="271"/>
      <c r="R153" s="271"/>
      <c r="S153" s="271"/>
      <c r="T153" s="271"/>
    </row>
    <row r="157" spans="1:22" x14ac:dyDescent="0.25">
      <c r="A157" s="902" t="s">
        <v>842</v>
      </c>
      <c r="B157" s="902"/>
      <c r="C157" s="902"/>
      <c r="D157" s="902"/>
      <c r="E157" s="902"/>
      <c r="F157" s="902"/>
      <c r="G157" s="902"/>
      <c r="H157" s="902"/>
      <c r="I157" s="903" t="s">
        <v>843</v>
      </c>
      <c r="J157" s="903"/>
      <c r="K157" s="903"/>
      <c r="L157" s="903"/>
      <c r="M157" s="903"/>
      <c r="N157" s="903"/>
      <c r="O157" s="903"/>
      <c r="P157" s="903"/>
    </row>
    <row r="158" spans="1:22" x14ac:dyDescent="0.25">
      <c r="A158" s="902" t="str">
        <f>táblázat_eljszerves!$A$3</f>
        <v>az ENyÜBS 2010-2018. évi adatai alapján</v>
      </c>
      <c r="B158" s="902"/>
      <c r="C158" s="902"/>
      <c r="D158" s="902"/>
      <c r="E158" s="902"/>
      <c r="F158" s="902"/>
      <c r="G158" s="902"/>
      <c r="H158" s="902"/>
      <c r="I158" s="906"/>
      <c r="J158" s="906"/>
      <c r="K158" s="906"/>
      <c r="L158" s="906"/>
      <c r="M158" s="906"/>
      <c r="N158" s="906"/>
      <c r="O158" s="906"/>
      <c r="P158" s="906"/>
    </row>
    <row r="159" spans="1:22" x14ac:dyDescent="0.25">
      <c r="A159" s="902" t="str">
        <f>táblázat_eljszerves!$A$1</f>
        <v>Vas Megyei Rendőr-főkapitányság</v>
      </c>
      <c r="B159" s="902"/>
      <c r="C159" s="902"/>
      <c r="D159" s="902"/>
      <c r="E159" s="902"/>
      <c r="F159" s="902"/>
      <c r="G159" s="902"/>
      <c r="H159" s="902"/>
      <c r="I159" s="902" t="str">
        <f>táblázat_eljszerves!$A$3</f>
        <v>az ENyÜBS 2010-2018. évi adatai alapján</v>
      </c>
      <c r="J159" s="902"/>
      <c r="K159" s="902"/>
      <c r="L159" s="902"/>
      <c r="M159" s="902"/>
      <c r="N159" s="902"/>
      <c r="O159" s="902"/>
      <c r="P159" s="902"/>
    </row>
    <row r="160" spans="1:22" x14ac:dyDescent="0.25">
      <c r="I160" s="902" t="str">
        <f>táblázat_eljszerves!$A$1</f>
        <v>Vas Megyei Rendőr-főkapitányság</v>
      </c>
      <c r="J160" s="902"/>
      <c r="K160" s="902"/>
      <c r="L160" s="902"/>
      <c r="M160" s="902"/>
      <c r="N160" s="902"/>
      <c r="O160" s="902"/>
      <c r="P160" s="902"/>
    </row>
    <row r="167" spans="1:16" x14ac:dyDescent="0.25">
      <c r="A167" s="80"/>
      <c r="B167" s="80"/>
      <c r="C167" s="80"/>
      <c r="D167" s="80"/>
      <c r="E167" s="80"/>
      <c r="F167" s="80"/>
      <c r="G167" s="80"/>
      <c r="H167" s="80"/>
      <c r="J167" s="80"/>
      <c r="K167" s="80"/>
      <c r="L167" s="80"/>
      <c r="M167" s="80"/>
      <c r="N167" s="80"/>
      <c r="O167" s="80"/>
      <c r="P167" s="80"/>
    </row>
    <row r="168" spans="1:16" x14ac:dyDescent="0.25">
      <c r="A168" s="80"/>
      <c r="B168" s="80"/>
      <c r="C168" s="80"/>
      <c r="D168" s="80"/>
      <c r="E168" s="80"/>
      <c r="F168" s="80"/>
      <c r="G168" s="80"/>
      <c r="H168" s="80"/>
      <c r="J168" s="80"/>
      <c r="K168" s="80"/>
      <c r="L168" s="80"/>
      <c r="M168" s="80"/>
      <c r="N168" s="80"/>
      <c r="O168" s="80"/>
      <c r="P168" s="80"/>
    </row>
    <row r="169" spans="1:16" x14ac:dyDescent="0.25">
      <c r="A169" s="80"/>
      <c r="B169" s="80"/>
      <c r="C169" s="80"/>
      <c r="D169" s="80"/>
      <c r="E169" s="80"/>
      <c r="F169" s="80"/>
      <c r="G169" s="80"/>
      <c r="H169" s="80"/>
      <c r="J169" s="80"/>
      <c r="K169" s="80"/>
      <c r="L169" s="80"/>
      <c r="M169" s="80"/>
      <c r="N169" s="80"/>
      <c r="O169" s="80"/>
      <c r="P169" s="80"/>
    </row>
    <row r="174" spans="1:16" x14ac:dyDescent="0.25">
      <c r="G174" s="270"/>
      <c r="H174" s="270"/>
    </row>
    <row r="175" spans="1:16" x14ac:dyDescent="0.25">
      <c r="G175" s="270"/>
      <c r="H175" s="271"/>
    </row>
    <row r="180" spans="1:16" x14ac:dyDescent="0.25">
      <c r="A180" s="902" t="s">
        <v>844</v>
      </c>
      <c r="B180" s="902"/>
      <c r="C180" s="902"/>
      <c r="D180" s="902"/>
      <c r="E180" s="902"/>
      <c r="F180" s="902"/>
      <c r="G180" s="902"/>
      <c r="H180" s="902"/>
      <c r="I180" s="902" t="s">
        <v>845</v>
      </c>
      <c r="J180" s="902"/>
      <c r="K180" s="902"/>
      <c r="L180" s="902"/>
      <c r="M180" s="902"/>
      <c r="N180" s="902"/>
      <c r="O180" s="902"/>
      <c r="P180" s="902"/>
    </row>
    <row r="181" spans="1:16" x14ac:dyDescent="0.25">
      <c r="A181" s="902" t="str">
        <f>táblázat_eljszerves!$A$3</f>
        <v>az ENyÜBS 2010-2018. évi adatai alapján</v>
      </c>
      <c r="B181" s="902"/>
      <c r="C181" s="902"/>
      <c r="D181" s="902"/>
      <c r="E181" s="902"/>
      <c r="F181" s="902"/>
      <c r="G181" s="902"/>
      <c r="H181" s="902"/>
      <c r="I181" s="902" t="str">
        <f>táblázat_eljszerves!$A$3</f>
        <v>az ENyÜBS 2010-2018. évi adatai alapján</v>
      </c>
      <c r="J181" s="902"/>
      <c r="K181" s="902"/>
      <c r="L181" s="902"/>
      <c r="M181" s="902"/>
      <c r="N181" s="902"/>
      <c r="O181" s="902"/>
      <c r="P181" s="902"/>
    </row>
    <row r="182" spans="1:16" x14ac:dyDescent="0.25">
      <c r="A182" s="902" t="str">
        <f>táblázat_eljszerves!$A$1</f>
        <v>Vas Megyei Rendőr-főkapitányság</v>
      </c>
      <c r="B182" s="902"/>
      <c r="C182" s="902"/>
      <c r="D182" s="902"/>
      <c r="E182" s="902"/>
      <c r="F182" s="902"/>
      <c r="G182" s="902"/>
      <c r="H182" s="902"/>
      <c r="I182" s="902" t="str">
        <f>táblázat_eljszerves!$A$1</f>
        <v>Vas Megyei Rendőr-főkapitányság</v>
      </c>
      <c r="J182" s="902"/>
      <c r="K182" s="902"/>
      <c r="L182" s="902"/>
      <c r="M182" s="902"/>
      <c r="N182" s="902"/>
      <c r="O182" s="902"/>
      <c r="P182" s="902"/>
    </row>
    <row r="183" spans="1:16" x14ac:dyDescent="0.25">
      <c r="A183" s="907" t="s">
        <v>39</v>
      </c>
      <c r="B183" s="907"/>
      <c r="C183" s="907"/>
      <c r="D183" s="907"/>
      <c r="E183" s="907"/>
      <c r="F183" s="907"/>
      <c r="G183" s="907"/>
      <c r="H183" s="907"/>
    </row>
    <row r="200" spans="1:16" x14ac:dyDescent="0.25">
      <c r="I200" t="s">
        <v>1072</v>
      </c>
      <c r="J200" t="s">
        <v>1072</v>
      </c>
      <c r="K200" t="s">
        <v>1072</v>
      </c>
    </row>
    <row r="202" spans="1:16" x14ac:dyDescent="0.25">
      <c r="A202" s="902" t="s">
        <v>846</v>
      </c>
      <c r="B202" s="902"/>
      <c r="C202" s="902"/>
      <c r="D202" s="902"/>
      <c r="E202" s="902"/>
      <c r="F202" s="902"/>
      <c r="G202" s="902"/>
      <c r="H202" s="902"/>
      <c r="I202" s="902" t="s">
        <v>847</v>
      </c>
      <c r="J202" s="902"/>
      <c r="K202" s="902"/>
      <c r="L202" s="902"/>
      <c r="M202" s="902"/>
      <c r="N202" s="902"/>
      <c r="O202" s="902"/>
      <c r="P202" s="902"/>
    </row>
    <row r="203" spans="1:16" x14ac:dyDescent="0.25">
      <c r="A203" s="902" t="str">
        <f>táblázat_eljszerves!$A$3</f>
        <v>az ENyÜBS 2010-2018. évi adatai alapján</v>
      </c>
      <c r="B203" s="902"/>
      <c r="C203" s="902"/>
      <c r="D203" s="902"/>
      <c r="E203" s="902"/>
      <c r="F203" s="902"/>
      <c r="G203" s="902"/>
      <c r="H203" s="902"/>
      <c r="I203" s="902" t="str">
        <f>táblázat_eljszerves!$A$3</f>
        <v>az ENyÜBS 2010-2018. évi adatai alapján</v>
      </c>
      <c r="J203" s="902"/>
      <c r="K203" s="902"/>
      <c r="L203" s="902"/>
      <c r="M203" s="902"/>
      <c r="N203" s="902"/>
      <c r="O203" s="902"/>
      <c r="P203" s="902"/>
    </row>
    <row r="204" spans="1:16" x14ac:dyDescent="0.25">
      <c r="A204" s="902" t="str">
        <f>táblázat_eljszerves!$A$1</f>
        <v>Vas Megyei Rendőr-főkapitányság</v>
      </c>
      <c r="B204" s="902"/>
      <c r="C204" s="902"/>
      <c r="D204" s="902"/>
      <c r="E204" s="902"/>
      <c r="F204" s="902"/>
      <c r="G204" s="902"/>
      <c r="H204" s="902"/>
      <c r="I204" s="902" t="str">
        <f>táblázat_eljszerves!$A$1</f>
        <v>Vas Megyei Rendőr-főkapitányság</v>
      </c>
      <c r="J204" s="902"/>
      <c r="K204" s="902"/>
      <c r="L204" s="902"/>
      <c r="M204" s="902"/>
      <c r="N204" s="902"/>
      <c r="O204" s="902"/>
      <c r="P204" s="902"/>
    </row>
    <row r="209" spans="10:16" x14ac:dyDescent="0.25">
      <c r="J209" s="80"/>
      <c r="K209" s="80"/>
      <c r="L209" s="80"/>
      <c r="M209" s="80"/>
      <c r="N209" s="80"/>
      <c r="O209" s="80"/>
      <c r="P209" s="80"/>
    </row>
    <row r="210" spans="10:16" x14ac:dyDescent="0.25">
      <c r="J210" s="80"/>
      <c r="K210" s="80"/>
      <c r="L210" s="80"/>
      <c r="M210" s="80"/>
      <c r="N210" s="80"/>
      <c r="O210" s="80"/>
      <c r="P210" s="80"/>
    </row>
    <row r="211" spans="10:16" x14ac:dyDescent="0.25">
      <c r="J211" s="80"/>
      <c r="K211" s="80"/>
      <c r="L211" s="80"/>
      <c r="M211" s="80"/>
      <c r="N211" s="80"/>
      <c r="O211" s="80"/>
      <c r="P211" s="80"/>
    </row>
    <row r="212" spans="10:16" x14ac:dyDescent="0.25">
      <c r="J212" s="80"/>
      <c r="K212" s="80"/>
      <c r="L212" s="80"/>
      <c r="M212" s="80"/>
      <c r="N212" s="80"/>
      <c r="O212" s="80"/>
      <c r="P212" s="80"/>
    </row>
    <row r="213" spans="10:16" x14ac:dyDescent="0.25">
      <c r="J213" s="80"/>
      <c r="K213" s="80"/>
      <c r="L213" s="80"/>
      <c r="M213" s="80"/>
      <c r="N213" s="80"/>
      <c r="O213" s="80"/>
      <c r="P213" s="80"/>
    </row>
    <row r="214" spans="10:16" x14ac:dyDescent="0.25">
      <c r="J214" s="80"/>
      <c r="K214" s="80"/>
      <c r="L214" s="80"/>
      <c r="M214" s="80"/>
      <c r="N214" s="80"/>
      <c r="O214" s="80"/>
      <c r="P214" s="80"/>
    </row>
    <row r="225" spans="1:16" x14ac:dyDescent="0.25">
      <c r="A225" s="902" t="s">
        <v>848</v>
      </c>
      <c r="B225" s="902"/>
      <c r="C225" s="902"/>
      <c r="D225" s="902"/>
      <c r="E225" s="902"/>
      <c r="F225" s="902"/>
      <c r="G225" s="902"/>
      <c r="H225" s="902"/>
      <c r="I225" s="902" t="s">
        <v>849</v>
      </c>
      <c r="J225" s="902"/>
      <c r="K225" s="902"/>
      <c r="L225" s="902"/>
      <c r="M225" s="902"/>
      <c r="N225" s="902"/>
      <c r="O225" s="902"/>
      <c r="P225" s="902"/>
    </row>
    <row r="226" spans="1:16" x14ac:dyDescent="0.25">
      <c r="A226" s="902" t="str">
        <f>táblázat_eljszerves!$A$3</f>
        <v>az ENyÜBS 2010-2018. évi adatai alapján</v>
      </c>
      <c r="B226" s="902"/>
      <c r="C226" s="902"/>
      <c r="D226" s="902"/>
      <c r="E226" s="902"/>
      <c r="F226" s="902"/>
      <c r="G226" s="902"/>
      <c r="H226" s="902"/>
      <c r="I226" s="902" t="str">
        <f>táblázat_eljszerves!$A$3</f>
        <v>az ENyÜBS 2010-2018. évi adatai alapján</v>
      </c>
      <c r="J226" s="902"/>
      <c r="K226" s="902"/>
      <c r="L226" s="902"/>
      <c r="M226" s="902"/>
      <c r="N226" s="902"/>
      <c r="O226" s="902"/>
      <c r="P226" s="902"/>
    </row>
    <row r="227" spans="1:16" x14ac:dyDescent="0.25">
      <c r="A227" s="902" t="str">
        <f>táblázat_eljszerves!$A$1</f>
        <v>Vas Megyei Rendőr-főkapitányság</v>
      </c>
      <c r="B227" s="902"/>
      <c r="C227" s="902"/>
      <c r="D227" s="902"/>
      <c r="E227" s="902"/>
      <c r="F227" s="902"/>
      <c r="G227" s="902"/>
      <c r="H227" s="902"/>
      <c r="I227" s="902" t="str">
        <f>táblázat_eljszerves!$A$1</f>
        <v>Vas Megyei Rendőr-főkapitányság</v>
      </c>
      <c r="J227" s="902"/>
      <c r="K227" s="902"/>
      <c r="L227" s="902"/>
      <c r="M227" s="902"/>
      <c r="N227" s="902"/>
      <c r="O227" s="902"/>
      <c r="P227" s="902"/>
    </row>
    <row r="247" spans="1:16" x14ac:dyDescent="0.25">
      <c r="A247" s="902" t="s">
        <v>851</v>
      </c>
      <c r="B247" s="902"/>
      <c r="C247" s="902"/>
      <c r="D247" s="902"/>
      <c r="E247" s="902"/>
      <c r="F247" s="902"/>
      <c r="G247" s="902"/>
      <c r="H247" s="902"/>
      <c r="I247" s="902" t="s">
        <v>850</v>
      </c>
      <c r="J247" s="902"/>
      <c r="K247" s="902"/>
      <c r="L247" s="902"/>
      <c r="M247" s="902"/>
      <c r="N247" s="902"/>
      <c r="O247" s="902"/>
      <c r="P247" s="902"/>
    </row>
    <row r="248" spans="1:16" x14ac:dyDescent="0.25">
      <c r="A248" s="902" t="str">
        <f>táblázat_eljszerves!$A$3</f>
        <v>az ENyÜBS 2010-2018. évi adatai alapján</v>
      </c>
      <c r="B248" s="902"/>
      <c r="C248" s="902"/>
      <c r="D248" s="902"/>
      <c r="E248" s="902"/>
      <c r="F248" s="902"/>
      <c r="G248" s="902"/>
      <c r="H248" s="902"/>
      <c r="I248" s="902" t="str">
        <f>táblázat_eljszerves!$A$3</f>
        <v>az ENyÜBS 2010-2018. évi adatai alapján</v>
      </c>
      <c r="J248" s="902"/>
      <c r="K248" s="902"/>
      <c r="L248" s="902"/>
      <c r="M248" s="902"/>
      <c r="N248" s="902"/>
      <c r="O248" s="902"/>
      <c r="P248" s="902"/>
    </row>
    <row r="249" spans="1:16" x14ac:dyDescent="0.25">
      <c r="A249" s="902" t="str">
        <f>táblázat_eljszerves!$A$1</f>
        <v>Vas Megyei Rendőr-főkapitányság</v>
      </c>
      <c r="B249" s="902"/>
      <c r="C249" s="902"/>
      <c r="D249" s="902"/>
      <c r="E249" s="902"/>
      <c r="F249" s="902"/>
      <c r="G249" s="902"/>
      <c r="H249" s="902"/>
      <c r="I249" s="902" t="str">
        <f>táblázat_eljszerves!$A$1</f>
        <v>Vas Megyei Rendőr-főkapitányság</v>
      </c>
      <c r="J249" s="902"/>
      <c r="K249" s="902"/>
      <c r="L249" s="902"/>
      <c r="M249" s="902"/>
      <c r="N249" s="902"/>
      <c r="O249" s="902"/>
      <c r="P249" s="902"/>
    </row>
    <row r="254" spans="1:16" x14ac:dyDescent="0.25">
      <c r="B254" s="80"/>
      <c r="C254" s="80"/>
      <c r="D254" s="80"/>
      <c r="E254" s="80"/>
      <c r="F254" s="80"/>
      <c r="G254" s="80"/>
      <c r="H254" s="80"/>
    </row>
    <row r="255" spans="1:16" x14ac:dyDescent="0.25">
      <c r="B255" s="80"/>
      <c r="C255" s="80"/>
      <c r="D255" s="80"/>
      <c r="E255" s="80"/>
      <c r="F255" s="80"/>
      <c r="G255" s="80"/>
      <c r="H255" s="80"/>
    </row>
    <row r="256" spans="1:16" x14ac:dyDescent="0.25">
      <c r="B256" s="80"/>
      <c r="C256" s="80"/>
      <c r="D256" s="80"/>
      <c r="E256" s="80"/>
      <c r="F256" s="80"/>
      <c r="G256" s="80"/>
      <c r="H256" s="80"/>
    </row>
    <row r="257" spans="1:16" x14ac:dyDescent="0.25">
      <c r="B257" s="80"/>
      <c r="C257" s="80"/>
      <c r="D257" s="80"/>
      <c r="E257" s="80"/>
      <c r="F257" s="80"/>
      <c r="G257" s="80"/>
      <c r="H257" s="80"/>
    </row>
    <row r="258" spans="1:16" x14ac:dyDescent="0.25">
      <c r="B258" s="80"/>
      <c r="C258" s="80"/>
      <c r="D258" s="80"/>
      <c r="E258" s="80"/>
      <c r="F258" s="80"/>
      <c r="G258" s="80"/>
      <c r="H258" s="80"/>
    </row>
    <row r="259" spans="1:16" x14ac:dyDescent="0.25">
      <c r="B259" s="80"/>
      <c r="C259" s="80"/>
      <c r="D259" s="80"/>
      <c r="E259" s="80"/>
      <c r="F259" s="80"/>
      <c r="G259" s="80"/>
      <c r="H259" s="80"/>
    </row>
    <row r="270" spans="1:16" x14ac:dyDescent="0.25">
      <c r="A270" s="902" t="s">
        <v>853</v>
      </c>
      <c r="B270" s="902"/>
      <c r="C270" s="902"/>
      <c r="D270" s="902"/>
      <c r="E270" s="902"/>
      <c r="F270" s="902"/>
      <c r="G270" s="902"/>
      <c r="H270" s="902"/>
      <c r="I270" s="902" t="s">
        <v>852</v>
      </c>
      <c r="J270" s="902"/>
      <c r="K270" s="902"/>
      <c r="L270" s="902"/>
      <c r="M270" s="902"/>
      <c r="N270" s="902"/>
      <c r="O270" s="902"/>
      <c r="P270" s="902"/>
    </row>
    <row r="271" spans="1:16" x14ac:dyDescent="0.25">
      <c r="A271" s="902" t="str">
        <f>táblázat_eljszerves!$A$3</f>
        <v>az ENyÜBS 2010-2018. évi adatai alapján</v>
      </c>
      <c r="B271" s="902"/>
      <c r="C271" s="902"/>
      <c r="D271" s="902"/>
      <c r="E271" s="902"/>
      <c r="F271" s="902"/>
      <c r="G271" s="902"/>
      <c r="H271" s="902"/>
      <c r="I271" s="902" t="str">
        <f>táblázat_eljszerves!$A$3</f>
        <v>az ENyÜBS 2010-2018. évi adatai alapján</v>
      </c>
      <c r="J271" s="902"/>
      <c r="K271" s="902"/>
      <c r="L271" s="902"/>
      <c r="M271" s="902"/>
      <c r="N271" s="902"/>
      <c r="O271" s="902"/>
      <c r="P271" s="902"/>
    </row>
    <row r="272" spans="1:16" x14ac:dyDescent="0.25">
      <c r="A272" s="902" t="str">
        <f>táblázat_eljszerves!$A$1</f>
        <v>Vas Megyei Rendőr-főkapitányság</v>
      </c>
      <c r="B272" s="902"/>
      <c r="C272" s="902"/>
      <c r="D272" s="902"/>
      <c r="E272" s="902"/>
      <c r="F272" s="902"/>
      <c r="G272" s="902"/>
      <c r="H272" s="902"/>
      <c r="I272" s="902" t="str">
        <f>táblázat_eljszerves!$A$1</f>
        <v>Vas Megyei Rendőr-főkapitányság</v>
      </c>
      <c r="J272" s="902"/>
      <c r="K272" s="902"/>
      <c r="L272" s="902"/>
      <c r="M272" s="902"/>
      <c r="N272" s="902"/>
      <c r="O272" s="902"/>
      <c r="P272" s="902"/>
    </row>
    <row r="292" spans="1:16" ht="30.75" customHeight="1" x14ac:dyDescent="0.25">
      <c r="A292" s="902" t="s">
        <v>29</v>
      </c>
      <c r="B292" s="902"/>
      <c r="C292" s="902"/>
      <c r="D292" s="902"/>
      <c r="E292" s="902"/>
      <c r="F292" s="902"/>
      <c r="G292" s="902"/>
      <c r="H292" s="902"/>
      <c r="I292" s="908" t="s">
        <v>798</v>
      </c>
      <c r="J292" s="908"/>
      <c r="K292" s="908"/>
      <c r="L292" s="908"/>
      <c r="M292" s="908"/>
      <c r="N292" s="908"/>
      <c r="O292" s="908"/>
      <c r="P292" s="908"/>
    </row>
    <row r="293" spans="1:16" x14ac:dyDescent="0.25">
      <c r="A293" s="902" t="str">
        <f>táblázat_eljszerves!$A$3</f>
        <v>az ENyÜBS 2010-2018. évi adatai alapján</v>
      </c>
      <c r="B293" s="902"/>
      <c r="C293" s="902"/>
      <c r="D293" s="902"/>
      <c r="E293" s="902"/>
      <c r="F293" s="902"/>
      <c r="G293" s="902"/>
      <c r="H293" s="902"/>
      <c r="I293" s="902" t="str">
        <f>táblázat_eljszerves!$A$3</f>
        <v>az ENyÜBS 2010-2018. évi adatai alapján</v>
      </c>
      <c r="J293" s="902"/>
      <c r="K293" s="902"/>
      <c r="L293" s="902"/>
      <c r="M293" s="902"/>
      <c r="N293" s="902"/>
      <c r="O293" s="902"/>
      <c r="P293" s="902"/>
    </row>
    <row r="294" spans="1:16" x14ac:dyDescent="0.25">
      <c r="A294" s="902" t="str">
        <f>táblázat_eljszerves!$A$1</f>
        <v>Vas Megyei Rendőr-főkapitányság</v>
      </c>
      <c r="B294" s="902"/>
      <c r="C294" s="902"/>
      <c r="D294" s="902"/>
      <c r="E294" s="902"/>
      <c r="F294" s="902"/>
      <c r="G294" s="902"/>
      <c r="H294" s="902"/>
      <c r="I294" s="902" t="str">
        <f>táblázat_eljszerves!$A$1</f>
        <v>Vas Megyei Rendőr-főkapitányság</v>
      </c>
      <c r="J294" s="902"/>
      <c r="K294" s="902"/>
      <c r="L294" s="902"/>
      <c r="M294" s="902"/>
      <c r="N294" s="902"/>
      <c r="O294" s="902"/>
      <c r="P294" s="902"/>
    </row>
    <row r="314" spans="1:16" ht="28.5" customHeight="1" x14ac:dyDescent="0.25">
      <c r="A314" s="903" t="e">
        <f>bcs!#REF!</f>
        <v>#REF!</v>
      </c>
      <c r="B314" s="903"/>
      <c r="C314" s="903"/>
      <c r="D314" s="903"/>
      <c r="E314" s="903"/>
      <c r="F314" s="903"/>
      <c r="G314" s="903"/>
      <c r="H314" s="903"/>
      <c r="I314" s="903" t="e">
        <f>bcs!#REF!</f>
        <v>#REF!</v>
      </c>
      <c r="J314" s="903"/>
      <c r="K314" s="903"/>
      <c r="L314" s="903"/>
      <c r="M314" s="903"/>
      <c r="N314" s="903"/>
      <c r="O314" s="903"/>
      <c r="P314" s="903"/>
    </row>
    <row r="315" spans="1:16" x14ac:dyDescent="0.25">
      <c r="A315" s="902" t="str">
        <f>bírelé_vádem!A1</f>
        <v>az ENyÜBS 2010-2018. évi adatai alapján</v>
      </c>
      <c r="B315" s="902"/>
      <c r="C315" s="902"/>
      <c r="D315" s="902"/>
      <c r="E315" s="902"/>
      <c r="F315" s="902"/>
      <c r="G315" s="902"/>
      <c r="H315" s="902"/>
      <c r="I315" s="902" t="str">
        <f>bírelé_vádem!A1</f>
        <v>az ENyÜBS 2010-2018. évi adatai alapján</v>
      </c>
      <c r="J315" s="902"/>
      <c r="K315" s="902"/>
      <c r="L315" s="902"/>
      <c r="M315" s="902"/>
      <c r="N315" s="902"/>
      <c r="O315" s="902"/>
      <c r="P315" s="902"/>
    </row>
    <row r="316" spans="1:16" x14ac:dyDescent="0.25">
      <c r="A316" s="902" t="str">
        <f>táblázat_eljszerves!A1</f>
        <v>Vas Megyei Rendőr-főkapitányság</v>
      </c>
      <c r="B316" s="902"/>
      <c r="C316" s="902"/>
      <c r="D316" s="902"/>
      <c r="E316" s="902"/>
      <c r="F316" s="902"/>
      <c r="G316" s="902"/>
      <c r="H316" s="902"/>
      <c r="I316" s="902" t="str">
        <f>táblázat_eljszerves!A1</f>
        <v>Vas Megyei Rendőr-főkapitányság</v>
      </c>
      <c r="J316" s="902"/>
      <c r="K316" s="902"/>
      <c r="L316" s="902"/>
      <c r="M316" s="902"/>
      <c r="N316" s="902"/>
      <c r="O316" s="902"/>
      <c r="P316" s="902"/>
    </row>
    <row r="334" spans="1:16" ht="15" customHeight="1" x14ac:dyDescent="0.25"/>
    <row r="335" spans="1:16" ht="33" customHeight="1" x14ac:dyDescent="0.25">
      <c r="A335" s="909" t="e">
        <f>bcs!#REF!</f>
        <v>#REF!</v>
      </c>
      <c r="B335" s="909"/>
      <c r="C335" s="909"/>
      <c r="D335" s="909"/>
      <c r="E335" s="909"/>
      <c r="F335" s="909"/>
      <c r="G335" s="909"/>
      <c r="H335" s="909"/>
      <c r="I335" s="910" t="s">
        <v>1110</v>
      </c>
      <c r="J335" s="910"/>
      <c r="K335" s="910"/>
      <c r="L335" s="910"/>
      <c r="M335" s="910"/>
      <c r="N335" s="910"/>
      <c r="O335" s="910"/>
      <c r="P335" s="910"/>
    </row>
    <row r="336" spans="1:16" x14ac:dyDescent="0.25">
      <c r="A336" s="902" t="str">
        <f>bírelé_vádem!A1</f>
        <v>az ENyÜBS 2010-2018. évi adatai alapján</v>
      </c>
      <c r="B336" s="902"/>
      <c r="C336" s="902"/>
      <c r="D336" s="902"/>
      <c r="E336" s="902"/>
      <c r="F336" s="902"/>
      <c r="G336" s="902"/>
      <c r="H336" s="902"/>
      <c r="I336" s="902" t="s">
        <v>1161</v>
      </c>
      <c r="J336" s="902"/>
      <c r="K336" s="902"/>
      <c r="L336" s="902"/>
      <c r="M336" s="902"/>
      <c r="N336" s="902"/>
      <c r="O336" s="902"/>
      <c r="P336" s="902"/>
    </row>
    <row r="337" spans="1:16" x14ac:dyDescent="0.25">
      <c r="A337" s="902" t="str">
        <f>táblázat_eljszerves!A1</f>
        <v>Vas Megyei Rendőr-főkapitányság</v>
      </c>
      <c r="B337" s="902"/>
      <c r="C337" s="902"/>
      <c r="D337" s="902"/>
      <c r="E337" s="902"/>
      <c r="F337" s="902"/>
      <c r="G337" s="902"/>
      <c r="H337" s="902"/>
      <c r="I337" s="902" t="str">
        <f>táblázat_eljszerves!A1</f>
        <v>Vas Megyei Rendőr-főkapitányság</v>
      </c>
      <c r="J337" s="902"/>
      <c r="K337" s="902"/>
      <c r="L337" s="902"/>
      <c r="M337" s="902"/>
      <c r="N337" s="902"/>
      <c r="O337" s="902"/>
      <c r="P337" s="902"/>
    </row>
    <row r="356" ht="26.25" customHeight="1" x14ac:dyDescent="0.25"/>
    <row r="358" ht="33" customHeight="1" x14ac:dyDescent="0.25"/>
    <row r="399" ht="29.45" customHeight="1" x14ac:dyDescent="0.25"/>
  </sheetData>
  <mergeCells count="97">
    <mergeCell ref="A335:H335"/>
    <mergeCell ref="A336:H336"/>
    <mergeCell ref="A337:H337"/>
    <mergeCell ref="A293:H293"/>
    <mergeCell ref="I293:P293"/>
    <mergeCell ref="A294:H294"/>
    <mergeCell ref="I294:P294"/>
    <mergeCell ref="I315:P315"/>
    <mergeCell ref="I316:P316"/>
    <mergeCell ref="I335:P335"/>
    <mergeCell ref="I336:P336"/>
    <mergeCell ref="I337:P337"/>
    <mergeCell ref="A315:H315"/>
    <mergeCell ref="A316:H316"/>
    <mergeCell ref="A271:H271"/>
    <mergeCell ref="A272:H272"/>
    <mergeCell ref="A292:H292"/>
    <mergeCell ref="I314:P314"/>
    <mergeCell ref="I292:P292"/>
    <mergeCell ref="I271:P271"/>
    <mergeCell ref="I272:P272"/>
    <mergeCell ref="A314:H314"/>
    <mergeCell ref="A204:H204"/>
    <mergeCell ref="I204:P204"/>
    <mergeCell ref="I180:P180"/>
    <mergeCell ref="I181:P181"/>
    <mergeCell ref="A182:H182"/>
    <mergeCell ref="I182:P182"/>
    <mergeCell ref="A183:H183"/>
    <mergeCell ref="A202:H202"/>
    <mergeCell ref="I202:P202"/>
    <mergeCell ref="A203:H203"/>
    <mergeCell ref="I203:P203"/>
    <mergeCell ref="A226:H226"/>
    <mergeCell ref="I226:P226"/>
    <mergeCell ref="A227:H227"/>
    <mergeCell ref="I227:P227"/>
    <mergeCell ref="I247:P247"/>
    <mergeCell ref="A247:H247"/>
    <mergeCell ref="I248:P248"/>
    <mergeCell ref="A248:H248"/>
    <mergeCell ref="I249:P249"/>
    <mergeCell ref="A249:H249"/>
    <mergeCell ref="I270:P270"/>
    <mergeCell ref="A270:H270"/>
    <mergeCell ref="A225:H225"/>
    <mergeCell ref="I160:P160"/>
    <mergeCell ref="A135:H135"/>
    <mergeCell ref="I135:P135"/>
    <mergeCell ref="A136:H136"/>
    <mergeCell ref="I136:P136"/>
    <mergeCell ref="A137:H137"/>
    <mergeCell ref="I137:P137"/>
    <mergeCell ref="A157:H157"/>
    <mergeCell ref="I157:P158"/>
    <mergeCell ref="A158:H158"/>
    <mergeCell ref="A159:H159"/>
    <mergeCell ref="A180:H180"/>
    <mergeCell ref="A181:H181"/>
    <mergeCell ref="I159:P159"/>
    <mergeCell ref="I225:P225"/>
    <mergeCell ref="I26:P26"/>
    <mergeCell ref="A1:H1"/>
    <mergeCell ref="I1:P1"/>
    <mergeCell ref="I2:P2"/>
    <mergeCell ref="A2:H2"/>
    <mergeCell ref="I3:P3"/>
    <mergeCell ref="A23:H23"/>
    <mergeCell ref="I23:P24"/>
    <mergeCell ref="A24:H24"/>
    <mergeCell ref="A25:H25"/>
    <mergeCell ref="I25:P25"/>
    <mergeCell ref="A3:H3"/>
    <mergeCell ref="I67:P67"/>
    <mergeCell ref="A68:H68"/>
    <mergeCell ref="I91:P91"/>
    <mergeCell ref="A92:H92"/>
    <mergeCell ref="A112:H112"/>
    <mergeCell ref="I112:P112"/>
    <mergeCell ref="A67:H67"/>
    <mergeCell ref="I92:P92"/>
    <mergeCell ref="I114:P114"/>
    <mergeCell ref="A113:H113"/>
    <mergeCell ref="I68:P68"/>
    <mergeCell ref="A69:H69"/>
    <mergeCell ref="I69:P69"/>
    <mergeCell ref="A90:H90"/>
    <mergeCell ref="I90:P90"/>
    <mergeCell ref="A91:H91"/>
    <mergeCell ref="I113:P113"/>
    <mergeCell ref="A114:H114"/>
    <mergeCell ref="A45:H45"/>
    <mergeCell ref="A46:H46"/>
    <mergeCell ref="A47:H47"/>
    <mergeCell ref="I45:P45"/>
    <mergeCell ref="I46:P46"/>
    <mergeCell ref="I47:P47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paperSize="9" scale="79" orientation="landscape" r:id="rId1"/>
  <rowBreaks count="1" manualBreakCount="1">
    <brk id="269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4"/>
  <sheetViews>
    <sheetView zoomScale="80" zoomScaleNormal="80" zoomScaleSheetLayoutView="80" workbookViewId="0">
      <selection activeCell="J24" sqref="J24"/>
    </sheetView>
  </sheetViews>
  <sheetFormatPr defaultColWidth="9.140625" defaultRowHeight="15.75" x14ac:dyDescent="0.25"/>
  <cols>
    <col min="1" max="1" width="46.140625" style="2" customWidth="1"/>
    <col min="2" max="10" width="11.7109375" style="2" customWidth="1"/>
    <col min="11" max="11" width="5.85546875" style="2" customWidth="1"/>
    <col min="12" max="19" width="10.5703125" style="2" customWidth="1"/>
    <col min="20" max="20" width="11.140625" style="2" customWidth="1"/>
    <col min="21" max="21" width="9.140625" style="2"/>
    <col min="22" max="22" width="28" style="2" bestFit="1" customWidth="1"/>
    <col min="23" max="23" width="6.5703125" style="2" customWidth="1"/>
    <col min="24" max="24" width="5.5703125" style="2" customWidth="1"/>
    <col min="25" max="16384" width="9.140625" style="2"/>
  </cols>
  <sheetData>
    <row r="1" spans="1:24" ht="72.75" customHeight="1" thickBot="1" x14ac:dyDescent="0.3">
      <c r="A1" s="884" t="s">
        <v>560</v>
      </c>
      <c r="B1" s="885"/>
      <c r="C1" s="885"/>
      <c r="D1" s="885"/>
      <c r="E1" s="885"/>
      <c r="F1" s="885"/>
      <c r="G1" s="885"/>
      <c r="H1" s="885"/>
      <c r="I1" s="885"/>
      <c r="J1" s="886"/>
      <c r="K1" s="1"/>
      <c r="L1" s="884"/>
      <c r="M1" s="885"/>
      <c r="N1" s="885"/>
      <c r="O1" s="885"/>
      <c r="P1" s="885"/>
      <c r="Q1" s="885"/>
      <c r="R1" s="885"/>
      <c r="S1" s="885"/>
      <c r="T1" s="886"/>
      <c r="V1" s="459" t="s">
        <v>1105</v>
      </c>
      <c r="W1" s="458"/>
      <c r="X1" s="458"/>
    </row>
    <row r="2" spans="1:24" ht="47.25" customHeight="1" thickBot="1" x14ac:dyDescent="0.3">
      <c r="A2" s="3" t="s">
        <v>1190</v>
      </c>
      <c r="B2" s="888" t="s">
        <v>1</v>
      </c>
      <c r="C2" s="889"/>
      <c r="D2" s="889"/>
      <c r="E2" s="889"/>
      <c r="F2" s="889"/>
      <c r="G2" s="889"/>
      <c r="H2" s="889"/>
      <c r="I2" s="889"/>
      <c r="J2" s="891"/>
      <c r="K2" s="5"/>
      <c r="L2" s="892" t="s">
        <v>1104</v>
      </c>
      <c r="M2" s="893"/>
      <c r="N2" s="893"/>
      <c r="O2" s="893"/>
      <c r="P2" s="893"/>
      <c r="Q2" s="893"/>
      <c r="R2" s="893"/>
      <c r="S2" s="893"/>
      <c r="T2" s="894"/>
      <c r="V2" s="460" t="s">
        <v>1076</v>
      </c>
    </row>
    <row r="3" spans="1:24" ht="65.25" customHeight="1" thickBot="1" x14ac:dyDescent="0.3">
      <c r="A3" s="858" t="s">
        <v>1170</v>
      </c>
      <c r="B3" s="8" t="s">
        <v>1084</v>
      </c>
      <c r="C3" s="9" t="s">
        <v>1085</v>
      </c>
      <c r="D3" s="9" t="s">
        <v>1086</v>
      </c>
      <c r="E3" s="9" t="s">
        <v>1087</v>
      </c>
      <c r="F3" s="9" t="s">
        <v>1088</v>
      </c>
      <c r="G3" s="9" t="s">
        <v>1089</v>
      </c>
      <c r="H3" s="9" t="s">
        <v>1090</v>
      </c>
      <c r="I3" s="9" t="s">
        <v>1091</v>
      </c>
      <c r="J3" s="13" t="s">
        <v>1154</v>
      </c>
      <c r="K3" s="11"/>
      <c r="L3" s="313" t="s">
        <v>1084</v>
      </c>
      <c r="M3" s="314" t="s">
        <v>1085</v>
      </c>
      <c r="N3" s="314" t="s">
        <v>1086</v>
      </c>
      <c r="O3" s="314" t="s">
        <v>1087</v>
      </c>
      <c r="P3" s="314" t="s">
        <v>1088</v>
      </c>
      <c r="Q3" s="314" t="s">
        <v>1089</v>
      </c>
      <c r="R3" s="315" t="s">
        <v>1090</v>
      </c>
      <c r="S3" s="315" t="s">
        <v>1091</v>
      </c>
      <c r="T3" s="316" t="s">
        <v>1154</v>
      </c>
    </row>
    <row r="4" spans="1:24" x14ac:dyDescent="0.25">
      <c r="A4" s="19" t="s">
        <v>5</v>
      </c>
      <c r="B4" s="90">
        <f>VLOOKUP(alap!$A$2,település_bcs!$B:$IK,2,FALSE)</f>
        <v>3</v>
      </c>
      <c r="C4" s="91">
        <f>VLOOKUP(alap!$A$2,település_bcs!$B:$IK,3,FALSE)</f>
        <v>5</v>
      </c>
      <c r="D4" s="91">
        <f>VLOOKUP(alap!$A$2,település_bcs!$B:$IK,4,FALSE)</f>
        <v>5</v>
      </c>
      <c r="E4" s="91">
        <f>VLOOKUP(alap!$A$2,település_bcs!$B:$IK,5,FALSE)</f>
        <v>6</v>
      </c>
      <c r="F4" s="91">
        <f>VLOOKUP(alap!$A$2,település_bcs!$B:$IK,6,FALSE)</f>
        <v>2</v>
      </c>
      <c r="G4" s="91">
        <f>VLOOKUP(alap!$A$2,település_bcs!$B:$IK,7,FALSE)</f>
        <v>2</v>
      </c>
      <c r="H4" s="91">
        <f>VLOOKUP(alap!$A$2,település_bcs!$B:$IK,8,FALSE)</f>
        <v>6</v>
      </c>
      <c r="I4" s="91">
        <f>VLOOKUP(alap!$A$2,település_bcs!$B:$IK,9,FALSE)</f>
        <v>2</v>
      </c>
      <c r="J4" s="91">
        <f>VLOOKUP(alap!$A$2,település_bcs!$B:$IK,10,FALSE)</f>
        <v>7</v>
      </c>
      <c r="K4" s="22"/>
      <c r="L4" s="23">
        <v>100</v>
      </c>
      <c r="M4" s="24">
        <v>100</v>
      </c>
      <c r="N4" s="24">
        <v>100</v>
      </c>
      <c r="O4" s="24">
        <v>100</v>
      </c>
      <c r="P4" s="24">
        <v>100</v>
      </c>
      <c r="Q4" s="24">
        <v>100</v>
      </c>
      <c r="R4" s="24">
        <v>100</v>
      </c>
      <c r="S4" s="24">
        <v>100</v>
      </c>
      <c r="T4" s="24">
        <v>100</v>
      </c>
      <c r="U4" s="29"/>
      <c r="V4" s="29"/>
      <c r="W4" s="29"/>
    </row>
    <row r="5" spans="1:24" x14ac:dyDescent="0.25">
      <c r="A5" s="30" t="s">
        <v>7</v>
      </c>
      <c r="B5" s="92">
        <f>VLOOKUP(alap!$A$2,település_bcs!$B:$IK,11,FALSE)</f>
        <v>3</v>
      </c>
      <c r="C5" s="637">
        <f>VLOOKUP(alap!$A$2,település_bcs!$B:$IK,12,FALSE)</f>
        <v>3</v>
      </c>
      <c r="D5" s="637">
        <f>VLOOKUP(alap!$A$2,település_bcs!$B:$IK,13,FALSE)</f>
        <v>1</v>
      </c>
      <c r="E5" s="637">
        <f>VLOOKUP(alap!$A$2,település_bcs!$B:$IK,14,FALSE)</f>
        <v>4</v>
      </c>
      <c r="F5" s="637">
        <f>VLOOKUP(alap!$A$2,település_bcs!$B:$IK,15,FALSE)</f>
        <v>1</v>
      </c>
      <c r="G5" s="637">
        <f>VLOOKUP(alap!$A$2,település_bcs!$B:$IK,16,FALSE)</f>
        <v>2</v>
      </c>
      <c r="H5" s="637">
        <f>VLOOKUP(alap!$A$2,település_bcs!$B:$IK,17,FALSE)</f>
        <v>2</v>
      </c>
      <c r="I5" s="637">
        <f>VLOOKUP(alap!$A$2,település_bcs!$B:$IK,18,FALSE)</f>
        <v>1</v>
      </c>
      <c r="J5" s="637">
        <f>VLOOKUP(alap!$A$2,település_bcs!$B:$IK,19,FALSE)</f>
        <v>2</v>
      </c>
      <c r="K5" s="22"/>
      <c r="L5" s="33">
        <v>100</v>
      </c>
      <c r="M5" s="649">
        <v>100</v>
      </c>
      <c r="N5" s="649">
        <v>100</v>
      </c>
      <c r="O5" s="649">
        <v>100</v>
      </c>
      <c r="P5" s="649">
        <v>100</v>
      </c>
      <c r="Q5" s="649">
        <v>100</v>
      </c>
      <c r="R5" s="649">
        <v>100</v>
      </c>
      <c r="S5" s="649">
        <v>100</v>
      </c>
      <c r="T5" s="649">
        <v>100</v>
      </c>
      <c r="U5" s="29"/>
      <c r="V5" s="29"/>
      <c r="W5" s="29"/>
    </row>
    <row r="6" spans="1:24" x14ac:dyDescent="0.25">
      <c r="A6" s="36" t="s">
        <v>8</v>
      </c>
      <c r="B6" s="89">
        <f>VLOOKUP(alap!$A$2,település_bcs!$B:$IK,29,FALSE)</f>
        <v>302</v>
      </c>
      <c r="C6" s="91">
        <f>VLOOKUP(alap!$A$2,település_bcs!$B:$IK,30,FALSE)</f>
        <v>303</v>
      </c>
      <c r="D6" s="91">
        <f>VLOOKUP(alap!$A$2,település_bcs!$B:$IK,31,FALSE)</f>
        <v>274</v>
      </c>
      <c r="E6" s="91">
        <f>VLOOKUP(alap!$A$2,település_bcs!$B:$IK,32,FALSE)</f>
        <v>249</v>
      </c>
      <c r="F6" s="91">
        <f>VLOOKUP(alap!$A$2,település_bcs!$B:$IK,33,FALSE)</f>
        <v>271</v>
      </c>
      <c r="G6" s="91">
        <f>VLOOKUP(alap!$A$2,település_bcs!$B:$IK,34,FALSE)</f>
        <v>267</v>
      </c>
      <c r="H6" s="91">
        <f>VLOOKUP(alap!$A$2,település_bcs!$B:$IK,35,FALSE)</f>
        <v>247</v>
      </c>
      <c r="I6" s="91">
        <f>VLOOKUP(alap!$A$2,település_bcs!$B:$IK,36,FALSE)</f>
        <v>263</v>
      </c>
      <c r="J6" s="91">
        <f>VLOOKUP(alap!$A$2,település_bcs!$B:$IK,37,FALSE)</f>
        <v>160</v>
      </c>
      <c r="K6" s="22"/>
      <c r="L6" s="37">
        <v>90</v>
      </c>
      <c r="M6" s="34">
        <v>89.1</v>
      </c>
      <c r="N6" s="34">
        <v>89.4</v>
      </c>
      <c r="O6" s="34">
        <v>87.7</v>
      </c>
      <c r="P6" s="34">
        <v>88.6</v>
      </c>
      <c r="Q6" s="34">
        <v>91.2</v>
      </c>
      <c r="R6" s="34">
        <v>88.9</v>
      </c>
      <c r="S6" s="34">
        <v>86.7</v>
      </c>
      <c r="T6" s="32">
        <v>96.1</v>
      </c>
      <c r="U6" s="29"/>
      <c r="V6" s="269"/>
      <c r="W6" s="29"/>
    </row>
    <row r="7" spans="1:24" x14ac:dyDescent="0.25">
      <c r="A7" s="30" t="s">
        <v>565</v>
      </c>
      <c r="B7" s="92">
        <f>VLOOKUP(alap!$A$2,település_bcs!$B:$IK,38,FALSE)</f>
        <v>116</v>
      </c>
      <c r="C7" s="637">
        <f>VLOOKUP(alap!$A$2,település_bcs!$B:$IK,39,FALSE)</f>
        <v>104</v>
      </c>
      <c r="D7" s="637">
        <f>VLOOKUP(alap!$A$2,település_bcs!$B:$IK,40,FALSE)</f>
        <v>83</v>
      </c>
      <c r="E7" s="637">
        <f>VLOOKUP(alap!$A$2,település_bcs!$B:$IK,41,FALSE)</f>
        <v>104</v>
      </c>
      <c r="F7" s="637">
        <f>VLOOKUP(alap!$A$2,település_bcs!$B:$IK,42,FALSE)</f>
        <v>95</v>
      </c>
      <c r="G7" s="637">
        <f>VLOOKUP(alap!$A$2,település_bcs!$B:$IK,43,FALSE)</f>
        <v>93</v>
      </c>
      <c r="H7" s="637">
        <f>VLOOKUP(alap!$A$2,település_bcs!$B:$IK,44,FALSE)</f>
        <v>65</v>
      </c>
      <c r="I7" s="637">
        <f>VLOOKUP(alap!$A$2,település_bcs!$B:$IK,45,FALSE)</f>
        <v>72</v>
      </c>
      <c r="J7" s="637">
        <f>VLOOKUP(alap!$A$2,település_bcs!$B:$IK,46,FALSE)</f>
        <v>51</v>
      </c>
      <c r="K7" s="22"/>
      <c r="L7" s="33">
        <v>82.6</v>
      </c>
      <c r="M7" s="649">
        <v>76.7</v>
      </c>
      <c r="N7" s="649">
        <v>76.400000000000006</v>
      </c>
      <c r="O7" s="649">
        <v>77.8</v>
      </c>
      <c r="P7" s="649">
        <v>81.2</v>
      </c>
      <c r="Q7" s="649">
        <v>81.3</v>
      </c>
      <c r="R7" s="649">
        <v>76</v>
      </c>
      <c r="S7" s="649">
        <v>75</v>
      </c>
      <c r="T7" s="651">
        <v>90.6</v>
      </c>
      <c r="U7" s="29"/>
      <c r="V7" s="29"/>
      <c r="W7" s="29"/>
    </row>
    <row r="8" spans="1:24" x14ac:dyDescent="0.25">
      <c r="A8" s="30" t="s">
        <v>566</v>
      </c>
      <c r="B8" s="92">
        <f>VLOOKUP(alap!$A$2,település_bcs!$B:$IK,47,FALSE)</f>
        <v>2</v>
      </c>
      <c r="C8" s="637">
        <f>VLOOKUP(alap!$A$2,település_bcs!$B:$IK,48,FALSE)</f>
        <v>0</v>
      </c>
      <c r="D8" s="637">
        <f>VLOOKUP(alap!$A$2,település_bcs!$B:$IK,49,FALSE)</f>
        <v>1</v>
      </c>
      <c r="E8" s="637">
        <f>VLOOKUP(alap!$A$2,település_bcs!$B:$IK,50,FALSE)</f>
        <v>0</v>
      </c>
      <c r="F8" s="637">
        <f>VLOOKUP(alap!$A$2,település_bcs!$B:$IK,51,FALSE)</f>
        <v>1</v>
      </c>
      <c r="G8" s="637">
        <f>VLOOKUP(alap!$A$2,település_bcs!$B:$IK,52,FALSE)</f>
        <v>1</v>
      </c>
      <c r="H8" s="637">
        <f>VLOOKUP(alap!$A$2,település_bcs!$B:$IK,53,FALSE)</f>
        <v>0</v>
      </c>
      <c r="I8" s="637">
        <f>VLOOKUP(alap!$A$2,település_bcs!$B:$IK,54,FALSE)</f>
        <v>0</v>
      </c>
      <c r="J8" s="637">
        <f>VLOOKUP(alap!$A$2,település_bcs!$B:$IK,55,FALSE)</f>
        <v>1</v>
      </c>
      <c r="K8" s="22"/>
      <c r="L8" s="33">
        <v>100</v>
      </c>
      <c r="M8" s="649" t="s">
        <v>6</v>
      </c>
      <c r="N8" s="649">
        <v>100</v>
      </c>
      <c r="O8" s="649" t="s">
        <v>6</v>
      </c>
      <c r="P8" s="649">
        <v>100</v>
      </c>
      <c r="Q8" s="649">
        <v>100</v>
      </c>
      <c r="R8" s="649" t="s">
        <v>6</v>
      </c>
      <c r="S8" s="649" t="s">
        <v>6</v>
      </c>
      <c r="T8" s="651">
        <v>100</v>
      </c>
      <c r="U8" s="29"/>
      <c r="V8" s="29"/>
      <c r="W8" s="29"/>
    </row>
    <row r="9" spans="1:24" x14ac:dyDescent="0.25">
      <c r="A9" s="36" t="s">
        <v>9</v>
      </c>
      <c r="B9" s="89">
        <f>VLOOKUP(alap!$A$2,település_bcs!$B:$IK,56,FALSE)</f>
        <v>46</v>
      </c>
      <c r="C9" s="91">
        <f>VLOOKUP(alap!$A$2,település_bcs!$B:$IK,57,FALSE)</f>
        <v>52</v>
      </c>
      <c r="D9" s="91">
        <f>VLOOKUP(alap!$A$2,település_bcs!$B:$IK,58,FALSE)</f>
        <v>40</v>
      </c>
      <c r="E9" s="91">
        <f>VLOOKUP(alap!$A$2,település_bcs!$B:$IK,59,FALSE)</f>
        <v>32</v>
      </c>
      <c r="F9" s="91">
        <f>VLOOKUP(alap!$A$2,település_bcs!$B:$IK,60,FALSE)</f>
        <v>17</v>
      </c>
      <c r="G9" s="91">
        <f>VLOOKUP(alap!$A$2,település_bcs!$B:$IK,61,FALSE)</f>
        <v>19</v>
      </c>
      <c r="H9" s="91">
        <f>VLOOKUP(alap!$A$2,település_bcs!$B:$IK,62,FALSE)</f>
        <v>27</v>
      </c>
      <c r="I9" s="91">
        <f>VLOOKUP(alap!$A$2,település_bcs!$B:$IK,63,FALSE)</f>
        <v>41</v>
      </c>
      <c r="J9" s="91">
        <f>VLOOKUP(alap!$A$2,település_bcs!$B:$IK,64,FALSE)</f>
        <v>29</v>
      </c>
      <c r="K9" s="22"/>
      <c r="L9" s="37">
        <v>75.400000000000006</v>
      </c>
      <c r="M9" s="34">
        <v>80</v>
      </c>
      <c r="N9" s="34">
        <v>60.7</v>
      </c>
      <c r="O9" s="34">
        <v>75.599999999999994</v>
      </c>
      <c r="P9" s="34">
        <v>61.5</v>
      </c>
      <c r="Q9" s="34">
        <v>73.099999999999994</v>
      </c>
      <c r="R9" s="34">
        <v>77.099999999999994</v>
      </c>
      <c r="S9" s="34">
        <v>80.400000000000006</v>
      </c>
      <c r="T9" s="32">
        <v>100</v>
      </c>
      <c r="U9" s="29"/>
      <c r="V9" s="29"/>
      <c r="W9" s="29"/>
    </row>
    <row r="10" spans="1:24" x14ac:dyDescent="0.25">
      <c r="A10" s="36" t="s">
        <v>10</v>
      </c>
      <c r="B10" s="89">
        <f>VLOOKUP(alap!$A$2,település_bcs!$B:$IK,65,FALSE)</f>
        <v>1</v>
      </c>
      <c r="C10" s="91">
        <f>VLOOKUP(alap!$A$2,település_bcs!$B:$IK,66,FALSE)</f>
        <v>5</v>
      </c>
      <c r="D10" s="91">
        <f>VLOOKUP(alap!$A$2,település_bcs!$B:$IK,67,FALSE)</f>
        <v>5</v>
      </c>
      <c r="E10" s="91">
        <f>VLOOKUP(alap!$A$2,település_bcs!$B:$IK,68,FALSE)</f>
        <v>7</v>
      </c>
      <c r="F10" s="91">
        <f>VLOOKUP(alap!$A$2,település_bcs!$B:$IK,69,FALSE)</f>
        <v>9</v>
      </c>
      <c r="G10" s="91">
        <f>VLOOKUP(alap!$A$2,település_bcs!$B:$IK,70,FALSE)</f>
        <v>6</v>
      </c>
      <c r="H10" s="91">
        <f>VLOOKUP(alap!$A$2,település_bcs!$B:$IK,71,FALSE)</f>
        <v>4</v>
      </c>
      <c r="I10" s="91">
        <f>VLOOKUP(alap!$A$2,település_bcs!$B:$IK,72,FALSE)</f>
        <v>0</v>
      </c>
      <c r="J10" s="91">
        <f>VLOOKUP(alap!$A$2,település_bcs!$B:$IK,73,FALSE)</f>
        <v>1</v>
      </c>
      <c r="K10" s="22"/>
      <c r="L10" s="37">
        <v>100</v>
      </c>
      <c r="M10" s="34">
        <v>100</v>
      </c>
      <c r="N10" s="34">
        <v>40</v>
      </c>
      <c r="O10" s="34">
        <v>100</v>
      </c>
      <c r="P10" s="34">
        <v>100</v>
      </c>
      <c r="Q10" s="34">
        <v>100</v>
      </c>
      <c r="R10" s="34">
        <v>80</v>
      </c>
      <c r="S10" s="34">
        <v>100</v>
      </c>
      <c r="T10" s="32">
        <v>100</v>
      </c>
      <c r="U10" s="29"/>
      <c r="V10" s="29"/>
      <c r="W10" s="29"/>
    </row>
    <row r="11" spans="1:24" x14ac:dyDescent="0.25">
      <c r="A11" s="36" t="s">
        <v>11</v>
      </c>
      <c r="B11" s="89">
        <f>VLOOKUP(alap!$A$2,település_bcs!$B:$IK,74,FALSE)</f>
        <v>528</v>
      </c>
      <c r="C11" s="91">
        <f>VLOOKUP(alap!$A$2,település_bcs!$B:$IK,75,FALSE)</f>
        <v>507</v>
      </c>
      <c r="D11" s="91">
        <f>VLOOKUP(alap!$A$2,település_bcs!$B:$IK,76,FALSE)</f>
        <v>480</v>
      </c>
      <c r="E11" s="91">
        <f>VLOOKUP(alap!$A$2,település_bcs!$B:$IK,77,FALSE)</f>
        <v>446</v>
      </c>
      <c r="F11" s="91">
        <f>VLOOKUP(alap!$A$2,település_bcs!$B:$IK,78,FALSE)</f>
        <v>449</v>
      </c>
      <c r="G11" s="91">
        <f>VLOOKUP(alap!$A$2,település_bcs!$B:$IK,79,FALSE)</f>
        <v>395</v>
      </c>
      <c r="H11" s="91">
        <f>VLOOKUP(alap!$A$2,település_bcs!$B:$IK,80,FALSE)</f>
        <v>336</v>
      </c>
      <c r="I11" s="91">
        <f>VLOOKUP(alap!$A$2,település_bcs!$B:$IK,81,FALSE)</f>
        <v>311</v>
      </c>
      <c r="J11" s="91">
        <f>VLOOKUP(alap!$A$2,település_bcs!$B:$IK,82,FALSE)</f>
        <v>249</v>
      </c>
      <c r="K11" s="22"/>
      <c r="L11" s="37">
        <v>79.2</v>
      </c>
      <c r="M11" s="34">
        <v>76.7</v>
      </c>
      <c r="N11" s="34">
        <v>75.900000000000006</v>
      </c>
      <c r="O11" s="34">
        <v>76.3</v>
      </c>
      <c r="P11" s="34">
        <v>77.599999999999994</v>
      </c>
      <c r="Q11" s="34">
        <v>82.8</v>
      </c>
      <c r="R11" s="34">
        <v>76</v>
      </c>
      <c r="S11" s="34">
        <v>77.599999999999994</v>
      </c>
      <c r="T11" s="32">
        <v>87.9</v>
      </c>
      <c r="U11" s="29"/>
      <c r="V11" s="29"/>
      <c r="W11" s="29"/>
    </row>
    <row r="12" spans="1:24" s="41" customFormat="1" ht="91.5" customHeight="1" x14ac:dyDescent="0.25">
      <c r="A12" s="36" t="s">
        <v>13</v>
      </c>
      <c r="B12" s="89">
        <f>VLOOKUP(alap!$A$2,település_bcs!$B:$IK,92,FALSE)</f>
        <v>27</v>
      </c>
      <c r="C12" s="91">
        <f>VLOOKUP(alap!$A$2,település_bcs!$B:$IK,93,FALSE)</f>
        <v>37</v>
      </c>
      <c r="D12" s="91">
        <f>VLOOKUP(alap!$A$2,település_bcs!$B:$IK,94,FALSE)</f>
        <v>15</v>
      </c>
      <c r="E12" s="91">
        <f>VLOOKUP(alap!$A$2,település_bcs!$B:$IK,95,FALSE)</f>
        <v>23</v>
      </c>
      <c r="F12" s="91">
        <f>VLOOKUP(alap!$A$2,település_bcs!$B:$IK,96,FALSE)</f>
        <v>21</v>
      </c>
      <c r="G12" s="91">
        <f>VLOOKUP(alap!$A$2,település_bcs!$B:$IK,97,FALSE)</f>
        <v>17</v>
      </c>
      <c r="H12" s="91">
        <f>VLOOKUP(alap!$A$2,település_bcs!$B:$IK,98,FALSE)</f>
        <v>16</v>
      </c>
      <c r="I12" s="91">
        <f>VLOOKUP(alap!$A$2,település_bcs!$B:$IK,99,FALSE)</f>
        <v>21</v>
      </c>
      <c r="J12" s="91">
        <f>VLOOKUP(alap!$A$2,település_bcs!$B:$IK,100,FALSE)</f>
        <v>31</v>
      </c>
      <c r="K12" s="22"/>
      <c r="L12" s="37">
        <v>87.1</v>
      </c>
      <c r="M12" s="34">
        <v>85.1</v>
      </c>
      <c r="N12" s="34">
        <v>84.6</v>
      </c>
      <c r="O12" s="34">
        <v>86.8</v>
      </c>
      <c r="P12" s="34">
        <v>92</v>
      </c>
      <c r="Q12" s="34">
        <v>89.5</v>
      </c>
      <c r="R12" s="34">
        <v>81.8</v>
      </c>
      <c r="S12" s="34">
        <v>80</v>
      </c>
      <c r="T12" s="32">
        <v>83.8</v>
      </c>
      <c r="U12" s="40"/>
      <c r="V12" s="40"/>
      <c r="W12" s="40"/>
    </row>
    <row r="13" spans="1:24" x14ac:dyDescent="0.25">
      <c r="A13" s="36" t="s">
        <v>14</v>
      </c>
      <c r="B13" s="89">
        <f>VLOOKUP(alap!$A$2,település_bcs!$B:$IK,101,FALSE)</f>
        <v>3541</v>
      </c>
      <c r="C13" s="91">
        <f>VLOOKUP(alap!$A$2,település_bcs!$B:$IK,102,FALSE)</f>
        <v>3017</v>
      </c>
      <c r="D13" s="91">
        <f>VLOOKUP(alap!$A$2,település_bcs!$B:$IK,103,FALSE)</f>
        <v>2863</v>
      </c>
      <c r="E13" s="91">
        <f>VLOOKUP(alap!$A$2,település_bcs!$B:$IK,104,FALSE)</f>
        <v>2250</v>
      </c>
      <c r="F13" s="91">
        <f>VLOOKUP(alap!$A$2,település_bcs!$B:$IK,105,FALSE)</f>
        <v>2275</v>
      </c>
      <c r="G13" s="91">
        <f>VLOOKUP(alap!$A$2,település_bcs!$B:$IK,106,FALSE)</f>
        <v>1872</v>
      </c>
      <c r="H13" s="91">
        <f>VLOOKUP(alap!$A$2,település_bcs!$B:$IK,107,FALSE)</f>
        <v>1338</v>
      </c>
      <c r="I13" s="91">
        <f>VLOOKUP(alap!$A$2,település_bcs!$B:$IK,108,FALSE)</f>
        <v>1368</v>
      </c>
      <c r="J13" s="91">
        <f>VLOOKUP(alap!$A$2,település_bcs!$B:$IK,109,FALSE)</f>
        <v>926</v>
      </c>
      <c r="K13" s="22"/>
      <c r="L13" s="37">
        <v>33.1</v>
      </c>
      <c r="M13" s="34">
        <v>26.3</v>
      </c>
      <c r="N13" s="34">
        <v>29.7</v>
      </c>
      <c r="O13" s="34">
        <v>33.799999999999997</v>
      </c>
      <c r="P13" s="34">
        <v>33.700000000000003</v>
      </c>
      <c r="Q13" s="34">
        <v>38.200000000000003</v>
      </c>
      <c r="R13" s="34">
        <v>41</v>
      </c>
      <c r="S13" s="34">
        <v>45.8</v>
      </c>
      <c r="T13" s="32">
        <v>44.9</v>
      </c>
      <c r="U13" s="29"/>
      <c r="V13" s="29"/>
      <c r="W13" s="29"/>
    </row>
    <row r="14" spans="1:24" x14ac:dyDescent="0.25">
      <c r="A14" s="30" t="s">
        <v>15</v>
      </c>
      <c r="B14" s="92">
        <f>VLOOKUP(alap!$A$2,település_bcs!$B:$IK,110,FALSE)</f>
        <v>10</v>
      </c>
      <c r="C14" s="637">
        <f>VLOOKUP(alap!$A$2,település_bcs!$B:$IK,111,FALSE)</f>
        <v>14</v>
      </c>
      <c r="D14" s="637">
        <f>VLOOKUP(alap!$A$2,település_bcs!$B:$IK,112,FALSE)</f>
        <v>15</v>
      </c>
      <c r="E14" s="637">
        <f>VLOOKUP(alap!$A$2,település_bcs!$B:$IK,113,FALSE)</f>
        <v>9</v>
      </c>
      <c r="F14" s="637">
        <f>VLOOKUP(alap!$A$2,település_bcs!$B:$IK,114,FALSE)</f>
        <v>9</v>
      </c>
      <c r="G14" s="637">
        <f>VLOOKUP(alap!$A$2,település_bcs!$B:$IK,115,FALSE)</f>
        <v>12</v>
      </c>
      <c r="H14" s="637">
        <f>VLOOKUP(alap!$A$2,település_bcs!$B:$IK,116,FALSE)</f>
        <v>5</v>
      </c>
      <c r="I14" s="637">
        <f>VLOOKUP(alap!$A$2,település_bcs!$B:$IK,117,FALSE)</f>
        <v>12</v>
      </c>
      <c r="J14" s="637">
        <f>VLOOKUP(alap!$A$2,település_bcs!$B:$IK,118,FALSE)</f>
        <v>2</v>
      </c>
      <c r="K14" s="22"/>
      <c r="L14" s="33">
        <v>30</v>
      </c>
      <c r="M14" s="649">
        <v>69.400000000000006</v>
      </c>
      <c r="N14" s="649">
        <v>70.599999999999994</v>
      </c>
      <c r="O14" s="649">
        <v>14.3</v>
      </c>
      <c r="P14" s="649">
        <v>70</v>
      </c>
      <c r="Q14" s="649">
        <v>41.7</v>
      </c>
      <c r="R14" s="649">
        <v>75</v>
      </c>
      <c r="S14" s="649">
        <v>100</v>
      </c>
      <c r="T14" s="651">
        <v>100</v>
      </c>
      <c r="U14" s="29"/>
      <c r="V14" s="29"/>
      <c r="W14" s="29"/>
    </row>
    <row r="15" spans="1:24" x14ac:dyDescent="0.25">
      <c r="A15" s="30" t="s">
        <v>16</v>
      </c>
      <c r="B15" s="92">
        <f>VLOOKUP(alap!$A$2,település_bcs!$B:$IK,119,FALSE)</f>
        <v>148</v>
      </c>
      <c r="C15" s="637">
        <f>VLOOKUP(alap!$A$2,település_bcs!$B:$IK,120,FALSE)</f>
        <v>90</v>
      </c>
      <c r="D15" s="637">
        <f>VLOOKUP(alap!$A$2,település_bcs!$B:$IK,121,FALSE)</f>
        <v>91</v>
      </c>
      <c r="E15" s="637">
        <f>VLOOKUP(alap!$A$2,település_bcs!$B:$IK,122,FALSE)</f>
        <v>47</v>
      </c>
      <c r="F15" s="637">
        <f>VLOOKUP(alap!$A$2,település_bcs!$B:$IK,123,FALSE)</f>
        <v>72</v>
      </c>
      <c r="G15" s="637">
        <f>VLOOKUP(alap!$A$2,település_bcs!$B:$IK,124,FALSE)</f>
        <v>45</v>
      </c>
      <c r="H15" s="637">
        <f>VLOOKUP(alap!$A$2,település_bcs!$B:$IK,125,FALSE)</f>
        <v>17</v>
      </c>
      <c r="I15" s="637">
        <f>VLOOKUP(alap!$A$2,település_bcs!$B:$IK,126,FALSE)</f>
        <v>20</v>
      </c>
      <c r="J15" s="637">
        <f>VLOOKUP(alap!$A$2,település_bcs!$B:$IK,127,FALSE)</f>
        <v>16</v>
      </c>
      <c r="K15" s="22"/>
      <c r="L15" s="33">
        <v>47.4</v>
      </c>
      <c r="M15" s="649">
        <v>9.8000000000000007</v>
      </c>
      <c r="N15" s="649">
        <v>31.9</v>
      </c>
      <c r="O15" s="649">
        <v>8.5</v>
      </c>
      <c r="P15" s="649">
        <v>52.8</v>
      </c>
      <c r="Q15" s="649">
        <v>33.299999999999997</v>
      </c>
      <c r="R15" s="649">
        <v>11.8</v>
      </c>
      <c r="S15" s="649">
        <v>35</v>
      </c>
      <c r="T15" s="651">
        <v>18.8</v>
      </c>
      <c r="U15" s="29"/>
      <c r="V15" s="29"/>
      <c r="W15" s="29"/>
    </row>
    <row r="16" spans="1:24" x14ac:dyDescent="0.25">
      <c r="A16" s="30" t="s">
        <v>568</v>
      </c>
      <c r="B16" s="92">
        <f>VLOOKUP(alap!$A$2,település_bcs!$B:$IK,128,FALSE)</f>
        <v>369</v>
      </c>
      <c r="C16" s="637">
        <f>VLOOKUP(alap!$A$2,település_bcs!$B:$IK,129,FALSE)</f>
        <v>277</v>
      </c>
      <c r="D16" s="637">
        <f>VLOOKUP(alap!$A$2,település_bcs!$B:$IK,130,FALSE)</f>
        <v>315</v>
      </c>
      <c r="E16" s="637">
        <f>VLOOKUP(alap!$A$2,település_bcs!$B:$IK,131,FALSE)</f>
        <v>249</v>
      </c>
      <c r="F16" s="637">
        <f>VLOOKUP(alap!$A$2,település_bcs!$B:$IK,132,FALSE)</f>
        <v>246</v>
      </c>
      <c r="G16" s="637">
        <f>VLOOKUP(alap!$A$2,település_bcs!$B:$IK,133,FALSE)</f>
        <v>282</v>
      </c>
      <c r="H16" s="637">
        <f>VLOOKUP(alap!$A$2,település_bcs!$B:$IK,134,FALSE)</f>
        <v>209</v>
      </c>
      <c r="I16" s="637">
        <f>VLOOKUP(alap!$A$2,település_bcs!$B:$IK,135,FALSE)</f>
        <v>171</v>
      </c>
      <c r="J16" s="637">
        <f>VLOOKUP(alap!$A$2,település_bcs!$B:$IK,136,FALSE)</f>
        <v>130</v>
      </c>
      <c r="K16" s="22"/>
      <c r="L16" s="33">
        <v>22</v>
      </c>
      <c r="M16" s="649">
        <v>13.7</v>
      </c>
      <c r="N16" s="649">
        <v>27.6</v>
      </c>
      <c r="O16" s="649">
        <v>35.6</v>
      </c>
      <c r="P16" s="649">
        <v>25.3</v>
      </c>
      <c r="Q16" s="649">
        <v>31.6</v>
      </c>
      <c r="R16" s="649">
        <v>39.700000000000003</v>
      </c>
      <c r="S16" s="649">
        <v>49.4</v>
      </c>
      <c r="T16" s="651">
        <v>48.7</v>
      </c>
      <c r="U16" s="29"/>
      <c r="V16" s="29"/>
      <c r="W16" s="29"/>
    </row>
    <row r="17" spans="1:23" x14ac:dyDescent="0.25">
      <c r="A17" s="36" t="s">
        <v>17</v>
      </c>
      <c r="B17" s="89">
        <f>VLOOKUP(alap!$A$2,település_bcs!$B:$IK,137,FALSE)</f>
        <v>62</v>
      </c>
      <c r="C17" s="91">
        <f>VLOOKUP(alap!$A$2,település_bcs!$B:$IK,138,FALSE)</f>
        <v>34</v>
      </c>
      <c r="D17" s="91">
        <f>VLOOKUP(alap!$A$2,település_bcs!$B:$IK,139,FALSE)</f>
        <v>31</v>
      </c>
      <c r="E17" s="91">
        <f>VLOOKUP(alap!$A$2,település_bcs!$B:$IK,140,FALSE)</f>
        <v>20</v>
      </c>
      <c r="F17" s="91">
        <f>VLOOKUP(alap!$A$2,település_bcs!$B:$IK,141,FALSE)</f>
        <v>23</v>
      </c>
      <c r="G17" s="91">
        <f>VLOOKUP(alap!$A$2,település_bcs!$B:$IK,142,FALSE)</f>
        <v>12</v>
      </c>
      <c r="H17" s="91">
        <f>VLOOKUP(alap!$A$2,település_bcs!$B:$IK,143,FALSE)</f>
        <v>8</v>
      </c>
      <c r="I17" s="91">
        <f>VLOOKUP(alap!$A$2,település_bcs!$B:$IK,144,FALSE)</f>
        <v>5</v>
      </c>
      <c r="J17" s="91">
        <f>VLOOKUP(alap!$A$2,település_bcs!$B:$IK,145,FALSE)</f>
        <v>0</v>
      </c>
      <c r="K17" s="22"/>
      <c r="L17" s="37">
        <v>69.8</v>
      </c>
      <c r="M17" s="34">
        <v>73.8</v>
      </c>
      <c r="N17" s="34">
        <v>53.1</v>
      </c>
      <c r="O17" s="34">
        <v>73.7</v>
      </c>
      <c r="P17" s="34">
        <v>60.9</v>
      </c>
      <c r="Q17" s="34">
        <v>75</v>
      </c>
      <c r="R17" s="34">
        <v>100</v>
      </c>
      <c r="S17" s="34">
        <v>100</v>
      </c>
      <c r="T17" s="32" t="s">
        <v>6</v>
      </c>
      <c r="U17" s="29"/>
      <c r="V17" s="29"/>
      <c r="W17" s="29"/>
    </row>
    <row r="18" spans="1:23" x14ac:dyDescent="0.25">
      <c r="A18" s="36" t="s">
        <v>20</v>
      </c>
      <c r="B18" s="89">
        <f>VLOOKUP(alap!$A$2,település_bcs!$B:$IK,164,FALSE)</f>
        <v>302</v>
      </c>
      <c r="C18" s="91">
        <f>VLOOKUP(alap!$A$2,település_bcs!$B:$IK,165,FALSE)</f>
        <v>293</v>
      </c>
      <c r="D18" s="91">
        <f>VLOOKUP(alap!$A$2,település_bcs!$B:$IK,166,FALSE)</f>
        <v>205</v>
      </c>
      <c r="E18" s="91">
        <f>VLOOKUP(alap!$A$2,település_bcs!$B:$IK,167,FALSE)</f>
        <v>168</v>
      </c>
      <c r="F18" s="91">
        <f>VLOOKUP(alap!$A$2,település_bcs!$B:$IK,168,FALSE)</f>
        <v>158</v>
      </c>
      <c r="G18" s="91">
        <f>VLOOKUP(alap!$A$2,település_bcs!$B:$IK,169,FALSE)</f>
        <v>151</v>
      </c>
      <c r="H18" s="91">
        <f>VLOOKUP(alap!$A$2,település_bcs!$B:$IK,170,FALSE)</f>
        <v>114</v>
      </c>
      <c r="I18" s="91">
        <f>VLOOKUP(alap!$A$2,település_bcs!$B:$IK,171,FALSE)</f>
        <v>133</v>
      </c>
      <c r="J18" s="91">
        <f>VLOOKUP(alap!$A$2,település_bcs!$B:$IK,172,FALSE)</f>
        <v>115</v>
      </c>
      <c r="K18" s="22"/>
      <c r="L18" s="37">
        <v>26.8</v>
      </c>
      <c r="M18" s="34">
        <v>30.2</v>
      </c>
      <c r="N18" s="34">
        <v>27.6</v>
      </c>
      <c r="O18" s="34">
        <v>35.700000000000003</v>
      </c>
      <c r="P18" s="34">
        <v>25.7</v>
      </c>
      <c r="Q18" s="34">
        <v>41.3</v>
      </c>
      <c r="R18" s="34">
        <v>31.6</v>
      </c>
      <c r="S18" s="34">
        <v>34.799999999999997</v>
      </c>
      <c r="T18" s="32">
        <v>24.8</v>
      </c>
      <c r="U18" s="29"/>
      <c r="V18" s="29"/>
      <c r="W18" s="29"/>
    </row>
    <row r="19" spans="1:23" x14ac:dyDescent="0.25">
      <c r="A19" s="36" t="s">
        <v>21</v>
      </c>
      <c r="B19" s="89">
        <f>VLOOKUP(alap!$A$2,település_bcs!$B:$IK,173,FALSE)</f>
        <v>20</v>
      </c>
      <c r="C19" s="91">
        <f>VLOOKUP(alap!$A$2,település_bcs!$B:$IK,174,FALSE)</f>
        <v>30</v>
      </c>
      <c r="D19" s="91">
        <f>VLOOKUP(alap!$A$2,település_bcs!$B:$IK,175,FALSE)</f>
        <v>30</v>
      </c>
      <c r="E19" s="91">
        <f>VLOOKUP(alap!$A$2,település_bcs!$B:$IK,176,FALSE)</f>
        <v>16</v>
      </c>
      <c r="F19" s="91">
        <f>VLOOKUP(alap!$A$2,település_bcs!$B:$IK,177,FALSE)</f>
        <v>29</v>
      </c>
      <c r="G19" s="91">
        <f>VLOOKUP(alap!$A$2,település_bcs!$B:$IK,178,FALSE)</f>
        <v>26</v>
      </c>
      <c r="H19" s="91">
        <f>VLOOKUP(alap!$A$2,település_bcs!$B:$IK,179,FALSE)</f>
        <v>3</v>
      </c>
      <c r="I19" s="91">
        <f>VLOOKUP(alap!$A$2,település_bcs!$B:$IK,180,FALSE)</f>
        <v>11</v>
      </c>
      <c r="J19" s="91">
        <f>VLOOKUP(alap!$A$2,település_bcs!$B:$IK,181,FALSE)</f>
        <v>1</v>
      </c>
      <c r="K19" s="22"/>
      <c r="L19" s="37">
        <v>85.7</v>
      </c>
      <c r="M19" s="34">
        <v>87.5</v>
      </c>
      <c r="N19" s="34">
        <v>78.400000000000006</v>
      </c>
      <c r="O19" s="34">
        <v>79.400000000000006</v>
      </c>
      <c r="P19" s="34">
        <v>84.8</v>
      </c>
      <c r="Q19" s="34">
        <v>90.6</v>
      </c>
      <c r="R19" s="34">
        <v>81.8</v>
      </c>
      <c r="S19" s="34">
        <v>91.7</v>
      </c>
      <c r="T19" s="32">
        <v>100</v>
      </c>
      <c r="U19" s="29"/>
      <c r="V19" s="29"/>
      <c r="W19" s="29"/>
    </row>
    <row r="20" spans="1:23" x14ac:dyDescent="0.25">
      <c r="A20" s="36" t="s">
        <v>22</v>
      </c>
      <c r="B20" s="89">
        <f>VLOOKUP(alap!$A$2,település_bcs!$B:$IK,182,FALSE)</f>
        <v>20</v>
      </c>
      <c r="C20" s="91">
        <f>VLOOKUP(alap!$A$2,település_bcs!$B:$IK,183,FALSE)</f>
        <v>25</v>
      </c>
      <c r="D20" s="91">
        <f>VLOOKUP(alap!$A$2,település_bcs!$B:$IK,184,FALSE)</f>
        <v>15</v>
      </c>
      <c r="E20" s="91">
        <f>VLOOKUP(alap!$A$2,település_bcs!$B:$IK,185,FALSE)</f>
        <v>18</v>
      </c>
      <c r="F20" s="91">
        <f>VLOOKUP(alap!$A$2,település_bcs!$B:$IK,186,FALSE)</f>
        <v>29</v>
      </c>
      <c r="G20" s="91">
        <f>VLOOKUP(alap!$A$2,település_bcs!$B:$IK,187,FALSE)</f>
        <v>22</v>
      </c>
      <c r="H20" s="91">
        <f>VLOOKUP(alap!$A$2,település_bcs!$B:$IK,188,FALSE)</f>
        <v>25</v>
      </c>
      <c r="I20" s="91">
        <f>VLOOKUP(alap!$A$2,település_bcs!$B:$IK,189,FALSE)</f>
        <v>44</v>
      </c>
      <c r="J20" s="91">
        <f>VLOOKUP(alap!$A$2,település_bcs!$B:$IK,190,FALSE)</f>
        <v>18</v>
      </c>
      <c r="K20" s="22"/>
      <c r="L20" s="37">
        <v>71.400000000000006</v>
      </c>
      <c r="M20" s="34">
        <v>92.3</v>
      </c>
      <c r="N20" s="34">
        <v>82.4</v>
      </c>
      <c r="O20" s="34">
        <v>68.400000000000006</v>
      </c>
      <c r="P20" s="34">
        <v>78.8</v>
      </c>
      <c r="Q20" s="34">
        <v>95.2</v>
      </c>
      <c r="R20" s="34">
        <v>88.5</v>
      </c>
      <c r="S20" s="34">
        <v>93.3</v>
      </c>
      <c r="T20" s="32">
        <v>78.900000000000006</v>
      </c>
      <c r="U20" s="29"/>
      <c r="V20" s="29"/>
      <c r="W20" s="29"/>
    </row>
    <row r="21" spans="1:23" x14ac:dyDescent="0.25">
      <c r="A21" s="855" t="s">
        <v>23</v>
      </c>
      <c r="B21" s="89">
        <f>VLOOKUP(alap!$A$2,település_bcs!$B:$IK,191,FALSE)</f>
        <v>4884</v>
      </c>
      <c r="C21" s="91">
        <f>VLOOKUP(alap!$A$2,település_bcs!$B:$IK,192,FALSE)</f>
        <v>4337</v>
      </c>
      <c r="D21" s="91">
        <f>VLOOKUP(alap!$A$2,település_bcs!$B:$IK,193,FALSE)</f>
        <v>4005</v>
      </c>
      <c r="E21" s="91">
        <f>VLOOKUP(alap!$A$2,település_bcs!$B:$IK,194,FALSE)</f>
        <v>3255</v>
      </c>
      <c r="F21" s="91">
        <f>VLOOKUP(alap!$A$2,település_bcs!$B:$IK,195,FALSE)</f>
        <v>3308</v>
      </c>
      <c r="G21" s="91">
        <f>VLOOKUP(alap!$A$2,település_bcs!$B:$IK,196,FALSE)</f>
        <v>2815</v>
      </c>
      <c r="H21" s="91">
        <f>VLOOKUP(alap!$A$2,település_bcs!$B:$IK,197,FALSE)</f>
        <v>2160</v>
      </c>
      <c r="I21" s="91">
        <f>VLOOKUP(alap!$A$2,település_bcs!$B:$IK,198,FALSE)</f>
        <v>2236</v>
      </c>
      <c r="J21" s="91">
        <f>VLOOKUP(alap!$A$2,település_bcs!$B:$IK,199,FALSE)</f>
        <v>1561</v>
      </c>
      <c r="K21" s="22"/>
      <c r="L21" s="37">
        <v>43.1</v>
      </c>
      <c r="M21" s="34">
        <v>40</v>
      </c>
      <c r="N21" s="34">
        <v>41.2</v>
      </c>
      <c r="O21" s="34">
        <v>46.5</v>
      </c>
      <c r="P21" s="34">
        <v>45.9</v>
      </c>
      <c r="Q21" s="34">
        <v>51.2</v>
      </c>
      <c r="R21" s="34">
        <v>53.4</v>
      </c>
      <c r="S21" s="34">
        <v>56.6</v>
      </c>
      <c r="T21" s="32">
        <v>58</v>
      </c>
      <c r="U21" s="29"/>
      <c r="V21" s="29"/>
      <c r="W21" s="29"/>
    </row>
    <row r="22" spans="1:23" ht="16.5" thickBot="1" x14ac:dyDescent="0.3">
      <c r="A22" s="611" t="s">
        <v>27</v>
      </c>
      <c r="B22" s="93">
        <f>VLOOKUP(alap!$A$2,település_bcs!$B:$IK,227,FALSE)</f>
        <v>2080</v>
      </c>
      <c r="C22" s="635">
        <f>VLOOKUP(alap!$A$2,település_bcs!$B:$IK,228,FALSE)</f>
        <v>2023</v>
      </c>
      <c r="D22" s="635">
        <f>VLOOKUP(alap!$A$2,település_bcs!$B:$IK,229,FALSE)</f>
        <v>1872</v>
      </c>
      <c r="E22" s="635">
        <f>VLOOKUP(alap!$A$2,település_bcs!$B:$IK,230,FALSE)</f>
        <v>1584</v>
      </c>
      <c r="F22" s="635">
        <f>VLOOKUP(alap!$A$2,település_bcs!$B:$IK,231,FALSE)</f>
        <v>1200</v>
      </c>
      <c r="G22" s="635">
        <f>VLOOKUP(alap!$A$2,település_bcs!$B:$IK,232,FALSE)</f>
        <v>1167</v>
      </c>
      <c r="H22" s="635">
        <f>VLOOKUP(alap!$A$2,település_bcs!$B:$IK,233,FALSE)</f>
        <v>1074</v>
      </c>
      <c r="I22" s="635">
        <f>VLOOKUP(alap!$A$2,település_bcs!$B:$IK,234,FALSE)</f>
        <v>1191</v>
      </c>
      <c r="J22" s="635">
        <f>VLOOKUP(alap!$A$2,település_bcs!$B:$IK,235,FALSE)</f>
        <v>1146</v>
      </c>
      <c r="K22" s="22"/>
      <c r="L22" s="44">
        <v>59.8</v>
      </c>
      <c r="M22" s="45">
        <v>56.2</v>
      </c>
      <c r="N22" s="45">
        <v>51.6</v>
      </c>
      <c r="O22" s="45">
        <v>64.2</v>
      </c>
      <c r="P22" s="45">
        <v>72.2</v>
      </c>
      <c r="Q22" s="45">
        <v>76.099999999999994</v>
      </c>
      <c r="R22" s="45">
        <v>80.400000000000006</v>
      </c>
      <c r="S22" s="45">
        <v>85.8</v>
      </c>
      <c r="T22" s="46">
        <v>78.5</v>
      </c>
      <c r="U22" s="29"/>
      <c r="V22" s="29"/>
      <c r="W22" s="29"/>
    </row>
    <row r="23" spans="1:23" ht="16.5" thickBot="1" x14ac:dyDescent="0.3">
      <c r="A23" s="612" t="s">
        <v>28</v>
      </c>
      <c r="B23" s="656">
        <f>VLOOKUP(alap!$A$2,település_bcs!$B:$IK,236,FALSE)</f>
        <v>8053</v>
      </c>
      <c r="C23" s="635">
        <f>VLOOKUP(alap!$A$2,település_bcs!$B:$IK,237,FALSE)</f>
        <v>8453</v>
      </c>
      <c r="D23" s="635">
        <f>VLOOKUP(alap!$A$2,település_bcs!$B:$IK,238,FALSE)</f>
        <v>7186</v>
      </c>
      <c r="E23" s="635">
        <f>VLOOKUP(alap!$A$2,település_bcs!$B:$IK,239,FALSE)</f>
        <v>5772</v>
      </c>
      <c r="F23" s="635">
        <f>VLOOKUP(alap!$A$2,település_bcs!$B:$IK,240,FALSE)</f>
        <v>5677</v>
      </c>
      <c r="G23" s="635">
        <f>VLOOKUP(alap!$A$2,település_bcs!$B:$IK,241,FALSE)</f>
        <v>5065</v>
      </c>
      <c r="H23" s="635">
        <f>VLOOKUP(alap!$A$2,település_bcs!$B:$IK,242,FALSE)</f>
        <v>4236</v>
      </c>
      <c r="I23" s="635">
        <f>VLOOKUP(alap!$A$2,település_bcs!$B:$IK,243,FALSE)</f>
        <v>4562</v>
      </c>
      <c r="J23" s="635">
        <f>VLOOKUP(alap!$A$2,település_bcs!$B:$IK,244,FALSE)</f>
        <v>3830</v>
      </c>
      <c r="K23" s="22"/>
      <c r="L23" s="49">
        <v>54.4</v>
      </c>
      <c r="M23" s="50">
        <v>47.4</v>
      </c>
      <c r="N23" s="50">
        <v>46.1</v>
      </c>
      <c r="O23" s="50">
        <v>59</v>
      </c>
      <c r="P23" s="50">
        <v>59.1</v>
      </c>
      <c r="Q23" s="50">
        <v>68.5</v>
      </c>
      <c r="R23" s="50">
        <v>67.5</v>
      </c>
      <c r="S23" s="50">
        <v>71.2</v>
      </c>
      <c r="T23" s="48">
        <v>74.7</v>
      </c>
      <c r="U23" s="29"/>
      <c r="V23" s="29"/>
      <c r="W23" s="29"/>
    </row>
    <row r="24" spans="1:23" ht="38.25" customHeight="1" thickBot="1" x14ac:dyDescent="0.3">
      <c r="A24" s="859" t="s">
        <v>1191</v>
      </c>
      <c r="B24" s="879">
        <v>3104.9027621412374</v>
      </c>
      <c r="C24" s="879">
        <v>3280.3234919747911</v>
      </c>
      <c r="D24" s="879">
        <v>2802.018264199206</v>
      </c>
      <c r="E24" s="879">
        <v>2260.9227008860375</v>
      </c>
      <c r="F24" s="879">
        <v>2229.9</v>
      </c>
      <c r="G24" s="879">
        <v>1994.1</v>
      </c>
      <c r="H24" s="879">
        <v>1669.7610065868053</v>
      </c>
      <c r="I24" s="879">
        <v>1802.3855335053279</v>
      </c>
      <c r="J24" s="879">
        <v>1512.0112117802648</v>
      </c>
      <c r="K24" s="22"/>
      <c r="L24" s="68"/>
      <c r="M24" s="69"/>
      <c r="N24" s="69"/>
      <c r="O24" s="69"/>
      <c r="P24" s="69"/>
      <c r="Q24" s="71"/>
      <c r="R24" s="71"/>
      <c r="S24" s="71"/>
      <c r="T24" s="70"/>
      <c r="U24" s="29"/>
      <c r="V24" s="29"/>
      <c r="W24" s="29"/>
    </row>
    <row r="25" spans="1:23" ht="40.5" customHeight="1" x14ac:dyDescent="0.25">
      <c r="A25" s="899" t="s">
        <v>38</v>
      </c>
      <c r="B25" s="899"/>
      <c r="C25" s="899"/>
      <c r="D25" s="899"/>
      <c r="E25" s="899"/>
      <c r="F25" s="899"/>
      <c r="G25" s="899"/>
      <c r="H25" s="899"/>
      <c r="I25" s="899"/>
      <c r="J25" s="899"/>
      <c r="L25" s="75"/>
      <c r="M25" s="75"/>
      <c r="N25" s="75"/>
      <c r="O25" s="75"/>
      <c r="P25" s="75"/>
      <c r="Q25" s="75"/>
      <c r="R25" s="75"/>
      <c r="S25" s="75"/>
      <c r="T25" s="75"/>
      <c r="U25" s="29"/>
      <c r="V25" s="29"/>
    </row>
    <row r="26" spans="1:23" s="437" customFormat="1" x14ac:dyDescent="0.25"/>
    <row r="27" spans="1:23" s="437" customFormat="1" x14ac:dyDescent="0.25"/>
    <row r="28" spans="1:23" s="437" customFormat="1" x14ac:dyDescent="0.25"/>
    <row r="29" spans="1:23" s="437" customFormat="1" x14ac:dyDescent="0.25"/>
    <row r="30" spans="1:23" s="437" customFormat="1" x14ac:dyDescent="0.25"/>
    <row r="31" spans="1:23" s="437" customFormat="1" x14ac:dyDescent="0.25"/>
    <row r="32" spans="1:23" s="437" customFormat="1" x14ac:dyDescent="0.25"/>
    <row r="33" s="437" customFormat="1" x14ac:dyDescent="0.25"/>
    <row r="34" s="437" customFormat="1" x14ac:dyDescent="0.25"/>
    <row r="35" s="437" customFormat="1" x14ac:dyDescent="0.25"/>
    <row r="36" s="437" customFormat="1" x14ac:dyDescent="0.25"/>
    <row r="37" s="437" customFormat="1" x14ac:dyDescent="0.25"/>
    <row r="38" s="437" customFormat="1" x14ac:dyDescent="0.25"/>
    <row r="39" s="437" customFormat="1" x14ac:dyDescent="0.25"/>
    <row r="40" s="437" customFormat="1" x14ac:dyDescent="0.25"/>
    <row r="41" s="437" customFormat="1" x14ac:dyDescent="0.25"/>
    <row r="42" s="437" customFormat="1" x14ac:dyDescent="0.25"/>
    <row r="43" s="437" customFormat="1" x14ac:dyDescent="0.25"/>
    <row r="44" s="437" customFormat="1" x14ac:dyDescent="0.25"/>
    <row r="45" s="437" customFormat="1" x14ac:dyDescent="0.25"/>
    <row r="46" s="437" customFormat="1" x14ac:dyDescent="0.25"/>
    <row r="47" s="437" customFormat="1" x14ac:dyDescent="0.25"/>
    <row r="48" s="437" customFormat="1" x14ac:dyDescent="0.25"/>
    <row r="49" s="437" customFormat="1" x14ac:dyDescent="0.25"/>
    <row r="50" s="437" customFormat="1" x14ac:dyDescent="0.25"/>
    <row r="51" s="437" customFormat="1" x14ac:dyDescent="0.25"/>
    <row r="52" s="437" customFormat="1" x14ac:dyDescent="0.25"/>
    <row r="53" s="437" customFormat="1" x14ac:dyDescent="0.25"/>
    <row r="54" s="437" customFormat="1" x14ac:dyDescent="0.25"/>
    <row r="55" s="437" customFormat="1" x14ac:dyDescent="0.25"/>
    <row r="56" s="437" customFormat="1" x14ac:dyDescent="0.25"/>
    <row r="57" s="437" customFormat="1" x14ac:dyDescent="0.25"/>
    <row r="58" s="437" customFormat="1" x14ac:dyDescent="0.25"/>
    <row r="59" s="437" customFormat="1" x14ac:dyDescent="0.25"/>
    <row r="60" s="437" customFormat="1" x14ac:dyDescent="0.25"/>
    <row r="61" s="437" customFormat="1" x14ac:dyDescent="0.25"/>
    <row r="62" s="437" customFormat="1" x14ac:dyDescent="0.25"/>
    <row r="63" s="437" customFormat="1" x14ac:dyDescent="0.25"/>
    <row r="64" s="437" customFormat="1" x14ac:dyDescent="0.25"/>
    <row r="104" spans="1:3" x14ac:dyDescent="0.25">
      <c r="A104" s="2" t="s">
        <v>1072</v>
      </c>
      <c r="B104" s="2" t="s">
        <v>1072</v>
      </c>
      <c r="C104" s="2" t="s">
        <v>1072</v>
      </c>
    </row>
  </sheetData>
  <mergeCells count="5">
    <mergeCell ref="A1:J1"/>
    <mergeCell ref="A25:J25"/>
    <mergeCell ref="L1:T1"/>
    <mergeCell ref="B2:J2"/>
    <mergeCell ref="L2:T2"/>
  </mergeCells>
  <conditionalFormatting sqref="C24:J24">
    <cfRule type="expression" dxfId="5223" priority="6094">
      <formula>B24="-"</formula>
    </cfRule>
    <cfRule type="cellIs" dxfId="5222" priority="6095" operator="equal">
      <formula>"-"</formula>
    </cfRule>
    <cfRule type="cellIs" dxfId="5221" priority="6939" operator="equal">
      <formula>B24</formula>
    </cfRule>
    <cfRule type="cellIs" dxfId="5220" priority="6940" operator="greaterThan">
      <formula>B24</formula>
    </cfRule>
    <cfRule type="cellIs" dxfId="5219" priority="6941" operator="lessThan">
      <formula>B24</formula>
    </cfRule>
  </conditionalFormatting>
  <conditionalFormatting sqref="M6">
    <cfRule type="expression" dxfId="5218" priority="4486">
      <formula>L6="-"</formula>
    </cfRule>
    <cfRule type="cellIs" dxfId="5217" priority="4487" operator="equal">
      <formula>"-"</formula>
    </cfRule>
    <cfRule type="cellIs" dxfId="5216" priority="4488" operator="equal">
      <formula>L6</formula>
    </cfRule>
    <cfRule type="cellIs" dxfId="5215" priority="4489" operator="greaterThan">
      <formula>L6</formula>
    </cfRule>
    <cfRule type="cellIs" dxfId="5214" priority="4490" operator="lessThan">
      <formula>L6</formula>
    </cfRule>
  </conditionalFormatting>
  <conditionalFormatting sqref="M7">
    <cfRule type="expression" dxfId="5213" priority="4481">
      <formula>L7="-"</formula>
    </cfRule>
    <cfRule type="cellIs" dxfId="5212" priority="4482" operator="equal">
      <formula>"-"</formula>
    </cfRule>
    <cfRule type="cellIs" dxfId="5211" priority="4483" operator="equal">
      <formula>L7</formula>
    </cfRule>
    <cfRule type="cellIs" dxfId="5210" priority="4484" operator="greaterThan">
      <formula>L7</formula>
    </cfRule>
    <cfRule type="cellIs" dxfId="5209" priority="4485" operator="lessThan">
      <formula>L7</formula>
    </cfRule>
  </conditionalFormatting>
  <conditionalFormatting sqref="M8">
    <cfRule type="expression" dxfId="5208" priority="4476">
      <formula>L8="-"</formula>
    </cfRule>
    <cfRule type="cellIs" dxfId="5207" priority="4477" operator="equal">
      <formula>"-"</formula>
    </cfRule>
    <cfRule type="cellIs" dxfId="5206" priority="4478" operator="equal">
      <formula>L8</formula>
    </cfRule>
    <cfRule type="cellIs" dxfId="5205" priority="4479" operator="greaterThan">
      <formula>L8</formula>
    </cfRule>
    <cfRule type="cellIs" dxfId="5204" priority="4480" operator="lessThan">
      <formula>L8</formula>
    </cfRule>
  </conditionalFormatting>
  <conditionalFormatting sqref="M9">
    <cfRule type="expression" dxfId="5203" priority="4471">
      <formula>L9="-"</formula>
    </cfRule>
    <cfRule type="cellIs" dxfId="5202" priority="4472" operator="equal">
      <formula>"-"</formula>
    </cfRule>
    <cfRule type="cellIs" dxfId="5201" priority="4473" operator="equal">
      <formula>L9</formula>
    </cfRule>
    <cfRule type="cellIs" dxfId="5200" priority="4474" operator="greaterThan">
      <formula>L9</formula>
    </cfRule>
    <cfRule type="cellIs" dxfId="5199" priority="4475" operator="lessThan">
      <formula>L9</formula>
    </cfRule>
  </conditionalFormatting>
  <conditionalFormatting sqref="M10">
    <cfRule type="expression" dxfId="5198" priority="4466">
      <formula>L10="-"</formula>
    </cfRule>
    <cfRule type="cellIs" dxfId="5197" priority="4467" operator="equal">
      <formula>"-"</formula>
    </cfRule>
    <cfRule type="cellIs" dxfId="5196" priority="4468" operator="equal">
      <formula>L10</formula>
    </cfRule>
    <cfRule type="cellIs" dxfId="5195" priority="4469" operator="greaterThan">
      <formula>L10</formula>
    </cfRule>
    <cfRule type="cellIs" dxfId="5194" priority="4470" operator="lessThan">
      <formula>L10</formula>
    </cfRule>
  </conditionalFormatting>
  <conditionalFormatting sqref="M11">
    <cfRule type="expression" dxfId="5193" priority="4461">
      <formula>L11="-"</formula>
    </cfRule>
    <cfRule type="cellIs" dxfId="5192" priority="4462" operator="equal">
      <formula>"-"</formula>
    </cfRule>
    <cfRule type="cellIs" dxfId="5191" priority="4463" operator="equal">
      <formula>L11</formula>
    </cfRule>
    <cfRule type="cellIs" dxfId="5190" priority="4464" operator="greaterThan">
      <formula>L11</formula>
    </cfRule>
    <cfRule type="cellIs" dxfId="5189" priority="4465" operator="lessThan">
      <formula>L11</formula>
    </cfRule>
  </conditionalFormatting>
  <conditionalFormatting sqref="M12">
    <cfRule type="expression" dxfId="5188" priority="4451">
      <formula>L12="-"</formula>
    </cfRule>
    <cfRule type="cellIs" dxfId="5187" priority="4452" operator="equal">
      <formula>"-"</formula>
    </cfRule>
    <cfRule type="cellIs" dxfId="5186" priority="4453" operator="equal">
      <formula>L12</formula>
    </cfRule>
    <cfRule type="cellIs" dxfId="5185" priority="4454" operator="greaterThan">
      <formula>L12</formula>
    </cfRule>
    <cfRule type="cellIs" dxfId="5184" priority="4455" operator="lessThan">
      <formula>L12</formula>
    </cfRule>
  </conditionalFormatting>
  <conditionalFormatting sqref="M13">
    <cfRule type="expression" dxfId="5183" priority="4446">
      <formula>L13="-"</formula>
    </cfRule>
    <cfRule type="cellIs" dxfId="5182" priority="4447" operator="equal">
      <formula>"-"</formula>
    </cfRule>
    <cfRule type="cellIs" dxfId="5181" priority="4448" operator="equal">
      <formula>L13</formula>
    </cfRule>
    <cfRule type="cellIs" dxfId="5180" priority="4449" operator="greaterThan">
      <formula>L13</formula>
    </cfRule>
    <cfRule type="cellIs" dxfId="5179" priority="4450" operator="lessThan">
      <formula>L13</formula>
    </cfRule>
  </conditionalFormatting>
  <conditionalFormatting sqref="M14">
    <cfRule type="expression" dxfId="5178" priority="4441">
      <formula>L14="-"</formula>
    </cfRule>
    <cfRule type="cellIs" dxfId="5177" priority="4442" operator="equal">
      <formula>"-"</formula>
    </cfRule>
    <cfRule type="cellIs" dxfId="5176" priority="4443" operator="equal">
      <formula>L14</formula>
    </cfRule>
    <cfRule type="cellIs" dxfId="5175" priority="4444" operator="greaterThan">
      <formula>L14</formula>
    </cfRule>
    <cfRule type="cellIs" dxfId="5174" priority="4445" operator="lessThan">
      <formula>L14</formula>
    </cfRule>
  </conditionalFormatting>
  <conditionalFormatting sqref="M15">
    <cfRule type="expression" dxfId="5173" priority="4436">
      <formula>L15="-"</formula>
    </cfRule>
    <cfRule type="cellIs" dxfId="5172" priority="4437" operator="equal">
      <formula>"-"</formula>
    </cfRule>
    <cfRule type="cellIs" dxfId="5171" priority="4438" operator="equal">
      <formula>L15</formula>
    </cfRule>
    <cfRule type="cellIs" dxfId="5170" priority="4439" operator="greaterThan">
      <formula>L15</formula>
    </cfRule>
    <cfRule type="cellIs" dxfId="5169" priority="4440" operator="lessThan">
      <formula>L15</formula>
    </cfRule>
  </conditionalFormatting>
  <conditionalFormatting sqref="M16">
    <cfRule type="expression" dxfId="5168" priority="4431">
      <formula>L16="-"</formula>
    </cfRule>
    <cfRule type="cellIs" dxfId="5167" priority="4432" operator="equal">
      <formula>"-"</formula>
    </cfRule>
    <cfRule type="cellIs" dxfId="5166" priority="4433" operator="equal">
      <formula>L16</formula>
    </cfRule>
    <cfRule type="cellIs" dxfId="5165" priority="4434" operator="greaterThan">
      <formula>L16</formula>
    </cfRule>
    <cfRule type="cellIs" dxfId="5164" priority="4435" operator="lessThan">
      <formula>L16</formula>
    </cfRule>
  </conditionalFormatting>
  <conditionalFormatting sqref="M17">
    <cfRule type="expression" dxfId="5163" priority="4426">
      <formula>L17="-"</formula>
    </cfRule>
    <cfRule type="cellIs" dxfId="5162" priority="4427" operator="equal">
      <formula>"-"</formula>
    </cfRule>
    <cfRule type="cellIs" dxfId="5161" priority="4428" operator="equal">
      <formula>L17</formula>
    </cfRule>
    <cfRule type="cellIs" dxfId="5160" priority="4429" operator="greaterThan">
      <formula>L17</formula>
    </cfRule>
    <cfRule type="cellIs" dxfId="5159" priority="4430" operator="lessThan">
      <formula>L17</formula>
    </cfRule>
  </conditionalFormatting>
  <conditionalFormatting sqref="M18">
    <cfRule type="expression" dxfId="5158" priority="4411">
      <formula>L18="-"</formula>
    </cfRule>
    <cfRule type="cellIs" dxfId="5157" priority="4412" operator="equal">
      <formula>"-"</formula>
    </cfRule>
    <cfRule type="cellIs" dxfId="5156" priority="4413" operator="equal">
      <formula>L18</formula>
    </cfRule>
    <cfRule type="cellIs" dxfId="5155" priority="4414" operator="greaterThan">
      <formula>L18</formula>
    </cfRule>
    <cfRule type="cellIs" dxfId="5154" priority="4415" operator="lessThan">
      <formula>L18</formula>
    </cfRule>
  </conditionalFormatting>
  <conditionalFormatting sqref="M19">
    <cfRule type="expression" dxfId="5153" priority="4406">
      <formula>L19="-"</formula>
    </cfRule>
    <cfRule type="cellIs" dxfId="5152" priority="4407" operator="equal">
      <formula>"-"</formula>
    </cfRule>
    <cfRule type="cellIs" dxfId="5151" priority="4408" operator="equal">
      <formula>L19</formula>
    </cfRule>
    <cfRule type="cellIs" dxfId="5150" priority="4409" operator="greaterThan">
      <formula>L19</formula>
    </cfRule>
    <cfRule type="cellIs" dxfId="5149" priority="4410" operator="lessThan">
      <formula>L19</formula>
    </cfRule>
  </conditionalFormatting>
  <conditionalFormatting sqref="M20">
    <cfRule type="expression" dxfId="5148" priority="4401">
      <formula>L20="-"</formula>
    </cfRule>
    <cfRule type="cellIs" dxfId="5147" priority="4402" operator="equal">
      <formula>"-"</formula>
    </cfRule>
    <cfRule type="cellIs" dxfId="5146" priority="4403" operator="equal">
      <formula>L20</formula>
    </cfRule>
    <cfRule type="cellIs" dxfId="5145" priority="4404" operator="greaterThan">
      <formula>L20</formula>
    </cfRule>
    <cfRule type="cellIs" dxfId="5144" priority="4405" operator="lessThan">
      <formula>L20</formula>
    </cfRule>
  </conditionalFormatting>
  <conditionalFormatting sqref="M21">
    <cfRule type="expression" dxfId="5143" priority="4396">
      <formula>L21="-"</formula>
    </cfRule>
    <cfRule type="cellIs" dxfId="5142" priority="4397" operator="equal">
      <formula>"-"</formula>
    </cfRule>
    <cfRule type="cellIs" dxfId="5141" priority="4398" operator="equal">
      <formula>L21</formula>
    </cfRule>
    <cfRule type="cellIs" dxfId="5140" priority="4399" operator="greaterThan">
      <formula>L21</formula>
    </cfRule>
    <cfRule type="cellIs" dxfId="5139" priority="4400" operator="lessThan">
      <formula>L21</formula>
    </cfRule>
  </conditionalFormatting>
  <conditionalFormatting sqref="M22">
    <cfRule type="expression" dxfId="5138" priority="4376">
      <formula>L22="-"</formula>
    </cfRule>
    <cfRule type="cellIs" dxfId="5137" priority="4377" operator="equal">
      <formula>"-"</formula>
    </cfRule>
    <cfRule type="cellIs" dxfId="5136" priority="4378" operator="equal">
      <formula>L22</formula>
    </cfRule>
    <cfRule type="cellIs" dxfId="5135" priority="4379" operator="greaterThan">
      <formula>L22</formula>
    </cfRule>
    <cfRule type="cellIs" dxfId="5134" priority="4380" operator="lessThan">
      <formula>L22</formula>
    </cfRule>
  </conditionalFormatting>
  <conditionalFormatting sqref="M23">
    <cfRule type="expression" dxfId="5133" priority="4371">
      <formula>L23="-"</formula>
    </cfRule>
    <cfRule type="cellIs" dxfId="5132" priority="4372" operator="equal">
      <formula>"-"</formula>
    </cfRule>
    <cfRule type="cellIs" dxfId="5131" priority="4373" operator="equal">
      <formula>L23</formula>
    </cfRule>
    <cfRule type="cellIs" dxfId="5130" priority="4374" operator="greaterThan">
      <formula>L23</formula>
    </cfRule>
    <cfRule type="cellIs" dxfId="5129" priority="4375" operator="lessThan">
      <formula>L23</formula>
    </cfRule>
  </conditionalFormatting>
  <conditionalFormatting sqref="N6">
    <cfRule type="expression" dxfId="5128" priority="4351">
      <formula>M6="-"</formula>
    </cfRule>
    <cfRule type="cellIs" dxfId="5127" priority="4352" operator="equal">
      <formula>"-"</formula>
    </cfRule>
    <cfRule type="cellIs" dxfId="5126" priority="4353" operator="equal">
      <formula>M6</formula>
    </cfRule>
    <cfRule type="cellIs" dxfId="5125" priority="4354" operator="greaterThan">
      <formula>M6</formula>
    </cfRule>
    <cfRule type="cellIs" dxfId="5124" priority="4355" operator="lessThan">
      <formula>M6</formula>
    </cfRule>
  </conditionalFormatting>
  <conditionalFormatting sqref="N7">
    <cfRule type="expression" dxfId="5123" priority="4346">
      <formula>M7="-"</formula>
    </cfRule>
    <cfRule type="cellIs" dxfId="5122" priority="4347" operator="equal">
      <formula>"-"</formula>
    </cfRule>
    <cfRule type="cellIs" dxfId="5121" priority="4348" operator="equal">
      <formula>M7</formula>
    </cfRule>
    <cfRule type="cellIs" dxfId="5120" priority="4349" operator="greaterThan">
      <formula>M7</formula>
    </cfRule>
    <cfRule type="cellIs" dxfId="5119" priority="4350" operator="lessThan">
      <formula>M7</formula>
    </cfRule>
  </conditionalFormatting>
  <conditionalFormatting sqref="N8">
    <cfRule type="expression" dxfId="5118" priority="4341">
      <formula>M8="-"</formula>
    </cfRule>
    <cfRule type="cellIs" dxfId="5117" priority="4342" operator="equal">
      <formula>"-"</formula>
    </cfRule>
    <cfRule type="cellIs" dxfId="5116" priority="4343" operator="equal">
      <formula>M8</formula>
    </cfRule>
    <cfRule type="cellIs" dxfId="5115" priority="4344" operator="greaterThan">
      <formula>M8</formula>
    </cfRule>
    <cfRule type="cellIs" dxfId="5114" priority="4345" operator="lessThan">
      <formula>M8</formula>
    </cfRule>
  </conditionalFormatting>
  <conditionalFormatting sqref="N9">
    <cfRule type="expression" dxfId="5113" priority="4336">
      <formula>M9="-"</formula>
    </cfRule>
    <cfRule type="cellIs" dxfId="5112" priority="4337" operator="equal">
      <formula>"-"</formula>
    </cfRule>
    <cfRule type="cellIs" dxfId="5111" priority="4338" operator="equal">
      <formula>M9</formula>
    </cfRule>
    <cfRule type="cellIs" dxfId="5110" priority="4339" operator="greaterThan">
      <formula>M9</formula>
    </cfRule>
    <cfRule type="cellIs" dxfId="5109" priority="4340" operator="lessThan">
      <formula>M9</formula>
    </cfRule>
  </conditionalFormatting>
  <conditionalFormatting sqref="N10">
    <cfRule type="expression" dxfId="5108" priority="4331">
      <formula>M10="-"</formula>
    </cfRule>
    <cfRule type="cellIs" dxfId="5107" priority="4332" operator="equal">
      <formula>"-"</formula>
    </cfRule>
    <cfRule type="cellIs" dxfId="5106" priority="4333" operator="equal">
      <formula>M10</formula>
    </cfRule>
    <cfRule type="cellIs" dxfId="5105" priority="4334" operator="greaterThan">
      <formula>M10</formula>
    </cfRule>
    <cfRule type="cellIs" dxfId="5104" priority="4335" operator="lessThan">
      <formula>M10</formula>
    </cfRule>
  </conditionalFormatting>
  <conditionalFormatting sqref="N11">
    <cfRule type="expression" dxfId="5103" priority="4326">
      <formula>M11="-"</formula>
    </cfRule>
    <cfRule type="cellIs" dxfId="5102" priority="4327" operator="equal">
      <formula>"-"</formula>
    </cfRule>
    <cfRule type="cellIs" dxfId="5101" priority="4328" operator="equal">
      <formula>M11</formula>
    </cfRule>
    <cfRule type="cellIs" dxfId="5100" priority="4329" operator="greaterThan">
      <formula>M11</formula>
    </cfRule>
    <cfRule type="cellIs" dxfId="5099" priority="4330" operator="lessThan">
      <formula>M11</formula>
    </cfRule>
  </conditionalFormatting>
  <conditionalFormatting sqref="N12">
    <cfRule type="expression" dxfId="5098" priority="4316">
      <formula>M12="-"</formula>
    </cfRule>
    <cfRule type="cellIs" dxfId="5097" priority="4317" operator="equal">
      <formula>"-"</formula>
    </cfRule>
    <cfRule type="cellIs" dxfId="5096" priority="4318" operator="equal">
      <formula>M12</formula>
    </cfRule>
    <cfRule type="cellIs" dxfId="5095" priority="4319" operator="greaterThan">
      <formula>M12</formula>
    </cfRule>
    <cfRule type="cellIs" dxfId="5094" priority="4320" operator="lessThan">
      <formula>M12</formula>
    </cfRule>
  </conditionalFormatting>
  <conditionalFormatting sqref="N13">
    <cfRule type="expression" dxfId="5093" priority="4311">
      <formula>M13="-"</formula>
    </cfRule>
    <cfRule type="cellIs" dxfId="5092" priority="4312" operator="equal">
      <formula>"-"</formula>
    </cfRule>
    <cfRule type="cellIs" dxfId="5091" priority="4313" operator="equal">
      <formula>M13</formula>
    </cfRule>
    <cfRule type="cellIs" dxfId="5090" priority="4314" operator="greaterThan">
      <formula>M13</formula>
    </cfRule>
    <cfRule type="cellIs" dxfId="5089" priority="4315" operator="lessThan">
      <formula>M13</formula>
    </cfRule>
  </conditionalFormatting>
  <conditionalFormatting sqref="N14">
    <cfRule type="expression" dxfId="5088" priority="4306">
      <formula>M14="-"</formula>
    </cfRule>
    <cfRule type="cellIs" dxfId="5087" priority="4307" operator="equal">
      <formula>"-"</formula>
    </cfRule>
    <cfRule type="cellIs" dxfId="5086" priority="4308" operator="equal">
      <formula>M14</formula>
    </cfRule>
    <cfRule type="cellIs" dxfId="5085" priority="4309" operator="greaterThan">
      <formula>M14</formula>
    </cfRule>
    <cfRule type="cellIs" dxfId="5084" priority="4310" operator="lessThan">
      <formula>M14</formula>
    </cfRule>
  </conditionalFormatting>
  <conditionalFormatting sqref="N15">
    <cfRule type="expression" dxfId="5083" priority="4301">
      <formula>M15="-"</formula>
    </cfRule>
    <cfRule type="cellIs" dxfId="5082" priority="4302" operator="equal">
      <formula>"-"</formula>
    </cfRule>
    <cfRule type="cellIs" dxfId="5081" priority="4303" operator="equal">
      <formula>M15</formula>
    </cfRule>
    <cfRule type="cellIs" dxfId="5080" priority="4304" operator="greaterThan">
      <formula>M15</formula>
    </cfRule>
    <cfRule type="cellIs" dxfId="5079" priority="4305" operator="lessThan">
      <formula>M15</formula>
    </cfRule>
  </conditionalFormatting>
  <conditionalFormatting sqref="N16">
    <cfRule type="expression" dxfId="5078" priority="4296">
      <formula>M16="-"</formula>
    </cfRule>
    <cfRule type="cellIs" dxfId="5077" priority="4297" operator="equal">
      <formula>"-"</formula>
    </cfRule>
    <cfRule type="cellIs" dxfId="5076" priority="4298" operator="equal">
      <formula>M16</formula>
    </cfRule>
    <cfRule type="cellIs" dxfId="5075" priority="4299" operator="greaterThan">
      <formula>M16</formula>
    </cfRule>
    <cfRule type="cellIs" dxfId="5074" priority="4300" operator="lessThan">
      <formula>M16</formula>
    </cfRule>
  </conditionalFormatting>
  <conditionalFormatting sqref="N17">
    <cfRule type="expression" dxfId="5073" priority="4291">
      <formula>M17="-"</formula>
    </cfRule>
    <cfRule type="cellIs" dxfId="5072" priority="4292" operator="equal">
      <formula>"-"</formula>
    </cfRule>
    <cfRule type="cellIs" dxfId="5071" priority="4293" operator="equal">
      <formula>M17</formula>
    </cfRule>
    <cfRule type="cellIs" dxfId="5070" priority="4294" operator="greaterThan">
      <formula>M17</formula>
    </cfRule>
    <cfRule type="cellIs" dxfId="5069" priority="4295" operator="lessThan">
      <formula>M17</formula>
    </cfRule>
  </conditionalFormatting>
  <conditionalFormatting sqref="N18">
    <cfRule type="expression" dxfId="5068" priority="4276">
      <formula>M18="-"</formula>
    </cfRule>
    <cfRule type="cellIs" dxfId="5067" priority="4277" operator="equal">
      <formula>"-"</formula>
    </cfRule>
    <cfRule type="cellIs" dxfId="5066" priority="4278" operator="equal">
      <formula>M18</formula>
    </cfRule>
    <cfRule type="cellIs" dxfId="5065" priority="4279" operator="greaterThan">
      <formula>M18</formula>
    </cfRule>
    <cfRule type="cellIs" dxfId="5064" priority="4280" operator="lessThan">
      <formula>M18</formula>
    </cfRule>
  </conditionalFormatting>
  <conditionalFormatting sqref="N19">
    <cfRule type="expression" dxfId="5063" priority="4271">
      <formula>M19="-"</formula>
    </cfRule>
    <cfRule type="cellIs" dxfId="5062" priority="4272" operator="equal">
      <formula>"-"</formula>
    </cfRule>
    <cfRule type="cellIs" dxfId="5061" priority="4273" operator="equal">
      <formula>M19</formula>
    </cfRule>
    <cfRule type="cellIs" dxfId="5060" priority="4274" operator="greaterThan">
      <formula>M19</formula>
    </cfRule>
    <cfRule type="cellIs" dxfId="5059" priority="4275" operator="lessThan">
      <formula>M19</formula>
    </cfRule>
  </conditionalFormatting>
  <conditionalFormatting sqref="N20">
    <cfRule type="expression" dxfId="5058" priority="4266">
      <formula>M20="-"</formula>
    </cfRule>
    <cfRule type="cellIs" dxfId="5057" priority="4267" operator="equal">
      <formula>"-"</formula>
    </cfRule>
    <cfRule type="cellIs" dxfId="5056" priority="4268" operator="equal">
      <formula>M20</formula>
    </cfRule>
    <cfRule type="cellIs" dxfId="5055" priority="4269" operator="greaterThan">
      <formula>M20</formula>
    </cfRule>
    <cfRule type="cellIs" dxfId="5054" priority="4270" operator="lessThan">
      <formula>M20</formula>
    </cfRule>
  </conditionalFormatting>
  <conditionalFormatting sqref="N21">
    <cfRule type="expression" dxfId="5053" priority="4261">
      <formula>M21="-"</formula>
    </cfRule>
    <cfRule type="cellIs" dxfId="5052" priority="4262" operator="equal">
      <formula>"-"</formula>
    </cfRule>
    <cfRule type="cellIs" dxfId="5051" priority="4263" operator="equal">
      <formula>M21</formula>
    </cfRule>
    <cfRule type="cellIs" dxfId="5050" priority="4264" operator="greaterThan">
      <formula>M21</formula>
    </cfRule>
    <cfRule type="cellIs" dxfId="5049" priority="4265" operator="lessThan">
      <formula>M21</formula>
    </cfRule>
  </conditionalFormatting>
  <conditionalFormatting sqref="N22">
    <cfRule type="expression" dxfId="5048" priority="4241">
      <formula>M22="-"</formula>
    </cfRule>
    <cfRule type="cellIs" dxfId="5047" priority="4242" operator="equal">
      <formula>"-"</formula>
    </cfRule>
    <cfRule type="cellIs" dxfId="5046" priority="4243" operator="equal">
      <formula>M22</formula>
    </cfRule>
    <cfRule type="cellIs" dxfId="5045" priority="4244" operator="greaterThan">
      <formula>M22</formula>
    </cfRule>
    <cfRule type="cellIs" dxfId="5044" priority="4245" operator="lessThan">
      <formula>M22</formula>
    </cfRule>
  </conditionalFormatting>
  <conditionalFormatting sqref="N23">
    <cfRule type="expression" dxfId="5043" priority="4236">
      <formula>M23="-"</formula>
    </cfRule>
    <cfRule type="cellIs" dxfId="5042" priority="4237" operator="equal">
      <formula>"-"</formula>
    </cfRule>
    <cfRule type="cellIs" dxfId="5041" priority="4238" operator="equal">
      <formula>M23</formula>
    </cfRule>
    <cfRule type="cellIs" dxfId="5040" priority="4239" operator="greaterThan">
      <formula>M23</formula>
    </cfRule>
    <cfRule type="cellIs" dxfId="5039" priority="4240" operator="lessThan">
      <formula>M23</formula>
    </cfRule>
  </conditionalFormatting>
  <conditionalFormatting sqref="O6">
    <cfRule type="expression" dxfId="5038" priority="4216">
      <formula>N6="-"</formula>
    </cfRule>
    <cfRule type="cellIs" dxfId="5037" priority="4217" operator="equal">
      <formula>"-"</formula>
    </cfRule>
    <cfRule type="cellIs" dxfId="5036" priority="4218" operator="equal">
      <formula>N6</formula>
    </cfRule>
    <cfRule type="cellIs" dxfId="5035" priority="4219" operator="greaterThan">
      <formula>N6</formula>
    </cfRule>
    <cfRule type="cellIs" dxfId="5034" priority="4220" operator="lessThan">
      <formula>N6</formula>
    </cfRule>
  </conditionalFormatting>
  <conditionalFormatting sqref="O7">
    <cfRule type="expression" dxfId="5033" priority="4211">
      <formula>N7="-"</formula>
    </cfRule>
    <cfRule type="cellIs" dxfId="5032" priority="4212" operator="equal">
      <formula>"-"</formula>
    </cfRule>
    <cfRule type="cellIs" dxfId="5031" priority="4213" operator="equal">
      <formula>N7</formula>
    </cfRule>
    <cfRule type="cellIs" dxfId="5030" priority="4214" operator="greaterThan">
      <formula>N7</formula>
    </cfRule>
    <cfRule type="cellIs" dxfId="5029" priority="4215" operator="lessThan">
      <formula>N7</formula>
    </cfRule>
  </conditionalFormatting>
  <conditionalFormatting sqref="O8">
    <cfRule type="expression" dxfId="5028" priority="4206">
      <formula>N8="-"</formula>
    </cfRule>
    <cfRule type="cellIs" dxfId="5027" priority="4207" operator="equal">
      <formula>"-"</formula>
    </cfRule>
    <cfRule type="cellIs" dxfId="5026" priority="4208" operator="equal">
      <formula>N8</formula>
    </cfRule>
    <cfRule type="cellIs" dxfId="5025" priority="4209" operator="greaterThan">
      <formula>N8</formula>
    </cfRule>
    <cfRule type="cellIs" dxfId="5024" priority="4210" operator="lessThan">
      <formula>N8</formula>
    </cfRule>
  </conditionalFormatting>
  <conditionalFormatting sqref="O9">
    <cfRule type="expression" dxfId="5023" priority="4201">
      <formula>N9="-"</formula>
    </cfRule>
    <cfRule type="cellIs" dxfId="5022" priority="4202" operator="equal">
      <formula>"-"</formula>
    </cfRule>
    <cfRule type="cellIs" dxfId="5021" priority="4203" operator="equal">
      <formula>N9</formula>
    </cfRule>
    <cfRule type="cellIs" dxfId="5020" priority="4204" operator="greaterThan">
      <formula>N9</formula>
    </cfRule>
    <cfRule type="cellIs" dxfId="5019" priority="4205" operator="lessThan">
      <formula>N9</formula>
    </cfRule>
  </conditionalFormatting>
  <conditionalFormatting sqref="O10">
    <cfRule type="expression" dxfId="5018" priority="4196">
      <formula>N10="-"</formula>
    </cfRule>
    <cfRule type="cellIs" dxfId="5017" priority="4197" operator="equal">
      <formula>"-"</formula>
    </cfRule>
    <cfRule type="cellIs" dxfId="5016" priority="4198" operator="equal">
      <formula>N10</formula>
    </cfRule>
    <cfRule type="cellIs" dxfId="5015" priority="4199" operator="greaterThan">
      <formula>N10</formula>
    </cfRule>
    <cfRule type="cellIs" dxfId="5014" priority="4200" operator="lessThan">
      <formula>N10</formula>
    </cfRule>
  </conditionalFormatting>
  <conditionalFormatting sqref="O11">
    <cfRule type="expression" dxfId="5013" priority="4191">
      <formula>N11="-"</formula>
    </cfRule>
    <cfRule type="cellIs" dxfId="5012" priority="4192" operator="equal">
      <formula>"-"</formula>
    </cfRule>
    <cfRule type="cellIs" dxfId="5011" priority="4193" operator="equal">
      <formula>N11</formula>
    </cfRule>
    <cfRule type="cellIs" dxfId="5010" priority="4194" operator="greaterThan">
      <formula>N11</formula>
    </cfRule>
    <cfRule type="cellIs" dxfId="5009" priority="4195" operator="lessThan">
      <formula>N11</formula>
    </cfRule>
  </conditionalFormatting>
  <conditionalFormatting sqref="O12">
    <cfRule type="expression" dxfId="5008" priority="4181">
      <formula>N12="-"</formula>
    </cfRule>
    <cfRule type="cellIs" dxfId="5007" priority="4182" operator="equal">
      <formula>"-"</formula>
    </cfRule>
    <cfRule type="cellIs" dxfId="5006" priority="4183" operator="equal">
      <formula>N12</formula>
    </cfRule>
    <cfRule type="cellIs" dxfId="5005" priority="4184" operator="greaterThan">
      <formula>N12</formula>
    </cfRule>
    <cfRule type="cellIs" dxfId="5004" priority="4185" operator="lessThan">
      <formula>N12</formula>
    </cfRule>
  </conditionalFormatting>
  <conditionalFormatting sqref="O13">
    <cfRule type="expression" dxfId="5003" priority="4176">
      <formula>N13="-"</formula>
    </cfRule>
    <cfRule type="cellIs" dxfId="5002" priority="4177" operator="equal">
      <formula>"-"</formula>
    </cfRule>
    <cfRule type="cellIs" dxfId="5001" priority="4178" operator="equal">
      <formula>N13</formula>
    </cfRule>
    <cfRule type="cellIs" dxfId="5000" priority="4179" operator="greaterThan">
      <formula>N13</formula>
    </cfRule>
    <cfRule type="cellIs" dxfId="4999" priority="4180" operator="lessThan">
      <formula>N13</formula>
    </cfRule>
  </conditionalFormatting>
  <conditionalFormatting sqref="O14">
    <cfRule type="expression" dxfId="4998" priority="4171">
      <formula>N14="-"</formula>
    </cfRule>
    <cfRule type="cellIs" dxfId="4997" priority="4172" operator="equal">
      <formula>"-"</formula>
    </cfRule>
    <cfRule type="cellIs" dxfId="4996" priority="4173" operator="equal">
      <formula>N14</formula>
    </cfRule>
    <cfRule type="cellIs" dxfId="4995" priority="4174" operator="greaterThan">
      <formula>N14</formula>
    </cfRule>
    <cfRule type="cellIs" dxfId="4994" priority="4175" operator="lessThan">
      <formula>N14</formula>
    </cfRule>
  </conditionalFormatting>
  <conditionalFormatting sqref="O15">
    <cfRule type="expression" dxfId="4993" priority="4166">
      <formula>N15="-"</formula>
    </cfRule>
    <cfRule type="cellIs" dxfId="4992" priority="4167" operator="equal">
      <formula>"-"</formula>
    </cfRule>
    <cfRule type="cellIs" dxfId="4991" priority="4168" operator="equal">
      <formula>N15</formula>
    </cfRule>
    <cfRule type="cellIs" dxfId="4990" priority="4169" operator="greaterThan">
      <formula>N15</formula>
    </cfRule>
    <cfRule type="cellIs" dxfId="4989" priority="4170" operator="lessThan">
      <formula>N15</formula>
    </cfRule>
  </conditionalFormatting>
  <conditionalFormatting sqref="O16">
    <cfRule type="expression" dxfId="4988" priority="4161">
      <formula>N16="-"</formula>
    </cfRule>
    <cfRule type="cellIs" dxfId="4987" priority="4162" operator="equal">
      <formula>"-"</formula>
    </cfRule>
    <cfRule type="cellIs" dxfId="4986" priority="4163" operator="equal">
      <formula>N16</formula>
    </cfRule>
    <cfRule type="cellIs" dxfId="4985" priority="4164" operator="greaterThan">
      <formula>N16</formula>
    </cfRule>
    <cfRule type="cellIs" dxfId="4984" priority="4165" operator="lessThan">
      <formula>N16</formula>
    </cfRule>
  </conditionalFormatting>
  <conditionalFormatting sqref="O17">
    <cfRule type="expression" dxfId="4983" priority="4156">
      <formula>N17="-"</formula>
    </cfRule>
    <cfRule type="cellIs" dxfId="4982" priority="4157" operator="equal">
      <formula>"-"</formula>
    </cfRule>
    <cfRule type="cellIs" dxfId="4981" priority="4158" operator="equal">
      <formula>N17</formula>
    </cfRule>
    <cfRule type="cellIs" dxfId="4980" priority="4159" operator="greaterThan">
      <formula>N17</formula>
    </cfRule>
    <cfRule type="cellIs" dxfId="4979" priority="4160" operator="lessThan">
      <formula>N17</formula>
    </cfRule>
  </conditionalFormatting>
  <conditionalFormatting sqref="O18">
    <cfRule type="expression" dxfId="4978" priority="4141">
      <formula>N18="-"</formula>
    </cfRule>
    <cfRule type="cellIs" dxfId="4977" priority="4142" operator="equal">
      <formula>"-"</formula>
    </cfRule>
    <cfRule type="cellIs" dxfId="4976" priority="4143" operator="equal">
      <formula>N18</formula>
    </cfRule>
    <cfRule type="cellIs" dxfId="4975" priority="4144" operator="greaterThan">
      <formula>N18</formula>
    </cfRule>
    <cfRule type="cellIs" dxfId="4974" priority="4145" operator="lessThan">
      <formula>N18</formula>
    </cfRule>
  </conditionalFormatting>
  <conditionalFormatting sqref="O19">
    <cfRule type="expression" dxfId="4973" priority="4136">
      <formula>N19="-"</formula>
    </cfRule>
    <cfRule type="cellIs" dxfId="4972" priority="4137" operator="equal">
      <formula>"-"</formula>
    </cfRule>
    <cfRule type="cellIs" dxfId="4971" priority="4138" operator="equal">
      <formula>N19</formula>
    </cfRule>
    <cfRule type="cellIs" dxfId="4970" priority="4139" operator="greaterThan">
      <formula>N19</formula>
    </cfRule>
    <cfRule type="cellIs" dxfId="4969" priority="4140" operator="lessThan">
      <formula>N19</formula>
    </cfRule>
  </conditionalFormatting>
  <conditionalFormatting sqref="O20">
    <cfRule type="expression" dxfId="4968" priority="4131">
      <formula>N20="-"</formula>
    </cfRule>
    <cfRule type="cellIs" dxfId="4967" priority="4132" operator="equal">
      <formula>"-"</formula>
    </cfRule>
    <cfRule type="cellIs" dxfId="4966" priority="4133" operator="equal">
      <formula>N20</formula>
    </cfRule>
    <cfRule type="cellIs" dxfId="4965" priority="4134" operator="greaterThan">
      <formula>N20</formula>
    </cfRule>
    <cfRule type="cellIs" dxfId="4964" priority="4135" operator="lessThan">
      <formula>N20</formula>
    </cfRule>
  </conditionalFormatting>
  <conditionalFormatting sqref="O21">
    <cfRule type="expression" dxfId="4963" priority="4126">
      <formula>N21="-"</formula>
    </cfRule>
    <cfRule type="cellIs" dxfId="4962" priority="4127" operator="equal">
      <formula>"-"</formula>
    </cfRule>
    <cfRule type="cellIs" dxfId="4961" priority="4128" operator="equal">
      <formula>N21</formula>
    </cfRule>
    <cfRule type="cellIs" dxfId="4960" priority="4129" operator="greaterThan">
      <formula>N21</formula>
    </cfRule>
    <cfRule type="cellIs" dxfId="4959" priority="4130" operator="lessThan">
      <formula>N21</formula>
    </cfRule>
  </conditionalFormatting>
  <conditionalFormatting sqref="O22">
    <cfRule type="expression" dxfId="4958" priority="4106">
      <formula>N22="-"</formula>
    </cfRule>
    <cfRule type="cellIs" dxfId="4957" priority="4107" operator="equal">
      <formula>"-"</formula>
    </cfRule>
    <cfRule type="cellIs" dxfId="4956" priority="4108" operator="equal">
      <formula>N22</formula>
    </cfRule>
    <cfRule type="cellIs" dxfId="4955" priority="4109" operator="greaterThan">
      <formula>N22</formula>
    </cfRule>
    <cfRule type="cellIs" dxfId="4954" priority="4110" operator="lessThan">
      <formula>N22</formula>
    </cfRule>
  </conditionalFormatting>
  <conditionalFormatting sqref="O23">
    <cfRule type="expression" dxfId="4953" priority="4101">
      <formula>N23="-"</formula>
    </cfRule>
    <cfRule type="cellIs" dxfId="4952" priority="4102" operator="equal">
      <formula>"-"</formula>
    </cfRule>
    <cfRule type="cellIs" dxfId="4951" priority="4103" operator="equal">
      <formula>N23</formula>
    </cfRule>
    <cfRule type="cellIs" dxfId="4950" priority="4104" operator="greaterThan">
      <formula>N23</formula>
    </cfRule>
    <cfRule type="cellIs" dxfId="4949" priority="4105" operator="lessThan">
      <formula>N23</formula>
    </cfRule>
  </conditionalFormatting>
  <conditionalFormatting sqref="P6">
    <cfRule type="expression" dxfId="4948" priority="4081">
      <formula>O6="-"</formula>
    </cfRule>
    <cfRule type="cellIs" dxfId="4947" priority="4082" operator="equal">
      <formula>"-"</formula>
    </cfRule>
    <cfRule type="cellIs" dxfId="4946" priority="4083" operator="equal">
      <formula>O6</formula>
    </cfRule>
    <cfRule type="cellIs" dxfId="4945" priority="4084" operator="greaterThan">
      <formula>O6</formula>
    </cfRule>
    <cfRule type="cellIs" dxfId="4944" priority="4085" operator="lessThan">
      <formula>O6</formula>
    </cfRule>
  </conditionalFormatting>
  <conditionalFormatting sqref="P7">
    <cfRule type="expression" dxfId="4943" priority="4076">
      <formula>O7="-"</formula>
    </cfRule>
    <cfRule type="cellIs" dxfId="4942" priority="4077" operator="equal">
      <formula>"-"</formula>
    </cfRule>
    <cfRule type="cellIs" dxfId="4941" priority="4078" operator="equal">
      <formula>O7</formula>
    </cfRule>
    <cfRule type="cellIs" dxfId="4940" priority="4079" operator="greaterThan">
      <formula>O7</formula>
    </cfRule>
    <cfRule type="cellIs" dxfId="4939" priority="4080" operator="lessThan">
      <formula>O7</formula>
    </cfRule>
  </conditionalFormatting>
  <conditionalFormatting sqref="P8">
    <cfRule type="expression" dxfId="4938" priority="4071">
      <formula>O8="-"</formula>
    </cfRule>
    <cfRule type="cellIs" dxfId="4937" priority="4072" operator="equal">
      <formula>"-"</formula>
    </cfRule>
    <cfRule type="cellIs" dxfId="4936" priority="4073" operator="equal">
      <formula>O8</formula>
    </cfRule>
    <cfRule type="cellIs" dxfId="4935" priority="4074" operator="greaterThan">
      <formula>O8</formula>
    </cfRule>
    <cfRule type="cellIs" dxfId="4934" priority="4075" operator="lessThan">
      <formula>O8</formula>
    </cfRule>
  </conditionalFormatting>
  <conditionalFormatting sqref="P9">
    <cfRule type="expression" dxfId="4933" priority="4066">
      <formula>O9="-"</formula>
    </cfRule>
    <cfRule type="cellIs" dxfId="4932" priority="4067" operator="equal">
      <formula>"-"</formula>
    </cfRule>
    <cfRule type="cellIs" dxfId="4931" priority="4068" operator="equal">
      <formula>O9</formula>
    </cfRule>
    <cfRule type="cellIs" dxfId="4930" priority="4069" operator="greaterThan">
      <formula>O9</formula>
    </cfRule>
    <cfRule type="cellIs" dxfId="4929" priority="4070" operator="lessThan">
      <formula>O9</formula>
    </cfRule>
  </conditionalFormatting>
  <conditionalFormatting sqref="P10">
    <cfRule type="expression" dxfId="4928" priority="4061">
      <formula>O10="-"</formula>
    </cfRule>
    <cfRule type="cellIs" dxfId="4927" priority="4062" operator="equal">
      <formula>"-"</formula>
    </cfRule>
    <cfRule type="cellIs" dxfId="4926" priority="4063" operator="equal">
      <formula>O10</formula>
    </cfRule>
    <cfRule type="cellIs" dxfId="4925" priority="4064" operator="greaterThan">
      <formula>O10</formula>
    </cfRule>
    <cfRule type="cellIs" dxfId="4924" priority="4065" operator="lessThan">
      <formula>O10</formula>
    </cfRule>
  </conditionalFormatting>
  <conditionalFormatting sqref="P11">
    <cfRule type="expression" dxfId="4923" priority="4056">
      <formula>O11="-"</formula>
    </cfRule>
    <cfRule type="cellIs" dxfId="4922" priority="4057" operator="equal">
      <formula>"-"</formula>
    </cfRule>
    <cfRule type="cellIs" dxfId="4921" priority="4058" operator="equal">
      <formula>O11</formula>
    </cfRule>
    <cfRule type="cellIs" dxfId="4920" priority="4059" operator="greaterThan">
      <formula>O11</formula>
    </cfRule>
    <cfRule type="cellIs" dxfId="4919" priority="4060" operator="lessThan">
      <formula>O11</formula>
    </cfRule>
  </conditionalFormatting>
  <conditionalFormatting sqref="P12">
    <cfRule type="expression" dxfId="4918" priority="4046">
      <formula>O12="-"</formula>
    </cfRule>
    <cfRule type="cellIs" dxfId="4917" priority="4047" operator="equal">
      <formula>"-"</formula>
    </cfRule>
    <cfRule type="cellIs" dxfId="4916" priority="4048" operator="equal">
      <formula>O12</formula>
    </cfRule>
    <cfRule type="cellIs" dxfId="4915" priority="4049" operator="greaterThan">
      <formula>O12</formula>
    </cfRule>
    <cfRule type="cellIs" dxfId="4914" priority="4050" operator="lessThan">
      <formula>O12</formula>
    </cfRule>
  </conditionalFormatting>
  <conditionalFormatting sqref="P13">
    <cfRule type="expression" dxfId="4913" priority="4041">
      <formula>O13="-"</formula>
    </cfRule>
    <cfRule type="cellIs" dxfId="4912" priority="4042" operator="equal">
      <formula>"-"</formula>
    </cfRule>
    <cfRule type="cellIs" dxfId="4911" priority="4043" operator="equal">
      <formula>O13</formula>
    </cfRule>
    <cfRule type="cellIs" dxfId="4910" priority="4044" operator="greaterThan">
      <formula>O13</formula>
    </cfRule>
    <cfRule type="cellIs" dxfId="4909" priority="4045" operator="lessThan">
      <formula>O13</formula>
    </cfRule>
  </conditionalFormatting>
  <conditionalFormatting sqref="P14">
    <cfRule type="expression" dxfId="4908" priority="4036">
      <formula>O14="-"</formula>
    </cfRule>
    <cfRule type="cellIs" dxfId="4907" priority="4037" operator="equal">
      <formula>"-"</formula>
    </cfRule>
    <cfRule type="cellIs" dxfId="4906" priority="4038" operator="equal">
      <formula>O14</formula>
    </cfRule>
    <cfRule type="cellIs" dxfId="4905" priority="4039" operator="greaterThan">
      <formula>O14</formula>
    </cfRule>
    <cfRule type="cellIs" dxfId="4904" priority="4040" operator="lessThan">
      <formula>O14</formula>
    </cfRule>
  </conditionalFormatting>
  <conditionalFormatting sqref="P15">
    <cfRule type="expression" dxfId="4903" priority="4031">
      <formula>O15="-"</formula>
    </cfRule>
    <cfRule type="cellIs" dxfId="4902" priority="4032" operator="equal">
      <formula>"-"</formula>
    </cfRule>
    <cfRule type="cellIs" dxfId="4901" priority="4033" operator="equal">
      <formula>O15</formula>
    </cfRule>
    <cfRule type="cellIs" dxfId="4900" priority="4034" operator="greaterThan">
      <formula>O15</formula>
    </cfRule>
    <cfRule type="cellIs" dxfId="4899" priority="4035" operator="lessThan">
      <formula>O15</formula>
    </cfRule>
  </conditionalFormatting>
  <conditionalFormatting sqref="P16">
    <cfRule type="expression" dxfId="4898" priority="4026">
      <formula>O16="-"</formula>
    </cfRule>
    <cfRule type="cellIs" dxfId="4897" priority="4027" operator="equal">
      <formula>"-"</formula>
    </cfRule>
    <cfRule type="cellIs" dxfId="4896" priority="4028" operator="equal">
      <formula>O16</formula>
    </cfRule>
    <cfRule type="cellIs" dxfId="4895" priority="4029" operator="greaterThan">
      <formula>O16</formula>
    </cfRule>
    <cfRule type="cellIs" dxfId="4894" priority="4030" operator="lessThan">
      <formula>O16</formula>
    </cfRule>
  </conditionalFormatting>
  <conditionalFormatting sqref="P17">
    <cfRule type="expression" dxfId="4893" priority="4021">
      <formula>O17="-"</formula>
    </cfRule>
    <cfRule type="cellIs" dxfId="4892" priority="4022" operator="equal">
      <formula>"-"</formula>
    </cfRule>
    <cfRule type="cellIs" dxfId="4891" priority="4023" operator="equal">
      <formula>O17</formula>
    </cfRule>
    <cfRule type="cellIs" dxfId="4890" priority="4024" operator="greaterThan">
      <formula>O17</formula>
    </cfRule>
    <cfRule type="cellIs" dxfId="4889" priority="4025" operator="lessThan">
      <formula>O17</formula>
    </cfRule>
  </conditionalFormatting>
  <conditionalFormatting sqref="P18">
    <cfRule type="expression" dxfId="4888" priority="4006">
      <formula>O18="-"</formula>
    </cfRule>
    <cfRule type="cellIs" dxfId="4887" priority="4007" operator="equal">
      <formula>"-"</formula>
    </cfRule>
    <cfRule type="cellIs" dxfId="4886" priority="4008" operator="equal">
      <formula>O18</formula>
    </cfRule>
    <cfRule type="cellIs" dxfId="4885" priority="4009" operator="greaterThan">
      <formula>O18</formula>
    </cfRule>
    <cfRule type="cellIs" dxfId="4884" priority="4010" operator="lessThan">
      <formula>O18</formula>
    </cfRule>
  </conditionalFormatting>
  <conditionalFormatting sqref="P19">
    <cfRule type="expression" dxfId="4883" priority="4001">
      <formula>O19="-"</formula>
    </cfRule>
    <cfRule type="cellIs" dxfId="4882" priority="4002" operator="equal">
      <formula>"-"</formula>
    </cfRule>
    <cfRule type="cellIs" dxfId="4881" priority="4003" operator="equal">
      <formula>O19</formula>
    </cfRule>
    <cfRule type="cellIs" dxfId="4880" priority="4004" operator="greaterThan">
      <formula>O19</formula>
    </cfRule>
    <cfRule type="cellIs" dxfId="4879" priority="4005" operator="lessThan">
      <formula>O19</formula>
    </cfRule>
  </conditionalFormatting>
  <conditionalFormatting sqref="P20">
    <cfRule type="expression" dxfId="4878" priority="3996">
      <formula>O20="-"</formula>
    </cfRule>
    <cfRule type="cellIs" dxfId="4877" priority="3997" operator="equal">
      <formula>"-"</formula>
    </cfRule>
    <cfRule type="cellIs" dxfId="4876" priority="3998" operator="equal">
      <formula>O20</formula>
    </cfRule>
    <cfRule type="cellIs" dxfId="4875" priority="3999" operator="greaterThan">
      <formula>O20</formula>
    </cfRule>
    <cfRule type="cellIs" dxfId="4874" priority="4000" operator="lessThan">
      <formula>O20</formula>
    </cfRule>
  </conditionalFormatting>
  <conditionalFormatting sqref="P21">
    <cfRule type="expression" dxfId="4873" priority="3991">
      <formula>O21="-"</formula>
    </cfRule>
    <cfRule type="cellIs" dxfId="4872" priority="3992" operator="equal">
      <formula>"-"</formula>
    </cfRule>
    <cfRule type="cellIs" dxfId="4871" priority="3993" operator="equal">
      <formula>O21</formula>
    </cfRule>
    <cfRule type="cellIs" dxfId="4870" priority="3994" operator="greaterThan">
      <formula>O21</formula>
    </cfRule>
    <cfRule type="cellIs" dxfId="4869" priority="3995" operator="lessThan">
      <formula>O21</formula>
    </cfRule>
  </conditionalFormatting>
  <conditionalFormatting sqref="P22">
    <cfRule type="expression" dxfId="4868" priority="3971">
      <formula>O22="-"</formula>
    </cfRule>
    <cfRule type="cellIs" dxfId="4867" priority="3972" operator="equal">
      <formula>"-"</formula>
    </cfRule>
    <cfRule type="cellIs" dxfId="4866" priority="3973" operator="equal">
      <formula>O22</formula>
    </cfRule>
    <cfRule type="cellIs" dxfId="4865" priority="3974" operator="greaterThan">
      <formula>O22</formula>
    </cfRule>
    <cfRule type="cellIs" dxfId="4864" priority="3975" operator="lessThan">
      <formula>O22</formula>
    </cfRule>
  </conditionalFormatting>
  <conditionalFormatting sqref="P23">
    <cfRule type="expression" dxfId="4863" priority="3966">
      <formula>O23="-"</formula>
    </cfRule>
    <cfRule type="cellIs" dxfId="4862" priority="3967" operator="equal">
      <formula>"-"</formula>
    </cfRule>
    <cfRule type="cellIs" dxfId="4861" priority="3968" operator="equal">
      <formula>O23</formula>
    </cfRule>
    <cfRule type="cellIs" dxfId="4860" priority="3969" operator="greaterThan">
      <formula>O23</formula>
    </cfRule>
    <cfRule type="cellIs" dxfId="4859" priority="3970" operator="lessThan">
      <formula>O23</formula>
    </cfRule>
  </conditionalFormatting>
  <conditionalFormatting sqref="Q6">
    <cfRule type="expression" dxfId="4858" priority="3946">
      <formula>P6="-"</formula>
    </cfRule>
    <cfRule type="cellIs" dxfId="4857" priority="3947" operator="equal">
      <formula>"-"</formula>
    </cfRule>
    <cfRule type="cellIs" dxfId="4856" priority="3948" operator="equal">
      <formula>P6</formula>
    </cfRule>
    <cfRule type="cellIs" dxfId="4855" priority="3949" operator="greaterThan">
      <formula>P6</formula>
    </cfRule>
    <cfRule type="cellIs" dxfId="4854" priority="3950" operator="lessThan">
      <formula>P6</formula>
    </cfRule>
  </conditionalFormatting>
  <conditionalFormatting sqref="Q7">
    <cfRule type="expression" dxfId="4853" priority="3941">
      <formula>P7="-"</formula>
    </cfRule>
    <cfRule type="cellIs" dxfId="4852" priority="3942" operator="equal">
      <formula>"-"</formula>
    </cfRule>
    <cfRule type="cellIs" dxfId="4851" priority="3943" operator="equal">
      <formula>P7</formula>
    </cfRule>
    <cfRule type="cellIs" dxfId="4850" priority="3944" operator="greaterThan">
      <formula>P7</formula>
    </cfRule>
    <cfRule type="cellIs" dxfId="4849" priority="3945" operator="lessThan">
      <formula>P7</formula>
    </cfRule>
  </conditionalFormatting>
  <conditionalFormatting sqref="Q8">
    <cfRule type="expression" dxfId="4848" priority="3936">
      <formula>P8="-"</formula>
    </cfRule>
    <cfRule type="cellIs" dxfId="4847" priority="3937" operator="equal">
      <formula>"-"</formula>
    </cfRule>
    <cfRule type="cellIs" dxfId="4846" priority="3938" operator="equal">
      <formula>P8</formula>
    </cfRule>
    <cfRule type="cellIs" dxfId="4845" priority="3939" operator="greaterThan">
      <formula>P8</formula>
    </cfRule>
    <cfRule type="cellIs" dxfId="4844" priority="3940" operator="lessThan">
      <formula>P8</formula>
    </cfRule>
  </conditionalFormatting>
  <conditionalFormatting sqref="Q9">
    <cfRule type="expression" dxfId="4843" priority="3931">
      <formula>P9="-"</formula>
    </cfRule>
    <cfRule type="cellIs" dxfId="4842" priority="3932" operator="equal">
      <formula>"-"</formula>
    </cfRule>
    <cfRule type="cellIs" dxfId="4841" priority="3933" operator="equal">
      <formula>P9</formula>
    </cfRule>
    <cfRule type="cellIs" dxfId="4840" priority="3934" operator="greaterThan">
      <formula>P9</formula>
    </cfRule>
    <cfRule type="cellIs" dxfId="4839" priority="3935" operator="lessThan">
      <formula>P9</formula>
    </cfRule>
  </conditionalFormatting>
  <conditionalFormatting sqref="Q10">
    <cfRule type="expression" dxfId="4838" priority="3926">
      <formula>P10="-"</formula>
    </cfRule>
    <cfRule type="cellIs" dxfId="4837" priority="3927" operator="equal">
      <formula>"-"</formula>
    </cfRule>
    <cfRule type="cellIs" dxfId="4836" priority="3928" operator="equal">
      <formula>P10</formula>
    </cfRule>
    <cfRule type="cellIs" dxfId="4835" priority="3929" operator="greaterThan">
      <formula>P10</formula>
    </cfRule>
    <cfRule type="cellIs" dxfId="4834" priority="3930" operator="lessThan">
      <formula>P10</formula>
    </cfRule>
  </conditionalFormatting>
  <conditionalFormatting sqref="Q11">
    <cfRule type="expression" dxfId="4833" priority="3921">
      <formula>P11="-"</formula>
    </cfRule>
    <cfRule type="cellIs" dxfId="4832" priority="3922" operator="equal">
      <formula>"-"</formula>
    </cfRule>
    <cfRule type="cellIs" dxfId="4831" priority="3923" operator="equal">
      <formula>P11</formula>
    </cfRule>
    <cfRule type="cellIs" dxfId="4830" priority="3924" operator="greaterThan">
      <formula>P11</formula>
    </cfRule>
    <cfRule type="cellIs" dxfId="4829" priority="3925" operator="lessThan">
      <formula>P11</formula>
    </cfRule>
  </conditionalFormatting>
  <conditionalFormatting sqref="Q12">
    <cfRule type="expression" dxfId="4828" priority="3911">
      <formula>P12="-"</formula>
    </cfRule>
    <cfRule type="cellIs" dxfId="4827" priority="3912" operator="equal">
      <formula>"-"</formula>
    </cfRule>
    <cfRule type="cellIs" dxfId="4826" priority="3913" operator="equal">
      <formula>P12</formula>
    </cfRule>
    <cfRule type="cellIs" dxfId="4825" priority="3914" operator="greaterThan">
      <formula>P12</formula>
    </cfRule>
    <cfRule type="cellIs" dxfId="4824" priority="3915" operator="lessThan">
      <formula>P12</formula>
    </cfRule>
  </conditionalFormatting>
  <conditionalFormatting sqref="Q13">
    <cfRule type="expression" dxfId="4823" priority="3906">
      <formula>P13="-"</formula>
    </cfRule>
    <cfRule type="cellIs" dxfId="4822" priority="3907" operator="equal">
      <formula>"-"</formula>
    </cfRule>
    <cfRule type="cellIs" dxfId="4821" priority="3908" operator="equal">
      <formula>P13</formula>
    </cfRule>
    <cfRule type="cellIs" dxfId="4820" priority="3909" operator="greaterThan">
      <formula>P13</formula>
    </cfRule>
    <cfRule type="cellIs" dxfId="4819" priority="3910" operator="lessThan">
      <formula>P13</formula>
    </cfRule>
  </conditionalFormatting>
  <conditionalFormatting sqref="Q14">
    <cfRule type="expression" dxfId="4818" priority="3901">
      <formula>P14="-"</formula>
    </cfRule>
    <cfRule type="cellIs" dxfId="4817" priority="3902" operator="equal">
      <formula>"-"</formula>
    </cfRule>
    <cfRule type="cellIs" dxfId="4816" priority="3903" operator="equal">
      <formula>P14</formula>
    </cfRule>
    <cfRule type="cellIs" dxfId="4815" priority="3904" operator="greaterThan">
      <formula>P14</formula>
    </cfRule>
    <cfRule type="cellIs" dxfId="4814" priority="3905" operator="lessThan">
      <formula>P14</formula>
    </cfRule>
  </conditionalFormatting>
  <conditionalFormatting sqref="Q15">
    <cfRule type="expression" dxfId="4813" priority="3896">
      <formula>P15="-"</formula>
    </cfRule>
    <cfRule type="cellIs" dxfId="4812" priority="3897" operator="equal">
      <formula>"-"</formula>
    </cfRule>
    <cfRule type="cellIs" dxfId="4811" priority="3898" operator="equal">
      <formula>P15</formula>
    </cfRule>
    <cfRule type="cellIs" dxfId="4810" priority="3899" operator="greaterThan">
      <formula>P15</formula>
    </cfRule>
    <cfRule type="cellIs" dxfId="4809" priority="3900" operator="lessThan">
      <formula>P15</formula>
    </cfRule>
  </conditionalFormatting>
  <conditionalFormatting sqref="Q16">
    <cfRule type="expression" dxfId="4808" priority="3891">
      <formula>P16="-"</formula>
    </cfRule>
    <cfRule type="cellIs" dxfId="4807" priority="3892" operator="equal">
      <formula>"-"</formula>
    </cfRule>
    <cfRule type="cellIs" dxfId="4806" priority="3893" operator="equal">
      <formula>P16</formula>
    </cfRule>
    <cfRule type="cellIs" dxfId="4805" priority="3894" operator="greaterThan">
      <formula>P16</formula>
    </cfRule>
    <cfRule type="cellIs" dxfId="4804" priority="3895" operator="lessThan">
      <formula>P16</formula>
    </cfRule>
  </conditionalFormatting>
  <conditionalFormatting sqref="Q17">
    <cfRule type="expression" dxfId="4803" priority="3886">
      <formula>P17="-"</formula>
    </cfRule>
    <cfRule type="cellIs" dxfId="4802" priority="3887" operator="equal">
      <formula>"-"</formula>
    </cfRule>
    <cfRule type="cellIs" dxfId="4801" priority="3888" operator="equal">
      <formula>P17</formula>
    </cfRule>
    <cfRule type="cellIs" dxfId="4800" priority="3889" operator="greaterThan">
      <formula>P17</formula>
    </cfRule>
    <cfRule type="cellIs" dxfId="4799" priority="3890" operator="lessThan">
      <formula>P17</formula>
    </cfRule>
  </conditionalFormatting>
  <conditionalFormatting sqref="Q18">
    <cfRule type="expression" dxfId="4798" priority="3871">
      <formula>P18="-"</formula>
    </cfRule>
    <cfRule type="cellIs" dxfId="4797" priority="3872" operator="equal">
      <formula>"-"</formula>
    </cfRule>
    <cfRule type="cellIs" dxfId="4796" priority="3873" operator="equal">
      <formula>P18</formula>
    </cfRule>
    <cfRule type="cellIs" dxfId="4795" priority="3874" operator="greaterThan">
      <formula>P18</formula>
    </cfRule>
    <cfRule type="cellIs" dxfId="4794" priority="3875" operator="lessThan">
      <formula>P18</formula>
    </cfRule>
  </conditionalFormatting>
  <conditionalFormatting sqref="Q19">
    <cfRule type="expression" dxfId="4793" priority="3866">
      <formula>P19="-"</formula>
    </cfRule>
    <cfRule type="cellIs" dxfId="4792" priority="3867" operator="equal">
      <formula>"-"</formula>
    </cfRule>
    <cfRule type="cellIs" dxfId="4791" priority="3868" operator="equal">
      <formula>P19</formula>
    </cfRule>
    <cfRule type="cellIs" dxfId="4790" priority="3869" operator="greaterThan">
      <formula>P19</formula>
    </cfRule>
    <cfRule type="cellIs" dxfId="4789" priority="3870" operator="lessThan">
      <formula>P19</formula>
    </cfRule>
  </conditionalFormatting>
  <conditionalFormatting sqref="Q20">
    <cfRule type="expression" dxfId="4788" priority="3861">
      <formula>P20="-"</formula>
    </cfRule>
    <cfRule type="cellIs" dxfId="4787" priority="3862" operator="equal">
      <formula>"-"</formula>
    </cfRule>
    <cfRule type="cellIs" dxfId="4786" priority="3863" operator="equal">
      <formula>P20</formula>
    </cfRule>
    <cfRule type="cellIs" dxfId="4785" priority="3864" operator="greaterThan">
      <formula>P20</formula>
    </cfRule>
    <cfRule type="cellIs" dxfId="4784" priority="3865" operator="lessThan">
      <formula>P20</formula>
    </cfRule>
  </conditionalFormatting>
  <conditionalFormatting sqref="Q21">
    <cfRule type="expression" dxfId="4783" priority="3856">
      <formula>P21="-"</formula>
    </cfRule>
    <cfRule type="cellIs" dxfId="4782" priority="3857" operator="equal">
      <formula>"-"</formula>
    </cfRule>
    <cfRule type="cellIs" dxfId="4781" priority="3858" operator="equal">
      <formula>P21</formula>
    </cfRule>
    <cfRule type="cellIs" dxfId="4780" priority="3859" operator="greaterThan">
      <formula>P21</formula>
    </cfRule>
    <cfRule type="cellIs" dxfId="4779" priority="3860" operator="lessThan">
      <formula>P21</formula>
    </cfRule>
  </conditionalFormatting>
  <conditionalFormatting sqref="Q22">
    <cfRule type="expression" dxfId="4778" priority="3836">
      <formula>P22="-"</formula>
    </cfRule>
    <cfRule type="cellIs" dxfId="4777" priority="3837" operator="equal">
      <formula>"-"</formula>
    </cfRule>
    <cfRule type="cellIs" dxfId="4776" priority="3838" operator="equal">
      <formula>P22</formula>
    </cfRule>
    <cfRule type="cellIs" dxfId="4775" priority="3839" operator="greaterThan">
      <formula>P22</formula>
    </cfRule>
    <cfRule type="cellIs" dxfId="4774" priority="3840" operator="lessThan">
      <formula>P22</formula>
    </cfRule>
  </conditionalFormatting>
  <conditionalFormatting sqref="Q23">
    <cfRule type="expression" dxfId="4773" priority="3831">
      <formula>P23="-"</formula>
    </cfRule>
    <cfRule type="cellIs" dxfId="4772" priority="3832" operator="equal">
      <formula>"-"</formula>
    </cfRule>
    <cfRule type="cellIs" dxfId="4771" priority="3833" operator="equal">
      <formula>P23</formula>
    </cfRule>
    <cfRule type="cellIs" dxfId="4770" priority="3834" operator="greaterThan">
      <formula>P23</formula>
    </cfRule>
    <cfRule type="cellIs" dxfId="4769" priority="3835" operator="lessThan">
      <formula>P23</formula>
    </cfRule>
  </conditionalFormatting>
  <conditionalFormatting sqref="R6">
    <cfRule type="expression" dxfId="4768" priority="3811">
      <formula>Q6="-"</formula>
    </cfRule>
    <cfRule type="cellIs" dxfId="4767" priority="3812" operator="equal">
      <formula>"-"</formula>
    </cfRule>
    <cfRule type="cellIs" dxfId="4766" priority="3813" operator="equal">
      <formula>Q6</formula>
    </cfRule>
    <cfRule type="cellIs" dxfId="4765" priority="3814" operator="greaterThan">
      <formula>Q6</formula>
    </cfRule>
    <cfRule type="cellIs" dxfId="4764" priority="3815" operator="lessThan">
      <formula>Q6</formula>
    </cfRule>
  </conditionalFormatting>
  <conditionalFormatting sqref="R7">
    <cfRule type="expression" dxfId="4763" priority="3806">
      <formula>Q7="-"</formula>
    </cfRule>
    <cfRule type="cellIs" dxfId="4762" priority="3807" operator="equal">
      <formula>"-"</formula>
    </cfRule>
    <cfRule type="cellIs" dxfId="4761" priority="3808" operator="equal">
      <formula>Q7</formula>
    </cfRule>
    <cfRule type="cellIs" dxfId="4760" priority="3809" operator="greaterThan">
      <formula>Q7</formula>
    </cfRule>
    <cfRule type="cellIs" dxfId="4759" priority="3810" operator="lessThan">
      <formula>Q7</formula>
    </cfRule>
  </conditionalFormatting>
  <conditionalFormatting sqref="R8">
    <cfRule type="expression" dxfId="4758" priority="3801">
      <formula>Q8="-"</formula>
    </cfRule>
    <cfRule type="cellIs" dxfId="4757" priority="3802" operator="equal">
      <formula>"-"</formula>
    </cfRule>
    <cfRule type="cellIs" dxfId="4756" priority="3803" operator="equal">
      <formula>Q8</formula>
    </cfRule>
    <cfRule type="cellIs" dxfId="4755" priority="3804" operator="greaterThan">
      <formula>Q8</formula>
    </cfRule>
    <cfRule type="cellIs" dxfId="4754" priority="3805" operator="lessThan">
      <formula>Q8</formula>
    </cfRule>
  </conditionalFormatting>
  <conditionalFormatting sqref="R9">
    <cfRule type="expression" dxfId="4753" priority="3796">
      <formula>Q9="-"</formula>
    </cfRule>
    <cfRule type="cellIs" dxfId="4752" priority="3797" operator="equal">
      <formula>"-"</formula>
    </cfRule>
    <cfRule type="cellIs" dxfId="4751" priority="3798" operator="equal">
      <formula>Q9</formula>
    </cfRule>
    <cfRule type="cellIs" dxfId="4750" priority="3799" operator="greaterThan">
      <formula>Q9</formula>
    </cfRule>
    <cfRule type="cellIs" dxfId="4749" priority="3800" operator="lessThan">
      <formula>Q9</formula>
    </cfRule>
  </conditionalFormatting>
  <conditionalFormatting sqref="R10">
    <cfRule type="expression" dxfId="4748" priority="3791">
      <formula>Q10="-"</formula>
    </cfRule>
    <cfRule type="cellIs" dxfId="4747" priority="3792" operator="equal">
      <formula>"-"</formula>
    </cfRule>
    <cfRule type="cellIs" dxfId="4746" priority="3793" operator="equal">
      <formula>Q10</formula>
    </cfRule>
    <cfRule type="cellIs" dxfId="4745" priority="3794" operator="greaterThan">
      <formula>Q10</formula>
    </cfRule>
    <cfRule type="cellIs" dxfId="4744" priority="3795" operator="lessThan">
      <formula>Q10</formula>
    </cfRule>
  </conditionalFormatting>
  <conditionalFormatting sqref="R11">
    <cfRule type="expression" dxfId="4743" priority="3786">
      <formula>Q11="-"</formula>
    </cfRule>
    <cfRule type="cellIs" dxfId="4742" priority="3787" operator="equal">
      <formula>"-"</formula>
    </cfRule>
    <cfRule type="cellIs" dxfId="4741" priority="3788" operator="equal">
      <formula>Q11</formula>
    </cfRule>
    <cfRule type="cellIs" dxfId="4740" priority="3789" operator="greaterThan">
      <formula>Q11</formula>
    </cfRule>
    <cfRule type="cellIs" dxfId="4739" priority="3790" operator="lessThan">
      <formula>Q11</formula>
    </cfRule>
  </conditionalFormatting>
  <conditionalFormatting sqref="R12">
    <cfRule type="expression" dxfId="4738" priority="3776">
      <formula>Q12="-"</formula>
    </cfRule>
    <cfRule type="cellIs" dxfId="4737" priority="3777" operator="equal">
      <formula>"-"</formula>
    </cfRule>
    <cfRule type="cellIs" dxfId="4736" priority="3778" operator="equal">
      <formula>Q12</formula>
    </cfRule>
    <cfRule type="cellIs" dxfId="4735" priority="3779" operator="greaterThan">
      <formula>Q12</formula>
    </cfRule>
    <cfRule type="cellIs" dxfId="4734" priority="3780" operator="lessThan">
      <formula>Q12</formula>
    </cfRule>
  </conditionalFormatting>
  <conditionalFormatting sqref="R13">
    <cfRule type="expression" dxfId="4733" priority="3771">
      <formula>Q13="-"</formula>
    </cfRule>
    <cfRule type="cellIs" dxfId="4732" priority="3772" operator="equal">
      <formula>"-"</formula>
    </cfRule>
    <cfRule type="cellIs" dxfId="4731" priority="3773" operator="equal">
      <formula>Q13</formula>
    </cfRule>
    <cfRule type="cellIs" dxfId="4730" priority="3774" operator="greaterThan">
      <formula>Q13</formula>
    </cfRule>
    <cfRule type="cellIs" dxfId="4729" priority="3775" operator="lessThan">
      <formula>Q13</formula>
    </cfRule>
  </conditionalFormatting>
  <conditionalFormatting sqref="R14">
    <cfRule type="expression" dxfId="4728" priority="3766">
      <formula>Q14="-"</formula>
    </cfRule>
    <cfRule type="cellIs" dxfId="4727" priority="3767" operator="equal">
      <formula>"-"</formula>
    </cfRule>
    <cfRule type="cellIs" dxfId="4726" priority="3768" operator="equal">
      <formula>Q14</formula>
    </cfRule>
    <cfRule type="cellIs" dxfId="4725" priority="3769" operator="greaterThan">
      <formula>Q14</formula>
    </cfRule>
    <cfRule type="cellIs" dxfId="4724" priority="3770" operator="lessThan">
      <formula>Q14</formula>
    </cfRule>
  </conditionalFormatting>
  <conditionalFormatting sqref="R15">
    <cfRule type="expression" dxfId="4723" priority="3761">
      <formula>Q15="-"</formula>
    </cfRule>
    <cfRule type="cellIs" dxfId="4722" priority="3762" operator="equal">
      <formula>"-"</formula>
    </cfRule>
    <cfRule type="cellIs" dxfId="4721" priority="3763" operator="equal">
      <formula>Q15</formula>
    </cfRule>
    <cfRule type="cellIs" dxfId="4720" priority="3764" operator="greaterThan">
      <formula>Q15</formula>
    </cfRule>
    <cfRule type="cellIs" dxfId="4719" priority="3765" operator="lessThan">
      <formula>Q15</formula>
    </cfRule>
  </conditionalFormatting>
  <conditionalFormatting sqref="R16">
    <cfRule type="expression" dxfId="4718" priority="3756">
      <formula>Q16="-"</formula>
    </cfRule>
    <cfRule type="cellIs" dxfId="4717" priority="3757" operator="equal">
      <formula>"-"</formula>
    </cfRule>
    <cfRule type="cellIs" dxfId="4716" priority="3758" operator="equal">
      <formula>Q16</formula>
    </cfRule>
    <cfRule type="cellIs" dxfId="4715" priority="3759" operator="greaterThan">
      <formula>Q16</formula>
    </cfRule>
    <cfRule type="cellIs" dxfId="4714" priority="3760" operator="lessThan">
      <formula>Q16</formula>
    </cfRule>
  </conditionalFormatting>
  <conditionalFormatting sqref="R17">
    <cfRule type="expression" dxfId="4713" priority="3751">
      <formula>Q17="-"</formula>
    </cfRule>
    <cfRule type="cellIs" dxfId="4712" priority="3752" operator="equal">
      <formula>"-"</formula>
    </cfRule>
    <cfRule type="cellIs" dxfId="4711" priority="3753" operator="equal">
      <formula>Q17</formula>
    </cfRule>
    <cfRule type="cellIs" dxfId="4710" priority="3754" operator="greaterThan">
      <formula>Q17</formula>
    </cfRule>
    <cfRule type="cellIs" dxfId="4709" priority="3755" operator="lessThan">
      <formula>Q17</formula>
    </cfRule>
  </conditionalFormatting>
  <conditionalFormatting sqref="R18">
    <cfRule type="expression" dxfId="4708" priority="3736">
      <formula>Q18="-"</formula>
    </cfRule>
    <cfRule type="cellIs" dxfId="4707" priority="3737" operator="equal">
      <formula>"-"</formula>
    </cfRule>
    <cfRule type="cellIs" dxfId="4706" priority="3738" operator="equal">
      <formula>Q18</formula>
    </cfRule>
    <cfRule type="cellIs" dxfId="4705" priority="3739" operator="greaterThan">
      <formula>Q18</formula>
    </cfRule>
    <cfRule type="cellIs" dxfId="4704" priority="3740" operator="lessThan">
      <formula>Q18</formula>
    </cfRule>
  </conditionalFormatting>
  <conditionalFormatting sqref="R19">
    <cfRule type="expression" dxfId="4703" priority="3731">
      <formula>Q19="-"</formula>
    </cfRule>
    <cfRule type="cellIs" dxfId="4702" priority="3732" operator="equal">
      <formula>"-"</formula>
    </cfRule>
    <cfRule type="cellIs" dxfId="4701" priority="3733" operator="equal">
      <formula>Q19</formula>
    </cfRule>
    <cfRule type="cellIs" dxfId="4700" priority="3734" operator="greaterThan">
      <formula>Q19</formula>
    </cfRule>
    <cfRule type="cellIs" dxfId="4699" priority="3735" operator="lessThan">
      <formula>Q19</formula>
    </cfRule>
  </conditionalFormatting>
  <conditionalFormatting sqref="R20">
    <cfRule type="expression" dxfId="4698" priority="3726">
      <formula>Q20="-"</formula>
    </cfRule>
    <cfRule type="cellIs" dxfId="4697" priority="3727" operator="equal">
      <formula>"-"</formula>
    </cfRule>
    <cfRule type="cellIs" dxfId="4696" priority="3728" operator="equal">
      <formula>Q20</formula>
    </cfRule>
    <cfRule type="cellIs" dxfId="4695" priority="3729" operator="greaterThan">
      <formula>Q20</formula>
    </cfRule>
    <cfRule type="cellIs" dxfId="4694" priority="3730" operator="lessThan">
      <formula>Q20</formula>
    </cfRule>
  </conditionalFormatting>
  <conditionalFormatting sqref="R21">
    <cfRule type="expression" dxfId="4693" priority="3721">
      <formula>Q21="-"</formula>
    </cfRule>
    <cfRule type="cellIs" dxfId="4692" priority="3722" operator="equal">
      <formula>"-"</formula>
    </cfRule>
    <cfRule type="cellIs" dxfId="4691" priority="3723" operator="equal">
      <formula>Q21</formula>
    </cfRule>
    <cfRule type="cellIs" dxfId="4690" priority="3724" operator="greaterThan">
      <formula>Q21</formula>
    </cfRule>
    <cfRule type="cellIs" dxfId="4689" priority="3725" operator="lessThan">
      <formula>Q21</formula>
    </cfRule>
  </conditionalFormatting>
  <conditionalFormatting sqref="R22">
    <cfRule type="expression" dxfId="4688" priority="3701">
      <formula>Q22="-"</formula>
    </cfRule>
    <cfRule type="cellIs" dxfId="4687" priority="3702" operator="equal">
      <formula>"-"</formula>
    </cfRule>
    <cfRule type="cellIs" dxfId="4686" priority="3703" operator="equal">
      <formula>Q22</formula>
    </cfRule>
    <cfRule type="cellIs" dxfId="4685" priority="3704" operator="greaterThan">
      <formula>Q22</formula>
    </cfRule>
    <cfRule type="cellIs" dxfId="4684" priority="3705" operator="lessThan">
      <formula>Q22</formula>
    </cfRule>
  </conditionalFormatting>
  <conditionalFormatting sqref="R23">
    <cfRule type="expression" dxfId="4683" priority="3696">
      <formula>Q23="-"</formula>
    </cfRule>
    <cfRule type="cellIs" dxfId="4682" priority="3697" operator="equal">
      <formula>"-"</formula>
    </cfRule>
    <cfRule type="cellIs" dxfId="4681" priority="3698" operator="equal">
      <formula>Q23</formula>
    </cfRule>
    <cfRule type="cellIs" dxfId="4680" priority="3699" operator="greaterThan">
      <formula>Q23</formula>
    </cfRule>
    <cfRule type="cellIs" dxfId="4679" priority="3700" operator="lessThan">
      <formula>Q23</formula>
    </cfRule>
  </conditionalFormatting>
  <conditionalFormatting sqref="S6">
    <cfRule type="expression" dxfId="4678" priority="3676">
      <formula>R6="-"</formula>
    </cfRule>
    <cfRule type="cellIs" dxfId="4677" priority="3677" operator="equal">
      <formula>"-"</formula>
    </cfRule>
    <cfRule type="cellIs" dxfId="4676" priority="3678" operator="equal">
      <formula>R6</formula>
    </cfRule>
    <cfRule type="cellIs" dxfId="4675" priority="3679" operator="greaterThan">
      <formula>R6</formula>
    </cfRule>
    <cfRule type="cellIs" dxfId="4674" priority="3680" operator="lessThan">
      <formula>R6</formula>
    </cfRule>
  </conditionalFormatting>
  <conditionalFormatting sqref="S7">
    <cfRule type="expression" dxfId="4673" priority="3671">
      <formula>R7="-"</formula>
    </cfRule>
    <cfRule type="cellIs" dxfId="4672" priority="3672" operator="equal">
      <formula>"-"</formula>
    </cfRule>
    <cfRule type="cellIs" dxfId="4671" priority="3673" operator="equal">
      <formula>R7</formula>
    </cfRule>
    <cfRule type="cellIs" dxfId="4670" priority="3674" operator="greaterThan">
      <formula>R7</formula>
    </cfRule>
    <cfRule type="cellIs" dxfId="4669" priority="3675" operator="lessThan">
      <formula>R7</formula>
    </cfRule>
  </conditionalFormatting>
  <conditionalFormatting sqref="S8">
    <cfRule type="expression" dxfId="4668" priority="3666">
      <formula>R8="-"</formula>
    </cfRule>
    <cfRule type="cellIs" dxfId="4667" priority="3667" operator="equal">
      <formula>"-"</formula>
    </cfRule>
    <cfRule type="cellIs" dxfId="4666" priority="3668" operator="equal">
      <formula>R8</formula>
    </cfRule>
    <cfRule type="cellIs" dxfId="4665" priority="3669" operator="greaterThan">
      <formula>R8</formula>
    </cfRule>
    <cfRule type="cellIs" dxfId="4664" priority="3670" operator="lessThan">
      <formula>R8</formula>
    </cfRule>
  </conditionalFormatting>
  <conditionalFormatting sqref="S9">
    <cfRule type="expression" dxfId="4663" priority="3661">
      <formula>R9="-"</formula>
    </cfRule>
    <cfRule type="cellIs" dxfId="4662" priority="3662" operator="equal">
      <formula>"-"</formula>
    </cfRule>
    <cfRule type="cellIs" dxfId="4661" priority="3663" operator="equal">
      <formula>R9</formula>
    </cfRule>
    <cfRule type="cellIs" dxfId="4660" priority="3664" operator="greaterThan">
      <formula>R9</formula>
    </cfRule>
    <cfRule type="cellIs" dxfId="4659" priority="3665" operator="lessThan">
      <formula>R9</formula>
    </cfRule>
  </conditionalFormatting>
  <conditionalFormatting sqref="S10">
    <cfRule type="expression" dxfId="4658" priority="3656">
      <formula>R10="-"</formula>
    </cfRule>
    <cfRule type="cellIs" dxfId="4657" priority="3657" operator="equal">
      <formula>"-"</formula>
    </cfRule>
    <cfRule type="cellIs" dxfId="4656" priority="3658" operator="equal">
      <formula>R10</formula>
    </cfRule>
    <cfRule type="cellIs" dxfId="4655" priority="3659" operator="greaterThan">
      <formula>R10</formula>
    </cfRule>
    <cfRule type="cellIs" dxfId="4654" priority="3660" operator="lessThan">
      <formula>R10</formula>
    </cfRule>
  </conditionalFormatting>
  <conditionalFormatting sqref="S11">
    <cfRule type="expression" dxfId="4653" priority="3651">
      <formula>R11="-"</formula>
    </cfRule>
    <cfRule type="cellIs" dxfId="4652" priority="3652" operator="equal">
      <formula>"-"</formula>
    </cfRule>
    <cfRule type="cellIs" dxfId="4651" priority="3653" operator="equal">
      <formula>R11</formula>
    </cfRule>
    <cfRule type="cellIs" dxfId="4650" priority="3654" operator="greaterThan">
      <formula>R11</formula>
    </cfRule>
    <cfRule type="cellIs" dxfId="4649" priority="3655" operator="lessThan">
      <formula>R11</formula>
    </cfRule>
  </conditionalFormatting>
  <conditionalFormatting sqref="S12">
    <cfRule type="expression" dxfId="4648" priority="3641">
      <formula>R12="-"</formula>
    </cfRule>
    <cfRule type="cellIs" dxfId="4647" priority="3642" operator="equal">
      <formula>"-"</formula>
    </cfRule>
    <cfRule type="cellIs" dxfId="4646" priority="3643" operator="equal">
      <formula>R12</formula>
    </cfRule>
    <cfRule type="cellIs" dxfId="4645" priority="3644" operator="greaterThan">
      <formula>R12</formula>
    </cfRule>
    <cfRule type="cellIs" dxfId="4644" priority="3645" operator="lessThan">
      <formula>R12</formula>
    </cfRule>
  </conditionalFormatting>
  <conditionalFormatting sqref="S13">
    <cfRule type="expression" dxfId="4643" priority="3636">
      <formula>R13="-"</formula>
    </cfRule>
    <cfRule type="cellIs" dxfId="4642" priority="3637" operator="equal">
      <formula>"-"</formula>
    </cfRule>
    <cfRule type="cellIs" dxfId="4641" priority="3638" operator="equal">
      <formula>R13</formula>
    </cfRule>
    <cfRule type="cellIs" dxfId="4640" priority="3639" operator="greaterThan">
      <formula>R13</formula>
    </cfRule>
    <cfRule type="cellIs" dxfId="4639" priority="3640" operator="lessThan">
      <formula>R13</formula>
    </cfRule>
  </conditionalFormatting>
  <conditionalFormatting sqref="S14">
    <cfRule type="expression" dxfId="4638" priority="3631">
      <formula>R14="-"</formula>
    </cfRule>
    <cfRule type="cellIs" dxfId="4637" priority="3632" operator="equal">
      <formula>"-"</formula>
    </cfRule>
    <cfRule type="cellIs" dxfId="4636" priority="3633" operator="equal">
      <formula>R14</formula>
    </cfRule>
    <cfRule type="cellIs" dxfId="4635" priority="3634" operator="greaterThan">
      <formula>R14</formula>
    </cfRule>
    <cfRule type="cellIs" dxfId="4634" priority="3635" operator="lessThan">
      <formula>R14</formula>
    </cfRule>
  </conditionalFormatting>
  <conditionalFormatting sqref="S15">
    <cfRule type="expression" dxfId="4633" priority="3626">
      <formula>R15="-"</formula>
    </cfRule>
    <cfRule type="cellIs" dxfId="4632" priority="3627" operator="equal">
      <formula>"-"</formula>
    </cfRule>
    <cfRule type="cellIs" dxfId="4631" priority="3628" operator="equal">
      <formula>R15</formula>
    </cfRule>
    <cfRule type="cellIs" dxfId="4630" priority="3629" operator="greaterThan">
      <formula>R15</formula>
    </cfRule>
    <cfRule type="cellIs" dxfId="4629" priority="3630" operator="lessThan">
      <formula>R15</formula>
    </cfRule>
  </conditionalFormatting>
  <conditionalFormatting sqref="S16">
    <cfRule type="expression" dxfId="4628" priority="3621">
      <formula>R16="-"</formula>
    </cfRule>
    <cfRule type="cellIs" dxfId="4627" priority="3622" operator="equal">
      <formula>"-"</formula>
    </cfRule>
    <cfRule type="cellIs" dxfId="4626" priority="3623" operator="equal">
      <formula>R16</formula>
    </cfRule>
    <cfRule type="cellIs" dxfId="4625" priority="3624" operator="greaterThan">
      <formula>R16</formula>
    </cfRule>
    <cfRule type="cellIs" dxfId="4624" priority="3625" operator="lessThan">
      <formula>R16</formula>
    </cfRule>
  </conditionalFormatting>
  <conditionalFormatting sqref="S17">
    <cfRule type="expression" dxfId="4623" priority="3616">
      <formula>R17="-"</formula>
    </cfRule>
    <cfRule type="cellIs" dxfId="4622" priority="3617" operator="equal">
      <formula>"-"</formula>
    </cfRule>
    <cfRule type="cellIs" dxfId="4621" priority="3618" operator="equal">
      <formula>R17</formula>
    </cfRule>
    <cfRule type="cellIs" dxfId="4620" priority="3619" operator="greaterThan">
      <formula>R17</formula>
    </cfRule>
    <cfRule type="cellIs" dxfId="4619" priority="3620" operator="lessThan">
      <formula>R17</formula>
    </cfRule>
  </conditionalFormatting>
  <conditionalFormatting sqref="S18">
    <cfRule type="expression" dxfId="4618" priority="3601">
      <formula>R18="-"</formula>
    </cfRule>
    <cfRule type="cellIs" dxfId="4617" priority="3602" operator="equal">
      <formula>"-"</formula>
    </cfRule>
    <cfRule type="cellIs" dxfId="4616" priority="3603" operator="equal">
      <formula>R18</formula>
    </cfRule>
    <cfRule type="cellIs" dxfId="4615" priority="3604" operator="greaterThan">
      <formula>R18</formula>
    </cfRule>
    <cfRule type="cellIs" dxfId="4614" priority="3605" operator="lessThan">
      <formula>R18</formula>
    </cfRule>
  </conditionalFormatting>
  <conditionalFormatting sqref="S19">
    <cfRule type="expression" dxfId="4613" priority="3596">
      <formula>R19="-"</formula>
    </cfRule>
    <cfRule type="cellIs" dxfId="4612" priority="3597" operator="equal">
      <formula>"-"</formula>
    </cfRule>
    <cfRule type="cellIs" dxfId="4611" priority="3598" operator="equal">
      <formula>R19</formula>
    </cfRule>
    <cfRule type="cellIs" dxfId="4610" priority="3599" operator="greaterThan">
      <formula>R19</formula>
    </cfRule>
    <cfRule type="cellIs" dxfId="4609" priority="3600" operator="lessThan">
      <formula>R19</formula>
    </cfRule>
  </conditionalFormatting>
  <conditionalFormatting sqref="S20">
    <cfRule type="expression" dxfId="4608" priority="3591">
      <formula>R20="-"</formula>
    </cfRule>
    <cfRule type="cellIs" dxfId="4607" priority="3592" operator="equal">
      <formula>"-"</formula>
    </cfRule>
    <cfRule type="cellIs" dxfId="4606" priority="3593" operator="equal">
      <formula>R20</formula>
    </cfRule>
    <cfRule type="cellIs" dxfId="4605" priority="3594" operator="greaterThan">
      <formula>R20</formula>
    </cfRule>
    <cfRule type="cellIs" dxfId="4604" priority="3595" operator="lessThan">
      <formula>R20</formula>
    </cfRule>
  </conditionalFormatting>
  <conditionalFormatting sqref="S21">
    <cfRule type="expression" dxfId="4603" priority="3586">
      <formula>R21="-"</formula>
    </cfRule>
    <cfRule type="cellIs" dxfId="4602" priority="3587" operator="equal">
      <formula>"-"</formula>
    </cfRule>
    <cfRule type="cellIs" dxfId="4601" priority="3588" operator="equal">
      <formula>R21</formula>
    </cfRule>
    <cfRule type="cellIs" dxfId="4600" priority="3589" operator="greaterThan">
      <formula>R21</formula>
    </cfRule>
    <cfRule type="cellIs" dxfId="4599" priority="3590" operator="lessThan">
      <formula>R21</formula>
    </cfRule>
  </conditionalFormatting>
  <conditionalFormatting sqref="S22">
    <cfRule type="expression" dxfId="4598" priority="3566">
      <formula>R22="-"</formula>
    </cfRule>
    <cfRule type="cellIs" dxfId="4597" priority="3567" operator="equal">
      <formula>"-"</formula>
    </cfRule>
    <cfRule type="cellIs" dxfId="4596" priority="3568" operator="equal">
      <formula>R22</formula>
    </cfRule>
    <cfRule type="cellIs" dxfId="4595" priority="3569" operator="greaterThan">
      <formula>R22</formula>
    </cfRule>
    <cfRule type="cellIs" dxfId="4594" priority="3570" operator="lessThan">
      <formula>R22</formula>
    </cfRule>
  </conditionalFormatting>
  <conditionalFormatting sqref="S23">
    <cfRule type="expression" dxfId="4593" priority="3561">
      <formula>R23="-"</formula>
    </cfRule>
    <cfRule type="cellIs" dxfId="4592" priority="3562" operator="equal">
      <formula>"-"</formula>
    </cfRule>
    <cfRule type="cellIs" dxfId="4591" priority="3563" operator="equal">
      <formula>R23</formula>
    </cfRule>
    <cfRule type="cellIs" dxfId="4590" priority="3564" operator="greaterThan">
      <formula>R23</formula>
    </cfRule>
    <cfRule type="cellIs" dxfId="4589" priority="3565" operator="lessThan">
      <formula>R23</formula>
    </cfRule>
  </conditionalFormatting>
  <conditionalFormatting sqref="T6">
    <cfRule type="expression" dxfId="4588" priority="3541">
      <formula>S6="-"</formula>
    </cfRule>
    <cfRule type="cellIs" dxfId="4587" priority="3542" operator="equal">
      <formula>"-"</formula>
    </cfRule>
    <cfRule type="cellIs" dxfId="4586" priority="3543" operator="equal">
      <formula>S6</formula>
    </cfRule>
    <cfRule type="cellIs" dxfId="4585" priority="3544" operator="greaterThan">
      <formula>S6</formula>
    </cfRule>
    <cfRule type="cellIs" dxfId="4584" priority="3545" operator="lessThan">
      <formula>S6</formula>
    </cfRule>
  </conditionalFormatting>
  <conditionalFormatting sqref="T7">
    <cfRule type="expression" dxfId="4583" priority="3536">
      <formula>S7="-"</formula>
    </cfRule>
    <cfRule type="cellIs" dxfId="4582" priority="3537" operator="equal">
      <formula>"-"</formula>
    </cfRule>
    <cfRule type="cellIs" dxfId="4581" priority="3538" operator="equal">
      <formula>S7</formula>
    </cfRule>
    <cfRule type="cellIs" dxfId="4580" priority="3539" operator="greaterThan">
      <formula>S7</formula>
    </cfRule>
    <cfRule type="cellIs" dxfId="4579" priority="3540" operator="lessThan">
      <formula>S7</formula>
    </cfRule>
  </conditionalFormatting>
  <conditionalFormatting sqref="T8">
    <cfRule type="expression" dxfId="4578" priority="3531">
      <formula>S8="-"</formula>
    </cfRule>
    <cfRule type="cellIs" dxfId="4577" priority="3532" operator="equal">
      <formula>"-"</formula>
    </cfRule>
    <cfRule type="cellIs" dxfId="4576" priority="3533" operator="equal">
      <formula>S8</formula>
    </cfRule>
    <cfRule type="cellIs" dxfId="4575" priority="3534" operator="greaterThan">
      <formula>S8</formula>
    </cfRule>
    <cfRule type="cellIs" dxfId="4574" priority="3535" operator="lessThan">
      <formula>S8</formula>
    </cfRule>
  </conditionalFormatting>
  <conditionalFormatting sqref="T9">
    <cfRule type="expression" dxfId="4573" priority="3526">
      <formula>S9="-"</formula>
    </cfRule>
    <cfRule type="cellIs" dxfId="4572" priority="3527" operator="equal">
      <formula>"-"</formula>
    </cfRule>
    <cfRule type="cellIs" dxfId="4571" priority="3528" operator="equal">
      <formula>S9</formula>
    </cfRule>
    <cfRule type="cellIs" dxfId="4570" priority="3529" operator="greaterThan">
      <formula>S9</formula>
    </cfRule>
    <cfRule type="cellIs" dxfId="4569" priority="3530" operator="lessThan">
      <formula>S9</formula>
    </cfRule>
  </conditionalFormatting>
  <conditionalFormatting sqref="T10">
    <cfRule type="expression" dxfId="4568" priority="3521">
      <formula>S10="-"</formula>
    </cfRule>
    <cfRule type="cellIs" dxfId="4567" priority="3522" operator="equal">
      <formula>"-"</formula>
    </cfRule>
    <cfRule type="cellIs" dxfId="4566" priority="3523" operator="equal">
      <formula>S10</formula>
    </cfRule>
    <cfRule type="cellIs" dxfId="4565" priority="3524" operator="greaterThan">
      <formula>S10</formula>
    </cfRule>
    <cfRule type="cellIs" dxfId="4564" priority="3525" operator="lessThan">
      <formula>S10</formula>
    </cfRule>
  </conditionalFormatting>
  <conditionalFormatting sqref="T11">
    <cfRule type="expression" dxfId="4563" priority="3516">
      <formula>S11="-"</formula>
    </cfRule>
    <cfRule type="cellIs" dxfId="4562" priority="3517" operator="equal">
      <formula>"-"</formula>
    </cfRule>
    <cfRule type="cellIs" dxfId="4561" priority="3518" operator="equal">
      <formula>S11</formula>
    </cfRule>
    <cfRule type="cellIs" dxfId="4560" priority="3519" operator="greaterThan">
      <formula>S11</formula>
    </cfRule>
    <cfRule type="cellIs" dxfId="4559" priority="3520" operator="lessThan">
      <formula>S11</formula>
    </cfRule>
  </conditionalFormatting>
  <conditionalFormatting sqref="T12">
    <cfRule type="expression" dxfId="4558" priority="3506">
      <formula>S12="-"</formula>
    </cfRule>
    <cfRule type="cellIs" dxfId="4557" priority="3507" operator="equal">
      <formula>"-"</formula>
    </cfRule>
    <cfRule type="cellIs" dxfId="4556" priority="3508" operator="equal">
      <formula>S12</formula>
    </cfRule>
    <cfRule type="cellIs" dxfId="4555" priority="3509" operator="greaterThan">
      <formula>S12</formula>
    </cfRule>
    <cfRule type="cellIs" dxfId="4554" priority="3510" operator="lessThan">
      <formula>S12</formula>
    </cfRule>
  </conditionalFormatting>
  <conditionalFormatting sqref="T13">
    <cfRule type="expression" dxfId="4553" priority="3501">
      <formula>S13="-"</formula>
    </cfRule>
    <cfRule type="cellIs" dxfId="4552" priority="3502" operator="equal">
      <formula>"-"</formula>
    </cfRule>
    <cfRule type="cellIs" dxfId="4551" priority="3503" operator="equal">
      <formula>S13</formula>
    </cfRule>
    <cfRule type="cellIs" dxfId="4550" priority="3504" operator="greaterThan">
      <formula>S13</formula>
    </cfRule>
    <cfRule type="cellIs" dxfId="4549" priority="3505" operator="lessThan">
      <formula>S13</formula>
    </cfRule>
  </conditionalFormatting>
  <conditionalFormatting sqref="T14">
    <cfRule type="expression" dxfId="4548" priority="3496">
      <formula>S14="-"</formula>
    </cfRule>
    <cfRule type="cellIs" dxfId="4547" priority="3497" operator="equal">
      <formula>"-"</formula>
    </cfRule>
    <cfRule type="cellIs" dxfId="4546" priority="3498" operator="equal">
      <formula>S14</formula>
    </cfRule>
    <cfRule type="cellIs" dxfId="4545" priority="3499" operator="greaterThan">
      <formula>S14</formula>
    </cfRule>
    <cfRule type="cellIs" dxfId="4544" priority="3500" operator="lessThan">
      <formula>S14</formula>
    </cfRule>
  </conditionalFormatting>
  <conditionalFormatting sqref="T15">
    <cfRule type="expression" dxfId="4543" priority="3491">
      <formula>S15="-"</formula>
    </cfRule>
    <cfRule type="cellIs" dxfId="4542" priority="3492" operator="equal">
      <formula>"-"</formula>
    </cfRule>
    <cfRule type="cellIs" dxfId="4541" priority="3493" operator="equal">
      <formula>S15</formula>
    </cfRule>
    <cfRule type="cellIs" dxfId="4540" priority="3494" operator="greaterThan">
      <formula>S15</formula>
    </cfRule>
    <cfRule type="cellIs" dxfId="4539" priority="3495" operator="lessThan">
      <formula>S15</formula>
    </cfRule>
  </conditionalFormatting>
  <conditionalFormatting sqref="T16">
    <cfRule type="expression" dxfId="4538" priority="3486">
      <formula>S16="-"</formula>
    </cfRule>
    <cfRule type="cellIs" dxfId="4537" priority="3487" operator="equal">
      <formula>"-"</formula>
    </cfRule>
    <cfRule type="cellIs" dxfId="4536" priority="3488" operator="equal">
      <formula>S16</formula>
    </cfRule>
    <cfRule type="cellIs" dxfId="4535" priority="3489" operator="greaterThan">
      <formula>S16</formula>
    </cfRule>
    <cfRule type="cellIs" dxfId="4534" priority="3490" operator="lessThan">
      <formula>S16</formula>
    </cfRule>
  </conditionalFormatting>
  <conditionalFormatting sqref="T17">
    <cfRule type="expression" dxfId="4533" priority="3481">
      <formula>S17="-"</formula>
    </cfRule>
    <cfRule type="cellIs" dxfId="4532" priority="3482" operator="equal">
      <formula>"-"</formula>
    </cfRule>
    <cfRule type="cellIs" dxfId="4531" priority="3483" operator="equal">
      <formula>S17</formula>
    </cfRule>
    <cfRule type="cellIs" dxfId="4530" priority="3484" operator="greaterThan">
      <formula>S17</formula>
    </cfRule>
    <cfRule type="cellIs" dxfId="4529" priority="3485" operator="lessThan">
      <formula>S17</formula>
    </cfRule>
  </conditionalFormatting>
  <conditionalFormatting sqref="T18">
    <cfRule type="expression" dxfId="4528" priority="3466">
      <formula>S18="-"</formula>
    </cfRule>
    <cfRule type="cellIs" dxfId="4527" priority="3467" operator="equal">
      <formula>"-"</formula>
    </cfRule>
    <cfRule type="cellIs" dxfId="4526" priority="3468" operator="equal">
      <formula>S18</formula>
    </cfRule>
    <cfRule type="cellIs" dxfId="4525" priority="3469" operator="greaterThan">
      <formula>S18</formula>
    </cfRule>
    <cfRule type="cellIs" dxfId="4524" priority="3470" operator="lessThan">
      <formula>S18</formula>
    </cfRule>
  </conditionalFormatting>
  <conditionalFormatting sqref="T19">
    <cfRule type="expression" dxfId="4523" priority="3461">
      <formula>S19="-"</formula>
    </cfRule>
    <cfRule type="cellIs" dxfId="4522" priority="3462" operator="equal">
      <formula>"-"</formula>
    </cfRule>
    <cfRule type="cellIs" dxfId="4521" priority="3463" operator="equal">
      <formula>S19</formula>
    </cfRule>
    <cfRule type="cellIs" dxfId="4520" priority="3464" operator="greaterThan">
      <formula>S19</formula>
    </cfRule>
    <cfRule type="cellIs" dxfId="4519" priority="3465" operator="lessThan">
      <formula>S19</formula>
    </cfRule>
  </conditionalFormatting>
  <conditionalFormatting sqref="T20">
    <cfRule type="expression" dxfId="4518" priority="3456">
      <formula>S20="-"</formula>
    </cfRule>
    <cfRule type="cellIs" dxfId="4517" priority="3457" operator="equal">
      <formula>"-"</formula>
    </cfRule>
    <cfRule type="cellIs" dxfId="4516" priority="3458" operator="equal">
      <formula>S20</formula>
    </cfRule>
    <cfRule type="cellIs" dxfId="4515" priority="3459" operator="greaterThan">
      <formula>S20</formula>
    </cfRule>
    <cfRule type="cellIs" dxfId="4514" priority="3460" operator="lessThan">
      <formula>S20</formula>
    </cfRule>
  </conditionalFormatting>
  <conditionalFormatting sqref="T21">
    <cfRule type="expression" dxfId="4513" priority="3451">
      <formula>S21="-"</formula>
    </cfRule>
    <cfRule type="cellIs" dxfId="4512" priority="3452" operator="equal">
      <formula>"-"</formula>
    </cfRule>
    <cfRule type="cellIs" dxfId="4511" priority="3453" operator="equal">
      <formula>S21</formula>
    </cfRule>
    <cfRule type="cellIs" dxfId="4510" priority="3454" operator="greaterThan">
      <formula>S21</formula>
    </cfRule>
    <cfRule type="cellIs" dxfId="4509" priority="3455" operator="lessThan">
      <formula>S21</formula>
    </cfRule>
  </conditionalFormatting>
  <conditionalFormatting sqref="T22">
    <cfRule type="expression" dxfId="4508" priority="3431">
      <formula>S22="-"</formula>
    </cfRule>
    <cfRule type="cellIs" dxfId="4507" priority="3432" operator="equal">
      <formula>"-"</formula>
    </cfRule>
    <cfRule type="cellIs" dxfId="4506" priority="3433" operator="equal">
      <formula>S22</formula>
    </cfRule>
    <cfRule type="cellIs" dxfId="4505" priority="3434" operator="greaterThan">
      <formula>S22</formula>
    </cfRule>
    <cfRule type="cellIs" dxfId="4504" priority="3435" operator="lessThan">
      <formula>S22</formula>
    </cfRule>
  </conditionalFormatting>
  <conditionalFormatting sqref="T23">
    <cfRule type="expression" dxfId="4503" priority="3426">
      <formula>S23="-"</formula>
    </cfRule>
    <cfRule type="cellIs" dxfId="4502" priority="3427" operator="equal">
      <formula>"-"</formula>
    </cfRule>
    <cfRule type="cellIs" dxfId="4501" priority="3428" operator="equal">
      <formula>S23</formula>
    </cfRule>
    <cfRule type="cellIs" dxfId="4500" priority="3429" operator="greaterThan">
      <formula>S23</formula>
    </cfRule>
    <cfRule type="cellIs" dxfId="4499" priority="3430" operator="lessThan">
      <formula>S23</formula>
    </cfRule>
  </conditionalFormatting>
  <conditionalFormatting sqref="C4">
    <cfRule type="expression" dxfId="4498" priority="916">
      <formula>B4="-"</formula>
    </cfRule>
    <cfRule type="cellIs" dxfId="4497" priority="917" operator="equal">
      <formula>"-"</formula>
    </cfRule>
    <cfRule type="cellIs" dxfId="4496" priority="918" operator="equal">
      <formula>B4</formula>
    </cfRule>
    <cfRule type="cellIs" dxfId="4495" priority="919" operator="greaterThan">
      <formula>B4</formula>
    </cfRule>
    <cfRule type="cellIs" dxfId="4494" priority="920" operator="lessThan">
      <formula>B4</formula>
    </cfRule>
  </conditionalFormatting>
  <conditionalFormatting sqref="C5">
    <cfRule type="expression" dxfId="4493" priority="911">
      <formula>B5="-"</formula>
    </cfRule>
    <cfRule type="cellIs" dxfId="4492" priority="912" operator="equal">
      <formula>"-"</formula>
    </cfRule>
    <cfRule type="cellIs" dxfId="4491" priority="913" operator="equal">
      <formula>B5</formula>
    </cfRule>
    <cfRule type="cellIs" dxfId="4490" priority="914" operator="greaterThan">
      <formula>B5</formula>
    </cfRule>
    <cfRule type="cellIs" dxfId="4489" priority="915" operator="lessThan">
      <formula>B5</formula>
    </cfRule>
  </conditionalFormatting>
  <conditionalFormatting sqref="D4">
    <cfRule type="expression" dxfId="4488" priority="906">
      <formula>C4="-"</formula>
    </cfRule>
    <cfRule type="cellIs" dxfId="4487" priority="907" operator="equal">
      <formula>"-"</formula>
    </cfRule>
    <cfRule type="cellIs" dxfId="4486" priority="908" operator="equal">
      <formula>C4</formula>
    </cfRule>
    <cfRule type="cellIs" dxfId="4485" priority="909" operator="greaterThan">
      <formula>C4</formula>
    </cfRule>
    <cfRule type="cellIs" dxfId="4484" priority="910" operator="lessThan">
      <formula>C4</formula>
    </cfRule>
  </conditionalFormatting>
  <conditionalFormatting sqref="D5">
    <cfRule type="expression" dxfId="4483" priority="901">
      <formula>C5="-"</formula>
    </cfRule>
    <cfRule type="cellIs" dxfId="4482" priority="902" operator="equal">
      <formula>"-"</formula>
    </cfRule>
    <cfRule type="cellIs" dxfId="4481" priority="903" operator="equal">
      <formula>C5</formula>
    </cfRule>
    <cfRule type="cellIs" dxfId="4480" priority="904" operator="greaterThan">
      <formula>C5</formula>
    </cfRule>
    <cfRule type="cellIs" dxfId="4479" priority="905" operator="lessThan">
      <formula>C5</formula>
    </cfRule>
  </conditionalFormatting>
  <conditionalFormatting sqref="E4">
    <cfRule type="expression" dxfId="4478" priority="896">
      <formula>D4="-"</formula>
    </cfRule>
    <cfRule type="cellIs" dxfId="4477" priority="897" operator="equal">
      <formula>"-"</formula>
    </cfRule>
    <cfRule type="cellIs" dxfId="4476" priority="898" operator="equal">
      <formula>D4</formula>
    </cfRule>
    <cfRule type="cellIs" dxfId="4475" priority="899" operator="greaterThan">
      <formula>D4</formula>
    </cfRule>
    <cfRule type="cellIs" dxfId="4474" priority="900" operator="lessThan">
      <formula>D4</formula>
    </cfRule>
  </conditionalFormatting>
  <conditionalFormatting sqref="E5">
    <cfRule type="expression" dxfId="4473" priority="891">
      <formula>D5="-"</formula>
    </cfRule>
    <cfRule type="cellIs" dxfId="4472" priority="892" operator="equal">
      <formula>"-"</formula>
    </cfRule>
    <cfRule type="cellIs" dxfId="4471" priority="893" operator="equal">
      <formula>D5</formula>
    </cfRule>
    <cfRule type="cellIs" dxfId="4470" priority="894" operator="greaterThan">
      <formula>D5</formula>
    </cfRule>
    <cfRule type="cellIs" dxfId="4469" priority="895" operator="lessThan">
      <formula>D5</formula>
    </cfRule>
  </conditionalFormatting>
  <conditionalFormatting sqref="F4">
    <cfRule type="expression" dxfId="4468" priority="886">
      <formula>E4="-"</formula>
    </cfRule>
    <cfRule type="cellIs" dxfId="4467" priority="887" operator="equal">
      <formula>"-"</formula>
    </cfRule>
    <cfRule type="cellIs" dxfId="4466" priority="888" operator="equal">
      <formula>E4</formula>
    </cfRule>
    <cfRule type="cellIs" dxfId="4465" priority="889" operator="greaterThan">
      <formula>E4</formula>
    </cfRule>
    <cfRule type="cellIs" dxfId="4464" priority="890" operator="lessThan">
      <formula>E4</formula>
    </cfRule>
  </conditionalFormatting>
  <conditionalFormatting sqref="F5">
    <cfRule type="expression" dxfId="4463" priority="881">
      <formula>E5="-"</formula>
    </cfRule>
    <cfRule type="cellIs" dxfId="4462" priority="882" operator="equal">
      <formula>"-"</formula>
    </cfRule>
    <cfRule type="cellIs" dxfId="4461" priority="883" operator="equal">
      <formula>E5</formula>
    </cfRule>
    <cfRule type="cellIs" dxfId="4460" priority="884" operator="greaterThan">
      <formula>E5</formula>
    </cfRule>
    <cfRule type="cellIs" dxfId="4459" priority="885" operator="lessThan">
      <formula>E5</formula>
    </cfRule>
  </conditionalFormatting>
  <conditionalFormatting sqref="G4">
    <cfRule type="expression" dxfId="4458" priority="876">
      <formula>F4="-"</formula>
    </cfRule>
    <cfRule type="cellIs" dxfId="4457" priority="877" operator="equal">
      <formula>"-"</formula>
    </cfRule>
    <cfRule type="cellIs" dxfId="4456" priority="878" operator="equal">
      <formula>F4</formula>
    </cfRule>
    <cfRule type="cellIs" dxfId="4455" priority="879" operator="greaterThan">
      <formula>F4</formula>
    </cfRule>
    <cfRule type="cellIs" dxfId="4454" priority="880" operator="lessThan">
      <formula>F4</formula>
    </cfRule>
  </conditionalFormatting>
  <conditionalFormatting sqref="G5">
    <cfRule type="expression" dxfId="4453" priority="871">
      <formula>F5="-"</formula>
    </cfRule>
    <cfRule type="cellIs" dxfId="4452" priority="872" operator="equal">
      <formula>"-"</formula>
    </cfRule>
    <cfRule type="cellIs" dxfId="4451" priority="873" operator="equal">
      <formula>F5</formula>
    </cfRule>
    <cfRule type="cellIs" dxfId="4450" priority="874" operator="greaterThan">
      <formula>F5</formula>
    </cfRule>
    <cfRule type="cellIs" dxfId="4449" priority="875" operator="lessThan">
      <formula>F5</formula>
    </cfRule>
  </conditionalFormatting>
  <conditionalFormatting sqref="H4">
    <cfRule type="expression" dxfId="4448" priority="866">
      <formula>G4="-"</formula>
    </cfRule>
    <cfRule type="cellIs" dxfId="4447" priority="867" operator="equal">
      <formula>"-"</formula>
    </cfRule>
    <cfRule type="cellIs" dxfId="4446" priority="868" operator="equal">
      <formula>G4</formula>
    </cfRule>
    <cfRule type="cellIs" dxfId="4445" priority="869" operator="greaterThan">
      <formula>G4</formula>
    </cfRule>
    <cfRule type="cellIs" dxfId="4444" priority="870" operator="lessThan">
      <formula>G4</formula>
    </cfRule>
  </conditionalFormatting>
  <conditionalFormatting sqref="H5">
    <cfRule type="expression" dxfId="4443" priority="861">
      <formula>G5="-"</formula>
    </cfRule>
    <cfRule type="cellIs" dxfId="4442" priority="862" operator="equal">
      <formula>"-"</formula>
    </cfRule>
    <cfRule type="cellIs" dxfId="4441" priority="863" operator="equal">
      <formula>G5</formula>
    </cfRule>
    <cfRule type="cellIs" dxfId="4440" priority="864" operator="greaterThan">
      <formula>G5</formula>
    </cfRule>
    <cfRule type="cellIs" dxfId="4439" priority="865" operator="lessThan">
      <formula>G5</formula>
    </cfRule>
  </conditionalFormatting>
  <conditionalFormatting sqref="I4">
    <cfRule type="expression" dxfId="4438" priority="856">
      <formula>H4="-"</formula>
    </cfRule>
    <cfRule type="cellIs" dxfId="4437" priority="857" operator="equal">
      <formula>"-"</formula>
    </cfRule>
    <cfRule type="cellIs" dxfId="4436" priority="858" operator="equal">
      <formula>H4</formula>
    </cfRule>
    <cfRule type="cellIs" dxfId="4435" priority="859" operator="greaterThan">
      <formula>H4</formula>
    </cfRule>
    <cfRule type="cellIs" dxfId="4434" priority="860" operator="lessThan">
      <formula>H4</formula>
    </cfRule>
  </conditionalFormatting>
  <conditionalFormatting sqref="I5">
    <cfRule type="expression" dxfId="4433" priority="851">
      <formula>H5="-"</formula>
    </cfRule>
    <cfRule type="cellIs" dxfId="4432" priority="852" operator="equal">
      <formula>"-"</formula>
    </cfRule>
    <cfRule type="cellIs" dxfId="4431" priority="853" operator="equal">
      <formula>H5</formula>
    </cfRule>
    <cfRule type="cellIs" dxfId="4430" priority="854" operator="greaterThan">
      <formula>H5</formula>
    </cfRule>
    <cfRule type="cellIs" dxfId="4429" priority="855" operator="lessThan">
      <formula>H5</formula>
    </cfRule>
  </conditionalFormatting>
  <conditionalFormatting sqref="J4">
    <cfRule type="expression" dxfId="4428" priority="846">
      <formula>I4="-"</formula>
    </cfRule>
    <cfRule type="cellIs" dxfId="4427" priority="847" operator="equal">
      <formula>"-"</formula>
    </cfRule>
    <cfRule type="cellIs" dxfId="4426" priority="848" operator="equal">
      <formula>I4</formula>
    </cfRule>
    <cfRule type="cellIs" dxfId="4425" priority="849" operator="greaterThan">
      <formula>I4</formula>
    </cfRule>
    <cfRule type="cellIs" dxfId="4424" priority="850" operator="lessThan">
      <formula>I4</formula>
    </cfRule>
  </conditionalFormatting>
  <conditionalFormatting sqref="J5">
    <cfRule type="expression" dxfId="4423" priority="841">
      <formula>I5="-"</formula>
    </cfRule>
    <cfRule type="cellIs" dxfId="4422" priority="842" operator="equal">
      <formula>"-"</formula>
    </cfRule>
    <cfRule type="cellIs" dxfId="4421" priority="843" operator="equal">
      <formula>I5</formula>
    </cfRule>
    <cfRule type="cellIs" dxfId="4420" priority="844" operator="greaterThan">
      <formula>I5</formula>
    </cfRule>
    <cfRule type="cellIs" dxfId="4419" priority="845" operator="lessThan">
      <formula>I5</formula>
    </cfRule>
  </conditionalFormatting>
  <conditionalFormatting sqref="C6">
    <cfRule type="expression" dxfId="4418" priority="836">
      <formula>B6="-"</formula>
    </cfRule>
    <cfRule type="cellIs" dxfId="4417" priority="837" operator="equal">
      <formula>"-"</formula>
    </cfRule>
    <cfRule type="cellIs" dxfId="4416" priority="838" operator="equal">
      <formula>B6</formula>
    </cfRule>
    <cfRule type="cellIs" dxfId="4415" priority="839" operator="greaterThan">
      <formula>B6</formula>
    </cfRule>
    <cfRule type="cellIs" dxfId="4414" priority="840" operator="lessThan">
      <formula>B6</formula>
    </cfRule>
  </conditionalFormatting>
  <conditionalFormatting sqref="C7">
    <cfRule type="expression" dxfId="4413" priority="831">
      <formula>B7="-"</formula>
    </cfRule>
    <cfRule type="cellIs" dxfId="4412" priority="832" operator="equal">
      <formula>"-"</formula>
    </cfRule>
    <cfRule type="cellIs" dxfId="4411" priority="833" operator="equal">
      <formula>B7</formula>
    </cfRule>
    <cfRule type="cellIs" dxfId="4410" priority="834" operator="greaterThan">
      <formula>B7</formula>
    </cfRule>
    <cfRule type="cellIs" dxfId="4409" priority="835" operator="lessThan">
      <formula>B7</formula>
    </cfRule>
  </conditionalFormatting>
  <conditionalFormatting sqref="C8">
    <cfRule type="expression" dxfId="4408" priority="826">
      <formula>B8="-"</formula>
    </cfRule>
    <cfRule type="cellIs" dxfId="4407" priority="827" operator="equal">
      <formula>"-"</formula>
    </cfRule>
    <cfRule type="cellIs" dxfId="4406" priority="828" operator="equal">
      <formula>B8</formula>
    </cfRule>
    <cfRule type="cellIs" dxfId="4405" priority="829" operator="greaterThan">
      <formula>B8</formula>
    </cfRule>
    <cfRule type="cellIs" dxfId="4404" priority="830" operator="lessThan">
      <formula>B8</formula>
    </cfRule>
  </conditionalFormatting>
  <conditionalFormatting sqref="C9">
    <cfRule type="expression" dxfId="4403" priority="821">
      <formula>B9="-"</formula>
    </cfRule>
    <cfRule type="cellIs" dxfId="4402" priority="822" operator="equal">
      <formula>"-"</formula>
    </cfRule>
    <cfRule type="cellIs" dxfId="4401" priority="823" operator="equal">
      <formula>B9</formula>
    </cfRule>
    <cfRule type="cellIs" dxfId="4400" priority="824" operator="greaterThan">
      <formula>B9</formula>
    </cfRule>
    <cfRule type="cellIs" dxfId="4399" priority="825" operator="lessThan">
      <formula>B9</formula>
    </cfRule>
  </conditionalFormatting>
  <conditionalFormatting sqref="C10">
    <cfRule type="expression" dxfId="4398" priority="816">
      <formula>B10="-"</formula>
    </cfRule>
    <cfRule type="cellIs" dxfId="4397" priority="817" operator="equal">
      <formula>"-"</formula>
    </cfRule>
    <cfRule type="cellIs" dxfId="4396" priority="818" operator="equal">
      <formula>B10</formula>
    </cfRule>
    <cfRule type="cellIs" dxfId="4395" priority="819" operator="greaterThan">
      <formula>B10</formula>
    </cfRule>
    <cfRule type="cellIs" dxfId="4394" priority="820" operator="lessThan">
      <formula>B10</formula>
    </cfRule>
  </conditionalFormatting>
  <conditionalFormatting sqref="C11">
    <cfRule type="expression" dxfId="4393" priority="811">
      <formula>B11="-"</formula>
    </cfRule>
    <cfRule type="cellIs" dxfId="4392" priority="812" operator="equal">
      <formula>"-"</formula>
    </cfRule>
    <cfRule type="cellIs" dxfId="4391" priority="813" operator="equal">
      <formula>B11</formula>
    </cfRule>
    <cfRule type="cellIs" dxfId="4390" priority="814" operator="greaterThan">
      <formula>B11</formula>
    </cfRule>
    <cfRule type="cellIs" dxfId="4389" priority="815" operator="lessThan">
      <formula>B11</formula>
    </cfRule>
  </conditionalFormatting>
  <conditionalFormatting sqref="D6">
    <cfRule type="expression" dxfId="4388" priority="806">
      <formula>C6="-"</formula>
    </cfRule>
    <cfRule type="cellIs" dxfId="4387" priority="807" operator="equal">
      <formula>"-"</formula>
    </cfRule>
    <cfRule type="cellIs" dxfId="4386" priority="808" operator="equal">
      <formula>C6</formula>
    </cfRule>
    <cfRule type="cellIs" dxfId="4385" priority="809" operator="greaterThan">
      <formula>C6</formula>
    </cfRule>
    <cfRule type="cellIs" dxfId="4384" priority="810" operator="lessThan">
      <formula>C6</formula>
    </cfRule>
  </conditionalFormatting>
  <conditionalFormatting sqref="D7">
    <cfRule type="expression" dxfId="4383" priority="801">
      <formula>C7="-"</formula>
    </cfRule>
    <cfRule type="cellIs" dxfId="4382" priority="802" operator="equal">
      <formula>"-"</formula>
    </cfRule>
    <cfRule type="cellIs" dxfId="4381" priority="803" operator="equal">
      <formula>C7</formula>
    </cfRule>
    <cfRule type="cellIs" dxfId="4380" priority="804" operator="greaterThan">
      <formula>C7</formula>
    </cfRule>
    <cfRule type="cellIs" dxfId="4379" priority="805" operator="lessThan">
      <formula>C7</formula>
    </cfRule>
  </conditionalFormatting>
  <conditionalFormatting sqref="D8">
    <cfRule type="expression" dxfId="4378" priority="796">
      <formula>C8="-"</formula>
    </cfRule>
    <cfRule type="cellIs" dxfId="4377" priority="797" operator="equal">
      <formula>"-"</formula>
    </cfRule>
    <cfRule type="cellIs" dxfId="4376" priority="798" operator="equal">
      <formula>C8</formula>
    </cfRule>
    <cfRule type="cellIs" dxfId="4375" priority="799" operator="greaterThan">
      <formula>C8</formula>
    </cfRule>
    <cfRule type="cellIs" dxfId="4374" priority="800" operator="lessThan">
      <formula>C8</formula>
    </cfRule>
  </conditionalFormatting>
  <conditionalFormatting sqref="D9">
    <cfRule type="expression" dxfId="4373" priority="791">
      <formula>C9="-"</formula>
    </cfRule>
    <cfRule type="cellIs" dxfId="4372" priority="792" operator="equal">
      <formula>"-"</formula>
    </cfRule>
    <cfRule type="cellIs" dxfId="4371" priority="793" operator="equal">
      <formula>C9</formula>
    </cfRule>
    <cfRule type="cellIs" dxfId="4370" priority="794" operator="greaterThan">
      <formula>C9</formula>
    </cfRule>
    <cfRule type="cellIs" dxfId="4369" priority="795" operator="lessThan">
      <formula>C9</formula>
    </cfRule>
  </conditionalFormatting>
  <conditionalFormatting sqref="D10">
    <cfRule type="expression" dxfId="4368" priority="786">
      <formula>C10="-"</formula>
    </cfRule>
    <cfRule type="cellIs" dxfId="4367" priority="787" operator="equal">
      <formula>"-"</formula>
    </cfRule>
    <cfRule type="cellIs" dxfId="4366" priority="788" operator="equal">
      <formula>C10</formula>
    </cfRule>
    <cfRule type="cellIs" dxfId="4365" priority="789" operator="greaterThan">
      <formula>C10</formula>
    </cfRule>
    <cfRule type="cellIs" dxfId="4364" priority="790" operator="lessThan">
      <formula>C10</formula>
    </cfRule>
  </conditionalFormatting>
  <conditionalFormatting sqref="D11">
    <cfRule type="expression" dxfId="4363" priority="781">
      <formula>C11="-"</formula>
    </cfRule>
    <cfRule type="cellIs" dxfId="4362" priority="782" operator="equal">
      <formula>"-"</formula>
    </cfRule>
    <cfRule type="cellIs" dxfId="4361" priority="783" operator="equal">
      <formula>C11</formula>
    </cfRule>
    <cfRule type="cellIs" dxfId="4360" priority="784" operator="greaterThan">
      <formula>C11</formula>
    </cfRule>
    <cfRule type="cellIs" dxfId="4359" priority="785" operator="lessThan">
      <formula>C11</formula>
    </cfRule>
  </conditionalFormatting>
  <conditionalFormatting sqref="E6">
    <cfRule type="expression" dxfId="4358" priority="776">
      <formula>D6="-"</formula>
    </cfRule>
    <cfRule type="cellIs" dxfId="4357" priority="777" operator="equal">
      <formula>"-"</formula>
    </cfRule>
    <cfRule type="cellIs" dxfId="4356" priority="778" operator="equal">
      <formula>D6</formula>
    </cfRule>
    <cfRule type="cellIs" dxfId="4355" priority="779" operator="greaterThan">
      <formula>D6</formula>
    </cfRule>
    <cfRule type="cellIs" dxfId="4354" priority="780" operator="lessThan">
      <formula>D6</formula>
    </cfRule>
  </conditionalFormatting>
  <conditionalFormatting sqref="E7">
    <cfRule type="expression" dxfId="4353" priority="771">
      <formula>D7="-"</formula>
    </cfRule>
    <cfRule type="cellIs" dxfId="4352" priority="772" operator="equal">
      <formula>"-"</formula>
    </cfRule>
    <cfRule type="cellIs" dxfId="4351" priority="773" operator="equal">
      <formula>D7</formula>
    </cfRule>
    <cfRule type="cellIs" dxfId="4350" priority="774" operator="greaterThan">
      <formula>D7</formula>
    </cfRule>
    <cfRule type="cellIs" dxfId="4349" priority="775" operator="lessThan">
      <formula>D7</formula>
    </cfRule>
  </conditionalFormatting>
  <conditionalFormatting sqref="E8">
    <cfRule type="expression" dxfId="4348" priority="766">
      <formula>D8="-"</formula>
    </cfRule>
    <cfRule type="cellIs" dxfId="4347" priority="767" operator="equal">
      <formula>"-"</formula>
    </cfRule>
    <cfRule type="cellIs" dxfId="4346" priority="768" operator="equal">
      <formula>D8</formula>
    </cfRule>
    <cfRule type="cellIs" dxfId="4345" priority="769" operator="greaterThan">
      <formula>D8</formula>
    </cfRule>
    <cfRule type="cellIs" dxfId="4344" priority="770" operator="lessThan">
      <formula>D8</formula>
    </cfRule>
  </conditionalFormatting>
  <conditionalFormatting sqref="E9">
    <cfRule type="expression" dxfId="4343" priority="761">
      <formula>D9="-"</formula>
    </cfRule>
    <cfRule type="cellIs" dxfId="4342" priority="762" operator="equal">
      <formula>"-"</formula>
    </cfRule>
    <cfRule type="cellIs" dxfId="4341" priority="763" operator="equal">
      <formula>D9</formula>
    </cfRule>
    <cfRule type="cellIs" dxfId="4340" priority="764" operator="greaterThan">
      <formula>D9</formula>
    </cfRule>
    <cfRule type="cellIs" dxfId="4339" priority="765" operator="lessThan">
      <formula>D9</formula>
    </cfRule>
  </conditionalFormatting>
  <conditionalFormatting sqref="E10">
    <cfRule type="expression" dxfId="4338" priority="756">
      <formula>D10="-"</formula>
    </cfRule>
    <cfRule type="cellIs" dxfId="4337" priority="757" operator="equal">
      <formula>"-"</formula>
    </cfRule>
    <cfRule type="cellIs" dxfId="4336" priority="758" operator="equal">
      <formula>D10</formula>
    </cfRule>
    <cfRule type="cellIs" dxfId="4335" priority="759" operator="greaterThan">
      <formula>D10</formula>
    </cfRule>
    <cfRule type="cellIs" dxfId="4334" priority="760" operator="lessThan">
      <formula>D10</formula>
    </cfRule>
  </conditionalFormatting>
  <conditionalFormatting sqref="E11">
    <cfRule type="expression" dxfId="4333" priority="751">
      <formula>D11="-"</formula>
    </cfRule>
    <cfRule type="cellIs" dxfId="4332" priority="752" operator="equal">
      <formula>"-"</formula>
    </cfRule>
    <cfRule type="cellIs" dxfId="4331" priority="753" operator="equal">
      <formula>D11</formula>
    </cfRule>
    <cfRule type="cellIs" dxfId="4330" priority="754" operator="greaterThan">
      <formula>D11</formula>
    </cfRule>
    <cfRule type="cellIs" dxfId="4329" priority="755" operator="lessThan">
      <formula>D11</formula>
    </cfRule>
  </conditionalFormatting>
  <conditionalFormatting sqref="F6">
    <cfRule type="expression" dxfId="4328" priority="746">
      <formula>E6="-"</formula>
    </cfRule>
    <cfRule type="cellIs" dxfId="4327" priority="747" operator="equal">
      <formula>"-"</formula>
    </cfRule>
    <cfRule type="cellIs" dxfId="4326" priority="748" operator="equal">
      <formula>E6</formula>
    </cfRule>
    <cfRule type="cellIs" dxfId="4325" priority="749" operator="greaterThan">
      <formula>E6</formula>
    </cfRule>
    <cfRule type="cellIs" dxfId="4324" priority="750" operator="lessThan">
      <formula>E6</formula>
    </cfRule>
  </conditionalFormatting>
  <conditionalFormatting sqref="F7">
    <cfRule type="expression" dxfId="4323" priority="741">
      <formula>E7="-"</formula>
    </cfRule>
    <cfRule type="cellIs" dxfId="4322" priority="742" operator="equal">
      <formula>"-"</formula>
    </cfRule>
    <cfRule type="cellIs" dxfId="4321" priority="743" operator="equal">
      <formula>E7</formula>
    </cfRule>
    <cfRule type="cellIs" dxfId="4320" priority="744" operator="greaterThan">
      <formula>E7</formula>
    </cfRule>
    <cfRule type="cellIs" dxfId="4319" priority="745" operator="lessThan">
      <formula>E7</formula>
    </cfRule>
  </conditionalFormatting>
  <conditionalFormatting sqref="F8">
    <cfRule type="expression" dxfId="4318" priority="736">
      <formula>E8="-"</formula>
    </cfRule>
    <cfRule type="cellIs" dxfId="4317" priority="737" operator="equal">
      <formula>"-"</formula>
    </cfRule>
    <cfRule type="cellIs" dxfId="4316" priority="738" operator="equal">
      <formula>E8</formula>
    </cfRule>
    <cfRule type="cellIs" dxfId="4315" priority="739" operator="greaterThan">
      <formula>E8</formula>
    </cfRule>
    <cfRule type="cellIs" dxfId="4314" priority="740" operator="lessThan">
      <formula>E8</formula>
    </cfRule>
  </conditionalFormatting>
  <conditionalFormatting sqref="F9">
    <cfRule type="expression" dxfId="4313" priority="731">
      <formula>E9="-"</formula>
    </cfRule>
    <cfRule type="cellIs" dxfId="4312" priority="732" operator="equal">
      <formula>"-"</formula>
    </cfRule>
    <cfRule type="cellIs" dxfId="4311" priority="733" operator="equal">
      <formula>E9</formula>
    </cfRule>
    <cfRule type="cellIs" dxfId="4310" priority="734" operator="greaterThan">
      <formula>E9</formula>
    </cfRule>
    <cfRule type="cellIs" dxfId="4309" priority="735" operator="lessThan">
      <formula>E9</formula>
    </cfRule>
  </conditionalFormatting>
  <conditionalFormatting sqref="F10">
    <cfRule type="expression" dxfId="4308" priority="726">
      <formula>E10="-"</formula>
    </cfRule>
    <cfRule type="cellIs" dxfId="4307" priority="727" operator="equal">
      <formula>"-"</formula>
    </cfRule>
    <cfRule type="cellIs" dxfId="4306" priority="728" operator="equal">
      <formula>E10</formula>
    </cfRule>
    <cfRule type="cellIs" dxfId="4305" priority="729" operator="greaterThan">
      <formula>E10</formula>
    </cfRule>
    <cfRule type="cellIs" dxfId="4304" priority="730" operator="lessThan">
      <formula>E10</formula>
    </cfRule>
  </conditionalFormatting>
  <conditionalFormatting sqref="F11">
    <cfRule type="expression" dxfId="4303" priority="721">
      <formula>E11="-"</formula>
    </cfRule>
    <cfRule type="cellIs" dxfId="4302" priority="722" operator="equal">
      <formula>"-"</formula>
    </cfRule>
    <cfRule type="cellIs" dxfId="4301" priority="723" operator="equal">
      <formula>E11</formula>
    </cfRule>
    <cfRule type="cellIs" dxfId="4300" priority="724" operator="greaterThan">
      <formula>E11</formula>
    </cfRule>
    <cfRule type="cellIs" dxfId="4299" priority="725" operator="lessThan">
      <formula>E11</formula>
    </cfRule>
  </conditionalFormatting>
  <conditionalFormatting sqref="G6">
    <cfRule type="expression" dxfId="4298" priority="716">
      <formula>F6="-"</formula>
    </cfRule>
    <cfRule type="cellIs" dxfId="4297" priority="717" operator="equal">
      <formula>"-"</formula>
    </cfRule>
    <cfRule type="cellIs" dxfId="4296" priority="718" operator="equal">
      <formula>F6</formula>
    </cfRule>
    <cfRule type="cellIs" dxfId="4295" priority="719" operator="greaterThan">
      <formula>F6</formula>
    </cfRule>
    <cfRule type="cellIs" dxfId="4294" priority="720" operator="lessThan">
      <formula>F6</formula>
    </cfRule>
  </conditionalFormatting>
  <conditionalFormatting sqref="G7">
    <cfRule type="expression" dxfId="4293" priority="711">
      <formula>F7="-"</formula>
    </cfRule>
    <cfRule type="cellIs" dxfId="4292" priority="712" operator="equal">
      <formula>"-"</formula>
    </cfRule>
    <cfRule type="cellIs" dxfId="4291" priority="713" operator="equal">
      <formula>F7</formula>
    </cfRule>
    <cfRule type="cellIs" dxfId="4290" priority="714" operator="greaterThan">
      <formula>F7</formula>
    </cfRule>
    <cfRule type="cellIs" dxfId="4289" priority="715" operator="lessThan">
      <formula>F7</formula>
    </cfRule>
  </conditionalFormatting>
  <conditionalFormatting sqref="G8">
    <cfRule type="expression" dxfId="4288" priority="706">
      <formula>F8="-"</formula>
    </cfRule>
    <cfRule type="cellIs" dxfId="4287" priority="707" operator="equal">
      <formula>"-"</formula>
    </cfRule>
    <cfRule type="cellIs" dxfId="4286" priority="708" operator="equal">
      <formula>F8</formula>
    </cfRule>
    <cfRule type="cellIs" dxfId="4285" priority="709" operator="greaterThan">
      <formula>F8</formula>
    </cfRule>
    <cfRule type="cellIs" dxfId="4284" priority="710" operator="lessThan">
      <formula>F8</formula>
    </cfRule>
  </conditionalFormatting>
  <conditionalFormatting sqref="G9">
    <cfRule type="expression" dxfId="4283" priority="701">
      <formula>F9="-"</formula>
    </cfRule>
    <cfRule type="cellIs" dxfId="4282" priority="702" operator="equal">
      <formula>"-"</formula>
    </cfRule>
    <cfRule type="cellIs" dxfId="4281" priority="703" operator="equal">
      <formula>F9</formula>
    </cfRule>
    <cfRule type="cellIs" dxfId="4280" priority="704" operator="greaterThan">
      <formula>F9</formula>
    </cfRule>
    <cfRule type="cellIs" dxfId="4279" priority="705" operator="lessThan">
      <formula>F9</formula>
    </cfRule>
  </conditionalFormatting>
  <conditionalFormatting sqref="G10">
    <cfRule type="expression" dxfId="4278" priority="696">
      <formula>F10="-"</formula>
    </cfRule>
    <cfRule type="cellIs" dxfId="4277" priority="697" operator="equal">
      <formula>"-"</formula>
    </cfRule>
    <cfRule type="cellIs" dxfId="4276" priority="698" operator="equal">
      <formula>F10</formula>
    </cfRule>
    <cfRule type="cellIs" dxfId="4275" priority="699" operator="greaterThan">
      <formula>F10</formula>
    </cfRule>
    <cfRule type="cellIs" dxfId="4274" priority="700" operator="lessThan">
      <formula>F10</formula>
    </cfRule>
  </conditionalFormatting>
  <conditionalFormatting sqref="G11">
    <cfRule type="expression" dxfId="4273" priority="691">
      <formula>F11="-"</formula>
    </cfRule>
    <cfRule type="cellIs" dxfId="4272" priority="692" operator="equal">
      <formula>"-"</formula>
    </cfRule>
    <cfRule type="cellIs" dxfId="4271" priority="693" operator="equal">
      <formula>F11</formula>
    </cfRule>
    <cfRule type="cellIs" dxfId="4270" priority="694" operator="greaterThan">
      <formula>F11</formula>
    </cfRule>
    <cfRule type="cellIs" dxfId="4269" priority="695" operator="lessThan">
      <formula>F11</formula>
    </cfRule>
  </conditionalFormatting>
  <conditionalFormatting sqref="H6">
    <cfRule type="expression" dxfId="4268" priority="686">
      <formula>G6="-"</formula>
    </cfRule>
    <cfRule type="cellIs" dxfId="4267" priority="687" operator="equal">
      <formula>"-"</formula>
    </cfRule>
    <cfRule type="cellIs" dxfId="4266" priority="688" operator="equal">
      <formula>G6</formula>
    </cfRule>
    <cfRule type="cellIs" dxfId="4265" priority="689" operator="greaterThan">
      <formula>G6</formula>
    </cfRule>
    <cfRule type="cellIs" dxfId="4264" priority="690" operator="lessThan">
      <formula>G6</formula>
    </cfRule>
  </conditionalFormatting>
  <conditionalFormatting sqref="H7">
    <cfRule type="expression" dxfId="4263" priority="681">
      <formula>G7="-"</formula>
    </cfRule>
    <cfRule type="cellIs" dxfId="4262" priority="682" operator="equal">
      <formula>"-"</formula>
    </cfRule>
    <cfRule type="cellIs" dxfId="4261" priority="683" operator="equal">
      <formula>G7</formula>
    </cfRule>
    <cfRule type="cellIs" dxfId="4260" priority="684" operator="greaterThan">
      <formula>G7</formula>
    </cfRule>
    <cfRule type="cellIs" dxfId="4259" priority="685" operator="lessThan">
      <formula>G7</formula>
    </cfRule>
  </conditionalFormatting>
  <conditionalFormatting sqref="H8">
    <cfRule type="expression" dxfId="4258" priority="676">
      <formula>G8="-"</formula>
    </cfRule>
    <cfRule type="cellIs" dxfId="4257" priority="677" operator="equal">
      <formula>"-"</formula>
    </cfRule>
    <cfRule type="cellIs" dxfId="4256" priority="678" operator="equal">
      <formula>G8</formula>
    </cfRule>
    <cfRule type="cellIs" dxfId="4255" priority="679" operator="greaterThan">
      <formula>G8</formula>
    </cfRule>
    <cfRule type="cellIs" dxfId="4254" priority="680" operator="lessThan">
      <formula>G8</formula>
    </cfRule>
  </conditionalFormatting>
  <conditionalFormatting sqref="H9">
    <cfRule type="expression" dxfId="4253" priority="671">
      <formula>G9="-"</formula>
    </cfRule>
    <cfRule type="cellIs" dxfId="4252" priority="672" operator="equal">
      <formula>"-"</formula>
    </cfRule>
    <cfRule type="cellIs" dxfId="4251" priority="673" operator="equal">
      <formula>G9</formula>
    </cfRule>
    <cfRule type="cellIs" dxfId="4250" priority="674" operator="greaterThan">
      <formula>G9</formula>
    </cfRule>
    <cfRule type="cellIs" dxfId="4249" priority="675" operator="lessThan">
      <formula>G9</formula>
    </cfRule>
  </conditionalFormatting>
  <conditionalFormatting sqref="H10">
    <cfRule type="expression" dxfId="4248" priority="666">
      <formula>G10="-"</formula>
    </cfRule>
    <cfRule type="cellIs" dxfId="4247" priority="667" operator="equal">
      <formula>"-"</formula>
    </cfRule>
    <cfRule type="cellIs" dxfId="4246" priority="668" operator="equal">
      <formula>G10</formula>
    </cfRule>
    <cfRule type="cellIs" dxfId="4245" priority="669" operator="greaterThan">
      <formula>G10</formula>
    </cfRule>
    <cfRule type="cellIs" dxfId="4244" priority="670" operator="lessThan">
      <formula>G10</formula>
    </cfRule>
  </conditionalFormatting>
  <conditionalFormatting sqref="H11">
    <cfRule type="expression" dxfId="4243" priority="661">
      <formula>G11="-"</formula>
    </cfRule>
    <cfRule type="cellIs" dxfId="4242" priority="662" operator="equal">
      <formula>"-"</formula>
    </cfRule>
    <cfRule type="cellIs" dxfId="4241" priority="663" operator="equal">
      <formula>G11</formula>
    </cfRule>
    <cfRule type="cellIs" dxfId="4240" priority="664" operator="greaterThan">
      <formula>G11</formula>
    </cfRule>
    <cfRule type="cellIs" dxfId="4239" priority="665" operator="lessThan">
      <formula>G11</formula>
    </cfRule>
  </conditionalFormatting>
  <conditionalFormatting sqref="I6">
    <cfRule type="expression" dxfId="4238" priority="656">
      <formula>H6="-"</formula>
    </cfRule>
    <cfRule type="cellIs" dxfId="4237" priority="657" operator="equal">
      <formula>"-"</formula>
    </cfRule>
    <cfRule type="cellIs" dxfId="4236" priority="658" operator="equal">
      <formula>H6</formula>
    </cfRule>
    <cfRule type="cellIs" dxfId="4235" priority="659" operator="greaterThan">
      <formula>H6</formula>
    </cfRule>
    <cfRule type="cellIs" dxfId="4234" priority="660" operator="lessThan">
      <formula>H6</formula>
    </cfRule>
  </conditionalFormatting>
  <conditionalFormatting sqref="I7">
    <cfRule type="expression" dxfId="4233" priority="651">
      <formula>H7="-"</formula>
    </cfRule>
    <cfRule type="cellIs" dxfId="4232" priority="652" operator="equal">
      <formula>"-"</formula>
    </cfRule>
    <cfRule type="cellIs" dxfId="4231" priority="653" operator="equal">
      <formula>H7</formula>
    </cfRule>
    <cfRule type="cellIs" dxfId="4230" priority="654" operator="greaterThan">
      <formula>H7</formula>
    </cfRule>
    <cfRule type="cellIs" dxfId="4229" priority="655" operator="lessThan">
      <formula>H7</formula>
    </cfRule>
  </conditionalFormatting>
  <conditionalFormatting sqref="I8">
    <cfRule type="expression" dxfId="4228" priority="646">
      <formula>H8="-"</formula>
    </cfRule>
    <cfRule type="cellIs" dxfId="4227" priority="647" operator="equal">
      <formula>"-"</formula>
    </cfRule>
    <cfRule type="cellIs" dxfId="4226" priority="648" operator="equal">
      <formula>H8</formula>
    </cfRule>
    <cfRule type="cellIs" dxfId="4225" priority="649" operator="greaterThan">
      <formula>H8</formula>
    </cfRule>
    <cfRule type="cellIs" dxfId="4224" priority="650" operator="lessThan">
      <formula>H8</formula>
    </cfRule>
  </conditionalFormatting>
  <conditionalFormatting sqref="I9">
    <cfRule type="expression" dxfId="4223" priority="641">
      <formula>H9="-"</formula>
    </cfRule>
    <cfRule type="cellIs" dxfId="4222" priority="642" operator="equal">
      <formula>"-"</formula>
    </cfRule>
    <cfRule type="cellIs" dxfId="4221" priority="643" operator="equal">
      <formula>H9</formula>
    </cfRule>
    <cfRule type="cellIs" dxfId="4220" priority="644" operator="greaterThan">
      <formula>H9</formula>
    </cfRule>
    <cfRule type="cellIs" dxfId="4219" priority="645" operator="lessThan">
      <formula>H9</formula>
    </cfRule>
  </conditionalFormatting>
  <conditionalFormatting sqref="I10">
    <cfRule type="expression" dxfId="4218" priority="636">
      <formula>H10="-"</formula>
    </cfRule>
    <cfRule type="cellIs" dxfId="4217" priority="637" operator="equal">
      <formula>"-"</formula>
    </cfRule>
    <cfRule type="cellIs" dxfId="4216" priority="638" operator="equal">
      <formula>H10</formula>
    </cfRule>
    <cfRule type="cellIs" dxfId="4215" priority="639" operator="greaterThan">
      <formula>H10</formula>
    </cfRule>
    <cfRule type="cellIs" dxfId="4214" priority="640" operator="lessThan">
      <formula>H10</formula>
    </cfRule>
  </conditionalFormatting>
  <conditionalFormatting sqref="I11">
    <cfRule type="expression" dxfId="4213" priority="631">
      <formula>H11="-"</formula>
    </cfRule>
    <cfRule type="cellIs" dxfId="4212" priority="632" operator="equal">
      <formula>"-"</formula>
    </cfRule>
    <cfRule type="cellIs" dxfId="4211" priority="633" operator="equal">
      <formula>H11</formula>
    </cfRule>
    <cfRule type="cellIs" dxfId="4210" priority="634" operator="greaterThan">
      <formula>H11</formula>
    </cfRule>
    <cfRule type="cellIs" dxfId="4209" priority="635" operator="lessThan">
      <formula>H11</formula>
    </cfRule>
  </conditionalFormatting>
  <conditionalFormatting sqref="J6">
    <cfRule type="expression" dxfId="4208" priority="626">
      <formula>I6="-"</formula>
    </cfRule>
    <cfRule type="cellIs" dxfId="4207" priority="627" operator="equal">
      <formula>"-"</formula>
    </cfRule>
    <cfRule type="cellIs" dxfId="4206" priority="628" operator="equal">
      <formula>I6</formula>
    </cfRule>
    <cfRule type="cellIs" dxfId="4205" priority="629" operator="greaterThan">
      <formula>I6</formula>
    </cfRule>
    <cfRule type="cellIs" dxfId="4204" priority="630" operator="lessThan">
      <formula>I6</formula>
    </cfRule>
  </conditionalFormatting>
  <conditionalFormatting sqref="J7">
    <cfRule type="expression" dxfId="4203" priority="621">
      <formula>I7="-"</formula>
    </cfRule>
    <cfRule type="cellIs" dxfId="4202" priority="622" operator="equal">
      <formula>"-"</formula>
    </cfRule>
    <cfRule type="cellIs" dxfId="4201" priority="623" operator="equal">
      <formula>I7</formula>
    </cfRule>
    <cfRule type="cellIs" dxfId="4200" priority="624" operator="greaterThan">
      <formula>I7</formula>
    </cfRule>
    <cfRule type="cellIs" dxfId="4199" priority="625" operator="lessThan">
      <formula>I7</formula>
    </cfRule>
  </conditionalFormatting>
  <conditionalFormatting sqref="J8">
    <cfRule type="expression" dxfId="4198" priority="616">
      <formula>I8="-"</formula>
    </cfRule>
    <cfRule type="cellIs" dxfId="4197" priority="617" operator="equal">
      <formula>"-"</formula>
    </cfRule>
    <cfRule type="cellIs" dxfId="4196" priority="618" operator="equal">
      <formula>I8</formula>
    </cfRule>
    <cfRule type="cellIs" dxfId="4195" priority="619" operator="greaterThan">
      <formula>I8</formula>
    </cfRule>
    <cfRule type="cellIs" dxfId="4194" priority="620" operator="lessThan">
      <formula>I8</formula>
    </cfRule>
  </conditionalFormatting>
  <conditionalFormatting sqref="J9">
    <cfRule type="expression" dxfId="4193" priority="611">
      <formula>I9="-"</formula>
    </cfRule>
    <cfRule type="cellIs" dxfId="4192" priority="612" operator="equal">
      <formula>"-"</formula>
    </cfRule>
    <cfRule type="cellIs" dxfId="4191" priority="613" operator="equal">
      <formula>I9</formula>
    </cfRule>
    <cfRule type="cellIs" dxfId="4190" priority="614" operator="greaterThan">
      <formula>I9</formula>
    </cfRule>
    <cfRule type="cellIs" dxfId="4189" priority="615" operator="lessThan">
      <formula>I9</formula>
    </cfRule>
  </conditionalFormatting>
  <conditionalFormatting sqref="J10">
    <cfRule type="expression" dxfId="4188" priority="606">
      <formula>I10="-"</formula>
    </cfRule>
    <cfRule type="cellIs" dxfId="4187" priority="607" operator="equal">
      <formula>"-"</formula>
    </cfRule>
    <cfRule type="cellIs" dxfId="4186" priority="608" operator="equal">
      <formula>I10</formula>
    </cfRule>
    <cfRule type="cellIs" dxfId="4185" priority="609" operator="greaterThan">
      <formula>I10</formula>
    </cfRule>
    <cfRule type="cellIs" dxfId="4184" priority="610" operator="lessThan">
      <formula>I10</formula>
    </cfRule>
  </conditionalFormatting>
  <conditionalFormatting sqref="J11">
    <cfRule type="expression" dxfId="4183" priority="601">
      <formula>I11="-"</formula>
    </cfRule>
    <cfRule type="cellIs" dxfId="4182" priority="602" operator="equal">
      <formula>"-"</formula>
    </cfRule>
    <cfRule type="cellIs" dxfId="4181" priority="603" operator="equal">
      <formula>I11</formula>
    </cfRule>
    <cfRule type="cellIs" dxfId="4180" priority="604" operator="greaterThan">
      <formula>I11</formula>
    </cfRule>
    <cfRule type="cellIs" dxfId="4179" priority="605" operator="lessThan">
      <formula>I11</formula>
    </cfRule>
  </conditionalFormatting>
  <conditionalFormatting sqref="C12">
    <cfRule type="expression" dxfId="4178" priority="596">
      <formula>B12="-"</formula>
    </cfRule>
    <cfRule type="cellIs" dxfId="4177" priority="597" operator="equal">
      <formula>"-"</formula>
    </cfRule>
    <cfRule type="cellIs" dxfId="4176" priority="598" operator="equal">
      <formula>B12</formula>
    </cfRule>
    <cfRule type="cellIs" dxfId="4175" priority="599" operator="greaterThan">
      <formula>B12</formula>
    </cfRule>
    <cfRule type="cellIs" dxfId="4174" priority="600" operator="lessThan">
      <formula>B12</formula>
    </cfRule>
  </conditionalFormatting>
  <conditionalFormatting sqref="C13">
    <cfRule type="expression" dxfId="4173" priority="591">
      <formula>B13="-"</formula>
    </cfRule>
    <cfRule type="cellIs" dxfId="4172" priority="592" operator="equal">
      <formula>"-"</formula>
    </cfRule>
    <cfRule type="cellIs" dxfId="4171" priority="593" operator="equal">
      <formula>B13</formula>
    </cfRule>
    <cfRule type="cellIs" dxfId="4170" priority="594" operator="greaterThan">
      <formula>B13</formula>
    </cfRule>
    <cfRule type="cellIs" dxfId="4169" priority="595" operator="lessThan">
      <formula>B13</formula>
    </cfRule>
  </conditionalFormatting>
  <conditionalFormatting sqref="C14">
    <cfRule type="expression" dxfId="4168" priority="586">
      <formula>B14="-"</formula>
    </cfRule>
    <cfRule type="cellIs" dxfId="4167" priority="587" operator="equal">
      <formula>"-"</formula>
    </cfRule>
    <cfRule type="cellIs" dxfId="4166" priority="588" operator="equal">
      <formula>B14</formula>
    </cfRule>
    <cfRule type="cellIs" dxfId="4165" priority="589" operator="greaterThan">
      <formula>B14</formula>
    </cfRule>
    <cfRule type="cellIs" dxfId="4164" priority="590" operator="lessThan">
      <formula>B14</formula>
    </cfRule>
  </conditionalFormatting>
  <conditionalFormatting sqref="C15">
    <cfRule type="expression" dxfId="4163" priority="581">
      <formula>B15="-"</formula>
    </cfRule>
    <cfRule type="cellIs" dxfId="4162" priority="582" operator="equal">
      <formula>"-"</formula>
    </cfRule>
    <cfRule type="cellIs" dxfId="4161" priority="583" operator="equal">
      <formula>B15</formula>
    </cfRule>
    <cfRule type="cellIs" dxfId="4160" priority="584" operator="greaterThan">
      <formula>B15</formula>
    </cfRule>
    <cfRule type="cellIs" dxfId="4159" priority="585" operator="lessThan">
      <formula>B15</formula>
    </cfRule>
  </conditionalFormatting>
  <conditionalFormatting sqref="C16">
    <cfRule type="expression" dxfId="4158" priority="576">
      <formula>B16="-"</formula>
    </cfRule>
    <cfRule type="cellIs" dxfId="4157" priority="577" operator="equal">
      <formula>"-"</formula>
    </cfRule>
    <cfRule type="cellIs" dxfId="4156" priority="578" operator="equal">
      <formula>B16</formula>
    </cfRule>
    <cfRule type="cellIs" dxfId="4155" priority="579" operator="greaterThan">
      <formula>B16</formula>
    </cfRule>
    <cfRule type="cellIs" dxfId="4154" priority="580" operator="lessThan">
      <formula>B16</formula>
    </cfRule>
  </conditionalFormatting>
  <conditionalFormatting sqref="C17">
    <cfRule type="expression" dxfId="4153" priority="571">
      <formula>B17="-"</formula>
    </cfRule>
    <cfRule type="cellIs" dxfId="4152" priority="572" operator="equal">
      <formula>"-"</formula>
    </cfRule>
    <cfRule type="cellIs" dxfId="4151" priority="573" operator="equal">
      <formula>B17</formula>
    </cfRule>
    <cfRule type="cellIs" dxfId="4150" priority="574" operator="greaterThan">
      <formula>B17</formula>
    </cfRule>
    <cfRule type="cellIs" dxfId="4149" priority="575" operator="lessThan">
      <formula>B17</formula>
    </cfRule>
  </conditionalFormatting>
  <conditionalFormatting sqref="D12">
    <cfRule type="expression" dxfId="4148" priority="566">
      <formula>C12="-"</formula>
    </cfRule>
    <cfRule type="cellIs" dxfId="4147" priority="567" operator="equal">
      <formula>"-"</formula>
    </cfRule>
    <cfRule type="cellIs" dxfId="4146" priority="568" operator="equal">
      <formula>C12</formula>
    </cfRule>
    <cfRule type="cellIs" dxfId="4145" priority="569" operator="greaterThan">
      <formula>C12</formula>
    </cfRule>
    <cfRule type="cellIs" dxfId="4144" priority="570" operator="lessThan">
      <formula>C12</formula>
    </cfRule>
  </conditionalFormatting>
  <conditionalFormatting sqref="D13">
    <cfRule type="expression" dxfId="4143" priority="561">
      <formula>C13="-"</formula>
    </cfRule>
    <cfRule type="cellIs" dxfId="4142" priority="562" operator="equal">
      <formula>"-"</formula>
    </cfRule>
    <cfRule type="cellIs" dxfId="4141" priority="563" operator="equal">
      <formula>C13</formula>
    </cfRule>
    <cfRule type="cellIs" dxfId="4140" priority="564" operator="greaterThan">
      <formula>C13</formula>
    </cfRule>
    <cfRule type="cellIs" dxfId="4139" priority="565" operator="lessThan">
      <formula>C13</formula>
    </cfRule>
  </conditionalFormatting>
  <conditionalFormatting sqref="D14">
    <cfRule type="expression" dxfId="4138" priority="556">
      <formula>C14="-"</formula>
    </cfRule>
    <cfRule type="cellIs" dxfId="4137" priority="557" operator="equal">
      <formula>"-"</formula>
    </cfRule>
    <cfRule type="cellIs" dxfId="4136" priority="558" operator="equal">
      <formula>C14</formula>
    </cfRule>
    <cfRule type="cellIs" dxfId="4135" priority="559" operator="greaterThan">
      <formula>C14</formula>
    </cfRule>
    <cfRule type="cellIs" dxfId="4134" priority="560" operator="lessThan">
      <formula>C14</formula>
    </cfRule>
  </conditionalFormatting>
  <conditionalFormatting sqref="D15">
    <cfRule type="expression" dxfId="4133" priority="551">
      <formula>C15="-"</formula>
    </cfRule>
    <cfRule type="cellIs" dxfId="4132" priority="552" operator="equal">
      <formula>"-"</formula>
    </cfRule>
    <cfRule type="cellIs" dxfId="4131" priority="553" operator="equal">
      <formula>C15</formula>
    </cfRule>
    <cfRule type="cellIs" dxfId="4130" priority="554" operator="greaterThan">
      <formula>C15</formula>
    </cfRule>
    <cfRule type="cellIs" dxfId="4129" priority="555" operator="lessThan">
      <formula>C15</formula>
    </cfRule>
  </conditionalFormatting>
  <conditionalFormatting sqref="D16">
    <cfRule type="expression" dxfId="4128" priority="546">
      <formula>C16="-"</formula>
    </cfRule>
    <cfRule type="cellIs" dxfId="4127" priority="547" operator="equal">
      <formula>"-"</formula>
    </cfRule>
    <cfRule type="cellIs" dxfId="4126" priority="548" operator="equal">
      <formula>C16</formula>
    </cfRule>
    <cfRule type="cellIs" dxfId="4125" priority="549" operator="greaterThan">
      <formula>C16</formula>
    </cfRule>
    <cfRule type="cellIs" dxfId="4124" priority="550" operator="lessThan">
      <formula>C16</formula>
    </cfRule>
  </conditionalFormatting>
  <conditionalFormatting sqref="D17">
    <cfRule type="expression" dxfId="4123" priority="541">
      <formula>C17="-"</formula>
    </cfRule>
    <cfRule type="cellIs" dxfId="4122" priority="542" operator="equal">
      <formula>"-"</formula>
    </cfRule>
    <cfRule type="cellIs" dxfId="4121" priority="543" operator="equal">
      <formula>C17</formula>
    </cfRule>
    <cfRule type="cellIs" dxfId="4120" priority="544" operator="greaterThan">
      <formula>C17</formula>
    </cfRule>
    <cfRule type="cellIs" dxfId="4119" priority="545" operator="lessThan">
      <formula>C17</formula>
    </cfRule>
  </conditionalFormatting>
  <conditionalFormatting sqref="E12">
    <cfRule type="expression" dxfId="4118" priority="536">
      <formula>D12="-"</formula>
    </cfRule>
    <cfRule type="cellIs" dxfId="4117" priority="537" operator="equal">
      <formula>"-"</formula>
    </cfRule>
    <cfRule type="cellIs" dxfId="4116" priority="538" operator="equal">
      <formula>D12</formula>
    </cfRule>
    <cfRule type="cellIs" dxfId="4115" priority="539" operator="greaterThan">
      <formula>D12</formula>
    </cfRule>
    <cfRule type="cellIs" dxfId="4114" priority="540" operator="lessThan">
      <formula>D12</formula>
    </cfRule>
  </conditionalFormatting>
  <conditionalFormatting sqref="E13">
    <cfRule type="expression" dxfId="4113" priority="531">
      <formula>D13="-"</formula>
    </cfRule>
    <cfRule type="cellIs" dxfId="4112" priority="532" operator="equal">
      <formula>"-"</formula>
    </cfRule>
    <cfRule type="cellIs" dxfId="4111" priority="533" operator="equal">
      <formula>D13</formula>
    </cfRule>
    <cfRule type="cellIs" dxfId="4110" priority="534" operator="greaterThan">
      <formula>D13</formula>
    </cfRule>
    <cfRule type="cellIs" dxfId="4109" priority="535" operator="lessThan">
      <formula>D13</formula>
    </cfRule>
  </conditionalFormatting>
  <conditionalFormatting sqref="E14">
    <cfRule type="expression" dxfId="4108" priority="526">
      <formula>D14="-"</formula>
    </cfRule>
    <cfRule type="cellIs" dxfId="4107" priority="527" operator="equal">
      <formula>"-"</formula>
    </cfRule>
    <cfRule type="cellIs" dxfId="4106" priority="528" operator="equal">
      <formula>D14</formula>
    </cfRule>
    <cfRule type="cellIs" dxfId="4105" priority="529" operator="greaterThan">
      <formula>D14</formula>
    </cfRule>
    <cfRule type="cellIs" dxfId="4104" priority="530" operator="lessThan">
      <formula>D14</formula>
    </cfRule>
  </conditionalFormatting>
  <conditionalFormatting sqref="E15">
    <cfRule type="expression" dxfId="4103" priority="521">
      <formula>D15="-"</formula>
    </cfRule>
    <cfRule type="cellIs" dxfId="4102" priority="522" operator="equal">
      <formula>"-"</formula>
    </cfRule>
    <cfRule type="cellIs" dxfId="4101" priority="523" operator="equal">
      <formula>D15</formula>
    </cfRule>
    <cfRule type="cellIs" dxfId="4100" priority="524" operator="greaterThan">
      <formula>D15</formula>
    </cfRule>
    <cfRule type="cellIs" dxfId="4099" priority="525" operator="lessThan">
      <formula>D15</formula>
    </cfRule>
  </conditionalFormatting>
  <conditionalFormatting sqref="E16">
    <cfRule type="expression" dxfId="4098" priority="516">
      <formula>D16="-"</formula>
    </cfRule>
    <cfRule type="cellIs" dxfId="4097" priority="517" operator="equal">
      <formula>"-"</formula>
    </cfRule>
    <cfRule type="cellIs" dxfId="4096" priority="518" operator="equal">
      <formula>D16</formula>
    </cfRule>
    <cfRule type="cellIs" dxfId="4095" priority="519" operator="greaterThan">
      <formula>D16</formula>
    </cfRule>
    <cfRule type="cellIs" dxfId="4094" priority="520" operator="lessThan">
      <formula>D16</formula>
    </cfRule>
  </conditionalFormatting>
  <conditionalFormatting sqref="E17">
    <cfRule type="expression" dxfId="4093" priority="511">
      <formula>D17="-"</formula>
    </cfRule>
    <cfRule type="cellIs" dxfId="4092" priority="512" operator="equal">
      <formula>"-"</formula>
    </cfRule>
    <cfRule type="cellIs" dxfId="4091" priority="513" operator="equal">
      <formula>D17</formula>
    </cfRule>
    <cfRule type="cellIs" dxfId="4090" priority="514" operator="greaterThan">
      <formula>D17</formula>
    </cfRule>
    <cfRule type="cellIs" dxfId="4089" priority="515" operator="lessThan">
      <formula>D17</formula>
    </cfRule>
  </conditionalFormatting>
  <conditionalFormatting sqref="F12">
    <cfRule type="expression" dxfId="4088" priority="506">
      <formula>E12="-"</formula>
    </cfRule>
    <cfRule type="cellIs" dxfId="4087" priority="507" operator="equal">
      <formula>"-"</formula>
    </cfRule>
    <cfRule type="cellIs" dxfId="4086" priority="508" operator="equal">
      <formula>E12</formula>
    </cfRule>
    <cfRule type="cellIs" dxfId="4085" priority="509" operator="greaterThan">
      <formula>E12</formula>
    </cfRule>
    <cfRule type="cellIs" dxfId="4084" priority="510" operator="lessThan">
      <formula>E12</formula>
    </cfRule>
  </conditionalFormatting>
  <conditionalFormatting sqref="F13">
    <cfRule type="expression" dxfId="4083" priority="501">
      <formula>E13="-"</formula>
    </cfRule>
    <cfRule type="cellIs" dxfId="4082" priority="502" operator="equal">
      <formula>"-"</formula>
    </cfRule>
    <cfRule type="cellIs" dxfId="4081" priority="503" operator="equal">
      <formula>E13</formula>
    </cfRule>
    <cfRule type="cellIs" dxfId="4080" priority="504" operator="greaterThan">
      <formula>E13</formula>
    </cfRule>
    <cfRule type="cellIs" dxfId="4079" priority="505" operator="lessThan">
      <formula>E13</formula>
    </cfRule>
  </conditionalFormatting>
  <conditionalFormatting sqref="F14">
    <cfRule type="expression" dxfId="4078" priority="496">
      <formula>E14="-"</formula>
    </cfRule>
    <cfRule type="cellIs" dxfId="4077" priority="497" operator="equal">
      <formula>"-"</formula>
    </cfRule>
    <cfRule type="cellIs" dxfId="4076" priority="498" operator="equal">
      <formula>E14</formula>
    </cfRule>
    <cfRule type="cellIs" dxfId="4075" priority="499" operator="greaterThan">
      <formula>E14</formula>
    </cfRule>
    <cfRule type="cellIs" dxfId="4074" priority="500" operator="lessThan">
      <formula>E14</formula>
    </cfRule>
  </conditionalFormatting>
  <conditionalFormatting sqref="F15">
    <cfRule type="expression" dxfId="4073" priority="491">
      <formula>E15="-"</formula>
    </cfRule>
    <cfRule type="cellIs" dxfId="4072" priority="492" operator="equal">
      <formula>"-"</formula>
    </cfRule>
    <cfRule type="cellIs" dxfId="4071" priority="493" operator="equal">
      <formula>E15</formula>
    </cfRule>
    <cfRule type="cellIs" dxfId="4070" priority="494" operator="greaterThan">
      <formula>E15</formula>
    </cfRule>
    <cfRule type="cellIs" dxfId="4069" priority="495" operator="lessThan">
      <formula>E15</formula>
    </cfRule>
  </conditionalFormatting>
  <conditionalFormatting sqref="F16">
    <cfRule type="expression" dxfId="4068" priority="486">
      <formula>E16="-"</formula>
    </cfRule>
    <cfRule type="cellIs" dxfId="4067" priority="487" operator="equal">
      <formula>"-"</formula>
    </cfRule>
    <cfRule type="cellIs" dxfId="4066" priority="488" operator="equal">
      <formula>E16</formula>
    </cfRule>
    <cfRule type="cellIs" dxfId="4065" priority="489" operator="greaterThan">
      <formula>E16</formula>
    </cfRule>
    <cfRule type="cellIs" dxfId="4064" priority="490" operator="lessThan">
      <formula>E16</formula>
    </cfRule>
  </conditionalFormatting>
  <conditionalFormatting sqref="F17">
    <cfRule type="expression" dxfId="4063" priority="481">
      <formula>E17="-"</formula>
    </cfRule>
    <cfRule type="cellIs" dxfId="4062" priority="482" operator="equal">
      <formula>"-"</formula>
    </cfRule>
    <cfRule type="cellIs" dxfId="4061" priority="483" operator="equal">
      <formula>E17</formula>
    </cfRule>
    <cfRule type="cellIs" dxfId="4060" priority="484" operator="greaterThan">
      <formula>E17</formula>
    </cfRule>
    <cfRule type="cellIs" dxfId="4059" priority="485" operator="lessThan">
      <formula>E17</formula>
    </cfRule>
  </conditionalFormatting>
  <conditionalFormatting sqref="G12">
    <cfRule type="expression" dxfId="4058" priority="476">
      <formula>F12="-"</formula>
    </cfRule>
    <cfRule type="cellIs" dxfId="4057" priority="477" operator="equal">
      <formula>"-"</formula>
    </cfRule>
    <cfRule type="cellIs" dxfId="4056" priority="478" operator="equal">
      <formula>F12</formula>
    </cfRule>
    <cfRule type="cellIs" dxfId="4055" priority="479" operator="greaterThan">
      <formula>F12</formula>
    </cfRule>
    <cfRule type="cellIs" dxfId="4054" priority="480" operator="lessThan">
      <formula>F12</formula>
    </cfRule>
  </conditionalFormatting>
  <conditionalFormatting sqref="G13">
    <cfRule type="expression" dxfId="4053" priority="471">
      <formula>F13="-"</formula>
    </cfRule>
    <cfRule type="cellIs" dxfId="4052" priority="472" operator="equal">
      <formula>"-"</formula>
    </cfRule>
    <cfRule type="cellIs" dxfId="4051" priority="473" operator="equal">
      <formula>F13</formula>
    </cfRule>
    <cfRule type="cellIs" dxfId="4050" priority="474" operator="greaterThan">
      <formula>F13</formula>
    </cfRule>
    <cfRule type="cellIs" dxfId="4049" priority="475" operator="lessThan">
      <formula>F13</formula>
    </cfRule>
  </conditionalFormatting>
  <conditionalFormatting sqref="G14">
    <cfRule type="expression" dxfId="4048" priority="466">
      <formula>F14="-"</formula>
    </cfRule>
    <cfRule type="cellIs" dxfId="4047" priority="467" operator="equal">
      <formula>"-"</formula>
    </cfRule>
    <cfRule type="cellIs" dxfId="4046" priority="468" operator="equal">
      <formula>F14</formula>
    </cfRule>
    <cfRule type="cellIs" dxfId="4045" priority="469" operator="greaterThan">
      <formula>F14</formula>
    </cfRule>
    <cfRule type="cellIs" dxfId="4044" priority="470" operator="lessThan">
      <formula>F14</formula>
    </cfRule>
  </conditionalFormatting>
  <conditionalFormatting sqref="G15">
    <cfRule type="expression" dxfId="4043" priority="461">
      <formula>F15="-"</formula>
    </cfRule>
    <cfRule type="cellIs" dxfId="4042" priority="462" operator="equal">
      <formula>"-"</formula>
    </cfRule>
    <cfRule type="cellIs" dxfId="4041" priority="463" operator="equal">
      <formula>F15</formula>
    </cfRule>
    <cfRule type="cellIs" dxfId="4040" priority="464" operator="greaterThan">
      <formula>F15</formula>
    </cfRule>
    <cfRule type="cellIs" dxfId="4039" priority="465" operator="lessThan">
      <formula>F15</formula>
    </cfRule>
  </conditionalFormatting>
  <conditionalFormatting sqref="G16">
    <cfRule type="expression" dxfId="4038" priority="456">
      <formula>F16="-"</formula>
    </cfRule>
    <cfRule type="cellIs" dxfId="4037" priority="457" operator="equal">
      <formula>"-"</formula>
    </cfRule>
    <cfRule type="cellIs" dxfId="4036" priority="458" operator="equal">
      <formula>F16</formula>
    </cfRule>
    <cfRule type="cellIs" dxfId="4035" priority="459" operator="greaterThan">
      <formula>F16</formula>
    </cfRule>
    <cfRule type="cellIs" dxfId="4034" priority="460" operator="lessThan">
      <formula>F16</formula>
    </cfRule>
  </conditionalFormatting>
  <conditionalFormatting sqref="G17">
    <cfRule type="expression" dxfId="4033" priority="451">
      <formula>F17="-"</formula>
    </cfRule>
    <cfRule type="cellIs" dxfId="4032" priority="452" operator="equal">
      <formula>"-"</formula>
    </cfRule>
    <cfRule type="cellIs" dxfId="4031" priority="453" operator="equal">
      <formula>F17</formula>
    </cfRule>
    <cfRule type="cellIs" dxfId="4030" priority="454" operator="greaterThan">
      <formula>F17</formula>
    </cfRule>
    <cfRule type="cellIs" dxfId="4029" priority="455" operator="lessThan">
      <formula>F17</formula>
    </cfRule>
  </conditionalFormatting>
  <conditionalFormatting sqref="H12">
    <cfRule type="expression" dxfId="4028" priority="446">
      <formula>G12="-"</formula>
    </cfRule>
    <cfRule type="cellIs" dxfId="4027" priority="447" operator="equal">
      <formula>"-"</formula>
    </cfRule>
    <cfRule type="cellIs" dxfId="4026" priority="448" operator="equal">
      <formula>G12</formula>
    </cfRule>
    <cfRule type="cellIs" dxfId="4025" priority="449" operator="greaterThan">
      <formula>G12</formula>
    </cfRule>
    <cfRule type="cellIs" dxfId="4024" priority="450" operator="lessThan">
      <formula>G12</formula>
    </cfRule>
  </conditionalFormatting>
  <conditionalFormatting sqref="H13">
    <cfRule type="expression" dxfId="4023" priority="441">
      <formula>G13="-"</formula>
    </cfRule>
    <cfRule type="cellIs" dxfId="4022" priority="442" operator="equal">
      <formula>"-"</formula>
    </cfRule>
    <cfRule type="cellIs" dxfId="4021" priority="443" operator="equal">
      <formula>G13</formula>
    </cfRule>
    <cfRule type="cellIs" dxfId="4020" priority="444" operator="greaterThan">
      <formula>G13</formula>
    </cfRule>
    <cfRule type="cellIs" dxfId="4019" priority="445" operator="lessThan">
      <formula>G13</formula>
    </cfRule>
  </conditionalFormatting>
  <conditionalFormatting sqref="H14">
    <cfRule type="expression" dxfId="4018" priority="436">
      <formula>G14="-"</formula>
    </cfRule>
    <cfRule type="cellIs" dxfId="4017" priority="437" operator="equal">
      <formula>"-"</formula>
    </cfRule>
    <cfRule type="cellIs" dxfId="4016" priority="438" operator="equal">
      <formula>G14</formula>
    </cfRule>
    <cfRule type="cellIs" dxfId="4015" priority="439" operator="greaterThan">
      <formula>G14</formula>
    </cfRule>
    <cfRule type="cellIs" dxfId="4014" priority="440" operator="lessThan">
      <formula>G14</formula>
    </cfRule>
  </conditionalFormatting>
  <conditionalFormatting sqref="H15">
    <cfRule type="expression" dxfId="4013" priority="431">
      <formula>G15="-"</formula>
    </cfRule>
    <cfRule type="cellIs" dxfId="4012" priority="432" operator="equal">
      <formula>"-"</formula>
    </cfRule>
    <cfRule type="cellIs" dxfId="4011" priority="433" operator="equal">
      <formula>G15</formula>
    </cfRule>
    <cfRule type="cellIs" dxfId="4010" priority="434" operator="greaterThan">
      <formula>G15</formula>
    </cfRule>
    <cfRule type="cellIs" dxfId="4009" priority="435" operator="lessThan">
      <formula>G15</formula>
    </cfRule>
  </conditionalFormatting>
  <conditionalFormatting sqref="H16">
    <cfRule type="expression" dxfId="4008" priority="426">
      <formula>G16="-"</formula>
    </cfRule>
    <cfRule type="cellIs" dxfId="4007" priority="427" operator="equal">
      <formula>"-"</formula>
    </cfRule>
    <cfRule type="cellIs" dxfId="4006" priority="428" operator="equal">
      <formula>G16</formula>
    </cfRule>
    <cfRule type="cellIs" dxfId="4005" priority="429" operator="greaterThan">
      <formula>G16</formula>
    </cfRule>
    <cfRule type="cellIs" dxfId="4004" priority="430" operator="lessThan">
      <formula>G16</formula>
    </cfRule>
  </conditionalFormatting>
  <conditionalFormatting sqref="H17">
    <cfRule type="expression" dxfId="4003" priority="421">
      <formula>G17="-"</formula>
    </cfRule>
    <cfRule type="cellIs" dxfId="4002" priority="422" operator="equal">
      <formula>"-"</formula>
    </cfRule>
    <cfRule type="cellIs" dxfId="4001" priority="423" operator="equal">
      <formula>G17</formula>
    </cfRule>
    <cfRule type="cellIs" dxfId="4000" priority="424" operator="greaterThan">
      <formula>G17</formula>
    </cfRule>
    <cfRule type="cellIs" dxfId="3999" priority="425" operator="lessThan">
      <formula>G17</formula>
    </cfRule>
  </conditionalFormatting>
  <conditionalFormatting sqref="I12">
    <cfRule type="expression" dxfId="3998" priority="416">
      <formula>H12="-"</formula>
    </cfRule>
    <cfRule type="cellIs" dxfId="3997" priority="417" operator="equal">
      <formula>"-"</formula>
    </cfRule>
    <cfRule type="cellIs" dxfId="3996" priority="418" operator="equal">
      <formula>H12</formula>
    </cfRule>
    <cfRule type="cellIs" dxfId="3995" priority="419" operator="greaterThan">
      <formula>H12</formula>
    </cfRule>
    <cfRule type="cellIs" dxfId="3994" priority="420" operator="lessThan">
      <formula>H12</formula>
    </cfRule>
  </conditionalFormatting>
  <conditionalFormatting sqref="I13">
    <cfRule type="expression" dxfId="3993" priority="411">
      <formula>H13="-"</formula>
    </cfRule>
    <cfRule type="cellIs" dxfId="3992" priority="412" operator="equal">
      <formula>"-"</formula>
    </cfRule>
    <cfRule type="cellIs" dxfId="3991" priority="413" operator="equal">
      <formula>H13</formula>
    </cfRule>
    <cfRule type="cellIs" dxfId="3990" priority="414" operator="greaterThan">
      <formula>H13</formula>
    </cfRule>
    <cfRule type="cellIs" dxfId="3989" priority="415" operator="lessThan">
      <formula>H13</formula>
    </cfRule>
  </conditionalFormatting>
  <conditionalFormatting sqref="I14">
    <cfRule type="expression" dxfId="3988" priority="406">
      <formula>H14="-"</formula>
    </cfRule>
    <cfRule type="cellIs" dxfId="3987" priority="407" operator="equal">
      <formula>"-"</formula>
    </cfRule>
    <cfRule type="cellIs" dxfId="3986" priority="408" operator="equal">
      <formula>H14</formula>
    </cfRule>
    <cfRule type="cellIs" dxfId="3985" priority="409" operator="greaterThan">
      <formula>H14</formula>
    </cfRule>
    <cfRule type="cellIs" dxfId="3984" priority="410" operator="lessThan">
      <formula>H14</formula>
    </cfRule>
  </conditionalFormatting>
  <conditionalFormatting sqref="I15">
    <cfRule type="expression" dxfId="3983" priority="401">
      <formula>H15="-"</formula>
    </cfRule>
    <cfRule type="cellIs" dxfId="3982" priority="402" operator="equal">
      <formula>"-"</formula>
    </cfRule>
    <cfRule type="cellIs" dxfId="3981" priority="403" operator="equal">
      <formula>H15</formula>
    </cfRule>
    <cfRule type="cellIs" dxfId="3980" priority="404" operator="greaterThan">
      <formula>H15</formula>
    </cfRule>
    <cfRule type="cellIs" dxfId="3979" priority="405" operator="lessThan">
      <formula>H15</formula>
    </cfRule>
  </conditionalFormatting>
  <conditionalFormatting sqref="I16">
    <cfRule type="expression" dxfId="3978" priority="396">
      <formula>H16="-"</formula>
    </cfRule>
    <cfRule type="cellIs" dxfId="3977" priority="397" operator="equal">
      <formula>"-"</formula>
    </cfRule>
    <cfRule type="cellIs" dxfId="3976" priority="398" operator="equal">
      <formula>H16</formula>
    </cfRule>
    <cfRule type="cellIs" dxfId="3975" priority="399" operator="greaterThan">
      <formula>H16</formula>
    </cfRule>
    <cfRule type="cellIs" dxfId="3974" priority="400" operator="lessThan">
      <formula>H16</formula>
    </cfRule>
  </conditionalFormatting>
  <conditionalFormatting sqref="I17">
    <cfRule type="expression" dxfId="3973" priority="391">
      <formula>H17="-"</formula>
    </cfRule>
    <cfRule type="cellIs" dxfId="3972" priority="392" operator="equal">
      <formula>"-"</formula>
    </cfRule>
    <cfRule type="cellIs" dxfId="3971" priority="393" operator="equal">
      <formula>H17</formula>
    </cfRule>
    <cfRule type="cellIs" dxfId="3970" priority="394" operator="greaterThan">
      <formula>H17</formula>
    </cfRule>
    <cfRule type="cellIs" dxfId="3969" priority="395" operator="lessThan">
      <formula>H17</formula>
    </cfRule>
  </conditionalFormatting>
  <conditionalFormatting sqref="J12">
    <cfRule type="expression" dxfId="3968" priority="386">
      <formula>I12="-"</formula>
    </cfRule>
    <cfRule type="cellIs" dxfId="3967" priority="387" operator="equal">
      <formula>"-"</formula>
    </cfRule>
    <cfRule type="cellIs" dxfId="3966" priority="388" operator="equal">
      <formula>I12</formula>
    </cfRule>
    <cfRule type="cellIs" dxfId="3965" priority="389" operator="greaterThan">
      <formula>I12</formula>
    </cfRule>
    <cfRule type="cellIs" dxfId="3964" priority="390" operator="lessThan">
      <formula>I12</formula>
    </cfRule>
  </conditionalFormatting>
  <conditionalFormatting sqref="J13">
    <cfRule type="expression" dxfId="3963" priority="381">
      <formula>I13="-"</formula>
    </cfRule>
    <cfRule type="cellIs" dxfId="3962" priority="382" operator="equal">
      <formula>"-"</formula>
    </cfRule>
    <cfRule type="cellIs" dxfId="3961" priority="383" operator="equal">
      <formula>I13</formula>
    </cfRule>
    <cfRule type="cellIs" dxfId="3960" priority="384" operator="greaterThan">
      <formula>I13</formula>
    </cfRule>
    <cfRule type="cellIs" dxfId="3959" priority="385" operator="lessThan">
      <formula>I13</formula>
    </cfRule>
  </conditionalFormatting>
  <conditionalFormatting sqref="J14">
    <cfRule type="expression" dxfId="3958" priority="376">
      <formula>I14="-"</formula>
    </cfRule>
    <cfRule type="cellIs" dxfId="3957" priority="377" operator="equal">
      <formula>"-"</formula>
    </cfRule>
    <cfRule type="cellIs" dxfId="3956" priority="378" operator="equal">
      <formula>I14</formula>
    </cfRule>
    <cfRule type="cellIs" dxfId="3955" priority="379" operator="greaterThan">
      <formula>I14</formula>
    </cfRule>
    <cfRule type="cellIs" dxfId="3954" priority="380" operator="lessThan">
      <formula>I14</formula>
    </cfRule>
  </conditionalFormatting>
  <conditionalFormatting sqref="J15">
    <cfRule type="expression" dxfId="3953" priority="371">
      <formula>I15="-"</formula>
    </cfRule>
    <cfRule type="cellIs" dxfId="3952" priority="372" operator="equal">
      <formula>"-"</formula>
    </cfRule>
    <cfRule type="cellIs" dxfId="3951" priority="373" operator="equal">
      <formula>I15</formula>
    </cfRule>
    <cfRule type="cellIs" dxfId="3950" priority="374" operator="greaterThan">
      <formula>I15</formula>
    </cfRule>
    <cfRule type="cellIs" dxfId="3949" priority="375" operator="lessThan">
      <formula>I15</formula>
    </cfRule>
  </conditionalFormatting>
  <conditionalFormatting sqref="J16">
    <cfRule type="expression" dxfId="3948" priority="366">
      <formula>I16="-"</formula>
    </cfRule>
    <cfRule type="cellIs" dxfId="3947" priority="367" operator="equal">
      <formula>"-"</formula>
    </cfRule>
    <cfRule type="cellIs" dxfId="3946" priority="368" operator="equal">
      <formula>I16</formula>
    </cfRule>
    <cfRule type="cellIs" dxfId="3945" priority="369" operator="greaterThan">
      <formula>I16</formula>
    </cfRule>
    <cfRule type="cellIs" dxfId="3944" priority="370" operator="lessThan">
      <formula>I16</formula>
    </cfRule>
  </conditionalFormatting>
  <conditionalFormatting sqref="J17">
    <cfRule type="expression" dxfId="3943" priority="361">
      <formula>I17="-"</formula>
    </cfRule>
    <cfRule type="cellIs" dxfId="3942" priority="362" operator="equal">
      <formula>"-"</formula>
    </cfRule>
    <cfRule type="cellIs" dxfId="3941" priority="363" operator="equal">
      <formula>I17</formula>
    </cfRule>
    <cfRule type="cellIs" dxfId="3940" priority="364" operator="greaterThan">
      <formula>I17</formula>
    </cfRule>
    <cfRule type="cellIs" dxfId="3939" priority="365" operator="lessThan">
      <formula>I17</formula>
    </cfRule>
  </conditionalFormatting>
  <conditionalFormatting sqref="C18">
    <cfRule type="expression" dxfId="3938" priority="356">
      <formula>B18="-"</formula>
    </cfRule>
    <cfRule type="cellIs" dxfId="3937" priority="357" operator="equal">
      <formula>"-"</formula>
    </cfRule>
    <cfRule type="cellIs" dxfId="3936" priority="358" operator="equal">
      <formula>B18</formula>
    </cfRule>
    <cfRule type="cellIs" dxfId="3935" priority="359" operator="greaterThan">
      <formula>B18</formula>
    </cfRule>
    <cfRule type="cellIs" dxfId="3934" priority="360" operator="lessThan">
      <formula>B18</formula>
    </cfRule>
  </conditionalFormatting>
  <conditionalFormatting sqref="C19">
    <cfRule type="expression" dxfId="3933" priority="351">
      <formula>B19="-"</formula>
    </cfRule>
    <cfRule type="cellIs" dxfId="3932" priority="352" operator="equal">
      <formula>"-"</formula>
    </cfRule>
    <cfRule type="cellIs" dxfId="3931" priority="353" operator="equal">
      <formula>B19</formula>
    </cfRule>
    <cfRule type="cellIs" dxfId="3930" priority="354" operator="greaterThan">
      <formula>B19</formula>
    </cfRule>
    <cfRule type="cellIs" dxfId="3929" priority="355" operator="lessThan">
      <formula>B19</formula>
    </cfRule>
  </conditionalFormatting>
  <conditionalFormatting sqref="C20">
    <cfRule type="expression" dxfId="3928" priority="346">
      <formula>B20="-"</formula>
    </cfRule>
    <cfRule type="cellIs" dxfId="3927" priority="347" operator="equal">
      <formula>"-"</formula>
    </cfRule>
    <cfRule type="cellIs" dxfId="3926" priority="348" operator="equal">
      <formula>B20</formula>
    </cfRule>
    <cfRule type="cellIs" dxfId="3925" priority="349" operator="greaterThan">
      <formula>B20</formula>
    </cfRule>
    <cfRule type="cellIs" dxfId="3924" priority="350" operator="lessThan">
      <formula>B20</formula>
    </cfRule>
  </conditionalFormatting>
  <conditionalFormatting sqref="C21">
    <cfRule type="expression" dxfId="3923" priority="341">
      <formula>B21="-"</formula>
    </cfRule>
    <cfRule type="cellIs" dxfId="3922" priority="342" operator="equal">
      <formula>"-"</formula>
    </cfRule>
    <cfRule type="cellIs" dxfId="3921" priority="343" operator="equal">
      <formula>B21</formula>
    </cfRule>
    <cfRule type="cellIs" dxfId="3920" priority="344" operator="greaterThan">
      <formula>B21</formula>
    </cfRule>
    <cfRule type="cellIs" dxfId="3919" priority="345" operator="lessThan">
      <formula>B21</formula>
    </cfRule>
  </conditionalFormatting>
  <conditionalFormatting sqref="D18">
    <cfRule type="expression" dxfId="3918" priority="331">
      <formula>C18="-"</formula>
    </cfRule>
    <cfRule type="cellIs" dxfId="3917" priority="332" operator="equal">
      <formula>"-"</formula>
    </cfRule>
    <cfRule type="cellIs" dxfId="3916" priority="333" operator="equal">
      <formula>C18</formula>
    </cfRule>
    <cfRule type="cellIs" dxfId="3915" priority="334" operator="greaterThan">
      <formula>C18</formula>
    </cfRule>
    <cfRule type="cellIs" dxfId="3914" priority="335" operator="lessThan">
      <formula>C18</formula>
    </cfRule>
  </conditionalFormatting>
  <conditionalFormatting sqref="D19">
    <cfRule type="expression" dxfId="3913" priority="326">
      <formula>C19="-"</formula>
    </cfRule>
    <cfRule type="cellIs" dxfId="3912" priority="327" operator="equal">
      <formula>"-"</formula>
    </cfRule>
    <cfRule type="cellIs" dxfId="3911" priority="328" operator="equal">
      <formula>C19</formula>
    </cfRule>
    <cfRule type="cellIs" dxfId="3910" priority="329" operator="greaterThan">
      <formula>C19</formula>
    </cfRule>
    <cfRule type="cellIs" dxfId="3909" priority="330" operator="lessThan">
      <formula>C19</formula>
    </cfRule>
  </conditionalFormatting>
  <conditionalFormatting sqref="D20">
    <cfRule type="expression" dxfId="3908" priority="321">
      <formula>C20="-"</formula>
    </cfRule>
    <cfRule type="cellIs" dxfId="3907" priority="322" operator="equal">
      <formula>"-"</formula>
    </cfRule>
    <cfRule type="cellIs" dxfId="3906" priority="323" operator="equal">
      <formula>C20</formula>
    </cfRule>
    <cfRule type="cellIs" dxfId="3905" priority="324" operator="greaterThan">
      <formula>C20</formula>
    </cfRule>
    <cfRule type="cellIs" dxfId="3904" priority="325" operator="lessThan">
      <formula>C20</formula>
    </cfRule>
  </conditionalFormatting>
  <conditionalFormatting sqref="D21">
    <cfRule type="expression" dxfId="3903" priority="316">
      <formula>C21="-"</formula>
    </cfRule>
    <cfRule type="cellIs" dxfId="3902" priority="317" operator="equal">
      <formula>"-"</formula>
    </cfRule>
    <cfRule type="cellIs" dxfId="3901" priority="318" operator="equal">
      <formula>C21</formula>
    </cfRule>
    <cfRule type="cellIs" dxfId="3900" priority="319" operator="greaterThan">
      <formula>C21</formula>
    </cfRule>
    <cfRule type="cellIs" dxfId="3899" priority="320" operator="lessThan">
      <formula>C21</formula>
    </cfRule>
  </conditionalFormatting>
  <conditionalFormatting sqref="E18">
    <cfRule type="expression" dxfId="3898" priority="306">
      <formula>D18="-"</formula>
    </cfRule>
    <cfRule type="cellIs" dxfId="3897" priority="307" operator="equal">
      <formula>"-"</formula>
    </cfRule>
    <cfRule type="cellIs" dxfId="3896" priority="308" operator="equal">
      <formula>D18</formula>
    </cfRule>
    <cfRule type="cellIs" dxfId="3895" priority="309" operator="greaterThan">
      <formula>D18</formula>
    </cfRule>
    <cfRule type="cellIs" dxfId="3894" priority="310" operator="lessThan">
      <formula>D18</formula>
    </cfRule>
  </conditionalFormatting>
  <conditionalFormatting sqref="E19">
    <cfRule type="expression" dxfId="3893" priority="301">
      <formula>D19="-"</formula>
    </cfRule>
    <cfRule type="cellIs" dxfId="3892" priority="302" operator="equal">
      <formula>"-"</formula>
    </cfRule>
    <cfRule type="cellIs" dxfId="3891" priority="303" operator="equal">
      <formula>D19</formula>
    </cfRule>
    <cfRule type="cellIs" dxfId="3890" priority="304" operator="greaterThan">
      <formula>D19</formula>
    </cfRule>
    <cfRule type="cellIs" dxfId="3889" priority="305" operator="lessThan">
      <formula>D19</formula>
    </cfRule>
  </conditionalFormatting>
  <conditionalFormatting sqref="E20">
    <cfRule type="expression" dxfId="3888" priority="296">
      <formula>D20="-"</formula>
    </cfRule>
    <cfRule type="cellIs" dxfId="3887" priority="297" operator="equal">
      <formula>"-"</formula>
    </cfRule>
    <cfRule type="cellIs" dxfId="3886" priority="298" operator="equal">
      <formula>D20</formula>
    </cfRule>
    <cfRule type="cellIs" dxfId="3885" priority="299" operator="greaterThan">
      <formula>D20</formula>
    </cfRule>
    <cfRule type="cellIs" dxfId="3884" priority="300" operator="lessThan">
      <formula>D20</formula>
    </cfRule>
  </conditionalFormatting>
  <conditionalFormatting sqref="E21">
    <cfRule type="expression" dxfId="3883" priority="291">
      <formula>D21="-"</formula>
    </cfRule>
    <cfRule type="cellIs" dxfId="3882" priority="292" operator="equal">
      <formula>"-"</formula>
    </cfRule>
    <cfRule type="cellIs" dxfId="3881" priority="293" operator="equal">
      <formula>D21</formula>
    </cfRule>
    <cfRule type="cellIs" dxfId="3880" priority="294" operator="greaterThan">
      <formula>D21</formula>
    </cfRule>
    <cfRule type="cellIs" dxfId="3879" priority="295" operator="lessThan">
      <formula>D21</formula>
    </cfRule>
  </conditionalFormatting>
  <conditionalFormatting sqref="F18">
    <cfRule type="expression" dxfId="3878" priority="281">
      <formula>E18="-"</formula>
    </cfRule>
    <cfRule type="cellIs" dxfId="3877" priority="282" operator="equal">
      <formula>"-"</formula>
    </cfRule>
    <cfRule type="cellIs" dxfId="3876" priority="283" operator="equal">
      <formula>E18</formula>
    </cfRule>
    <cfRule type="cellIs" dxfId="3875" priority="284" operator="greaterThan">
      <formula>E18</formula>
    </cfRule>
    <cfRule type="cellIs" dxfId="3874" priority="285" operator="lessThan">
      <formula>E18</formula>
    </cfRule>
  </conditionalFormatting>
  <conditionalFormatting sqref="F19">
    <cfRule type="expression" dxfId="3873" priority="276">
      <formula>E19="-"</formula>
    </cfRule>
    <cfRule type="cellIs" dxfId="3872" priority="277" operator="equal">
      <formula>"-"</formula>
    </cfRule>
    <cfRule type="cellIs" dxfId="3871" priority="278" operator="equal">
      <formula>E19</formula>
    </cfRule>
    <cfRule type="cellIs" dxfId="3870" priority="279" operator="greaterThan">
      <formula>E19</formula>
    </cfRule>
    <cfRule type="cellIs" dxfId="3869" priority="280" operator="lessThan">
      <formula>E19</formula>
    </cfRule>
  </conditionalFormatting>
  <conditionalFormatting sqref="F20">
    <cfRule type="expression" dxfId="3868" priority="271">
      <formula>E20="-"</formula>
    </cfRule>
    <cfRule type="cellIs" dxfId="3867" priority="272" operator="equal">
      <formula>"-"</formula>
    </cfRule>
    <cfRule type="cellIs" dxfId="3866" priority="273" operator="equal">
      <formula>E20</formula>
    </cfRule>
    <cfRule type="cellIs" dxfId="3865" priority="274" operator="greaterThan">
      <formula>E20</formula>
    </cfRule>
    <cfRule type="cellIs" dxfId="3864" priority="275" operator="lessThan">
      <formula>E20</formula>
    </cfRule>
  </conditionalFormatting>
  <conditionalFormatting sqref="F21">
    <cfRule type="expression" dxfId="3863" priority="266">
      <formula>E21="-"</formula>
    </cfRule>
    <cfRule type="cellIs" dxfId="3862" priority="267" operator="equal">
      <formula>"-"</formula>
    </cfRule>
    <cfRule type="cellIs" dxfId="3861" priority="268" operator="equal">
      <formula>E21</formula>
    </cfRule>
    <cfRule type="cellIs" dxfId="3860" priority="269" operator="greaterThan">
      <formula>E21</formula>
    </cfRule>
    <cfRule type="cellIs" dxfId="3859" priority="270" operator="lessThan">
      <formula>E21</formula>
    </cfRule>
  </conditionalFormatting>
  <conditionalFormatting sqref="G18">
    <cfRule type="expression" dxfId="3858" priority="256">
      <formula>F18="-"</formula>
    </cfRule>
    <cfRule type="cellIs" dxfId="3857" priority="257" operator="equal">
      <formula>"-"</formula>
    </cfRule>
    <cfRule type="cellIs" dxfId="3856" priority="258" operator="equal">
      <formula>F18</formula>
    </cfRule>
    <cfRule type="cellIs" dxfId="3855" priority="259" operator="greaterThan">
      <formula>F18</formula>
    </cfRule>
    <cfRule type="cellIs" dxfId="3854" priority="260" operator="lessThan">
      <formula>F18</formula>
    </cfRule>
  </conditionalFormatting>
  <conditionalFormatting sqref="G19">
    <cfRule type="expression" dxfId="3853" priority="251">
      <formula>F19="-"</formula>
    </cfRule>
    <cfRule type="cellIs" dxfId="3852" priority="252" operator="equal">
      <formula>"-"</formula>
    </cfRule>
    <cfRule type="cellIs" dxfId="3851" priority="253" operator="equal">
      <formula>F19</formula>
    </cfRule>
    <cfRule type="cellIs" dxfId="3850" priority="254" operator="greaterThan">
      <formula>F19</formula>
    </cfRule>
    <cfRule type="cellIs" dxfId="3849" priority="255" operator="lessThan">
      <formula>F19</formula>
    </cfRule>
  </conditionalFormatting>
  <conditionalFormatting sqref="G20">
    <cfRule type="expression" dxfId="3848" priority="246">
      <formula>F20="-"</formula>
    </cfRule>
    <cfRule type="cellIs" dxfId="3847" priority="247" operator="equal">
      <formula>"-"</formula>
    </cfRule>
    <cfRule type="cellIs" dxfId="3846" priority="248" operator="equal">
      <formula>F20</formula>
    </cfRule>
    <cfRule type="cellIs" dxfId="3845" priority="249" operator="greaterThan">
      <formula>F20</formula>
    </cfRule>
    <cfRule type="cellIs" dxfId="3844" priority="250" operator="lessThan">
      <formula>F20</formula>
    </cfRule>
  </conditionalFormatting>
  <conditionalFormatting sqref="G21">
    <cfRule type="expression" dxfId="3843" priority="241">
      <formula>F21="-"</formula>
    </cfRule>
    <cfRule type="cellIs" dxfId="3842" priority="242" operator="equal">
      <formula>"-"</formula>
    </cfRule>
    <cfRule type="cellIs" dxfId="3841" priority="243" operator="equal">
      <formula>F21</formula>
    </cfRule>
    <cfRule type="cellIs" dxfId="3840" priority="244" operator="greaterThan">
      <formula>F21</formula>
    </cfRule>
    <cfRule type="cellIs" dxfId="3839" priority="245" operator="lessThan">
      <formula>F21</formula>
    </cfRule>
  </conditionalFormatting>
  <conditionalFormatting sqref="H18">
    <cfRule type="expression" dxfId="3838" priority="231">
      <formula>G18="-"</formula>
    </cfRule>
    <cfRule type="cellIs" dxfId="3837" priority="232" operator="equal">
      <formula>"-"</formula>
    </cfRule>
    <cfRule type="cellIs" dxfId="3836" priority="233" operator="equal">
      <formula>G18</formula>
    </cfRule>
    <cfRule type="cellIs" dxfId="3835" priority="234" operator="greaterThan">
      <formula>G18</formula>
    </cfRule>
    <cfRule type="cellIs" dxfId="3834" priority="235" operator="lessThan">
      <formula>G18</formula>
    </cfRule>
  </conditionalFormatting>
  <conditionalFormatting sqref="H19">
    <cfRule type="expression" dxfId="3833" priority="226">
      <formula>G19="-"</formula>
    </cfRule>
    <cfRule type="cellIs" dxfId="3832" priority="227" operator="equal">
      <formula>"-"</formula>
    </cfRule>
    <cfRule type="cellIs" dxfId="3831" priority="228" operator="equal">
      <formula>G19</formula>
    </cfRule>
    <cfRule type="cellIs" dxfId="3830" priority="229" operator="greaterThan">
      <formula>G19</formula>
    </cfRule>
    <cfRule type="cellIs" dxfId="3829" priority="230" operator="lessThan">
      <formula>G19</formula>
    </cfRule>
  </conditionalFormatting>
  <conditionalFormatting sqref="H20">
    <cfRule type="expression" dxfId="3828" priority="221">
      <formula>G20="-"</formula>
    </cfRule>
    <cfRule type="cellIs" dxfId="3827" priority="222" operator="equal">
      <formula>"-"</formula>
    </cfRule>
    <cfRule type="cellIs" dxfId="3826" priority="223" operator="equal">
      <formula>G20</formula>
    </cfRule>
    <cfRule type="cellIs" dxfId="3825" priority="224" operator="greaterThan">
      <formula>G20</formula>
    </cfRule>
    <cfRule type="cellIs" dxfId="3824" priority="225" operator="lessThan">
      <formula>G20</formula>
    </cfRule>
  </conditionalFormatting>
  <conditionalFormatting sqref="H21">
    <cfRule type="expression" dxfId="3823" priority="216">
      <formula>G21="-"</formula>
    </cfRule>
    <cfRule type="cellIs" dxfId="3822" priority="217" operator="equal">
      <formula>"-"</formula>
    </cfRule>
    <cfRule type="cellIs" dxfId="3821" priority="218" operator="equal">
      <formula>G21</formula>
    </cfRule>
    <cfRule type="cellIs" dxfId="3820" priority="219" operator="greaterThan">
      <formula>G21</formula>
    </cfRule>
    <cfRule type="cellIs" dxfId="3819" priority="220" operator="lessThan">
      <formula>G21</formula>
    </cfRule>
  </conditionalFormatting>
  <conditionalFormatting sqref="I18">
    <cfRule type="expression" dxfId="3818" priority="206">
      <formula>H18="-"</formula>
    </cfRule>
    <cfRule type="cellIs" dxfId="3817" priority="207" operator="equal">
      <formula>"-"</formula>
    </cfRule>
    <cfRule type="cellIs" dxfId="3816" priority="208" operator="equal">
      <formula>H18</formula>
    </cfRule>
    <cfRule type="cellIs" dxfId="3815" priority="209" operator="greaterThan">
      <formula>H18</formula>
    </cfRule>
    <cfRule type="cellIs" dxfId="3814" priority="210" operator="lessThan">
      <formula>H18</formula>
    </cfRule>
  </conditionalFormatting>
  <conditionalFormatting sqref="I19">
    <cfRule type="expression" dxfId="3813" priority="201">
      <formula>H19="-"</formula>
    </cfRule>
    <cfRule type="cellIs" dxfId="3812" priority="202" operator="equal">
      <formula>"-"</formula>
    </cfRule>
    <cfRule type="cellIs" dxfId="3811" priority="203" operator="equal">
      <formula>H19</formula>
    </cfRule>
    <cfRule type="cellIs" dxfId="3810" priority="204" operator="greaterThan">
      <formula>H19</formula>
    </cfRule>
    <cfRule type="cellIs" dxfId="3809" priority="205" operator="lessThan">
      <formula>H19</formula>
    </cfRule>
  </conditionalFormatting>
  <conditionalFormatting sqref="I20">
    <cfRule type="expression" dxfId="3808" priority="196">
      <formula>H20="-"</formula>
    </cfRule>
    <cfRule type="cellIs" dxfId="3807" priority="197" operator="equal">
      <formula>"-"</formula>
    </cfRule>
    <cfRule type="cellIs" dxfId="3806" priority="198" operator="equal">
      <formula>H20</formula>
    </cfRule>
    <cfRule type="cellIs" dxfId="3805" priority="199" operator="greaterThan">
      <formula>H20</formula>
    </cfRule>
    <cfRule type="cellIs" dxfId="3804" priority="200" operator="lessThan">
      <formula>H20</formula>
    </cfRule>
  </conditionalFormatting>
  <conditionalFormatting sqref="I21">
    <cfRule type="expression" dxfId="3803" priority="191">
      <formula>H21="-"</formula>
    </cfRule>
    <cfRule type="cellIs" dxfId="3802" priority="192" operator="equal">
      <formula>"-"</formula>
    </cfRule>
    <cfRule type="cellIs" dxfId="3801" priority="193" operator="equal">
      <formula>H21</formula>
    </cfRule>
    <cfRule type="cellIs" dxfId="3800" priority="194" operator="greaterThan">
      <formula>H21</formula>
    </cfRule>
    <cfRule type="cellIs" dxfId="3799" priority="195" operator="lessThan">
      <formula>H21</formula>
    </cfRule>
  </conditionalFormatting>
  <conditionalFormatting sqref="J18">
    <cfRule type="expression" dxfId="3798" priority="181">
      <formula>I18="-"</formula>
    </cfRule>
    <cfRule type="cellIs" dxfId="3797" priority="182" operator="equal">
      <formula>"-"</formula>
    </cfRule>
    <cfRule type="cellIs" dxfId="3796" priority="183" operator="equal">
      <formula>I18</formula>
    </cfRule>
    <cfRule type="cellIs" dxfId="3795" priority="184" operator="greaterThan">
      <formula>I18</formula>
    </cfRule>
    <cfRule type="cellIs" dxfId="3794" priority="185" operator="lessThan">
      <formula>I18</formula>
    </cfRule>
  </conditionalFormatting>
  <conditionalFormatting sqref="J19">
    <cfRule type="expression" dxfId="3793" priority="176">
      <formula>I19="-"</formula>
    </cfRule>
    <cfRule type="cellIs" dxfId="3792" priority="177" operator="equal">
      <formula>"-"</formula>
    </cfRule>
    <cfRule type="cellIs" dxfId="3791" priority="178" operator="equal">
      <formula>I19</formula>
    </cfRule>
    <cfRule type="cellIs" dxfId="3790" priority="179" operator="greaterThan">
      <formula>I19</formula>
    </cfRule>
    <cfRule type="cellIs" dxfId="3789" priority="180" operator="lessThan">
      <formula>I19</formula>
    </cfRule>
  </conditionalFormatting>
  <conditionalFormatting sqref="J20">
    <cfRule type="expression" dxfId="3788" priority="171">
      <formula>I20="-"</formula>
    </cfRule>
    <cfRule type="cellIs" dxfId="3787" priority="172" operator="equal">
      <formula>"-"</formula>
    </cfRule>
    <cfRule type="cellIs" dxfId="3786" priority="173" operator="equal">
      <formula>I20</formula>
    </cfRule>
    <cfRule type="cellIs" dxfId="3785" priority="174" operator="greaterThan">
      <formula>I20</formula>
    </cfRule>
    <cfRule type="cellIs" dxfId="3784" priority="175" operator="lessThan">
      <formula>I20</formula>
    </cfRule>
  </conditionalFormatting>
  <conditionalFormatting sqref="J21">
    <cfRule type="expression" dxfId="3783" priority="166">
      <formula>I21="-"</formula>
    </cfRule>
    <cfRule type="cellIs" dxfId="3782" priority="167" operator="equal">
      <formula>"-"</formula>
    </cfRule>
    <cfRule type="cellIs" dxfId="3781" priority="168" operator="equal">
      <formula>I21</formula>
    </cfRule>
    <cfRule type="cellIs" dxfId="3780" priority="169" operator="greaterThan">
      <formula>I21</formula>
    </cfRule>
    <cfRule type="cellIs" dxfId="3779" priority="170" operator="lessThan">
      <formula>I21</formula>
    </cfRule>
  </conditionalFormatting>
  <conditionalFormatting sqref="C22">
    <cfRule type="expression" dxfId="3778" priority="156">
      <formula>B22="-"</formula>
    </cfRule>
    <cfRule type="cellIs" dxfId="3777" priority="157" operator="equal">
      <formula>"-"</formula>
    </cfRule>
    <cfRule type="cellIs" dxfId="3776" priority="158" operator="equal">
      <formula>B22</formula>
    </cfRule>
    <cfRule type="cellIs" dxfId="3775" priority="159" operator="greaterThan">
      <formula>B22</formula>
    </cfRule>
    <cfRule type="cellIs" dxfId="3774" priority="160" operator="lessThan">
      <formula>B22</formula>
    </cfRule>
  </conditionalFormatting>
  <conditionalFormatting sqref="C23">
    <cfRule type="expression" dxfId="3773" priority="151">
      <formula>B23="-"</formula>
    </cfRule>
    <cfRule type="cellIs" dxfId="3772" priority="152" operator="equal">
      <formula>"-"</formula>
    </cfRule>
    <cfRule type="cellIs" dxfId="3771" priority="153" operator="equal">
      <formula>B23</formula>
    </cfRule>
    <cfRule type="cellIs" dxfId="3770" priority="154" operator="greaterThan">
      <formula>B23</formula>
    </cfRule>
    <cfRule type="cellIs" dxfId="3769" priority="155" operator="lessThan">
      <formula>B23</formula>
    </cfRule>
  </conditionalFormatting>
  <conditionalFormatting sqref="D22">
    <cfRule type="expression" dxfId="3768" priority="146">
      <formula>C22="-"</formula>
    </cfRule>
    <cfRule type="cellIs" dxfId="3767" priority="147" operator="equal">
      <formula>"-"</formula>
    </cfRule>
    <cfRule type="cellIs" dxfId="3766" priority="148" operator="equal">
      <formula>C22</formula>
    </cfRule>
    <cfRule type="cellIs" dxfId="3765" priority="149" operator="greaterThan">
      <formula>C22</formula>
    </cfRule>
    <cfRule type="cellIs" dxfId="3764" priority="150" operator="lessThan">
      <formula>C22</formula>
    </cfRule>
  </conditionalFormatting>
  <conditionalFormatting sqref="D23">
    <cfRule type="expression" dxfId="3763" priority="141">
      <formula>C23="-"</formula>
    </cfRule>
    <cfRule type="cellIs" dxfId="3762" priority="142" operator="equal">
      <formula>"-"</formula>
    </cfRule>
    <cfRule type="cellIs" dxfId="3761" priority="143" operator="equal">
      <formula>C23</formula>
    </cfRule>
    <cfRule type="cellIs" dxfId="3760" priority="144" operator="greaterThan">
      <formula>C23</formula>
    </cfRule>
    <cfRule type="cellIs" dxfId="3759" priority="145" operator="lessThan">
      <formula>C23</formula>
    </cfRule>
  </conditionalFormatting>
  <conditionalFormatting sqref="E22">
    <cfRule type="expression" dxfId="3758" priority="136">
      <formula>D22="-"</formula>
    </cfRule>
    <cfRule type="cellIs" dxfId="3757" priority="137" operator="equal">
      <formula>"-"</formula>
    </cfRule>
    <cfRule type="cellIs" dxfId="3756" priority="138" operator="equal">
      <formula>D22</formula>
    </cfRule>
    <cfRule type="cellIs" dxfId="3755" priority="139" operator="greaterThan">
      <formula>D22</formula>
    </cfRule>
    <cfRule type="cellIs" dxfId="3754" priority="140" operator="lessThan">
      <formula>D22</formula>
    </cfRule>
  </conditionalFormatting>
  <conditionalFormatting sqref="E23">
    <cfRule type="expression" dxfId="3753" priority="131">
      <formula>D23="-"</formula>
    </cfRule>
    <cfRule type="cellIs" dxfId="3752" priority="132" operator="equal">
      <formula>"-"</formula>
    </cfRule>
    <cfRule type="cellIs" dxfId="3751" priority="133" operator="equal">
      <formula>D23</formula>
    </cfRule>
    <cfRule type="cellIs" dxfId="3750" priority="134" operator="greaterThan">
      <formula>D23</formula>
    </cfRule>
    <cfRule type="cellIs" dxfId="3749" priority="135" operator="lessThan">
      <formula>D23</formula>
    </cfRule>
  </conditionalFormatting>
  <conditionalFormatting sqref="F22">
    <cfRule type="expression" dxfId="3748" priority="126">
      <formula>E22="-"</formula>
    </cfRule>
    <cfRule type="cellIs" dxfId="3747" priority="127" operator="equal">
      <formula>"-"</formula>
    </cfRule>
    <cfRule type="cellIs" dxfId="3746" priority="128" operator="equal">
      <formula>E22</formula>
    </cfRule>
    <cfRule type="cellIs" dxfId="3745" priority="129" operator="greaterThan">
      <formula>E22</formula>
    </cfRule>
    <cfRule type="cellIs" dxfId="3744" priority="130" operator="lessThan">
      <formula>E22</formula>
    </cfRule>
  </conditionalFormatting>
  <conditionalFormatting sqref="F23">
    <cfRule type="expression" dxfId="3743" priority="121">
      <formula>E23="-"</formula>
    </cfRule>
    <cfRule type="cellIs" dxfId="3742" priority="122" operator="equal">
      <formula>"-"</formula>
    </cfRule>
    <cfRule type="cellIs" dxfId="3741" priority="123" operator="equal">
      <formula>E23</formula>
    </cfRule>
    <cfRule type="cellIs" dxfId="3740" priority="124" operator="greaterThan">
      <formula>E23</formula>
    </cfRule>
    <cfRule type="cellIs" dxfId="3739" priority="125" operator="lessThan">
      <formula>E23</formula>
    </cfRule>
  </conditionalFormatting>
  <conditionalFormatting sqref="G22">
    <cfRule type="expression" dxfId="3738" priority="116">
      <formula>F22="-"</formula>
    </cfRule>
    <cfRule type="cellIs" dxfId="3737" priority="117" operator="equal">
      <formula>"-"</formula>
    </cfRule>
    <cfRule type="cellIs" dxfId="3736" priority="118" operator="equal">
      <formula>F22</formula>
    </cfRule>
    <cfRule type="cellIs" dxfId="3735" priority="119" operator="greaterThan">
      <formula>F22</formula>
    </cfRule>
    <cfRule type="cellIs" dxfId="3734" priority="120" operator="lessThan">
      <formula>F22</formula>
    </cfRule>
  </conditionalFormatting>
  <conditionalFormatting sqref="G23">
    <cfRule type="expression" dxfId="3733" priority="111">
      <formula>F23="-"</formula>
    </cfRule>
    <cfRule type="cellIs" dxfId="3732" priority="112" operator="equal">
      <formula>"-"</formula>
    </cfRule>
    <cfRule type="cellIs" dxfId="3731" priority="113" operator="equal">
      <formula>F23</formula>
    </cfRule>
    <cfRule type="cellIs" dxfId="3730" priority="114" operator="greaterThan">
      <formula>F23</formula>
    </cfRule>
    <cfRule type="cellIs" dxfId="3729" priority="115" operator="lessThan">
      <formula>F23</formula>
    </cfRule>
  </conditionalFormatting>
  <conditionalFormatting sqref="H22">
    <cfRule type="expression" dxfId="3728" priority="106">
      <formula>G22="-"</formula>
    </cfRule>
    <cfRule type="cellIs" dxfId="3727" priority="107" operator="equal">
      <formula>"-"</formula>
    </cfRule>
    <cfRule type="cellIs" dxfId="3726" priority="108" operator="equal">
      <formula>G22</formula>
    </cfRule>
    <cfRule type="cellIs" dxfId="3725" priority="109" operator="greaterThan">
      <formula>G22</formula>
    </cfRule>
    <cfRule type="cellIs" dxfId="3724" priority="110" operator="lessThan">
      <formula>G22</formula>
    </cfRule>
  </conditionalFormatting>
  <conditionalFormatting sqref="H23">
    <cfRule type="expression" dxfId="3723" priority="101">
      <formula>G23="-"</formula>
    </cfRule>
    <cfRule type="cellIs" dxfId="3722" priority="102" operator="equal">
      <formula>"-"</formula>
    </cfRule>
    <cfRule type="cellIs" dxfId="3721" priority="103" operator="equal">
      <formula>G23</formula>
    </cfRule>
    <cfRule type="cellIs" dxfId="3720" priority="104" operator="greaterThan">
      <formula>G23</formula>
    </cfRule>
    <cfRule type="cellIs" dxfId="3719" priority="105" operator="lessThan">
      <formula>G23</formula>
    </cfRule>
  </conditionalFormatting>
  <conditionalFormatting sqref="I22">
    <cfRule type="expression" dxfId="3718" priority="96">
      <formula>H22="-"</formula>
    </cfRule>
    <cfRule type="cellIs" dxfId="3717" priority="97" operator="equal">
      <formula>"-"</formula>
    </cfRule>
    <cfRule type="cellIs" dxfId="3716" priority="98" operator="equal">
      <formula>H22</formula>
    </cfRule>
    <cfRule type="cellIs" dxfId="3715" priority="99" operator="greaterThan">
      <formula>H22</formula>
    </cfRule>
    <cfRule type="cellIs" dxfId="3714" priority="100" operator="lessThan">
      <formula>H22</formula>
    </cfRule>
  </conditionalFormatting>
  <conditionalFormatting sqref="I23">
    <cfRule type="expression" dxfId="3713" priority="91">
      <formula>H23="-"</formula>
    </cfRule>
    <cfRule type="cellIs" dxfId="3712" priority="92" operator="equal">
      <formula>"-"</formula>
    </cfRule>
    <cfRule type="cellIs" dxfId="3711" priority="93" operator="equal">
      <formula>H23</formula>
    </cfRule>
    <cfRule type="cellIs" dxfId="3710" priority="94" operator="greaterThan">
      <formula>H23</formula>
    </cfRule>
    <cfRule type="cellIs" dxfId="3709" priority="95" operator="lessThan">
      <formula>H23</formula>
    </cfRule>
  </conditionalFormatting>
  <conditionalFormatting sqref="J22">
    <cfRule type="expression" dxfId="3708" priority="86">
      <formula>I22="-"</formula>
    </cfRule>
    <cfRule type="cellIs" dxfId="3707" priority="87" operator="equal">
      <formula>"-"</formula>
    </cfRule>
    <cfRule type="cellIs" dxfId="3706" priority="88" operator="equal">
      <formula>I22</formula>
    </cfRule>
    <cfRule type="cellIs" dxfId="3705" priority="89" operator="greaterThan">
      <formula>I22</formula>
    </cfRule>
    <cfRule type="cellIs" dxfId="3704" priority="90" operator="lessThan">
      <formula>I22</formula>
    </cfRule>
  </conditionalFormatting>
  <conditionalFormatting sqref="J23">
    <cfRule type="expression" dxfId="3703" priority="81">
      <formula>I23="-"</formula>
    </cfRule>
    <cfRule type="cellIs" dxfId="3702" priority="82" operator="equal">
      <formula>"-"</formula>
    </cfRule>
    <cfRule type="cellIs" dxfId="3701" priority="83" operator="equal">
      <formula>I23</formula>
    </cfRule>
    <cfRule type="cellIs" dxfId="3700" priority="84" operator="greaterThan">
      <formula>I23</formula>
    </cfRule>
    <cfRule type="cellIs" dxfId="3699" priority="85" operator="lessThan">
      <formula>I23</formula>
    </cfRule>
  </conditionalFormatting>
  <conditionalFormatting sqref="M4">
    <cfRule type="expression" dxfId="3698" priority="76">
      <formula>L4="-"</formula>
    </cfRule>
    <cfRule type="cellIs" dxfId="3697" priority="77" operator="equal">
      <formula>"-"</formula>
    </cfRule>
    <cfRule type="cellIs" dxfId="3696" priority="78" operator="equal">
      <formula>L4</formula>
    </cfRule>
    <cfRule type="cellIs" dxfId="3695" priority="79" operator="greaterThan">
      <formula>L4</formula>
    </cfRule>
    <cfRule type="cellIs" dxfId="3694" priority="80" operator="lessThan">
      <formula>L4</formula>
    </cfRule>
  </conditionalFormatting>
  <conditionalFormatting sqref="M5">
    <cfRule type="expression" dxfId="3693" priority="71">
      <formula>L5="-"</formula>
    </cfRule>
    <cfRule type="cellIs" dxfId="3692" priority="72" operator="equal">
      <formula>"-"</formula>
    </cfRule>
    <cfRule type="cellIs" dxfId="3691" priority="73" operator="equal">
      <formula>L5</formula>
    </cfRule>
    <cfRule type="cellIs" dxfId="3690" priority="74" operator="greaterThan">
      <formula>L5</formula>
    </cfRule>
    <cfRule type="cellIs" dxfId="3689" priority="75" operator="lessThan">
      <formula>L5</formula>
    </cfRule>
  </conditionalFormatting>
  <conditionalFormatting sqref="N4">
    <cfRule type="expression" dxfId="3688" priority="66">
      <formula>M4="-"</formula>
    </cfRule>
    <cfRule type="cellIs" dxfId="3687" priority="67" operator="equal">
      <formula>"-"</formula>
    </cfRule>
    <cfRule type="cellIs" dxfId="3686" priority="68" operator="equal">
      <formula>M4</formula>
    </cfRule>
    <cfRule type="cellIs" dxfId="3685" priority="69" operator="greaterThan">
      <formula>M4</formula>
    </cfRule>
    <cfRule type="cellIs" dxfId="3684" priority="70" operator="lessThan">
      <formula>M4</formula>
    </cfRule>
  </conditionalFormatting>
  <conditionalFormatting sqref="N5">
    <cfRule type="expression" dxfId="3683" priority="61">
      <formula>M5="-"</formula>
    </cfRule>
    <cfRule type="cellIs" dxfId="3682" priority="62" operator="equal">
      <formula>"-"</formula>
    </cfRule>
    <cfRule type="cellIs" dxfId="3681" priority="63" operator="equal">
      <formula>M5</formula>
    </cfRule>
    <cfRule type="cellIs" dxfId="3680" priority="64" operator="greaterThan">
      <formula>M5</formula>
    </cfRule>
    <cfRule type="cellIs" dxfId="3679" priority="65" operator="lessThan">
      <formula>M5</formula>
    </cfRule>
  </conditionalFormatting>
  <conditionalFormatting sqref="O4">
    <cfRule type="expression" dxfId="3678" priority="56">
      <formula>N4="-"</formula>
    </cfRule>
    <cfRule type="cellIs" dxfId="3677" priority="57" operator="equal">
      <formula>"-"</formula>
    </cfRule>
    <cfRule type="cellIs" dxfId="3676" priority="58" operator="equal">
      <formula>N4</formula>
    </cfRule>
    <cfRule type="cellIs" dxfId="3675" priority="59" operator="greaterThan">
      <formula>N4</formula>
    </cfRule>
    <cfRule type="cellIs" dxfId="3674" priority="60" operator="lessThan">
      <formula>N4</formula>
    </cfRule>
  </conditionalFormatting>
  <conditionalFormatting sqref="O5">
    <cfRule type="expression" dxfId="3673" priority="51">
      <formula>N5="-"</formula>
    </cfRule>
    <cfRule type="cellIs" dxfId="3672" priority="52" operator="equal">
      <formula>"-"</formula>
    </cfRule>
    <cfRule type="cellIs" dxfId="3671" priority="53" operator="equal">
      <formula>N5</formula>
    </cfRule>
    <cfRule type="cellIs" dxfId="3670" priority="54" operator="greaterThan">
      <formula>N5</formula>
    </cfRule>
    <cfRule type="cellIs" dxfId="3669" priority="55" operator="lessThan">
      <formula>N5</formula>
    </cfRule>
  </conditionalFormatting>
  <conditionalFormatting sqref="P4">
    <cfRule type="expression" dxfId="3668" priority="46">
      <formula>O4="-"</formula>
    </cfRule>
    <cfRule type="cellIs" dxfId="3667" priority="47" operator="equal">
      <formula>"-"</formula>
    </cfRule>
    <cfRule type="cellIs" dxfId="3666" priority="48" operator="equal">
      <formula>O4</formula>
    </cfRule>
    <cfRule type="cellIs" dxfId="3665" priority="49" operator="greaterThan">
      <formula>O4</formula>
    </cfRule>
    <cfRule type="cellIs" dxfId="3664" priority="50" operator="lessThan">
      <formula>O4</formula>
    </cfRule>
  </conditionalFormatting>
  <conditionalFormatting sqref="P5">
    <cfRule type="expression" dxfId="3663" priority="41">
      <formula>O5="-"</formula>
    </cfRule>
    <cfRule type="cellIs" dxfId="3662" priority="42" operator="equal">
      <formula>"-"</formula>
    </cfRule>
    <cfRule type="cellIs" dxfId="3661" priority="43" operator="equal">
      <formula>O5</formula>
    </cfRule>
    <cfRule type="cellIs" dxfId="3660" priority="44" operator="greaterThan">
      <formula>O5</formula>
    </cfRule>
    <cfRule type="cellIs" dxfId="3659" priority="45" operator="lessThan">
      <formula>O5</formula>
    </cfRule>
  </conditionalFormatting>
  <conditionalFormatting sqref="Q4">
    <cfRule type="expression" dxfId="3658" priority="36">
      <formula>P4="-"</formula>
    </cfRule>
    <cfRule type="cellIs" dxfId="3657" priority="37" operator="equal">
      <formula>"-"</formula>
    </cfRule>
    <cfRule type="cellIs" dxfId="3656" priority="38" operator="equal">
      <formula>P4</formula>
    </cfRule>
    <cfRule type="cellIs" dxfId="3655" priority="39" operator="greaterThan">
      <formula>P4</formula>
    </cfRule>
    <cfRule type="cellIs" dxfId="3654" priority="40" operator="lessThan">
      <formula>P4</formula>
    </cfRule>
  </conditionalFormatting>
  <conditionalFormatting sqref="Q5">
    <cfRule type="expression" dxfId="3653" priority="31">
      <formula>P5="-"</formula>
    </cfRule>
    <cfRule type="cellIs" dxfId="3652" priority="32" operator="equal">
      <formula>"-"</formula>
    </cfRule>
    <cfRule type="cellIs" dxfId="3651" priority="33" operator="equal">
      <formula>P5</formula>
    </cfRule>
    <cfRule type="cellIs" dxfId="3650" priority="34" operator="greaterThan">
      <formula>P5</formula>
    </cfRule>
    <cfRule type="cellIs" dxfId="3649" priority="35" operator="lessThan">
      <formula>P5</formula>
    </cfRule>
  </conditionalFormatting>
  <conditionalFormatting sqref="R4">
    <cfRule type="expression" dxfId="3648" priority="26">
      <formula>Q4="-"</formula>
    </cfRule>
    <cfRule type="cellIs" dxfId="3647" priority="27" operator="equal">
      <formula>"-"</formula>
    </cfRule>
    <cfRule type="cellIs" dxfId="3646" priority="28" operator="equal">
      <formula>Q4</formula>
    </cfRule>
    <cfRule type="cellIs" dxfId="3645" priority="29" operator="greaterThan">
      <formula>Q4</formula>
    </cfRule>
    <cfRule type="cellIs" dxfId="3644" priority="30" operator="lessThan">
      <formula>Q4</formula>
    </cfRule>
  </conditionalFormatting>
  <conditionalFormatting sqref="R5">
    <cfRule type="expression" dxfId="3643" priority="21">
      <formula>Q5="-"</formula>
    </cfRule>
    <cfRule type="cellIs" dxfId="3642" priority="22" operator="equal">
      <formula>"-"</formula>
    </cfRule>
    <cfRule type="cellIs" dxfId="3641" priority="23" operator="equal">
      <formula>Q5</formula>
    </cfRule>
    <cfRule type="cellIs" dxfId="3640" priority="24" operator="greaterThan">
      <formula>Q5</formula>
    </cfRule>
    <cfRule type="cellIs" dxfId="3639" priority="25" operator="lessThan">
      <formula>Q5</formula>
    </cfRule>
  </conditionalFormatting>
  <conditionalFormatting sqref="S4">
    <cfRule type="expression" dxfId="3638" priority="16">
      <formula>R4="-"</formula>
    </cfRule>
    <cfRule type="cellIs" dxfId="3637" priority="17" operator="equal">
      <formula>"-"</formula>
    </cfRule>
    <cfRule type="cellIs" dxfId="3636" priority="18" operator="equal">
      <formula>R4</formula>
    </cfRule>
    <cfRule type="cellIs" dxfId="3635" priority="19" operator="greaterThan">
      <formula>R4</formula>
    </cfRule>
    <cfRule type="cellIs" dxfId="3634" priority="20" operator="lessThan">
      <formula>R4</formula>
    </cfRule>
  </conditionalFormatting>
  <conditionalFormatting sqref="S5">
    <cfRule type="expression" dxfId="3633" priority="11">
      <formula>R5="-"</formula>
    </cfRule>
    <cfRule type="cellIs" dxfId="3632" priority="12" operator="equal">
      <formula>"-"</formula>
    </cfRule>
    <cfRule type="cellIs" dxfId="3631" priority="13" operator="equal">
      <formula>R5</formula>
    </cfRule>
    <cfRule type="cellIs" dxfId="3630" priority="14" operator="greaterThan">
      <formula>R5</formula>
    </cfRule>
    <cfRule type="cellIs" dxfId="3629" priority="15" operator="lessThan">
      <formula>R5</formula>
    </cfRule>
  </conditionalFormatting>
  <conditionalFormatting sqref="T4">
    <cfRule type="expression" dxfId="3628" priority="6">
      <formula>S4="-"</formula>
    </cfRule>
    <cfRule type="cellIs" dxfId="3627" priority="7" operator="equal">
      <formula>"-"</formula>
    </cfRule>
    <cfRule type="cellIs" dxfId="3626" priority="8" operator="equal">
      <formula>S4</formula>
    </cfRule>
    <cfRule type="cellIs" dxfId="3625" priority="9" operator="greaterThan">
      <formula>S4</formula>
    </cfRule>
    <cfRule type="cellIs" dxfId="3624" priority="10" operator="lessThan">
      <formula>S4</formula>
    </cfRule>
  </conditionalFormatting>
  <conditionalFormatting sqref="T5">
    <cfRule type="expression" dxfId="3623" priority="1">
      <formula>S5="-"</formula>
    </cfRule>
    <cfRule type="cellIs" dxfId="3622" priority="2" operator="equal">
      <formula>"-"</formula>
    </cfRule>
    <cfRule type="cellIs" dxfId="3621" priority="3" operator="equal">
      <formula>S5</formula>
    </cfRule>
    <cfRule type="cellIs" dxfId="3620" priority="4" operator="greaterThan">
      <formula>S5</formula>
    </cfRule>
    <cfRule type="cellIs" dxfId="3619" priority="5" operator="lessThan">
      <formula>S5</formula>
    </cfRule>
  </conditionalFormatting>
  <printOptions horizontalCentered="1"/>
  <pageMargins left="0.70866141732283472" right="0.70866141732283472" top="0.78740157480314965" bottom="0.59055118110236227" header="0.31496062992125984" footer="0.31496062992125984"/>
  <pageSetup paperSize="9" scale="51" orientation="landscape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12"/>
  <sheetViews>
    <sheetView tabSelected="1" view="pageLayout" zoomScaleNormal="100" zoomScaleSheetLayoutView="76" workbookViewId="0">
      <selection activeCell="AF10" sqref="AF10"/>
    </sheetView>
  </sheetViews>
  <sheetFormatPr defaultRowHeight="15" x14ac:dyDescent="0.25"/>
  <cols>
    <col min="17" max="30" width="0" hidden="1" customWidth="1"/>
    <col min="35" max="41" width="0" hidden="1" customWidth="1"/>
  </cols>
  <sheetData>
    <row r="1" spans="1:39" x14ac:dyDescent="0.25">
      <c r="A1" s="905" t="str">
        <f>bcs!A23</f>
        <v>Összes bűncselekmény</v>
      </c>
      <c r="B1" s="905"/>
      <c r="C1" s="905"/>
      <c r="D1" s="905"/>
      <c r="E1" s="905"/>
      <c r="F1" s="905"/>
      <c r="G1" s="905"/>
      <c r="H1" s="905"/>
      <c r="I1" s="905" t="str">
        <f>bcs!A24</f>
        <v>Regisztrált bűncselekmények 100 000 lakosra vetített aránya</v>
      </c>
      <c r="J1" s="905"/>
      <c r="K1" s="905"/>
      <c r="L1" s="905"/>
      <c r="M1" s="905"/>
      <c r="N1" s="905"/>
      <c r="O1" s="905"/>
      <c r="P1" s="905"/>
    </row>
    <row r="2" spans="1:39" ht="15.75" thickBot="1" x14ac:dyDescent="0.3">
      <c r="A2" s="905" t="str">
        <f>bcs!A3</f>
        <v>az ENyÜBS 2010-2018. évi adatai alapján</v>
      </c>
      <c r="B2" s="905"/>
      <c r="C2" s="905"/>
      <c r="D2" s="905"/>
      <c r="E2" s="905"/>
      <c r="F2" s="905"/>
      <c r="G2" s="905"/>
      <c r="H2" s="905"/>
      <c r="I2" s="905" t="str">
        <f>bcs!A3</f>
        <v>az ENyÜBS 2010-2018. évi adatai alapján</v>
      </c>
      <c r="J2" s="905"/>
      <c r="K2" s="905"/>
      <c r="L2" s="905"/>
      <c r="M2" s="905"/>
      <c r="N2" s="905"/>
      <c r="O2" s="905"/>
      <c r="P2" s="905"/>
    </row>
    <row r="3" spans="1:39" ht="15.75" thickBot="1" x14ac:dyDescent="0.3">
      <c r="A3" s="261"/>
      <c r="B3" s="902" t="str">
        <f>bcs!$A$1</f>
        <v>Vas megye</v>
      </c>
      <c r="C3" s="902"/>
      <c r="D3" s="902"/>
      <c r="E3" s="902"/>
      <c r="F3" s="902"/>
      <c r="G3" s="902"/>
      <c r="H3" s="902"/>
      <c r="I3" s="902" t="str">
        <f>bcs!A1</f>
        <v>Vas megye</v>
      </c>
      <c r="J3" s="902"/>
      <c r="K3" s="902"/>
      <c r="L3" s="902"/>
      <c r="M3" s="902"/>
      <c r="N3" s="902"/>
      <c r="O3" s="902"/>
      <c r="P3" s="902"/>
      <c r="Q3" t="str">
        <f>[1]RK_bcs!C2</f>
        <v>2010. év</v>
      </c>
      <c r="R3" t="str">
        <f>[1]RK_bcs!D2</f>
        <v>2011. év</v>
      </c>
      <c r="S3" t="str">
        <f>[1]RK_bcs!E2</f>
        <v>2012. év</v>
      </c>
      <c r="T3" t="str">
        <f>[1]RK_bcs!F2</f>
        <v>2013. év</v>
      </c>
      <c r="U3" t="str">
        <f>[1]RK_bcs!G2</f>
        <v>2014. év</v>
      </c>
      <c r="V3" t="str">
        <f>[1]RK_bcs!H2</f>
        <v>2015. év</v>
      </c>
      <c r="W3" t="str">
        <f>[1]RK_bcs!I2</f>
        <v>2016. év</v>
      </c>
      <c r="X3" t="str">
        <f>[1]RK_bcs!J2</f>
        <v>2017. év</v>
      </c>
      <c r="AI3" s="349" t="str">
        <f>[1]RK_bcs!H2</f>
        <v>2015. év</v>
      </c>
      <c r="AJ3" s="349" t="str">
        <f>[1]RK_bcs!I2</f>
        <v>2016. év</v>
      </c>
      <c r="AK3" s="349" t="str">
        <f>[1]RK_bcs!J2</f>
        <v>2017. év</v>
      </c>
    </row>
    <row r="4" spans="1:39" x14ac:dyDescent="0.25">
      <c r="Z4" s="329">
        <f>VLOOKUP([1]alap!$A$1,'[1]RK nyomered emb-káb'!$C:$KN,268,FALSE)</f>
        <v>95.744680851063833</v>
      </c>
      <c r="AA4" s="323">
        <f>X4-W4</f>
        <v>0</v>
      </c>
      <c r="AB4" s="324">
        <f>X4-Z4</f>
        <v>-95.744680851063833</v>
      </c>
      <c r="AC4" s="325">
        <f>X4-Q4</f>
        <v>0</v>
      </c>
      <c r="AI4" s="333"/>
      <c r="AJ4" s="334"/>
      <c r="AK4" s="335"/>
      <c r="AM4" s="329">
        <f>AK4-AJ4</f>
        <v>0</v>
      </c>
    </row>
    <row r="5" spans="1:39" x14ac:dyDescent="0.25">
      <c r="Z5" s="330"/>
      <c r="AA5" s="326"/>
      <c r="AB5" s="322"/>
      <c r="AC5" s="327"/>
      <c r="AI5" s="260"/>
      <c r="AJ5" s="261"/>
      <c r="AK5" s="262"/>
      <c r="AM5" s="330"/>
    </row>
    <row r="6" spans="1:39" x14ac:dyDescent="0.25">
      <c r="Z6" s="330"/>
      <c r="AA6" s="326"/>
      <c r="AB6" s="322"/>
      <c r="AC6" s="327"/>
      <c r="AI6" s="260"/>
      <c r="AJ6" s="261"/>
      <c r="AK6" s="262"/>
      <c r="AM6" s="330"/>
    </row>
    <row r="7" spans="1:39" x14ac:dyDescent="0.25">
      <c r="L7" t="str">
        <f>IF(I7&lt;50,"-",(I7/#REF!*100)-100)</f>
        <v>-</v>
      </c>
      <c r="M7" t="str">
        <f>IF(I7&lt;50,"-",(I7/K7*100)-100)</f>
        <v>-</v>
      </c>
      <c r="N7" t="str">
        <f>IF(I7&lt;50,"-",(I7/#REF!*100)-100)</f>
        <v>-</v>
      </c>
      <c r="Z7" s="330"/>
      <c r="AA7" s="326"/>
      <c r="AB7" s="322"/>
      <c r="AC7" s="327"/>
      <c r="AI7" s="260"/>
      <c r="AJ7" s="261"/>
      <c r="AK7" s="262"/>
      <c r="AM7" s="330"/>
    </row>
    <row r="8" spans="1:39" x14ac:dyDescent="0.25">
      <c r="Z8" s="330"/>
      <c r="AA8" s="326"/>
      <c r="AB8" s="322"/>
      <c r="AC8" s="327"/>
      <c r="AI8" s="260"/>
      <c r="AJ8" s="261"/>
      <c r="AK8" s="262"/>
      <c r="AM8" s="330">
        <f>AK8-AJ8</f>
        <v>0</v>
      </c>
    </row>
    <row r="9" spans="1:39" x14ac:dyDescent="0.25">
      <c r="Z9" s="330"/>
      <c r="AA9" s="326"/>
      <c r="AB9" s="322"/>
      <c r="AC9" s="327"/>
      <c r="AI9" s="260"/>
      <c r="AJ9" s="261"/>
      <c r="AK9" s="262"/>
      <c r="AM9" s="330"/>
    </row>
    <row r="10" spans="1:39" x14ac:dyDescent="0.25">
      <c r="Z10" s="330"/>
      <c r="AA10" s="326"/>
      <c r="AB10" s="322"/>
      <c r="AC10" s="327"/>
      <c r="AI10" s="260"/>
      <c r="AJ10" s="261"/>
      <c r="AK10" s="262"/>
      <c r="AM10" s="330"/>
    </row>
    <row r="11" spans="1:39" x14ac:dyDescent="0.25">
      <c r="B11" s="80"/>
      <c r="C11" s="80"/>
      <c r="D11" s="80"/>
      <c r="E11" s="80"/>
      <c r="F11" s="80"/>
      <c r="G11" s="80"/>
      <c r="H11" s="80"/>
      <c r="Z11" s="330"/>
      <c r="AA11" s="326"/>
      <c r="AB11" s="322"/>
      <c r="AC11" s="327"/>
      <c r="AI11" s="260"/>
      <c r="AJ11" s="261"/>
      <c r="AK11" s="262"/>
      <c r="AM11" s="330"/>
    </row>
    <row r="12" spans="1:39" x14ac:dyDescent="0.25">
      <c r="B12" s="80"/>
      <c r="C12" s="80"/>
      <c r="D12" s="80"/>
      <c r="E12" s="80"/>
      <c r="F12" s="80"/>
      <c r="G12" s="80"/>
      <c r="H12" s="80"/>
      <c r="Z12" s="330"/>
      <c r="AA12" s="326"/>
      <c r="AB12" s="322"/>
      <c r="AC12" s="327"/>
      <c r="AI12" s="260"/>
      <c r="AJ12" s="261"/>
      <c r="AK12" s="262"/>
      <c r="AM12" s="330"/>
    </row>
    <row r="13" spans="1:39" x14ac:dyDescent="0.25">
      <c r="B13" s="80"/>
      <c r="C13" s="80"/>
      <c r="D13" s="80"/>
      <c r="E13" s="80"/>
      <c r="F13" s="80"/>
      <c r="G13" s="80"/>
      <c r="H13" s="80"/>
      <c r="Z13" s="330"/>
      <c r="AA13" s="326"/>
      <c r="AB13" s="322"/>
      <c r="AC13" s="327"/>
      <c r="AI13" s="260"/>
      <c r="AJ13" s="261"/>
      <c r="AK13" s="262"/>
      <c r="AM13" s="330"/>
    </row>
    <row r="14" spans="1:39" x14ac:dyDescent="0.25">
      <c r="Z14" s="330"/>
      <c r="AA14" s="326"/>
      <c r="AB14" s="322"/>
      <c r="AC14" s="327"/>
      <c r="AI14" s="260"/>
      <c r="AJ14" s="261"/>
      <c r="AK14" s="262"/>
      <c r="AM14" s="330"/>
    </row>
    <row r="15" spans="1:39" x14ac:dyDescent="0.25">
      <c r="Z15" s="330"/>
      <c r="AA15" s="326"/>
      <c r="AB15" s="322"/>
      <c r="AC15" s="327"/>
      <c r="AI15" s="260"/>
      <c r="AJ15" s="261"/>
      <c r="AK15" s="262"/>
      <c r="AM15" s="330"/>
    </row>
    <row r="16" spans="1:39" x14ac:dyDescent="0.25">
      <c r="Z16" s="330"/>
      <c r="AA16" s="326"/>
      <c r="AB16" s="322"/>
      <c r="AC16" s="327"/>
      <c r="AI16" s="260"/>
      <c r="AJ16" s="261"/>
      <c r="AK16" s="262"/>
      <c r="AM16" s="330"/>
    </row>
    <row r="17" spans="1:39" x14ac:dyDescent="0.25">
      <c r="Z17" s="330"/>
      <c r="AA17" s="326"/>
      <c r="AB17" s="322"/>
      <c r="AC17" s="327"/>
      <c r="AI17" s="260"/>
      <c r="AJ17" s="261"/>
      <c r="AK17" s="262"/>
      <c r="AM17" s="330"/>
    </row>
    <row r="18" spans="1:39" x14ac:dyDescent="0.25">
      <c r="Z18" s="330"/>
      <c r="AA18" s="326"/>
      <c r="AB18" s="322"/>
      <c r="AC18" s="327"/>
      <c r="AI18" s="260"/>
      <c r="AJ18" s="261"/>
      <c r="AK18" s="262"/>
      <c r="AM18" s="330"/>
    </row>
    <row r="19" spans="1:39" x14ac:dyDescent="0.25">
      <c r="Z19" s="330"/>
      <c r="AA19" s="326"/>
      <c r="AB19" s="322"/>
      <c r="AC19" s="327"/>
      <c r="AI19" s="260"/>
      <c r="AJ19" s="261"/>
      <c r="AK19" s="262"/>
      <c r="AM19" s="330"/>
    </row>
    <row r="20" spans="1:39" x14ac:dyDescent="0.25">
      <c r="Z20" s="330"/>
      <c r="AA20" s="326"/>
      <c r="AB20" s="322"/>
      <c r="AC20" s="327"/>
      <c r="AI20" s="260"/>
      <c r="AJ20" s="261"/>
      <c r="AK20" s="262"/>
      <c r="AM20" s="330"/>
    </row>
    <row r="21" spans="1:39" x14ac:dyDescent="0.25">
      <c r="Z21" s="330"/>
      <c r="AA21" s="326"/>
      <c r="AB21" s="322"/>
      <c r="AC21" s="327"/>
      <c r="AI21" s="260"/>
      <c r="AJ21" s="261"/>
      <c r="AK21" s="262"/>
      <c r="AM21" s="330"/>
    </row>
    <row r="22" spans="1:39" x14ac:dyDescent="0.25">
      <c r="Z22" s="330"/>
      <c r="AA22" s="326"/>
      <c r="AB22" s="322"/>
      <c r="AC22" s="327"/>
      <c r="AI22" s="260"/>
      <c r="AJ22" s="261"/>
      <c r="AK22" s="262"/>
      <c r="AM22" s="330"/>
    </row>
    <row r="23" spans="1:39" ht="15" customHeight="1" x14ac:dyDescent="0.25">
      <c r="A23" s="902" t="str">
        <f>bcs!A22</f>
        <v>Közterületen elkövetett bűncselekmény</v>
      </c>
      <c r="B23" s="902"/>
      <c r="C23" s="902"/>
      <c r="D23" s="902"/>
      <c r="E23" s="902"/>
      <c r="F23" s="902"/>
      <c r="G23" s="902"/>
      <c r="H23" s="902"/>
      <c r="I23" s="905" t="str">
        <f>bcs!A21</f>
        <v>14 kiemelten kezelt bűncselekmény összesen</v>
      </c>
      <c r="J23" s="905"/>
      <c r="K23" s="905"/>
      <c r="L23" s="905"/>
      <c r="M23" s="905"/>
      <c r="N23" s="905"/>
      <c r="O23" s="905"/>
      <c r="P23" s="905"/>
      <c r="R23" s="330"/>
      <c r="S23" s="326"/>
      <c r="T23" s="322"/>
      <c r="U23" s="327"/>
      <c r="AA23" s="260"/>
      <c r="AB23" s="261"/>
      <c r="AC23" s="262"/>
      <c r="AE23" s="261"/>
    </row>
    <row r="24" spans="1:39" x14ac:dyDescent="0.25">
      <c r="A24" s="902" t="str">
        <f>bcs!A3</f>
        <v>az ENyÜBS 2010-2018. évi adatai alapján</v>
      </c>
      <c r="B24" s="902"/>
      <c r="C24" s="902"/>
      <c r="D24" s="902"/>
      <c r="E24" s="902"/>
      <c r="F24" s="902"/>
      <c r="G24" s="902"/>
      <c r="H24" s="902"/>
      <c r="I24" s="905" t="str">
        <f>bcs!A3</f>
        <v>az ENyÜBS 2010-2018. évi adatai alapján</v>
      </c>
      <c r="J24" s="905"/>
      <c r="K24" s="905"/>
      <c r="L24" s="905"/>
      <c r="M24" s="905"/>
      <c r="N24" s="905"/>
      <c r="O24" s="905"/>
      <c r="P24" s="905"/>
      <c r="R24" s="330"/>
      <c r="S24" s="326"/>
      <c r="T24" s="322"/>
      <c r="U24" s="327"/>
      <c r="AA24" s="260"/>
      <c r="AB24" s="261"/>
      <c r="AC24" s="262"/>
      <c r="AE24" s="261"/>
    </row>
    <row r="25" spans="1:39" x14ac:dyDescent="0.25">
      <c r="A25" s="902" t="str">
        <f>bcs!A1:J1</f>
        <v>Vas megye</v>
      </c>
      <c r="B25" s="902"/>
      <c r="C25" s="902"/>
      <c r="D25" s="902"/>
      <c r="E25" s="902"/>
      <c r="F25" s="902"/>
      <c r="G25" s="902"/>
      <c r="H25" s="902"/>
      <c r="I25" s="902" t="str">
        <f>bcs!A1</f>
        <v>Vas megye</v>
      </c>
      <c r="J25" s="902"/>
      <c r="K25" s="902"/>
      <c r="L25" s="902"/>
      <c r="M25" s="902"/>
      <c r="N25" s="902"/>
      <c r="O25" s="902"/>
      <c r="P25" s="902"/>
      <c r="R25" s="330"/>
      <c r="S25" s="326"/>
      <c r="T25" s="322"/>
      <c r="U25" s="327"/>
      <c r="AA25" s="260"/>
      <c r="AB25" s="261"/>
      <c r="AC25" s="262"/>
      <c r="AE25" s="261"/>
    </row>
    <row r="26" spans="1:39" x14ac:dyDescent="0.25">
      <c r="R26" s="330"/>
      <c r="S26" s="326"/>
      <c r="T26" s="322"/>
      <c r="U26" s="327"/>
      <c r="AA26" s="260"/>
      <c r="AB26" s="261"/>
      <c r="AC26" s="262"/>
      <c r="AE26" s="261"/>
    </row>
    <row r="27" spans="1:39" x14ac:dyDescent="0.25">
      <c r="R27" s="330"/>
      <c r="S27" s="326"/>
      <c r="T27" s="322"/>
      <c r="U27" s="327"/>
      <c r="AA27" s="260"/>
      <c r="AB27" s="261"/>
      <c r="AC27" s="262"/>
      <c r="AE27" s="261"/>
    </row>
    <row r="28" spans="1:39" x14ac:dyDescent="0.25">
      <c r="R28" s="330"/>
      <c r="S28" s="326"/>
      <c r="T28" s="322"/>
      <c r="U28" s="327"/>
      <c r="AA28" s="260"/>
      <c r="AB28" s="261"/>
      <c r="AC28" s="262"/>
      <c r="AE28" s="261"/>
    </row>
    <row r="29" spans="1:39" x14ac:dyDescent="0.25">
      <c r="L29" t="str">
        <f>IF(I29&lt;50,"-",(I29/H7*100)-100)</f>
        <v>-</v>
      </c>
      <c r="M29" t="str">
        <f>IF(I29&lt;50,"-",(I29/K29*100)-100)</f>
        <v>-</v>
      </c>
      <c r="N29" t="str">
        <f>IF(I29&lt;50,"-",(I29/B7*100)-100)</f>
        <v>-</v>
      </c>
      <c r="R29" s="330"/>
      <c r="S29" s="326"/>
      <c r="T29" s="322"/>
      <c r="U29" s="327"/>
      <c r="AA29" s="260"/>
      <c r="AB29" s="261"/>
      <c r="AC29" s="262"/>
      <c r="AE29" s="261"/>
    </row>
    <row r="30" spans="1:39" ht="15.75" thickBot="1" x14ac:dyDescent="0.3">
      <c r="R30" s="331"/>
      <c r="S30" s="266"/>
      <c r="T30" s="267"/>
      <c r="U30" s="268"/>
      <c r="AA30" s="336"/>
      <c r="AB30" s="337"/>
      <c r="AC30" s="338"/>
      <c r="AE30" s="261"/>
    </row>
    <row r="44" spans="1:16" ht="18" customHeight="1" x14ac:dyDescent="0.25"/>
    <row r="47" spans="1:16" x14ac:dyDescent="0.25">
      <c r="A47" s="902" t="str">
        <f>bcs!A4</f>
        <v>Emberölés</v>
      </c>
      <c r="B47" s="902"/>
      <c r="C47" s="902"/>
      <c r="D47" s="902"/>
      <c r="E47" s="902"/>
      <c r="F47" s="902"/>
      <c r="G47" s="902"/>
      <c r="H47" s="902"/>
      <c r="I47" s="903" t="str">
        <f>bcs!A5</f>
        <v>Szándékos befejezett emberölés</v>
      </c>
      <c r="J47" s="903"/>
      <c r="K47" s="903"/>
      <c r="L47" s="903"/>
      <c r="M47" s="903"/>
      <c r="N47" s="903"/>
      <c r="O47" s="903"/>
      <c r="P47" s="903"/>
    </row>
    <row r="48" spans="1:16" x14ac:dyDescent="0.25">
      <c r="A48" s="902" t="str">
        <f>bcs!A3</f>
        <v>az ENyÜBS 2010-2018. évi adatai alapján</v>
      </c>
      <c r="B48" s="902"/>
      <c r="C48" s="902"/>
      <c r="D48" s="902"/>
      <c r="E48" s="902"/>
      <c r="F48" s="902"/>
      <c r="G48" s="902"/>
      <c r="H48" s="902"/>
      <c r="I48" s="902" t="str">
        <f>bcs!A3</f>
        <v>az ENyÜBS 2010-2018. évi adatai alapján</v>
      </c>
      <c r="J48" s="902"/>
      <c r="K48" s="902"/>
      <c r="L48" s="902"/>
      <c r="M48" s="902"/>
      <c r="N48" s="902"/>
      <c r="O48" s="902"/>
      <c r="P48" s="902"/>
    </row>
    <row r="49" spans="1:16" x14ac:dyDescent="0.25">
      <c r="A49" s="902" t="str">
        <f>bcs!$A$1</f>
        <v>Vas megye</v>
      </c>
      <c r="B49" s="902"/>
      <c r="C49" s="902"/>
      <c r="D49" s="902"/>
      <c r="E49" s="902"/>
      <c r="F49" s="902"/>
      <c r="G49" s="902"/>
      <c r="H49" s="902"/>
      <c r="I49" s="902" t="s">
        <v>1072</v>
      </c>
      <c r="J49" s="902"/>
      <c r="K49" s="902"/>
      <c r="L49" s="902"/>
      <c r="M49" s="902"/>
      <c r="N49" s="902"/>
      <c r="O49" s="902"/>
      <c r="P49" s="902"/>
    </row>
    <row r="57" spans="1:16" x14ac:dyDescent="0.25">
      <c r="B57" s="80"/>
      <c r="C57" s="80"/>
      <c r="D57" s="80"/>
      <c r="E57" s="80"/>
      <c r="F57" s="80"/>
      <c r="G57" s="80"/>
      <c r="H57" s="80"/>
    </row>
    <row r="58" spans="1:16" x14ac:dyDescent="0.25">
      <c r="B58" s="80"/>
      <c r="C58" s="80"/>
      <c r="D58" s="80"/>
      <c r="E58" s="80"/>
      <c r="F58" s="80"/>
      <c r="G58" s="80"/>
      <c r="H58" s="80"/>
    </row>
    <row r="59" spans="1:16" x14ac:dyDescent="0.25">
      <c r="B59" s="80"/>
      <c r="C59" s="80"/>
      <c r="D59" s="80"/>
      <c r="E59" s="80"/>
      <c r="F59" s="80"/>
      <c r="G59" s="80"/>
      <c r="H59" s="80"/>
    </row>
    <row r="69" spans="1:16" x14ac:dyDescent="0.25">
      <c r="A69" s="902" t="str">
        <f>bcs!A6</f>
        <v>Testi sértés</v>
      </c>
      <c r="B69" s="902"/>
      <c r="C69" s="902"/>
      <c r="D69" s="902"/>
      <c r="E69" s="902"/>
      <c r="F69" s="902"/>
      <c r="G69" s="902"/>
      <c r="H69" s="902"/>
      <c r="I69" s="902" t="str">
        <f>bcs!A7</f>
        <v>Súlyos testi sértés</v>
      </c>
      <c r="J69" s="902"/>
      <c r="K69" s="902"/>
      <c r="L69" s="902"/>
      <c r="M69" s="902"/>
      <c r="N69" s="902"/>
      <c r="O69" s="902"/>
      <c r="P69" s="902"/>
    </row>
    <row r="70" spans="1:16" x14ac:dyDescent="0.25">
      <c r="A70" s="902" t="str">
        <f>bcs!A3</f>
        <v>az ENyÜBS 2010-2018. évi adatai alapján</v>
      </c>
      <c r="B70" s="902"/>
      <c r="C70" s="902"/>
      <c r="D70" s="902"/>
      <c r="E70" s="902"/>
      <c r="F70" s="902"/>
      <c r="G70" s="902"/>
      <c r="H70" s="902"/>
      <c r="I70" s="902" t="str">
        <f>bcs!A3</f>
        <v>az ENyÜBS 2010-2018. évi adatai alapján</v>
      </c>
      <c r="J70" s="902"/>
      <c r="K70" s="902"/>
      <c r="L70" s="902"/>
      <c r="M70" s="902"/>
      <c r="N70" s="902"/>
      <c r="O70" s="902"/>
      <c r="P70" s="902"/>
    </row>
    <row r="71" spans="1:16" x14ac:dyDescent="0.25">
      <c r="A71" s="902" t="s">
        <v>1072</v>
      </c>
      <c r="B71" s="902"/>
      <c r="C71" s="902"/>
      <c r="D71" s="902"/>
      <c r="E71" s="902"/>
      <c r="F71" s="902"/>
      <c r="G71" s="902"/>
      <c r="H71" s="902"/>
      <c r="I71" s="902" t="str">
        <f>bcs!$A$1</f>
        <v>Vas megye</v>
      </c>
      <c r="J71" s="902"/>
      <c r="K71" s="902"/>
      <c r="L71" s="902"/>
      <c r="M71" s="902"/>
      <c r="N71" s="902"/>
      <c r="O71" s="902"/>
      <c r="P71" s="902"/>
    </row>
    <row r="94" spans="1:16" x14ac:dyDescent="0.25">
      <c r="A94" s="902" t="str">
        <f>bcs!A8</f>
        <v>Halált okozó testi sértés</v>
      </c>
      <c r="B94" s="902"/>
      <c r="C94" s="902"/>
      <c r="D94" s="902"/>
      <c r="E94" s="902"/>
      <c r="F94" s="902"/>
      <c r="G94" s="902"/>
      <c r="H94" s="902"/>
      <c r="I94" s="902" t="str">
        <f>bcs!A9</f>
        <v>Kiskorú veszélyeztetése</v>
      </c>
      <c r="J94" s="902"/>
      <c r="K94" s="902"/>
      <c r="L94" s="902"/>
      <c r="M94" s="902"/>
      <c r="N94" s="902"/>
      <c r="O94" s="902"/>
      <c r="P94" s="902"/>
    </row>
    <row r="95" spans="1:16" x14ac:dyDescent="0.25">
      <c r="A95" s="902" t="str">
        <f>bcs!A3</f>
        <v>az ENyÜBS 2010-2018. évi adatai alapján</v>
      </c>
      <c r="B95" s="902"/>
      <c r="C95" s="902"/>
      <c r="D95" s="902"/>
      <c r="E95" s="902"/>
      <c r="F95" s="902"/>
      <c r="G95" s="902"/>
      <c r="H95" s="902"/>
      <c r="I95" s="902" t="str">
        <f>bcs!A3</f>
        <v>az ENyÜBS 2010-2018. évi adatai alapján</v>
      </c>
      <c r="J95" s="902"/>
      <c r="K95" s="902"/>
      <c r="L95" s="902"/>
      <c r="M95" s="902"/>
      <c r="N95" s="902"/>
      <c r="O95" s="902"/>
      <c r="P95" s="902"/>
    </row>
    <row r="96" spans="1:16" x14ac:dyDescent="0.25">
      <c r="A96" s="902" t="s">
        <v>1072</v>
      </c>
      <c r="B96" s="902"/>
      <c r="C96" s="902"/>
      <c r="D96" s="902"/>
      <c r="E96" s="902"/>
      <c r="F96" s="902"/>
      <c r="G96" s="902"/>
      <c r="H96" s="902"/>
      <c r="I96" s="902" t="str">
        <f>bcs!$A$1</f>
        <v>Vas megye</v>
      </c>
      <c r="J96" s="902"/>
      <c r="K96" s="902"/>
      <c r="L96" s="902"/>
      <c r="M96" s="902"/>
      <c r="N96" s="902"/>
      <c r="O96" s="902"/>
      <c r="P96" s="902"/>
    </row>
    <row r="101" spans="10:16" x14ac:dyDescent="0.25">
      <c r="J101" s="80"/>
      <c r="K101" s="80"/>
      <c r="L101" s="80"/>
      <c r="M101" s="80"/>
      <c r="N101" s="80"/>
      <c r="O101" s="80"/>
      <c r="P101" s="80"/>
    </row>
    <row r="102" spans="10:16" x14ac:dyDescent="0.25">
      <c r="J102" s="80"/>
      <c r="K102" s="80"/>
      <c r="L102" s="80"/>
      <c r="M102" s="80"/>
      <c r="N102" s="80"/>
      <c r="O102" s="80"/>
      <c r="P102" s="80"/>
    </row>
    <row r="103" spans="10:16" x14ac:dyDescent="0.25">
      <c r="J103" s="80"/>
      <c r="K103" s="80"/>
      <c r="L103" s="80"/>
      <c r="M103" s="80"/>
      <c r="N103" s="80"/>
      <c r="O103" s="80"/>
      <c r="P103" s="80"/>
    </row>
    <row r="104" spans="10:16" x14ac:dyDescent="0.25">
      <c r="J104" s="80"/>
      <c r="K104" s="80"/>
      <c r="L104" s="80"/>
      <c r="M104" s="80"/>
      <c r="N104" s="80"/>
      <c r="O104" s="80"/>
      <c r="P104" s="80"/>
    </row>
    <row r="105" spans="10:16" x14ac:dyDescent="0.25">
      <c r="J105" s="80"/>
      <c r="K105" s="80"/>
      <c r="L105" s="80"/>
      <c r="M105" s="80"/>
      <c r="N105" s="80"/>
      <c r="O105" s="80"/>
      <c r="P105" s="80"/>
    </row>
    <row r="106" spans="10:16" x14ac:dyDescent="0.25">
      <c r="J106" s="80"/>
      <c r="K106" s="80"/>
      <c r="L106" s="80"/>
      <c r="M106" s="80"/>
      <c r="N106" s="80"/>
      <c r="O106" s="80"/>
      <c r="P106" s="80"/>
    </row>
    <row r="116" spans="1:32" x14ac:dyDescent="0.25">
      <c r="A116" s="902" t="str">
        <f>bcs!A10</f>
        <v>Embercsempészés</v>
      </c>
      <c r="B116" s="902"/>
      <c r="C116" s="902"/>
      <c r="D116" s="902"/>
      <c r="E116" s="902"/>
      <c r="F116" s="902"/>
      <c r="G116" s="902"/>
      <c r="H116" s="902"/>
      <c r="I116" s="902" t="str">
        <f>bcs!A11</f>
        <v>Garázdaság</v>
      </c>
      <c r="J116" s="902"/>
      <c r="K116" s="902"/>
      <c r="L116" s="902"/>
      <c r="M116" s="902"/>
      <c r="N116" s="902"/>
      <c r="O116" s="902"/>
      <c r="P116" s="902"/>
    </row>
    <row r="117" spans="1:32" x14ac:dyDescent="0.25">
      <c r="A117" s="902" t="str">
        <f>bcs!A3</f>
        <v>az ENyÜBS 2010-2018. évi adatai alapján</v>
      </c>
      <c r="B117" s="902"/>
      <c r="C117" s="902"/>
      <c r="D117" s="902"/>
      <c r="E117" s="902"/>
      <c r="F117" s="902"/>
      <c r="G117" s="902"/>
      <c r="H117" s="902"/>
      <c r="I117" s="902" t="str">
        <f>bcs!A3</f>
        <v>az ENyÜBS 2010-2018. évi adatai alapján</v>
      </c>
      <c r="J117" s="902"/>
      <c r="K117" s="902"/>
      <c r="L117" s="902"/>
      <c r="M117" s="902"/>
      <c r="N117" s="902"/>
      <c r="O117" s="902"/>
      <c r="P117" s="902"/>
      <c r="Q117" s="80"/>
      <c r="R117" s="80"/>
      <c r="S117" s="80"/>
      <c r="T117" s="80"/>
      <c r="U117" s="80"/>
      <c r="V117" s="80"/>
      <c r="X117" s="80"/>
      <c r="Y117" s="80"/>
      <c r="Z117" s="80"/>
      <c r="AA117" s="80"/>
      <c r="AB117" s="80"/>
      <c r="AC117" s="80"/>
      <c r="AD117" s="80"/>
      <c r="AE117" s="80"/>
      <c r="AF117" s="80"/>
    </row>
    <row r="118" spans="1:32" x14ac:dyDescent="0.25">
      <c r="A118" s="902" t="s">
        <v>1072</v>
      </c>
      <c r="B118" s="902"/>
      <c r="C118" s="902"/>
      <c r="D118" s="902"/>
      <c r="E118" s="902"/>
      <c r="F118" s="902"/>
      <c r="G118" s="902"/>
      <c r="H118" s="902"/>
      <c r="I118" s="902" t="str">
        <f>bcs!$A$1</f>
        <v>Vas megye</v>
      </c>
      <c r="J118" s="902"/>
      <c r="K118" s="902"/>
      <c r="L118" s="902"/>
      <c r="M118" s="902"/>
      <c r="N118" s="902"/>
      <c r="O118" s="902"/>
      <c r="P118" s="902"/>
      <c r="Q118" s="80"/>
      <c r="R118" s="80"/>
      <c r="S118" s="80"/>
      <c r="T118" s="80"/>
      <c r="U118" s="80"/>
      <c r="V118" s="80"/>
      <c r="X118" s="80"/>
      <c r="Y118" s="80"/>
      <c r="Z118" s="80"/>
      <c r="AA118" s="80"/>
      <c r="AB118" s="80"/>
      <c r="AC118" s="80"/>
      <c r="AD118" s="80"/>
      <c r="AE118" s="80"/>
      <c r="AF118" s="80"/>
    </row>
    <row r="119" spans="1:32" x14ac:dyDescent="0.25">
      <c r="Q119" s="80"/>
      <c r="R119" s="80"/>
      <c r="S119" s="80"/>
      <c r="T119" s="80"/>
      <c r="U119" s="80"/>
      <c r="V119" s="80"/>
      <c r="X119" s="80"/>
      <c r="Y119" s="80"/>
      <c r="Z119" s="80"/>
      <c r="AA119" s="80"/>
      <c r="AB119" s="80"/>
      <c r="AC119" s="80"/>
      <c r="AD119" s="80"/>
      <c r="AE119" s="80"/>
      <c r="AF119" s="80"/>
    </row>
    <row r="142" spans="1:16" ht="15" customHeight="1" x14ac:dyDescent="0.25">
      <c r="A142" s="903" t="s">
        <v>1192</v>
      </c>
      <c r="B142" s="903"/>
      <c r="C142" s="903"/>
      <c r="D142" s="903"/>
      <c r="E142" s="903"/>
      <c r="F142" s="903"/>
      <c r="G142" s="903"/>
      <c r="H142" s="903"/>
      <c r="I142" s="902" t="str">
        <f>bcs!A13</f>
        <v>Lopás*</v>
      </c>
      <c r="J142" s="902"/>
      <c r="K142" s="902"/>
      <c r="L142" s="902"/>
      <c r="M142" s="902"/>
      <c r="N142" s="902"/>
      <c r="O142" s="902"/>
      <c r="P142" s="902"/>
    </row>
    <row r="143" spans="1:16" x14ac:dyDescent="0.25">
      <c r="A143" s="902" t="str">
        <f>bcs!A3</f>
        <v>az ENyÜBS 2010-2018. évi adatai alapján</v>
      </c>
      <c r="B143" s="902"/>
      <c r="C143" s="902"/>
      <c r="D143" s="902"/>
      <c r="E143" s="902"/>
      <c r="F143" s="902"/>
      <c r="G143" s="902"/>
      <c r="H143" s="902"/>
      <c r="I143" s="902" t="str">
        <f>bcs!A3</f>
        <v>az ENyÜBS 2010-2018. évi adatai alapján</v>
      </c>
      <c r="J143" s="902"/>
      <c r="K143" s="902"/>
      <c r="L143" s="902"/>
      <c r="M143" s="902"/>
      <c r="N143" s="902"/>
      <c r="O143" s="902"/>
      <c r="P143" s="902"/>
    </row>
    <row r="144" spans="1:16" x14ac:dyDescent="0.25">
      <c r="A144" s="902" t="str">
        <f>bcs!$A$1</f>
        <v>Vas megye</v>
      </c>
      <c r="B144" s="902"/>
      <c r="C144" s="902"/>
      <c r="D144" s="902"/>
      <c r="E144" s="902"/>
      <c r="F144" s="902"/>
      <c r="G144" s="902"/>
      <c r="H144" s="902"/>
      <c r="I144" s="902" t="s">
        <v>1072</v>
      </c>
      <c r="J144" s="902"/>
      <c r="K144" s="902"/>
      <c r="L144" s="902"/>
      <c r="M144" s="902"/>
      <c r="N144" s="902"/>
      <c r="O144" s="902"/>
      <c r="P144" s="902"/>
    </row>
    <row r="145" spans="2:22" x14ac:dyDescent="0.25">
      <c r="I145" s="907" t="s">
        <v>39</v>
      </c>
      <c r="J145" s="907"/>
      <c r="K145" s="907"/>
      <c r="L145" s="907"/>
      <c r="M145" s="907"/>
      <c r="N145" s="907"/>
      <c r="O145" s="907"/>
      <c r="P145" s="907"/>
    </row>
    <row r="152" spans="2:22" x14ac:dyDescent="0.25">
      <c r="B152" s="80"/>
      <c r="C152" s="80"/>
      <c r="D152" s="80"/>
      <c r="E152" s="80"/>
      <c r="F152" s="80"/>
      <c r="G152" s="80"/>
      <c r="H152" s="80"/>
    </row>
    <row r="153" spans="2:22" x14ac:dyDescent="0.25">
      <c r="B153" s="80"/>
      <c r="C153" s="80"/>
      <c r="D153" s="80"/>
      <c r="E153" s="80"/>
      <c r="F153" s="80"/>
      <c r="G153" s="80"/>
      <c r="H153" s="80"/>
      <c r="Q153" s="80"/>
      <c r="R153" s="80"/>
      <c r="S153" s="80"/>
      <c r="T153" s="80"/>
      <c r="U153" s="80"/>
      <c r="V153" s="80"/>
    </row>
    <row r="154" spans="2:22" x14ac:dyDescent="0.25">
      <c r="B154" s="80"/>
      <c r="C154" s="80"/>
      <c r="D154" s="80"/>
      <c r="E154" s="80"/>
      <c r="F154" s="80"/>
      <c r="G154" s="80"/>
      <c r="H154" s="80"/>
      <c r="Q154" s="80"/>
      <c r="R154" s="80"/>
      <c r="S154" s="80"/>
      <c r="T154" s="80"/>
      <c r="U154" s="80"/>
      <c r="V154" s="80"/>
    </row>
    <row r="155" spans="2:22" x14ac:dyDescent="0.25">
      <c r="Q155" s="80"/>
      <c r="R155" s="80"/>
      <c r="S155" s="80"/>
      <c r="T155" s="80"/>
      <c r="U155" s="80"/>
      <c r="V155" s="80"/>
    </row>
    <row r="160" spans="2:22" x14ac:dyDescent="0.25">
      <c r="Q160" s="270"/>
      <c r="R160" s="270"/>
      <c r="S160" s="270"/>
      <c r="T160" s="270"/>
    </row>
    <row r="161" spans="1:20" x14ac:dyDescent="0.25">
      <c r="Q161" s="271"/>
      <c r="R161" s="271"/>
      <c r="S161" s="271"/>
      <c r="T161" s="271"/>
    </row>
    <row r="164" spans="1:20" x14ac:dyDescent="0.25">
      <c r="A164" s="902" t="str">
        <f>bcs!A14</f>
        <v>Személygépkocsi lopás</v>
      </c>
      <c r="B164" s="902"/>
      <c r="C164" s="902"/>
      <c r="D164" s="902"/>
      <c r="E164" s="902"/>
      <c r="F164" s="902"/>
      <c r="G164" s="902"/>
      <c r="H164" s="902"/>
      <c r="I164" s="902" t="str">
        <f>bcs!A15</f>
        <v>Zárt gépjármű-feltörés</v>
      </c>
      <c r="J164" s="902"/>
      <c r="K164" s="902"/>
      <c r="L164" s="902"/>
      <c r="M164" s="902"/>
      <c r="N164" s="902"/>
      <c r="O164" s="902"/>
      <c r="P164" s="902"/>
    </row>
    <row r="165" spans="1:20" x14ac:dyDescent="0.25">
      <c r="A165" s="902" t="str">
        <f>bcs!A3</f>
        <v>az ENyÜBS 2010-2018. évi adatai alapján</v>
      </c>
      <c r="B165" s="902"/>
      <c r="C165" s="902"/>
      <c r="D165" s="902"/>
      <c r="E165" s="902"/>
      <c r="F165" s="902"/>
      <c r="G165" s="902"/>
      <c r="H165" s="902"/>
      <c r="I165" s="902" t="str">
        <f>bcs!A3</f>
        <v>az ENyÜBS 2010-2018. évi adatai alapján</v>
      </c>
      <c r="J165" s="902"/>
      <c r="K165" s="902"/>
      <c r="L165" s="902"/>
      <c r="M165" s="902"/>
      <c r="N165" s="902"/>
      <c r="O165" s="902"/>
      <c r="P165" s="902"/>
    </row>
    <row r="166" spans="1:20" x14ac:dyDescent="0.25">
      <c r="A166" s="902" t="str">
        <f>bcs!$A$1</f>
        <v>Vas megye</v>
      </c>
      <c r="B166" s="902"/>
      <c r="C166" s="902"/>
      <c r="D166" s="902"/>
      <c r="E166" s="902"/>
      <c r="F166" s="902"/>
      <c r="G166" s="902"/>
      <c r="H166" s="902"/>
      <c r="I166" s="902" t="s">
        <v>1072</v>
      </c>
      <c r="J166" s="902"/>
      <c r="K166" s="902"/>
      <c r="L166" s="902"/>
      <c r="M166" s="902"/>
      <c r="N166" s="902"/>
      <c r="O166" s="902"/>
      <c r="P166" s="902"/>
    </row>
    <row r="184" spans="1:16" x14ac:dyDescent="0.25">
      <c r="B184" t="s">
        <v>1072</v>
      </c>
      <c r="C184" t="s">
        <v>1072</v>
      </c>
    </row>
    <row r="188" spans="1:16" x14ac:dyDescent="0.25">
      <c r="A188" s="902" t="str">
        <f>bcs!A16</f>
        <v>Lakásbetörés</v>
      </c>
      <c r="B188" s="902"/>
      <c r="C188" s="902"/>
      <c r="D188" s="902"/>
      <c r="E188" s="902"/>
      <c r="F188" s="902"/>
      <c r="G188" s="902"/>
      <c r="H188" s="902"/>
      <c r="I188" s="902" t="str">
        <f>bcs!A17</f>
        <v>Rablás</v>
      </c>
      <c r="J188" s="902"/>
      <c r="K188" s="902"/>
      <c r="L188" s="902"/>
      <c r="M188" s="902"/>
      <c r="N188" s="902"/>
      <c r="O188" s="902"/>
      <c r="P188" s="902"/>
    </row>
    <row r="189" spans="1:16" x14ac:dyDescent="0.25">
      <c r="A189" s="902" t="str">
        <f>bcs!A3</f>
        <v>az ENyÜBS 2010-2018. évi adatai alapján</v>
      </c>
      <c r="B189" s="902"/>
      <c r="C189" s="902"/>
      <c r="D189" s="902"/>
      <c r="E189" s="902"/>
      <c r="F189" s="902"/>
      <c r="G189" s="902"/>
      <c r="H189" s="902"/>
      <c r="I189" s="902" t="str">
        <f>bcs!A3</f>
        <v>az ENyÜBS 2010-2018. évi adatai alapján</v>
      </c>
      <c r="J189" s="902"/>
      <c r="K189" s="902"/>
      <c r="L189" s="902"/>
      <c r="M189" s="902"/>
      <c r="N189" s="902"/>
      <c r="O189" s="902"/>
      <c r="P189" s="902"/>
    </row>
    <row r="190" spans="1:16" x14ac:dyDescent="0.25">
      <c r="A190" s="902" t="str">
        <f>bcs!$A$1</f>
        <v>Vas megye</v>
      </c>
      <c r="B190" s="902"/>
      <c r="C190" s="902"/>
      <c r="D190" s="902"/>
      <c r="E190" s="902"/>
      <c r="F190" s="902"/>
      <c r="G190" s="902"/>
      <c r="H190" s="902"/>
      <c r="I190" s="902" t="s">
        <v>1072</v>
      </c>
      <c r="J190" s="902"/>
      <c r="K190" s="902"/>
      <c r="L190" s="902"/>
      <c r="M190" s="902"/>
      <c r="N190" s="902"/>
      <c r="O190" s="902"/>
      <c r="P190" s="902"/>
    </row>
    <row r="195" spans="2:8" x14ac:dyDescent="0.25">
      <c r="B195" s="80"/>
      <c r="C195" s="80"/>
      <c r="D195" s="80"/>
      <c r="E195" s="80"/>
      <c r="F195" s="80"/>
      <c r="G195" s="80"/>
      <c r="H195" s="80"/>
    </row>
    <row r="196" spans="2:8" x14ac:dyDescent="0.25">
      <c r="B196" s="80"/>
      <c r="C196" s="80"/>
      <c r="D196" s="80"/>
      <c r="E196" s="80"/>
      <c r="F196" s="80"/>
      <c r="G196" s="80"/>
      <c r="H196" s="80"/>
    </row>
    <row r="197" spans="2:8" x14ac:dyDescent="0.25">
      <c r="B197" s="80"/>
      <c r="C197" s="80"/>
      <c r="D197" s="80"/>
      <c r="E197" s="80"/>
      <c r="F197" s="80"/>
      <c r="G197" s="80"/>
      <c r="H197" s="80"/>
    </row>
    <row r="198" spans="2:8" x14ac:dyDescent="0.25">
      <c r="B198" s="80"/>
      <c r="C198" s="80"/>
      <c r="D198" s="80"/>
      <c r="E198" s="80"/>
      <c r="F198" s="80"/>
      <c r="G198" s="80"/>
      <c r="H198" s="80"/>
    </row>
    <row r="199" spans="2:8" x14ac:dyDescent="0.25">
      <c r="B199" s="80"/>
      <c r="C199" s="80"/>
      <c r="D199" s="80"/>
      <c r="E199" s="80"/>
      <c r="F199" s="80"/>
      <c r="G199" s="80"/>
      <c r="H199" s="80"/>
    </row>
    <row r="200" spans="2:8" x14ac:dyDescent="0.25">
      <c r="B200" s="80"/>
      <c r="C200" s="80"/>
      <c r="D200" s="80"/>
      <c r="E200" s="80"/>
      <c r="F200" s="80"/>
      <c r="G200" s="80"/>
      <c r="H200" s="80"/>
    </row>
    <row r="210" spans="1:16" x14ac:dyDescent="0.25">
      <c r="A210" s="902" t="str">
        <f>bcs!A18</f>
        <v>Rongálás</v>
      </c>
      <c r="B210" s="902"/>
      <c r="C210" s="902"/>
      <c r="D210" s="902"/>
      <c r="E210" s="902"/>
      <c r="F210" s="902"/>
      <c r="G210" s="902"/>
      <c r="H210" s="902"/>
      <c r="I210" s="902" t="str">
        <f>bcs!A19</f>
        <v>Orgazdaság</v>
      </c>
      <c r="J210" s="902"/>
      <c r="K210" s="902"/>
      <c r="L210" s="902"/>
      <c r="M210" s="902"/>
      <c r="N210" s="902"/>
      <c r="O210" s="902"/>
      <c r="P210" s="902"/>
    </row>
    <row r="211" spans="1:16" x14ac:dyDescent="0.25">
      <c r="A211" s="902" t="str">
        <f>bcs!A3</f>
        <v>az ENyÜBS 2010-2018. évi adatai alapján</v>
      </c>
      <c r="B211" s="902"/>
      <c r="C211" s="902"/>
      <c r="D211" s="902"/>
      <c r="E211" s="902"/>
      <c r="F211" s="902"/>
      <c r="G211" s="902"/>
      <c r="H211" s="902"/>
      <c r="I211" s="902" t="str">
        <f>bcs!A3</f>
        <v>az ENyÜBS 2010-2018. évi adatai alapján</v>
      </c>
      <c r="J211" s="902"/>
      <c r="K211" s="902"/>
      <c r="L211" s="902"/>
      <c r="M211" s="902"/>
      <c r="N211" s="902"/>
      <c r="O211" s="902"/>
      <c r="P211" s="902"/>
    </row>
    <row r="212" spans="1:16" x14ac:dyDescent="0.25">
      <c r="A212" s="902" t="s">
        <v>1072</v>
      </c>
      <c r="B212" s="902"/>
      <c r="C212" s="902"/>
      <c r="D212" s="902"/>
      <c r="E212" s="902"/>
      <c r="F212" s="902"/>
      <c r="G212" s="902"/>
      <c r="H212" s="902"/>
      <c r="I212" s="902" t="str">
        <f>bcs!$A$1</f>
        <v>Vas megye</v>
      </c>
      <c r="J212" s="902"/>
      <c r="K212" s="902"/>
      <c r="L212" s="902"/>
      <c r="M212" s="902"/>
      <c r="N212" s="902"/>
      <c r="O212" s="902"/>
      <c r="P212" s="902"/>
    </row>
    <row r="217" spans="1:16" x14ac:dyDescent="0.25">
      <c r="B217" s="80"/>
      <c r="C217" s="80"/>
      <c r="D217" s="80"/>
      <c r="E217" s="80"/>
      <c r="F217" s="80"/>
      <c r="G217" s="80"/>
      <c r="H217" s="80"/>
    </row>
    <row r="218" spans="1:16" x14ac:dyDescent="0.25">
      <c r="B218" s="80"/>
      <c r="C218" s="80"/>
      <c r="D218" s="80"/>
      <c r="E218" s="80"/>
      <c r="F218" s="80"/>
      <c r="G218" s="80"/>
      <c r="H218" s="80"/>
    </row>
    <row r="219" spans="1:16" x14ac:dyDescent="0.25">
      <c r="B219" s="80"/>
      <c r="C219" s="80"/>
      <c r="D219" s="80"/>
      <c r="E219" s="80"/>
      <c r="F219" s="80"/>
      <c r="G219" s="80"/>
      <c r="H219" s="80"/>
    </row>
    <row r="220" spans="1:16" x14ac:dyDescent="0.25">
      <c r="B220" s="80"/>
      <c r="C220" s="80"/>
      <c r="D220" s="80"/>
      <c r="E220" s="80"/>
      <c r="F220" s="80"/>
      <c r="G220" s="80"/>
      <c r="H220" s="80"/>
    </row>
    <row r="221" spans="1:16" x14ac:dyDescent="0.25">
      <c r="B221" s="80"/>
      <c r="C221" s="80"/>
      <c r="D221" s="80"/>
      <c r="E221" s="80"/>
      <c r="F221" s="80"/>
      <c r="G221" s="80"/>
      <c r="H221" s="80"/>
    </row>
    <row r="222" spans="1:16" x14ac:dyDescent="0.25">
      <c r="B222" s="80"/>
      <c r="C222" s="80"/>
      <c r="D222" s="80"/>
      <c r="E222" s="80"/>
      <c r="F222" s="80"/>
      <c r="G222" s="80"/>
      <c r="H222" s="80"/>
    </row>
    <row r="235" spans="1:8" x14ac:dyDescent="0.25">
      <c r="A235" s="902" t="str">
        <f>bcs!A20</f>
        <v>Jármű önkényes elvétele</v>
      </c>
      <c r="B235" s="902"/>
      <c r="C235" s="902"/>
      <c r="D235" s="902"/>
      <c r="E235" s="902"/>
      <c r="F235" s="902"/>
      <c r="G235" s="902"/>
      <c r="H235" s="902"/>
    </row>
    <row r="236" spans="1:8" x14ac:dyDescent="0.25">
      <c r="A236" s="902" t="str">
        <f>bcs!A3</f>
        <v>az ENyÜBS 2010-2018. évi adatai alapján</v>
      </c>
      <c r="B236" s="902"/>
      <c r="C236" s="902"/>
      <c r="D236" s="902"/>
      <c r="E236" s="902"/>
      <c r="F236" s="902"/>
      <c r="G236" s="902"/>
      <c r="H236" s="902"/>
    </row>
    <row r="237" spans="1:8" x14ac:dyDescent="0.25">
      <c r="A237" s="902" t="s">
        <v>1072</v>
      </c>
      <c r="B237" s="902"/>
      <c r="C237" s="902"/>
      <c r="D237" s="902"/>
      <c r="E237" s="902"/>
      <c r="F237" s="902"/>
      <c r="G237" s="902"/>
      <c r="H237" s="902"/>
    </row>
    <row r="279" ht="15" customHeight="1" x14ac:dyDescent="0.25"/>
    <row r="305" ht="30.75" customHeight="1" x14ac:dyDescent="0.25"/>
    <row r="321" ht="15" customHeight="1" x14ac:dyDescent="0.25"/>
    <row r="323" ht="15" customHeight="1" x14ac:dyDescent="0.25"/>
    <row r="327" ht="28.5" customHeight="1" x14ac:dyDescent="0.25"/>
    <row r="344" ht="15" customHeight="1" x14ac:dyDescent="0.25"/>
    <row r="347" ht="15" customHeight="1" x14ac:dyDescent="0.25"/>
    <row r="348" ht="33" customHeight="1" x14ac:dyDescent="0.25"/>
    <row r="366" ht="23.25" customHeight="1" x14ac:dyDescent="0.25"/>
    <row r="367" ht="35.25" customHeight="1" x14ac:dyDescent="0.25"/>
    <row r="369" ht="26.25" customHeight="1" x14ac:dyDescent="0.25"/>
    <row r="371" ht="15" customHeight="1" x14ac:dyDescent="0.25"/>
    <row r="388" ht="15" customHeight="1" x14ac:dyDescent="0.25"/>
    <row r="390" ht="43.5" customHeight="1" x14ac:dyDescent="0.25"/>
    <row r="391" ht="15.75" customHeight="1" x14ac:dyDescent="0.25"/>
    <row r="410" ht="30" customHeight="1" x14ac:dyDescent="0.25"/>
    <row r="412" ht="18" customHeight="1" x14ac:dyDescent="0.25"/>
  </sheetData>
  <mergeCells count="64">
    <mergeCell ref="I211:P211"/>
    <mergeCell ref="A237:H237"/>
    <mergeCell ref="I212:P212"/>
    <mergeCell ref="A210:H210"/>
    <mergeCell ref="A211:H211"/>
    <mergeCell ref="A212:H212"/>
    <mergeCell ref="A235:H235"/>
    <mergeCell ref="I210:P210"/>
    <mergeCell ref="A236:H236"/>
    <mergeCell ref="I188:P188"/>
    <mergeCell ref="I189:P189"/>
    <mergeCell ref="I190:P190"/>
    <mergeCell ref="I166:P166"/>
    <mergeCell ref="A190:H190"/>
    <mergeCell ref="A166:H166"/>
    <mergeCell ref="A188:H188"/>
    <mergeCell ref="A189:H189"/>
    <mergeCell ref="I142:P142"/>
    <mergeCell ref="A164:H164"/>
    <mergeCell ref="I143:P143"/>
    <mergeCell ref="A165:H165"/>
    <mergeCell ref="I144:P144"/>
    <mergeCell ref="I145:P145"/>
    <mergeCell ref="I164:P164"/>
    <mergeCell ref="I165:P165"/>
    <mergeCell ref="A144:H144"/>
    <mergeCell ref="A143:H143"/>
    <mergeCell ref="A142:H142"/>
    <mergeCell ref="A116:H116"/>
    <mergeCell ref="I116:P116"/>
    <mergeCell ref="A117:H117"/>
    <mergeCell ref="I117:P117"/>
    <mergeCell ref="A118:H118"/>
    <mergeCell ref="I118:P118"/>
    <mergeCell ref="A94:H94"/>
    <mergeCell ref="I94:P94"/>
    <mergeCell ref="A95:H95"/>
    <mergeCell ref="I95:P95"/>
    <mergeCell ref="A96:H96"/>
    <mergeCell ref="I96:P96"/>
    <mergeCell ref="A69:H69"/>
    <mergeCell ref="I69:P69"/>
    <mergeCell ref="A70:H70"/>
    <mergeCell ref="I70:P70"/>
    <mergeCell ref="A71:H71"/>
    <mergeCell ref="I71:P71"/>
    <mergeCell ref="I47:P47"/>
    <mergeCell ref="I48:P48"/>
    <mergeCell ref="I49:P49"/>
    <mergeCell ref="A47:H47"/>
    <mergeCell ref="A48:H48"/>
    <mergeCell ref="A49:H49"/>
    <mergeCell ref="A23:H23"/>
    <mergeCell ref="A24:H24"/>
    <mergeCell ref="A25:H25"/>
    <mergeCell ref="I1:P1"/>
    <mergeCell ref="I2:P2"/>
    <mergeCell ref="I3:P3"/>
    <mergeCell ref="A1:H1"/>
    <mergeCell ref="I23:P23"/>
    <mergeCell ref="A2:H2"/>
    <mergeCell ref="I24:P24"/>
    <mergeCell ref="B3:H3"/>
    <mergeCell ref="I25:P25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paperSize="9" scale="79" orientation="landscape" r:id="rId1"/>
  <headerFooter>
    <oddHeader>&amp;R&amp;"Times New Roman,Normál"&amp;12 1. sz. melléklet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7">
    <tabColor rgb="FF00B0F0"/>
  </sheetPr>
  <dimension ref="A1:AU33"/>
  <sheetViews>
    <sheetView view="pageBreakPreview" topLeftCell="L2" zoomScale="80" zoomScaleNormal="100" zoomScaleSheetLayoutView="80" workbookViewId="0">
      <selection activeCell="B219" sqref="B219"/>
    </sheetView>
  </sheetViews>
  <sheetFormatPr defaultColWidth="9.140625" defaultRowHeight="15.75" x14ac:dyDescent="0.25"/>
  <cols>
    <col min="1" max="1" width="45.5703125" style="2" customWidth="1"/>
    <col min="2" max="10" width="14" style="2" customWidth="1"/>
    <col min="11" max="11" width="2" style="2" customWidth="1"/>
    <col min="12" max="12" width="15.28515625" style="2" customWidth="1"/>
    <col min="13" max="13" width="16" style="2" customWidth="1"/>
    <col min="14" max="14" width="18.28515625" style="2" customWidth="1"/>
    <col min="15" max="15" width="18.85546875" style="2" customWidth="1"/>
    <col min="16" max="16" width="5.85546875" style="2" customWidth="1"/>
    <col min="17" max="17" width="57.28515625" style="2" customWidth="1"/>
    <col min="18" max="25" width="10.5703125" style="2" customWidth="1"/>
    <col min="26" max="26" width="11.140625" style="2" customWidth="1"/>
    <col min="27" max="27" width="2.42578125" style="2" customWidth="1"/>
    <col min="28" max="29" width="17" style="2" customWidth="1"/>
    <col min="30" max="32" width="16.5703125" style="2" customWidth="1"/>
    <col min="33" max="37" width="2" style="2" customWidth="1"/>
    <col min="38" max="40" width="13.7109375" style="2" customWidth="1"/>
    <col min="41" max="41" width="12.28515625" style="2" customWidth="1"/>
    <col min="42" max="42" width="1.85546875" style="2" customWidth="1"/>
    <col min="43" max="43" width="13" style="347" customWidth="1"/>
    <col min="44" max="44" width="17" style="2" customWidth="1"/>
    <col min="45" max="16384" width="9.140625" style="2"/>
  </cols>
  <sheetData>
    <row r="1" spans="1:47" ht="72.75" customHeight="1" thickBot="1" x14ac:dyDescent="0.3">
      <c r="A1" s="911" t="str">
        <f>alap!A2</f>
        <v>Vas megye</v>
      </c>
      <c r="B1" s="912"/>
      <c r="C1" s="912"/>
      <c r="D1" s="912"/>
      <c r="E1" s="912"/>
      <c r="F1" s="912"/>
      <c r="G1" s="912"/>
      <c r="H1" s="912"/>
      <c r="I1" s="912"/>
      <c r="J1" s="912"/>
      <c r="K1" s="912"/>
      <c r="L1" s="912"/>
      <c r="M1" s="912"/>
      <c r="N1" s="912"/>
      <c r="O1" s="913"/>
      <c r="P1" s="1"/>
      <c r="Q1" s="911" t="str">
        <f>alap!A1</f>
        <v>Vas Megyei Rendőr-főkapitányság</v>
      </c>
      <c r="R1" s="912"/>
      <c r="S1" s="912"/>
      <c r="T1" s="912"/>
      <c r="U1" s="912"/>
      <c r="V1" s="912"/>
      <c r="W1" s="912"/>
      <c r="X1" s="912"/>
      <c r="Y1" s="912"/>
      <c r="Z1" s="912"/>
      <c r="AA1" s="912"/>
      <c r="AB1" s="912"/>
      <c r="AC1" s="912"/>
      <c r="AD1" s="912"/>
      <c r="AE1" s="912"/>
      <c r="AF1" s="912"/>
      <c r="AG1" s="912"/>
      <c r="AH1" s="912"/>
      <c r="AI1" s="912"/>
      <c r="AJ1" s="912"/>
      <c r="AK1" s="912"/>
      <c r="AL1" s="912"/>
      <c r="AM1" s="912"/>
      <c r="AN1" s="912"/>
      <c r="AO1" s="912"/>
      <c r="AP1" s="912"/>
      <c r="AQ1" s="912"/>
      <c r="AR1" s="913"/>
    </row>
    <row r="2" spans="1:47" ht="48" thickBot="1" x14ac:dyDescent="0.3">
      <c r="A2" s="3" t="s">
        <v>1159</v>
      </c>
      <c r="B2" s="888" t="s">
        <v>1</v>
      </c>
      <c r="C2" s="889"/>
      <c r="D2" s="889"/>
      <c r="E2" s="889"/>
      <c r="F2" s="889"/>
      <c r="G2" s="889"/>
      <c r="H2" s="889"/>
      <c r="I2" s="889"/>
      <c r="J2" s="889"/>
      <c r="K2" s="4"/>
      <c r="L2" s="890" t="s">
        <v>2</v>
      </c>
      <c r="M2" s="889"/>
      <c r="N2" s="889"/>
      <c r="O2" s="891"/>
      <c r="P2" s="5"/>
      <c r="Q2" s="84" t="s">
        <v>829</v>
      </c>
      <c r="R2" s="892" t="s">
        <v>1104</v>
      </c>
      <c r="S2" s="893"/>
      <c r="T2" s="893"/>
      <c r="U2" s="893"/>
      <c r="V2" s="893"/>
      <c r="W2" s="893"/>
      <c r="X2" s="893"/>
      <c r="Y2" s="893"/>
      <c r="Z2" s="894"/>
      <c r="AA2" s="5"/>
      <c r="AB2" s="895" t="s">
        <v>828</v>
      </c>
      <c r="AC2" s="896"/>
      <c r="AD2" s="897"/>
      <c r="AE2" s="897"/>
      <c r="AF2" s="897"/>
      <c r="AG2" s="26"/>
      <c r="AH2" s="27"/>
      <c r="AI2" s="27"/>
      <c r="AJ2" s="27"/>
      <c r="AK2" s="28"/>
      <c r="AL2" s="900" t="s">
        <v>3</v>
      </c>
      <c r="AM2" s="896"/>
      <c r="AN2" s="896"/>
      <c r="AO2" s="896"/>
      <c r="AP2" s="896"/>
      <c r="AQ2" s="896"/>
      <c r="AR2" s="901"/>
    </row>
    <row r="3" spans="1:47" ht="65.25" customHeight="1" thickBot="1" x14ac:dyDescent="0.3">
      <c r="A3" s="7" t="str">
        <f>bírelé_vádem!A1</f>
        <v>az ENyÜBS 2010-2018. évi adatai alapján</v>
      </c>
      <c r="B3" s="8" t="str">
        <f>település_bcs!C2</f>
        <v>2010.</v>
      </c>
      <c r="C3" s="9" t="str">
        <f>település_bcs!D2</f>
        <v>2011.</v>
      </c>
      <c r="D3" s="9" t="str">
        <f>település_bcs!E2</f>
        <v>2012.</v>
      </c>
      <c r="E3" s="9" t="str">
        <f>település_bcs!F2</f>
        <v>2013.</v>
      </c>
      <c r="F3" s="9" t="str">
        <f>település_bcs!G2</f>
        <v>2014.</v>
      </c>
      <c r="G3" s="10" t="str">
        <f>település_bcs!H2</f>
        <v>2015.</v>
      </c>
      <c r="H3" s="9" t="str">
        <f>település_bcs!I2</f>
        <v>2016.</v>
      </c>
      <c r="I3" s="9" t="str">
        <f>település_bcs!J2</f>
        <v>2017.</v>
      </c>
      <c r="J3" s="346" t="str">
        <f>település_bcs!K2</f>
        <v>2018.</v>
      </c>
      <c r="K3" s="11"/>
      <c r="L3" s="12" t="s">
        <v>1155</v>
      </c>
      <c r="M3" s="8" t="s">
        <v>1156</v>
      </c>
      <c r="N3" s="9" t="s">
        <v>4</v>
      </c>
      <c r="O3" s="13" t="s">
        <v>1157</v>
      </c>
      <c r="P3" s="11"/>
      <c r="Q3" s="7" t="str">
        <f>bírelé_vádem!A1</f>
        <v>az ENyÜBS 2010-2018. évi adatai alapján</v>
      </c>
      <c r="R3" s="14" t="str">
        <f t="shared" ref="R3:Z3" si="0">B3</f>
        <v>2010.</v>
      </c>
      <c r="S3" s="15" t="str">
        <f t="shared" si="0"/>
        <v>2011.</v>
      </c>
      <c r="T3" s="15" t="str">
        <f t="shared" si="0"/>
        <v>2012.</v>
      </c>
      <c r="U3" s="15" t="str">
        <f t="shared" si="0"/>
        <v>2013.</v>
      </c>
      <c r="V3" s="15" t="str">
        <f t="shared" si="0"/>
        <v>2014.</v>
      </c>
      <c r="W3" s="16" t="str">
        <f t="shared" si="0"/>
        <v>2015.</v>
      </c>
      <c r="X3" s="16" t="str">
        <f t="shared" si="0"/>
        <v>2016.</v>
      </c>
      <c r="Y3" s="16" t="str">
        <f t="shared" si="0"/>
        <v>2017.</v>
      </c>
      <c r="Z3" s="16" t="str">
        <f t="shared" si="0"/>
        <v>2018.</v>
      </c>
      <c r="AA3" s="11"/>
      <c r="AB3" s="12" t="s">
        <v>1155</v>
      </c>
      <c r="AC3" s="8" t="s">
        <v>1153</v>
      </c>
      <c r="AD3" s="346" t="s">
        <v>1156</v>
      </c>
      <c r="AE3" s="9" t="s">
        <v>4</v>
      </c>
      <c r="AF3" s="10" t="s">
        <v>1157</v>
      </c>
      <c r="AG3" s="17"/>
      <c r="AH3" s="18"/>
      <c r="AI3" s="18"/>
      <c r="AJ3" s="18"/>
      <c r="AK3" s="18"/>
      <c r="AL3" s="8" t="str">
        <f>W3</f>
        <v>2015.</v>
      </c>
      <c r="AM3" s="9" t="str">
        <f>X3</f>
        <v>2016.</v>
      </c>
      <c r="AN3" s="9" t="str">
        <f>Y3</f>
        <v>2017.</v>
      </c>
      <c r="AO3" s="13" t="str">
        <f>Z3</f>
        <v>2018.</v>
      </c>
      <c r="AP3" s="6"/>
      <c r="AQ3" s="8" t="s">
        <v>1153</v>
      </c>
      <c r="AR3" s="655" t="s">
        <v>1156</v>
      </c>
    </row>
    <row r="4" spans="1:47" x14ac:dyDescent="0.25">
      <c r="A4" s="19" t="s">
        <v>5</v>
      </c>
      <c r="B4" s="90">
        <f>VLOOKUP(alap!$A$2,település_bcs!$B:$IK,2,FALSE)</f>
        <v>3</v>
      </c>
      <c r="C4" s="91">
        <f>VLOOKUP(alap!$A$2,település_bcs!$B:$IK,3,FALSE)</f>
        <v>5</v>
      </c>
      <c r="D4" s="91">
        <f>VLOOKUP(alap!$A$2,település_bcs!$B:$IK,4,FALSE)</f>
        <v>5</v>
      </c>
      <c r="E4" s="91">
        <f>VLOOKUP(alap!$A$2,település_bcs!$B:$IK,5,FALSE)</f>
        <v>6</v>
      </c>
      <c r="F4" s="91">
        <f>VLOOKUP(alap!$A$2,település_bcs!$B:$IK,6,FALSE)</f>
        <v>2</v>
      </c>
      <c r="G4" s="91">
        <f>VLOOKUP(alap!$A$2,település_bcs!$B:$IK,7,FALSE)</f>
        <v>2</v>
      </c>
      <c r="H4" s="91">
        <f>VLOOKUP(alap!$A$2,település_bcs!$B:$IK,8,FALSE)</f>
        <v>6</v>
      </c>
      <c r="I4" s="91">
        <f>VLOOKUP(alap!$A$2,település_bcs!$B:$IK,9,FALSE)</f>
        <v>2</v>
      </c>
      <c r="J4" s="91">
        <f>VLOOKUP(alap!$A$2,település_bcs!$B:$IK,10,FALSE)</f>
        <v>7</v>
      </c>
      <c r="K4" s="20"/>
      <c r="L4" s="642">
        <f>AVERAGE(F4:J4)</f>
        <v>3.8</v>
      </c>
      <c r="M4" s="21" t="str">
        <f>IF(J4&lt;50,"-",(J4/I4*100)-100)</f>
        <v>-</v>
      </c>
      <c r="N4" s="21" t="str">
        <f>IF(J4&lt;50,"-",(J4/L4*100)-100)</f>
        <v>-</v>
      </c>
      <c r="O4" s="21" t="str">
        <f>IF(J4&lt;50,"-",(J4/B4*100)-100)</f>
        <v>-</v>
      </c>
      <c r="P4" s="22"/>
      <c r="Q4" s="19" t="s">
        <v>5</v>
      </c>
      <c r="R4" s="23">
        <f>ROUND(VLOOKUP(alap!$A$1,'RK nyomered emb-káb'!$C:$KN,4,FALSE),1)</f>
        <v>100</v>
      </c>
      <c r="S4" s="24">
        <f>ROUND(VLOOKUP(alap!$A$1,'RK nyomered emb-káb'!$C:$KN,7,FALSE),1)</f>
        <v>100</v>
      </c>
      <c r="T4" s="24">
        <f>ROUND(VLOOKUP(alap!$A$1,'RK nyomered emb-káb'!$C:$KN,10,FALSE),1)</f>
        <v>100</v>
      </c>
      <c r="U4" s="24">
        <f>ROUND(VLOOKUP(alap!$A$1,'RK nyomered emb-káb'!$C:$KN,13,FALSE),1)</f>
        <v>100</v>
      </c>
      <c r="V4" s="24">
        <f>ROUND(VLOOKUP(alap!$A$1,'RK nyomered emb-káb'!$C:$KN,16,FALSE),1)</f>
        <v>100</v>
      </c>
      <c r="W4" s="24">
        <f>ROUND(VLOOKUP(alap!$A$1,'RK nyomered emb-káb'!$C:$KN,19,FALSE),1)</f>
        <v>100</v>
      </c>
      <c r="X4" s="24">
        <f>ROUND(VLOOKUP(alap!$A$1,'RK nyomered emb-káb'!$C:$KN,22,FALSE),1)</f>
        <v>100</v>
      </c>
      <c r="Y4" s="24">
        <f>ROUND(VLOOKUP(alap!$A$1,'RK nyomered emb-káb'!$C:$KN,25,FALSE),1)</f>
        <v>100</v>
      </c>
      <c r="Z4" s="24">
        <f>ROUND(VLOOKUP(alap!$A$1,'RK nyomered emb-káb'!$C:$KN,28,FALSE),1)</f>
        <v>100</v>
      </c>
      <c r="AA4" s="328"/>
      <c r="AB4" s="25">
        <f>VLOOKUP(alap!$A$1,'RK nyomered emb-káb'!$C:$LU,301,FALSE)</f>
        <v>100</v>
      </c>
      <c r="AC4" s="23" t="e">
        <f>'országos átlag'!G2</f>
        <v>#N/A</v>
      </c>
      <c r="AD4" s="24">
        <f>Z4-Y4</f>
        <v>0</v>
      </c>
      <c r="AE4" s="24">
        <f>Z4-AB4</f>
        <v>0</v>
      </c>
      <c r="AF4" s="60">
        <f>Z4-R4</f>
        <v>0</v>
      </c>
      <c r="AG4" s="27"/>
      <c r="AH4" s="27"/>
      <c r="AI4" s="27"/>
      <c r="AJ4" s="27"/>
      <c r="AK4" s="27"/>
      <c r="AL4" s="23">
        <f>ROUND(VLOOKUP(alap!$A$1,feldered_RK!$C:$LO,4,FALSE),1)</f>
        <v>100</v>
      </c>
      <c r="AM4" s="24">
        <f>ROUND(VLOOKUP(alap!$A$1,feldered_RK!$C:$LO,7,FALSE),1)</f>
        <v>100</v>
      </c>
      <c r="AN4" s="24">
        <f>ROUND(VLOOKUP(alap!$A$1,feldered_RK!$C:$LO,10,FALSE),1)</f>
        <v>100</v>
      </c>
      <c r="AO4" s="342">
        <f>ROUND(VLOOKUP(alap!$A$1,feldered_RK!$C:$LO,13,FALSE),1)</f>
        <v>0</v>
      </c>
      <c r="AP4" s="85"/>
      <c r="AQ4" s="23" t="e">
        <f>'országos átlag'!H2</f>
        <v>#N/A</v>
      </c>
      <c r="AR4" s="342">
        <f>AO4-AN4</f>
        <v>-100</v>
      </c>
      <c r="AS4" s="29"/>
      <c r="AT4" s="29"/>
      <c r="AU4" s="29"/>
    </row>
    <row r="5" spans="1:47" x14ac:dyDescent="0.25">
      <c r="A5" s="30" t="s">
        <v>7</v>
      </c>
      <c r="B5" s="92">
        <f>VLOOKUP(alap!$A$2,település_bcs!$B:$IK,11,FALSE)</f>
        <v>3</v>
      </c>
      <c r="C5" s="637">
        <f>VLOOKUP(alap!$A$2,település_bcs!$B:$IK,12,FALSE)</f>
        <v>3</v>
      </c>
      <c r="D5" s="637">
        <f>VLOOKUP(alap!$A$2,település_bcs!$B:$IK,13,FALSE)</f>
        <v>1</v>
      </c>
      <c r="E5" s="637">
        <f>VLOOKUP(alap!$A$2,település_bcs!$B:$IK,14,FALSE)</f>
        <v>4</v>
      </c>
      <c r="F5" s="637">
        <f>VLOOKUP(alap!$A$2,település_bcs!$B:$IK,15,FALSE)</f>
        <v>1</v>
      </c>
      <c r="G5" s="637">
        <f>VLOOKUP(alap!$A$2,település_bcs!$B:$IK,16,FALSE)</f>
        <v>2</v>
      </c>
      <c r="H5" s="637">
        <f>VLOOKUP(alap!$A$2,település_bcs!$B:$IK,17,FALSE)</f>
        <v>2</v>
      </c>
      <c r="I5" s="637">
        <f>VLOOKUP(alap!$A$2,település_bcs!$B:$IK,18,FALSE)</f>
        <v>1</v>
      </c>
      <c r="J5" s="637">
        <f>VLOOKUP(alap!$A$2,település_bcs!$B:$IK,19,FALSE)</f>
        <v>2</v>
      </c>
      <c r="K5" s="31"/>
      <c r="L5" s="641">
        <f>AVERAGE(F5:J5)</f>
        <v>1.6</v>
      </c>
      <c r="M5" s="648" t="str">
        <f t="shared" ref="M5:M30" si="1">IF(J5&lt;50,"-",(J5/I5*100)-100)</f>
        <v>-</v>
      </c>
      <c r="N5" s="648" t="str">
        <f t="shared" ref="N5:N30" si="2">IF(J5&lt;50,"-",(J5/L5*100)-100)</f>
        <v>-</v>
      </c>
      <c r="O5" s="648" t="str">
        <f t="shared" ref="O5:O30" si="3">IF(J5&lt;50,"-",(J5/B5*100)-100)</f>
        <v>-</v>
      </c>
      <c r="P5" s="22"/>
      <c r="Q5" s="30" t="s">
        <v>7</v>
      </c>
      <c r="R5" s="33">
        <f>ROUND(VLOOKUP(alap!$A$1,'RK nyomered emb-káb'!$C:$KN,31,FALSE),1)</f>
        <v>100</v>
      </c>
      <c r="S5" s="649">
        <f>ROUND(VLOOKUP(alap!$A$1,'RK nyomered emb-káb'!$C:$KN,34,FALSE),1)</f>
        <v>100</v>
      </c>
      <c r="T5" s="649">
        <f>ROUND(VLOOKUP(alap!$A$1,'RK nyomered emb-káb'!$C:$KN,37,FALSE),1)</f>
        <v>100</v>
      </c>
      <c r="U5" s="649">
        <f>ROUND(VLOOKUP(alap!$A$1,'RK nyomered emb-káb'!$C:$KN,40,FALSE),1)</f>
        <v>100</v>
      </c>
      <c r="V5" s="649">
        <f>ROUND(VLOOKUP(alap!$A$1,'RK nyomered emb-káb'!$C:$KN,43,FALSE),1)</f>
        <v>100</v>
      </c>
      <c r="W5" s="649">
        <f>ROUND(VLOOKUP(alap!$A$1,'RK nyomered emb-káb'!$C:$KN,46,FALSE),1)</f>
        <v>100</v>
      </c>
      <c r="X5" s="649">
        <f>ROUND(VLOOKUP(alap!$A$1,'RK nyomered emb-káb'!$C:$KN,49,FALSE),1)</f>
        <v>100</v>
      </c>
      <c r="Y5" s="649">
        <f>ROUND(VLOOKUP(alap!$A$1,'RK nyomered emb-káb'!$C:$KN,52,FALSE),1)</f>
        <v>100</v>
      </c>
      <c r="Z5" s="649">
        <f>ROUND(VLOOKUP(alap!$A$1,'RK nyomered emb-káb'!$C:$KN,55,FALSE),1)</f>
        <v>100</v>
      </c>
      <c r="AA5" s="328"/>
      <c r="AB5" s="650">
        <f>VLOOKUP(alap!$A$1,'RK nyomered emb-káb'!$C:$LU,304,FALSE)</f>
        <v>100</v>
      </c>
      <c r="AC5" s="33" t="e">
        <f>'országos átlag'!G3</f>
        <v>#N/A</v>
      </c>
      <c r="AD5" s="649">
        <f t="shared" ref="AD5:AD30" si="4">Z5-Y5</f>
        <v>0</v>
      </c>
      <c r="AE5" s="649">
        <f>Z5-AB5</f>
        <v>0</v>
      </c>
      <c r="AF5" s="651">
        <f>Z5-R5</f>
        <v>0</v>
      </c>
      <c r="AG5" s="27"/>
      <c r="AH5" s="27"/>
      <c r="AI5" s="27"/>
      <c r="AJ5" s="27"/>
      <c r="AK5" s="27"/>
      <c r="AL5" s="33">
        <f>ROUND(VLOOKUP(alap!$A$1,feldered_RK!$C:$LO,16,FALSE),1)</f>
        <v>100</v>
      </c>
      <c r="AM5" s="649">
        <f>ROUND(VLOOKUP(alap!$A$1,feldered_RK!$C:$LO,19,FALSE),1)</f>
        <v>100</v>
      </c>
      <c r="AN5" s="649" t="e">
        <f>ROUND(VLOOKUP(alap!$A$1,feldered_RK!$C:$LO,22,FALSE),1)</f>
        <v>#VALUE!</v>
      </c>
      <c r="AO5" s="652">
        <f>ROUND(VLOOKUP(alap!$A$1,feldered_RK!$C:$LO,25,FALSE),1)</f>
        <v>0</v>
      </c>
      <c r="AP5" s="85"/>
      <c r="AQ5" s="33" t="e">
        <f>'országos átlag'!H3</f>
        <v>#N/A</v>
      </c>
      <c r="AR5" s="652" t="e">
        <f t="shared" ref="AR5:AR29" si="5">AO5-AN5</f>
        <v>#VALUE!</v>
      </c>
      <c r="AS5" s="29"/>
      <c r="AT5" s="29"/>
      <c r="AU5" s="29"/>
    </row>
    <row r="6" spans="1:47" x14ac:dyDescent="0.25">
      <c r="A6" s="30" t="s">
        <v>564</v>
      </c>
      <c r="B6" s="92">
        <f>VLOOKUP(alap!$A$2,település_bcs!$B:$IK,20,FALSE)</f>
        <v>0</v>
      </c>
      <c r="C6" s="637">
        <f>VLOOKUP(alap!$A$2,település_bcs!$B:$IK,21,FALSE)</f>
        <v>1</v>
      </c>
      <c r="D6" s="637">
        <f>VLOOKUP(alap!$A$2,település_bcs!$B:$IK,22,FALSE)</f>
        <v>4</v>
      </c>
      <c r="E6" s="637">
        <f>VLOOKUP(alap!$A$2,település_bcs!$B:$IK,23,FALSE)</f>
        <v>1</v>
      </c>
      <c r="F6" s="637">
        <f>VLOOKUP(alap!$A$2,település_bcs!$B:$IK,24,FALSE)</f>
        <v>1</v>
      </c>
      <c r="G6" s="637">
        <f>VLOOKUP(alap!$A$2,település_bcs!$B:$IK,25,FALSE)</f>
        <v>0</v>
      </c>
      <c r="H6" s="637">
        <f>VLOOKUP(alap!$A$2,település_bcs!$B:$IK,26,FALSE)</f>
        <v>1</v>
      </c>
      <c r="I6" s="637">
        <f>VLOOKUP(alap!$A$2,település_bcs!$B:$IK,27,FALSE)</f>
        <v>1</v>
      </c>
      <c r="J6" s="637">
        <f>VLOOKUP(alap!$A$2,település_bcs!$B:$IK,28,FALSE)</f>
        <v>4</v>
      </c>
      <c r="K6" s="31"/>
      <c r="L6" s="641">
        <f t="shared" ref="L6:L29" si="6">AVERAGE(F6:J6)</f>
        <v>1.4</v>
      </c>
      <c r="M6" s="648" t="str">
        <f t="shared" si="1"/>
        <v>-</v>
      </c>
      <c r="N6" s="648" t="str">
        <f>IF(J6&lt;50,"-",(J6/L6*100)-100)</f>
        <v>-</v>
      </c>
      <c r="O6" s="648" t="str">
        <f>IF(J6&lt;50,"-",(J6/B6*100)-100)</f>
        <v>-</v>
      </c>
      <c r="P6" s="22"/>
      <c r="Q6" s="30" t="s">
        <v>564</v>
      </c>
      <c r="R6" s="33" t="e">
        <f>ROUND(VLOOKUP(alap!$A$1,'RK nyomered emb-káb'!$C:$KN,58,FALSE),1)</f>
        <v>#VALUE!</v>
      </c>
      <c r="S6" s="649">
        <f>ROUND(VLOOKUP(alap!$A$1,'RK nyomered emb-káb'!$C:$KN,61,FALSE),1)</f>
        <v>100</v>
      </c>
      <c r="T6" s="649">
        <f>ROUND(VLOOKUP(alap!$A$1,'RK nyomered emb-káb'!$C:$KN,64,FALSE),1)</f>
        <v>100</v>
      </c>
      <c r="U6" s="649">
        <f>ROUND(VLOOKUP(alap!$A$1,'RK nyomered emb-káb'!$C:$KN,67,FALSE),1)</f>
        <v>100</v>
      </c>
      <c r="V6" s="649">
        <f>ROUND(VLOOKUP(alap!$A$1,'RK nyomered emb-káb'!$C:$KN,70,FALSE),1)</f>
        <v>100</v>
      </c>
      <c r="W6" s="649" t="e">
        <f>ROUND(VLOOKUP(alap!$A$1,'RK nyomered emb-káb'!$C:$KN,73,FALSE),1)</f>
        <v>#VALUE!</v>
      </c>
      <c r="X6" s="649">
        <f>ROUND(VLOOKUP(alap!$A$1,'RK nyomered emb-káb'!$C:$KN,76,FALSE),1)</f>
        <v>100</v>
      </c>
      <c r="Y6" s="649">
        <f>ROUND(VLOOKUP(alap!$A$1,'RK nyomered emb-káb'!$C:$KN,79,FALSE),1)</f>
        <v>100</v>
      </c>
      <c r="Z6" s="649">
        <f>ROUND(VLOOKUP(alap!$A$1,'RK nyomered emb-káb'!$C:$KN,82,FALSE),1)</f>
        <v>100</v>
      </c>
      <c r="AA6" s="328"/>
      <c r="AB6" s="650">
        <f>VLOOKUP(alap!$A$1,'RK nyomered emb-káb'!$C:$LU,307,FALSE)</f>
        <v>100</v>
      </c>
      <c r="AC6" s="33" t="e">
        <f>'országos átlag'!G4</f>
        <v>#N/A</v>
      </c>
      <c r="AD6" s="649">
        <f t="shared" si="4"/>
        <v>0</v>
      </c>
      <c r="AE6" s="649">
        <f t="shared" ref="AE6" si="7">Z6-AB6</f>
        <v>0</v>
      </c>
      <c r="AF6" s="651" t="e">
        <f t="shared" ref="AF6" si="8">Z6-R6</f>
        <v>#VALUE!</v>
      </c>
      <c r="AG6" s="27"/>
      <c r="AH6" s="27"/>
      <c r="AI6" s="27"/>
      <c r="AJ6" s="27"/>
      <c r="AK6" s="27"/>
      <c r="AL6" s="33" t="e">
        <f>ROUND(VLOOKUP(alap!$A$1,feldered_RK!$C:$LO,28,FALSE),1)</f>
        <v>#VALUE!</v>
      </c>
      <c r="AM6" s="649">
        <f>ROUND(VLOOKUP(alap!$A$1,feldered_RK!$C:$LO,31,FALSE),1)</f>
        <v>100</v>
      </c>
      <c r="AN6" s="649">
        <f>ROUND(VLOOKUP(alap!$A$1,feldered_RK!$C:$LO,34,FALSE),1)</f>
        <v>100</v>
      </c>
      <c r="AO6" s="652">
        <f>ROUND(VLOOKUP(alap!$A$1,feldered_RK!$C:$LO,37,FALSE),1)</f>
        <v>0</v>
      </c>
      <c r="AP6" s="85"/>
      <c r="AQ6" s="33" t="e">
        <f>'országos átlag'!H4</f>
        <v>#N/A</v>
      </c>
      <c r="AR6" s="652">
        <f t="shared" si="5"/>
        <v>-100</v>
      </c>
      <c r="AS6" s="29"/>
      <c r="AT6" s="29"/>
      <c r="AU6" s="29"/>
    </row>
    <row r="7" spans="1:47" x14ac:dyDescent="0.25">
      <c r="A7" s="36" t="s">
        <v>8</v>
      </c>
      <c r="B7" s="89">
        <f>VLOOKUP(alap!$A$2,település_bcs!$B:$IK,29,FALSE)</f>
        <v>302</v>
      </c>
      <c r="C7" s="91">
        <f>VLOOKUP(alap!$A$2,település_bcs!$B:$IK,30,FALSE)</f>
        <v>303</v>
      </c>
      <c r="D7" s="91">
        <f>VLOOKUP(alap!$A$2,település_bcs!$B:$IK,31,FALSE)</f>
        <v>274</v>
      </c>
      <c r="E7" s="91">
        <f>VLOOKUP(alap!$A$2,település_bcs!$B:$IK,32,FALSE)</f>
        <v>249</v>
      </c>
      <c r="F7" s="91">
        <f>VLOOKUP(alap!$A$2,település_bcs!$B:$IK,33,FALSE)</f>
        <v>271</v>
      </c>
      <c r="G7" s="91">
        <f>VLOOKUP(alap!$A$2,település_bcs!$B:$IK,34,FALSE)</f>
        <v>267</v>
      </c>
      <c r="H7" s="91">
        <f>VLOOKUP(alap!$A$2,település_bcs!$B:$IK,35,FALSE)</f>
        <v>247</v>
      </c>
      <c r="I7" s="91">
        <f>VLOOKUP(alap!$A$2,település_bcs!$B:$IK,36,FALSE)</f>
        <v>263</v>
      </c>
      <c r="J7" s="91">
        <f>VLOOKUP(alap!$A$2,település_bcs!$B:$IK,37,FALSE)</f>
        <v>160</v>
      </c>
      <c r="K7" s="20"/>
      <c r="L7" s="643">
        <f t="shared" si="6"/>
        <v>241.6</v>
      </c>
      <c r="M7" s="21">
        <f>IF(J7&lt;50,"-",(J7/I7*100)-100)</f>
        <v>-39.163498098859314</v>
      </c>
      <c r="N7" s="21">
        <f>IF(J7&lt;50,"-",(J7/L7*100)-100)</f>
        <v>-33.774834437086085</v>
      </c>
      <c r="O7" s="21">
        <f>IF(J7&lt;50,"-",(J7/B7*100)-100)</f>
        <v>-47.019867549668874</v>
      </c>
      <c r="P7" s="22"/>
      <c r="Q7" s="36" t="s">
        <v>8</v>
      </c>
      <c r="R7" s="37">
        <f>ROUND(VLOOKUP(alap!$A$1,'RK nyomered emb-káb'!$C:$KN,85,FALSE),1)</f>
        <v>90</v>
      </c>
      <c r="S7" s="34">
        <f>ROUND(VLOOKUP(alap!$A$1,'RK nyomered emb-káb'!$C:$KN,88,FALSE),1)</f>
        <v>89.1</v>
      </c>
      <c r="T7" s="34">
        <f>ROUND(VLOOKUP(alap!$A$1,'RK nyomered emb-káb'!$C:$KN,91,FALSE),1)</f>
        <v>89.4</v>
      </c>
      <c r="U7" s="34">
        <f>ROUND(VLOOKUP(alap!$A$1,'RK nyomered emb-káb'!$C:$KN,94,FALSE),1)</f>
        <v>87.7</v>
      </c>
      <c r="V7" s="34">
        <f>ROUND(VLOOKUP(alap!$A$1,'RK nyomered emb-káb'!$C:$KN,97,FALSE),1)</f>
        <v>88.6</v>
      </c>
      <c r="W7" s="34">
        <f>ROUND(VLOOKUP(alap!$A$1,'RK nyomered emb-káb'!$C:$KN,100,FALSE),1)</f>
        <v>91.2</v>
      </c>
      <c r="X7" s="34">
        <f>ROUND(VLOOKUP(alap!$A$1,'RK nyomered emb-káb'!$C:$KN,103,FALSE),1)</f>
        <v>88.9</v>
      </c>
      <c r="Y7" s="34">
        <f>ROUND(VLOOKUP(alap!$A$1,'RK nyomered emb-káb'!$C:$KN,106,FALSE),1)</f>
        <v>86.7</v>
      </c>
      <c r="Z7" s="34">
        <f>ROUND(VLOOKUP(alap!$A$1,'RK nyomered emb-káb'!$C:$KN,109,FALSE),1)</f>
        <v>96.1</v>
      </c>
      <c r="AA7" s="328"/>
      <c r="AB7" s="35">
        <f>VLOOKUP(alap!$A$1,'RK nyomered emb-káb'!$C:$LU,310,FALSE)</f>
        <v>89.85507246376811</v>
      </c>
      <c r="AC7" s="37" t="e">
        <f>'országos átlag'!G5</f>
        <v>#N/A</v>
      </c>
      <c r="AD7" s="34">
        <f t="shared" si="4"/>
        <v>9.3999999999999915</v>
      </c>
      <c r="AE7" s="34">
        <f t="shared" ref="AE7:AE12" si="9">Z7-AB7</f>
        <v>6.2449275362318843</v>
      </c>
      <c r="AF7" s="32">
        <f t="shared" ref="AF7:AF12" si="10">Z7-R7</f>
        <v>6.0999999999999943</v>
      </c>
      <c r="AG7" s="27"/>
      <c r="AH7" s="27"/>
      <c r="AI7" s="27"/>
      <c r="AJ7" s="27"/>
      <c r="AK7" s="27"/>
      <c r="AL7" s="37">
        <f>ROUND(VLOOKUP(alap!$A$1,feldered_RK!$C:$LO,40,FALSE),1)</f>
        <v>86.4</v>
      </c>
      <c r="AM7" s="34">
        <f>ROUND(VLOOKUP(alap!$A$1,feldered_RK!$C:$LO,43,FALSE),1)</f>
        <v>89.4</v>
      </c>
      <c r="AN7" s="34">
        <f>ROUND(VLOOKUP(alap!$A$1,feldered_RK!$C:$LO,46,FALSE),1)</f>
        <v>85</v>
      </c>
      <c r="AO7" s="653">
        <f>ROUND(VLOOKUP(alap!$A$1,feldered_RK!$C:$LO,49,FALSE),1)</f>
        <v>0</v>
      </c>
      <c r="AP7" s="85"/>
      <c r="AQ7" s="37" t="e">
        <f>'országos átlag'!H5</f>
        <v>#N/A</v>
      </c>
      <c r="AR7" s="653">
        <f t="shared" si="5"/>
        <v>-85</v>
      </c>
      <c r="AS7" s="29"/>
      <c r="AT7" s="269"/>
      <c r="AU7" s="29"/>
    </row>
    <row r="8" spans="1:47" x14ac:dyDescent="0.25">
      <c r="A8" s="30" t="s">
        <v>565</v>
      </c>
      <c r="B8" s="92">
        <f>VLOOKUP(alap!$A$2,település_bcs!$B:$IK,38,FALSE)</f>
        <v>116</v>
      </c>
      <c r="C8" s="637">
        <f>VLOOKUP(alap!$A$2,település_bcs!$B:$IK,39,FALSE)</f>
        <v>104</v>
      </c>
      <c r="D8" s="637">
        <f>VLOOKUP(alap!$A$2,település_bcs!$B:$IK,40,FALSE)</f>
        <v>83</v>
      </c>
      <c r="E8" s="637">
        <f>VLOOKUP(alap!$A$2,település_bcs!$B:$IK,41,FALSE)</f>
        <v>104</v>
      </c>
      <c r="F8" s="637">
        <f>VLOOKUP(alap!$A$2,település_bcs!$B:$IK,42,FALSE)</f>
        <v>95</v>
      </c>
      <c r="G8" s="637">
        <f>VLOOKUP(alap!$A$2,település_bcs!$B:$IK,43,FALSE)</f>
        <v>93</v>
      </c>
      <c r="H8" s="637">
        <f>VLOOKUP(alap!$A$2,település_bcs!$B:$IK,44,FALSE)</f>
        <v>65</v>
      </c>
      <c r="I8" s="637">
        <f>VLOOKUP(alap!$A$2,település_bcs!$B:$IK,45,FALSE)</f>
        <v>72</v>
      </c>
      <c r="J8" s="637">
        <f>VLOOKUP(alap!$A$2,település_bcs!$B:$IK,46,FALSE)</f>
        <v>51</v>
      </c>
      <c r="K8" s="31"/>
      <c r="L8" s="641">
        <f t="shared" si="6"/>
        <v>75.2</v>
      </c>
      <c r="M8" s="648">
        <f t="shared" si="1"/>
        <v>-29.166666666666657</v>
      </c>
      <c r="N8" s="648">
        <f>IF(J8&lt;50,"-",(J8/L8*100)-100)</f>
        <v>-32.180851063829792</v>
      </c>
      <c r="O8" s="648">
        <f t="shared" si="3"/>
        <v>-56.03448275862069</v>
      </c>
      <c r="P8" s="22"/>
      <c r="Q8" s="30" t="s">
        <v>565</v>
      </c>
      <c r="R8" s="33">
        <f>ROUND(VLOOKUP(alap!$A$1,'RK nyomered emb-káb'!$C:$KN,112,FALSE),1)</f>
        <v>82.6</v>
      </c>
      <c r="S8" s="649">
        <f>ROUND(VLOOKUP(alap!$A$1,'RK nyomered emb-káb'!$C:$KN,115,FALSE),1)</f>
        <v>76.7</v>
      </c>
      <c r="T8" s="649">
        <f>ROUND(VLOOKUP(alap!$A$1,'RK nyomered emb-káb'!$C:$KN,118,FALSE),1)</f>
        <v>76.400000000000006</v>
      </c>
      <c r="U8" s="649">
        <f>ROUND(VLOOKUP(alap!$A$1,'RK nyomered emb-káb'!$C:$KN,121,FALSE),1)</f>
        <v>77.8</v>
      </c>
      <c r="V8" s="649">
        <f>ROUND(VLOOKUP(alap!$A$1,'RK nyomered emb-káb'!$C:$KN,124,FALSE),1)</f>
        <v>81.2</v>
      </c>
      <c r="W8" s="649">
        <f>ROUND(VLOOKUP(alap!$A$1,'RK nyomered emb-káb'!$C:$KN,127,FALSE),1)</f>
        <v>81.3</v>
      </c>
      <c r="X8" s="649">
        <f>ROUND(VLOOKUP(alap!$A$1,'RK nyomered emb-káb'!$C:$KN,130,FALSE),1)</f>
        <v>76</v>
      </c>
      <c r="Y8" s="649">
        <f>ROUND(VLOOKUP(alap!$A$1,'RK nyomered emb-káb'!$C:$KN,133,FALSE),1)</f>
        <v>75</v>
      </c>
      <c r="Z8" s="649">
        <f>ROUND(VLOOKUP(alap!$A$1,'RK nyomered emb-káb'!$C:$KN,136,FALSE),1)</f>
        <v>90.6</v>
      </c>
      <c r="AA8" s="328"/>
      <c r="AB8" s="650">
        <f>VLOOKUP(alap!$A$1,'RK nyomered emb-káb'!$C:$LU,313,FALSE)</f>
        <v>80.246913580246911</v>
      </c>
      <c r="AC8" s="33" t="e">
        <f>'országos átlag'!G6</f>
        <v>#N/A</v>
      </c>
      <c r="AD8" s="649">
        <f t="shared" si="4"/>
        <v>15.599999999999994</v>
      </c>
      <c r="AE8" s="649">
        <f t="shared" si="9"/>
        <v>10.353086419753083</v>
      </c>
      <c r="AF8" s="651">
        <f t="shared" si="10"/>
        <v>8</v>
      </c>
      <c r="AG8" s="27"/>
      <c r="AH8" s="27"/>
      <c r="AI8" s="27"/>
      <c r="AJ8" s="27"/>
      <c r="AK8" s="27"/>
      <c r="AL8" s="33">
        <f>ROUND(VLOOKUP(alap!$A$1,feldered_RK!$C:$LO,52,FALSE),1)</f>
        <v>74.2</v>
      </c>
      <c r="AM8" s="649">
        <f>ROUND(VLOOKUP(alap!$A$1,feldered_RK!$C:$LO,55,FALSE),1)</f>
        <v>76.2</v>
      </c>
      <c r="AN8" s="649">
        <f>ROUND(VLOOKUP(alap!$A$1,feldered_RK!$C:$LO,58,FALSE),1)</f>
        <v>76.900000000000006</v>
      </c>
      <c r="AO8" s="652">
        <f>ROUND(VLOOKUP(alap!$A$1,feldered_RK!$C:$LO,61,FALSE),1)</f>
        <v>0</v>
      </c>
      <c r="AP8" s="85"/>
      <c r="AQ8" s="33" t="e">
        <f>'országos átlag'!H6</f>
        <v>#N/A</v>
      </c>
      <c r="AR8" s="652">
        <f t="shared" si="5"/>
        <v>-76.900000000000006</v>
      </c>
      <c r="AS8" s="29"/>
      <c r="AT8" s="29"/>
      <c r="AU8" s="29"/>
    </row>
    <row r="9" spans="1:47" x14ac:dyDescent="0.25">
      <c r="A9" s="30" t="s">
        <v>566</v>
      </c>
      <c r="B9" s="92">
        <f>VLOOKUP(alap!$A$2,település_bcs!$B:$IK,47,FALSE)</f>
        <v>2</v>
      </c>
      <c r="C9" s="637">
        <f>VLOOKUP(alap!$A$2,település_bcs!$B:$IK,48,FALSE)</f>
        <v>0</v>
      </c>
      <c r="D9" s="637">
        <f>VLOOKUP(alap!$A$2,település_bcs!$B:$IK,49,FALSE)</f>
        <v>1</v>
      </c>
      <c r="E9" s="637">
        <f>VLOOKUP(alap!$A$2,település_bcs!$B:$IK,50,FALSE)</f>
        <v>0</v>
      </c>
      <c r="F9" s="637">
        <f>VLOOKUP(alap!$A$2,település_bcs!$B:$IK,51,FALSE)</f>
        <v>1</v>
      </c>
      <c r="G9" s="637">
        <f>VLOOKUP(alap!$A$2,település_bcs!$B:$IK,52,FALSE)</f>
        <v>1</v>
      </c>
      <c r="H9" s="637">
        <f>VLOOKUP(alap!$A$2,település_bcs!$B:$IK,53,FALSE)</f>
        <v>0</v>
      </c>
      <c r="I9" s="637">
        <f>VLOOKUP(alap!$A$2,település_bcs!$B:$IK,54,FALSE)</f>
        <v>0</v>
      </c>
      <c r="J9" s="637">
        <f>VLOOKUP(alap!$A$2,település_bcs!$B:$IK,55,FALSE)</f>
        <v>1</v>
      </c>
      <c r="K9" s="31"/>
      <c r="L9" s="641">
        <f t="shared" si="6"/>
        <v>0.6</v>
      </c>
      <c r="M9" s="648" t="str">
        <f t="shared" si="1"/>
        <v>-</v>
      </c>
      <c r="N9" s="648" t="str">
        <f t="shared" si="2"/>
        <v>-</v>
      </c>
      <c r="O9" s="648" t="str">
        <f t="shared" si="3"/>
        <v>-</v>
      </c>
      <c r="P9" s="22"/>
      <c r="Q9" s="30" t="s">
        <v>566</v>
      </c>
      <c r="R9" s="33">
        <f>ROUND(VLOOKUP(alap!$A$1,'RK nyomered emb-káb'!$C:$KN,139,FALSE),1)</f>
        <v>100</v>
      </c>
      <c r="S9" s="649" t="e">
        <f>ROUND(VLOOKUP(alap!$A$1,'RK nyomered emb-káb'!$C:$KN,142,FALSE),1)</f>
        <v>#VALUE!</v>
      </c>
      <c r="T9" s="649">
        <f>ROUND(VLOOKUP(alap!$A$1,'RK nyomered emb-káb'!$C:$KN,145,FALSE),1)</f>
        <v>100</v>
      </c>
      <c r="U9" s="649" t="e">
        <f>ROUND(VLOOKUP(alap!$A$1,'RK nyomered emb-káb'!$C:$KN,148,FALSE),1)</f>
        <v>#VALUE!</v>
      </c>
      <c r="V9" s="649">
        <f>ROUND(VLOOKUP(alap!$A$1,'RK nyomered emb-káb'!$C:$KN,151,FALSE),1)</f>
        <v>100</v>
      </c>
      <c r="W9" s="649">
        <f>ROUND(VLOOKUP(alap!$A$1,'RK nyomered emb-káb'!$C:$KN,154,FALSE),1)</f>
        <v>100</v>
      </c>
      <c r="X9" s="649" t="e">
        <f>ROUND(VLOOKUP(alap!$A$1,'RK nyomered emb-káb'!$C:$KN,157,FALSE),1)</f>
        <v>#VALUE!</v>
      </c>
      <c r="Y9" s="649" t="e">
        <f>ROUND(VLOOKUP(alap!$A$1,'RK nyomered emb-káb'!$C:$KN,160,FALSE),1)</f>
        <v>#VALUE!</v>
      </c>
      <c r="Z9" s="649">
        <f>ROUND(VLOOKUP(alap!$A$1,'RK nyomered emb-káb'!$C:$KN,163,FALSE),1)</f>
        <v>100</v>
      </c>
      <c r="AA9" s="328"/>
      <c r="AB9" s="650">
        <f>VLOOKUP(alap!$A$1,'RK nyomered emb-káb'!$C:$LU,316,FALSE)</f>
        <v>100</v>
      </c>
      <c r="AC9" s="33" t="e">
        <f>'országos átlag'!G7</f>
        <v>#N/A</v>
      </c>
      <c r="AD9" s="649" t="e">
        <f t="shared" si="4"/>
        <v>#VALUE!</v>
      </c>
      <c r="AE9" s="649">
        <f t="shared" si="9"/>
        <v>0</v>
      </c>
      <c r="AF9" s="651">
        <f t="shared" si="10"/>
        <v>0</v>
      </c>
      <c r="AG9" s="27"/>
      <c r="AH9" s="27"/>
      <c r="AI9" s="27"/>
      <c r="AJ9" s="27"/>
      <c r="AK9" s="27"/>
      <c r="AL9" s="33">
        <f>ROUND(VLOOKUP(alap!$A$1,feldered_RK!$C:$LO,64,FALSE),1)</f>
        <v>100</v>
      </c>
      <c r="AM9" s="649" t="e">
        <f>ROUND(VLOOKUP(alap!$A$1,feldered_RK!$C:$LO,67,FALSE),1)</f>
        <v>#VALUE!</v>
      </c>
      <c r="AN9" s="649" t="e">
        <f>ROUND(VLOOKUP(alap!$A$1,feldered_RK!$C:$LO,70,FALSE),1)</f>
        <v>#VALUE!</v>
      </c>
      <c r="AO9" s="652">
        <f>ROUND(VLOOKUP(alap!$A$1,feldered_RK!$C:$LO,73,FALSE),1)</f>
        <v>0</v>
      </c>
      <c r="AP9" s="85"/>
      <c r="AQ9" s="33" t="e">
        <f>'országos átlag'!H7</f>
        <v>#N/A</v>
      </c>
      <c r="AR9" s="652" t="e">
        <f t="shared" si="5"/>
        <v>#VALUE!</v>
      </c>
      <c r="AS9" s="29"/>
      <c r="AT9" s="29"/>
      <c r="AU9" s="29"/>
    </row>
    <row r="10" spans="1:47" x14ac:dyDescent="0.25">
      <c r="A10" s="36" t="s">
        <v>9</v>
      </c>
      <c r="B10" s="89">
        <f>VLOOKUP(alap!$A$2,település_bcs!$B:$IK,56,FALSE)</f>
        <v>46</v>
      </c>
      <c r="C10" s="91">
        <f>VLOOKUP(alap!$A$2,település_bcs!$B:$IK,57,FALSE)</f>
        <v>52</v>
      </c>
      <c r="D10" s="91">
        <f>VLOOKUP(alap!$A$2,település_bcs!$B:$IK,58,FALSE)</f>
        <v>40</v>
      </c>
      <c r="E10" s="91">
        <f>VLOOKUP(alap!$A$2,település_bcs!$B:$IK,59,FALSE)</f>
        <v>32</v>
      </c>
      <c r="F10" s="91">
        <f>VLOOKUP(alap!$A$2,település_bcs!$B:$IK,60,FALSE)</f>
        <v>17</v>
      </c>
      <c r="G10" s="91">
        <f>VLOOKUP(alap!$A$2,település_bcs!$B:$IK,61,FALSE)</f>
        <v>19</v>
      </c>
      <c r="H10" s="91">
        <f>VLOOKUP(alap!$A$2,település_bcs!$B:$IK,62,FALSE)</f>
        <v>27</v>
      </c>
      <c r="I10" s="91">
        <f>VLOOKUP(alap!$A$2,település_bcs!$B:$IK,63,FALSE)</f>
        <v>41</v>
      </c>
      <c r="J10" s="91">
        <f>VLOOKUP(alap!$A$2,település_bcs!$B:$IK,64,FALSE)</f>
        <v>29</v>
      </c>
      <c r="K10" s="20"/>
      <c r="L10" s="643">
        <f t="shared" si="6"/>
        <v>26.6</v>
      </c>
      <c r="M10" s="21" t="str">
        <f t="shared" si="1"/>
        <v>-</v>
      </c>
      <c r="N10" s="21" t="str">
        <f t="shared" si="2"/>
        <v>-</v>
      </c>
      <c r="O10" s="21" t="str">
        <f t="shared" si="3"/>
        <v>-</v>
      </c>
      <c r="P10" s="22"/>
      <c r="Q10" s="36" t="s">
        <v>9</v>
      </c>
      <c r="R10" s="37">
        <f>ROUND(VLOOKUP(alap!$A$1,'RK nyomered emb-káb'!$C:$KN,166,FALSE),1)</f>
        <v>75.400000000000006</v>
      </c>
      <c r="S10" s="34">
        <f>ROUND(VLOOKUP(alap!$A$1,'RK nyomered emb-káb'!$C:$KN,169,FALSE),1)</f>
        <v>80</v>
      </c>
      <c r="T10" s="34">
        <f>ROUND(VLOOKUP(alap!$A$1,'RK nyomered emb-káb'!$C:$KN,172,FALSE),1)</f>
        <v>60.7</v>
      </c>
      <c r="U10" s="34">
        <f>ROUND(VLOOKUP(alap!$A$1,'RK nyomered emb-káb'!$C:$KN,175,FALSE),1)</f>
        <v>75.599999999999994</v>
      </c>
      <c r="V10" s="34">
        <f>ROUND(VLOOKUP(alap!$A$1,'RK nyomered emb-káb'!$C:$KN,178,FALSE),1)</f>
        <v>61.5</v>
      </c>
      <c r="W10" s="34">
        <f>ROUND(VLOOKUP(alap!$A$1,'RK nyomered emb-káb'!$C:$KN,181,FALSE),1)</f>
        <v>73.099999999999994</v>
      </c>
      <c r="X10" s="34">
        <f>ROUND(VLOOKUP(alap!$A$1,'RK nyomered emb-káb'!$C:$KN,184,FALSE),1)</f>
        <v>77.099999999999994</v>
      </c>
      <c r="Y10" s="34">
        <f>ROUND(VLOOKUP(alap!$A$1,'RK nyomered emb-káb'!$C:$KN,187,FALSE),1)</f>
        <v>80.400000000000006</v>
      </c>
      <c r="Z10" s="34">
        <f>ROUND(VLOOKUP(alap!$A$1,'RK nyomered emb-káb'!$C:$KN,190,FALSE),1)</f>
        <v>100</v>
      </c>
      <c r="AA10" s="328"/>
      <c r="AB10" s="35">
        <f>VLOOKUP(alap!$A$1,'RK nyomered emb-káb'!$C:$LU,319,FALSE)</f>
        <v>79.041916167664667</v>
      </c>
      <c r="AC10" s="37" t="e">
        <f>'országos átlag'!G8</f>
        <v>#N/A</v>
      </c>
      <c r="AD10" s="34">
        <f t="shared" si="4"/>
        <v>19.599999999999994</v>
      </c>
      <c r="AE10" s="34">
        <f t="shared" si="9"/>
        <v>20.958083832335333</v>
      </c>
      <c r="AF10" s="32">
        <f t="shared" si="10"/>
        <v>24.599999999999994</v>
      </c>
      <c r="AG10" s="27"/>
      <c r="AH10" s="27"/>
      <c r="AI10" s="27"/>
      <c r="AJ10" s="27"/>
      <c r="AK10" s="27"/>
      <c r="AL10" s="37" t="e">
        <f>ROUND(VLOOKUP(alap!$A$1,feldered_RK!$C:$LO,76,FALSE),1)</f>
        <v>#VALUE!</v>
      </c>
      <c r="AM10" s="34" t="e">
        <f>ROUND(VLOOKUP(alap!$A$1,feldered_RK!$C:$LO,79,FALSE),1)</f>
        <v>#VALUE!</v>
      </c>
      <c r="AN10" s="34">
        <f>ROUND(VLOOKUP(alap!$A$1,feldered_RK!$C:$LO,82,FALSE),1)</f>
        <v>100</v>
      </c>
      <c r="AO10" s="653">
        <f>ROUND(VLOOKUP(alap!$A$1,feldered_RK!$C:$LO,85,FALSE),1)</f>
        <v>0</v>
      </c>
      <c r="AP10" s="85"/>
      <c r="AQ10" s="37" t="e">
        <f>'országos átlag'!H8</f>
        <v>#N/A</v>
      </c>
      <c r="AR10" s="653">
        <f t="shared" si="5"/>
        <v>-100</v>
      </c>
      <c r="AS10" s="29"/>
      <c r="AT10" s="29"/>
      <c r="AU10" s="29"/>
    </row>
    <row r="11" spans="1:47" x14ac:dyDescent="0.25">
      <c r="A11" s="36" t="s">
        <v>10</v>
      </c>
      <c r="B11" s="89">
        <f>VLOOKUP(alap!$A$2,település_bcs!$B:$IK,65,FALSE)</f>
        <v>1</v>
      </c>
      <c r="C11" s="91">
        <f>VLOOKUP(alap!$A$2,település_bcs!$B:$IK,66,FALSE)</f>
        <v>5</v>
      </c>
      <c r="D11" s="91">
        <f>VLOOKUP(alap!$A$2,település_bcs!$B:$IK,67,FALSE)</f>
        <v>5</v>
      </c>
      <c r="E11" s="91">
        <f>VLOOKUP(alap!$A$2,település_bcs!$B:$IK,68,FALSE)</f>
        <v>7</v>
      </c>
      <c r="F11" s="91">
        <f>VLOOKUP(alap!$A$2,település_bcs!$B:$IK,69,FALSE)</f>
        <v>9</v>
      </c>
      <c r="G11" s="91">
        <f>VLOOKUP(alap!$A$2,település_bcs!$B:$IK,70,FALSE)</f>
        <v>6</v>
      </c>
      <c r="H11" s="91">
        <f>VLOOKUP(alap!$A$2,település_bcs!$B:$IK,71,FALSE)</f>
        <v>4</v>
      </c>
      <c r="I11" s="91">
        <f>VLOOKUP(alap!$A$2,település_bcs!$B:$IK,72,FALSE)</f>
        <v>0</v>
      </c>
      <c r="J11" s="91">
        <f>VLOOKUP(alap!$A$2,település_bcs!$B:$IK,73,FALSE)</f>
        <v>1</v>
      </c>
      <c r="K11" s="20"/>
      <c r="L11" s="643">
        <f t="shared" si="6"/>
        <v>4</v>
      </c>
      <c r="M11" s="21" t="str">
        <f t="shared" si="1"/>
        <v>-</v>
      </c>
      <c r="N11" s="21" t="str">
        <f t="shared" si="2"/>
        <v>-</v>
      </c>
      <c r="O11" s="21" t="str">
        <f t="shared" si="3"/>
        <v>-</v>
      </c>
      <c r="P11" s="22"/>
      <c r="Q11" s="36" t="s">
        <v>10</v>
      </c>
      <c r="R11" s="37">
        <f>ROUND(VLOOKUP(alap!$A$1,'RK nyomered emb-káb'!$C:$KN,193,FALSE),1)</f>
        <v>100</v>
      </c>
      <c r="S11" s="34">
        <f>ROUND(VLOOKUP(alap!$A$1,'RK nyomered emb-káb'!$C:$KN,196,FALSE),1)</f>
        <v>100</v>
      </c>
      <c r="T11" s="34">
        <f>ROUND(VLOOKUP(alap!$A$1,'RK nyomered emb-káb'!$C:$KN,199,FALSE),1)</f>
        <v>40</v>
      </c>
      <c r="U11" s="34">
        <f>ROUND(VLOOKUP(alap!$A$1,'RK nyomered emb-káb'!$C:$KN,202,FALSE),1)</f>
        <v>100</v>
      </c>
      <c r="V11" s="34">
        <f>ROUND(VLOOKUP(alap!$A$1,'RK nyomered emb-káb'!$C:$KN,205,FALSE),1)</f>
        <v>100</v>
      </c>
      <c r="W11" s="34">
        <f>ROUND(VLOOKUP(alap!$A$1,'RK nyomered emb-káb'!$C:$KN,208,FALSE),1)</f>
        <v>100</v>
      </c>
      <c r="X11" s="34">
        <f>ROUND(VLOOKUP(alap!$A$1,'RK nyomered emb-káb'!$C:$KN,211,FALSE),1)</f>
        <v>80</v>
      </c>
      <c r="Y11" s="34">
        <f>ROUND(VLOOKUP(alap!$A$1,'RK nyomered emb-káb'!$C:$KN,214,FALSE),1)</f>
        <v>100</v>
      </c>
      <c r="Z11" s="34">
        <f>ROUND(VLOOKUP(alap!$A$1,'RK nyomered emb-káb'!$C:$KN,217,FALSE),1)</f>
        <v>100</v>
      </c>
      <c r="AA11" s="328"/>
      <c r="AB11" s="35">
        <f>VLOOKUP(alap!$A$1,'RK nyomered emb-káb'!$C:$LU,322,FALSE)</f>
        <v>95.454545454545453</v>
      </c>
      <c r="AC11" s="37" t="e">
        <f>'országos átlag'!G9</f>
        <v>#N/A</v>
      </c>
      <c r="AD11" s="34">
        <f t="shared" si="4"/>
        <v>0</v>
      </c>
      <c r="AE11" s="34">
        <f t="shared" si="9"/>
        <v>4.5454545454545467</v>
      </c>
      <c r="AF11" s="32">
        <f t="shared" si="10"/>
        <v>0</v>
      </c>
      <c r="AG11" s="27"/>
      <c r="AH11" s="27"/>
      <c r="AI11" s="27"/>
      <c r="AJ11" s="27"/>
      <c r="AK11" s="27"/>
      <c r="AL11" s="37">
        <f>ROUND(VLOOKUP(alap!$A$1,feldered_RK!$C:$LO,88,FALSE),1)</f>
        <v>100</v>
      </c>
      <c r="AM11" s="34">
        <f>ROUND(VLOOKUP(alap!$A$1,feldered_RK!$C:$LO,91,FALSE),1)</f>
        <v>75</v>
      </c>
      <c r="AN11" s="34">
        <f>ROUND(VLOOKUP(alap!$A$1,feldered_RK!$C:$LO,94,FALSE),1)</f>
        <v>100</v>
      </c>
      <c r="AO11" s="653">
        <f>ROUND(VLOOKUP(alap!$A$1,feldered_RK!$C:$LO,97,FALSE),1)</f>
        <v>0</v>
      </c>
      <c r="AP11" s="85"/>
      <c r="AQ11" s="37" t="e">
        <f>'országos átlag'!H9</f>
        <v>#N/A</v>
      </c>
      <c r="AR11" s="653">
        <f t="shared" si="5"/>
        <v>-100</v>
      </c>
      <c r="AS11" s="29"/>
      <c r="AT11" s="29"/>
      <c r="AU11" s="29"/>
    </row>
    <row r="12" spans="1:47" x14ac:dyDescent="0.25">
      <c r="A12" s="36" t="s">
        <v>11</v>
      </c>
      <c r="B12" s="89">
        <f>VLOOKUP(alap!$A$2,település_bcs!$B:$IK,74,FALSE)</f>
        <v>528</v>
      </c>
      <c r="C12" s="91">
        <f>VLOOKUP(alap!$A$2,település_bcs!$B:$IK,75,FALSE)</f>
        <v>507</v>
      </c>
      <c r="D12" s="91">
        <f>VLOOKUP(alap!$A$2,település_bcs!$B:$IK,76,FALSE)</f>
        <v>480</v>
      </c>
      <c r="E12" s="91">
        <f>VLOOKUP(alap!$A$2,település_bcs!$B:$IK,77,FALSE)</f>
        <v>446</v>
      </c>
      <c r="F12" s="91">
        <f>VLOOKUP(alap!$A$2,település_bcs!$B:$IK,78,FALSE)</f>
        <v>449</v>
      </c>
      <c r="G12" s="91">
        <f>VLOOKUP(alap!$A$2,település_bcs!$B:$IK,79,FALSE)</f>
        <v>395</v>
      </c>
      <c r="H12" s="91">
        <f>VLOOKUP(alap!$A$2,település_bcs!$B:$IK,80,FALSE)</f>
        <v>336</v>
      </c>
      <c r="I12" s="91">
        <f>VLOOKUP(alap!$A$2,település_bcs!$B:$IK,81,FALSE)</f>
        <v>311</v>
      </c>
      <c r="J12" s="91">
        <f>VLOOKUP(alap!$A$2,település_bcs!$B:$IK,82,FALSE)</f>
        <v>249</v>
      </c>
      <c r="K12" s="20"/>
      <c r="L12" s="643">
        <f t="shared" si="6"/>
        <v>348</v>
      </c>
      <c r="M12" s="21">
        <f t="shared" si="1"/>
        <v>-19.935691318327969</v>
      </c>
      <c r="N12" s="21">
        <f t="shared" si="2"/>
        <v>-28.448275862068968</v>
      </c>
      <c r="O12" s="21">
        <f t="shared" si="3"/>
        <v>-52.840909090909086</v>
      </c>
      <c r="P12" s="22"/>
      <c r="Q12" s="36" t="s">
        <v>11</v>
      </c>
      <c r="R12" s="37">
        <f>ROUND(VLOOKUP(alap!$A$1,'RK nyomered emb-káb'!$C:$KN,220,FALSE),1)</f>
        <v>79.2</v>
      </c>
      <c r="S12" s="34">
        <f>ROUND(VLOOKUP(alap!$A$1,'RK nyomered emb-káb'!$C:$KN,223,FALSE),1)</f>
        <v>76.7</v>
      </c>
      <c r="T12" s="34">
        <f>ROUND(VLOOKUP(alap!$A$1,'RK nyomered emb-káb'!$C:$KN,226,FALSE),1)</f>
        <v>75.900000000000006</v>
      </c>
      <c r="U12" s="34">
        <f>ROUND(VLOOKUP(alap!$A$1,'RK nyomered emb-káb'!$C:$KN,229,FALSE),1)</f>
        <v>76.3</v>
      </c>
      <c r="V12" s="34">
        <f>ROUND(VLOOKUP(alap!$A$1,'RK nyomered emb-káb'!$C:$KN,232,FALSE),1)</f>
        <v>77.599999999999994</v>
      </c>
      <c r="W12" s="34">
        <f>ROUND(VLOOKUP(alap!$A$1,'RK nyomered emb-káb'!$C:$KN,235,FALSE),1)</f>
        <v>82.8</v>
      </c>
      <c r="X12" s="34">
        <f>ROUND(VLOOKUP(alap!$A$1,'RK nyomered emb-káb'!$C:$KN,238,FALSE),1)</f>
        <v>76</v>
      </c>
      <c r="Y12" s="34">
        <f>ROUND(VLOOKUP(alap!$A$1,'RK nyomered emb-káb'!$C:$KN,241,FALSE),1)</f>
        <v>77.599999999999994</v>
      </c>
      <c r="Z12" s="34">
        <f>ROUND(VLOOKUP(alap!$A$1,'RK nyomered emb-káb'!$C:$KN,244,FALSE),1)</f>
        <v>87.9</v>
      </c>
      <c r="AA12" s="328"/>
      <c r="AB12" s="35">
        <f>VLOOKUP(alap!$A$1,'RK nyomered emb-káb'!$C:$LU,325,FALSE)</f>
        <v>79.826933477555443</v>
      </c>
      <c r="AC12" s="37" t="e">
        <f>'országos átlag'!G10</f>
        <v>#N/A</v>
      </c>
      <c r="AD12" s="34">
        <f t="shared" si="4"/>
        <v>10.300000000000011</v>
      </c>
      <c r="AE12" s="34">
        <f t="shared" si="9"/>
        <v>8.073066522444563</v>
      </c>
      <c r="AF12" s="32">
        <f t="shared" si="10"/>
        <v>8.7000000000000028</v>
      </c>
      <c r="AG12" s="27"/>
      <c r="AH12" s="27"/>
      <c r="AI12" s="27"/>
      <c r="AJ12" s="27"/>
      <c r="AK12" s="27"/>
      <c r="AL12" s="37">
        <f>ROUND(VLOOKUP(alap!$A$1,feldered_RK!$C:$LO,100,FALSE),1)</f>
        <v>80</v>
      </c>
      <c r="AM12" s="34">
        <f>ROUND(VLOOKUP(alap!$A$1,feldered_RK!$C:$LO,103,FALSE),1)</f>
        <v>73.900000000000006</v>
      </c>
      <c r="AN12" s="34">
        <f>ROUND(VLOOKUP(alap!$A$1,feldered_RK!$C:$LO,106,FALSE),1)</f>
        <v>77.2</v>
      </c>
      <c r="AO12" s="653">
        <f>ROUND(VLOOKUP(alap!$A$1,feldered_RK!$C:$LO,109,FALSE),1)</f>
        <v>0</v>
      </c>
      <c r="AP12" s="85"/>
      <c r="AQ12" s="37" t="e">
        <f>'országos átlag'!H10</f>
        <v>#N/A</v>
      </c>
      <c r="AR12" s="653">
        <f t="shared" si="5"/>
        <v>-77.2</v>
      </c>
      <c r="AS12" s="29"/>
      <c r="AT12" s="29"/>
      <c r="AU12" s="29"/>
    </row>
    <row r="13" spans="1:47" x14ac:dyDescent="0.25">
      <c r="A13" s="36" t="s">
        <v>12</v>
      </c>
      <c r="B13" s="89">
        <f>VLOOKUP(alap!$A$2,település_bcs!$B:$IK,83,FALSE)</f>
        <v>14</v>
      </c>
      <c r="C13" s="91">
        <f>VLOOKUP(alap!$A$2,település_bcs!$B:$IK,84,FALSE)</f>
        <v>8</v>
      </c>
      <c r="D13" s="91">
        <f>VLOOKUP(alap!$A$2,település_bcs!$B:$IK,85,FALSE)</f>
        <v>9</v>
      </c>
      <c r="E13" s="91">
        <f>VLOOKUP(alap!$A$2,település_bcs!$B:$IK,86,FALSE)</f>
        <v>9</v>
      </c>
      <c r="F13" s="91">
        <f>VLOOKUP(alap!$A$2,település_bcs!$B:$IK,87,FALSE)</f>
        <v>5</v>
      </c>
      <c r="G13" s="91">
        <f>VLOOKUP(alap!$A$2,település_bcs!$B:$IK,88,FALSE)</f>
        <v>2</v>
      </c>
      <c r="H13" s="91">
        <f>VLOOKUP(alap!$A$2,település_bcs!$B:$IK,89,FALSE)</f>
        <v>12</v>
      </c>
      <c r="I13" s="91">
        <f>VLOOKUP(alap!$A$2,település_bcs!$B:$IK,90,FALSE)</f>
        <v>4</v>
      </c>
      <c r="J13" s="91">
        <f>VLOOKUP(alap!$A$2,település_bcs!$B:$IK,91,FALSE)</f>
        <v>2</v>
      </c>
      <c r="K13" s="20"/>
      <c r="L13" s="643">
        <f t="shared" si="6"/>
        <v>5</v>
      </c>
      <c r="M13" s="21" t="str">
        <f t="shared" si="1"/>
        <v>-</v>
      </c>
      <c r="N13" s="21" t="str">
        <f t="shared" ref="N13" si="11">IF(J13&lt;50,"-",(J13/L13*100)-100)</f>
        <v>-</v>
      </c>
      <c r="O13" s="21" t="str">
        <f t="shared" ref="O13" si="12">IF(J13&lt;50,"-",(J13/B13*100)-100)</f>
        <v>-</v>
      </c>
      <c r="P13" s="22"/>
      <c r="Q13" s="36" t="s">
        <v>12</v>
      </c>
      <c r="R13" s="37">
        <f>ROUND(VLOOKUP(alap!$A$1,'RK nyomered emb-káb'!$C:$KN,247,FALSE),1)</f>
        <v>57.1</v>
      </c>
      <c r="S13" s="34">
        <f>ROUND(VLOOKUP(alap!$A$1,'RK nyomered emb-káb'!$C:$KN,250,FALSE),1)</f>
        <v>58.3</v>
      </c>
      <c r="T13" s="34">
        <f>ROUND(VLOOKUP(alap!$A$1,'RK nyomered emb-káb'!$C:$KN,253,FALSE),1)</f>
        <v>54.5</v>
      </c>
      <c r="U13" s="34">
        <f>ROUND(VLOOKUP(alap!$A$1,'RK nyomered emb-káb'!$C:$KN,256,FALSE),1)</f>
        <v>81.8</v>
      </c>
      <c r="V13" s="34">
        <f>ROUND(VLOOKUP(alap!$A$1,'RK nyomered emb-káb'!$C:$KN,259,FALSE),1)</f>
        <v>83.3</v>
      </c>
      <c r="W13" s="34">
        <f>ROUND(VLOOKUP(alap!$A$1,'RK nyomered emb-káb'!$C:$KN,262,FALSE),1)</f>
        <v>66.7</v>
      </c>
      <c r="X13" s="34">
        <f>ROUND(VLOOKUP(alap!$A$1,'RK nyomered emb-káb'!$C:$KN,265,FALSE),1)</f>
        <v>75</v>
      </c>
      <c r="Y13" s="34">
        <f>ROUND(VLOOKUP(alap!$A$1,'RK nyomered emb-káb'!$C:$KN,268,FALSE),1)</f>
        <v>71.400000000000006</v>
      </c>
      <c r="Z13" s="34">
        <f>ROUND(VLOOKUP(alap!$A$1,'RK nyomered emb-káb'!$C:$KN,271,FALSE),1)</f>
        <v>100</v>
      </c>
      <c r="AA13" s="328"/>
      <c r="AB13" s="35">
        <f>VLOOKUP(alap!$A$1,'RK nyomered emb-káb'!$C:$LU,328,FALSE)</f>
        <v>76.470588235294116</v>
      </c>
      <c r="AC13" s="37" t="e">
        <f>'országos átlag'!G11</f>
        <v>#N/A</v>
      </c>
      <c r="AD13" s="34">
        <f t="shared" si="4"/>
        <v>28.599999999999994</v>
      </c>
      <c r="AE13" s="34">
        <f t="shared" ref="AE13" si="13">Z13-AB13</f>
        <v>23.529411764705884</v>
      </c>
      <c r="AF13" s="32">
        <f t="shared" ref="AF13" si="14">Z13-R13</f>
        <v>42.9</v>
      </c>
      <c r="AG13" s="27"/>
      <c r="AH13" s="27"/>
      <c r="AI13" s="27"/>
      <c r="AJ13" s="27"/>
      <c r="AK13" s="27"/>
      <c r="AL13" s="37">
        <f>ROUND(VLOOKUP(alap!$A$1,feldered_RK!$C:$LO,112,FALSE),1)</f>
        <v>100</v>
      </c>
      <c r="AM13" s="34">
        <f>ROUND(VLOOKUP(alap!$A$1,feldered_RK!$C:$LO,115,FALSE),1)</f>
        <v>100</v>
      </c>
      <c r="AN13" s="34">
        <f>ROUND(VLOOKUP(alap!$A$1,feldered_RK!$C:$LO,118,FALSE),1)</f>
        <v>100</v>
      </c>
      <c r="AO13" s="653">
        <f>ROUND(VLOOKUP(alap!$A$1,feldered_RK!$C:$LO,121,FALSE),1)</f>
        <v>0</v>
      </c>
      <c r="AP13" s="85"/>
      <c r="AQ13" s="37" t="e">
        <f>'országos átlag'!H11</f>
        <v>#N/A</v>
      </c>
      <c r="AR13" s="653">
        <f t="shared" si="5"/>
        <v>-100</v>
      </c>
      <c r="AS13" s="29"/>
      <c r="AT13" s="29"/>
      <c r="AU13" s="29"/>
    </row>
    <row r="14" spans="1:47" s="41" customFormat="1" ht="78.75" x14ac:dyDescent="0.25">
      <c r="A14" s="36" t="s">
        <v>13</v>
      </c>
      <c r="B14" s="89">
        <f>VLOOKUP(alap!$A$2,település_bcs!$B:$IK,92,FALSE)</f>
        <v>27</v>
      </c>
      <c r="C14" s="91">
        <f>VLOOKUP(alap!$A$2,település_bcs!$B:$IK,93,FALSE)</f>
        <v>37</v>
      </c>
      <c r="D14" s="91">
        <f>VLOOKUP(alap!$A$2,település_bcs!$B:$IK,94,FALSE)</f>
        <v>15</v>
      </c>
      <c r="E14" s="91">
        <f>VLOOKUP(alap!$A$2,település_bcs!$B:$IK,95,FALSE)</f>
        <v>23</v>
      </c>
      <c r="F14" s="91">
        <f>VLOOKUP(alap!$A$2,település_bcs!$B:$IK,96,FALSE)</f>
        <v>21</v>
      </c>
      <c r="G14" s="91">
        <f>VLOOKUP(alap!$A$2,település_bcs!$B:$IK,97,FALSE)</f>
        <v>17</v>
      </c>
      <c r="H14" s="91">
        <f>VLOOKUP(alap!$A$2,település_bcs!$B:$IK,98,FALSE)</f>
        <v>16</v>
      </c>
      <c r="I14" s="91">
        <f>VLOOKUP(alap!$A$2,település_bcs!$B:$IK,99,FALSE)</f>
        <v>21</v>
      </c>
      <c r="J14" s="91">
        <f>VLOOKUP(alap!$A$2,település_bcs!$B:$IK,100,FALSE)</f>
        <v>31</v>
      </c>
      <c r="K14" s="20"/>
      <c r="L14" s="643">
        <f t="shared" si="6"/>
        <v>21.2</v>
      </c>
      <c r="M14" s="21" t="str">
        <f t="shared" si="1"/>
        <v>-</v>
      </c>
      <c r="N14" s="21" t="str">
        <f t="shared" si="2"/>
        <v>-</v>
      </c>
      <c r="O14" s="21" t="str">
        <f t="shared" si="3"/>
        <v>-</v>
      </c>
      <c r="P14" s="22"/>
      <c r="Q14" s="36" t="s">
        <v>13</v>
      </c>
      <c r="R14" s="37">
        <f>ROUND(VLOOKUP(alap!$A$1,'RK nyomered emb-káb'!$C:$KN,274,FALSE),1)</f>
        <v>87.1</v>
      </c>
      <c r="S14" s="34">
        <f>ROUND(VLOOKUP(alap!$A$1,'RK nyomered emb-káb'!$C:$KN,277,FALSE),1)</f>
        <v>85.1</v>
      </c>
      <c r="T14" s="34">
        <f>ROUND(VLOOKUP(alap!$A$1,'RK nyomered emb-káb'!$C:$KN,280,FALSE),1)</f>
        <v>84.6</v>
      </c>
      <c r="U14" s="34">
        <f>ROUND(VLOOKUP(alap!$A$1,'RK nyomered emb-káb'!$C:$KN,283,FALSE),1)</f>
        <v>86.8</v>
      </c>
      <c r="V14" s="34">
        <f>ROUND(VLOOKUP(alap!$A$1,'RK nyomered emb-káb'!$C:$KN,286,FALSE),1)</f>
        <v>92</v>
      </c>
      <c r="W14" s="34">
        <f>ROUND(VLOOKUP(alap!$A$1,'RK nyomered emb-káb'!$C:$KN,289,FALSE),1)</f>
        <v>89.5</v>
      </c>
      <c r="X14" s="34">
        <f>ROUND(VLOOKUP(alap!$A$1,'RK nyomered emb-káb'!$C:$KN,292,FALSE),1)</f>
        <v>81.8</v>
      </c>
      <c r="Y14" s="34">
        <f>ROUND(VLOOKUP(alap!$A$1,'RK nyomered emb-káb'!$C:$KN,295,FALSE),1)</f>
        <v>80</v>
      </c>
      <c r="Z14" s="34">
        <f>ROUND(VLOOKUP(alap!$A$1,'RK nyomered emb-káb'!$C:$KN,298,FALSE),1)</f>
        <v>83.8</v>
      </c>
      <c r="AA14" s="328"/>
      <c r="AB14" s="38">
        <f>VLOOKUP(alap!$A$1,'RK nyomered emb-káb'!$C:$LU,331,FALSE)</f>
        <v>85.15625</v>
      </c>
      <c r="AC14" s="37" t="e">
        <f>'országos átlag'!G12</f>
        <v>#N/A</v>
      </c>
      <c r="AD14" s="34">
        <f t="shared" si="4"/>
        <v>3.7999999999999972</v>
      </c>
      <c r="AE14" s="34">
        <f t="shared" ref="AE14:AE19" si="15">Z14-AB14</f>
        <v>-1.3562500000000028</v>
      </c>
      <c r="AF14" s="32">
        <f t="shared" ref="AF14:AF19" si="16">Z14-R14</f>
        <v>-3.2999999999999972</v>
      </c>
      <c r="AG14" s="39"/>
      <c r="AH14" s="39"/>
      <c r="AI14" s="39"/>
      <c r="AJ14" s="39"/>
      <c r="AK14" s="39"/>
      <c r="AL14" s="37">
        <f>ROUND(VLOOKUP(alap!$A$1,feldered_RK!$C:$LO,124,FALSE),1)</f>
        <v>77.8</v>
      </c>
      <c r="AM14" s="34">
        <f>ROUND(VLOOKUP(alap!$A$1,feldered_RK!$C:$LO,127,FALSE),1)</f>
        <v>86.7</v>
      </c>
      <c r="AN14" s="34">
        <f>ROUND(VLOOKUP(alap!$A$1,feldered_RK!$C:$LO,130,FALSE),1)</f>
        <v>81.8</v>
      </c>
      <c r="AO14" s="653">
        <f>ROUND(VLOOKUP(alap!$A$1,feldered_RK!$C:$LO,133,FALSE),1)</f>
        <v>0</v>
      </c>
      <c r="AP14" s="86"/>
      <c r="AQ14" s="37" t="e">
        <f>'országos átlag'!H12</f>
        <v>#N/A</v>
      </c>
      <c r="AR14" s="653">
        <f t="shared" si="5"/>
        <v>-81.8</v>
      </c>
      <c r="AS14" s="40"/>
      <c r="AT14" s="40"/>
      <c r="AU14" s="40"/>
    </row>
    <row r="15" spans="1:47" x14ac:dyDescent="0.25">
      <c r="A15" s="36" t="s">
        <v>14</v>
      </c>
      <c r="B15" s="89">
        <f>VLOOKUP(alap!$A$2,település_bcs!$B:$IK,101,FALSE)</f>
        <v>3541</v>
      </c>
      <c r="C15" s="91">
        <f>VLOOKUP(alap!$A$2,település_bcs!$B:$IK,102,FALSE)</f>
        <v>3017</v>
      </c>
      <c r="D15" s="91">
        <f>VLOOKUP(alap!$A$2,település_bcs!$B:$IK,103,FALSE)</f>
        <v>2863</v>
      </c>
      <c r="E15" s="91">
        <f>VLOOKUP(alap!$A$2,település_bcs!$B:$IK,104,FALSE)</f>
        <v>2250</v>
      </c>
      <c r="F15" s="91">
        <f>VLOOKUP(alap!$A$2,település_bcs!$B:$IK,105,FALSE)</f>
        <v>2275</v>
      </c>
      <c r="G15" s="91">
        <f>VLOOKUP(alap!$A$2,település_bcs!$B:$IK,106,FALSE)</f>
        <v>1872</v>
      </c>
      <c r="H15" s="91">
        <f>VLOOKUP(alap!$A$2,település_bcs!$B:$IK,107,FALSE)</f>
        <v>1338</v>
      </c>
      <c r="I15" s="91">
        <f>VLOOKUP(alap!$A$2,település_bcs!$B:$IK,108,FALSE)</f>
        <v>1368</v>
      </c>
      <c r="J15" s="91">
        <f>VLOOKUP(alap!$A$2,település_bcs!$B:$IK,109,FALSE)</f>
        <v>926</v>
      </c>
      <c r="K15" s="20"/>
      <c r="L15" s="643">
        <f t="shared" si="6"/>
        <v>1555.8</v>
      </c>
      <c r="M15" s="21">
        <f t="shared" si="1"/>
        <v>-32.309941520467831</v>
      </c>
      <c r="N15" s="21">
        <f>IF(J15&lt;50,"-",(J15/L15*100)-100)</f>
        <v>-40.480781591464201</v>
      </c>
      <c r="O15" s="21">
        <f>IF(J15&lt;50,"-",(J15/B15*100)-100)</f>
        <v>-73.849195142615088</v>
      </c>
      <c r="P15" s="22"/>
      <c r="Q15" s="36" t="s">
        <v>14</v>
      </c>
      <c r="R15" s="37">
        <f>ROUND(VLOOKUP(alap!$A$1,'RK nyomered lop-össz'!$C:$PS,4,FALSE),1)</f>
        <v>33.1</v>
      </c>
      <c r="S15" s="34">
        <f>ROUND(VLOOKUP(alap!$A$1,'RK nyomered lop-össz'!$C:$PS,7,FALSE),1)</f>
        <v>26.3</v>
      </c>
      <c r="T15" s="34">
        <f>ROUND(VLOOKUP(alap!$A$1,'RK nyomered lop-össz'!$C:$PS,10,FALSE),1)</f>
        <v>29.7</v>
      </c>
      <c r="U15" s="34">
        <f>ROUND(VLOOKUP(alap!$A$1,'RK nyomered lop-össz'!$C:$PS,13,FALSE),1)</f>
        <v>33.799999999999997</v>
      </c>
      <c r="V15" s="34">
        <f>ROUND(VLOOKUP(alap!$A$1,'RK nyomered lop-össz'!$C:$PS,16,FALSE),1)</f>
        <v>33.700000000000003</v>
      </c>
      <c r="W15" s="34">
        <f>ROUND(VLOOKUP(alap!$A$1,'RK nyomered lop-össz'!$C:$PS,19,FALSE),1)</f>
        <v>38.200000000000003</v>
      </c>
      <c r="X15" s="34">
        <f>ROUND(VLOOKUP(alap!$A$1,'RK nyomered lop-össz'!$C:$PS,22,FALSE),1)</f>
        <v>41</v>
      </c>
      <c r="Y15" s="34">
        <f>ROUND(VLOOKUP(alap!$A$1,'RK nyomered lop-össz'!$C:$PS,25,FALSE),1)</f>
        <v>45.8</v>
      </c>
      <c r="Z15" s="34">
        <f>ROUND(VLOOKUP(alap!$A$1,'RK nyomered lop-össz'!$C:$PS,28,FALSE),1)</f>
        <v>44.9</v>
      </c>
      <c r="AA15" s="328"/>
      <c r="AB15" s="35">
        <f>ROUND(VLOOKUP(alap!$A$1,'RK nyomered lop-össz'!$C:$RO,436,FALSE),1)</f>
        <v>39.5</v>
      </c>
      <c r="AC15" s="37" t="e">
        <f>'országos átlag'!G13</f>
        <v>#N/A</v>
      </c>
      <c r="AD15" s="34">
        <f t="shared" si="4"/>
        <v>-0.89999999999999858</v>
      </c>
      <c r="AE15" s="34">
        <f t="shared" si="15"/>
        <v>5.3999999999999986</v>
      </c>
      <c r="AF15" s="32">
        <f t="shared" si="16"/>
        <v>11.799999999999997</v>
      </c>
      <c r="AG15" s="27"/>
      <c r="AH15" s="27"/>
      <c r="AI15" s="27"/>
      <c r="AJ15" s="27"/>
      <c r="AK15" s="27"/>
      <c r="AL15" s="37">
        <f>ROUND(VLOOKUP(alap!$A$1,feldered_RK!$C:$LO,136,FALSE),1)</f>
        <v>32.700000000000003</v>
      </c>
      <c r="AM15" s="34">
        <f>ROUND(VLOOKUP(alap!$A$1,feldered_RK!$C:$LO,139,FALSE),1)</f>
        <v>37.700000000000003</v>
      </c>
      <c r="AN15" s="34">
        <f>ROUND(VLOOKUP(alap!$A$1,feldered_RK!$C:$LO,142,FALSE),1)</f>
        <v>42.3</v>
      </c>
      <c r="AO15" s="653">
        <f>ROUND(VLOOKUP(alap!$A$1,feldered_RK!$C:$LO,145,FALSE),1)</f>
        <v>0</v>
      </c>
      <c r="AP15" s="85"/>
      <c r="AQ15" s="37" t="e">
        <f>'országos átlag'!H13</f>
        <v>#N/A</v>
      </c>
      <c r="AR15" s="653">
        <f t="shared" si="5"/>
        <v>-42.3</v>
      </c>
      <c r="AS15" s="29"/>
      <c r="AT15" s="29"/>
      <c r="AU15" s="29"/>
    </row>
    <row r="16" spans="1:47" x14ac:dyDescent="0.25">
      <c r="A16" s="30" t="s">
        <v>15</v>
      </c>
      <c r="B16" s="92">
        <f>VLOOKUP(alap!$A$2,település_bcs!$B:$IK,110,FALSE)</f>
        <v>10</v>
      </c>
      <c r="C16" s="637">
        <f>VLOOKUP(alap!$A$2,település_bcs!$B:$IK,111,FALSE)</f>
        <v>14</v>
      </c>
      <c r="D16" s="637">
        <f>VLOOKUP(alap!$A$2,település_bcs!$B:$IK,112,FALSE)</f>
        <v>15</v>
      </c>
      <c r="E16" s="637">
        <f>VLOOKUP(alap!$A$2,település_bcs!$B:$IK,113,FALSE)</f>
        <v>9</v>
      </c>
      <c r="F16" s="637">
        <f>VLOOKUP(alap!$A$2,település_bcs!$B:$IK,114,FALSE)</f>
        <v>9</v>
      </c>
      <c r="G16" s="637">
        <f>VLOOKUP(alap!$A$2,település_bcs!$B:$IK,115,FALSE)</f>
        <v>12</v>
      </c>
      <c r="H16" s="637">
        <f>VLOOKUP(alap!$A$2,település_bcs!$B:$IK,116,FALSE)</f>
        <v>5</v>
      </c>
      <c r="I16" s="637">
        <f>VLOOKUP(alap!$A$2,település_bcs!$B:$IK,117,FALSE)</f>
        <v>12</v>
      </c>
      <c r="J16" s="637">
        <f>VLOOKUP(alap!$A$2,település_bcs!$B:$IK,118,FALSE)</f>
        <v>2</v>
      </c>
      <c r="K16" s="31"/>
      <c r="L16" s="641">
        <f t="shared" si="6"/>
        <v>8</v>
      </c>
      <c r="M16" s="648" t="str">
        <f t="shared" si="1"/>
        <v>-</v>
      </c>
      <c r="N16" s="648" t="str">
        <f t="shared" si="2"/>
        <v>-</v>
      </c>
      <c r="O16" s="648" t="str">
        <f t="shared" si="3"/>
        <v>-</v>
      </c>
      <c r="P16" s="22"/>
      <c r="Q16" s="30" t="s">
        <v>15</v>
      </c>
      <c r="R16" s="33">
        <f>ROUND(VLOOKUP(alap!$A$1,'RK nyomered lop-össz'!$C:$PS,31,FALSE),1)</f>
        <v>30</v>
      </c>
      <c r="S16" s="649">
        <f>ROUND(VLOOKUP(alap!$A$1,'RK nyomered lop-össz'!$C:$PS,34,FALSE),1)</f>
        <v>69.400000000000006</v>
      </c>
      <c r="T16" s="649">
        <f>ROUND(VLOOKUP(alap!$A$1,'RK nyomered lop-össz'!$C:$PS,37,FALSE),1)</f>
        <v>70.599999999999994</v>
      </c>
      <c r="U16" s="649">
        <f>ROUND(VLOOKUP(alap!$A$1,'RK nyomered lop-össz'!$C:$PS,40,FALSE),1)</f>
        <v>14.3</v>
      </c>
      <c r="V16" s="649">
        <f>ROUND(VLOOKUP(alap!$A$1,'RK nyomered lop-össz'!$C:$PS,43,FALSE),1)</f>
        <v>70</v>
      </c>
      <c r="W16" s="649">
        <f>ROUND(VLOOKUP(alap!$A$1,'RK nyomered lop-össz'!$C:$PS,46,FALSE),1)</f>
        <v>41.7</v>
      </c>
      <c r="X16" s="649">
        <f>ROUND(VLOOKUP(alap!$A$1,'RK nyomered lop-össz'!$C:$PS,49,FALSE),1)</f>
        <v>75</v>
      </c>
      <c r="Y16" s="649">
        <f>ROUND(VLOOKUP(alap!$A$1,'RK nyomered lop-össz'!$C:$PS,52,FALSE),1)</f>
        <v>100</v>
      </c>
      <c r="Z16" s="649">
        <f>ROUND(VLOOKUP(alap!$A$1,'RK nyomered lop-össz'!$C:$PS,55,FALSE),1)</f>
        <v>100</v>
      </c>
      <c r="AA16" s="328"/>
      <c r="AB16" s="650">
        <f>ROUND(VLOOKUP(alap!$A$1,'RK nyomered lop-össz'!$C:$RO,439,FALSE),1)</f>
        <v>72.5</v>
      </c>
      <c r="AC16" s="33" t="e">
        <f>'országos átlag'!G14</f>
        <v>#N/A</v>
      </c>
      <c r="AD16" s="649">
        <f t="shared" si="4"/>
        <v>0</v>
      </c>
      <c r="AE16" s="649">
        <f t="shared" si="15"/>
        <v>27.5</v>
      </c>
      <c r="AF16" s="651">
        <f t="shared" si="16"/>
        <v>70</v>
      </c>
      <c r="AG16" s="27"/>
      <c r="AH16" s="27"/>
      <c r="AI16" s="27"/>
      <c r="AJ16" s="27"/>
      <c r="AK16" s="27"/>
      <c r="AL16" s="33">
        <f>ROUND(VLOOKUP(alap!$A$1,feldered_RK!$C:$LO,148,FALSE),1)</f>
        <v>41.7</v>
      </c>
      <c r="AM16" s="649">
        <f>ROUND(VLOOKUP(alap!$A$1,feldered_RK!$C:$LO,151,FALSE),1)</f>
        <v>75</v>
      </c>
      <c r="AN16" s="649">
        <f>ROUND(VLOOKUP(alap!$A$1,feldered_RK!$C:$LO,154,FALSE),1)</f>
        <v>100</v>
      </c>
      <c r="AO16" s="652">
        <f>ROUND(VLOOKUP(alap!$A$1,feldered_RK!$C:$LO,157,FALSE),1)</f>
        <v>0</v>
      </c>
      <c r="AP16" s="85"/>
      <c r="AQ16" s="33" t="e">
        <f>'országos átlag'!H14</f>
        <v>#N/A</v>
      </c>
      <c r="AR16" s="652">
        <f t="shared" si="5"/>
        <v>-100</v>
      </c>
      <c r="AS16" s="29"/>
      <c r="AT16" s="29"/>
      <c r="AU16" s="29"/>
    </row>
    <row r="17" spans="1:47" x14ac:dyDescent="0.25">
      <c r="A17" s="30" t="s">
        <v>16</v>
      </c>
      <c r="B17" s="92">
        <f>VLOOKUP(alap!$A$2,település_bcs!$B:$IK,119,FALSE)</f>
        <v>148</v>
      </c>
      <c r="C17" s="637">
        <f>VLOOKUP(alap!$A$2,település_bcs!$B:$IK,120,FALSE)</f>
        <v>90</v>
      </c>
      <c r="D17" s="637">
        <f>VLOOKUP(alap!$A$2,település_bcs!$B:$IK,121,FALSE)</f>
        <v>91</v>
      </c>
      <c r="E17" s="637">
        <f>VLOOKUP(alap!$A$2,település_bcs!$B:$IK,122,FALSE)</f>
        <v>47</v>
      </c>
      <c r="F17" s="637">
        <f>VLOOKUP(alap!$A$2,település_bcs!$B:$IK,123,FALSE)</f>
        <v>72</v>
      </c>
      <c r="G17" s="637">
        <f>VLOOKUP(alap!$A$2,település_bcs!$B:$IK,124,FALSE)</f>
        <v>45</v>
      </c>
      <c r="H17" s="637">
        <f>VLOOKUP(alap!$A$2,település_bcs!$B:$IK,125,FALSE)</f>
        <v>17</v>
      </c>
      <c r="I17" s="637">
        <f>VLOOKUP(alap!$A$2,település_bcs!$B:$IK,126,FALSE)</f>
        <v>20</v>
      </c>
      <c r="J17" s="637">
        <f>VLOOKUP(alap!$A$2,település_bcs!$B:$IK,127,FALSE)</f>
        <v>16</v>
      </c>
      <c r="K17" s="31"/>
      <c r="L17" s="641">
        <f t="shared" si="6"/>
        <v>34</v>
      </c>
      <c r="M17" s="648" t="str">
        <f t="shared" si="1"/>
        <v>-</v>
      </c>
      <c r="N17" s="648" t="str">
        <f t="shared" si="2"/>
        <v>-</v>
      </c>
      <c r="O17" s="648" t="str">
        <f t="shared" si="3"/>
        <v>-</v>
      </c>
      <c r="P17" s="22"/>
      <c r="Q17" s="30" t="s">
        <v>16</v>
      </c>
      <c r="R17" s="33">
        <f>ROUND(VLOOKUP(alap!$A$1,'RK nyomered lop-össz'!$C:$PS,58,FALSE),1)</f>
        <v>47.4</v>
      </c>
      <c r="S17" s="649">
        <f>ROUND(VLOOKUP(alap!$A$1,'RK nyomered lop-össz'!$C:$PS,61,FALSE),1)</f>
        <v>9.8000000000000007</v>
      </c>
      <c r="T17" s="649">
        <f>ROUND(VLOOKUP(alap!$A$1,'RK nyomered lop-össz'!$C:$PS,64,FALSE),1)</f>
        <v>31.9</v>
      </c>
      <c r="U17" s="649">
        <f>ROUND(VLOOKUP(alap!$A$1,'RK nyomered lop-össz'!$C:$PS,67,FALSE),1)</f>
        <v>8.5</v>
      </c>
      <c r="V17" s="649">
        <f>ROUND(VLOOKUP(alap!$A$1,'RK nyomered lop-össz'!$C:$PS,70,FALSE),1)</f>
        <v>52.8</v>
      </c>
      <c r="W17" s="649">
        <f>ROUND(VLOOKUP(alap!$A$1,'RK nyomered lop-össz'!$C:$PS,73,FALSE),1)</f>
        <v>33.299999999999997</v>
      </c>
      <c r="X17" s="649">
        <f>ROUND(VLOOKUP(alap!$A$1,'RK nyomered lop-össz'!$C:$PS,76,FALSE),1)</f>
        <v>11.8</v>
      </c>
      <c r="Y17" s="649">
        <f>ROUND(VLOOKUP(alap!$A$1,'RK nyomered lop-össz'!$C:$PS,79,FALSE),1)</f>
        <v>35</v>
      </c>
      <c r="Z17" s="649">
        <f>ROUND(VLOOKUP(alap!$A$1,'RK nyomered lop-össz'!$C:$PS,82,FALSE),1)</f>
        <v>18.8</v>
      </c>
      <c r="AA17" s="328"/>
      <c r="AB17" s="650">
        <f>ROUND(VLOOKUP(alap!$A$1,'RK nyomered lop-össz'!$C:$RO,442,FALSE),1)</f>
        <v>38.200000000000003</v>
      </c>
      <c r="AC17" s="33" t="e">
        <f>'országos átlag'!G15</f>
        <v>#N/A</v>
      </c>
      <c r="AD17" s="649">
        <f t="shared" si="4"/>
        <v>-16.2</v>
      </c>
      <c r="AE17" s="649">
        <f t="shared" si="15"/>
        <v>-19.400000000000002</v>
      </c>
      <c r="AF17" s="651">
        <f t="shared" si="16"/>
        <v>-28.599999999999998</v>
      </c>
      <c r="AG17" s="27"/>
      <c r="AH17" s="27"/>
      <c r="AI17" s="27"/>
      <c r="AJ17" s="27"/>
      <c r="AK17" s="27"/>
      <c r="AL17" s="33">
        <f>ROUND(VLOOKUP(alap!$A$1,feldered_RK!$C:$LO,160,FALSE),1)</f>
        <v>28.6</v>
      </c>
      <c r="AM17" s="649">
        <f>ROUND(VLOOKUP(alap!$A$1,feldered_RK!$C:$LO,163,FALSE),1)</f>
        <v>11.8</v>
      </c>
      <c r="AN17" s="649">
        <f>ROUND(VLOOKUP(alap!$A$1,feldered_RK!$C:$LO,166,FALSE),1)</f>
        <v>35</v>
      </c>
      <c r="AO17" s="652">
        <f>ROUND(VLOOKUP(alap!$A$1,feldered_RK!$C:$LO,169,FALSE),1)</f>
        <v>0</v>
      </c>
      <c r="AP17" s="85"/>
      <c r="AQ17" s="33" t="e">
        <f>'országos átlag'!H15</f>
        <v>#N/A</v>
      </c>
      <c r="AR17" s="652">
        <f t="shared" si="5"/>
        <v>-35</v>
      </c>
      <c r="AS17" s="29"/>
      <c r="AT17" s="29"/>
      <c r="AU17" s="29"/>
    </row>
    <row r="18" spans="1:47" x14ac:dyDescent="0.25">
      <c r="A18" s="30" t="s">
        <v>568</v>
      </c>
      <c r="B18" s="92">
        <f>VLOOKUP(alap!$A$2,település_bcs!$B:$IK,128,FALSE)</f>
        <v>369</v>
      </c>
      <c r="C18" s="637">
        <f>VLOOKUP(alap!$A$2,település_bcs!$B:$IK,129,FALSE)</f>
        <v>277</v>
      </c>
      <c r="D18" s="637">
        <f>VLOOKUP(alap!$A$2,település_bcs!$B:$IK,130,FALSE)</f>
        <v>315</v>
      </c>
      <c r="E18" s="637">
        <f>VLOOKUP(alap!$A$2,település_bcs!$B:$IK,131,FALSE)</f>
        <v>249</v>
      </c>
      <c r="F18" s="637">
        <f>VLOOKUP(alap!$A$2,település_bcs!$B:$IK,132,FALSE)</f>
        <v>246</v>
      </c>
      <c r="G18" s="637">
        <f>VLOOKUP(alap!$A$2,település_bcs!$B:$IK,133,FALSE)</f>
        <v>282</v>
      </c>
      <c r="H18" s="637">
        <f>VLOOKUP(alap!$A$2,település_bcs!$B:$IK,134,FALSE)</f>
        <v>209</v>
      </c>
      <c r="I18" s="637">
        <f>VLOOKUP(alap!$A$2,település_bcs!$B:$IK,135,FALSE)</f>
        <v>171</v>
      </c>
      <c r="J18" s="637">
        <f>VLOOKUP(alap!$A$2,település_bcs!$B:$IK,136,FALSE)</f>
        <v>130</v>
      </c>
      <c r="K18" s="31"/>
      <c r="L18" s="641">
        <f t="shared" si="6"/>
        <v>207.6</v>
      </c>
      <c r="M18" s="648">
        <f t="shared" si="1"/>
        <v>-23.976608187134502</v>
      </c>
      <c r="N18" s="648">
        <f t="shared" si="2"/>
        <v>-37.379576107899801</v>
      </c>
      <c r="O18" s="648">
        <f t="shared" si="3"/>
        <v>-64.769647696476966</v>
      </c>
      <c r="P18" s="22"/>
      <c r="Q18" s="30" t="s">
        <v>568</v>
      </c>
      <c r="R18" s="33">
        <f>ROUND(VLOOKUP(alap!$A$1,'RK nyomered lop-össz'!$C:$PS,85,FALSE),1)</f>
        <v>22</v>
      </c>
      <c r="S18" s="649">
        <f>ROUND(VLOOKUP(alap!$A$1,'RK nyomered lop-össz'!$C:$PS,88,FALSE),1)</f>
        <v>13.7</v>
      </c>
      <c r="T18" s="649">
        <f>ROUND(VLOOKUP(alap!$A$1,'RK nyomered lop-össz'!$C:$PS,91,FALSE),1)</f>
        <v>27.6</v>
      </c>
      <c r="U18" s="649">
        <f>ROUND(VLOOKUP(alap!$A$1,'RK nyomered lop-össz'!$C:$PS,94,FALSE),1)</f>
        <v>35.6</v>
      </c>
      <c r="V18" s="649">
        <f>ROUND(VLOOKUP(alap!$A$1,'RK nyomered lop-össz'!$C:$PS,97,FALSE),1)</f>
        <v>25.3</v>
      </c>
      <c r="W18" s="649">
        <f>ROUND(VLOOKUP(alap!$A$1,'RK nyomered lop-össz'!$C:$PS,100,FALSE),1)</f>
        <v>31.6</v>
      </c>
      <c r="X18" s="649">
        <f>ROUND(VLOOKUP(alap!$A$1,'RK nyomered lop-össz'!$C:$PS,103,FALSE),1)</f>
        <v>39.700000000000003</v>
      </c>
      <c r="Y18" s="649">
        <f>ROUND(VLOOKUP(alap!$A$1,'RK nyomered lop-össz'!$C:$PS,106,FALSE),1)</f>
        <v>49.4</v>
      </c>
      <c r="Z18" s="649">
        <f>ROUND(VLOOKUP(alap!$A$1,'RK nyomered lop-össz'!$C:$PS,109,FALSE),1)</f>
        <v>48.7</v>
      </c>
      <c r="AA18" s="328"/>
      <c r="AB18" s="650">
        <f>ROUND(VLOOKUP(alap!$A$1,'RK nyomered lop-össz'!$C:$RO,445,FALSE),1)</f>
        <v>37</v>
      </c>
      <c r="AC18" s="33" t="e">
        <f>'országos átlag'!G16</f>
        <v>#N/A</v>
      </c>
      <c r="AD18" s="649">
        <f t="shared" si="4"/>
        <v>-0.69999999999999574</v>
      </c>
      <c r="AE18" s="649">
        <f t="shared" si="15"/>
        <v>11.700000000000003</v>
      </c>
      <c r="AF18" s="651">
        <f t="shared" si="16"/>
        <v>26.700000000000003</v>
      </c>
      <c r="AG18" s="27"/>
      <c r="AH18" s="27"/>
      <c r="AI18" s="27"/>
      <c r="AJ18" s="27"/>
      <c r="AK18" s="27"/>
      <c r="AL18" s="33">
        <f>ROUND(VLOOKUP(alap!$A$1,feldered_RK!$C:$LO,172,FALSE),1)</f>
        <v>30.5</v>
      </c>
      <c r="AM18" s="649">
        <f>ROUND(VLOOKUP(alap!$A$1,feldered_RK!$C:$LO,175,FALSE),1)</f>
        <v>39.200000000000003</v>
      </c>
      <c r="AN18" s="649">
        <f>ROUND(VLOOKUP(alap!$A$1,feldered_RK!$C:$LO,178,FALSE),1)</f>
        <v>48.2</v>
      </c>
      <c r="AO18" s="652">
        <f>ROUND(VLOOKUP(alap!$A$1,feldered_RK!$C:$LO,181,FALSE),1)</f>
        <v>0</v>
      </c>
      <c r="AP18" s="85"/>
      <c r="AQ18" s="33" t="e">
        <f>'országos átlag'!H16</f>
        <v>#N/A</v>
      </c>
      <c r="AR18" s="652">
        <f t="shared" si="5"/>
        <v>-48.2</v>
      </c>
      <c r="AS18" s="29"/>
      <c r="AT18" s="29"/>
      <c r="AU18" s="29"/>
    </row>
    <row r="19" spans="1:47" x14ac:dyDescent="0.25">
      <c r="A19" s="36" t="s">
        <v>17</v>
      </c>
      <c r="B19" s="89">
        <f>VLOOKUP(alap!$A$2,település_bcs!$B:$IK,137,FALSE)</f>
        <v>62</v>
      </c>
      <c r="C19" s="91">
        <f>VLOOKUP(alap!$A$2,település_bcs!$B:$IK,138,FALSE)</f>
        <v>34</v>
      </c>
      <c r="D19" s="91">
        <f>VLOOKUP(alap!$A$2,település_bcs!$B:$IK,139,FALSE)</f>
        <v>31</v>
      </c>
      <c r="E19" s="91">
        <f>VLOOKUP(alap!$A$2,település_bcs!$B:$IK,140,FALSE)</f>
        <v>20</v>
      </c>
      <c r="F19" s="91">
        <f>VLOOKUP(alap!$A$2,település_bcs!$B:$IK,141,FALSE)</f>
        <v>23</v>
      </c>
      <c r="G19" s="91">
        <f>VLOOKUP(alap!$A$2,település_bcs!$B:$IK,142,FALSE)</f>
        <v>12</v>
      </c>
      <c r="H19" s="91">
        <f>VLOOKUP(alap!$A$2,település_bcs!$B:$IK,143,FALSE)</f>
        <v>8</v>
      </c>
      <c r="I19" s="91">
        <f>VLOOKUP(alap!$A$2,település_bcs!$B:$IK,144,FALSE)</f>
        <v>5</v>
      </c>
      <c r="J19" s="91">
        <f>VLOOKUP(alap!$A$2,település_bcs!$B:$IK,145,FALSE)</f>
        <v>0</v>
      </c>
      <c r="K19" s="20"/>
      <c r="L19" s="643">
        <f t="shared" si="6"/>
        <v>9.6</v>
      </c>
      <c r="M19" s="21" t="str">
        <f t="shared" si="1"/>
        <v>-</v>
      </c>
      <c r="N19" s="21" t="str">
        <f t="shared" si="2"/>
        <v>-</v>
      </c>
      <c r="O19" s="21" t="str">
        <f t="shared" si="3"/>
        <v>-</v>
      </c>
      <c r="P19" s="22"/>
      <c r="Q19" s="36" t="s">
        <v>17</v>
      </c>
      <c r="R19" s="37">
        <f>ROUND(VLOOKUP(alap!$A$1,'RK nyomered lop-össz'!$C:$PS,112,FALSE),1)</f>
        <v>69.8</v>
      </c>
      <c r="S19" s="34">
        <f>ROUND(VLOOKUP(alap!$A$1,'RK nyomered lop-össz'!$C:$PS,115,FALSE),1)</f>
        <v>73.8</v>
      </c>
      <c r="T19" s="34">
        <f>ROUND(VLOOKUP(alap!$A$1,'RK nyomered lop-össz'!$C:$PS,118,FALSE),1)</f>
        <v>53.1</v>
      </c>
      <c r="U19" s="34">
        <f>ROUND(VLOOKUP(alap!$A$1,'RK nyomered lop-össz'!$C:$PS,121,FALSE),1)</f>
        <v>73.7</v>
      </c>
      <c r="V19" s="34">
        <f>ROUND(VLOOKUP(alap!$A$1,'RK nyomered lop-össz'!$C:$PS,124,FALSE),1)</f>
        <v>60.9</v>
      </c>
      <c r="W19" s="34">
        <f>ROUND(VLOOKUP(alap!$A$1,'RK nyomered lop-össz'!$C:$PS,127,FALSE),1)</f>
        <v>75</v>
      </c>
      <c r="X19" s="34">
        <f>ROUND(VLOOKUP(alap!$A$1,'RK nyomered lop-össz'!$C:$PS,130,FALSE),1)</f>
        <v>100</v>
      </c>
      <c r="Y19" s="34">
        <f>ROUND(VLOOKUP(alap!$A$1,'RK nyomered lop-össz'!$C:$PS,133,FALSE),1)</f>
        <v>100</v>
      </c>
      <c r="Z19" s="34" t="e">
        <f>ROUND(VLOOKUP(alap!$A$1,'RK nyomered lop-össz'!$C:$PS,136,FALSE),1)</f>
        <v>#VALUE!</v>
      </c>
      <c r="AA19" s="328"/>
      <c r="AB19" s="35">
        <f>ROUND(VLOOKUP(alap!$A$1,'RK nyomered lop-össz'!$C:$RO,448,FALSE),1)</f>
        <v>75.5</v>
      </c>
      <c r="AC19" s="37" t="e">
        <f>'országos átlag'!G17</f>
        <v>#N/A</v>
      </c>
      <c r="AD19" s="34" t="e">
        <f t="shared" si="4"/>
        <v>#VALUE!</v>
      </c>
      <c r="AE19" s="34" t="e">
        <f t="shared" si="15"/>
        <v>#VALUE!</v>
      </c>
      <c r="AF19" s="32" t="e">
        <f t="shared" si="16"/>
        <v>#VALUE!</v>
      </c>
      <c r="AG19" s="27"/>
      <c r="AH19" s="27"/>
      <c r="AI19" s="27"/>
      <c r="AJ19" s="27"/>
      <c r="AK19" s="27"/>
      <c r="AL19" s="37">
        <f>ROUND(VLOOKUP(alap!$A$1,feldered_RK!$C:$LO,184,FALSE),1)</f>
        <v>87.5</v>
      </c>
      <c r="AM19" s="34">
        <f>ROUND(VLOOKUP(alap!$A$1,feldered_RK!$C:$LO,187,FALSE),1)</f>
        <v>100</v>
      </c>
      <c r="AN19" s="34">
        <f>ROUND(VLOOKUP(alap!$A$1,feldered_RK!$C:$LO,190,FALSE),1)</f>
        <v>100</v>
      </c>
      <c r="AO19" s="653">
        <f>ROUND(VLOOKUP(alap!$A$1,feldered_RK!$C:$LO,193,FALSE),1)</f>
        <v>0</v>
      </c>
      <c r="AP19" s="85"/>
      <c r="AQ19" s="37" t="e">
        <f>'országos átlag'!H17</f>
        <v>#N/A</v>
      </c>
      <c r="AR19" s="653">
        <f t="shared" si="5"/>
        <v>-100</v>
      </c>
      <c r="AS19" s="29"/>
      <c r="AT19" s="29"/>
      <c r="AU19" s="29"/>
    </row>
    <row r="20" spans="1:47" x14ac:dyDescent="0.25">
      <c r="A20" s="36" t="s">
        <v>1071</v>
      </c>
      <c r="B20" s="89">
        <f>VLOOKUP(alap!$A$2,település_bcs!$B:$IK,146,FALSE)</f>
        <v>3</v>
      </c>
      <c r="C20" s="91">
        <f>VLOOKUP(alap!$A$2,település_bcs!$B:$IK,147,FALSE)</f>
        <v>10</v>
      </c>
      <c r="D20" s="91">
        <f>VLOOKUP(alap!$A$2,település_bcs!$B:$IK,148,FALSE)</f>
        <v>9</v>
      </c>
      <c r="E20" s="91">
        <f>VLOOKUP(alap!$A$2,település_bcs!$B:$IK,149,FALSE)</f>
        <v>7</v>
      </c>
      <c r="F20" s="91">
        <f>VLOOKUP(alap!$A$2,település_bcs!$B:$IK,150,FALSE)</f>
        <v>9</v>
      </c>
      <c r="G20" s="91">
        <f>VLOOKUP(alap!$A$2,település_bcs!$B:$IK,151,FALSE)</f>
        <v>18</v>
      </c>
      <c r="H20" s="91">
        <f>VLOOKUP(alap!$A$2,település_bcs!$B:$IK,152,FALSE)</f>
        <v>20</v>
      </c>
      <c r="I20" s="91">
        <f>VLOOKUP(alap!$A$2,település_bcs!$B:$IK,153,FALSE)</f>
        <v>27</v>
      </c>
      <c r="J20" s="91">
        <f>VLOOKUP(alap!$A$2,település_bcs!$B:$IK,154,FALSE)</f>
        <v>6</v>
      </c>
      <c r="K20" s="20"/>
      <c r="L20" s="643">
        <f t="shared" si="6"/>
        <v>16</v>
      </c>
      <c r="M20" s="21" t="str">
        <f t="shared" si="1"/>
        <v>-</v>
      </c>
      <c r="N20" s="21" t="str">
        <f t="shared" ref="N20:N21" si="17">IF(J20&lt;50,"-",(J20/L20*100)-100)</f>
        <v>-</v>
      </c>
      <c r="O20" s="21" t="str">
        <f t="shared" ref="O20:O21" si="18">IF(J20&lt;50,"-",(J20/B20*100)-100)</f>
        <v>-</v>
      </c>
      <c r="P20" s="22"/>
      <c r="Q20" s="36" t="s">
        <v>1071</v>
      </c>
      <c r="R20" s="37">
        <f>ROUND(VLOOKUP(alap!$A$1,'RK nyomered lop-össz'!$C:$PS,139,FALSE),1)</f>
        <v>75</v>
      </c>
      <c r="S20" s="34">
        <f>ROUND(VLOOKUP(alap!$A$1,'RK nyomered lop-össz'!$C:$PS,142,FALSE),1)</f>
        <v>54.5</v>
      </c>
      <c r="T20" s="34">
        <f>ROUND(VLOOKUP(alap!$A$1,'RK nyomered lop-össz'!$C:$PS,145,FALSE),1)</f>
        <v>66.7</v>
      </c>
      <c r="U20" s="34">
        <f>ROUND(VLOOKUP(alap!$A$1,'RK nyomered lop-össz'!$C:$PS,148,FALSE),1)</f>
        <v>66.7</v>
      </c>
      <c r="V20" s="34">
        <f>ROUND(VLOOKUP(alap!$A$1,'RK nyomered lop-össz'!$C:$PS,151,FALSE),1)</f>
        <v>66.7</v>
      </c>
      <c r="W20" s="34">
        <f>ROUND(VLOOKUP(alap!$A$1,'RK nyomered lop-össz'!$C:$PS,154,FALSE),1)</f>
        <v>75</v>
      </c>
      <c r="X20" s="34">
        <f>ROUND(VLOOKUP(alap!$A$1,'RK nyomered lop-össz'!$C:$PS,157,FALSE),1)</f>
        <v>86.1</v>
      </c>
      <c r="Y20" s="34">
        <f>ROUND(VLOOKUP(alap!$A$1,'RK nyomered lop-össz'!$C:$PS,160,FALSE),1)</f>
        <v>88</v>
      </c>
      <c r="Z20" s="34">
        <f>ROUND(VLOOKUP(alap!$A$1,'RK nyomered lop-össz'!$C:$PS,163,FALSE),1)</f>
        <v>75</v>
      </c>
      <c r="AA20" s="328"/>
      <c r="AB20" s="35">
        <f>ROUND(VLOOKUP(alap!$A$1,'RK nyomered lop-össz'!$C:$RO,451,FALSE),1)</f>
        <v>83.3</v>
      </c>
      <c r="AC20" s="37" t="e">
        <f>'országos átlag'!G18</f>
        <v>#N/A</v>
      </c>
      <c r="AD20" s="34">
        <f t="shared" si="4"/>
        <v>-13</v>
      </c>
      <c r="AE20" s="34">
        <f t="shared" ref="AE20:AE21" si="19">Z20-AB20</f>
        <v>-8.2999999999999972</v>
      </c>
      <c r="AF20" s="32">
        <f t="shared" ref="AF20:AF21" si="20">Z20-R20</f>
        <v>0</v>
      </c>
      <c r="AG20" s="27"/>
      <c r="AH20" s="27"/>
      <c r="AI20" s="27"/>
      <c r="AJ20" s="27"/>
      <c r="AK20" s="27"/>
      <c r="AL20" s="37">
        <f>ROUND(VLOOKUP(alap!$A$1,feldered_RK!$C:$LO,196,FALSE),1)</f>
        <v>66.7</v>
      </c>
      <c r="AM20" s="34">
        <f>ROUND(VLOOKUP(alap!$A$1,feldered_RK!$C:$LO,199,FALSE),1)</f>
        <v>91.2</v>
      </c>
      <c r="AN20" s="34">
        <f>ROUND(VLOOKUP(alap!$A$1,feldered_RK!$C:$LO,202,FALSE),1)</f>
        <v>87</v>
      </c>
      <c r="AO20" s="653">
        <f>ROUND(VLOOKUP(alap!$A$1,feldered_RK!$C:$LO,205,FALSE),1)</f>
        <v>0</v>
      </c>
      <c r="AP20" s="85"/>
      <c r="AQ20" s="37" t="e">
        <f>'országos átlag'!H18</f>
        <v>#N/A</v>
      </c>
      <c r="AR20" s="653">
        <f t="shared" si="5"/>
        <v>-87</v>
      </c>
      <c r="AS20" s="29"/>
      <c r="AT20" s="29"/>
      <c r="AU20" s="29"/>
    </row>
    <row r="21" spans="1:47" x14ac:dyDescent="0.25">
      <c r="A21" s="36" t="s">
        <v>19</v>
      </c>
      <c r="B21" s="89">
        <f>VLOOKUP(alap!$A$2,település_bcs!$B:$IK,155,FALSE)</f>
        <v>15</v>
      </c>
      <c r="C21" s="91">
        <f>VLOOKUP(alap!$A$2,település_bcs!$B:$IK,156,FALSE)</f>
        <v>11</v>
      </c>
      <c r="D21" s="91">
        <f>VLOOKUP(alap!$A$2,település_bcs!$B:$IK,157,FALSE)</f>
        <v>24</v>
      </c>
      <c r="E21" s="91">
        <f>VLOOKUP(alap!$A$2,település_bcs!$B:$IK,158,FALSE)</f>
        <v>4</v>
      </c>
      <c r="F21" s="91">
        <f>VLOOKUP(alap!$A$2,település_bcs!$B:$IK,159,FALSE)</f>
        <v>11</v>
      </c>
      <c r="G21" s="91">
        <f>VLOOKUP(alap!$A$2,település_bcs!$B:$IK,160,FALSE)</f>
        <v>6</v>
      </c>
      <c r="H21" s="91">
        <f>VLOOKUP(alap!$A$2,település_bcs!$B:$IK,161,FALSE)</f>
        <v>4</v>
      </c>
      <c r="I21" s="91">
        <f>VLOOKUP(alap!$A$2,település_bcs!$B:$IK,162,FALSE)</f>
        <v>6</v>
      </c>
      <c r="J21" s="91">
        <f>VLOOKUP(alap!$A$2,település_bcs!$B:$IK,163,FALSE)</f>
        <v>16</v>
      </c>
      <c r="K21" s="20"/>
      <c r="L21" s="643">
        <f t="shared" si="6"/>
        <v>8.6</v>
      </c>
      <c r="M21" s="21" t="str">
        <f t="shared" si="1"/>
        <v>-</v>
      </c>
      <c r="N21" s="21" t="str">
        <f t="shared" si="17"/>
        <v>-</v>
      </c>
      <c r="O21" s="21" t="str">
        <f t="shared" si="18"/>
        <v>-</v>
      </c>
      <c r="P21" s="22"/>
      <c r="Q21" s="36" t="s">
        <v>19</v>
      </c>
      <c r="R21" s="37">
        <f>ROUND(VLOOKUP(alap!$A$1,'RK nyomered lop-össz'!$C:$PS,166,FALSE),1)</f>
        <v>59.1</v>
      </c>
      <c r="S21" s="34">
        <f>ROUND(VLOOKUP(alap!$A$1,'RK nyomered lop-össz'!$C:$PS,169,FALSE),1)</f>
        <v>58.8</v>
      </c>
      <c r="T21" s="34">
        <f>ROUND(VLOOKUP(alap!$A$1,'RK nyomered lop-össz'!$C:$PS,172,FALSE),1)</f>
        <v>66.7</v>
      </c>
      <c r="U21" s="34">
        <f>ROUND(VLOOKUP(alap!$A$1,'RK nyomered lop-össz'!$C:$PS,175,FALSE),1)</f>
        <v>40</v>
      </c>
      <c r="V21" s="34">
        <f>ROUND(VLOOKUP(alap!$A$1,'RK nyomered lop-össz'!$C:$PS,178,FALSE),1)</f>
        <v>64.3</v>
      </c>
      <c r="W21" s="34">
        <f>ROUND(VLOOKUP(alap!$A$1,'RK nyomered lop-össz'!$C:$PS,181,FALSE),1)</f>
        <v>44.4</v>
      </c>
      <c r="X21" s="34">
        <f>ROUND(VLOOKUP(alap!$A$1,'RK nyomered lop-össz'!$C:$PS,184,FALSE),1)</f>
        <v>55.6</v>
      </c>
      <c r="Y21" s="34">
        <f>ROUND(VLOOKUP(alap!$A$1,'RK nyomered lop-össz'!$C:$PS,187,FALSE),1)</f>
        <v>62.5</v>
      </c>
      <c r="Z21" s="34">
        <f>ROUND(VLOOKUP(alap!$A$1,'RK nyomered lop-össz'!$C:$PS,190,FALSE),1)</f>
        <v>100</v>
      </c>
      <c r="AA21" s="328"/>
      <c r="AB21" s="35">
        <f>ROUND(VLOOKUP(alap!$A$1,'RK nyomered lop-össz'!$C:$RO,454,FALSE),1)</f>
        <v>69.599999999999994</v>
      </c>
      <c r="AC21" s="37" t="e">
        <f>'országos átlag'!G19</f>
        <v>#N/A</v>
      </c>
      <c r="AD21" s="34">
        <f t="shared" si="4"/>
        <v>37.5</v>
      </c>
      <c r="AE21" s="34">
        <f t="shared" si="19"/>
        <v>30.400000000000006</v>
      </c>
      <c r="AF21" s="32">
        <f t="shared" si="20"/>
        <v>40.9</v>
      </c>
      <c r="AG21" s="27"/>
      <c r="AH21" s="27"/>
      <c r="AI21" s="27"/>
      <c r="AJ21" s="27"/>
      <c r="AK21" s="27"/>
      <c r="AL21" s="37">
        <f>ROUND(VLOOKUP(alap!$A$1,feldered_RK!$C:$LO,208,FALSE),1)</f>
        <v>66.7</v>
      </c>
      <c r="AM21" s="34">
        <f>ROUND(VLOOKUP(alap!$A$1,feldered_RK!$C:$LO,211,FALSE),1)</f>
        <v>100</v>
      </c>
      <c r="AN21" s="34">
        <f>ROUND(VLOOKUP(alap!$A$1,feldered_RK!$C:$LO,214,FALSE),1)</f>
        <v>75</v>
      </c>
      <c r="AO21" s="653">
        <f>ROUND(VLOOKUP(alap!$A$1,feldered_RK!$C:$LO,217,FALSE),1)</f>
        <v>0</v>
      </c>
      <c r="AP21" s="85"/>
      <c r="AQ21" s="37" t="e">
        <f>'országos átlag'!H19</f>
        <v>#N/A</v>
      </c>
      <c r="AR21" s="653">
        <f t="shared" si="5"/>
        <v>-75</v>
      </c>
      <c r="AS21" s="29"/>
      <c r="AT21" s="29"/>
      <c r="AU21" s="29"/>
    </row>
    <row r="22" spans="1:47" x14ac:dyDescent="0.25">
      <c r="A22" s="36" t="s">
        <v>20</v>
      </c>
      <c r="B22" s="89">
        <f>VLOOKUP(alap!$A$2,település_bcs!$B:$IK,164,FALSE)</f>
        <v>302</v>
      </c>
      <c r="C22" s="91">
        <f>VLOOKUP(alap!$A$2,település_bcs!$B:$IK,165,FALSE)</f>
        <v>293</v>
      </c>
      <c r="D22" s="91">
        <f>VLOOKUP(alap!$A$2,település_bcs!$B:$IK,166,FALSE)</f>
        <v>205</v>
      </c>
      <c r="E22" s="91">
        <f>VLOOKUP(alap!$A$2,település_bcs!$B:$IK,167,FALSE)</f>
        <v>168</v>
      </c>
      <c r="F22" s="91">
        <f>VLOOKUP(alap!$A$2,település_bcs!$B:$IK,168,FALSE)</f>
        <v>158</v>
      </c>
      <c r="G22" s="91">
        <f>VLOOKUP(alap!$A$2,település_bcs!$B:$IK,169,FALSE)</f>
        <v>151</v>
      </c>
      <c r="H22" s="91">
        <f>VLOOKUP(alap!$A$2,település_bcs!$B:$IK,170,FALSE)</f>
        <v>114</v>
      </c>
      <c r="I22" s="91">
        <f>VLOOKUP(alap!$A$2,település_bcs!$B:$IK,171,FALSE)</f>
        <v>133</v>
      </c>
      <c r="J22" s="91">
        <f>VLOOKUP(alap!$A$2,település_bcs!$B:$IK,172,FALSE)</f>
        <v>115</v>
      </c>
      <c r="K22" s="20"/>
      <c r="L22" s="643">
        <f t="shared" si="6"/>
        <v>134.19999999999999</v>
      </c>
      <c r="M22" s="21">
        <f t="shared" si="1"/>
        <v>-13.53383458646617</v>
      </c>
      <c r="N22" s="21">
        <f>IF(J22&lt;50,"-",(J22/L22*100)-100)</f>
        <v>-14.307004470938892</v>
      </c>
      <c r="O22" s="21">
        <f t="shared" si="3"/>
        <v>-61.920529801324506</v>
      </c>
      <c r="P22" s="22"/>
      <c r="Q22" s="36" t="s">
        <v>20</v>
      </c>
      <c r="R22" s="37">
        <f>ROUND(VLOOKUP(alap!$A$1,'RK nyomered lop-össz'!$C:$PS,193,FALSE),1)</f>
        <v>26.8</v>
      </c>
      <c r="S22" s="34">
        <f>ROUND(VLOOKUP(alap!$A$1,'RK nyomered lop-össz'!$C:$PS,196,FALSE),1)</f>
        <v>30.2</v>
      </c>
      <c r="T22" s="34">
        <f>ROUND(VLOOKUP(alap!$A$1,'RK nyomered lop-össz'!$C:$PS,199,FALSE),1)</f>
        <v>27.6</v>
      </c>
      <c r="U22" s="34">
        <f>ROUND(VLOOKUP(alap!$A$1,'RK nyomered lop-össz'!$C:$PS,202,FALSE),1)</f>
        <v>35.700000000000003</v>
      </c>
      <c r="V22" s="34">
        <f>ROUND(VLOOKUP(alap!$A$1,'RK nyomered lop-össz'!$C:$PS,205,FALSE),1)</f>
        <v>25.7</v>
      </c>
      <c r="W22" s="34">
        <f>ROUND(VLOOKUP(alap!$A$1,'RK nyomered lop-össz'!$C:$PS,208,FALSE),1)</f>
        <v>41.3</v>
      </c>
      <c r="X22" s="34">
        <f>ROUND(VLOOKUP(alap!$A$1,'RK nyomered lop-össz'!$C:$PS,211,FALSE),1)</f>
        <v>31.6</v>
      </c>
      <c r="Y22" s="34">
        <f>ROUND(VLOOKUP(alap!$A$1,'RK nyomered lop-össz'!$C:$PS,214,FALSE),1)</f>
        <v>34.799999999999997</v>
      </c>
      <c r="Z22" s="34">
        <f>ROUND(VLOOKUP(alap!$A$1,'RK nyomered lop-össz'!$C:$PS,217,FALSE),1)</f>
        <v>24.8</v>
      </c>
      <c r="AA22" s="328"/>
      <c r="AB22" s="35">
        <f>ROUND(VLOOKUP(alap!$A$1,'RK nyomered lop-össz'!$C:$RO,457,FALSE),1)</f>
        <v>31.8</v>
      </c>
      <c r="AC22" s="37" t="e">
        <f>'országos átlag'!G20</f>
        <v>#N/A</v>
      </c>
      <c r="AD22" s="34">
        <f t="shared" si="4"/>
        <v>-9.9999999999999964</v>
      </c>
      <c r="AE22" s="34">
        <f>Z22-AB22</f>
        <v>-7</v>
      </c>
      <c r="AF22" s="32">
        <f>Z22-R22</f>
        <v>-2</v>
      </c>
      <c r="AG22" s="27"/>
      <c r="AH22" s="27"/>
      <c r="AI22" s="27"/>
      <c r="AJ22" s="27"/>
      <c r="AK22" s="27"/>
      <c r="AL22" s="37">
        <f>ROUND(VLOOKUP(alap!$A$1,feldered_RK!$C:$LO,220,FALSE),1)</f>
        <v>38.6</v>
      </c>
      <c r="AM22" s="34">
        <f>ROUND(VLOOKUP(alap!$A$1,feldered_RK!$C:$LO,223,FALSE),1)</f>
        <v>26.7</v>
      </c>
      <c r="AN22" s="34">
        <f>ROUND(VLOOKUP(alap!$A$1,feldered_RK!$C:$LO,226,FALSE),1)</f>
        <v>31.7</v>
      </c>
      <c r="AO22" s="653">
        <f>ROUND(VLOOKUP(alap!$A$1,feldered_RK!$C:$LO,229,FALSE),1)</f>
        <v>0</v>
      </c>
      <c r="AP22" s="85"/>
      <c r="AQ22" s="37" t="e">
        <f>'országos átlag'!H20</f>
        <v>#N/A</v>
      </c>
      <c r="AR22" s="653">
        <f t="shared" si="5"/>
        <v>-31.7</v>
      </c>
      <c r="AS22" s="29"/>
      <c r="AT22" s="29"/>
      <c r="AU22" s="29"/>
    </row>
    <row r="23" spans="1:47" x14ac:dyDescent="0.25">
      <c r="A23" s="36" t="s">
        <v>21</v>
      </c>
      <c r="B23" s="89">
        <f>VLOOKUP(alap!$A$2,település_bcs!$B:$IK,173,FALSE)</f>
        <v>20</v>
      </c>
      <c r="C23" s="91">
        <f>VLOOKUP(alap!$A$2,település_bcs!$B:$IK,174,FALSE)</f>
        <v>30</v>
      </c>
      <c r="D23" s="91">
        <f>VLOOKUP(alap!$A$2,település_bcs!$B:$IK,175,FALSE)</f>
        <v>30</v>
      </c>
      <c r="E23" s="91">
        <f>VLOOKUP(alap!$A$2,település_bcs!$B:$IK,176,FALSE)</f>
        <v>16</v>
      </c>
      <c r="F23" s="91">
        <f>VLOOKUP(alap!$A$2,település_bcs!$B:$IK,177,FALSE)</f>
        <v>29</v>
      </c>
      <c r="G23" s="91">
        <f>VLOOKUP(alap!$A$2,település_bcs!$B:$IK,178,FALSE)</f>
        <v>26</v>
      </c>
      <c r="H23" s="91">
        <f>VLOOKUP(alap!$A$2,település_bcs!$B:$IK,179,FALSE)</f>
        <v>3</v>
      </c>
      <c r="I23" s="91">
        <f>VLOOKUP(alap!$A$2,település_bcs!$B:$IK,180,FALSE)</f>
        <v>11</v>
      </c>
      <c r="J23" s="91">
        <f>VLOOKUP(alap!$A$2,település_bcs!$B:$IK,181,FALSE)</f>
        <v>1</v>
      </c>
      <c r="K23" s="20"/>
      <c r="L23" s="643">
        <f t="shared" si="6"/>
        <v>14</v>
      </c>
      <c r="M23" s="21" t="str">
        <f t="shared" si="1"/>
        <v>-</v>
      </c>
      <c r="N23" s="21" t="str">
        <f t="shared" si="2"/>
        <v>-</v>
      </c>
      <c r="O23" s="21" t="str">
        <f t="shared" si="3"/>
        <v>-</v>
      </c>
      <c r="P23" s="22"/>
      <c r="Q23" s="36" t="s">
        <v>21</v>
      </c>
      <c r="R23" s="37">
        <f>ROUND(VLOOKUP(alap!$A$1,'RK nyomered lop-össz'!$C:$PS,220,FALSE),1)</f>
        <v>85.7</v>
      </c>
      <c r="S23" s="34">
        <f>ROUND(VLOOKUP(alap!$A$1,'RK nyomered lop-össz'!$C:$PS,223,FALSE),1)</f>
        <v>87.5</v>
      </c>
      <c r="T23" s="34">
        <f>ROUND(VLOOKUP(alap!$A$1,'RK nyomered lop-össz'!$C:$PS,226,FALSE),1)</f>
        <v>78.400000000000006</v>
      </c>
      <c r="U23" s="34">
        <f>ROUND(VLOOKUP(alap!$A$1,'RK nyomered lop-össz'!$C:$PS,229,FALSE),1)</f>
        <v>79.400000000000006</v>
      </c>
      <c r="V23" s="34">
        <f>ROUND(VLOOKUP(alap!$A$1,'RK nyomered lop-össz'!$C:$PS,232,FALSE),1)</f>
        <v>84.8</v>
      </c>
      <c r="W23" s="34">
        <f>ROUND(VLOOKUP(alap!$A$1,'RK nyomered lop-össz'!$C:$PS,235,FALSE),1)</f>
        <v>90.6</v>
      </c>
      <c r="X23" s="34">
        <f>ROUND(VLOOKUP(alap!$A$1,'RK nyomered lop-össz'!$C:$PS,238,FALSE),1)</f>
        <v>81.8</v>
      </c>
      <c r="Y23" s="34">
        <f>ROUND(VLOOKUP(alap!$A$1,'RK nyomered lop-össz'!$C:$PS,241,FALSE),1)</f>
        <v>91.7</v>
      </c>
      <c r="Z23" s="34">
        <f>ROUND(VLOOKUP(alap!$A$1,'RK nyomered lop-össz'!$C:$PS,244,FALSE),1)</f>
        <v>100</v>
      </c>
      <c r="AA23" s="328"/>
      <c r="AB23" s="35">
        <f>ROUND(VLOOKUP(alap!$A$1,'RK nyomered lop-össz'!$C:$RO,460,FALSE),1)</f>
        <v>87.8</v>
      </c>
      <c r="AC23" s="37" t="e">
        <f>'országos átlag'!G21</f>
        <v>#N/A</v>
      </c>
      <c r="AD23" s="34">
        <f t="shared" si="4"/>
        <v>8.2999999999999972</v>
      </c>
      <c r="AE23" s="34">
        <f>Z23-AB23</f>
        <v>12.200000000000003</v>
      </c>
      <c r="AF23" s="32">
        <f>Z23-R23</f>
        <v>14.299999999999997</v>
      </c>
      <c r="AG23" s="27"/>
      <c r="AH23" s="27"/>
      <c r="AI23" s="27"/>
      <c r="AJ23" s="27"/>
      <c r="AK23" s="27"/>
      <c r="AL23" s="37">
        <f>ROUND(VLOOKUP(alap!$A$1,feldered_RK!$C:$LO,232,FALSE),1)</f>
        <v>92.6</v>
      </c>
      <c r="AM23" s="34">
        <f>ROUND(VLOOKUP(alap!$A$1,feldered_RK!$C:$LO,235,FALSE),1)</f>
        <v>100</v>
      </c>
      <c r="AN23" s="34">
        <f>ROUND(VLOOKUP(alap!$A$1,feldered_RK!$C:$LO,238,FALSE),1)</f>
        <v>100</v>
      </c>
      <c r="AO23" s="653">
        <f>ROUND(VLOOKUP(alap!$A$1,feldered_RK!$C:$LO,241,FALSE),1)</f>
        <v>0</v>
      </c>
      <c r="AP23" s="85"/>
      <c r="AQ23" s="37" t="e">
        <f>'országos átlag'!H21</f>
        <v>#N/A</v>
      </c>
      <c r="AR23" s="653">
        <f t="shared" si="5"/>
        <v>-100</v>
      </c>
      <c r="AS23" s="29"/>
      <c r="AT23" s="29"/>
      <c r="AU23" s="29"/>
    </row>
    <row r="24" spans="1:47" x14ac:dyDescent="0.25">
      <c r="A24" s="36" t="s">
        <v>22</v>
      </c>
      <c r="B24" s="89">
        <f>VLOOKUP(alap!$A$2,település_bcs!$B:$IK,182,FALSE)</f>
        <v>20</v>
      </c>
      <c r="C24" s="91">
        <f>VLOOKUP(alap!$A$2,település_bcs!$B:$IK,183,FALSE)</f>
        <v>25</v>
      </c>
      <c r="D24" s="91">
        <f>VLOOKUP(alap!$A$2,település_bcs!$B:$IK,184,FALSE)</f>
        <v>15</v>
      </c>
      <c r="E24" s="91">
        <f>VLOOKUP(alap!$A$2,település_bcs!$B:$IK,185,FALSE)</f>
        <v>18</v>
      </c>
      <c r="F24" s="91">
        <f>VLOOKUP(alap!$A$2,település_bcs!$B:$IK,186,FALSE)</f>
        <v>29</v>
      </c>
      <c r="G24" s="91">
        <f>VLOOKUP(alap!$A$2,település_bcs!$B:$IK,187,FALSE)</f>
        <v>22</v>
      </c>
      <c r="H24" s="91">
        <f>VLOOKUP(alap!$A$2,település_bcs!$B:$IK,188,FALSE)</f>
        <v>25</v>
      </c>
      <c r="I24" s="91">
        <f>VLOOKUP(alap!$A$2,település_bcs!$B:$IK,189,FALSE)</f>
        <v>44</v>
      </c>
      <c r="J24" s="91">
        <f>VLOOKUP(alap!$A$2,település_bcs!$B:$IK,190,FALSE)</f>
        <v>18</v>
      </c>
      <c r="K24" s="20"/>
      <c r="L24" s="643">
        <f t="shared" si="6"/>
        <v>27.6</v>
      </c>
      <c r="M24" s="21" t="str">
        <f t="shared" si="1"/>
        <v>-</v>
      </c>
      <c r="N24" s="21" t="str">
        <f t="shared" si="2"/>
        <v>-</v>
      </c>
      <c r="O24" s="21" t="str">
        <f t="shared" si="3"/>
        <v>-</v>
      </c>
      <c r="P24" s="22"/>
      <c r="Q24" s="36" t="s">
        <v>22</v>
      </c>
      <c r="R24" s="37">
        <f>ROUND(VLOOKUP(alap!$A$1,'RK nyomered lop-össz'!$C:$PS,247,FALSE),1)</f>
        <v>71.400000000000006</v>
      </c>
      <c r="S24" s="34">
        <f>ROUND(VLOOKUP(alap!$A$1,'RK nyomered lop-össz'!$C:$PS,250,FALSE),1)</f>
        <v>92.3</v>
      </c>
      <c r="T24" s="34">
        <f>ROUND(VLOOKUP(alap!$A$1,'RK nyomered lop-össz'!$C:$PS,253,FALSE),1)</f>
        <v>82.4</v>
      </c>
      <c r="U24" s="34">
        <f>ROUND(VLOOKUP(alap!$A$1,'RK nyomered lop-össz'!$C:$PS,256,FALSE),1)</f>
        <v>68.400000000000006</v>
      </c>
      <c r="V24" s="34">
        <f>ROUND(VLOOKUP(alap!$A$1,'RK nyomered lop-össz'!$C:$PS,259,FALSE),1)</f>
        <v>78.8</v>
      </c>
      <c r="W24" s="34">
        <f>ROUND(VLOOKUP(alap!$A$1,'RK nyomered lop-össz'!$C:$PS,262,FALSE),1)</f>
        <v>95.2</v>
      </c>
      <c r="X24" s="34">
        <f>ROUND(VLOOKUP(alap!$A$1,'RK nyomered lop-össz'!$C:$PS,265,FALSE),1)</f>
        <v>88.5</v>
      </c>
      <c r="Y24" s="34">
        <f>ROUND(VLOOKUP(alap!$A$1,'RK nyomered lop-össz'!$C:$PS,268,FALSE),1)</f>
        <v>93.3</v>
      </c>
      <c r="Z24" s="34">
        <f>ROUND(VLOOKUP(alap!$A$1,'RK nyomered lop-össz'!$C:$PS,271,FALSE),1)</f>
        <v>78.900000000000006</v>
      </c>
      <c r="AA24" s="328"/>
      <c r="AB24" s="35">
        <f>ROUND(VLOOKUP(alap!$A$1,'RK nyomered lop-össz'!$C:$RO,463,FALSE),1)</f>
        <v>87.5</v>
      </c>
      <c r="AC24" s="37" t="e">
        <f>'országos átlag'!G22</f>
        <v>#N/A</v>
      </c>
      <c r="AD24" s="34">
        <f t="shared" si="4"/>
        <v>-14.399999999999991</v>
      </c>
      <c r="AE24" s="34">
        <f>Z24-AB24</f>
        <v>-8.5999999999999943</v>
      </c>
      <c r="AF24" s="32">
        <f>Z24-R24</f>
        <v>7.5</v>
      </c>
      <c r="AG24" s="27"/>
      <c r="AH24" s="27"/>
      <c r="AI24" s="27"/>
      <c r="AJ24" s="27"/>
      <c r="AK24" s="27"/>
      <c r="AL24" s="37">
        <f>ROUND(VLOOKUP(alap!$A$1,feldered_RK!$C:$LO,244,FALSE),1)</f>
        <v>92.9</v>
      </c>
      <c r="AM24" s="34">
        <f>ROUND(VLOOKUP(alap!$A$1,feldered_RK!$C:$LO,247,FALSE),1)</f>
        <v>94.1</v>
      </c>
      <c r="AN24" s="34">
        <f>ROUND(VLOOKUP(alap!$A$1,feldered_RK!$C:$LO,250,FALSE),1)</f>
        <v>93.3</v>
      </c>
      <c r="AO24" s="653">
        <f>ROUND(VLOOKUP(alap!$A$1,feldered_RK!$C:$LO,253,FALSE),1)</f>
        <v>0</v>
      </c>
      <c r="AP24" s="85"/>
      <c r="AQ24" s="37" t="e">
        <f>'országos átlag'!H22</f>
        <v>#N/A</v>
      </c>
      <c r="AR24" s="653">
        <f t="shared" si="5"/>
        <v>-93.3</v>
      </c>
      <c r="AS24" s="29"/>
      <c r="AT24" s="29"/>
      <c r="AU24" s="29"/>
    </row>
    <row r="25" spans="1:47" x14ac:dyDescent="0.25">
      <c r="A25" s="36" t="s">
        <v>23</v>
      </c>
      <c r="B25" s="89">
        <f>VLOOKUP(alap!$A$2,település_bcs!$B:$IK,191,FALSE)</f>
        <v>4884</v>
      </c>
      <c r="C25" s="91">
        <f>VLOOKUP(alap!$A$2,település_bcs!$B:$IK,192,FALSE)</f>
        <v>4337</v>
      </c>
      <c r="D25" s="91">
        <f>VLOOKUP(alap!$A$2,település_bcs!$B:$IK,193,FALSE)</f>
        <v>4005</v>
      </c>
      <c r="E25" s="91">
        <f>VLOOKUP(alap!$A$2,település_bcs!$B:$IK,194,FALSE)</f>
        <v>3255</v>
      </c>
      <c r="F25" s="91">
        <f>VLOOKUP(alap!$A$2,település_bcs!$B:$IK,195,FALSE)</f>
        <v>3308</v>
      </c>
      <c r="G25" s="91">
        <f>VLOOKUP(alap!$A$2,település_bcs!$B:$IK,196,FALSE)</f>
        <v>2815</v>
      </c>
      <c r="H25" s="91">
        <f>VLOOKUP(alap!$A$2,település_bcs!$B:$IK,197,FALSE)</f>
        <v>2160</v>
      </c>
      <c r="I25" s="91">
        <f>VLOOKUP(alap!$A$2,település_bcs!$B:$IK,198,FALSE)</f>
        <v>2236</v>
      </c>
      <c r="J25" s="91">
        <f>VLOOKUP(alap!$A$2,település_bcs!$B:$IK,199,FALSE)</f>
        <v>1561</v>
      </c>
      <c r="K25" s="20"/>
      <c r="L25" s="643">
        <f t="shared" si="6"/>
        <v>2416</v>
      </c>
      <c r="M25" s="21">
        <f t="shared" si="1"/>
        <v>-30.187835420393554</v>
      </c>
      <c r="N25" s="21">
        <f t="shared" si="2"/>
        <v>-35.389072847682129</v>
      </c>
      <c r="O25" s="21">
        <f>IF(J25&lt;50,"-",(J25/B25*100)-100)</f>
        <v>-68.038493038493044</v>
      </c>
      <c r="P25" s="22"/>
      <c r="Q25" s="36" t="s">
        <v>23</v>
      </c>
      <c r="R25" s="37">
        <f>ROUND(VLOOKUP(alap!$A$1,'RK nyomered lop-össz'!$C:$PS,274,FALSE),1)</f>
        <v>43.1</v>
      </c>
      <c r="S25" s="34">
        <f>ROUND(VLOOKUP(alap!$A$1,'RK nyomered lop-össz'!$C:$PS,277,FALSE),1)</f>
        <v>40</v>
      </c>
      <c r="T25" s="34">
        <f>ROUND(VLOOKUP(alap!$A$1,'RK nyomered lop-össz'!$C:$PS,280,FALSE),1)</f>
        <v>41.2</v>
      </c>
      <c r="U25" s="34">
        <f>ROUND(VLOOKUP(alap!$A$1,'RK nyomered lop-össz'!$C:$PS,283,FALSE),1)</f>
        <v>46.5</v>
      </c>
      <c r="V25" s="34">
        <f>ROUND(VLOOKUP(alap!$A$1,'RK nyomered lop-össz'!$C:$PS,286,FALSE),1)</f>
        <v>45.9</v>
      </c>
      <c r="W25" s="34">
        <f>ROUND(VLOOKUP(alap!$A$1,'RK nyomered lop-össz'!$C:$PS,289,FALSE),1)</f>
        <v>51.2</v>
      </c>
      <c r="X25" s="34">
        <f>ROUND(VLOOKUP(alap!$A$1,'RK nyomered lop-össz'!$C:$PS,292,FALSE),1)</f>
        <v>53.4</v>
      </c>
      <c r="Y25" s="34">
        <f>ROUND(VLOOKUP(alap!$A$1,'RK nyomered lop-össz'!$C:$PS,295,FALSE),1)</f>
        <v>56.6</v>
      </c>
      <c r="Z25" s="34">
        <f>ROUND(VLOOKUP(alap!$A$1,'RK nyomered lop-össz'!$C:$PS,298,FALSE),1)</f>
        <v>58</v>
      </c>
      <c r="AA25" s="328"/>
      <c r="AB25" s="35">
        <f>ROUND(VLOOKUP(alap!$A$1,'RK nyomered lop-össz'!$C:$RO,466,FALSE),1)</f>
        <v>52</v>
      </c>
      <c r="AC25" s="37" t="e">
        <f>'országos átlag'!G23</f>
        <v>#N/A</v>
      </c>
      <c r="AD25" s="34">
        <f t="shared" si="4"/>
        <v>1.3999999999999986</v>
      </c>
      <c r="AE25" s="34">
        <f>Z25-AB25</f>
        <v>6</v>
      </c>
      <c r="AF25" s="32">
        <f>Z25-R25</f>
        <v>14.899999999999999</v>
      </c>
      <c r="AG25" s="27"/>
      <c r="AH25" s="27"/>
      <c r="AI25" s="27"/>
      <c r="AJ25" s="27"/>
      <c r="AK25" s="27"/>
      <c r="AL25" s="37">
        <f>ROUND(VLOOKUP(alap!$A$1,feldered_RK!$C:$LO,256,FALSE),1)</f>
        <v>42.7</v>
      </c>
      <c r="AM25" s="34">
        <f>ROUND(VLOOKUP(alap!$A$1,feldered_RK!$C:$LO,259,FALSE),1)</f>
        <v>47.1</v>
      </c>
      <c r="AN25" s="34">
        <f>ROUND(VLOOKUP(alap!$A$1,feldered_RK!$C:$LO,262,FALSE),1)</f>
        <v>50.8</v>
      </c>
      <c r="AO25" s="653">
        <f>ROUND(VLOOKUP(alap!$A$1,feldered_RK!$C:$LO,265,FALSE),1)</f>
        <v>0</v>
      </c>
      <c r="AP25" s="85"/>
      <c r="AQ25" s="37" t="e">
        <f>'országos átlag'!H23</f>
        <v>#N/A</v>
      </c>
      <c r="AR25" s="653">
        <f t="shared" si="5"/>
        <v>-50.8</v>
      </c>
      <c r="AS25" s="29"/>
      <c r="AT25" s="29"/>
      <c r="AU25" s="29"/>
    </row>
    <row r="26" spans="1:47" ht="31.5" x14ac:dyDescent="0.25">
      <c r="A26" s="340" t="s">
        <v>24</v>
      </c>
      <c r="B26" s="93">
        <f>VLOOKUP(alap!$A$2,település_bcs!$B:$IK,200,FALSE)</f>
        <v>1472</v>
      </c>
      <c r="C26" s="91">
        <f>VLOOKUP(alap!$A$2,település_bcs!$B:$IK,201,FALSE)</f>
        <v>1381</v>
      </c>
      <c r="D26" s="91">
        <f>VLOOKUP(alap!$A$2,település_bcs!$B:$IK,202,FALSE)</f>
        <v>1320</v>
      </c>
      <c r="E26" s="91">
        <f>VLOOKUP(alap!$A$2,település_bcs!$B:$IK,203,FALSE)</f>
        <v>922</v>
      </c>
      <c r="F26" s="91">
        <f>VLOOKUP(alap!$A$2,település_bcs!$B:$IK,204,FALSE)</f>
        <v>610</v>
      </c>
      <c r="G26" s="91">
        <f>VLOOKUP(alap!$A$2,település_bcs!$B:$IK,205,FALSE)</f>
        <v>591</v>
      </c>
      <c r="H26" s="91">
        <f>VLOOKUP(alap!$A$2,település_bcs!$B:$IK,206,FALSE)</f>
        <v>523</v>
      </c>
      <c r="I26" s="91">
        <f>VLOOKUP(alap!$A$2,település_bcs!$B:$IK,207,FALSE)</f>
        <v>503</v>
      </c>
      <c r="J26" s="91">
        <f>VLOOKUP(alap!$A$2,település_bcs!$B:$IK,208,FALSE)</f>
        <v>514</v>
      </c>
      <c r="K26" s="20"/>
      <c r="L26" s="643">
        <f t="shared" si="6"/>
        <v>548.20000000000005</v>
      </c>
      <c r="M26" s="21">
        <f t="shared" si="1"/>
        <v>2.1868787276341948</v>
      </c>
      <c r="N26" s="21">
        <f t="shared" ref="N26:N28" si="21">IF(J26&lt;50,"-",(J26/L26*100)-100)</f>
        <v>-6.238599051441085</v>
      </c>
      <c r="O26" s="21">
        <f t="shared" ref="O26:O28" si="22">IF(J26&lt;50,"-",(J26/B26*100)-100)</f>
        <v>-65.081521739130437</v>
      </c>
      <c r="P26" s="22"/>
      <c r="Q26" s="340" t="s">
        <v>24</v>
      </c>
      <c r="R26" s="44">
        <f>ROUND(VLOOKUP(alap!$A$1,'RK nyomered lop-össz'!$C:$PS,301,FALSE),1)</f>
        <v>51.5</v>
      </c>
      <c r="S26" s="34">
        <f>ROUND(VLOOKUP(alap!$A$1,'RK nyomered lop-össz'!$C:$PS,304,FALSE),1)</f>
        <v>45.3</v>
      </c>
      <c r="T26" s="34">
        <f>ROUND(VLOOKUP(alap!$A$1,'RK nyomered lop-össz'!$C:$PS,307,FALSE),1)</f>
        <v>43.6</v>
      </c>
      <c r="U26" s="34">
        <f>ROUND(VLOOKUP(alap!$A$1,'RK nyomered lop-össz'!$C:$PS,310,FALSE),1)</f>
        <v>50.8</v>
      </c>
      <c r="V26" s="34">
        <f>ROUND(VLOOKUP(alap!$A$1,'RK nyomered lop-össz'!$C:$PS,313,FALSE),1)</f>
        <v>56.4</v>
      </c>
      <c r="W26" s="34">
        <f>ROUND(VLOOKUP(alap!$A$1,'RK nyomered lop-össz'!$C:$PS,316,FALSE),1)</f>
        <v>62.9</v>
      </c>
      <c r="X26" s="34">
        <f>ROUND(VLOOKUP(alap!$A$1,'RK nyomered lop-össz'!$C:$PS,319,FALSE),1)</f>
        <v>69.400000000000006</v>
      </c>
      <c r="Y26" s="34">
        <f>ROUND(VLOOKUP(alap!$A$1,'RK nyomered lop-össz'!$C:$PS,322,FALSE),1)</f>
        <v>83.2</v>
      </c>
      <c r="Z26" s="34">
        <f>ROUND(VLOOKUP(alap!$A$1,'RK nyomered lop-össz'!$C:$PS,325,FALSE),1)</f>
        <v>63.2</v>
      </c>
      <c r="AA26" s="328"/>
      <c r="AB26" s="35">
        <f>ROUND(VLOOKUP(alap!$A$1,'RK nyomered lop-össz'!$C:$RO,469,FALSE),1)</f>
        <v>66.400000000000006</v>
      </c>
      <c r="AC26" s="37" t="e">
        <f>'országos átlag'!G24</f>
        <v>#N/A</v>
      </c>
      <c r="AD26" s="34">
        <f t="shared" si="4"/>
        <v>-20</v>
      </c>
      <c r="AE26" s="34">
        <f t="shared" ref="AE26:AE28" si="23">Z26-AB26</f>
        <v>-3.2000000000000028</v>
      </c>
      <c r="AF26" s="32">
        <f t="shared" ref="AF26:AF28" si="24">Z26-R26</f>
        <v>11.700000000000003</v>
      </c>
      <c r="AG26" s="27"/>
      <c r="AH26" s="27"/>
      <c r="AI26" s="27"/>
      <c r="AJ26" s="27"/>
      <c r="AK26" s="27"/>
      <c r="AL26" s="37">
        <f>ROUND(VLOOKUP(alap!$A$1,feldered_RK!$C:$LO,268,FALSE),1)</f>
        <v>55.1</v>
      </c>
      <c r="AM26" s="34">
        <f>ROUND(VLOOKUP(alap!$A$1,feldered_RK!$C:$LO,271,FALSE),1)</f>
        <v>63.3</v>
      </c>
      <c r="AN26" s="34">
        <f>ROUND(VLOOKUP(alap!$A$1,feldered_RK!$C:$LO,274,FALSE),1)</f>
        <v>79.7</v>
      </c>
      <c r="AO26" s="653">
        <f>ROUND(VLOOKUP(alap!$A$1,feldered_RK!$C:$LO,277,FALSE),1)</f>
        <v>0</v>
      </c>
      <c r="AP26" s="85"/>
      <c r="AQ26" s="37" t="e">
        <f>'országos átlag'!H24</f>
        <v>#N/A</v>
      </c>
      <c r="AR26" s="653">
        <f t="shared" si="5"/>
        <v>-79.7</v>
      </c>
      <c r="AS26" s="29"/>
      <c r="AT26" s="29"/>
      <c r="AU26" s="29"/>
    </row>
    <row r="27" spans="1:47" x14ac:dyDescent="0.25">
      <c r="A27" s="340" t="s">
        <v>25</v>
      </c>
      <c r="B27" s="93">
        <f>VLOOKUP(alap!$A$2,település_bcs!$B:$IK,209,FALSE)</f>
        <v>18</v>
      </c>
      <c r="C27" s="91">
        <f>VLOOKUP(alap!$A$2,település_bcs!$B:$IK,210,FALSE)</f>
        <v>20</v>
      </c>
      <c r="D27" s="91">
        <f>VLOOKUP(alap!$A$2,település_bcs!$B:$IK,211,FALSE)</f>
        <v>21</v>
      </c>
      <c r="E27" s="91">
        <f>VLOOKUP(alap!$A$2,település_bcs!$B:$IK,212,FALSE)</f>
        <v>11</v>
      </c>
      <c r="F27" s="91">
        <f>VLOOKUP(alap!$A$2,település_bcs!$B:$IK,213,FALSE)</f>
        <v>9</v>
      </c>
      <c r="G27" s="91">
        <f>VLOOKUP(alap!$A$2,település_bcs!$B:$IK,214,FALSE)</f>
        <v>20</v>
      </c>
      <c r="H27" s="91">
        <f>VLOOKUP(alap!$A$2,település_bcs!$B:$IK,215,FALSE)</f>
        <v>12</v>
      </c>
      <c r="I27" s="91">
        <f>VLOOKUP(alap!$A$2,település_bcs!$B:$IK,216,FALSE)</f>
        <v>8</v>
      </c>
      <c r="J27" s="91">
        <f>VLOOKUP(alap!$A$2,település_bcs!$B:$IK,217,FALSE)</f>
        <v>5</v>
      </c>
      <c r="K27" s="20"/>
      <c r="L27" s="643">
        <f t="shared" si="6"/>
        <v>10.8</v>
      </c>
      <c r="M27" s="21" t="str">
        <f t="shared" si="1"/>
        <v>-</v>
      </c>
      <c r="N27" s="21" t="str">
        <f t="shared" si="21"/>
        <v>-</v>
      </c>
      <c r="O27" s="21" t="str">
        <f t="shared" si="22"/>
        <v>-</v>
      </c>
      <c r="P27" s="22"/>
      <c r="Q27" s="340" t="s">
        <v>25</v>
      </c>
      <c r="R27" s="44">
        <f>ROUND(VLOOKUP(alap!$A$1,'RK nyomered lop-össz'!$C:$PS,328,FALSE),1)</f>
        <v>38.1</v>
      </c>
      <c r="S27" s="34">
        <f>ROUND(VLOOKUP(alap!$A$1,'RK nyomered lop-össz'!$C:$PS,331,FALSE),1)</f>
        <v>19</v>
      </c>
      <c r="T27" s="34">
        <f>ROUND(VLOOKUP(alap!$A$1,'RK nyomered lop-össz'!$C:$PS,334,FALSE),1)</f>
        <v>20.8</v>
      </c>
      <c r="U27" s="34">
        <f>ROUND(VLOOKUP(alap!$A$1,'RK nyomered lop-össz'!$C:$PS,337,FALSE),1)</f>
        <v>46.7</v>
      </c>
      <c r="V27" s="34">
        <f>ROUND(VLOOKUP(alap!$A$1,'RK nyomered lop-össz'!$C:$PS,340,FALSE),1)</f>
        <v>37.5</v>
      </c>
      <c r="W27" s="34">
        <f>ROUND(VLOOKUP(alap!$A$1,'RK nyomered lop-össz'!$C:$PS,343,FALSE),1)</f>
        <v>72.7</v>
      </c>
      <c r="X27" s="34">
        <f>ROUND(VLOOKUP(alap!$A$1,'RK nyomered lop-össz'!$C:$PS,346,FALSE),1)</f>
        <v>62.5</v>
      </c>
      <c r="Y27" s="34">
        <f>ROUND(VLOOKUP(alap!$A$1,'RK nyomered lop-össz'!$C:$PS,349,FALSE),1)</f>
        <v>75</v>
      </c>
      <c r="Z27" s="34">
        <f>ROUND(VLOOKUP(alap!$A$1,'RK nyomered lop-össz'!$C:$PS,352,FALSE),1)</f>
        <v>80</v>
      </c>
      <c r="AA27" s="328"/>
      <c r="AB27" s="35">
        <f>ROUND(VLOOKUP(alap!$A$1,'RK nyomered lop-össz'!$C:$RO,472,FALSE),1)</f>
        <v>62.7</v>
      </c>
      <c r="AC27" s="37" t="e">
        <f>'országos átlag'!G25</f>
        <v>#N/A</v>
      </c>
      <c r="AD27" s="34">
        <f t="shared" si="4"/>
        <v>5</v>
      </c>
      <c r="AE27" s="34">
        <f t="shared" si="23"/>
        <v>17.299999999999997</v>
      </c>
      <c r="AF27" s="32">
        <f t="shared" si="24"/>
        <v>41.9</v>
      </c>
      <c r="AG27" s="27"/>
      <c r="AH27" s="27"/>
      <c r="AI27" s="27"/>
      <c r="AJ27" s="27"/>
      <c r="AK27" s="27"/>
      <c r="AL27" s="37">
        <f>ROUND(VLOOKUP(alap!$A$1,feldered_RK!$C:$LO,280,FALSE),1)</f>
        <v>77.8</v>
      </c>
      <c r="AM27" s="34">
        <f>ROUND(VLOOKUP(alap!$A$1,feldered_RK!$C:$LO,283,FALSE),1)</f>
        <v>63.6</v>
      </c>
      <c r="AN27" s="34">
        <f>ROUND(VLOOKUP(alap!$A$1,feldered_RK!$C:$LO,286,FALSE),1)</f>
        <v>75</v>
      </c>
      <c r="AO27" s="653">
        <f>ROUND(VLOOKUP(alap!$A$1,feldered_RK!$C:$LO,289,FALSE),1)</f>
        <v>0</v>
      </c>
      <c r="AP27" s="85"/>
      <c r="AQ27" s="37" t="e">
        <f>'országos átlag'!H25</f>
        <v>#N/A</v>
      </c>
      <c r="AR27" s="653">
        <f t="shared" si="5"/>
        <v>-75</v>
      </c>
      <c r="AS27" s="29"/>
      <c r="AT27" s="29"/>
      <c r="AU27" s="29"/>
    </row>
    <row r="28" spans="1:47" x14ac:dyDescent="0.25">
      <c r="A28" s="340" t="s">
        <v>26</v>
      </c>
      <c r="B28" s="93">
        <f>VLOOKUP(alap!$A$2,település_bcs!$B:$IK,218,FALSE)</f>
        <v>5</v>
      </c>
      <c r="C28" s="91">
        <f>VLOOKUP(alap!$A$2,település_bcs!$B:$IK,219,FALSE)</f>
        <v>20</v>
      </c>
      <c r="D28" s="91">
        <f>VLOOKUP(alap!$A$2,település_bcs!$B:$IK,220,FALSE)</f>
        <v>7</v>
      </c>
      <c r="E28" s="91">
        <f>VLOOKUP(alap!$A$2,település_bcs!$B:$IK,221,FALSE)</f>
        <v>7</v>
      </c>
      <c r="F28" s="91">
        <f>VLOOKUP(alap!$A$2,település_bcs!$B:$IK,222,FALSE)</f>
        <v>5</v>
      </c>
      <c r="G28" s="91">
        <f>VLOOKUP(alap!$A$2,település_bcs!$B:$IK,223,FALSE)</f>
        <v>5</v>
      </c>
      <c r="H28" s="91">
        <f>VLOOKUP(alap!$A$2,település_bcs!$B:$IK,224,FALSE)</f>
        <v>6</v>
      </c>
      <c r="I28" s="91">
        <f>VLOOKUP(alap!$A$2,település_bcs!$B:$IK,225,FALSE)</f>
        <v>7</v>
      </c>
      <c r="J28" s="91">
        <f>VLOOKUP(alap!$A$2,település_bcs!$B:$IK,226,FALSE)</f>
        <v>7</v>
      </c>
      <c r="K28" s="20"/>
      <c r="L28" s="643">
        <f>AVERAGE(F28:J28)</f>
        <v>6</v>
      </c>
      <c r="M28" s="21" t="str">
        <f t="shared" si="1"/>
        <v>-</v>
      </c>
      <c r="N28" s="21" t="str">
        <f t="shared" si="21"/>
        <v>-</v>
      </c>
      <c r="O28" s="21" t="str">
        <f t="shared" si="22"/>
        <v>-</v>
      </c>
      <c r="P28" s="22"/>
      <c r="Q28" s="340" t="s">
        <v>26</v>
      </c>
      <c r="R28" s="44">
        <f>ROUND(VLOOKUP(alap!$A$1,'RK nyomered lop-össz'!$C:$PS,355,FALSE),1)</f>
        <v>20</v>
      </c>
      <c r="S28" s="34">
        <f>ROUND(VLOOKUP(alap!$A$1,'RK nyomered lop-össz'!$C:$PS,358,FALSE),1)</f>
        <v>28.6</v>
      </c>
      <c r="T28" s="34">
        <f>ROUND(VLOOKUP(alap!$A$1,'RK nyomered lop-össz'!$C:$PS,361,FALSE),1)</f>
        <v>37.5</v>
      </c>
      <c r="U28" s="34">
        <f>ROUND(VLOOKUP(alap!$A$1,'RK nyomered lop-össz'!$C:$PS,364,FALSE),1)</f>
        <v>44.4</v>
      </c>
      <c r="V28" s="34">
        <f>ROUND(VLOOKUP(alap!$A$1,'RK nyomered lop-össz'!$C:$PS,367,FALSE),1)</f>
        <v>57.1</v>
      </c>
      <c r="W28" s="34">
        <f>ROUND(VLOOKUP(alap!$A$1,'RK nyomered lop-össz'!$C:$PS,370,FALSE),1)</f>
        <v>66.7</v>
      </c>
      <c r="X28" s="34">
        <f>ROUND(VLOOKUP(alap!$A$1,'RK nyomered lop-össz'!$C:$PS,373,FALSE),1)</f>
        <v>83.3</v>
      </c>
      <c r="Y28" s="34">
        <f>ROUND(VLOOKUP(alap!$A$1,'RK nyomered lop-össz'!$C:$PS,376,FALSE),1)</f>
        <v>85.7</v>
      </c>
      <c r="Z28" s="34">
        <f>ROUND(VLOOKUP(alap!$A$1,'RK nyomered lop-össz'!$C:$PS,379,FALSE),1)</f>
        <v>87.5</v>
      </c>
      <c r="AA28" s="328"/>
      <c r="AB28" s="35">
        <f>ROUND(VLOOKUP(alap!$A$1,'RK nyomered lop-össz'!$C:$RO,475,FALSE),1)</f>
        <v>76.5</v>
      </c>
      <c r="AC28" s="37" t="e">
        <f>'országos átlag'!G26</f>
        <v>#N/A</v>
      </c>
      <c r="AD28" s="34">
        <f t="shared" si="4"/>
        <v>1.7999999999999972</v>
      </c>
      <c r="AE28" s="34">
        <f t="shared" si="23"/>
        <v>11</v>
      </c>
      <c r="AF28" s="32">
        <f t="shared" si="24"/>
        <v>67.5</v>
      </c>
      <c r="AG28" s="27"/>
      <c r="AH28" s="27"/>
      <c r="AI28" s="27"/>
      <c r="AJ28" s="27"/>
      <c r="AK28" s="27"/>
      <c r="AL28" s="37">
        <f>ROUND(VLOOKUP(alap!$A$1,feldered_RK!$C:$LO,292,FALSE),1)</f>
        <v>80</v>
      </c>
      <c r="AM28" s="34">
        <f>ROUND(VLOOKUP(alap!$A$1,feldered_RK!$C:$LO,295,FALSE),1)</f>
        <v>83.3</v>
      </c>
      <c r="AN28" s="34">
        <f>ROUND(VLOOKUP(alap!$A$1,feldered_RK!$C:$LO,298,FALSE),1)</f>
        <v>83.3</v>
      </c>
      <c r="AO28" s="653">
        <f>ROUND(VLOOKUP(alap!$A$1,feldered_RK!$C:$LO,301,FALSE),1)</f>
        <v>0</v>
      </c>
      <c r="AP28" s="85"/>
      <c r="AQ28" s="37" t="e">
        <f>'országos átlag'!H26</f>
        <v>#N/A</v>
      </c>
      <c r="AR28" s="653">
        <f t="shared" si="5"/>
        <v>-83.3</v>
      </c>
      <c r="AS28" s="29"/>
      <c r="AT28" s="29"/>
      <c r="AU28" s="29"/>
    </row>
    <row r="29" spans="1:47" ht="16.5" thickBot="1" x14ac:dyDescent="0.3">
      <c r="A29" s="43" t="s">
        <v>27</v>
      </c>
      <c r="B29" s="93">
        <f>VLOOKUP(alap!$A$2,település_bcs!$B:$IK,227,FALSE)</f>
        <v>2080</v>
      </c>
      <c r="C29" s="635">
        <f>VLOOKUP(alap!$A$2,település_bcs!$B:$IK,228,FALSE)</f>
        <v>2023</v>
      </c>
      <c r="D29" s="635">
        <f>VLOOKUP(alap!$A$2,település_bcs!$B:$IK,229,FALSE)</f>
        <v>1872</v>
      </c>
      <c r="E29" s="635">
        <f>VLOOKUP(alap!$A$2,település_bcs!$B:$IK,230,FALSE)</f>
        <v>1584</v>
      </c>
      <c r="F29" s="635">
        <f>VLOOKUP(alap!$A$2,település_bcs!$B:$IK,231,FALSE)</f>
        <v>1200</v>
      </c>
      <c r="G29" s="635">
        <f>VLOOKUP(alap!$A$2,település_bcs!$B:$IK,232,FALSE)</f>
        <v>1167</v>
      </c>
      <c r="H29" s="635">
        <f>VLOOKUP(alap!$A$2,település_bcs!$B:$IK,233,FALSE)</f>
        <v>1074</v>
      </c>
      <c r="I29" s="635">
        <f>VLOOKUP(alap!$A$2,település_bcs!$B:$IK,234,FALSE)</f>
        <v>1191</v>
      </c>
      <c r="J29" s="635">
        <f>VLOOKUP(alap!$A$2,település_bcs!$B:$IK,235,FALSE)</f>
        <v>1146</v>
      </c>
      <c r="K29" s="20"/>
      <c r="L29" s="644">
        <f t="shared" si="6"/>
        <v>1155.5999999999999</v>
      </c>
      <c r="M29" s="62">
        <f t="shared" si="1"/>
        <v>-3.7783375314861445</v>
      </c>
      <c r="N29" s="63">
        <f t="shared" si="2"/>
        <v>-0.83073727933540908</v>
      </c>
      <c r="O29" s="64">
        <f t="shared" si="3"/>
        <v>-44.903846153846146</v>
      </c>
      <c r="P29" s="22"/>
      <c r="Q29" s="43" t="s">
        <v>27</v>
      </c>
      <c r="R29" s="44">
        <f>ROUND(VLOOKUP(alap!$A$1,'RK nyomered lop-össz'!$C:$PS,382,FALSE),1)</f>
        <v>59.8</v>
      </c>
      <c r="S29" s="45">
        <f>ROUND(VLOOKUP(alap!$A$1,'RK nyomered lop-össz'!$C:$PS,385,FALSE),1)</f>
        <v>56.2</v>
      </c>
      <c r="T29" s="45">
        <f>ROUND(VLOOKUP(alap!$A$1,'RK nyomered lop-össz'!$C:$PS,388,FALSE),1)</f>
        <v>51.6</v>
      </c>
      <c r="U29" s="45">
        <f>ROUND(VLOOKUP(alap!$A$1,'RK nyomered lop-össz'!$C:$PS,391,FALSE),1)</f>
        <v>64.2</v>
      </c>
      <c r="V29" s="45">
        <f>ROUND(VLOOKUP(alap!$A$1,'RK nyomered lop-össz'!$C:$PS,394,FALSE),1)</f>
        <v>72.2</v>
      </c>
      <c r="W29" s="45">
        <f>ROUND(VLOOKUP(alap!$A$1,'RK nyomered lop-össz'!$C:$PS,397,FALSE),1)</f>
        <v>76.099999999999994</v>
      </c>
      <c r="X29" s="45">
        <f>ROUND(VLOOKUP(alap!$A$1,'RK nyomered lop-össz'!$C:$PS,400,FALSE),1)</f>
        <v>80.400000000000006</v>
      </c>
      <c r="Y29" s="45">
        <f>ROUND(VLOOKUP(alap!$A$1,'RK nyomered lop-össz'!$C:$PS,403,FALSE),1)</f>
        <v>85.8</v>
      </c>
      <c r="Z29" s="45">
        <f>ROUND(VLOOKUP(alap!$A$1,'RK nyomered lop-össz'!$C:$PS,406,FALSE),1)</f>
        <v>78.5</v>
      </c>
      <c r="AA29" s="328"/>
      <c r="AB29" s="42">
        <f>ROUND(VLOOKUP(alap!$A$1,'RK nyomered lop-össz'!$C:$RO,478,FALSE),1)</f>
        <v>78.599999999999994</v>
      </c>
      <c r="AC29" s="44" t="e">
        <f>'országos átlag'!G28</f>
        <v>#N/A</v>
      </c>
      <c r="AD29" s="45">
        <f t="shared" si="4"/>
        <v>-7.2999999999999972</v>
      </c>
      <c r="AE29" s="45">
        <f>Z29-AB29</f>
        <v>-9.9999999999994316E-2</v>
      </c>
      <c r="AF29" s="46">
        <f>Z29-R29</f>
        <v>18.700000000000003</v>
      </c>
      <c r="AG29" s="27"/>
      <c r="AH29" s="27"/>
      <c r="AI29" s="27"/>
      <c r="AJ29" s="27"/>
      <c r="AK29" s="27"/>
      <c r="AL29" s="44">
        <f>ROUND(VLOOKUP(alap!$A$1,feldered_RK!$C:$LO,304,FALSE),1)</f>
        <v>54</v>
      </c>
      <c r="AM29" s="45">
        <f>ROUND(VLOOKUP(alap!$A$1,feldered_RK!$C:$LO,307,FALSE),1)</f>
        <v>61.9</v>
      </c>
      <c r="AN29" s="45">
        <f>ROUND(VLOOKUP(alap!$A$1,feldered_RK!$C:$LO,310,FALSE),1)</f>
        <v>71</v>
      </c>
      <c r="AO29" s="654">
        <f>ROUND(VLOOKUP(alap!$A$1,feldered_RK!$C:$LO,313,FALSE),1)</f>
        <v>0</v>
      </c>
      <c r="AP29" s="85"/>
      <c r="AQ29" s="44" t="e">
        <f>'országos átlag'!H28</f>
        <v>#N/A</v>
      </c>
      <c r="AR29" s="654">
        <f t="shared" si="5"/>
        <v>-71</v>
      </c>
      <c r="AS29" s="29"/>
      <c r="AT29" s="29"/>
      <c r="AU29" s="29"/>
    </row>
    <row r="30" spans="1:47" ht="16.5" thickBot="1" x14ac:dyDescent="0.3">
      <c r="A30" s="47" t="s">
        <v>28</v>
      </c>
      <c r="B30" s="656">
        <f>VLOOKUP(alap!$A$2,település_bcs!$B:$IK,236,FALSE)</f>
        <v>8053</v>
      </c>
      <c r="C30" s="635">
        <f>VLOOKUP(alap!$A$2,település_bcs!$B:$IK,237,FALSE)</f>
        <v>8453</v>
      </c>
      <c r="D30" s="635">
        <f>VLOOKUP(alap!$A$2,település_bcs!$B:$IK,238,FALSE)</f>
        <v>7186</v>
      </c>
      <c r="E30" s="635">
        <f>VLOOKUP(alap!$A$2,település_bcs!$B:$IK,239,FALSE)</f>
        <v>5772</v>
      </c>
      <c r="F30" s="635">
        <f>VLOOKUP(alap!$A$2,település_bcs!$B:$IK,240,FALSE)</f>
        <v>5677</v>
      </c>
      <c r="G30" s="635">
        <f>VLOOKUP(alap!$A$2,település_bcs!$B:$IK,241,FALSE)</f>
        <v>5065</v>
      </c>
      <c r="H30" s="635">
        <f>VLOOKUP(alap!$A$2,település_bcs!$B:$IK,242,FALSE)</f>
        <v>4236</v>
      </c>
      <c r="I30" s="635">
        <f>VLOOKUP(alap!$A$2,település_bcs!$B:$IK,243,FALSE)</f>
        <v>4562</v>
      </c>
      <c r="J30" s="635">
        <f>VLOOKUP(alap!$A$2,település_bcs!$B:$IK,244,FALSE)</f>
        <v>3830</v>
      </c>
      <c r="K30" s="20"/>
      <c r="L30" s="645">
        <f>AVERAGE(F30:J30)</f>
        <v>4674</v>
      </c>
      <c r="M30" s="341">
        <f t="shared" si="1"/>
        <v>-16.045594037702756</v>
      </c>
      <c r="N30" s="646">
        <f t="shared" si="2"/>
        <v>-18.057338468121515</v>
      </c>
      <c r="O30" s="647">
        <f t="shared" si="3"/>
        <v>-52.440084440581145</v>
      </c>
      <c r="P30" s="22"/>
      <c r="Q30" s="47" t="s">
        <v>28</v>
      </c>
      <c r="R30" s="49">
        <f>ROUND(VLOOKUP(alap!$A$1,'RK nyomered lop-össz'!$C:$PS,409,FALSE),1)</f>
        <v>54.4</v>
      </c>
      <c r="S30" s="50">
        <f>ROUND(VLOOKUP(alap!$A$1,'RK nyomered lop-össz'!$C:$PS,412,FALSE),1)</f>
        <v>47.4</v>
      </c>
      <c r="T30" s="50">
        <f>ROUND(VLOOKUP(alap!$A$1,'RK nyomered lop-össz'!$C:$PS,415,FALSE),1)</f>
        <v>46.1</v>
      </c>
      <c r="U30" s="50">
        <f>ROUND(VLOOKUP(alap!$A$1,'RK nyomered lop-össz'!$C:$PS,418,FALSE),1)</f>
        <v>59</v>
      </c>
      <c r="V30" s="50">
        <f>ROUND(VLOOKUP(alap!$A$1,'RK nyomered lop-össz'!$C:$PS,421,FALSE),1)</f>
        <v>59.1</v>
      </c>
      <c r="W30" s="50">
        <f>ROUND(VLOOKUP(alap!$A$1,'RK nyomered lop-össz'!$C:$PS,424,FALSE),1)</f>
        <v>68.5</v>
      </c>
      <c r="X30" s="50">
        <f>ROUND(VLOOKUP(alap!$A$1,'RK nyomered lop-össz'!$C:$PS,427,FALSE),1)</f>
        <v>67.5</v>
      </c>
      <c r="Y30" s="50">
        <f>ROUND(VLOOKUP(alap!$A$1,'RK nyomered lop-össz'!$C:$PS,430,FALSE),1)</f>
        <v>71.2</v>
      </c>
      <c r="Z30" s="50">
        <f>ROUND(VLOOKUP(alap!$A$1,'RK nyomered lop-össz'!$C:$PS,433,FALSE),1)</f>
        <v>74.7</v>
      </c>
      <c r="AA30" s="328"/>
      <c r="AB30" s="51">
        <f>ROUND(VLOOKUP(alap!$A$1,'RK nyomered lop-össz'!$C:$RO,481,FALSE),1)</f>
        <v>67.7</v>
      </c>
      <c r="AC30" s="83" t="e">
        <f>'országos átlag'!G29</f>
        <v>#N/A</v>
      </c>
      <c r="AD30" s="50">
        <f t="shared" si="4"/>
        <v>3.5</v>
      </c>
      <c r="AE30" s="50">
        <f>Z30-AB30</f>
        <v>7</v>
      </c>
      <c r="AF30" s="48">
        <f>Z30-R30</f>
        <v>20.300000000000004</v>
      </c>
      <c r="AG30" s="27"/>
      <c r="AH30" s="27"/>
      <c r="AI30" s="27"/>
      <c r="AJ30" s="27"/>
      <c r="AK30" s="27"/>
      <c r="AL30" s="83">
        <f>ROUND(VLOOKUP(alap!$A$1,feldered_RK!$C:$LO,316,FALSE),1)</f>
        <v>60.5</v>
      </c>
      <c r="AM30" s="50">
        <f>ROUND(VLOOKUP(alap!$A$1,feldered_RK!$C:$LO,319,FALSE),1)</f>
        <v>60.6</v>
      </c>
      <c r="AN30" s="50">
        <f>ROUND(VLOOKUP(alap!$A$1,feldered_RK!$C:$LO,322,FALSE),1)</f>
        <v>64.5</v>
      </c>
      <c r="AO30" s="52">
        <f>ROUND(VLOOKUP(alap!$A$1,feldered_RK!$C:$LO,325,FALSE),1)</f>
        <v>0</v>
      </c>
      <c r="AP30" s="85"/>
      <c r="AQ30" s="83" t="e">
        <f>'országos átlag'!H29</f>
        <v>#N/A</v>
      </c>
      <c r="AR30" s="52">
        <f>AO30-AN30</f>
        <v>-64.5</v>
      </c>
      <c r="AS30" s="29"/>
      <c r="AT30" s="29"/>
      <c r="AU30" s="29"/>
    </row>
    <row r="31" spans="1:47" ht="40.5" customHeight="1" x14ac:dyDescent="0.25">
      <c r="A31" s="899" t="s">
        <v>38</v>
      </c>
      <c r="B31" s="899"/>
      <c r="C31" s="899"/>
      <c r="D31" s="899"/>
      <c r="E31" s="899"/>
      <c r="F31" s="899"/>
      <c r="G31" s="899"/>
      <c r="H31" s="899"/>
      <c r="I31" s="899"/>
      <c r="J31" s="899"/>
      <c r="K31" s="74"/>
      <c r="L31" s="887" t="s">
        <v>827</v>
      </c>
      <c r="M31" s="887"/>
      <c r="N31" s="887"/>
      <c r="Q31" s="75"/>
      <c r="R31" s="75"/>
      <c r="S31" s="75"/>
      <c r="T31" s="75"/>
      <c r="U31" s="75"/>
      <c r="V31" s="75"/>
      <c r="W31" s="75"/>
      <c r="X31" s="75"/>
      <c r="Y31" s="75"/>
      <c r="Z31" s="75"/>
      <c r="AB31" s="898"/>
      <c r="AC31" s="898"/>
      <c r="AD31" s="898"/>
      <c r="AE31" s="898"/>
      <c r="AF31" s="898"/>
      <c r="AK31" s="29"/>
      <c r="AL31" s="29"/>
      <c r="AM31" s="29"/>
      <c r="AN31" s="29"/>
      <c r="AO31" s="29"/>
      <c r="AP31" s="29"/>
      <c r="AQ31" s="609"/>
      <c r="AR31" s="29"/>
      <c r="AS31" s="29"/>
      <c r="AT31" s="29"/>
    </row>
    <row r="32" spans="1:47" x14ac:dyDescent="0.25">
      <c r="L32" s="78"/>
      <c r="M32" s="77"/>
      <c r="N32" s="77"/>
      <c r="O32" s="77"/>
      <c r="P32" s="77"/>
    </row>
    <row r="33" spans="2:16" x14ac:dyDescent="0.25">
      <c r="B33" s="76"/>
      <c r="C33" s="76"/>
      <c r="D33" s="76"/>
      <c r="E33" s="76"/>
      <c r="F33" s="76"/>
      <c r="G33" s="76"/>
      <c r="H33" s="76"/>
      <c r="I33" s="76"/>
      <c r="J33" s="76"/>
      <c r="L33" s="79"/>
      <c r="M33" s="77"/>
      <c r="N33" s="77"/>
      <c r="O33" s="77"/>
      <c r="P33" s="77"/>
    </row>
  </sheetData>
  <mergeCells count="10">
    <mergeCell ref="A1:O1"/>
    <mergeCell ref="A31:J31"/>
    <mergeCell ref="L31:N31"/>
    <mergeCell ref="AB31:AF31"/>
    <mergeCell ref="Q1:AR1"/>
    <mergeCell ref="B2:J2"/>
    <mergeCell ref="L2:O2"/>
    <mergeCell ref="R2:Z2"/>
    <mergeCell ref="AB2:AF2"/>
    <mergeCell ref="AL2:AR2"/>
  </mergeCells>
  <conditionalFormatting sqref="C4">
    <cfRule type="expression" dxfId="3618" priority="3533">
      <formula>B4="-"</formula>
    </cfRule>
    <cfRule type="cellIs" dxfId="3617" priority="3534" operator="equal">
      <formula>"-"</formula>
    </cfRule>
    <cfRule type="cellIs" dxfId="3616" priority="3535" operator="equal">
      <formula>B4</formula>
    </cfRule>
    <cfRule type="cellIs" dxfId="3615" priority="3536" operator="greaterThan">
      <formula>B4</formula>
    </cfRule>
    <cfRule type="cellIs" dxfId="3614" priority="3537" operator="lessThan">
      <formula>B4</formula>
    </cfRule>
  </conditionalFormatting>
  <conditionalFormatting sqref="C5">
    <cfRule type="expression" dxfId="3613" priority="3528">
      <formula>B5="-"</formula>
    </cfRule>
    <cfRule type="cellIs" dxfId="3612" priority="3529" operator="equal">
      <formula>"-"</formula>
    </cfRule>
    <cfRule type="cellIs" dxfId="3611" priority="3530" operator="equal">
      <formula>B5</formula>
    </cfRule>
    <cfRule type="cellIs" dxfId="3610" priority="3531" operator="greaterThan">
      <formula>B5</formula>
    </cfRule>
    <cfRule type="cellIs" dxfId="3609" priority="3532" operator="lessThan">
      <formula>B5</formula>
    </cfRule>
  </conditionalFormatting>
  <conditionalFormatting sqref="C6">
    <cfRule type="expression" dxfId="3608" priority="3523">
      <formula>B6="-"</formula>
    </cfRule>
    <cfRule type="cellIs" dxfId="3607" priority="3524" operator="equal">
      <formula>"-"</formula>
    </cfRule>
    <cfRule type="cellIs" dxfId="3606" priority="3525" operator="equal">
      <formula>B6</formula>
    </cfRule>
    <cfRule type="cellIs" dxfId="3605" priority="3526" operator="greaterThan">
      <formula>B6</formula>
    </cfRule>
    <cfRule type="cellIs" dxfId="3604" priority="3527" operator="lessThan">
      <formula>B6</formula>
    </cfRule>
  </conditionalFormatting>
  <conditionalFormatting sqref="C7">
    <cfRule type="expression" dxfId="3603" priority="3518">
      <formula>B7="-"</formula>
    </cfRule>
    <cfRule type="cellIs" dxfId="3602" priority="3519" operator="equal">
      <formula>"-"</formula>
    </cfRule>
    <cfRule type="cellIs" dxfId="3601" priority="3520" operator="equal">
      <formula>B7</formula>
    </cfRule>
    <cfRule type="cellIs" dxfId="3600" priority="3521" operator="greaterThan">
      <formula>B7</formula>
    </cfRule>
    <cfRule type="cellIs" dxfId="3599" priority="3522" operator="lessThan">
      <formula>B7</formula>
    </cfRule>
  </conditionalFormatting>
  <conditionalFormatting sqref="C8">
    <cfRule type="expression" dxfId="3598" priority="3513">
      <formula>B8="-"</formula>
    </cfRule>
    <cfRule type="cellIs" dxfId="3597" priority="3514" operator="equal">
      <formula>"-"</formula>
    </cfRule>
    <cfRule type="cellIs" dxfId="3596" priority="3515" operator="equal">
      <formula>B8</formula>
    </cfRule>
    <cfRule type="cellIs" dxfId="3595" priority="3516" operator="greaterThan">
      <formula>B8</formula>
    </cfRule>
    <cfRule type="cellIs" dxfId="3594" priority="3517" operator="lessThan">
      <formula>B8</formula>
    </cfRule>
  </conditionalFormatting>
  <conditionalFormatting sqref="C9">
    <cfRule type="expression" dxfId="3593" priority="3508">
      <formula>B9="-"</formula>
    </cfRule>
    <cfRule type="cellIs" dxfId="3592" priority="3509" operator="equal">
      <formula>"-"</formula>
    </cfRule>
    <cfRule type="cellIs" dxfId="3591" priority="3510" operator="equal">
      <formula>B9</formula>
    </cfRule>
    <cfRule type="cellIs" dxfId="3590" priority="3511" operator="greaterThan">
      <formula>B9</formula>
    </cfRule>
    <cfRule type="cellIs" dxfId="3589" priority="3512" operator="lessThan">
      <formula>B9</formula>
    </cfRule>
  </conditionalFormatting>
  <conditionalFormatting sqref="C10">
    <cfRule type="expression" dxfId="3588" priority="3503">
      <formula>B10="-"</formula>
    </cfRule>
    <cfRule type="cellIs" dxfId="3587" priority="3504" operator="equal">
      <formula>"-"</formula>
    </cfRule>
    <cfRule type="cellIs" dxfId="3586" priority="3505" operator="equal">
      <formula>B10</formula>
    </cfRule>
    <cfRule type="cellIs" dxfId="3585" priority="3506" operator="greaterThan">
      <formula>B10</formula>
    </cfRule>
    <cfRule type="cellIs" dxfId="3584" priority="3507" operator="lessThan">
      <formula>B10</formula>
    </cfRule>
  </conditionalFormatting>
  <conditionalFormatting sqref="C11">
    <cfRule type="expression" dxfId="3583" priority="3498">
      <formula>B11="-"</formula>
    </cfRule>
    <cfRule type="cellIs" dxfId="3582" priority="3499" operator="equal">
      <formula>"-"</formula>
    </cfRule>
    <cfRule type="cellIs" dxfId="3581" priority="3500" operator="equal">
      <formula>B11</formula>
    </cfRule>
    <cfRule type="cellIs" dxfId="3580" priority="3501" operator="greaterThan">
      <formula>B11</formula>
    </cfRule>
    <cfRule type="cellIs" dxfId="3579" priority="3502" operator="lessThan">
      <formula>B11</formula>
    </cfRule>
  </conditionalFormatting>
  <conditionalFormatting sqref="C12">
    <cfRule type="expression" dxfId="3578" priority="3493">
      <formula>B12="-"</formula>
    </cfRule>
    <cfRule type="cellIs" dxfId="3577" priority="3494" operator="equal">
      <formula>"-"</formula>
    </cfRule>
    <cfRule type="cellIs" dxfId="3576" priority="3495" operator="equal">
      <formula>B12</formula>
    </cfRule>
    <cfRule type="cellIs" dxfId="3575" priority="3496" operator="greaterThan">
      <formula>B12</formula>
    </cfRule>
    <cfRule type="cellIs" dxfId="3574" priority="3497" operator="lessThan">
      <formula>B12</formula>
    </cfRule>
  </conditionalFormatting>
  <conditionalFormatting sqref="C13">
    <cfRule type="expression" dxfId="3573" priority="3488">
      <formula>B13="-"</formula>
    </cfRule>
    <cfRule type="cellIs" dxfId="3572" priority="3489" operator="equal">
      <formula>"-"</formula>
    </cfRule>
    <cfRule type="cellIs" dxfId="3571" priority="3490" operator="equal">
      <formula>B13</formula>
    </cfRule>
    <cfRule type="cellIs" dxfId="3570" priority="3491" operator="greaterThan">
      <formula>B13</formula>
    </cfRule>
    <cfRule type="cellIs" dxfId="3569" priority="3492" operator="lessThan">
      <formula>B13</formula>
    </cfRule>
  </conditionalFormatting>
  <conditionalFormatting sqref="C14">
    <cfRule type="expression" dxfId="3568" priority="3483">
      <formula>B14="-"</formula>
    </cfRule>
    <cfRule type="cellIs" dxfId="3567" priority="3484" operator="equal">
      <formula>"-"</formula>
    </cfRule>
    <cfRule type="cellIs" dxfId="3566" priority="3485" operator="equal">
      <formula>B14</formula>
    </cfRule>
    <cfRule type="cellIs" dxfId="3565" priority="3486" operator="greaterThan">
      <formula>B14</formula>
    </cfRule>
    <cfRule type="cellIs" dxfId="3564" priority="3487" operator="lessThan">
      <formula>B14</formula>
    </cfRule>
  </conditionalFormatting>
  <conditionalFormatting sqref="C15">
    <cfRule type="expression" dxfId="3563" priority="3478">
      <formula>B15="-"</formula>
    </cfRule>
    <cfRule type="cellIs" dxfId="3562" priority="3479" operator="equal">
      <formula>"-"</formula>
    </cfRule>
    <cfRule type="cellIs" dxfId="3561" priority="3480" operator="equal">
      <formula>B15</formula>
    </cfRule>
    <cfRule type="cellIs" dxfId="3560" priority="3481" operator="greaterThan">
      <formula>B15</formula>
    </cfRule>
    <cfRule type="cellIs" dxfId="3559" priority="3482" operator="lessThan">
      <formula>B15</formula>
    </cfRule>
  </conditionalFormatting>
  <conditionalFormatting sqref="C16">
    <cfRule type="expression" dxfId="3558" priority="3473">
      <formula>B16="-"</formula>
    </cfRule>
    <cfRule type="cellIs" dxfId="3557" priority="3474" operator="equal">
      <formula>"-"</formula>
    </cfRule>
    <cfRule type="cellIs" dxfId="3556" priority="3475" operator="equal">
      <formula>B16</formula>
    </cfRule>
    <cfRule type="cellIs" dxfId="3555" priority="3476" operator="greaterThan">
      <formula>B16</formula>
    </cfRule>
    <cfRule type="cellIs" dxfId="3554" priority="3477" operator="lessThan">
      <formula>B16</formula>
    </cfRule>
  </conditionalFormatting>
  <conditionalFormatting sqref="C17">
    <cfRule type="expression" dxfId="3553" priority="3468">
      <formula>B17="-"</formula>
    </cfRule>
    <cfRule type="cellIs" dxfId="3552" priority="3469" operator="equal">
      <formula>"-"</formula>
    </cfRule>
    <cfRule type="cellIs" dxfId="3551" priority="3470" operator="equal">
      <formula>B17</formula>
    </cfRule>
    <cfRule type="cellIs" dxfId="3550" priority="3471" operator="greaterThan">
      <formula>B17</formula>
    </cfRule>
    <cfRule type="cellIs" dxfId="3549" priority="3472" operator="lessThan">
      <formula>B17</formula>
    </cfRule>
  </conditionalFormatting>
  <conditionalFormatting sqref="C18">
    <cfRule type="expression" dxfId="3548" priority="3463">
      <formula>B18="-"</formula>
    </cfRule>
    <cfRule type="cellIs" dxfId="3547" priority="3464" operator="equal">
      <formula>"-"</formula>
    </cfRule>
    <cfRule type="cellIs" dxfId="3546" priority="3465" operator="equal">
      <formula>B18</formula>
    </cfRule>
    <cfRule type="cellIs" dxfId="3545" priority="3466" operator="greaterThan">
      <formula>B18</formula>
    </cfRule>
    <cfRule type="cellIs" dxfId="3544" priority="3467" operator="lessThan">
      <formula>B18</formula>
    </cfRule>
  </conditionalFormatting>
  <conditionalFormatting sqref="C19">
    <cfRule type="expression" dxfId="3543" priority="3458">
      <formula>B19="-"</formula>
    </cfRule>
    <cfRule type="cellIs" dxfId="3542" priority="3459" operator="equal">
      <formula>"-"</formula>
    </cfRule>
    <cfRule type="cellIs" dxfId="3541" priority="3460" operator="equal">
      <formula>B19</formula>
    </cfRule>
    <cfRule type="cellIs" dxfId="3540" priority="3461" operator="greaterThan">
      <formula>B19</formula>
    </cfRule>
    <cfRule type="cellIs" dxfId="3539" priority="3462" operator="lessThan">
      <formula>B19</formula>
    </cfRule>
  </conditionalFormatting>
  <conditionalFormatting sqref="C20">
    <cfRule type="expression" dxfId="3538" priority="3453">
      <formula>B20="-"</formula>
    </cfRule>
    <cfRule type="cellIs" dxfId="3537" priority="3454" operator="equal">
      <formula>"-"</formula>
    </cfRule>
    <cfRule type="cellIs" dxfId="3536" priority="3455" operator="equal">
      <formula>B20</formula>
    </cfRule>
    <cfRule type="cellIs" dxfId="3535" priority="3456" operator="greaterThan">
      <formula>B20</formula>
    </cfRule>
    <cfRule type="cellIs" dxfId="3534" priority="3457" operator="lessThan">
      <formula>B20</formula>
    </cfRule>
  </conditionalFormatting>
  <conditionalFormatting sqref="C21">
    <cfRule type="expression" dxfId="3533" priority="3448">
      <formula>B21="-"</formula>
    </cfRule>
    <cfRule type="cellIs" dxfId="3532" priority="3449" operator="equal">
      <formula>"-"</formula>
    </cfRule>
    <cfRule type="cellIs" dxfId="3531" priority="3450" operator="equal">
      <formula>B21</formula>
    </cfRule>
    <cfRule type="cellIs" dxfId="3530" priority="3451" operator="greaterThan">
      <formula>B21</formula>
    </cfRule>
    <cfRule type="cellIs" dxfId="3529" priority="3452" operator="lessThan">
      <formula>B21</formula>
    </cfRule>
  </conditionalFormatting>
  <conditionalFormatting sqref="C22">
    <cfRule type="expression" dxfId="3528" priority="3443">
      <formula>B22="-"</formula>
    </cfRule>
    <cfRule type="cellIs" dxfId="3527" priority="3444" operator="equal">
      <formula>"-"</formula>
    </cfRule>
    <cfRule type="cellIs" dxfId="3526" priority="3445" operator="equal">
      <formula>B22</formula>
    </cfRule>
    <cfRule type="cellIs" dxfId="3525" priority="3446" operator="greaterThan">
      <formula>B22</formula>
    </cfRule>
    <cfRule type="cellIs" dxfId="3524" priority="3447" operator="lessThan">
      <formula>B22</formula>
    </cfRule>
  </conditionalFormatting>
  <conditionalFormatting sqref="C23">
    <cfRule type="expression" dxfId="3523" priority="3438">
      <formula>B23="-"</formula>
    </cfRule>
    <cfRule type="cellIs" dxfId="3522" priority="3439" operator="equal">
      <formula>"-"</formula>
    </cfRule>
    <cfRule type="cellIs" dxfId="3521" priority="3440" operator="equal">
      <formula>B23</formula>
    </cfRule>
    <cfRule type="cellIs" dxfId="3520" priority="3441" operator="greaterThan">
      <formula>B23</formula>
    </cfRule>
    <cfRule type="cellIs" dxfId="3519" priority="3442" operator="lessThan">
      <formula>B23</formula>
    </cfRule>
  </conditionalFormatting>
  <conditionalFormatting sqref="C24">
    <cfRule type="expression" dxfId="3518" priority="3433">
      <formula>B24="-"</formula>
    </cfRule>
    <cfRule type="cellIs" dxfId="3517" priority="3434" operator="equal">
      <formula>"-"</formula>
    </cfRule>
    <cfRule type="cellIs" dxfId="3516" priority="3435" operator="equal">
      <formula>B24</formula>
    </cfRule>
    <cfRule type="cellIs" dxfId="3515" priority="3436" operator="greaterThan">
      <formula>B24</formula>
    </cfRule>
    <cfRule type="cellIs" dxfId="3514" priority="3437" operator="lessThan">
      <formula>B24</formula>
    </cfRule>
  </conditionalFormatting>
  <conditionalFormatting sqref="C25">
    <cfRule type="expression" dxfId="3513" priority="3428">
      <formula>B25="-"</formula>
    </cfRule>
    <cfRule type="cellIs" dxfId="3512" priority="3429" operator="equal">
      <formula>"-"</formula>
    </cfRule>
    <cfRule type="cellIs" dxfId="3511" priority="3430" operator="equal">
      <formula>B25</formula>
    </cfRule>
    <cfRule type="cellIs" dxfId="3510" priority="3431" operator="greaterThan">
      <formula>B25</formula>
    </cfRule>
    <cfRule type="cellIs" dxfId="3509" priority="3432" operator="lessThan">
      <formula>B25</formula>
    </cfRule>
  </conditionalFormatting>
  <conditionalFormatting sqref="C26">
    <cfRule type="expression" dxfId="3508" priority="3423">
      <formula>B26="-"</formula>
    </cfRule>
    <cfRule type="cellIs" dxfId="3507" priority="3424" operator="equal">
      <formula>"-"</formula>
    </cfRule>
    <cfRule type="cellIs" dxfId="3506" priority="3425" operator="equal">
      <formula>B26</formula>
    </cfRule>
    <cfRule type="cellIs" dxfId="3505" priority="3426" operator="greaterThan">
      <formula>B26</formula>
    </cfRule>
    <cfRule type="cellIs" dxfId="3504" priority="3427" operator="lessThan">
      <formula>B26</formula>
    </cfRule>
  </conditionalFormatting>
  <conditionalFormatting sqref="C27">
    <cfRule type="expression" dxfId="3503" priority="3418">
      <formula>B27="-"</formula>
    </cfRule>
    <cfRule type="cellIs" dxfId="3502" priority="3419" operator="equal">
      <formula>"-"</formula>
    </cfRule>
    <cfRule type="cellIs" dxfId="3501" priority="3420" operator="equal">
      <formula>B27</formula>
    </cfRule>
    <cfRule type="cellIs" dxfId="3500" priority="3421" operator="greaterThan">
      <formula>B27</formula>
    </cfRule>
    <cfRule type="cellIs" dxfId="3499" priority="3422" operator="lessThan">
      <formula>B27</formula>
    </cfRule>
  </conditionalFormatting>
  <conditionalFormatting sqref="C28">
    <cfRule type="expression" dxfId="3498" priority="3413">
      <formula>B28="-"</formula>
    </cfRule>
    <cfRule type="cellIs" dxfId="3497" priority="3414" operator="equal">
      <formula>"-"</formula>
    </cfRule>
    <cfRule type="cellIs" dxfId="3496" priority="3415" operator="equal">
      <formula>B28</formula>
    </cfRule>
    <cfRule type="cellIs" dxfId="3495" priority="3416" operator="greaterThan">
      <formula>B28</formula>
    </cfRule>
    <cfRule type="cellIs" dxfId="3494" priority="3417" operator="lessThan">
      <formula>B28</formula>
    </cfRule>
  </conditionalFormatting>
  <conditionalFormatting sqref="D4">
    <cfRule type="expression" dxfId="3493" priority="3408">
      <formula>C4="-"</formula>
    </cfRule>
    <cfRule type="cellIs" dxfId="3492" priority="3409" operator="equal">
      <formula>"-"</formula>
    </cfRule>
    <cfRule type="cellIs" dxfId="3491" priority="3410" operator="equal">
      <formula>C4</formula>
    </cfRule>
    <cfRule type="cellIs" dxfId="3490" priority="3411" operator="greaterThan">
      <formula>C4</formula>
    </cfRule>
    <cfRule type="cellIs" dxfId="3489" priority="3412" operator="lessThan">
      <formula>C4</formula>
    </cfRule>
  </conditionalFormatting>
  <conditionalFormatting sqref="D5">
    <cfRule type="expression" dxfId="3488" priority="3403">
      <formula>C5="-"</formula>
    </cfRule>
    <cfRule type="cellIs" dxfId="3487" priority="3404" operator="equal">
      <formula>"-"</formula>
    </cfRule>
    <cfRule type="cellIs" dxfId="3486" priority="3405" operator="equal">
      <formula>C5</formula>
    </cfRule>
    <cfRule type="cellIs" dxfId="3485" priority="3406" operator="greaterThan">
      <formula>C5</formula>
    </cfRule>
    <cfRule type="cellIs" dxfId="3484" priority="3407" operator="lessThan">
      <formula>C5</formula>
    </cfRule>
  </conditionalFormatting>
  <conditionalFormatting sqref="D6">
    <cfRule type="expression" dxfId="3483" priority="3398">
      <formula>C6="-"</formula>
    </cfRule>
    <cfRule type="cellIs" dxfId="3482" priority="3399" operator="equal">
      <formula>"-"</formula>
    </cfRule>
    <cfRule type="cellIs" dxfId="3481" priority="3400" operator="equal">
      <formula>C6</formula>
    </cfRule>
    <cfRule type="cellIs" dxfId="3480" priority="3401" operator="greaterThan">
      <formula>C6</formula>
    </cfRule>
    <cfRule type="cellIs" dxfId="3479" priority="3402" operator="lessThan">
      <formula>C6</formula>
    </cfRule>
  </conditionalFormatting>
  <conditionalFormatting sqref="D7">
    <cfRule type="expression" dxfId="3478" priority="3393">
      <formula>C7="-"</formula>
    </cfRule>
    <cfRule type="cellIs" dxfId="3477" priority="3394" operator="equal">
      <formula>"-"</formula>
    </cfRule>
    <cfRule type="cellIs" dxfId="3476" priority="3395" operator="equal">
      <formula>C7</formula>
    </cfRule>
    <cfRule type="cellIs" dxfId="3475" priority="3396" operator="greaterThan">
      <formula>C7</formula>
    </cfRule>
    <cfRule type="cellIs" dxfId="3474" priority="3397" operator="lessThan">
      <formula>C7</formula>
    </cfRule>
  </conditionalFormatting>
  <conditionalFormatting sqref="D8">
    <cfRule type="expression" dxfId="3473" priority="3388">
      <formula>C8="-"</formula>
    </cfRule>
    <cfRule type="cellIs" dxfId="3472" priority="3389" operator="equal">
      <formula>"-"</formula>
    </cfRule>
    <cfRule type="cellIs" dxfId="3471" priority="3390" operator="equal">
      <formula>C8</formula>
    </cfRule>
    <cfRule type="cellIs" dxfId="3470" priority="3391" operator="greaterThan">
      <formula>C8</formula>
    </cfRule>
    <cfRule type="cellIs" dxfId="3469" priority="3392" operator="lessThan">
      <formula>C8</formula>
    </cfRule>
  </conditionalFormatting>
  <conditionalFormatting sqref="D9">
    <cfRule type="expression" dxfId="3468" priority="3383">
      <formula>C9="-"</formula>
    </cfRule>
    <cfRule type="cellIs" dxfId="3467" priority="3384" operator="equal">
      <formula>"-"</formula>
    </cfRule>
    <cfRule type="cellIs" dxfId="3466" priority="3385" operator="equal">
      <formula>C9</formula>
    </cfRule>
    <cfRule type="cellIs" dxfId="3465" priority="3386" operator="greaterThan">
      <formula>C9</formula>
    </cfRule>
    <cfRule type="cellIs" dxfId="3464" priority="3387" operator="lessThan">
      <formula>C9</formula>
    </cfRule>
  </conditionalFormatting>
  <conditionalFormatting sqref="D10">
    <cfRule type="expression" dxfId="3463" priority="3378">
      <formula>C10="-"</formula>
    </cfRule>
    <cfRule type="cellIs" dxfId="3462" priority="3379" operator="equal">
      <formula>"-"</formula>
    </cfRule>
    <cfRule type="cellIs" dxfId="3461" priority="3380" operator="equal">
      <formula>C10</formula>
    </cfRule>
    <cfRule type="cellIs" dxfId="3460" priority="3381" operator="greaterThan">
      <formula>C10</formula>
    </cfRule>
    <cfRule type="cellIs" dxfId="3459" priority="3382" operator="lessThan">
      <formula>C10</formula>
    </cfRule>
  </conditionalFormatting>
  <conditionalFormatting sqref="D11">
    <cfRule type="expression" dxfId="3458" priority="3373">
      <formula>C11="-"</formula>
    </cfRule>
    <cfRule type="cellIs" dxfId="3457" priority="3374" operator="equal">
      <formula>"-"</formula>
    </cfRule>
    <cfRule type="cellIs" dxfId="3456" priority="3375" operator="equal">
      <formula>C11</formula>
    </cfRule>
    <cfRule type="cellIs" dxfId="3455" priority="3376" operator="greaterThan">
      <formula>C11</formula>
    </cfRule>
    <cfRule type="cellIs" dxfId="3454" priority="3377" operator="lessThan">
      <formula>C11</formula>
    </cfRule>
  </conditionalFormatting>
  <conditionalFormatting sqref="D12">
    <cfRule type="expression" dxfId="3453" priority="3368">
      <formula>C12="-"</formula>
    </cfRule>
    <cfRule type="cellIs" dxfId="3452" priority="3369" operator="equal">
      <formula>"-"</formula>
    </cfRule>
    <cfRule type="cellIs" dxfId="3451" priority="3370" operator="equal">
      <formula>C12</formula>
    </cfRule>
    <cfRule type="cellIs" dxfId="3450" priority="3371" operator="greaterThan">
      <formula>C12</formula>
    </cfRule>
    <cfRule type="cellIs" dxfId="3449" priority="3372" operator="lessThan">
      <formula>C12</formula>
    </cfRule>
  </conditionalFormatting>
  <conditionalFormatting sqref="D13">
    <cfRule type="expression" dxfId="3448" priority="3363">
      <formula>C13="-"</formula>
    </cfRule>
    <cfRule type="cellIs" dxfId="3447" priority="3364" operator="equal">
      <formula>"-"</formula>
    </cfRule>
    <cfRule type="cellIs" dxfId="3446" priority="3365" operator="equal">
      <formula>C13</formula>
    </cfRule>
    <cfRule type="cellIs" dxfId="3445" priority="3366" operator="greaterThan">
      <formula>C13</formula>
    </cfRule>
    <cfRule type="cellIs" dxfId="3444" priority="3367" operator="lessThan">
      <formula>C13</formula>
    </cfRule>
  </conditionalFormatting>
  <conditionalFormatting sqref="D14">
    <cfRule type="expression" dxfId="3443" priority="3358">
      <formula>C14="-"</formula>
    </cfRule>
    <cfRule type="cellIs" dxfId="3442" priority="3359" operator="equal">
      <formula>"-"</formula>
    </cfRule>
    <cfRule type="cellIs" dxfId="3441" priority="3360" operator="equal">
      <formula>C14</formula>
    </cfRule>
    <cfRule type="cellIs" dxfId="3440" priority="3361" operator="greaterThan">
      <formula>C14</formula>
    </cfRule>
    <cfRule type="cellIs" dxfId="3439" priority="3362" operator="lessThan">
      <formula>C14</formula>
    </cfRule>
  </conditionalFormatting>
  <conditionalFormatting sqref="D15">
    <cfRule type="expression" dxfId="3438" priority="3353">
      <formula>C15="-"</formula>
    </cfRule>
    <cfRule type="cellIs" dxfId="3437" priority="3354" operator="equal">
      <formula>"-"</formula>
    </cfRule>
    <cfRule type="cellIs" dxfId="3436" priority="3355" operator="equal">
      <formula>C15</formula>
    </cfRule>
    <cfRule type="cellIs" dxfId="3435" priority="3356" operator="greaterThan">
      <formula>C15</formula>
    </cfRule>
    <cfRule type="cellIs" dxfId="3434" priority="3357" operator="lessThan">
      <formula>C15</formula>
    </cfRule>
  </conditionalFormatting>
  <conditionalFormatting sqref="D16">
    <cfRule type="expression" dxfId="3433" priority="3348">
      <formula>C16="-"</formula>
    </cfRule>
    <cfRule type="cellIs" dxfId="3432" priority="3349" operator="equal">
      <formula>"-"</formula>
    </cfRule>
    <cfRule type="cellIs" dxfId="3431" priority="3350" operator="equal">
      <formula>C16</formula>
    </cfRule>
    <cfRule type="cellIs" dxfId="3430" priority="3351" operator="greaterThan">
      <formula>C16</formula>
    </cfRule>
    <cfRule type="cellIs" dxfId="3429" priority="3352" operator="lessThan">
      <formula>C16</formula>
    </cfRule>
  </conditionalFormatting>
  <conditionalFormatting sqref="D17">
    <cfRule type="expression" dxfId="3428" priority="3343">
      <formula>C17="-"</formula>
    </cfRule>
    <cfRule type="cellIs" dxfId="3427" priority="3344" operator="equal">
      <formula>"-"</formula>
    </cfRule>
    <cfRule type="cellIs" dxfId="3426" priority="3345" operator="equal">
      <formula>C17</formula>
    </cfRule>
    <cfRule type="cellIs" dxfId="3425" priority="3346" operator="greaterThan">
      <formula>C17</formula>
    </cfRule>
    <cfRule type="cellIs" dxfId="3424" priority="3347" operator="lessThan">
      <formula>C17</formula>
    </cfRule>
  </conditionalFormatting>
  <conditionalFormatting sqref="D18">
    <cfRule type="expression" dxfId="3423" priority="3338">
      <formula>C18="-"</formula>
    </cfRule>
    <cfRule type="cellIs" dxfId="3422" priority="3339" operator="equal">
      <formula>"-"</formula>
    </cfRule>
    <cfRule type="cellIs" dxfId="3421" priority="3340" operator="equal">
      <formula>C18</formula>
    </cfRule>
    <cfRule type="cellIs" dxfId="3420" priority="3341" operator="greaterThan">
      <formula>C18</formula>
    </cfRule>
    <cfRule type="cellIs" dxfId="3419" priority="3342" operator="lessThan">
      <formula>C18</formula>
    </cfRule>
  </conditionalFormatting>
  <conditionalFormatting sqref="D19">
    <cfRule type="expression" dxfId="3418" priority="3333">
      <formula>C19="-"</formula>
    </cfRule>
    <cfRule type="cellIs" dxfId="3417" priority="3334" operator="equal">
      <formula>"-"</formula>
    </cfRule>
    <cfRule type="cellIs" dxfId="3416" priority="3335" operator="equal">
      <formula>C19</formula>
    </cfRule>
    <cfRule type="cellIs" dxfId="3415" priority="3336" operator="greaterThan">
      <formula>C19</formula>
    </cfRule>
    <cfRule type="cellIs" dxfId="3414" priority="3337" operator="lessThan">
      <formula>C19</formula>
    </cfRule>
  </conditionalFormatting>
  <conditionalFormatting sqref="D20">
    <cfRule type="expression" dxfId="3413" priority="3328">
      <formula>C20="-"</formula>
    </cfRule>
    <cfRule type="cellIs" dxfId="3412" priority="3329" operator="equal">
      <formula>"-"</formula>
    </cfRule>
    <cfRule type="cellIs" dxfId="3411" priority="3330" operator="equal">
      <formula>C20</formula>
    </cfRule>
    <cfRule type="cellIs" dxfId="3410" priority="3331" operator="greaterThan">
      <formula>C20</formula>
    </cfRule>
    <cfRule type="cellIs" dxfId="3409" priority="3332" operator="lessThan">
      <formula>C20</formula>
    </cfRule>
  </conditionalFormatting>
  <conditionalFormatting sqref="D21">
    <cfRule type="expression" dxfId="3408" priority="3323">
      <formula>C21="-"</formula>
    </cfRule>
    <cfRule type="cellIs" dxfId="3407" priority="3324" operator="equal">
      <formula>"-"</formula>
    </cfRule>
    <cfRule type="cellIs" dxfId="3406" priority="3325" operator="equal">
      <formula>C21</formula>
    </cfRule>
    <cfRule type="cellIs" dxfId="3405" priority="3326" operator="greaterThan">
      <formula>C21</formula>
    </cfRule>
    <cfRule type="cellIs" dxfId="3404" priority="3327" operator="lessThan">
      <formula>C21</formula>
    </cfRule>
  </conditionalFormatting>
  <conditionalFormatting sqref="D22">
    <cfRule type="expression" dxfId="3403" priority="3318">
      <formula>C22="-"</formula>
    </cfRule>
    <cfRule type="cellIs" dxfId="3402" priority="3319" operator="equal">
      <formula>"-"</formula>
    </cfRule>
    <cfRule type="cellIs" dxfId="3401" priority="3320" operator="equal">
      <formula>C22</formula>
    </cfRule>
    <cfRule type="cellIs" dxfId="3400" priority="3321" operator="greaterThan">
      <formula>C22</formula>
    </cfRule>
    <cfRule type="cellIs" dxfId="3399" priority="3322" operator="lessThan">
      <formula>C22</formula>
    </cfRule>
  </conditionalFormatting>
  <conditionalFormatting sqref="D23">
    <cfRule type="expression" dxfId="3398" priority="3313">
      <formula>C23="-"</formula>
    </cfRule>
    <cfRule type="cellIs" dxfId="3397" priority="3314" operator="equal">
      <formula>"-"</formula>
    </cfRule>
    <cfRule type="cellIs" dxfId="3396" priority="3315" operator="equal">
      <formula>C23</formula>
    </cfRule>
    <cfRule type="cellIs" dxfId="3395" priority="3316" operator="greaterThan">
      <formula>C23</formula>
    </cfRule>
    <cfRule type="cellIs" dxfId="3394" priority="3317" operator="lessThan">
      <formula>C23</formula>
    </cfRule>
  </conditionalFormatting>
  <conditionalFormatting sqref="D24">
    <cfRule type="expression" dxfId="3393" priority="3308">
      <formula>C24="-"</formula>
    </cfRule>
    <cfRule type="cellIs" dxfId="3392" priority="3309" operator="equal">
      <formula>"-"</formula>
    </cfRule>
    <cfRule type="cellIs" dxfId="3391" priority="3310" operator="equal">
      <formula>C24</formula>
    </cfRule>
    <cfRule type="cellIs" dxfId="3390" priority="3311" operator="greaterThan">
      <formula>C24</formula>
    </cfRule>
    <cfRule type="cellIs" dxfId="3389" priority="3312" operator="lessThan">
      <formula>C24</formula>
    </cfRule>
  </conditionalFormatting>
  <conditionalFormatting sqref="D25">
    <cfRule type="expression" dxfId="3388" priority="3303">
      <formula>C25="-"</formula>
    </cfRule>
    <cfRule type="cellIs" dxfId="3387" priority="3304" operator="equal">
      <formula>"-"</formula>
    </cfRule>
    <cfRule type="cellIs" dxfId="3386" priority="3305" operator="equal">
      <formula>C25</formula>
    </cfRule>
    <cfRule type="cellIs" dxfId="3385" priority="3306" operator="greaterThan">
      <formula>C25</formula>
    </cfRule>
    <cfRule type="cellIs" dxfId="3384" priority="3307" operator="lessThan">
      <formula>C25</formula>
    </cfRule>
  </conditionalFormatting>
  <conditionalFormatting sqref="D26">
    <cfRule type="expression" dxfId="3383" priority="3298">
      <formula>C26="-"</formula>
    </cfRule>
    <cfRule type="cellIs" dxfId="3382" priority="3299" operator="equal">
      <formula>"-"</formula>
    </cfRule>
    <cfRule type="cellIs" dxfId="3381" priority="3300" operator="equal">
      <formula>C26</formula>
    </cfRule>
    <cfRule type="cellIs" dxfId="3380" priority="3301" operator="greaterThan">
      <formula>C26</formula>
    </cfRule>
    <cfRule type="cellIs" dxfId="3379" priority="3302" operator="lessThan">
      <formula>C26</formula>
    </cfRule>
  </conditionalFormatting>
  <conditionalFormatting sqref="D27">
    <cfRule type="expression" dxfId="3378" priority="3293">
      <formula>C27="-"</formula>
    </cfRule>
    <cfRule type="cellIs" dxfId="3377" priority="3294" operator="equal">
      <formula>"-"</formula>
    </cfRule>
    <cfRule type="cellIs" dxfId="3376" priority="3295" operator="equal">
      <formula>C27</formula>
    </cfRule>
    <cfRule type="cellIs" dxfId="3375" priority="3296" operator="greaterThan">
      <formula>C27</formula>
    </cfRule>
    <cfRule type="cellIs" dxfId="3374" priority="3297" operator="lessThan">
      <formula>C27</formula>
    </cfRule>
  </conditionalFormatting>
  <conditionalFormatting sqref="D28">
    <cfRule type="expression" dxfId="3373" priority="3288">
      <formula>C28="-"</formula>
    </cfRule>
    <cfRule type="cellIs" dxfId="3372" priority="3289" operator="equal">
      <formula>"-"</formula>
    </cfRule>
    <cfRule type="cellIs" dxfId="3371" priority="3290" operator="equal">
      <formula>C28</formula>
    </cfRule>
    <cfRule type="cellIs" dxfId="3370" priority="3291" operator="greaterThan">
      <formula>C28</formula>
    </cfRule>
    <cfRule type="cellIs" dxfId="3369" priority="3292" operator="lessThan">
      <formula>C28</formula>
    </cfRule>
  </conditionalFormatting>
  <conditionalFormatting sqref="E4">
    <cfRule type="expression" dxfId="3368" priority="3283">
      <formula>D4="-"</formula>
    </cfRule>
    <cfRule type="cellIs" dxfId="3367" priority="3284" operator="equal">
      <formula>"-"</formula>
    </cfRule>
    <cfRule type="cellIs" dxfId="3366" priority="3285" operator="equal">
      <formula>D4</formula>
    </cfRule>
    <cfRule type="cellIs" dxfId="3365" priority="3286" operator="greaterThan">
      <formula>D4</formula>
    </cfRule>
    <cfRule type="cellIs" dxfId="3364" priority="3287" operator="lessThan">
      <formula>D4</formula>
    </cfRule>
  </conditionalFormatting>
  <conditionalFormatting sqref="E5">
    <cfRule type="expression" dxfId="3363" priority="3278">
      <formula>D5="-"</formula>
    </cfRule>
    <cfRule type="cellIs" dxfId="3362" priority="3279" operator="equal">
      <formula>"-"</formula>
    </cfRule>
    <cfRule type="cellIs" dxfId="3361" priority="3280" operator="equal">
      <formula>D5</formula>
    </cfRule>
    <cfRule type="cellIs" dxfId="3360" priority="3281" operator="greaterThan">
      <formula>D5</formula>
    </cfRule>
    <cfRule type="cellIs" dxfId="3359" priority="3282" operator="lessThan">
      <formula>D5</formula>
    </cfRule>
  </conditionalFormatting>
  <conditionalFormatting sqref="E6">
    <cfRule type="expression" dxfId="3358" priority="3273">
      <formula>D6="-"</formula>
    </cfRule>
    <cfRule type="cellIs" dxfId="3357" priority="3274" operator="equal">
      <formula>"-"</formula>
    </cfRule>
    <cfRule type="cellIs" dxfId="3356" priority="3275" operator="equal">
      <formula>D6</formula>
    </cfRule>
    <cfRule type="cellIs" dxfId="3355" priority="3276" operator="greaterThan">
      <formula>D6</formula>
    </cfRule>
    <cfRule type="cellIs" dxfId="3354" priority="3277" operator="lessThan">
      <formula>D6</formula>
    </cfRule>
  </conditionalFormatting>
  <conditionalFormatting sqref="E7">
    <cfRule type="expression" dxfId="3353" priority="3268">
      <formula>D7="-"</formula>
    </cfRule>
    <cfRule type="cellIs" dxfId="3352" priority="3269" operator="equal">
      <formula>"-"</formula>
    </cfRule>
    <cfRule type="cellIs" dxfId="3351" priority="3270" operator="equal">
      <formula>D7</formula>
    </cfRule>
    <cfRule type="cellIs" dxfId="3350" priority="3271" operator="greaterThan">
      <formula>D7</formula>
    </cfRule>
    <cfRule type="cellIs" dxfId="3349" priority="3272" operator="lessThan">
      <formula>D7</formula>
    </cfRule>
  </conditionalFormatting>
  <conditionalFormatting sqref="E8">
    <cfRule type="expression" dxfId="3348" priority="3263">
      <formula>D8="-"</formula>
    </cfRule>
    <cfRule type="cellIs" dxfId="3347" priority="3264" operator="equal">
      <formula>"-"</formula>
    </cfRule>
    <cfRule type="cellIs" dxfId="3346" priority="3265" operator="equal">
      <formula>D8</formula>
    </cfRule>
    <cfRule type="cellIs" dxfId="3345" priority="3266" operator="greaterThan">
      <formula>D8</formula>
    </cfRule>
    <cfRule type="cellIs" dxfId="3344" priority="3267" operator="lessThan">
      <formula>D8</formula>
    </cfRule>
  </conditionalFormatting>
  <conditionalFormatting sqref="E9">
    <cfRule type="expression" dxfId="3343" priority="3258">
      <formula>D9="-"</formula>
    </cfRule>
    <cfRule type="cellIs" dxfId="3342" priority="3259" operator="equal">
      <formula>"-"</formula>
    </cfRule>
    <cfRule type="cellIs" dxfId="3341" priority="3260" operator="equal">
      <formula>D9</formula>
    </cfRule>
    <cfRule type="cellIs" dxfId="3340" priority="3261" operator="greaterThan">
      <formula>D9</formula>
    </cfRule>
    <cfRule type="cellIs" dxfId="3339" priority="3262" operator="lessThan">
      <formula>D9</formula>
    </cfRule>
  </conditionalFormatting>
  <conditionalFormatting sqref="E10">
    <cfRule type="expression" dxfId="3338" priority="3253">
      <formula>D10="-"</formula>
    </cfRule>
    <cfRule type="cellIs" dxfId="3337" priority="3254" operator="equal">
      <formula>"-"</formula>
    </cfRule>
    <cfRule type="cellIs" dxfId="3336" priority="3255" operator="equal">
      <formula>D10</formula>
    </cfRule>
    <cfRule type="cellIs" dxfId="3335" priority="3256" operator="greaterThan">
      <formula>D10</formula>
    </cfRule>
    <cfRule type="cellIs" dxfId="3334" priority="3257" operator="lessThan">
      <formula>D10</formula>
    </cfRule>
  </conditionalFormatting>
  <conditionalFormatting sqref="E11">
    <cfRule type="expression" dxfId="3333" priority="3248">
      <formula>D11="-"</formula>
    </cfRule>
    <cfRule type="cellIs" dxfId="3332" priority="3249" operator="equal">
      <formula>"-"</formula>
    </cfRule>
    <cfRule type="cellIs" dxfId="3331" priority="3250" operator="equal">
      <formula>D11</formula>
    </cfRule>
    <cfRule type="cellIs" dxfId="3330" priority="3251" operator="greaterThan">
      <formula>D11</formula>
    </cfRule>
    <cfRule type="cellIs" dxfId="3329" priority="3252" operator="lessThan">
      <formula>D11</formula>
    </cfRule>
  </conditionalFormatting>
  <conditionalFormatting sqref="E12">
    <cfRule type="expression" dxfId="3328" priority="3243">
      <formula>D12="-"</formula>
    </cfRule>
    <cfRule type="cellIs" dxfId="3327" priority="3244" operator="equal">
      <formula>"-"</formula>
    </cfRule>
    <cfRule type="cellIs" dxfId="3326" priority="3245" operator="equal">
      <formula>D12</formula>
    </cfRule>
    <cfRule type="cellIs" dxfId="3325" priority="3246" operator="greaterThan">
      <formula>D12</formula>
    </cfRule>
    <cfRule type="cellIs" dxfId="3324" priority="3247" operator="lessThan">
      <formula>D12</formula>
    </cfRule>
  </conditionalFormatting>
  <conditionalFormatting sqref="E13">
    <cfRule type="expression" dxfId="3323" priority="3238">
      <formula>D13="-"</formula>
    </cfRule>
    <cfRule type="cellIs" dxfId="3322" priority="3239" operator="equal">
      <formula>"-"</formula>
    </cfRule>
    <cfRule type="cellIs" dxfId="3321" priority="3240" operator="equal">
      <formula>D13</formula>
    </cfRule>
    <cfRule type="cellIs" dxfId="3320" priority="3241" operator="greaterThan">
      <formula>D13</formula>
    </cfRule>
    <cfRule type="cellIs" dxfId="3319" priority="3242" operator="lessThan">
      <formula>D13</formula>
    </cfRule>
  </conditionalFormatting>
  <conditionalFormatting sqref="E14">
    <cfRule type="expression" dxfId="3318" priority="3233">
      <formula>D14="-"</formula>
    </cfRule>
    <cfRule type="cellIs" dxfId="3317" priority="3234" operator="equal">
      <formula>"-"</formula>
    </cfRule>
    <cfRule type="cellIs" dxfId="3316" priority="3235" operator="equal">
      <formula>D14</formula>
    </cfRule>
    <cfRule type="cellIs" dxfId="3315" priority="3236" operator="greaterThan">
      <formula>D14</formula>
    </cfRule>
    <cfRule type="cellIs" dxfId="3314" priority="3237" operator="lessThan">
      <formula>D14</formula>
    </cfRule>
  </conditionalFormatting>
  <conditionalFormatting sqref="E15">
    <cfRule type="expression" dxfId="3313" priority="3228">
      <formula>D15="-"</formula>
    </cfRule>
    <cfRule type="cellIs" dxfId="3312" priority="3229" operator="equal">
      <formula>"-"</formula>
    </cfRule>
    <cfRule type="cellIs" dxfId="3311" priority="3230" operator="equal">
      <formula>D15</formula>
    </cfRule>
    <cfRule type="cellIs" dxfId="3310" priority="3231" operator="greaterThan">
      <formula>D15</formula>
    </cfRule>
    <cfRule type="cellIs" dxfId="3309" priority="3232" operator="lessThan">
      <formula>D15</formula>
    </cfRule>
  </conditionalFormatting>
  <conditionalFormatting sqref="E16">
    <cfRule type="expression" dxfId="3308" priority="3223">
      <formula>D16="-"</formula>
    </cfRule>
    <cfRule type="cellIs" dxfId="3307" priority="3224" operator="equal">
      <formula>"-"</formula>
    </cfRule>
    <cfRule type="cellIs" dxfId="3306" priority="3225" operator="equal">
      <formula>D16</formula>
    </cfRule>
    <cfRule type="cellIs" dxfId="3305" priority="3226" operator="greaterThan">
      <formula>D16</formula>
    </cfRule>
    <cfRule type="cellIs" dxfId="3304" priority="3227" operator="lessThan">
      <formula>D16</formula>
    </cfRule>
  </conditionalFormatting>
  <conditionalFormatting sqref="E17">
    <cfRule type="expression" dxfId="3303" priority="3218">
      <formula>D17="-"</formula>
    </cfRule>
    <cfRule type="cellIs" dxfId="3302" priority="3219" operator="equal">
      <formula>"-"</formula>
    </cfRule>
    <cfRule type="cellIs" dxfId="3301" priority="3220" operator="equal">
      <formula>D17</formula>
    </cfRule>
    <cfRule type="cellIs" dxfId="3300" priority="3221" operator="greaterThan">
      <formula>D17</formula>
    </cfRule>
    <cfRule type="cellIs" dxfId="3299" priority="3222" operator="lessThan">
      <formula>D17</formula>
    </cfRule>
  </conditionalFormatting>
  <conditionalFormatting sqref="E18">
    <cfRule type="expression" dxfId="3298" priority="3213">
      <formula>D18="-"</formula>
    </cfRule>
    <cfRule type="cellIs" dxfId="3297" priority="3214" operator="equal">
      <formula>"-"</formula>
    </cfRule>
    <cfRule type="cellIs" dxfId="3296" priority="3215" operator="equal">
      <formula>D18</formula>
    </cfRule>
    <cfRule type="cellIs" dxfId="3295" priority="3216" operator="greaterThan">
      <formula>D18</formula>
    </cfRule>
    <cfRule type="cellIs" dxfId="3294" priority="3217" operator="lessThan">
      <formula>D18</formula>
    </cfRule>
  </conditionalFormatting>
  <conditionalFormatting sqref="E19">
    <cfRule type="expression" dxfId="3293" priority="3208">
      <formula>D19="-"</formula>
    </cfRule>
    <cfRule type="cellIs" dxfId="3292" priority="3209" operator="equal">
      <formula>"-"</formula>
    </cfRule>
    <cfRule type="cellIs" dxfId="3291" priority="3210" operator="equal">
      <formula>D19</formula>
    </cfRule>
    <cfRule type="cellIs" dxfId="3290" priority="3211" operator="greaterThan">
      <formula>D19</formula>
    </cfRule>
    <cfRule type="cellIs" dxfId="3289" priority="3212" operator="lessThan">
      <formula>D19</formula>
    </cfRule>
  </conditionalFormatting>
  <conditionalFormatting sqref="E20">
    <cfRule type="expression" dxfId="3288" priority="3203">
      <formula>D20="-"</formula>
    </cfRule>
    <cfRule type="cellIs" dxfId="3287" priority="3204" operator="equal">
      <formula>"-"</formula>
    </cfRule>
    <cfRule type="cellIs" dxfId="3286" priority="3205" operator="equal">
      <formula>D20</formula>
    </cfRule>
    <cfRule type="cellIs" dxfId="3285" priority="3206" operator="greaterThan">
      <formula>D20</formula>
    </cfRule>
    <cfRule type="cellIs" dxfId="3284" priority="3207" operator="lessThan">
      <formula>D20</formula>
    </cfRule>
  </conditionalFormatting>
  <conditionalFormatting sqref="E21">
    <cfRule type="expression" dxfId="3283" priority="3198">
      <formula>D21="-"</formula>
    </cfRule>
    <cfRule type="cellIs" dxfId="3282" priority="3199" operator="equal">
      <formula>"-"</formula>
    </cfRule>
    <cfRule type="cellIs" dxfId="3281" priority="3200" operator="equal">
      <formula>D21</formula>
    </cfRule>
    <cfRule type="cellIs" dxfId="3280" priority="3201" operator="greaterThan">
      <formula>D21</formula>
    </cfRule>
    <cfRule type="cellIs" dxfId="3279" priority="3202" operator="lessThan">
      <formula>D21</formula>
    </cfRule>
  </conditionalFormatting>
  <conditionalFormatting sqref="E22">
    <cfRule type="expression" dxfId="3278" priority="3193">
      <formula>D22="-"</formula>
    </cfRule>
    <cfRule type="cellIs" dxfId="3277" priority="3194" operator="equal">
      <formula>"-"</formula>
    </cfRule>
    <cfRule type="cellIs" dxfId="3276" priority="3195" operator="equal">
      <formula>D22</formula>
    </cfRule>
    <cfRule type="cellIs" dxfId="3275" priority="3196" operator="greaterThan">
      <formula>D22</formula>
    </cfRule>
    <cfRule type="cellIs" dxfId="3274" priority="3197" operator="lessThan">
      <formula>D22</formula>
    </cfRule>
  </conditionalFormatting>
  <conditionalFormatting sqref="E23">
    <cfRule type="expression" dxfId="3273" priority="3188">
      <formula>D23="-"</formula>
    </cfRule>
    <cfRule type="cellIs" dxfId="3272" priority="3189" operator="equal">
      <formula>"-"</formula>
    </cfRule>
    <cfRule type="cellIs" dxfId="3271" priority="3190" operator="equal">
      <formula>D23</formula>
    </cfRule>
    <cfRule type="cellIs" dxfId="3270" priority="3191" operator="greaterThan">
      <formula>D23</formula>
    </cfRule>
    <cfRule type="cellIs" dxfId="3269" priority="3192" operator="lessThan">
      <formula>D23</formula>
    </cfRule>
  </conditionalFormatting>
  <conditionalFormatting sqref="E24">
    <cfRule type="expression" dxfId="3268" priority="3183">
      <formula>D24="-"</formula>
    </cfRule>
    <cfRule type="cellIs" dxfId="3267" priority="3184" operator="equal">
      <formula>"-"</formula>
    </cfRule>
    <cfRule type="cellIs" dxfId="3266" priority="3185" operator="equal">
      <formula>D24</formula>
    </cfRule>
    <cfRule type="cellIs" dxfId="3265" priority="3186" operator="greaterThan">
      <formula>D24</formula>
    </cfRule>
    <cfRule type="cellIs" dxfId="3264" priority="3187" operator="lessThan">
      <formula>D24</formula>
    </cfRule>
  </conditionalFormatting>
  <conditionalFormatting sqref="E25">
    <cfRule type="expression" dxfId="3263" priority="3178">
      <formula>D25="-"</formula>
    </cfRule>
    <cfRule type="cellIs" dxfId="3262" priority="3179" operator="equal">
      <formula>"-"</formula>
    </cfRule>
    <cfRule type="cellIs" dxfId="3261" priority="3180" operator="equal">
      <formula>D25</formula>
    </cfRule>
    <cfRule type="cellIs" dxfId="3260" priority="3181" operator="greaterThan">
      <formula>D25</formula>
    </cfRule>
    <cfRule type="cellIs" dxfId="3259" priority="3182" operator="lessThan">
      <formula>D25</formula>
    </cfRule>
  </conditionalFormatting>
  <conditionalFormatting sqref="E26">
    <cfRule type="expression" dxfId="3258" priority="3173">
      <formula>D26="-"</formula>
    </cfRule>
    <cfRule type="cellIs" dxfId="3257" priority="3174" operator="equal">
      <formula>"-"</formula>
    </cfRule>
    <cfRule type="cellIs" dxfId="3256" priority="3175" operator="equal">
      <formula>D26</formula>
    </cfRule>
    <cfRule type="cellIs" dxfId="3255" priority="3176" operator="greaterThan">
      <formula>D26</formula>
    </cfRule>
    <cfRule type="cellIs" dxfId="3254" priority="3177" operator="lessThan">
      <formula>D26</formula>
    </cfRule>
  </conditionalFormatting>
  <conditionalFormatting sqref="E27">
    <cfRule type="expression" dxfId="3253" priority="3168">
      <formula>D27="-"</formula>
    </cfRule>
    <cfRule type="cellIs" dxfId="3252" priority="3169" operator="equal">
      <formula>"-"</formula>
    </cfRule>
    <cfRule type="cellIs" dxfId="3251" priority="3170" operator="equal">
      <formula>D27</formula>
    </cfRule>
    <cfRule type="cellIs" dxfId="3250" priority="3171" operator="greaterThan">
      <formula>D27</formula>
    </cfRule>
    <cfRule type="cellIs" dxfId="3249" priority="3172" operator="lessThan">
      <formula>D27</formula>
    </cfRule>
  </conditionalFormatting>
  <conditionalFormatting sqref="E28">
    <cfRule type="expression" dxfId="3248" priority="3163">
      <formula>D28="-"</formula>
    </cfRule>
    <cfRule type="cellIs" dxfId="3247" priority="3164" operator="equal">
      <formula>"-"</formula>
    </cfRule>
    <cfRule type="cellIs" dxfId="3246" priority="3165" operator="equal">
      <formula>D28</formula>
    </cfRule>
    <cfRule type="cellIs" dxfId="3245" priority="3166" operator="greaterThan">
      <formula>D28</formula>
    </cfRule>
    <cfRule type="cellIs" dxfId="3244" priority="3167" operator="lessThan">
      <formula>D28</formula>
    </cfRule>
  </conditionalFormatting>
  <conditionalFormatting sqref="F4">
    <cfRule type="expression" dxfId="3243" priority="3158">
      <formula>E4="-"</formula>
    </cfRule>
    <cfRule type="cellIs" dxfId="3242" priority="3159" operator="equal">
      <formula>"-"</formula>
    </cfRule>
    <cfRule type="cellIs" dxfId="3241" priority="3160" operator="equal">
      <formula>E4</formula>
    </cfRule>
    <cfRule type="cellIs" dxfId="3240" priority="3161" operator="greaterThan">
      <formula>E4</formula>
    </cfRule>
    <cfRule type="cellIs" dxfId="3239" priority="3162" operator="lessThan">
      <formula>E4</formula>
    </cfRule>
  </conditionalFormatting>
  <conditionalFormatting sqref="F5">
    <cfRule type="expression" dxfId="3238" priority="3153">
      <formula>E5="-"</formula>
    </cfRule>
    <cfRule type="cellIs" dxfId="3237" priority="3154" operator="equal">
      <formula>"-"</formula>
    </cfRule>
    <cfRule type="cellIs" dxfId="3236" priority="3155" operator="equal">
      <formula>E5</formula>
    </cfRule>
    <cfRule type="cellIs" dxfId="3235" priority="3156" operator="greaterThan">
      <formula>E5</formula>
    </cfRule>
    <cfRule type="cellIs" dxfId="3234" priority="3157" operator="lessThan">
      <formula>E5</formula>
    </cfRule>
  </conditionalFormatting>
  <conditionalFormatting sqref="F6">
    <cfRule type="expression" dxfId="3233" priority="3148">
      <formula>E6="-"</formula>
    </cfRule>
    <cfRule type="cellIs" dxfId="3232" priority="3149" operator="equal">
      <formula>"-"</formula>
    </cfRule>
    <cfRule type="cellIs" dxfId="3231" priority="3150" operator="equal">
      <formula>E6</formula>
    </cfRule>
    <cfRule type="cellIs" dxfId="3230" priority="3151" operator="greaterThan">
      <formula>E6</formula>
    </cfRule>
    <cfRule type="cellIs" dxfId="3229" priority="3152" operator="lessThan">
      <formula>E6</formula>
    </cfRule>
  </conditionalFormatting>
  <conditionalFormatting sqref="F7">
    <cfRule type="expression" dxfId="3228" priority="3143">
      <formula>E7="-"</formula>
    </cfRule>
    <cfRule type="cellIs" dxfId="3227" priority="3144" operator="equal">
      <formula>"-"</formula>
    </cfRule>
    <cfRule type="cellIs" dxfId="3226" priority="3145" operator="equal">
      <formula>E7</formula>
    </cfRule>
    <cfRule type="cellIs" dxfId="3225" priority="3146" operator="greaterThan">
      <formula>E7</formula>
    </cfRule>
    <cfRule type="cellIs" dxfId="3224" priority="3147" operator="lessThan">
      <formula>E7</formula>
    </cfRule>
  </conditionalFormatting>
  <conditionalFormatting sqref="F8">
    <cfRule type="expression" dxfId="3223" priority="3138">
      <formula>E8="-"</formula>
    </cfRule>
    <cfRule type="cellIs" dxfId="3222" priority="3139" operator="equal">
      <formula>"-"</formula>
    </cfRule>
    <cfRule type="cellIs" dxfId="3221" priority="3140" operator="equal">
      <formula>E8</formula>
    </cfRule>
    <cfRule type="cellIs" dxfId="3220" priority="3141" operator="greaterThan">
      <formula>E8</formula>
    </cfRule>
    <cfRule type="cellIs" dxfId="3219" priority="3142" operator="lessThan">
      <formula>E8</formula>
    </cfRule>
  </conditionalFormatting>
  <conditionalFormatting sqref="F9">
    <cfRule type="expression" dxfId="3218" priority="3133">
      <formula>E9="-"</formula>
    </cfRule>
    <cfRule type="cellIs" dxfId="3217" priority="3134" operator="equal">
      <formula>"-"</formula>
    </cfRule>
    <cfRule type="cellIs" dxfId="3216" priority="3135" operator="equal">
      <formula>E9</formula>
    </cfRule>
    <cfRule type="cellIs" dxfId="3215" priority="3136" operator="greaterThan">
      <formula>E9</formula>
    </cfRule>
    <cfRule type="cellIs" dxfId="3214" priority="3137" operator="lessThan">
      <formula>E9</formula>
    </cfRule>
  </conditionalFormatting>
  <conditionalFormatting sqref="F10">
    <cfRule type="expression" dxfId="3213" priority="3128">
      <formula>E10="-"</formula>
    </cfRule>
    <cfRule type="cellIs" dxfId="3212" priority="3129" operator="equal">
      <formula>"-"</formula>
    </cfRule>
    <cfRule type="cellIs" dxfId="3211" priority="3130" operator="equal">
      <formula>E10</formula>
    </cfRule>
    <cfRule type="cellIs" dxfId="3210" priority="3131" operator="greaterThan">
      <formula>E10</formula>
    </cfRule>
    <cfRule type="cellIs" dxfId="3209" priority="3132" operator="lessThan">
      <formula>E10</formula>
    </cfRule>
  </conditionalFormatting>
  <conditionalFormatting sqref="F11">
    <cfRule type="expression" dxfId="3208" priority="3123">
      <formula>E11="-"</formula>
    </cfRule>
    <cfRule type="cellIs" dxfId="3207" priority="3124" operator="equal">
      <formula>"-"</formula>
    </cfRule>
    <cfRule type="cellIs" dxfId="3206" priority="3125" operator="equal">
      <formula>E11</formula>
    </cfRule>
    <cfRule type="cellIs" dxfId="3205" priority="3126" operator="greaterThan">
      <formula>E11</formula>
    </cfRule>
    <cfRule type="cellIs" dxfId="3204" priority="3127" operator="lessThan">
      <formula>E11</formula>
    </cfRule>
  </conditionalFormatting>
  <conditionalFormatting sqref="F12">
    <cfRule type="expression" dxfId="3203" priority="3118">
      <formula>E12="-"</formula>
    </cfRule>
    <cfRule type="cellIs" dxfId="3202" priority="3119" operator="equal">
      <formula>"-"</formula>
    </cfRule>
    <cfRule type="cellIs" dxfId="3201" priority="3120" operator="equal">
      <formula>E12</formula>
    </cfRule>
    <cfRule type="cellIs" dxfId="3200" priority="3121" operator="greaterThan">
      <formula>E12</formula>
    </cfRule>
    <cfRule type="cellIs" dxfId="3199" priority="3122" operator="lessThan">
      <formula>E12</formula>
    </cfRule>
  </conditionalFormatting>
  <conditionalFormatting sqref="F13">
    <cfRule type="expression" dxfId="3198" priority="3113">
      <formula>E13="-"</formula>
    </cfRule>
    <cfRule type="cellIs" dxfId="3197" priority="3114" operator="equal">
      <formula>"-"</formula>
    </cfRule>
    <cfRule type="cellIs" dxfId="3196" priority="3115" operator="equal">
      <formula>E13</formula>
    </cfRule>
    <cfRule type="cellIs" dxfId="3195" priority="3116" operator="greaterThan">
      <formula>E13</formula>
    </cfRule>
    <cfRule type="cellIs" dxfId="3194" priority="3117" operator="lessThan">
      <formula>E13</formula>
    </cfRule>
  </conditionalFormatting>
  <conditionalFormatting sqref="F14">
    <cfRule type="expression" dxfId="3193" priority="3108">
      <formula>E14="-"</formula>
    </cfRule>
    <cfRule type="cellIs" dxfId="3192" priority="3109" operator="equal">
      <formula>"-"</formula>
    </cfRule>
    <cfRule type="cellIs" dxfId="3191" priority="3110" operator="equal">
      <formula>E14</formula>
    </cfRule>
    <cfRule type="cellIs" dxfId="3190" priority="3111" operator="greaterThan">
      <formula>E14</formula>
    </cfRule>
    <cfRule type="cellIs" dxfId="3189" priority="3112" operator="lessThan">
      <formula>E14</formula>
    </cfRule>
  </conditionalFormatting>
  <conditionalFormatting sqref="F15">
    <cfRule type="expression" dxfId="3188" priority="3103">
      <formula>E15="-"</formula>
    </cfRule>
    <cfRule type="cellIs" dxfId="3187" priority="3104" operator="equal">
      <formula>"-"</formula>
    </cfRule>
    <cfRule type="cellIs" dxfId="3186" priority="3105" operator="equal">
      <formula>E15</formula>
    </cfRule>
    <cfRule type="cellIs" dxfId="3185" priority="3106" operator="greaterThan">
      <formula>E15</formula>
    </cfRule>
    <cfRule type="cellIs" dxfId="3184" priority="3107" operator="lessThan">
      <formula>E15</formula>
    </cfRule>
  </conditionalFormatting>
  <conditionalFormatting sqref="F16">
    <cfRule type="expression" dxfId="3183" priority="3098">
      <formula>E16="-"</formula>
    </cfRule>
    <cfRule type="cellIs" dxfId="3182" priority="3099" operator="equal">
      <formula>"-"</formula>
    </cfRule>
    <cfRule type="cellIs" dxfId="3181" priority="3100" operator="equal">
      <formula>E16</formula>
    </cfRule>
    <cfRule type="cellIs" dxfId="3180" priority="3101" operator="greaterThan">
      <formula>E16</formula>
    </cfRule>
    <cfRule type="cellIs" dxfId="3179" priority="3102" operator="lessThan">
      <formula>E16</formula>
    </cfRule>
  </conditionalFormatting>
  <conditionalFormatting sqref="F17">
    <cfRule type="expression" dxfId="3178" priority="3093">
      <formula>E17="-"</formula>
    </cfRule>
    <cfRule type="cellIs" dxfId="3177" priority="3094" operator="equal">
      <formula>"-"</formula>
    </cfRule>
    <cfRule type="cellIs" dxfId="3176" priority="3095" operator="equal">
      <formula>E17</formula>
    </cfRule>
    <cfRule type="cellIs" dxfId="3175" priority="3096" operator="greaterThan">
      <formula>E17</formula>
    </cfRule>
    <cfRule type="cellIs" dxfId="3174" priority="3097" operator="lessThan">
      <formula>E17</formula>
    </cfRule>
  </conditionalFormatting>
  <conditionalFormatting sqref="F18">
    <cfRule type="expression" dxfId="3173" priority="3088">
      <formula>E18="-"</formula>
    </cfRule>
    <cfRule type="cellIs" dxfId="3172" priority="3089" operator="equal">
      <formula>"-"</formula>
    </cfRule>
    <cfRule type="cellIs" dxfId="3171" priority="3090" operator="equal">
      <formula>E18</formula>
    </cfRule>
    <cfRule type="cellIs" dxfId="3170" priority="3091" operator="greaterThan">
      <formula>E18</formula>
    </cfRule>
    <cfRule type="cellIs" dxfId="3169" priority="3092" operator="lessThan">
      <formula>E18</formula>
    </cfRule>
  </conditionalFormatting>
  <conditionalFormatting sqref="F19">
    <cfRule type="expression" dxfId="3168" priority="3083">
      <formula>E19="-"</formula>
    </cfRule>
    <cfRule type="cellIs" dxfId="3167" priority="3084" operator="equal">
      <formula>"-"</formula>
    </cfRule>
    <cfRule type="cellIs" dxfId="3166" priority="3085" operator="equal">
      <formula>E19</formula>
    </cfRule>
    <cfRule type="cellIs" dxfId="3165" priority="3086" operator="greaterThan">
      <formula>E19</formula>
    </cfRule>
    <cfRule type="cellIs" dxfId="3164" priority="3087" operator="lessThan">
      <formula>E19</formula>
    </cfRule>
  </conditionalFormatting>
  <conditionalFormatting sqref="F20">
    <cfRule type="expression" dxfId="3163" priority="3078">
      <formula>E20="-"</formula>
    </cfRule>
    <cfRule type="cellIs" dxfId="3162" priority="3079" operator="equal">
      <formula>"-"</formula>
    </cfRule>
    <cfRule type="cellIs" dxfId="3161" priority="3080" operator="equal">
      <formula>E20</formula>
    </cfRule>
    <cfRule type="cellIs" dxfId="3160" priority="3081" operator="greaterThan">
      <formula>E20</formula>
    </cfRule>
    <cfRule type="cellIs" dxfId="3159" priority="3082" operator="lessThan">
      <formula>E20</formula>
    </cfRule>
  </conditionalFormatting>
  <conditionalFormatting sqref="F21">
    <cfRule type="expression" dxfId="3158" priority="3073">
      <formula>E21="-"</formula>
    </cfRule>
    <cfRule type="cellIs" dxfId="3157" priority="3074" operator="equal">
      <formula>"-"</formula>
    </cfRule>
    <cfRule type="cellIs" dxfId="3156" priority="3075" operator="equal">
      <formula>E21</formula>
    </cfRule>
    <cfRule type="cellIs" dxfId="3155" priority="3076" operator="greaterThan">
      <formula>E21</formula>
    </cfRule>
    <cfRule type="cellIs" dxfId="3154" priority="3077" operator="lessThan">
      <formula>E21</formula>
    </cfRule>
  </conditionalFormatting>
  <conditionalFormatting sqref="F22">
    <cfRule type="expression" dxfId="3153" priority="3068">
      <formula>E22="-"</formula>
    </cfRule>
    <cfRule type="cellIs" dxfId="3152" priority="3069" operator="equal">
      <formula>"-"</formula>
    </cfRule>
    <cfRule type="cellIs" dxfId="3151" priority="3070" operator="equal">
      <formula>E22</formula>
    </cfRule>
    <cfRule type="cellIs" dxfId="3150" priority="3071" operator="greaterThan">
      <formula>E22</formula>
    </cfRule>
    <cfRule type="cellIs" dxfId="3149" priority="3072" operator="lessThan">
      <formula>E22</formula>
    </cfRule>
  </conditionalFormatting>
  <conditionalFormatting sqref="F23">
    <cfRule type="expression" dxfId="3148" priority="3063">
      <formula>E23="-"</formula>
    </cfRule>
    <cfRule type="cellIs" dxfId="3147" priority="3064" operator="equal">
      <formula>"-"</formula>
    </cfRule>
    <cfRule type="cellIs" dxfId="3146" priority="3065" operator="equal">
      <formula>E23</formula>
    </cfRule>
    <cfRule type="cellIs" dxfId="3145" priority="3066" operator="greaterThan">
      <formula>E23</formula>
    </cfRule>
    <cfRule type="cellIs" dxfId="3144" priority="3067" operator="lessThan">
      <formula>E23</formula>
    </cfRule>
  </conditionalFormatting>
  <conditionalFormatting sqref="F24">
    <cfRule type="expression" dxfId="3143" priority="3058">
      <formula>E24="-"</formula>
    </cfRule>
    <cfRule type="cellIs" dxfId="3142" priority="3059" operator="equal">
      <formula>"-"</formula>
    </cfRule>
    <cfRule type="cellIs" dxfId="3141" priority="3060" operator="equal">
      <formula>E24</formula>
    </cfRule>
    <cfRule type="cellIs" dxfId="3140" priority="3061" operator="greaterThan">
      <formula>E24</formula>
    </cfRule>
    <cfRule type="cellIs" dxfId="3139" priority="3062" operator="lessThan">
      <formula>E24</formula>
    </cfRule>
  </conditionalFormatting>
  <conditionalFormatting sqref="F25">
    <cfRule type="expression" dxfId="3138" priority="3053">
      <formula>E25="-"</formula>
    </cfRule>
    <cfRule type="cellIs" dxfId="3137" priority="3054" operator="equal">
      <formula>"-"</formula>
    </cfRule>
    <cfRule type="cellIs" dxfId="3136" priority="3055" operator="equal">
      <formula>E25</formula>
    </cfRule>
    <cfRule type="cellIs" dxfId="3135" priority="3056" operator="greaterThan">
      <formula>E25</formula>
    </cfRule>
    <cfRule type="cellIs" dxfId="3134" priority="3057" operator="lessThan">
      <formula>E25</formula>
    </cfRule>
  </conditionalFormatting>
  <conditionalFormatting sqref="F26">
    <cfRule type="expression" dxfId="3133" priority="3048">
      <formula>E26="-"</formula>
    </cfRule>
    <cfRule type="cellIs" dxfId="3132" priority="3049" operator="equal">
      <formula>"-"</formula>
    </cfRule>
    <cfRule type="cellIs" dxfId="3131" priority="3050" operator="equal">
      <formula>E26</formula>
    </cfRule>
    <cfRule type="cellIs" dxfId="3130" priority="3051" operator="greaterThan">
      <formula>E26</formula>
    </cfRule>
    <cfRule type="cellIs" dxfId="3129" priority="3052" operator="lessThan">
      <formula>E26</formula>
    </cfRule>
  </conditionalFormatting>
  <conditionalFormatting sqref="F27">
    <cfRule type="expression" dxfId="3128" priority="3043">
      <formula>E27="-"</formula>
    </cfRule>
    <cfRule type="cellIs" dxfId="3127" priority="3044" operator="equal">
      <formula>"-"</formula>
    </cfRule>
    <cfRule type="cellIs" dxfId="3126" priority="3045" operator="equal">
      <formula>E27</formula>
    </cfRule>
    <cfRule type="cellIs" dxfId="3125" priority="3046" operator="greaterThan">
      <formula>E27</formula>
    </cfRule>
    <cfRule type="cellIs" dxfId="3124" priority="3047" operator="lessThan">
      <formula>E27</formula>
    </cfRule>
  </conditionalFormatting>
  <conditionalFormatting sqref="F28">
    <cfRule type="expression" dxfId="3123" priority="3038">
      <formula>E28="-"</formula>
    </cfRule>
    <cfRule type="cellIs" dxfId="3122" priority="3039" operator="equal">
      <formula>"-"</formula>
    </cfRule>
    <cfRule type="cellIs" dxfId="3121" priority="3040" operator="equal">
      <formula>E28</formula>
    </cfRule>
    <cfRule type="cellIs" dxfId="3120" priority="3041" operator="greaterThan">
      <formula>E28</formula>
    </cfRule>
    <cfRule type="cellIs" dxfId="3119" priority="3042" operator="lessThan">
      <formula>E28</formula>
    </cfRule>
  </conditionalFormatting>
  <conditionalFormatting sqref="G4">
    <cfRule type="expression" dxfId="3118" priority="3033">
      <formula>F4="-"</formula>
    </cfRule>
    <cfRule type="cellIs" dxfId="3117" priority="3034" operator="equal">
      <formula>"-"</formula>
    </cfRule>
    <cfRule type="cellIs" dxfId="3116" priority="3035" operator="equal">
      <formula>F4</formula>
    </cfRule>
    <cfRule type="cellIs" dxfId="3115" priority="3036" operator="greaterThan">
      <formula>F4</formula>
    </cfRule>
    <cfRule type="cellIs" dxfId="3114" priority="3037" operator="lessThan">
      <formula>F4</formula>
    </cfRule>
  </conditionalFormatting>
  <conditionalFormatting sqref="G5">
    <cfRule type="expression" dxfId="3113" priority="3028">
      <formula>F5="-"</formula>
    </cfRule>
    <cfRule type="cellIs" dxfId="3112" priority="3029" operator="equal">
      <formula>"-"</formula>
    </cfRule>
    <cfRule type="cellIs" dxfId="3111" priority="3030" operator="equal">
      <formula>F5</formula>
    </cfRule>
    <cfRule type="cellIs" dxfId="3110" priority="3031" operator="greaterThan">
      <formula>F5</formula>
    </cfRule>
    <cfRule type="cellIs" dxfId="3109" priority="3032" operator="lessThan">
      <formula>F5</formula>
    </cfRule>
  </conditionalFormatting>
  <conditionalFormatting sqref="G6">
    <cfRule type="expression" dxfId="3108" priority="3023">
      <formula>F6="-"</formula>
    </cfRule>
    <cfRule type="cellIs" dxfId="3107" priority="3024" operator="equal">
      <formula>"-"</formula>
    </cfRule>
    <cfRule type="cellIs" dxfId="3106" priority="3025" operator="equal">
      <formula>F6</formula>
    </cfRule>
    <cfRule type="cellIs" dxfId="3105" priority="3026" operator="greaterThan">
      <formula>F6</formula>
    </cfRule>
    <cfRule type="cellIs" dxfId="3104" priority="3027" operator="lessThan">
      <formula>F6</formula>
    </cfRule>
  </conditionalFormatting>
  <conditionalFormatting sqref="G7">
    <cfRule type="expression" dxfId="3103" priority="3018">
      <formula>F7="-"</formula>
    </cfRule>
    <cfRule type="cellIs" dxfId="3102" priority="3019" operator="equal">
      <formula>"-"</formula>
    </cfRule>
    <cfRule type="cellIs" dxfId="3101" priority="3020" operator="equal">
      <formula>F7</formula>
    </cfRule>
    <cfRule type="cellIs" dxfId="3100" priority="3021" operator="greaterThan">
      <formula>F7</formula>
    </cfRule>
    <cfRule type="cellIs" dxfId="3099" priority="3022" operator="lessThan">
      <formula>F7</formula>
    </cfRule>
  </conditionalFormatting>
  <conditionalFormatting sqref="G8">
    <cfRule type="expression" dxfId="3098" priority="3013">
      <formula>F8="-"</formula>
    </cfRule>
    <cfRule type="cellIs" dxfId="3097" priority="3014" operator="equal">
      <formula>"-"</formula>
    </cfRule>
    <cfRule type="cellIs" dxfId="3096" priority="3015" operator="equal">
      <formula>F8</formula>
    </cfRule>
    <cfRule type="cellIs" dxfId="3095" priority="3016" operator="greaterThan">
      <formula>F8</formula>
    </cfRule>
    <cfRule type="cellIs" dxfId="3094" priority="3017" operator="lessThan">
      <formula>F8</formula>
    </cfRule>
  </conditionalFormatting>
  <conditionalFormatting sqref="G9">
    <cfRule type="expression" dxfId="3093" priority="3008">
      <formula>F9="-"</formula>
    </cfRule>
    <cfRule type="cellIs" dxfId="3092" priority="3009" operator="equal">
      <formula>"-"</formula>
    </cfRule>
    <cfRule type="cellIs" dxfId="3091" priority="3010" operator="equal">
      <formula>F9</formula>
    </cfRule>
    <cfRule type="cellIs" dxfId="3090" priority="3011" operator="greaterThan">
      <formula>F9</formula>
    </cfRule>
    <cfRule type="cellIs" dxfId="3089" priority="3012" operator="lessThan">
      <formula>F9</formula>
    </cfRule>
  </conditionalFormatting>
  <conditionalFormatting sqref="G10">
    <cfRule type="expression" dxfId="3088" priority="3003">
      <formula>F10="-"</formula>
    </cfRule>
    <cfRule type="cellIs" dxfId="3087" priority="3004" operator="equal">
      <formula>"-"</formula>
    </cfRule>
    <cfRule type="cellIs" dxfId="3086" priority="3005" operator="equal">
      <formula>F10</formula>
    </cfRule>
    <cfRule type="cellIs" dxfId="3085" priority="3006" operator="greaterThan">
      <formula>F10</formula>
    </cfRule>
    <cfRule type="cellIs" dxfId="3084" priority="3007" operator="lessThan">
      <formula>F10</formula>
    </cfRule>
  </conditionalFormatting>
  <conditionalFormatting sqref="G11">
    <cfRule type="expression" dxfId="3083" priority="2998">
      <formula>F11="-"</formula>
    </cfRule>
    <cfRule type="cellIs" dxfId="3082" priority="2999" operator="equal">
      <formula>"-"</formula>
    </cfRule>
    <cfRule type="cellIs" dxfId="3081" priority="3000" operator="equal">
      <formula>F11</formula>
    </cfRule>
    <cfRule type="cellIs" dxfId="3080" priority="3001" operator="greaterThan">
      <formula>F11</formula>
    </cfRule>
    <cfRule type="cellIs" dxfId="3079" priority="3002" operator="lessThan">
      <formula>F11</formula>
    </cfRule>
  </conditionalFormatting>
  <conditionalFormatting sqref="G12">
    <cfRule type="expression" dxfId="3078" priority="2993">
      <formula>F12="-"</formula>
    </cfRule>
    <cfRule type="cellIs" dxfId="3077" priority="2994" operator="equal">
      <formula>"-"</formula>
    </cfRule>
    <cfRule type="cellIs" dxfId="3076" priority="2995" operator="equal">
      <formula>F12</formula>
    </cfRule>
    <cfRule type="cellIs" dxfId="3075" priority="2996" operator="greaterThan">
      <formula>F12</formula>
    </cfRule>
    <cfRule type="cellIs" dxfId="3074" priority="2997" operator="lessThan">
      <formula>F12</formula>
    </cfRule>
  </conditionalFormatting>
  <conditionalFormatting sqref="G13">
    <cfRule type="expression" dxfId="3073" priority="2988">
      <formula>F13="-"</formula>
    </cfRule>
    <cfRule type="cellIs" dxfId="3072" priority="2989" operator="equal">
      <formula>"-"</formula>
    </cfRule>
    <cfRule type="cellIs" dxfId="3071" priority="2990" operator="equal">
      <formula>F13</formula>
    </cfRule>
    <cfRule type="cellIs" dxfId="3070" priority="2991" operator="greaterThan">
      <formula>F13</formula>
    </cfRule>
    <cfRule type="cellIs" dxfId="3069" priority="2992" operator="lessThan">
      <formula>F13</formula>
    </cfRule>
  </conditionalFormatting>
  <conditionalFormatting sqref="G14">
    <cfRule type="expression" dxfId="3068" priority="2983">
      <formula>F14="-"</formula>
    </cfRule>
    <cfRule type="cellIs" dxfId="3067" priority="2984" operator="equal">
      <formula>"-"</formula>
    </cfRule>
    <cfRule type="cellIs" dxfId="3066" priority="2985" operator="equal">
      <formula>F14</formula>
    </cfRule>
    <cfRule type="cellIs" dxfId="3065" priority="2986" operator="greaterThan">
      <formula>F14</formula>
    </cfRule>
    <cfRule type="cellIs" dxfId="3064" priority="2987" operator="lessThan">
      <formula>F14</formula>
    </cfRule>
  </conditionalFormatting>
  <conditionalFormatting sqref="G15">
    <cfRule type="expression" dxfId="3063" priority="2978">
      <formula>F15="-"</formula>
    </cfRule>
    <cfRule type="cellIs" dxfId="3062" priority="2979" operator="equal">
      <formula>"-"</formula>
    </cfRule>
    <cfRule type="cellIs" dxfId="3061" priority="2980" operator="equal">
      <formula>F15</formula>
    </cfRule>
    <cfRule type="cellIs" dxfId="3060" priority="2981" operator="greaterThan">
      <formula>F15</formula>
    </cfRule>
    <cfRule type="cellIs" dxfId="3059" priority="2982" operator="lessThan">
      <formula>F15</formula>
    </cfRule>
  </conditionalFormatting>
  <conditionalFormatting sqref="G16">
    <cfRule type="expression" dxfId="3058" priority="2973">
      <formula>F16="-"</formula>
    </cfRule>
    <cfRule type="cellIs" dxfId="3057" priority="2974" operator="equal">
      <formula>"-"</formula>
    </cfRule>
    <cfRule type="cellIs" dxfId="3056" priority="2975" operator="equal">
      <formula>F16</formula>
    </cfRule>
    <cfRule type="cellIs" dxfId="3055" priority="2976" operator="greaterThan">
      <formula>F16</formula>
    </cfRule>
    <cfRule type="cellIs" dxfId="3054" priority="2977" operator="lessThan">
      <formula>F16</formula>
    </cfRule>
  </conditionalFormatting>
  <conditionalFormatting sqref="G17">
    <cfRule type="expression" dxfId="3053" priority="2968">
      <formula>F17="-"</formula>
    </cfRule>
    <cfRule type="cellIs" dxfId="3052" priority="2969" operator="equal">
      <formula>"-"</formula>
    </cfRule>
    <cfRule type="cellIs" dxfId="3051" priority="2970" operator="equal">
      <formula>F17</formula>
    </cfRule>
    <cfRule type="cellIs" dxfId="3050" priority="2971" operator="greaterThan">
      <formula>F17</formula>
    </cfRule>
    <cfRule type="cellIs" dxfId="3049" priority="2972" operator="lessThan">
      <formula>F17</formula>
    </cfRule>
  </conditionalFormatting>
  <conditionalFormatting sqref="G18">
    <cfRule type="expression" dxfId="3048" priority="2963">
      <formula>F18="-"</formula>
    </cfRule>
    <cfRule type="cellIs" dxfId="3047" priority="2964" operator="equal">
      <formula>"-"</formula>
    </cfRule>
    <cfRule type="cellIs" dxfId="3046" priority="2965" operator="equal">
      <formula>F18</formula>
    </cfRule>
    <cfRule type="cellIs" dxfId="3045" priority="2966" operator="greaterThan">
      <formula>F18</formula>
    </cfRule>
    <cfRule type="cellIs" dxfId="3044" priority="2967" operator="lessThan">
      <formula>F18</formula>
    </cfRule>
  </conditionalFormatting>
  <conditionalFormatting sqref="G19">
    <cfRule type="expression" dxfId="3043" priority="2958">
      <formula>F19="-"</formula>
    </cfRule>
    <cfRule type="cellIs" dxfId="3042" priority="2959" operator="equal">
      <formula>"-"</formula>
    </cfRule>
    <cfRule type="cellIs" dxfId="3041" priority="2960" operator="equal">
      <formula>F19</formula>
    </cfRule>
    <cfRule type="cellIs" dxfId="3040" priority="2961" operator="greaterThan">
      <formula>F19</formula>
    </cfRule>
    <cfRule type="cellIs" dxfId="3039" priority="2962" operator="lessThan">
      <formula>F19</formula>
    </cfRule>
  </conditionalFormatting>
  <conditionalFormatting sqref="G20">
    <cfRule type="expression" dxfId="3038" priority="2953">
      <formula>F20="-"</formula>
    </cfRule>
    <cfRule type="cellIs" dxfId="3037" priority="2954" operator="equal">
      <formula>"-"</formula>
    </cfRule>
    <cfRule type="cellIs" dxfId="3036" priority="2955" operator="equal">
      <formula>F20</formula>
    </cfRule>
    <cfRule type="cellIs" dxfId="3035" priority="2956" operator="greaterThan">
      <formula>F20</formula>
    </cfRule>
    <cfRule type="cellIs" dxfId="3034" priority="2957" operator="lessThan">
      <formula>F20</formula>
    </cfRule>
  </conditionalFormatting>
  <conditionalFormatting sqref="G21">
    <cfRule type="expression" dxfId="3033" priority="2948">
      <formula>F21="-"</formula>
    </cfRule>
    <cfRule type="cellIs" dxfId="3032" priority="2949" operator="equal">
      <formula>"-"</formula>
    </cfRule>
    <cfRule type="cellIs" dxfId="3031" priority="2950" operator="equal">
      <formula>F21</formula>
    </cfRule>
    <cfRule type="cellIs" dxfId="3030" priority="2951" operator="greaterThan">
      <formula>F21</formula>
    </cfRule>
    <cfRule type="cellIs" dxfId="3029" priority="2952" operator="lessThan">
      <formula>F21</formula>
    </cfRule>
  </conditionalFormatting>
  <conditionalFormatting sqref="G22">
    <cfRule type="expression" dxfId="3028" priority="2943">
      <formula>F22="-"</formula>
    </cfRule>
    <cfRule type="cellIs" dxfId="3027" priority="2944" operator="equal">
      <formula>"-"</formula>
    </cfRule>
    <cfRule type="cellIs" dxfId="3026" priority="2945" operator="equal">
      <formula>F22</formula>
    </cfRule>
    <cfRule type="cellIs" dxfId="3025" priority="2946" operator="greaterThan">
      <formula>F22</formula>
    </cfRule>
    <cfRule type="cellIs" dxfId="3024" priority="2947" operator="lessThan">
      <formula>F22</formula>
    </cfRule>
  </conditionalFormatting>
  <conditionalFormatting sqref="G23">
    <cfRule type="expression" dxfId="3023" priority="2938">
      <formula>F23="-"</formula>
    </cfRule>
    <cfRule type="cellIs" dxfId="3022" priority="2939" operator="equal">
      <formula>"-"</formula>
    </cfRule>
    <cfRule type="cellIs" dxfId="3021" priority="2940" operator="equal">
      <formula>F23</formula>
    </cfRule>
    <cfRule type="cellIs" dxfId="3020" priority="2941" operator="greaterThan">
      <formula>F23</formula>
    </cfRule>
    <cfRule type="cellIs" dxfId="3019" priority="2942" operator="lessThan">
      <formula>F23</formula>
    </cfRule>
  </conditionalFormatting>
  <conditionalFormatting sqref="G24">
    <cfRule type="expression" dxfId="3018" priority="2933">
      <formula>F24="-"</formula>
    </cfRule>
    <cfRule type="cellIs" dxfId="3017" priority="2934" operator="equal">
      <formula>"-"</formula>
    </cfRule>
    <cfRule type="cellIs" dxfId="3016" priority="2935" operator="equal">
      <formula>F24</formula>
    </cfRule>
    <cfRule type="cellIs" dxfId="3015" priority="2936" operator="greaterThan">
      <formula>F24</formula>
    </cfRule>
    <cfRule type="cellIs" dxfId="3014" priority="2937" operator="lessThan">
      <formula>F24</formula>
    </cfRule>
  </conditionalFormatting>
  <conditionalFormatting sqref="G25">
    <cfRule type="expression" dxfId="3013" priority="2928">
      <formula>F25="-"</formula>
    </cfRule>
    <cfRule type="cellIs" dxfId="3012" priority="2929" operator="equal">
      <formula>"-"</formula>
    </cfRule>
    <cfRule type="cellIs" dxfId="3011" priority="2930" operator="equal">
      <formula>F25</formula>
    </cfRule>
    <cfRule type="cellIs" dxfId="3010" priority="2931" operator="greaterThan">
      <formula>F25</formula>
    </cfRule>
    <cfRule type="cellIs" dxfId="3009" priority="2932" operator="lessThan">
      <formula>F25</formula>
    </cfRule>
  </conditionalFormatting>
  <conditionalFormatting sqref="G26">
    <cfRule type="expression" dxfId="3008" priority="2923">
      <formula>F26="-"</formula>
    </cfRule>
    <cfRule type="cellIs" dxfId="3007" priority="2924" operator="equal">
      <formula>"-"</formula>
    </cfRule>
    <cfRule type="cellIs" dxfId="3006" priority="2925" operator="equal">
      <formula>F26</formula>
    </cfRule>
    <cfRule type="cellIs" dxfId="3005" priority="2926" operator="greaterThan">
      <formula>F26</formula>
    </cfRule>
    <cfRule type="cellIs" dxfId="3004" priority="2927" operator="lessThan">
      <formula>F26</formula>
    </cfRule>
  </conditionalFormatting>
  <conditionalFormatting sqref="G27">
    <cfRule type="expression" dxfId="3003" priority="2918">
      <formula>F27="-"</formula>
    </cfRule>
    <cfRule type="cellIs" dxfId="3002" priority="2919" operator="equal">
      <formula>"-"</formula>
    </cfRule>
    <cfRule type="cellIs" dxfId="3001" priority="2920" operator="equal">
      <formula>F27</formula>
    </cfRule>
    <cfRule type="cellIs" dxfId="3000" priority="2921" operator="greaterThan">
      <formula>F27</formula>
    </cfRule>
    <cfRule type="cellIs" dxfId="2999" priority="2922" operator="lessThan">
      <formula>F27</formula>
    </cfRule>
  </conditionalFormatting>
  <conditionalFormatting sqref="G28">
    <cfRule type="expression" dxfId="2998" priority="2913">
      <formula>F28="-"</formula>
    </cfRule>
    <cfRule type="cellIs" dxfId="2997" priority="2914" operator="equal">
      <formula>"-"</formula>
    </cfRule>
    <cfRule type="cellIs" dxfId="2996" priority="2915" operator="equal">
      <formula>F28</formula>
    </cfRule>
    <cfRule type="cellIs" dxfId="2995" priority="2916" operator="greaterThan">
      <formula>F28</formula>
    </cfRule>
    <cfRule type="cellIs" dxfId="2994" priority="2917" operator="lessThan">
      <formula>F28</formula>
    </cfRule>
  </conditionalFormatting>
  <conditionalFormatting sqref="H4">
    <cfRule type="expression" dxfId="2993" priority="2908">
      <formula>G4="-"</formula>
    </cfRule>
    <cfRule type="cellIs" dxfId="2992" priority="2909" operator="equal">
      <formula>"-"</formula>
    </cfRule>
    <cfRule type="cellIs" dxfId="2991" priority="2910" operator="equal">
      <formula>G4</formula>
    </cfRule>
    <cfRule type="cellIs" dxfId="2990" priority="2911" operator="greaterThan">
      <formula>G4</formula>
    </cfRule>
    <cfRule type="cellIs" dxfId="2989" priority="2912" operator="lessThan">
      <formula>G4</formula>
    </cfRule>
  </conditionalFormatting>
  <conditionalFormatting sqref="H5">
    <cfRule type="expression" dxfId="2988" priority="2903">
      <formula>G5="-"</formula>
    </cfRule>
    <cfRule type="cellIs" dxfId="2987" priority="2904" operator="equal">
      <formula>"-"</formula>
    </cfRule>
    <cfRule type="cellIs" dxfId="2986" priority="2905" operator="equal">
      <formula>G5</formula>
    </cfRule>
    <cfRule type="cellIs" dxfId="2985" priority="2906" operator="greaterThan">
      <formula>G5</formula>
    </cfRule>
    <cfRule type="cellIs" dxfId="2984" priority="2907" operator="lessThan">
      <formula>G5</formula>
    </cfRule>
  </conditionalFormatting>
  <conditionalFormatting sqref="H6">
    <cfRule type="expression" dxfId="2983" priority="2898">
      <formula>G6="-"</formula>
    </cfRule>
    <cfRule type="cellIs" dxfId="2982" priority="2899" operator="equal">
      <formula>"-"</formula>
    </cfRule>
    <cfRule type="cellIs" dxfId="2981" priority="2900" operator="equal">
      <formula>G6</formula>
    </cfRule>
    <cfRule type="cellIs" dxfId="2980" priority="2901" operator="greaterThan">
      <formula>G6</formula>
    </cfRule>
    <cfRule type="cellIs" dxfId="2979" priority="2902" operator="lessThan">
      <formula>G6</formula>
    </cfRule>
  </conditionalFormatting>
  <conditionalFormatting sqref="H7">
    <cfRule type="expression" dxfId="2978" priority="2893">
      <formula>G7="-"</formula>
    </cfRule>
    <cfRule type="cellIs" dxfId="2977" priority="2894" operator="equal">
      <formula>"-"</formula>
    </cfRule>
    <cfRule type="cellIs" dxfId="2976" priority="2895" operator="equal">
      <formula>G7</formula>
    </cfRule>
    <cfRule type="cellIs" dxfId="2975" priority="2896" operator="greaterThan">
      <formula>G7</formula>
    </cfRule>
    <cfRule type="cellIs" dxfId="2974" priority="2897" operator="lessThan">
      <formula>G7</formula>
    </cfRule>
  </conditionalFormatting>
  <conditionalFormatting sqref="H8">
    <cfRule type="expression" dxfId="2973" priority="2888">
      <formula>G8="-"</formula>
    </cfRule>
    <cfRule type="cellIs" dxfId="2972" priority="2889" operator="equal">
      <formula>"-"</formula>
    </cfRule>
    <cfRule type="cellIs" dxfId="2971" priority="2890" operator="equal">
      <formula>G8</formula>
    </cfRule>
    <cfRule type="cellIs" dxfId="2970" priority="2891" operator="greaterThan">
      <formula>G8</formula>
    </cfRule>
    <cfRule type="cellIs" dxfId="2969" priority="2892" operator="lessThan">
      <formula>G8</formula>
    </cfRule>
  </conditionalFormatting>
  <conditionalFormatting sqref="H9">
    <cfRule type="expression" dxfId="2968" priority="2883">
      <formula>G9="-"</formula>
    </cfRule>
    <cfRule type="cellIs" dxfId="2967" priority="2884" operator="equal">
      <formula>"-"</formula>
    </cfRule>
    <cfRule type="cellIs" dxfId="2966" priority="2885" operator="equal">
      <formula>G9</formula>
    </cfRule>
    <cfRule type="cellIs" dxfId="2965" priority="2886" operator="greaterThan">
      <formula>G9</formula>
    </cfRule>
    <cfRule type="cellIs" dxfId="2964" priority="2887" operator="lessThan">
      <formula>G9</formula>
    </cfRule>
  </conditionalFormatting>
  <conditionalFormatting sqref="H10">
    <cfRule type="expression" dxfId="2963" priority="2878">
      <formula>G10="-"</formula>
    </cfRule>
    <cfRule type="cellIs" dxfId="2962" priority="2879" operator="equal">
      <formula>"-"</formula>
    </cfRule>
    <cfRule type="cellIs" dxfId="2961" priority="2880" operator="equal">
      <formula>G10</formula>
    </cfRule>
    <cfRule type="cellIs" dxfId="2960" priority="2881" operator="greaterThan">
      <formula>G10</formula>
    </cfRule>
    <cfRule type="cellIs" dxfId="2959" priority="2882" operator="lessThan">
      <formula>G10</formula>
    </cfRule>
  </conditionalFormatting>
  <conditionalFormatting sqref="H11">
    <cfRule type="expression" dxfId="2958" priority="2873">
      <formula>G11="-"</formula>
    </cfRule>
    <cfRule type="cellIs" dxfId="2957" priority="2874" operator="equal">
      <formula>"-"</formula>
    </cfRule>
    <cfRule type="cellIs" dxfId="2956" priority="2875" operator="equal">
      <formula>G11</formula>
    </cfRule>
    <cfRule type="cellIs" dxfId="2955" priority="2876" operator="greaterThan">
      <formula>G11</formula>
    </cfRule>
    <cfRule type="cellIs" dxfId="2954" priority="2877" operator="lessThan">
      <formula>G11</formula>
    </cfRule>
  </conditionalFormatting>
  <conditionalFormatting sqref="H12">
    <cfRule type="expression" dxfId="2953" priority="2868">
      <formula>G12="-"</formula>
    </cfRule>
    <cfRule type="cellIs" dxfId="2952" priority="2869" operator="equal">
      <formula>"-"</formula>
    </cfRule>
    <cfRule type="cellIs" dxfId="2951" priority="2870" operator="equal">
      <formula>G12</formula>
    </cfRule>
    <cfRule type="cellIs" dxfId="2950" priority="2871" operator="greaterThan">
      <formula>G12</formula>
    </cfRule>
    <cfRule type="cellIs" dxfId="2949" priority="2872" operator="lessThan">
      <formula>G12</formula>
    </cfRule>
  </conditionalFormatting>
  <conditionalFormatting sqref="H13">
    <cfRule type="expression" dxfId="2948" priority="2863">
      <formula>G13="-"</formula>
    </cfRule>
    <cfRule type="cellIs" dxfId="2947" priority="2864" operator="equal">
      <formula>"-"</formula>
    </cfRule>
    <cfRule type="cellIs" dxfId="2946" priority="2865" operator="equal">
      <formula>G13</formula>
    </cfRule>
    <cfRule type="cellIs" dxfId="2945" priority="2866" operator="greaterThan">
      <formula>G13</formula>
    </cfRule>
    <cfRule type="cellIs" dxfId="2944" priority="2867" operator="lessThan">
      <formula>G13</formula>
    </cfRule>
  </conditionalFormatting>
  <conditionalFormatting sqref="H14">
    <cfRule type="expression" dxfId="2943" priority="2858">
      <formula>G14="-"</formula>
    </cfRule>
    <cfRule type="cellIs" dxfId="2942" priority="2859" operator="equal">
      <formula>"-"</formula>
    </cfRule>
    <cfRule type="cellIs" dxfId="2941" priority="2860" operator="equal">
      <formula>G14</formula>
    </cfRule>
    <cfRule type="cellIs" dxfId="2940" priority="2861" operator="greaterThan">
      <formula>G14</formula>
    </cfRule>
    <cfRule type="cellIs" dxfId="2939" priority="2862" operator="lessThan">
      <formula>G14</formula>
    </cfRule>
  </conditionalFormatting>
  <conditionalFormatting sqref="H15">
    <cfRule type="expression" dxfId="2938" priority="2853">
      <formula>G15="-"</formula>
    </cfRule>
    <cfRule type="cellIs" dxfId="2937" priority="2854" operator="equal">
      <formula>"-"</formula>
    </cfRule>
    <cfRule type="cellIs" dxfId="2936" priority="2855" operator="equal">
      <formula>G15</formula>
    </cfRule>
    <cfRule type="cellIs" dxfId="2935" priority="2856" operator="greaterThan">
      <formula>G15</formula>
    </cfRule>
    <cfRule type="cellIs" dxfId="2934" priority="2857" operator="lessThan">
      <formula>G15</formula>
    </cfRule>
  </conditionalFormatting>
  <conditionalFormatting sqref="H16">
    <cfRule type="expression" dxfId="2933" priority="2848">
      <formula>G16="-"</formula>
    </cfRule>
    <cfRule type="cellIs" dxfId="2932" priority="2849" operator="equal">
      <formula>"-"</formula>
    </cfRule>
    <cfRule type="cellIs" dxfId="2931" priority="2850" operator="equal">
      <formula>G16</formula>
    </cfRule>
    <cfRule type="cellIs" dxfId="2930" priority="2851" operator="greaterThan">
      <formula>G16</formula>
    </cfRule>
    <cfRule type="cellIs" dxfId="2929" priority="2852" operator="lessThan">
      <formula>G16</formula>
    </cfRule>
  </conditionalFormatting>
  <conditionalFormatting sqref="H17">
    <cfRule type="expression" dxfId="2928" priority="2843">
      <formula>G17="-"</formula>
    </cfRule>
    <cfRule type="cellIs" dxfId="2927" priority="2844" operator="equal">
      <formula>"-"</formula>
    </cfRule>
    <cfRule type="cellIs" dxfId="2926" priority="2845" operator="equal">
      <formula>G17</formula>
    </cfRule>
    <cfRule type="cellIs" dxfId="2925" priority="2846" operator="greaterThan">
      <formula>G17</formula>
    </cfRule>
    <cfRule type="cellIs" dxfId="2924" priority="2847" operator="lessThan">
      <formula>G17</formula>
    </cfRule>
  </conditionalFormatting>
  <conditionalFormatting sqref="H18">
    <cfRule type="expression" dxfId="2923" priority="2838">
      <formula>G18="-"</formula>
    </cfRule>
    <cfRule type="cellIs" dxfId="2922" priority="2839" operator="equal">
      <formula>"-"</formula>
    </cfRule>
    <cfRule type="cellIs" dxfId="2921" priority="2840" operator="equal">
      <formula>G18</formula>
    </cfRule>
    <cfRule type="cellIs" dxfId="2920" priority="2841" operator="greaterThan">
      <formula>G18</formula>
    </cfRule>
    <cfRule type="cellIs" dxfId="2919" priority="2842" operator="lessThan">
      <formula>G18</formula>
    </cfRule>
  </conditionalFormatting>
  <conditionalFormatting sqref="H19">
    <cfRule type="expression" dxfId="2918" priority="2833">
      <formula>G19="-"</formula>
    </cfRule>
    <cfRule type="cellIs" dxfId="2917" priority="2834" operator="equal">
      <formula>"-"</formula>
    </cfRule>
    <cfRule type="cellIs" dxfId="2916" priority="2835" operator="equal">
      <formula>G19</formula>
    </cfRule>
    <cfRule type="cellIs" dxfId="2915" priority="2836" operator="greaterThan">
      <formula>G19</formula>
    </cfRule>
    <cfRule type="cellIs" dxfId="2914" priority="2837" operator="lessThan">
      <formula>G19</formula>
    </cfRule>
  </conditionalFormatting>
  <conditionalFormatting sqref="H20">
    <cfRule type="expression" dxfId="2913" priority="2828">
      <formula>G20="-"</formula>
    </cfRule>
    <cfRule type="cellIs" dxfId="2912" priority="2829" operator="equal">
      <formula>"-"</formula>
    </cfRule>
    <cfRule type="cellIs" dxfId="2911" priority="2830" operator="equal">
      <formula>G20</formula>
    </cfRule>
    <cfRule type="cellIs" dxfId="2910" priority="2831" operator="greaterThan">
      <formula>G20</formula>
    </cfRule>
    <cfRule type="cellIs" dxfId="2909" priority="2832" operator="lessThan">
      <formula>G20</formula>
    </cfRule>
  </conditionalFormatting>
  <conditionalFormatting sqref="H21">
    <cfRule type="expression" dxfId="2908" priority="2823">
      <formula>G21="-"</formula>
    </cfRule>
    <cfRule type="cellIs" dxfId="2907" priority="2824" operator="equal">
      <formula>"-"</formula>
    </cfRule>
    <cfRule type="cellIs" dxfId="2906" priority="2825" operator="equal">
      <formula>G21</formula>
    </cfRule>
    <cfRule type="cellIs" dxfId="2905" priority="2826" operator="greaterThan">
      <formula>G21</formula>
    </cfRule>
    <cfRule type="cellIs" dxfId="2904" priority="2827" operator="lessThan">
      <formula>G21</formula>
    </cfRule>
  </conditionalFormatting>
  <conditionalFormatting sqref="H22">
    <cfRule type="expression" dxfId="2903" priority="2818">
      <formula>G22="-"</formula>
    </cfRule>
    <cfRule type="cellIs" dxfId="2902" priority="2819" operator="equal">
      <formula>"-"</formula>
    </cfRule>
    <cfRule type="cellIs" dxfId="2901" priority="2820" operator="equal">
      <formula>G22</formula>
    </cfRule>
    <cfRule type="cellIs" dxfId="2900" priority="2821" operator="greaterThan">
      <formula>G22</formula>
    </cfRule>
    <cfRule type="cellIs" dxfId="2899" priority="2822" operator="lessThan">
      <formula>G22</formula>
    </cfRule>
  </conditionalFormatting>
  <conditionalFormatting sqref="H23">
    <cfRule type="expression" dxfId="2898" priority="2813">
      <formula>G23="-"</formula>
    </cfRule>
    <cfRule type="cellIs" dxfId="2897" priority="2814" operator="equal">
      <formula>"-"</formula>
    </cfRule>
    <cfRule type="cellIs" dxfId="2896" priority="2815" operator="equal">
      <formula>G23</formula>
    </cfRule>
    <cfRule type="cellIs" dxfId="2895" priority="2816" operator="greaterThan">
      <formula>G23</formula>
    </cfRule>
    <cfRule type="cellIs" dxfId="2894" priority="2817" operator="lessThan">
      <formula>G23</formula>
    </cfRule>
  </conditionalFormatting>
  <conditionalFormatting sqref="H24">
    <cfRule type="expression" dxfId="2893" priority="2808">
      <formula>G24="-"</formula>
    </cfRule>
    <cfRule type="cellIs" dxfId="2892" priority="2809" operator="equal">
      <formula>"-"</formula>
    </cfRule>
    <cfRule type="cellIs" dxfId="2891" priority="2810" operator="equal">
      <formula>G24</formula>
    </cfRule>
    <cfRule type="cellIs" dxfId="2890" priority="2811" operator="greaterThan">
      <formula>G24</formula>
    </cfRule>
    <cfRule type="cellIs" dxfId="2889" priority="2812" operator="lessThan">
      <formula>G24</formula>
    </cfRule>
  </conditionalFormatting>
  <conditionalFormatting sqref="H25">
    <cfRule type="expression" dxfId="2888" priority="2803">
      <formula>G25="-"</formula>
    </cfRule>
    <cfRule type="cellIs" dxfId="2887" priority="2804" operator="equal">
      <formula>"-"</formula>
    </cfRule>
    <cfRule type="cellIs" dxfId="2886" priority="2805" operator="equal">
      <formula>G25</formula>
    </cfRule>
    <cfRule type="cellIs" dxfId="2885" priority="2806" operator="greaterThan">
      <formula>G25</formula>
    </cfRule>
    <cfRule type="cellIs" dxfId="2884" priority="2807" operator="lessThan">
      <formula>G25</formula>
    </cfRule>
  </conditionalFormatting>
  <conditionalFormatting sqref="H26">
    <cfRule type="expression" dxfId="2883" priority="2798">
      <formula>G26="-"</formula>
    </cfRule>
    <cfRule type="cellIs" dxfId="2882" priority="2799" operator="equal">
      <formula>"-"</formula>
    </cfRule>
    <cfRule type="cellIs" dxfId="2881" priority="2800" operator="equal">
      <formula>G26</formula>
    </cfRule>
    <cfRule type="cellIs" dxfId="2880" priority="2801" operator="greaterThan">
      <formula>G26</formula>
    </cfRule>
    <cfRule type="cellIs" dxfId="2879" priority="2802" operator="lessThan">
      <formula>G26</formula>
    </cfRule>
  </conditionalFormatting>
  <conditionalFormatting sqref="H27">
    <cfRule type="expression" dxfId="2878" priority="2793">
      <formula>G27="-"</formula>
    </cfRule>
    <cfRule type="cellIs" dxfId="2877" priority="2794" operator="equal">
      <formula>"-"</formula>
    </cfRule>
    <cfRule type="cellIs" dxfId="2876" priority="2795" operator="equal">
      <formula>G27</formula>
    </cfRule>
    <cfRule type="cellIs" dxfId="2875" priority="2796" operator="greaterThan">
      <formula>G27</formula>
    </cfRule>
    <cfRule type="cellIs" dxfId="2874" priority="2797" operator="lessThan">
      <formula>G27</formula>
    </cfRule>
  </conditionalFormatting>
  <conditionalFormatting sqref="H28">
    <cfRule type="expression" dxfId="2873" priority="2788">
      <formula>G28="-"</formula>
    </cfRule>
    <cfRule type="cellIs" dxfId="2872" priority="2789" operator="equal">
      <formula>"-"</formula>
    </cfRule>
    <cfRule type="cellIs" dxfId="2871" priority="2790" operator="equal">
      <formula>G28</formula>
    </cfRule>
    <cfRule type="cellIs" dxfId="2870" priority="2791" operator="greaterThan">
      <formula>G28</formula>
    </cfRule>
    <cfRule type="cellIs" dxfId="2869" priority="2792" operator="lessThan">
      <formula>G28</formula>
    </cfRule>
  </conditionalFormatting>
  <conditionalFormatting sqref="I4">
    <cfRule type="expression" dxfId="2868" priority="2783">
      <formula>H4="-"</formula>
    </cfRule>
    <cfRule type="cellIs" dxfId="2867" priority="2784" operator="equal">
      <formula>"-"</formula>
    </cfRule>
    <cfRule type="cellIs" dxfId="2866" priority="2785" operator="equal">
      <formula>H4</formula>
    </cfRule>
    <cfRule type="cellIs" dxfId="2865" priority="2786" operator="greaterThan">
      <formula>H4</formula>
    </cfRule>
    <cfRule type="cellIs" dxfId="2864" priority="2787" operator="lessThan">
      <formula>H4</formula>
    </cfRule>
  </conditionalFormatting>
  <conditionalFormatting sqref="I5">
    <cfRule type="expression" dxfId="2863" priority="2778">
      <formula>H5="-"</formula>
    </cfRule>
    <cfRule type="cellIs" dxfId="2862" priority="2779" operator="equal">
      <formula>"-"</formula>
    </cfRule>
    <cfRule type="cellIs" dxfId="2861" priority="2780" operator="equal">
      <formula>H5</formula>
    </cfRule>
    <cfRule type="cellIs" dxfId="2860" priority="2781" operator="greaterThan">
      <formula>H5</formula>
    </cfRule>
    <cfRule type="cellIs" dxfId="2859" priority="2782" operator="lessThan">
      <formula>H5</formula>
    </cfRule>
  </conditionalFormatting>
  <conditionalFormatting sqref="I6">
    <cfRule type="expression" dxfId="2858" priority="2773">
      <formula>H6="-"</formula>
    </cfRule>
    <cfRule type="cellIs" dxfId="2857" priority="2774" operator="equal">
      <formula>"-"</formula>
    </cfRule>
    <cfRule type="cellIs" dxfId="2856" priority="2775" operator="equal">
      <formula>H6</formula>
    </cfRule>
    <cfRule type="cellIs" dxfId="2855" priority="2776" operator="greaterThan">
      <formula>H6</formula>
    </cfRule>
    <cfRule type="cellIs" dxfId="2854" priority="2777" operator="lessThan">
      <formula>H6</formula>
    </cfRule>
  </conditionalFormatting>
  <conditionalFormatting sqref="I7">
    <cfRule type="expression" dxfId="2853" priority="2768">
      <formula>H7="-"</formula>
    </cfRule>
    <cfRule type="cellIs" dxfId="2852" priority="2769" operator="equal">
      <formula>"-"</formula>
    </cfRule>
    <cfRule type="cellIs" dxfId="2851" priority="2770" operator="equal">
      <formula>H7</formula>
    </cfRule>
    <cfRule type="cellIs" dxfId="2850" priority="2771" operator="greaterThan">
      <formula>H7</formula>
    </cfRule>
    <cfRule type="cellIs" dxfId="2849" priority="2772" operator="lessThan">
      <formula>H7</formula>
    </cfRule>
  </conditionalFormatting>
  <conditionalFormatting sqref="I8">
    <cfRule type="expression" dxfId="2848" priority="2763">
      <formula>H8="-"</formula>
    </cfRule>
    <cfRule type="cellIs" dxfId="2847" priority="2764" operator="equal">
      <formula>"-"</formula>
    </cfRule>
    <cfRule type="cellIs" dxfId="2846" priority="2765" operator="equal">
      <formula>H8</formula>
    </cfRule>
    <cfRule type="cellIs" dxfId="2845" priority="2766" operator="greaterThan">
      <formula>H8</formula>
    </cfRule>
    <cfRule type="cellIs" dxfId="2844" priority="2767" operator="lessThan">
      <formula>H8</formula>
    </cfRule>
  </conditionalFormatting>
  <conditionalFormatting sqref="I9">
    <cfRule type="expression" dxfId="2843" priority="2758">
      <formula>H9="-"</formula>
    </cfRule>
    <cfRule type="cellIs" dxfId="2842" priority="2759" operator="equal">
      <formula>"-"</formula>
    </cfRule>
    <cfRule type="cellIs" dxfId="2841" priority="2760" operator="equal">
      <formula>H9</formula>
    </cfRule>
    <cfRule type="cellIs" dxfId="2840" priority="2761" operator="greaterThan">
      <formula>H9</formula>
    </cfRule>
    <cfRule type="cellIs" dxfId="2839" priority="2762" operator="lessThan">
      <formula>H9</formula>
    </cfRule>
  </conditionalFormatting>
  <conditionalFormatting sqref="I10">
    <cfRule type="expression" dxfId="2838" priority="2753">
      <formula>H10="-"</formula>
    </cfRule>
    <cfRule type="cellIs" dxfId="2837" priority="2754" operator="equal">
      <formula>"-"</formula>
    </cfRule>
    <cfRule type="cellIs" dxfId="2836" priority="2755" operator="equal">
      <formula>H10</formula>
    </cfRule>
    <cfRule type="cellIs" dxfId="2835" priority="2756" operator="greaterThan">
      <formula>H10</formula>
    </cfRule>
    <cfRule type="cellIs" dxfId="2834" priority="2757" operator="lessThan">
      <formula>H10</formula>
    </cfRule>
  </conditionalFormatting>
  <conditionalFormatting sqref="I11">
    <cfRule type="expression" dxfId="2833" priority="2748">
      <formula>H11="-"</formula>
    </cfRule>
    <cfRule type="cellIs" dxfId="2832" priority="2749" operator="equal">
      <formula>"-"</formula>
    </cfRule>
    <cfRule type="cellIs" dxfId="2831" priority="2750" operator="equal">
      <formula>H11</formula>
    </cfRule>
    <cfRule type="cellIs" dxfId="2830" priority="2751" operator="greaterThan">
      <formula>H11</formula>
    </cfRule>
    <cfRule type="cellIs" dxfId="2829" priority="2752" operator="lessThan">
      <formula>H11</formula>
    </cfRule>
  </conditionalFormatting>
  <conditionalFormatting sqref="I12">
    <cfRule type="expression" dxfId="2828" priority="2743">
      <formula>H12="-"</formula>
    </cfRule>
    <cfRule type="cellIs" dxfId="2827" priority="2744" operator="equal">
      <formula>"-"</formula>
    </cfRule>
    <cfRule type="cellIs" dxfId="2826" priority="2745" operator="equal">
      <formula>H12</formula>
    </cfRule>
    <cfRule type="cellIs" dxfId="2825" priority="2746" operator="greaterThan">
      <formula>H12</formula>
    </cfRule>
    <cfRule type="cellIs" dxfId="2824" priority="2747" operator="lessThan">
      <formula>H12</formula>
    </cfRule>
  </conditionalFormatting>
  <conditionalFormatting sqref="I13">
    <cfRule type="expression" dxfId="2823" priority="2738">
      <formula>H13="-"</formula>
    </cfRule>
    <cfRule type="cellIs" dxfId="2822" priority="2739" operator="equal">
      <formula>"-"</formula>
    </cfRule>
    <cfRule type="cellIs" dxfId="2821" priority="2740" operator="equal">
      <formula>H13</formula>
    </cfRule>
    <cfRule type="cellIs" dxfId="2820" priority="2741" operator="greaterThan">
      <formula>H13</formula>
    </cfRule>
    <cfRule type="cellIs" dxfId="2819" priority="2742" operator="lessThan">
      <formula>H13</formula>
    </cfRule>
  </conditionalFormatting>
  <conditionalFormatting sqref="I14">
    <cfRule type="expression" dxfId="2818" priority="2733">
      <formula>H14="-"</formula>
    </cfRule>
    <cfRule type="cellIs" dxfId="2817" priority="2734" operator="equal">
      <formula>"-"</formula>
    </cfRule>
    <cfRule type="cellIs" dxfId="2816" priority="2735" operator="equal">
      <formula>H14</formula>
    </cfRule>
    <cfRule type="cellIs" dxfId="2815" priority="2736" operator="greaterThan">
      <formula>H14</formula>
    </cfRule>
    <cfRule type="cellIs" dxfId="2814" priority="2737" operator="lessThan">
      <formula>H14</formula>
    </cfRule>
  </conditionalFormatting>
  <conditionalFormatting sqref="I15">
    <cfRule type="expression" dxfId="2813" priority="2728">
      <formula>H15="-"</formula>
    </cfRule>
    <cfRule type="cellIs" dxfId="2812" priority="2729" operator="equal">
      <formula>"-"</formula>
    </cfRule>
    <cfRule type="cellIs" dxfId="2811" priority="2730" operator="equal">
      <formula>H15</formula>
    </cfRule>
    <cfRule type="cellIs" dxfId="2810" priority="2731" operator="greaterThan">
      <formula>H15</formula>
    </cfRule>
    <cfRule type="cellIs" dxfId="2809" priority="2732" operator="lessThan">
      <formula>H15</formula>
    </cfRule>
  </conditionalFormatting>
  <conditionalFormatting sqref="I16">
    <cfRule type="expression" dxfId="2808" priority="2723">
      <formula>H16="-"</formula>
    </cfRule>
    <cfRule type="cellIs" dxfId="2807" priority="2724" operator="equal">
      <formula>"-"</formula>
    </cfRule>
    <cfRule type="cellIs" dxfId="2806" priority="2725" operator="equal">
      <formula>H16</formula>
    </cfRule>
    <cfRule type="cellIs" dxfId="2805" priority="2726" operator="greaterThan">
      <formula>H16</formula>
    </cfRule>
    <cfRule type="cellIs" dxfId="2804" priority="2727" operator="lessThan">
      <formula>H16</formula>
    </cfRule>
  </conditionalFormatting>
  <conditionalFormatting sqref="I17">
    <cfRule type="expression" dxfId="2803" priority="2718">
      <formula>H17="-"</formula>
    </cfRule>
    <cfRule type="cellIs" dxfId="2802" priority="2719" operator="equal">
      <formula>"-"</formula>
    </cfRule>
    <cfRule type="cellIs" dxfId="2801" priority="2720" operator="equal">
      <formula>H17</formula>
    </cfRule>
    <cfRule type="cellIs" dxfId="2800" priority="2721" operator="greaterThan">
      <formula>H17</formula>
    </cfRule>
    <cfRule type="cellIs" dxfId="2799" priority="2722" operator="lessThan">
      <formula>H17</formula>
    </cfRule>
  </conditionalFormatting>
  <conditionalFormatting sqref="I18">
    <cfRule type="expression" dxfId="2798" priority="2713">
      <formula>H18="-"</formula>
    </cfRule>
    <cfRule type="cellIs" dxfId="2797" priority="2714" operator="equal">
      <formula>"-"</formula>
    </cfRule>
    <cfRule type="cellIs" dxfId="2796" priority="2715" operator="equal">
      <formula>H18</formula>
    </cfRule>
    <cfRule type="cellIs" dxfId="2795" priority="2716" operator="greaterThan">
      <formula>H18</formula>
    </cfRule>
    <cfRule type="cellIs" dxfId="2794" priority="2717" operator="lessThan">
      <formula>H18</formula>
    </cfRule>
  </conditionalFormatting>
  <conditionalFormatting sqref="I19">
    <cfRule type="expression" dxfId="2793" priority="2708">
      <formula>H19="-"</formula>
    </cfRule>
    <cfRule type="cellIs" dxfId="2792" priority="2709" operator="equal">
      <formula>"-"</formula>
    </cfRule>
    <cfRule type="cellIs" dxfId="2791" priority="2710" operator="equal">
      <formula>H19</formula>
    </cfRule>
    <cfRule type="cellIs" dxfId="2790" priority="2711" operator="greaterThan">
      <formula>H19</formula>
    </cfRule>
    <cfRule type="cellIs" dxfId="2789" priority="2712" operator="lessThan">
      <formula>H19</formula>
    </cfRule>
  </conditionalFormatting>
  <conditionalFormatting sqref="I20">
    <cfRule type="expression" dxfId="2788" priority="2703">
      <formula>H20="-"</formula>
    </cfRule>
    <cfRule type="cellIs" dxfId="2787" priority="2704" operator="equal">
      <formula>"-"</formula>
    </cfRule>
    <cfRule type="cellIs" dxfId="2786" priority="2705" operator="equal">
      <formula>H20</formula>
    </cfRule>
    <cfRule type="cellIs" dxfId="2785" priority="2706" operator="greaterThan">
      <formula>H20</formula>
    </cfRule>
    <cfRule type="cellIs" dxfId="2784" priority="2707" operator="lessThan">
      <formula>H20</formula>
    </cfRule>
  </conditionalFormatting>
  <conditionalFormatting sqref="I21">
    <cfRule type="expression" dxfId="2783" priority="2698">
      <formula>H21="-"</formula>
    </cfRule>
    <cfRule type="cellIs" dxfId="2782" priority="2699" operator="equal">
      <formula>"-"</formula>
    </cfRule>
    <cfRule type="cellIs" dxfId="2781" priority="2700" operator="equal">
      <formula>H21</formula>
    </cfRule>
    <cfRule type="cellIs" dxfId="2780" priority="2701" operator="greaterThan">
      <formula>H21</formula>
    </cfRule>
    <cfRule type="cellIs" dxfId="2779" priority="2702" operator="lessThan">
      <formula>H21</formula>
    </cfRule>
  </conditionalFormatting>
  <conditionalFormatting sqref="I22">
    <cfRule type="expression" dxfId="2778" priority="2693">
      <formula>H22="-"</formula>
    </cfRule>
    <cfRule type="cellIs" dxfId="2777" priority="2694" operator="equal">
      <formula>"-"</formula>
    </cfRule>
    <cfRule type="cellIs" dxfId="2776" priority="2695" operator="equal">
      <formula>H22</formula>
    </cfRule>
    <cfRule type="cellIs" dxfId="2775" priority="2696" operator="greaterThan">
      <formula>H22</formula>
    </cfRule>
    <cfRule type="cellIs" dxfId="2774" priority="2697" operator="lessThan">
      <formula>H22</formula>
    </cfRule>
  </conditionalFormatting>
  <conditionalFormatting sqref="I23">
    <cfRule type="expression" dxfId="2773" priority="2688">
      <formula>H23="-"</formula>
    </cfRule>
    <cfRule type="cellIs" dxfId="2772" priority="2689" operator="equal">
      <formula>"-"</formula>
    </cfRule>
    <cfRule type="cellIs" dxfId="2771" priority="2690" operator="equal">
      <formula>H23</formula>
    </cfRule>
    <cfRule type="cellIs" dxfId="2770" priority="2691" operator="greaterThan">
      <formula>H23</formula>
    </cfRule>
    <cfRule type="cellIs" dxfId="2769" priority="2692" operator="lessThan">
      <formula>H23</formula>
    </cfRule>
  </conditionalFormatting>
  <conditionalFormatting sqref="I24">
    <cfRule type="expression" dxfId="2768" priority="2683">
      <formula>H24="-"</formula>
    </cfRule>
    <cfRule type="cellIs" dxfId="2767" priority="2684" operator="equal">
      <formula>"-"</formula>
    </cfRule>
    <cfRule type="cellIs" dxfId="2766" priority="2685" operator="equal">
      <formula>H24</formula>
    </cfRule>
    <cfRule type="cellIs" dxfId="2765" priority="2686" operator="greaterThan">
      <formula>H24</formula>
    </cfRule>
    <cfRule type="cellIs" dxfId="2764" priority="2687" operator="lessThan">
      <formula>H24</formula>
    </cfRule>
  </conditionalFormatting>
  <conditionalFormatting sqref="I25">
    <cfRule type="expression" dxfId="2763" priority="2678">
      <formula>H25="-"</formula>
    </cfRule>
    <cfRule type="cellIs" dxfId="2762" priority="2679" operator="equal">
      <formula>"-"</formula>
    </cfRule>
    <cfRule type="cellIs" dxfId="2761" priority="2680" operator="equal">
      <formula>H25</formula>
    </cfRule>
    <cfRule type="cellIs" dxfId="2760" priority="2681" operator="greaterThan">
      <formula>H25</formula>
    </cfRule>
    <cfRule type="cellIs" dxfId="2759" priority="2682" operator="lessThan">
      <formula>H25</formula>
    </cfRule>
  </conditionalFormatting>
  <conditionalFormatting sqref="I26">
    <cfRule type="expression" dxfId="2758" priority="2673">
      <formula>H26="-"</formula>
    </cfRule>
    <cfRule type="cellIs" dxfId="2757" priority="2674" operator="equal">
      <formula>"-"</formula>
    </cfRule>
    <cfRule type="cellIs" dxfId="2756" priority="2675" operator="equal">
      <formula>H26</formula>
    </cfRule>
    <cfRule type="cellIs" dxfId="2755" priority="2676" operator="greaterThan">
      <formula>H26</formula>
    </cfRule>
    <cfRule type="cellIs" dxfId="2754" priority="2677" operator="lessThan">
      <formula>H26</formula>
    </cfRule>
  </conditionalFormatting>
  <conditionalFormatting sqref="I27">
    <cfRule type="expression" dxfId="2753" priority="2668">
      <formula>H27="-"</formula>
    </cfRule>
    <cfRule type="cellIs" dxfId="2752" priority="2669" operator="equal">
      <formula>"-"</formula>
    </cfRule>
    <cfRule type="cellIs" dxfId="2751" priority="2670" operator="equal">
      <formula>H27</formula>
    </cfRule>
    <cfRule type="cellIs" dxfId="2750" priority="2671" operator="greaterThan">
      <formula>H27</formula>
    </cfRule>
    <cfRule type="cellIs" dxfId="2749" priority="2672" operator="lessThan">
      <formula>H27</formula>
    </cfRule>
  </conditionalFormatting>
  <conditionalFormatting sqref="I28">
    <cfRule type="expression" dxfId="2748" priority="2663">
      <formula>H28="-"</formula>
    </cfRule>
    <cfRule type="cellIs" dxfId="2747" priority="2664" operator="equal">
      <formula>"-"</formula>
    </cfRule>
    <cfRule type="cellIs" dxfId="2746" priority="2665" operator="equal">
      <formula>H28</formula>
    </cfRule>
    <cfRule type="cellIs" dxfId="2745" priority="2666" operator="greaterThan">
      <formula>H28</formula>
    </cfRule>
    <cfRule type="cellIs" dxfId="2744" priority="2667" operator="lessThan">
      <formula>H28</formula>
    </cfRule>
  </conditionalFormatting>
  <conditionalFormatting sqref="J4">
    <cfRule type="expression" dxfId="2743" priority="2658">
      <formula>I4="-"</formula>
    </cfRule>
    <cfRule type="cellIs" dxfId="2742" priority="2659" operator="equal">
      <formula>"-"</formula>
    </cfRule>
    <cfRule type="cellIs" dxfId="2741" priority="2660" operator="equal">
      <formula>I4</formula>
    </cfRule>
    <cfRule type="cellIs" dxfId="2740" priority="2661" operator="greaterThan">
      <formula>I4</formula>
    </cfRule>
    <cfRule type="cellIs" dxfId="2739" priority="2662" operator="lessThan">
      <formula>I4</formula>
    </cfRule>
  </conditionalFormatting>
  <conditionalFormatting sqref="J5">
    <cfRule type="expression" dxfId="2738" priority="2653">
      <formula>I5="-"</formula>
    </cfRule>
    <cfRule type="cellIs" dxfId="2737" priority="2654" operator="equal">
      <formula>"-"</formula>
    </cfRule>
    <cfRule type="cellIs" dxfId="2736" priority="2655" operator="equal">
      <formula>I5</formula>
    </cfRule>
    <cfRule type="cellIs" dxfId="2735" priority="2656" operator="greaterThan">
      <formula>I5</formula>
    </cfRule>
    <cfRule type="cellIs" dxfId="2734" priority="2657" operator="lessThan">
      <formula>I5</formula>
    </cfRule>
  </conditionalFormatting>
  <conditionalFormatting sqref="J6">
    <cfRule type="expression" dxfId="2733" priority="2648">
      <formula>I6="-"</formula>
    </cfRule>
    <cfRule type="cellIs" dxfId="2732" priority="2649" operator="equal">
      <formula>"-"</formula>
    </cfRule>
    <cfRule type="cellIs" dxfId="2731" priority="2650" operator="equal">
      <formula>I6</formula>
    </cfRule>
    <cfRule type="cellIs" dxfId="2730" priority="2651" operator="greaterThan">
      <formula>I6</formula>
    </cfRule>
    <cfRule type="cellIs" dxfId="2729" priority="2652" operator="lessThan">
      <formula>I6</formula>
    </cfRule>
  </conditionalFormatting>
  <conditionalFormatting sqref="J7">
    <cfRule type="expression" dxfId="2728" priority="2643">
      <formula>I7="-"</formula>
    </cfRule>
    <cfRule type="cellIs" dxfId="2727" priority="2644" operator="equal">
      <formula>"-"</formula>
    </cfRule>
    <cfRule type="cellIs" dxfId="2726" priority="2645" operator="equal">
      <formula>I7</formula>
    </cfRule>
    <cfRule type="cellIs" dxfId="2725" priority="2646" operator="greaterThan">
      <formula>I7</formula>
    </cfRule>
    <cfRule type="cellIs" dxfId="2724" priority="2647" operator="lessThan">
      <formula>I7</formula>
    </cfRule>
  </conditionalFormatting>
  <conditionalFormatting sqref="J8">
    <cfRule type="expression" dxfId="2723" priority="2638">
      <formula>I8="-"</formula>
    </cfRule>
    <cfRule type="cellIs" dxfId="2722" priority="2639" operator="equal">
      <formula>"-"</formula>
    </cfRule>
    <cfRule type="cellIs" dxfId="2721" priority="2640" operator="equal">
      <formula>I8</formula>
    </cfRule>
    <cfRule type="cellIs" dxfId="2720" priority="2641" operator="greaterThan">
      <formula>I8</formula>
    </cfRule>
    <cfRule type="cellIs" dxfId="2719" priority="2642" operator="lessThan">
      <formula>I8</formula>
    </cfRule>
  </conditionalFormatting>
  <conditionalFormatting sqref="J9">
    <cfRule type="expression" dxfId="2718" priority="2633">
      <formula>I9="-"</formula>
    </cfRule>
    <cfRule type="cellIs" dxfId="2717" priority="2634" operator="equal">
      <formula>"-"</formula>
    </cfRule>
    <cfRule type="cellIs" dxfId="2716" priority="2635" operator="equal">
      <formula>I9</formula>
    </cfRule>
    <cfRule type="cellIs" dxfId="2715" priority="2636" operator="greaterThan">
      <formula>I9</formula>
    </cfRule>
    <cfRule type="cellIs" dxfId="2714" priority="2637" operator="lessThan">
      <formula>I9</formula>
    </cfRule>
  </conditionalFormatting>
  <conditionalFormatting sqref="J10">
    <cfRule type="expression" dxfId="2713" priority="2628">
      <formula>I10="-"</formula>
    </cfRule>
    <cfRule type="cellIs" dxfId="2712" priority="2629" operator="equal">
      <formula>"-"</formula>
    </cfRule>
    <cfRule type="cellIs" dxfId="2711" priority="2630" operator="equal">
      <formula>I10</formula>
    </cfRule>
    <cfRule type="cellIs" dxfId="2710" priority="2631" operator="greaterThan">
      <formula>I10</formula>
    </cfRule>
    <cfRule type="cellIs" dxfId="2709" priority="2632" operator="lessThan">
      <formula>I10</formula>
    </cfRule>
  </conditionalFormatting>
  <conditionalFormatting sqref="J11">
    <cfRule type="expression" dxfId="2708" priority="2623">
      <formula>I11="-"</formula>
    </cfRule>
    <cfRule type="cellIs" dxfId="2707" priority="2624" operator="equal">
      <formula>"-"</formula>
    </cfRule>
    <cfRule type="cellIs" dxfId="2706" priority="2625" operator="equal">
      <formula>I11</formula>
    </cfRule>
    <cfRule type="cellIs" dxfId="2705" priority="2626" operator="greaterThan">
      <formula>I11</formula>
    </cfRule>
    <cfRule type="cellIs" dxfId="2704" priority="2627" operator="lessThan">
      <formula>I11</formula>
    </cfRule>
  </conditionalFormatting>
  <conditionalFormatting sqref="J12">
    <cfRule type="expression" dxfId="2703" priority="2618">
      <formula>I12="-"</formula>
    </cfRule>
    <cfRule type="cellIs" dxfId="2702" priority="2619" operator="equal">
      <formula>"-"</formula>
    </cfRule>
    <cfRule type="cellIs" dxfId="2701" priority="2620" operator="equal">
      <formula>I12</formula>
    </cfRule>
    <cfRule type="cellIs" dxfId="2700" priority="2621" operator="greaterThan">
      <formula>I12</formula>
    </cfRule>
    <cfRule type="cellIs" dxfId="2699" priority="2622" operator="lessThan">
      <formula>I12</formula>
    </cfRule>
  </conditionalFormatting>
  <conditionalFormatting sqref="J13">
    <cfRule type="expression" dxfId="2698" priority="2613">
      <formula>I13="-"</formula>
    </cfRule>
    <cfRule type="cellIs" dxfId="2697" priority="2614" operator="equal">
      <formula>"-"</formula>
    </cfRule>
    <cfRule type="cellIs" dxfId="2696" priority="2615" operator="equal">
      <formula>I13</formula>
    </cfRule>
    <cfRule type="cellIs" dxfId="2695" priority="2616" operator="greaterThan">
      <formula>I13</formula>
    </cfRule>
    <cfRule type="cellIs" dxfId="2694" priority="2617" operator="lessThan">
      <formula>I13</formula>
    </cfRule>
  </conditionalFormatting>
  <conditionalFormatting sqref="J14">
    <cfRule type="expression" dxfId="2693" priority="2608">
      <formula>I14="-"</formula>
    </cfRule>
    <cfRule type="cellIs" dxfId="2692" priority="2609" operator="equal">
      <formula>"-"</formula>
    </cfRule>
    <cfRule type="cellIs" dxfId="2691" priority="2610" operator="equal">
      <formula>I14</formula>
    </cfRule>
    <cfRule type="cellIs" dxfId="2690" priority="2611" operator="greaterThan">
      <formula>I14</formula>
    </cfRule>
    <cfRule type="cellIs" dxfId="2689" priority="2612" operator="lessThan">
      <formula>I14</formula>
    </cfRule>
  </conditionalFormatting>
  <conditionalFormatting sqref="J15">
    <cfRule type="expression" dxfId="2688" priority="2603">
      <formula>I15="-"</formula>
    </cfRule>
    <cfRule type="cellIs" dxfId="2687" priority="2604" operator="equal">
      <formula>"-"</formula>
    </cfRule>
    <cfRule type="cellIs" dxfId="2686" priority="2605" operator="equal">
      <formula>I15</formula>
    </cfRule>
    <cfRule type="cellIs" dxfId="2685" priority="2606" operator="greaterThan">
      <formula>I15</formula>
    </cfRule>
    <cfRule type="cellIs" dxfId="2684" priority="2607" operator="lessThan">
      <formula>I15</formula>
    </cfRule>
  </conditionalFormatting>
  <conditionalFormatting sqref="J16">
    <cfRule type="expression" dxfId="2683" priority="2598">
      <formula>I16="-"</formula>
    </cfRule>
    <cfRule type="cellIs" dxfId="2682" priority="2599" operator="equal">
      <formula>"-"</formula>
    </cfRule>
    <cfRule type="cellIs" dxfId="2681" priority="2600" operator="equal">
      <formula>I16</formula>
    </cfRule>
    <cfRule type="cellIs" dxfId="2680" priority="2601" operator="greaterThan">
      <formula>I16</formula>
    </cfRule>
    <cfRule type="cellIs" dxfId="2679" priority="2602" operator="lessThan">
      <formula>I16</formula>
    </cfRule>
  </conditionalFormatting>
  <conditionalFormatting sqref="J17">
    <cfRule type="expression" dxfId="2678" priority="2593">
      <formula>I17="-"</formula>
    </cfRule>
    <cfRule type="cellIs" dxfId="2677" priority="2594" operator="equal">
      <formula>"-"</formula>
    </cfRule>
    <cfRule type="cellIs" dxfId="2676" priority="2595" operator="equal">
      <formula>I17</formula>
    </cfRule>
    <cfRule type="cellIs" dxfId="2675" priority="2596" operator="greaterThan">
      <formula>I17</formula>
    </cfRule>
    <cfRule type="cellIs" dxfId="2674" priority="2597" operator="lessThan">
      <formula>I17</formula>
    </cfRule>
  </conditionalFormatting>
  <conditionalFormatting sqref="J18">
    <cfRule type="expression" dxfId="2673" priority="2588">
      <formula>I18="-"</formula>
    </cfRule>
    <cfRule type="cellIs" dxfId="2672" priority="2589" operator="equal">
      <formula>"-"</formula>
    </cfRule>
    <cfRule type="cellIs" dxfId="2671" priority="2590" operator="equal">
      <formula>I18</formula>
    </cfRule>
    <cfRule type="cellIs" dxfId="2670" priority="2591" operator="greaterThan">
      <formula>I18</formula>
    </cfRule>
    <cfRule type="cellIs" dxfId="2669" priority="2592" operator="lessThan">
      <formula>I18</formula>
    </cfRule>
  </conditionalFormatting>
  <conditionalFormatting sqref="J19">
    <cfRule type="expression" dxfId="2668" priority="2583">
      <formula>I19="-"</formula>
    </cfRule>
    <cfRule type="cellIs" dxfId="2667" priority="2584" operator="equal">
      <formula>"-"</formula>
    </cfRule>
    <cfRule type="cellIs" dxfId="2666" priority="2585" operator="equal">
      <formula>I19</formula>
    </cfRule>
    <cfRule type="cellIs" dxfId="2665" priority="2586" operator="greaterThan">
      <formula>I19</formula>
    </cfRule>
    <cfRule type="cellIs" dxfId="2664" priority="2587" operator="lessThan">
      <formula>I19</formula>
    </cfRule>
  </conditionalFormatting>
  <conditionalFormatting sqref="J20">
    <cfRule type="expression" dxfId="2663" priority="2578">
      <formula>I20="-"</formula>
    </cfRule>
    <cfRule type="cellIs" dxfId="2662" priority="2579" operator="equal">
      <formula>"-"</formula>
    </cfRule>
    <cfRule type="cellIs" dxfId="2661" priority="2580" operator="equal">
      <formula>I20</formula>
    </cfRule>
    <cfRule type="cellIs" dxfId="2660" priority="2581" operator="greaterThan">
      <formula>I20</formula>
    </cfRule>
    <cfRule type="cellIs" dxfId="2659" priority="2582" operator="lessThan">
      <formula>I20</formula>
    </cfRule>
  </conditionalFormatting>
  <conditionalFormatting sqref="J21">
    <cfRule type="expression" dxfId="2658" priority="2573">
      <formula>I21="-"</formula>
    </cfRule>
    <cfRule type="cellIs" dxfId="2657" priority="2574" operator="equal">
      <formula>"-"</formula>
    </cfRule>
    <cfRule type="cellIs" dxfId="2656" priority="2575" operator="equal">
      <formula>I21</formula>
    </cfRule>
    <cfRule type="cellIs" dxfId="2655" priority="2576" operator="greaterThan">
      <formula>I21</formula>
    </cfRule>
    <cfRule type="cellIs" dxfId="2654" priority="2577" operator="lessThan">
      <formula>I21</formula>
    </cfRule>
  </conditionalFormatting>
  <conditionalFormatting sqref="J22">
    <cfRule type="expression" dxfId="2653" priority="2568">
      <formula>I22="-"</formula>
    </cfRule>
    <cfRule type="cellIs" dxfId="2652" priority="2569" operator="equal">
      <formula>"-"</formula>
    </cfRule>
    <cfRule type="cellIs" dxfId="2651" priority="2570" operator="equal">
      <formula>I22</formula>
    </cfRule>
    <cfRule type="cellIs" dxfId="2650" priority="2571" operator="greaterThan">
      <formula>I22</formula>
    </cfRule>
    <cfRule type="cellIs" dxfId="2649" priority="2572" operator="lessThan">
      <formula>I22</formula>
    </cfRule>
  </conditionalFormatting>
  <conditionalFormatting sqref="J23">
    <cfRule type="expression" dxfId="2648" priority="2563">
      <formula>I23="-"</formula>
    </cfRule>
    <cfRule type="cellIs" dxfId="2647" priority="2564" operator="equal">
      <formula>"-"</formula>
    </cfRule>
    <cfRule type="cellIs" dxfId="2646" priority="2565" operator="equal">
      <formula>I23</formula>
    </cfRule>
    <cfRule type="cellIs" dxfId="2645" priority="2566" operator="greaterThan">
      <formula>I23</formula>
    </cfRule>
    <cfRule type="cellIs" dxfId="2644" priority="2567" operator="lessThan">
      <formula>I23</formula>
    </cfRule>
  </conditionalFormatting>
  <conditionalFormatting sqref="J24">
    <cfRule type="expression" dxfId="2643" priority="2558">
      <formula>I24="-"</formula>
    </cfRule>
    <cfRule type="cellIs" dxfId="2642" priority="2559" operator="equal">
      <formula>"-"</formula>
    </cfRule>
    <cfRule type="cellIs" dxfId="2641" priority="2560" operator="equal">
      <formula>I24</formula>
    </cfRule>
    <cfRule type="cellIs" dxfId="2640" priority="2561" operator="greaterThan">
      <formula>I24</formula>
    </cfRule>
    <cfRule type="cellIs" dxfId="2639" priority="2562" operator="lessThan">
      <formula>I24</formula>
    </cfRule>
  </conditionalFormatting>
  <conditionalFormatting sqref="J25">
    <cfRule type="expression" dxfId="2638" priority="2553">
      <formula>I25="-"</formula>
    </cfRule>
    <cfRule type="cellIs" dxfId="2637" priority="2554" operator="equal">
      <formula>"-"</formula>
    </cfRule>
    <cfRule type="cellIs" dxfId="2636" priority="2555" operator="equal">
      <formula>I25</formula>
    </cfRule>
    <cfRule type="cellIs" dxfId="2635" priority="2556" operator="greaterThan">
      <formula>I25</formula>
    </cfRule>
    <cfRule type="cellIs" dxfId="2634" priority="2557" operator="lessThan">
      <formula>I25</formula>
    </cfRule>
  </conditionalFormatting>
  <conditionalFormatting sqref="J26">
    <cfRule type="expression" dxfId="2633" priority="2548">
      <formula>I26="-"</formula>
    </cfRule>
    <cfRule type="cellIs" dxfId="2632" priority="2549" operator="equal">
      <formula>"-"</formula>
    </cfRule>
    <cfRule type="cellIs" dxfId="2631" priority="2550" operator="equal">
      <formula>I26</formula>
    </cfRule>
    <cfRule type="cellIs" dxfId="2630" priority="2551" operator="greaterThan">
      <formula>I26</formula>
    </cfRule>
    <cfRule type="cellIs" dxfId="2629" priority="2552" operator="lessThan">
      <formula>I26</formula>
    </cfRule>
  </conditionalFormatting>
  <conditionalFormatting sqref="J27">
    <cfRule type="expression" dxfId="2628" priority="2543">
      <formula>I27="-"</formula>
    </cfRule>
    <cfRule type="cellIs" dxfId="2627" priority="2544" operator="equal">
      <formula>"-"</formula>
    </cfRule>
    <cfRule type="cellIs" dxfId="2626" priority="2545" operator="equal">
      <formula>I27</formula>
    </cfRule>
    <cfRule type="cellIs" dxfId="2625" priority="2546" operator="greaterThan">
      <formula>I27</formula>
    </cfRule>
    <cfRule type="cellIs" dxfId="2624" priority="2547" operator="lessThan">
      <formula>I27</formula>
    </cfRule>
  </conditionalFormatting>
  <conditionalFormatting sqref="J28">
    <cfRule type="expression" dxfId="2623" priority="2538">
      <formula>I28="-"</formula>
    </cfRule>
    <cfRule type="cellIs" dxfId="2622" priority="2539" operator="equal">
      <formula>"-"</formula>
    </cfRule>
    <cfRule type="cellIs" dxfId="2621" priority="2540" operator="equal">
      <formula>I28</formula>
    </cfRule>
    <cfRule type="cellIs" dxfId="2620" priority="2541" operator="greaterThan">
      <formula>I28</formula>
    </cfRule>
    <cfRule type="cellIs" dxfId="2619" priority="2542" operator="lessThan">
      <formula>I28</formula>
    </cfRule>
  </conditionalFormatting>
  <conditionalFormatting sqref="C29">
    <cfRule type="expression" dxfId="2618" priority="2533">
      <formula>B29="-"</formula>
    </cfRule>
    <cfRule type="cellIs" dxfId="2617" priority="2534" operator="equal">
      <formula>"-"</formula>
    </cfRule>
    <cfRule type="cellIs" dxfId="2616" priority="2535" operator="equal">
      <formula>B29</formula>
    </cfRule>
    <cfRule type="cellIs" dxfId="2615" priority="2536" operator="greaterThan">
      <formula>B29</formula>
    </cfRule>
    <cfRule type="cellIs" dxfId="2614" priority="2537" operator="lessThan">
      <formula>B29</formula>
    </cfRule>
  </conditionalFormatting>
  <conditionalFormatting sqref="C30">
    <cfRule type="expression" dxfId="2613" priority="2528">
      <formula>B30="-"</formula>
    </cfRule>
    <cfRule type="cellIs" dxfId="2612" priority="2529" operator="equal">
      <formula>"-"</formula>
    </cfRule>
    <cfRule type="cellIs" dxfId="2611" priority="2530" operator="equal">
      <formula>B30</formula>
    </cfRule>
    <cfRule type="cellIs" dxfId="2610" priority="2531" operator="greaterThan">
      <formula>B30</formula>
    </cfRule>
    <cfRule type="cellIs" dxfId="2609" priority="2532" operator="lessThan">
      <formula>B30</formula>
    </cfRule>
  </conditionalFormatting>
  <conditionalFormatting sqref="D29">
    <cfRule type="expression" dxfId="2608" priority="2523">
      <formula>C29="-"</formula>
    </cfRule>
    <cfRule type="cellIs" dxfId="2607" priority="2524" operator="equal">
      <formula>"-"</formula>
    </cfRule>
    <cfRule type="cellIs" dxfId="2606" priority="2525" operator="equal">
      <formula>C29</formula>
    </cfRule>
    <cfRule type="cellIs" dxfId="2605" priority="2526" operator="greaterThan">
      <formula>C29</formula>
    </cfRule>
    <cfRule type="cellIs" dxfId="2604" priority="2527" operator="lessThan">
      <formula>C29</formula>
    </cfRule>
  </conditionalFormatting>
  <conditionalFormatting sqref="D30">
    <cfRule type="expression" dxfId="2603" priority="2518">
      <formula>C30="-"</formula>
    </cfRule>
    <cfRule type="cellIs" dxfId="2602" priority="2519" operator="equal">
      <formula>"-"</formula>
    </cfRule>
    <cfRule type="cellIs" dxfId="2601" priority="2520" operator="equal">
      <formula>C30</formula>
    </cfRule>
    <cfRule type="cellIs" dxfId="2600" priority="2521" operator="greaterThan">
      <formula>C30</formula>
    </cfRule>
    <cfRule type="cellIs" dxfId="2599" priority="2522" operator="lessThan">
      <formula>C30</formula>
    </cfRule>
  </conditionalFormatting>
  <conditionalFormatting sqref="E29">
    <cfRule type="expression" dxfId="2598" priority="2513">
      <formula>D29="-"</formula>
    </cfRule>
    <cfRule type="cellIs" dxfId="2597" priority="2514" operator="equal">
      <formula>"-"</formula>
    </cfRule>
    <cfRule type="cellIs" dxfId="2596" priority="2515" operator="equal">
      <formula>D29</formula>
    </cfRule>
    <cfRule type="cellIs" dxfId="2595" priority="2516" operator="greaterThan">
      <formula>D29</formula>
    </cfRule>
    <cfRule type="cellIs" dxfId="2594" priority="2517" operator="lessThan">
      <formula>D29</formula>
    </cfRule>
  </conditionalFormatting>
  <conditionalFormatting sqref="E30">
    <cfRule type="expression" dxfId="2593" priority="2508">
      <formula>D30="-"</formula>
    </cfRule>
    <cfRule type="cellIs" dxfId="2592" priority="2509" operator="equal">
      <formula>"-"</formula>
    </cfRule>
    <cfRule type="cellIs" dxfId="2591" priority="2510" operator="equal">
      <formula>D30</formula>
    </cfRule>
    <cfRule type="cellIs" dxfId="2590" priority="2511" operator="greaterThan">
      <formula>D30</formula>
    </cfRule>
    <cfRule type="cellIs" dxfId="2589" priority="2512" operator="lessThan">
      <formula>D30</formula>
    </cfRule>
  </conditionalFormatting>
  <conditionalFormatting sqref="F29">
    <cfRule type="expression" dxfId="2588" priority="2503">
      <formula>E29="-"</formula>
    </cfRule>
    <cfRule type="cellIs" dxfId="2587" priority="2504" operator="equal">
      <formula>"-"</formula>
    </cfRule>
    <cfRule type="cellIs" dxfId="2586" priority="2505" operator="equal">
      <formula>E29</formula>
    </cfRule>
    <cfRule type="cellIs" dxfId="2585" priority="2506" operator="greaterThan">
      <formula>E29</formula>
    </cfRule>
    <cfRule type="cellIs" dxfId="2584" priority="2507" operator="lessThan">
      <formula>E29</formula>
    </cfRule>
  </conditionalFormatting>
  <conditionalFormatting sqref="F30">
    <cfRule type="expression" dxfId="2583" priority="2498">
      <formula>E30="-"</formula>
    </cfRule>
    <cfRule type="cellIs" dxfId="2582" priority="2499" operator="equal">
      <formula>"-"</formula>
    </cfRule>
    <cfRule type="cellIs" dxfId="2581" priority="2500" operator="equal">
      <formula>E30</formula>
    </cfRule>
    <cfRule type="cellIs" dxfId="2580" priority="2501" operator="greaterThan">
      <formula>E30</formula>
    </cfRule>
    <cfRule type="cellIs" dxfId="2579" priority="2502" operator="lessThan">
      <formula>E30</formula>
    </cfRule>
  </conditionalFormatting>
  <conditionalFormatting sqref="G29">
    <cfRule type="expression" dxfId="2578" priority="2493">
      <formula>F29="-"</formula>
    </cfRule>
    <cfRule type="cellIs" dxfId="2577" priority="2494" operator="equal">
      <formula>"-"</formula>
    </cfRule>
    <cfRule type="cellIs" dxfId="2576" priority="2495" operator="equal">
      <formula>F29</formula>
    </cfRule>
    <cfRule type="cellIs" dxfId="2575" priority="2496" operator="greaterThan">
      <formula>F29</formula>
    </cfRule>
    <cfRule type="cellIs" dxfId="2574" priority="2497" operator="lessThan">
      <formula>F29</formula>
    </cfRule>
  </conditionalFormatting>
  <conditionalFormatting sqref="G30">
    <cfRule type="expression" dxfId="2573" priority="2488">
      <formula>F30="-"</formula>
    </cfRule>
    <cfRule type="cellIs" dxfId="2572" priority="2489" operator="equal">
      <formula>"-"</formula>
    </cfRule>
    <cfRule type="cellIs" dxfId="2571" priority="2490" operator="equal">
      <formula>F30</formula>
    </cfRule>
    <cfRule type="cellIs" dxfId="2570" priority="2491" operator="greaterThan">
      <formula>F30</formula>
    </cfRule>
    <cfRule type="cellIs" dxfId="2569" priority="2492" operator="lessThan">
      <formula>F30</formula>
    </cfRule>
  </conditionalFormatting>
  <conditionalFormatting sqref="H29">
    <cfRule type="expression" dxfId="2568" priority="2483">
      <formula>G29="-"</formula>
    </cfRule>
    <cfRule type="cellIs" dxfId="2567" priority="2484" operator="equal">
      <formula>"-"</formula>
    </cfRule>
    <cfRule type="cellIs" dxfId="2566" priority="2485" operator="equal">
      <formula>G29</formula>
    </cfRule>
    <cfRule type="cellIs" dxfId="2565" priority="2486" operator="greaterThan">
      <formula>G29</formula>
    </cfRule>
    <cfRule type="cellIs" dxfId="2564" priority="2487" operator="lessThan">
      <formula>G29</formula>
    </cfRule>
  </conditionalFormatting>
  <conditionalFormatting sqref="H30">
    <cfRule type="expression" dxfId="2563" priority="2478">
      <formula>G30="-"</formula>
    </cfRule>
    <cfRule type="cellIs" dxfId="2562" priority="2479" operator="equal">
      <formula>"-"</formula>
    </cfRule>
    <cfRule type="cellIs" dxfId="2561" priority="2480" operator="equal">
      <formula>G30</formula>
    </cfRule>
    <cfRule type="cellIs" dxfId="2560" priority="2481" operator="greaterThan">
      <formula>G30</formula>
    </cfRule>
    <cfRule type="cellIs" dxfId="2559" priority="2482" operator="lessThan">
      <formula>G30</formula>
    </cfRule>
  </conditionalFormatting>
  <conditionalFormatting sqref="I29">
    <cfRule type="expression" dxfId="2558" priority="2473">
      <formula>H29="-"</formula>
    </cfRule>
    <cfRule type="cellIs" dxfId="2557" priority="2474" operator="equal">
      <formula>"-"</formula>
    </cfRule>
    <cfRule type="cellIs" dxfId="2556" priority="2475" operator="equal">
      <formula>H29</formula>
    </cfRule>
    <cfRule type="cellIs" dxfId="2555" priority="2476" operator="greaterThan">
      <formula>H29</formula>
    </cfRule>
    <cfRule type="cellIs" dxfId="2554" priority="2477" operator="lessThan">
      <formula>H29</formula>
    </cfRule>
  </conditionalFormatting>
  <conditionalFormatting sqref="I30">
    <cfRule type="expression" dxfId="2553" priority="2468">
      <formula>H30="-"</formula>
    </cfRule>
    <cfRule type="cellIs" dxfId="2552" priority="2469" operator="equal">
      <formula>"-"</formula>
    </cfRule>
    <cfRule type="cellIs" dxfId="2551" priority="2470" operator="equal">
      <formula>H30</formula>
    </cfRule>
    <cfRule type="cellIs" dxfId="2550" priority="2471" operator="greaterThan">
      <formula>H30</formula>
    </cfRule>
    <cfRule type="cellIs" dxfId="2549" priority="2472" operator="lessThan">
      <formula>H30</formula>
    </cfRule>
  </conditionalFormatting>
  <conditionalFormatting sqref="J29">
    <cfRule type="expression" dxfId="2548" priority="2463">
      <formula>I29="-"</formula>
    </cfRule>
    <cfRule type="cellIs" dxfId="2547" priority="2464" operator="equal">
      <formula>"-"</formula>
    </cfRule>
    <cfRule type="cellIs" dxfId="2546" priority="2465" operator="equal">
      <formula>I29</formula>
    </cfRule>
    <cfRule type="cellIs" dxfId="2545" priority="2466" operator="greaterThan">
      <formula>I29</formula>
    </cfRule>
    <cfRule type="cellIs" dxfId="2544" priority="2467" operator="lessThan">
      <formula>I29</formula>
    </cfRule>
  </conditionalFormatting>
  <conditionalFormatting sqref="J30">
    <cfRule type="expression" dxfId="2543" priority="2458">
      <formula>I30="-"</formula>
    </cfRule>
    <cfRule type="cellIs" dxfId="2542" priority="2459" operator="equal">
      <formula>"-"</formula>
    </cfRule>
    <cfRule type="cellIs" dxfId="2541" priority="2460" operator="equal">
      <formula>I30</formula>
    </cfRule>
    <cfRule type="cellIs" dxfId="2540" priority="2461" operator="greaterThan">
      <formula>I30</formula>
    </cfRule>
    <cfRule type="cellIs" dxfId="2539" priority="2462" operator="lessThan">
      <formula>I30</formula>
    </cfRule>
  </conditionalFormatting>
  <conditionalFormatting sqref="M4">
    <cfRule type="cellIs" dxfId="2538" priority="2454" operator="equal">
      <formula>"-"</formula>
    </cfRule>
    <cfRule type="cellIs" dxfId="2537" priority="2455" operator="equal">
      <formula>0</formula>
    </cfRule>
    <cfRule type="cellIs" dxfId="2536" priority="2456" operator="greaterThan">
      <formula>0</formula>
    </cfRule>
    <cfRule type="cellIs" dxfId="2535" priority="2457" operator="lessThan">
      <formula>0</formula>
    </cfRule>
  </conditionalFormatting>
  <conditionalFormatting sqref="M5">
    <cfRule type="cellIs" dxfId="2534" priority="2450" operator="equal">
      <formula>"-"</formula>
    </cfRule>
    <cfRule type="cellIs" dxfId="2533" priority="2451" operator="equal">
      <formula>0</formula>
    </cfRule>
    <cfRule type="cellIs" dxfId="2532" priority="2452" operator="greaterThan">
      <formula>0</formula>
    </cfRule>
    <cfRule type="cellIs" dxfId="2531" priority="2453" operator="lessThan">
      <formula>0</formula>
    </cfRule>
  </conditionalFormatting>
  <conditionalFormatting sqref="M6">
    <cfRule type="cellIs" dxfId="2530" priority="2446" operator="equal">
      <formula>"-"</formula>
    </cfRule>
    <cfRule type="cellIs" dxfId="2529" priority="2447" operator="equal">
      <formula>0</formula>
    </cfRule>
    <cfRule type="cellIs" dxfId="2528" priority="2448" operator="greaterThan">
      <formula>0</formula>
    </cfRule>
    <cfRule type="cellIs" dxfId="2527" priority="2449" operator="lessThan">
      <formula>0</formula>
    </cfRule>
  </conditionalFormatting>
  <conditionalFormatting sqref="M7">
    <cfRule type="cellIs" dxfId="2526" priority="2442" operator="equal">
      <formula>"-"</formula>
    </cfRule>
    <cfRule type="cellIs" dxfId="2525" priority="2443" operator="equal">
      <formula>0</formula>
    </cfRule>
    <cfRule type="cellIs" dxfId="2524" priority="2444" operator="greaterThan">
      <formula>0</formula>
    </cfRule>
    <cfRule type="cellIs" dxfId="2523" priority="2445" operator="lessThan">
      <formula>0</formula>
    </cfRule>
  </conditionalFormatting>
  <conditionalFormatting sqref="M8">
    <cfRule type="cellIs" dxfId="2522" priority="2438" operator="equal">
      <formula>"-"</formula>
    </cfRule>
    <cfRule type="cellIs" dxfId="2521" priority="2439" operator="equal">
      <formula>0</formula>
    </cfRule>
    <cfRule type="cellIs" dxfId="2520" priority="2440" operator="greaterThan">
      <formula>0</formula>
    </cfRule>
    <cfRule type="cellIs" dxfId="2519" priority="2441" operator="lessThan">
      <formula>0</formula>
    </cfRule>
  </conditionalFormatting>
  <conditionalFormatting sqref="M9">
    <cfRule type="cellIs" dxfId="2518" priority="2434" operator="equal">
      <formula>"-"</formula>
    </cfRule>
    <cfRule type="cellIs" dxfId="2517" priority="2435" operator="equal">
      <formula>0</formula>
    </cfRule>
    <cfRule type="cellIs" dxfId="2516" priority="2436" operator="greaterThan">
      <formula>0</formula>
    </cfRule>
    <cfRule type="cellIs" dxfId="2515" priority="2437" operator="lessThan">
      <formula>0</formula>
    </cfRule>
  </conditionalFormatting>
  <conditionalFormatting sqref="M10">
    <cfRule type="cellIs" dxfId="2514" priority="2430" operator="equal">
      <formula>"-"</formula>
    </cfRule>
    <cfRule type="cellIs" dxfId="2513" priority="2431" operator="equal">
      <formula>0</formula>
    </cfRule>
    <cfRule type="cellIs" dxfId="2512" priority="2432" operator="greaterThan">
      <formula>0</formula>
    </cfRule>
    <cfRule type="cellIs" dxfId="2511" priority="2433" operator="lessThan">
      <formula>0</formula>
    </cfRule>
  </conditionalFormatting>
  <conditionalFormatting sqref="M11">
    <cfRule type="cellIs" dxfId="2510" priority="2426" operator="equal">
      <formula>"-"</formula>
    </cfRule>
    <cfRule type="cellIs" dxfId="2509" priority="2427" operator="equal">
      <formula>0</formula>
    </cfRule>
    <cfRule type="cellIs" dxfId="2508" priority="2428" operator="greaterThan">
      <formula>0</formula>
    </cfRule>
    <cfRule type="cellIs" dxfId="2507" priority="2429" operator="lessThan">
      <formula>0</formula>
    </cfRule>
  </conditionalFormatting>
  <conditionalFormatting sqref="M12">
    <cfRule type="cellIs" dxfId="2506" priority="2422" operator="equal">
      <formula>"-"</formula>
    </cfRule>
    <cfRule type="cellIs" dxfId="2505" priority="2423" operator="equal">
      <formula>0</formula>
    </cfRule>
    <cfRule type="cellIs" dxfId="2504" priority="2424" operator="greaterThan">
      <formula>0</formula>
    </cfRule>
    <cfRule type="cellIs" dxfId="2503" priority="2425" operator="lessThan">
      <formula>0</formula>
    </cfRule>
  </conditionalFormatting>
  <conditionalFormatting sqref="M13">
    <cfRule type="cellIs" dxfId="2502" priority="2418" operator="equal">
      <formula>"-"</formula>
    </cfRule>
    <cfRule type="cellIs" dxfId="2501" priority="2419" operator="equal">
      <formula>0</formula>
    </cfRule>
    <cfRule type="cellIs" dxfId="2500" priority="2420" operator="greaterThan">
      <formula>0</formula>
    </cfRule>
    <cfRule type="cellIs" dxfId="2499" priority="2421" operator="lessThan">
      <formula>0</formula>
    </cfRule>
  </conditionalFormatting>
  <conditionalFormatting sqref="M14">
    <cfRule type="cellIs" dxfId="2498" priority="2414" operator="equal">
      <formula>"-"</formula>
    </cfRule>
    <cfRule type="cellIs" dxfId="2497" priority="2415" operator="equal">
      <formula>0</formula>
    </cfRule>
    <cfRule type="cellIs" dxfId="2496" priority="2416" operator="greaterThan">
      <formula>0</formula>
    </cfRule>
    <cfRule type="cellIs" dxfId="2495" priority="2417" operator="lessThan">
      <formula>0</formula>
    </cfRule>
  </conditionalFormatting>
  <conditionalFormatting sqref="M15">
    <cfRule type="cellIs" dxfId="2494" priority="2410" operator="equal">
      <formula>"-"</formula>
    </cfRule>
    <cfRule type="cellIs" dxfId="2493" priority="2411" operator="equal">
      <formula>0</formula>
    </cfRule>
    <cfRule type="cellIs" dxfId="2492" priority="2412" operator="greaterThan">
      <formula>0</formula>
    </cfRule>
    <cfRule type="cellIs" dxfId="2491" priority="2413" operator="lessThan">
      <formula>0</formula>
    </cfRule>
  </conditionalFormatting>
  <conditionalFormatting sqref="M16">
    <cfRule type="cellIs" dxfId="2490" priority="2406" operator="equal">
      <formula>"-"</formula>
    </cfRule>
    <cfRule type="cellIs" dxfId="2489" priority="2407" operator="equal">
      <formula>0</formula>
    </cfRule>
    <cfRule type="cellIs" dxfId="2488" priority="2408" operator="greaterThan">
      <formula>0</formula>
    </cfRule>
    <cfRule type="cellIs" dxfId="2487" priority="2409" operator="lessThan">
      <formula>0</formula>
    </cfRule>
  </conditionalFormatting>
  <conditionalFormatting sqref="M17">
    <cfRule type="cellIs" dxfId="2486" priority="2402" operator="equal">
      <formula>"-"</formula>
    </cfRule>
    <cfRule type="cellIs" dxfId="2485" priority="2403" operator="equal">
      <formula>0</formula>
    </cfRule>
    <cfRule type="cellIs" dxfId="2484" priority="2404" operator="greaterThan">
      <formula>0</formula>
    </cfRule>
    <cfRule type="cellIs" dxfId="2483" priority="2405" operator="lessThan">
      <formula>0</formula>
    </cfRule>
  </conditionalFormatting>
  <conditionalFormatting sqref="M18">
    <cfRule type="cellIs" dxfId="2482" priority="2398" operator="equal">
      <formula>"-"</formula>
    </cfRule>
    <cfRule type="cellIs" dxfId="2481" priority="2399" operator="equal">
      <formula>0</formula>
    </cfRule>
    <cfRule type="cellIs" dxfId="2480" priority="2400" operator="greaterThan">
      <formula>0</formula>
    </cfRule>
    <cfRule type="cellIs" dxfId="2479" priority="2401" operator="lessThan">
      <formula>0</formula>
    </cfRule>
  </conditionalFormatting>
  <conditionalFormatting sqref="M19">
    <cfRule type="cellIs" dxfId="2478" priority="2394" operator="equal">
      <formula>"-"</formula>
    </cfRule>
    <cfRule type="cellIs" dxfId="2477" priority="2395" operator="equal">
      <formula>0</formula>
    </cfRule>
    <cfRule type="cellIs" dxfId="2476" priority="2396" operator="greaterThan">
      <formula>0</formula>
    </cfRule>
    <cfRule type="cellIs" dxfId="2475" priority="2397" operator="lessThan">
      <formula>0</formula>
    </cfRule>
  </conditionalFormatting>
  <conditionalFormatting sqref="M20">
    <cfRule type="cellIs" dxfId="2474" priority="2390" operator="equal">
      <formula>"-"</formula>
    </cfRule>
    <cfRule type="cellIs" dxfId="2473" priority="2391" operator="equal">
      <formula>0</formula>
    </cfRule>
    <cfRule type="cellIs" dxfId="2472" priority="2392" operator="greaterThan">
      <formula>0</formula>
    </cfRule>
    <cfRule type="cellIs" dxfId="2471" priority="2393" operator="lessThan">
      <formula>0</formula>
    </cfRule>
  </conditionalFormatting>
  <conditionalFormatting sqref="M21">
    <cfRule type="cellIs" dxfId="2470" priority="2386" operator="equal">
      <formula>"-"</formula>
    </cfRule>
    <cfRule type="cellIs" dxfId="2469" priority="2387" operator="equal">
      <formula>0</formula>
    </cfRule>
    <cfRule type="cellIs" dxfId="2468" priority="2388" operator="greaterThan">
      <formula>0</formula>
    </cfRule>
    <cfRule type="cellIs" dxfId="2467" priority="2389" operator="lessThan">
      <formula>0</formula>
    </cfRule>
  </conditionalFormatting>
  <conditionalFormatting sqref="M22">
    <cfRule type="cellIs" dxfId="2466" priority="2382" operator="equal">
      <formula>"-"</formula>
    </cfRule>
    <cfRule type="cellIs" dxfId="2465" priority="2383" operator="equal">
      <formula>0</formula>
    </cfRule>
    <cfRule type="cellIs" dxfId="2464" priority="2384" operator="greaterThan">
      <formula>0</formula>
    </cfRule>
    <cfRule type="cellIs" dxfId="2463" priority="2385" operator="lessThan">
      <formula>0</formula>
    </cfRule>
  </conditionalFormatting>
  <conditionalFormatting sqref="M23">
    <cfRule type="cellIs" dxfId="2462" priority="2378" operator="equal">
      <formula>"-"</formula>
    </cfRule>
    <cfRule type="cellIs" dxfId="2461" priority="2379" operator="equal">
      <formula>0</formula>
    </cfRule>
    <cfRule type="cellIs" dxfId="2460" priority="2380" operator="greaterThan">
      <formula>0</formula>
    </cfRule>
    <cfRule type="cellIs" dxfId="2459" priority="2381" operator="lessThan">
      <formula>0</formula>
    </cfRule>
  </conditionalFormatting>
  <conditionalFormatting sqref="M24">
    <cfRule type="cellIs" dxfId="2458" priority="2374" operator="equal">
      <formula>"-"</formula>
    </cfRule>
    <cfRule type="cellIs" dxfId="2457" priority="2375" operator="equal">
      <formula>0</formula>
    </cfRule>
    <cfRule type="cellIs" dxfId="2456" priority="2376" operator="greaterThan">
      <formula>0</formula>
    </cfRule>
    <cfRule type="cellIs" dxfId="2455" priority="2377" operator="lessThan">
      <formula>0</formula>
    </cfRule>
  </conditionalFormatting>
  <conditionalFormatting sqref="M25">
    <cfRule type="cellIs" dxfId="2454" priority="2370" operator="equal">
      <formula>"-"</formula>
    </cfRule>
    <cfRule type="cellIs" dxfId="2453" priority="2371" operator="equal">
      <formula>0</formula>
    </cfRule>
    <cfRule type="cellIs" dxfId="2452" priority="2372" operator="greaterThan">
      <formula>0</formula>
    </cfRule>
    <cfRule type="cellIs" dxfId="2451" priority="2373" operator="lessThan">
      <formula>0</formula>
    </cfRule>
  </conditionalFormatting>
  <conditionalFormatting sqref="M26">
    <cfRule type="cellIs" dxfId="2450" priority="2366" operator="equal">
      <formula>"-"</formula>
    </cfRule>
    <cfRule type="cellIs" dxfId="2449" priority="2367" operator="equal">
      <formula>0</formula>
    </cfRule>
    <cfRule type="cellIs" dxfId="2448" priority="2368" operator="greaterThan">
      <formula>0</formula>
    </cfRule>
    <cfRule type="cellIs" dxfId="2447" priority="2369" operator="lessThan">
      <formula>0</formula>
    </cfRule>
  </conditionalFormatting>
  <conditionalFormatting sqref="M27">
    <cfRule type="cellIs" dxfId="2446" priority="2362" operator="equal">
      <formula>"-"</formula>
    </cfRule>
    <cfRule type="cellIs" dxfId="2445" priority="2363" operator="equal">
      <formula>0</formula>
    </cfRule>
    <cfRule type="cellIs" dxfId="2444" priority="2364" operator="greaterThan">
      <formula>0</formula>
    </cfRule>
    <cfRule type="cellIs" dxfId="2443" priority="2365" operator="lessThan">
      <formula>0</formula>
    </cfRule>
  </conditionalFormatting>
  <conditionalFormatting sqref="M28">
    <cfRule type="cellIs" dxfId="2442" priority="2358" operator="equal">
      <formula>"-"</formula>
    </cfRule>
    <cfRule type="cellIs" dxfId="2441" priority="2359" operator="equal">
      <formula>0</formula>
    </cfRule>
    <cfRule type="cellIs" dxfId="2440" priority="2360" operator="greaterThan">
      <formula>0</formula>
    </cfRule>
    <cfRule type="cellIs" dxfId="2439" priority="2361" operator="lessThan">
      <formula>0</formula>
    </cfRule>
  </conditionalFormatting>
  <conditionalFormatting sqref="N4">
    <cfRule type="cellIs" dxfId="2438" priority="2354" operator="equal">
      <formula>"-"</formula>
    </cfRule>
    <cfRule type="cellIs" dxfId="2437" priority="2355" operator="equal">
      <formula>0</formula>
    </cfRule>
    <cfRule type="cellIs" dxfId="2436" priority="2356" operator="greaterThan">
      <formula>0</formula>
    </cfRule>
    <cfRule type="cellIs" dxfId="2435" priority="2357" operator="lessThan">
      <formula>0</formula>
    </cfRule>
  </conditionalFormatting>
  <conditionalFormatting sqref="N5">
    <cfRule type="cellIs" dxfId="2434" priority="2350" operator="equal">
      <formula>"-"</formula>
    </cfRule>
    <cfRule type="cellIs" dxfId="2433" priority="2351" operator="equal">
      <formula>0</formula>
    </cfRule>
    <cfRule type="cellIs" dxfId="2432" priority="2352" operator="greaterThan">
      <formula>0</formula>
    </cfRule>
    <cfRule type="cellIs" dxfId="2431" priority="2353" operator="lessThan">
      <formula>0</formula>
    </cfRule>
  </conditionalFormatting>
  <conditionalFormatting sqref="N6">
    <cfRule type="cellIs" dxfId="2430" priority="2346" operator="equal">
      <formula>"-"</formula>
    </cfRule>
    <cfRule type="cellIs" dxfId="2429" priority="2347" operator="equal">
      <formula>0</formula>
    </cfRule>
    <cfRule type="cellIs" dxfId="2428" priority="2348" operator="greaterThan">
      <formula>0</formula>
    </cfRule>
    <cfRule type="cellIs" dxfId="2427" priority="2349" operator="lessThan">
      <formula>0</formula>
    </cfRule>
  </conditionalFormatting>
  <conditionalFormatting sqref="N7">
    <cfRule type="cellIs" dxfId="2426" priority="2342" operator="equal">
      <formula>"-"</formula>
    </cfRule>
    <cfRule type="cellIs" dxfId="2425" priority="2343" operator="equal">
      <formula>0</formula>
    </cfRule>
    <cfRule type="cellIs" dxfId="2424" priority="2344" operator="greaterThan">
      <formula>0</formula>
    </cfRule>
    <cfRule type="cellIs" dxfId="2423" priority="2345" operator="lessThan">
      <formula>0</formula>
    </cfRule>
  </conditionalFormatting>
  <conditionalFormatting sqref="N8">
    <cfRule type="cellIs" dxfId="2422" priority="2338" operator="equal">
      <formula>"-"</formula>
    </cfRule>
    <cfRule type="cellIs" dxfId="2421" priority="2339" operator="equal">
      <formula>0</formula>
    </cfRule>
    <cfRule type="cellIs" dxfId="2420" priority="2340" operator="greaterThan">
      <formula>0</formula>
    </cfRule>
    <cfRule type="cellIs" dxfId="2419" priority="2341" operator="lessThan">
      <formula>0</formula>
    </cfRule>
  </conditionalFormatting>
  <conditionalFormatting sqref="N9">
    <cfRule type="cellIs" dxfId="2418" priority="2334" operator="equal">
      <formula>"-"</formula>
    </cfRule>
    <cfRule type="cellIs" dxfId="2417" priority="2335" operator="equal">
      <formula>0</formula>
    </cfRule>
    <cfRule type="cellIs" dxfId="2416" priority="2336" operator="greaterThan">
      <formula>0</formula>
    </cfRule>
    <cfRule type="cellIs" dxfId="2415" priority="2337" operator="lessThan">
      <formula>0</formula>
    </cfRule>
  </conditionalFormatting>
  <conditionalFormatting sqref="N10">
    <cfRule type="cellIs" dxfId="2414" priority="2330" operator="equal">
      <formula>"-"</formula>
    </cfRule>
    <cfRule type="cellIs" dxfId="2413" priority="2331" operator="equal">
      <formula>0</formula>
    </cfRule>
    <cfRule type="cellIs" dxfId="2412" priority="2332" operator="greaterThan">
      <formula>0</formula>
    </cfRule>
    <cfRule type="cellIs" dxfId="2411" priority="2333" operator="lessThan">
      <formula>0</formula>
    </cfRule>
  </conditionalFormatting>
  <conditionalFormatting sqref="N11">
    <cfRule type="cellIs" dxfId="2410" priority="2326" operator="equal">
      <formula>"-"</formula>
    </cfRule>
    <cfRule type="cellIs" dxfId="2409" priority="2327" operator="equal">
      <formula>0</formula>
    </cfRule>
    <cfRule type="cellIs" dxfId="2408" priority="2328" operator="greaterThan">
      <formula>0</formula>
    </cfRule>
    <cfRule type="cellIs" dxfId="2407" priority="2329" operator="lessThan">
      <formula>0</formula>
    </cfRule>
  </conditionalFormatting>
  <conditionalFormatting sqref="N12">
    <cfRule type="cellIs" dxfId="2406" priority="2322" operator="equal">
      <formula>"-"</formula>
    </cfRule>
    <cfRule type="cellIs" dxfId="2405" priority="2323" operator="equal">
      <formula>0</formula>
    </cfRule>
    <cfRule type="cellIs" dxfId="2404" priority="2324" operator="greaterThan">
      <formula>0</formula>
    </cfRule>
    <cfRule type="cellIs" dxfId="2403" priority="2325" operator="lessThan">
      <formula>0</formula>
    </cfRule>
  </conditionalFormatting>
  <conditionalFormatting sqref="N13">
    <cfRule type="cellIs" dxfId="2402" priority="2318" operator="equal">
      <formula>"-"</formula>
    </cfRule>
    <cfRule type="cellIs" dxfId="2401" priority="2319" operator="equal">
      <formula>0</formula>
    </cfRule>
    <cfRule type="cellIs" dxfId="2400" priority="2320" operator="greaterThan">
      <formula>0</formula>
    </cfRule>
    <cfRule type="cellIs" dxfId="2399" priority="2321" operator="lessThan">
      <formula>0</formula>
    </cfRule>
  </conditionalFormatting>
  <conditionalFormatting sqref="N14">
    <cfRule type="cellIs" dxfId="2398" priority="2314" operator="equal">
      <formula>"-"</formula>
    </cfRule>
    <cfRule type="cellIs" dxfId="2397" priority="2315" operator="equal">
      <formula>0</formula>
    </cfRule>
    <cfRule type="cellIs" dxfId="2396" priority="2316" operator="greaterThan">
      <formula>0</formula>
    </cfRule>
    <cfRule type="cellIs" dxfId="2395" priority="2317" operator="lessThan">
      <formula>0</formula>
    </cfRule>
  </conditionalFormatting>
  <conditionalFormatting sqref="N15">
    <cfRule type="cellIs" dxfId="2394" priority="2310" operator="equal">
      <formula>"-"</formula>
    </cfRule>
    <cfRule type="cellIs" dxfId="2393" priority="2311" operator="equal">
      <formula>0</formula>
    </cfRule>
    <cfRule type="cellIs" dxfId="2392" priority="2312" operator="greaterThan">
      <formula>0</formula>
    </cfRule>
    <cfRule type="cellIs" dxfId="2391" priority="2313" operator="lessThan">
      <formula>0</formula>
    </cfRule>
  </conditionalFormatting>
  <conditionalFormatting sqref="N16">
    <cfRule type="cellIs" dxfId="2390" priority="2306" operator="equal">
      <formula>"-"</formula>
    </cfRule>
    <cfRule type="cellIs" dxfId="2389" priority="2307" operator="equal">
      <formula>0</formula>
    </cfRule>
    <cfRule type="cellIs" dxfId="2388" priority="2308" operator="greaterThan">
      <formula>0</formula>
    </cfRule>
    <cfRule type="cellIs" dxfId="2387" priority="2309" operator="lessThan">
      <formula>0</formula>
    </cfRule>
  </conditionalFormatting>
  <conditionalFormatting sqref="N17">
    <cfRule type="cellIs" dxfId="2386" priority="2302" operator="equal">
      <formula>"-"</formula>
    </cfRule>
    <cfRule type="cellIs" dxfId="2385" priority="2303" operator="equal">
      <formula>0</formula>
    </cfRule>
    <cfRule type="cellIs" dxfId="2384" priority="2304" operator="greaterThan">
      <formula>0</formula>
    </cfRule>
    <cfRule type="cellIs" dxfId="2383" priority="2305" operator="lessThan">
      <formula>0</formula>
    </cfRule>
  </conditionalFormatting>
  <conditionalFormatting sqref="N18">
    <cfRule type="cellIs" dxfId="2382" priority="2298" operator="equal">
      <formula>"-"</formula>
    </cfRule>
    <cfRule type="cellIs" dxfId="2381" priority="2299" operator="equal">
      <formula>0</formula>
    </cfRule>
    <cfRule type="cellIs" dxfId="2380" priority="2300" operator="greaterThan">
      <formula>0</formula>
    </cfRule>
    <cfRule type="cellIs" dxfId="2379" priority="2301" operator="lessThan">
      <formula>0</formula>
    </cfRule>
  </conditionalFormatting>
  <conditionalFormatting sqref="N19">
    <cfRule type="cellIs" dxfId="2378" priority="2294" operator="equal">
      <formula>"-"</formula>
    </cfRule>
    <cfRule type="cellIs" dxfId="2377" priority="2295" operator="equal">
      <formula>0</formula>
    </cfRule>
    <cfRule type="cellIs" dxfId="2376" priority="2296" operator="greaterThan">
      <formula>0</formula>
    </cfRule>
    <cfRule type="cellIs" dxfId="2375" priority="2297" operator="lessThan">
      <formula>0</formula>
    </cfRule>
  </conditionalFormatting>
  <conditionalFormatting sqref="N20">
    <cfRule type="cellIs" dxfId="2374" priority="2290" operator="equal">
      <formula>"-"</formula>
    </cfRule>
    <cfRule type="cellIs" dxfId="2373" priority="2291" operator="equal">
      <formula>0</formula>
    </cfRule>
    <cfRule type="cellIs" dxfId="2372" priority="2292" operator="greaterThan">
      <formula>0</formula>
    </cfRule>
    <cfRule type="cellIs" dxfId="2371" priority="2293" operator="lessThan">
      <formula>0</formula>
    </cfRule>
  </conditionalFormatting>
  <conditionalFormatting sqref="N21">
    <cfRule type="cellIs" dxfId="2370" priority="2286" operator="equal">
      <formula>"-"</formula>
    </cfRule>
    <cfRule type="cellIs" dxfId="2369" priority="2287" operator="equal">
      <formula>0</formula>
    </cfRule>
    <cfRule type="cellIs" dxfId="2368" priority="2288" operator="greaterThan">
      <formula>0</formula>
    </cfRule>
    <cfRule type="cellIs" dxfId="2367" priority="2289" operator="lessThan">
      <formula>0</formula>
    </cfRule>
  </conditionalFormatting>
  <conditionalFormatting sqref="N22">
    <cfRule type="cellIs" dxfId="2366" priority="2282" operator="equal">
      <formula>"-"</formula>
    </cfRule>
    <cfRule type="cellIs" dxfId="2365" priority="2283" operator="equal">
      <formula>0</formula>
    </cfRule>
    <cfRule type="cellIs" dxfId="2364" priority="2284" operator="greaterThan">
      <formula>0</formula>
    </cfRule>
    <cfRule type="cellIs" dxfId="2363" priority="2285" operator="lessThan">
      <formula>0</formula>
    </cfRule>
  </conditionalFormatting>
  <conditionalFormatting sqref="N23">
    <cfRule type="cellIs" dxfId="2362" priority="2278" operator="equal">
      <formula>"-"</formula>
    </cfRule>
    <cfRule type="cellIs" dxfId="2361" priority="2279" operator="equal">
      <formula>0</formula>
    </cfRule>
    <cfRule type="cellIs" dxfId="2360" priority="2280" operator="greaterThan">
      <formula>0</formula>
    </cfRule>
    <cfRule type="cellIs" dxfId="2359" priority="2281" operator="lessThan">
      <formula>0</formula>
    </cfRule>
  </conditionalFormatting>
  <conditionalFormatting sqref="N24">
    <cfRule type="cellIs" dxfId="2358" priority="2274" operator="equal">
      <formula>"-"</formula>
    </cfRule>
    <cfRule type="cellIs" dxfId="2357" priority="2275" operator="equal">
      <formula>0</formula>
    </cfRule>
    <cfRule type="cellIs" dxfId="2356" priority="2276" operator="greaterThan">
      <formula>0</formula>
    </cfRule>
    <cfRule type="cellIs" dxfId="2355" priority="2277" operator="lessThan">
      <formula>0</formula>
    </cfRule>
  </conditionalFormatting>
  <conditionalFormatting sqref="N25">
    <cfRule type="cellIs" dxfId="2354" priority="2270" operator="equal">
      <formula>"-"</formula>
    </cfRule>
    <cfRule type="cellIs" dxfId="2353" priority="2271" operator="equal">
      <formula>0</formula>
    </cfRule>
    <cfRule type="cellIs" dxfId="2352" priority="2272" operator="greaterThan">
      <formula>0</formula>
    </cfRule>
    <cfRule type="cellIs" dxfId="2351" priority="2273" operator="lessThan">
      <formula>0</formula>
    </cfRule>
  </conditionalFormatting>
  <conditionalFormatting sqref="N26">
    <cfRule type="cellIs" dxfId="2350" priority="2266" operator="equal">
      <formula>"-"</formula>
    </cfRule>
    <cfRule type="cellIs" dxfId="2349" priority="2267" operator="equal">
      <formula>0</formula>
    </cfRule>
    <cfRule type="cellIs" dxfId="2348" priority="2268" operator="greaterThan">
      <formula>0</formula>
    </cfRule>
    <cfRule type="cellIs" dxfId="2347" priority="2269" operator="lessThan">
      <formula>0</formula>
    </cfRule>
  </conditionalFormatting>
  <conditionalFormatting sqref="N27">
    <cfRule type="cellIs" dxfId="2346" priority="2262" operator="equal">
      <formula>"-"</formula>
    </cfRule>
    <cfRule type="cellIs" dxfId="2345" priority="2263" operator="equal">
      <formula>0</formula>
    </cfRule>
    <cfRule type="cellIs" dxfId="2344" priority="2264" operator="greaterThan">
      <formula>0</formula>
    </cfRule>
    <cfRule type="cellIs" dxfId="2343" priority="2265" operator="lessThan">
      <formula>0</formula>
    </cfRule>
  </conditionalFormatting>
  <conditionalFormatting sqref="N28">
    <cfRule type="cellIs" dxfId="2342" priority="2258" operator="equal">
      <formula>"-"</formula>
    </cfRule>
    <cfRule type="cellIs" dxfId="2341" priority="2259" operator="equal">
      <formula>0</formula>
    </cfRule>
    <cfRule type="cellIs" dxfId="2340" priority="2260" operator="greaterThan">
      <formula>0</formula>
    </cfRule>
    <cfRule type="cellIs" dxfId="2339" priority="2261" operator="lessThan">
      <formula>0</formula>
    </cfRule>
  </conditionalFormatting>
  <conditionalFormatting sqref="O4">
    <cfRule type="cellIs" dxfId="2338" priority="2254" operator="equal">
      <formula>"-"</formula>
    </cfRule>
    <cfRule type="cellIs" dxfId="2337" priority="2255" operator="equal">
      <formula>0</formula>
    </cfRule>
    <cfRule type="cellIs" dxfId="2336" priority="2256" operator="greaterThan">
      <formula>0</formula>
    </cfRule>
    <cfRule type="cellIs" dxfId="2335" priority="2257" operator="lessThan">
      <formula>0</formula>
    </cfRule>
  </conditionalFormatting>
  <conditionalFormatting sqref="O5">
    <cfRule type="cellIs" dxfId="2334" priority="2250" operator="equal">
      <formula>"-"</formula>
    </cfRule>
    <cfRule type="cellIs" dxfId="2333" priority="2251" operator="equal">
      <formula>0</formula>
    </cfRule>
    <cfRule type="cellIs" dxfId="2332" priority="2252" operator="greaterThan">
      <formula>0</formula>
    </cfRule>
    <cfRule type="cellIs" dxfId="2331" priority="2253" operator="lessThan">
      <formula>0</formula>
    </cfRule>
  </conditionalFormatting>
  <conditionalFormatting sqref="O6">
    <cfRule type="cellIs" dxfId="2330" priority="2246" operator="equal">
      <formula>"-"</formula>
    </cfRule>
    <cfRule type="cellIs" dxfId="2329" priority="2247" operator="equal">
      <formula>0</formula>
    </cfRule>
    <cfRule type="cellIs" dxfId="2328" priority="2248" operator="greaterThan">
      <formula>0</formula>
    </cfRule>
    <cfRule type="cellIs" dxfId="2327" priority="2249" operator="lessThan">
      <formula>0</formula>
    </cfRule>
  </conditionalFormatting>
  <conditionalFormatting sqref="O7">
    <cfRule type="cellIs" dxfId="2326" priority="2242" operator="equal">
      <formula>"-"</formula>
    </cfRule>
    <cfRule type="cellIs" dxfId="2325" priority="2243" operator="equal">
      <formula>0</formula>
    </cfRule>
    <cfRule type="cellIs" dxfId="2324" priority="2244" operator="greaterThan">
      <formula>0</formula>
    </cfRule>
    <cfRule type="cellIs" dxfId="2323" priority="2245" operator="lessThan">
      <formula>0</formula>
    </cfRule>
  </conditionalFormatting>
  <conditionalFormatting sqref="O8">
    <cfRule type="cellIs" dxfId="2322" priority="2238" operator="equal">
      <formula>"-"</formula>
    </cfRule>
    <cfRule type="cellIs" dxfId="2321" priority="2239" operator="equal">
      <formula>0</formula>
    </cfRule>
    <cfRule type="cellIs" dxfId="2320" priority="2240" operator="greaterThan">
      <formula>0</formula>
    </cfRule>
    <cfRule type="cellIs" dxfId="2319" priority="2241" operator="lessThan">
      <formula>0</formula>
    </cfRule>
  </conditionalFormatting>
  <conditionalFormatting sqref="O9">
    <cfRule type="cellIs" dxfId="2318" priority="2234" operator="equal">
      <formula>"-"</formula>
    </cfRule>
    <cfRule type="cellIs" dxfId="2317" priority="2235" operator="equal">
      <formula>0</formula>
    </cfRule>
    <cfRule type="cellIs" dxfId="2316" priority="2236" operator="greaterThan">
      <formula>0</formula>
    </cfRule>
    <cfRule type="cellIs" dxfId="2315" priority="2237" operator="lessThan">
      <formula>0</formula>
    </cfRule>
  </conditionalFormatting>
  <conditionalFormatting sqref="O10">
    <cfRule type="cellIs" dxfId="2314" priority="2230" operator="equal">
      <formula>"-"</formula>
    </cfRule>
    <cfRule type="cellIs" dxfId="2313" priority="2231" operator="equal">
      <formula>0</formula>
    </cfRule>
    <cfRule type="cellIs" dxfId="2312" priority="2232" operator="greaterThan">
      <formula>0</formula>
    </cfRule>
    <cfRule type="cellIs" dxfId="2311" priority="2233" operator="lessThan">
      <formula>0</formula>
    </cfRule>
  </conditionalFormatting>
  <conditionalFormatting sqref="O11">
    <cfRule type="cellIs" dxfId="2310" priority="2226" operator="equal">
      <formula>"-"</formula>
    </cfRule>
    <cfRule type="cellIs" dxfId="2309" priority="2227" operator="equal">
      <formula>0</formula>
    </cfRule>
    <cfRule type="cellIs" dxfId="2308" priority="2228" operator="greaterThan">
      <formula>0</formula>
    </cfRule>
    <cfRule type="cellIs" dxfId="2307" priority="2229" operator="lessThan">
      <formula>0</formula>
    </cfRule>
  </conditionalFormatting>
  <conditionalFormatting sqref="O12">
    <cfRule type="cellIs" dxfId="2306" priority="2222" operator="equal">
      <formula>"-"</formula>
    </cfRule>
    <cfRule type="cellIs" dxfId="2305" priority="2223" operator="equal">
      <formula>0</formula>
    </cfRule>
    <cfRule type="cellIs" dxfId="2304" priority="2224" operator="greaterThan">
      <formula>0</formula>
    </cfRule>
    <cfRule type="cellIs" dxfId="2303" priority="2225" operator="lessThan">
      <formula>0</formula>
    </cfRule>
  </conditionalFormatting>
  <conditionalFormatting sqref="O13">
    <cfRule type="cellIs" dxfId="2302" priority="2218" operator="equal">
      <formula>"-"</formula>
    </cfRule>
    <cfRule type="cellIs" dxfId="2301" priority="2219" operator="equal">
      <formula>0</formula>
    </cfRule>
    <cfRule type="cellIs" dxfId="2300" priority="2220" operator="greaterThan">
      <formula>0</formula>
    </cfRule>
    <cfRule type="cellIs" dxfId="2299" priority="2221" operator="lessThan">
      <formula>0</formula>
    </cfRule>
  </conditionalFormatting>
  <conditionalFormatting sqref="O14">
    <cfRule type="cellIs" dxfId="2298" priority="2214" operator="equal">
      <formula>"-"</formula>
    </cfRule>
    <cfRule type="cellIs" dxfId="2297" priority="2215" operator="equal">
      <formula>0</formula>
    </cfRule>
    <cfRule type="cellIs" dxfId="2296" priority="2216" operator="greaterThan">
      <formula>0</formula>
    </cfRule>
    <cfRule type="cellIs" dxfId="2295" priority="2217" operator="lessThan">
      <formula>0</formula>
    </cfRule>
  </conditionalFormatting>
  <conditionalFormatting sqref="O15">
    <cfRule type="cellIs" dxfId="2294" priority="2210" operator="equal">
      <formula>"-"</formula>
    </cfRule>
    <cfRule type="cellIs" dxfId="2293" priority="2211" operator="equal">
      <formula>0</formula>
    </cfRule>
    <cfRule type="cellIs" dxfId="2292" priority="2212" operator="greaterThan">
      <formula>0</formula>
    </cfRule>
    <cfRule type="cellIs" dxfId="2291" priority="2213" operator="lessThan">
      <formula>0</formula>
    </cfRule>
  </conditionalFormatting>
  <conditionalFormatting sqref="O16">
    <cfRule type="cellIs" dxfId="2290" priority="2206" operator="equal">
      <formula>"-"</formula>
    </cfRule>
    <cfRule type="cellIs" dxfId="2289" priority="2207" operator="equal">
      <formula>0</formula>
    </cfRule>
    <cfRule type="cellIs" dxfId="2288" priority="2208" operator="greaterThan">
      <formula>0</formula>
    </cfRule>
    <cfRule type="cellIs" dxfId="2287" priority="2209" operator="lessThan">
      <formula>0</formula>
    </cfRule>
  </conditionalFormatting>
  <conditionalFormatting sqref="O17">
    <cfRule type="cellIs" dxfId="2286" priority="2202" operator="equal">
      <formula>"-"</formula>
    </cfRule>
    <cfRule type="cellIs" dxfId="2285" priority="2203" operator="equal">
      <formula>0</formula>
    </cfRule>
    <cfRule type="cellIs" dxfId="2284" priority="2204" operator="greaterThan">
      <formula>0</formula>
    </cfRule>
    <cfRule type="cellIs" dxfId="2283" priority="2205" operator="lessThan">
      <formula>0</formula>
    </cfRule>
  </conditionalFormatting>
  <conditionalFormatting sqref="O18">
    <cfRule type="cellIs" dxfId="2282" priority="2198" operator="equal">
      <formula>"-"</formula>
    </cfRule>
    <cfRule type="cellIs" dxfId="2281" priority="2199" operator="equal">
      <formula>0</formula>
    </cfRule>
    <cfRule type="cellIs" dxfId="2280" priority="2200" operator="greaterThan">
      <formula>0</formula>
    </cfRule>
    <cfRule type="cellIs" dxfId="2279" priority="2201" operator="lessThan">
      <formula>0</formula>
    </cfRule>
  </conditionalFormatting>
  <conditionalFormatting sqref="O19">
    <cfRule type="cellIs" dxfId="2278" priority="2194" operator="equal">
      <formula>"-"</formula>
    </cfRule>
    <cfRule type="cellIs" dxfId="2277" priority="2195" operator="equal">
      <formula>0</formula>
    </cfRule>
    <cfRule type="cellIs" dxfId="2276" priority="2196" operator="greaterThan">
      <formula>0</formula>
    </cfRule>
    <cfRule type="cellIs" dxfId="2275" priority="2197" operator="lessThan">
      <formula>0</formula>
    </cfRule>
  </conditionalFormatting>
  <conditionalFormatting sqref="O20">
    <cfRule type="cellIs" dxfId="2274" priority="2190" operator="equal">
      <formula>"-"</formula>
    </cfRule>
    <cfRule type="cellIs" dxfId="2273" priority="2191" operator="equal">
      <formula>0</formula>
    </cfRule>
    <cfRule type="cellIs" dxfId="2272" priority="2192" operator="greaterThan">
      <formula>0</formula>
    </cfRule>
    <cfRule type="cellIs" dxfId="2271" priority="2193" operator="lessThan">
      <formula>0</formula>
    </cfRule>
  </conditionalFormatting>
  <conditionalFormatting sqref="O21">
    <cfRule type="cellIs" dxfId="2270" priority="2186" operator="equal">
      <formula>"-"</formula>
    </cfRule>
    <cfRule type="cellIs" dxfId="2269" priority="2187" operator="equal">
      <formula>0</formula>
    </cfRule>
    <cfRule type="cellIs" dxfId="2268" priority="2188" operator="greaterThan">
      <formula>0</formula>
    </cfRule>
    <cfRule type="cellIs" dxfId="2267" priority="2189" operator="lessThan">
      <formula>0</formula>
    </cfRule>
  </conditionalFormatting>
  <conditionalFormatting sqref="O22">
    <cfRule type="cellIs" dxfId="2266" priority="2182" operator="equal">
      <formula>"-"</formula>
    </cfRule>
    <cfRule type="cellIs" dxfId="2265" priority="2183" operator="equal">
      <formula>0</formula>
    </cfRule>
    <cfRule type="cellIs" dxfId="2264" priority="2184" operator="greaterThan">
      <formula>0</formula>
    </cfRule>
    <cfRule type="cellIs" dxfId="2263" priority="2185" operator="lessThan">
      <formula>0</formula>
    </cfRule>
  </conditionalFormatting>
  <conditionalFormatting sqref="O23">
    <cfRule type="cellIs" dxfId="2262" priority="2178" operator="equal">
      <formula>"-"</formula>
    </cfRule>
    <cfRule type="cellIs" dxfId="2261" priority="2179" operator="equal">
      <formula>0</formula>
    </cfRule>
    <cfRule type="cellIs" dxfId="2260" priority="2180" operator="greaterThan">
      <formula>0</formula>
    </cfRule>
    <cfRule type="cellIs" dxfId="2259" priority="2181" operator="lessThan">
      <formula>0</formula>
    </cfRule>
  </conditionalFormatting>
  <conditionalFormatting sqref="O24">
    <cfRule type="cellIs" dxfId="2258" priority="2174" operator="equal">
      <formula>"-"</formula>
    </cfRule>
    <cfRule type="cellIs" dxfId="2257" priority="2175" operator="equal">
      <formula>0</formula>
    </cfRule>
    <cfRule type="cellIs" dxfId="2256" priority="2176" operator="greaterThan">
      <formula>0</formula>
    </cfRule>
    <cfRule type="cellIs" dxfId="2255" priority="2177" operator="lessThan">
      <formula>0</formula>
    </cfRule>
  </conditionalFormatting>
  <conditionalFormatting sqref="O25">
    <cfRule type="cellIs" dxfId="2254" priority="2170" operator="equal">
      <formula>"-"</formula>
    </cfRule>
    <cfRule type="cellIs" dxfId="2253" priority="2171" operator="equal">
      <formula>0</formula>
    </cfRule>
    <cfRule type="cellIs" dxfId="2252" priority="2172" operator="greaterThan">
      <formula>0</formula>
    </cfRule>
    <cfRule type="cellIs" dxfId="2251" priority="2173" operator="lessThan">
      <formula>0</formula>
    </cfRule>
  </conditionalFormatting>
  <conditionalFormatting sqref="O26">
    <cfRule type="cellIs" dxfId="2250" priority="2166" operator="equal">
      <formula>"-"</formula>
    </cfRule>
    <cfRule type="cellIs" dxfId="2249" priority="2167" operator="equal">
      <formula>0</formula>
    </cfRule>
    <cfRule type="cellIs" dxfId="2248" priority="2168" operator="greaterThan">
      <formula>0</formula>
    </cfRule>
    <cfRule type="cellIs" dxfId="2247" priority="2169" operator="lessThan">
      <formula>0</formula>
    </cfRule>
  </conditionalFormatting>
  <conditionalFormatting sqref="O27">
    <cfRule type="cellIs" dxfId="2246" priority="2162" operator="equal">
      <formula>"-"</formula>
    </cfRule>
    <cfRule type="cellIs" dxfId="2245" priority="2163" operator="equal">
      <formula>0</formula>
    </cfRule>
    <cfRule type="cellIs" dxfId="2244" priority="2164" operator="greaterThan">
      <formula>0</formula>
    </cfRule>
    <cfRule type="cellIs" dxfId="2243" priority="2165" operator="lessThan">
      <formula>0</formula>
    </cfRule>
  </conditionalFormatting>
  <conditionalFormatting sqref="O28">
    <cfRule type="cellIs" dxfId="2242" priority="2158" operator="equal">
      <formula>"-"</formula>
    </cfRule>
    <cfRule type="cellIs" dxfId="2241" priority="2159" operator="equal">
      <formula>0</formula>
    </cfRule>
    <cfRule type="cellIs" dxfId="2240" priority="2160" operator="greaterThan">
      <formula>0</formula>
    </cfRule>
    <cfRule type="cellIs" dxfId="2239" priority="2161" operator="lessThan">
      <formula>0</formula>
    </cfRule>
  </conditionalFormatting>
  <conditionalFormatting sqref="M29">
    <cfRule type="cellIs" dxfId="2238" priority="2154" operator="equal">
      <formula>"-"</formula>
    </cfRule>
    <cfRule type="cellIs" dxfId="2237" priority="2155" operator="equal">
      <formula>0</formula>
    </cfRule>
    <cfRule type="cellIs" dxfId="2236" priority="2156" operator="greaterThan">
      <formula>0</formula>
    </cfRule>
    <cfRule type="cellIs" dxfId="2235" priority="2157" operator="lessThan">
      <formula>0</formula>
    </cfRule>
  </conditionalFormatting>
  <conditionalFormatting sqref="M30">
    <cfRule type="cellIs" dxfId="2234" priority="2150" operator="equal">
      <formula>"-"</formula>
    </cfRule>
    <cfRule type="cellIs" dxfId="2233" priority="2151" operator="equal">
      <formula>0</formula>
    </cfRule>
    <cfRule type="cellIs" dxfId="2232" priority="2152" operator="greaterThan">
      <formula>0</formula>
    </cfRule>
    <cfRule type="cellIs" dxfId="2231" priority="2153" operator="lessThan">
      <formula>0</formula>
    </cfRule>
  </conditionalFormatting>
  <conditionalFormatting sqref="N29">
    <cfRule type="cellIs" dxfId="2230" priority="2146" operator="equal">
      <formula>"-"</formula>
    </cfRule>
    <cfRule type="cellIs" dxfId="2229" priority="2147" operator="equal">
      <formula>0</formula>
    </cfRule>
    <cfRule type="cellIs" dxfId="2228" priority="2148" operator="greaterThan">
      <formula>0</formula>
    </cfRule>
    <cfRule type="cellIs" dxfId="2227" priority="2149" operator="lessThan">
      <formula>0</formula>
    </cfRule>
  </conditionalFormatting>
  <conditionalFormatting sqref="N30">
    <cfRule type="cellIs" dxfId="2226" priority="2142" operator="equal">
      <formula>"-"</formula>
    </cfRule>
    <cfRule type="cellIs" dxfId="2225" priority="2143" operator="equal">
      <formula>0</formula>
    </cfRule>
    <cfRule type="cellIs" dxfId="2224" priority="2144" operator="greaterThan">
      <formula>0</formula>
    </cfRule>
    <cfRule type="cellIs" dxfId="2223" priority="2145" operator="lessThan">
      <formula>0</formula>
    </cfRule>
  </conditionalFormatting>
  <conditionalFormatting sqref="O29">
    <cfRule type="cellIs" dxfId="2222" priority="2138" operator="equal">
      <formula>"-"</formula>
    </cfRule>
    <cfRule type="cellIs" dxfId="2221" priority="2139" operator="equal">
      <formula>0</formula>
    </cfRule>
    <cfRule type="cellIs" dxfId="2220" priority="2140" operator="greaterThan">
      <formula>0</formula>
    </cfRule>
    <cfRule type="cellIs" dxfId="2219" priority="2141" operator="lessThan">
      <formula>0</formula>
    </cfRule>
  </conditionalFormatting>
  <conditionalFormatting sqref="O30">
    <cfRule type="cellIs" dxfId="2218" priority="2134" operator="equal">
      <formula>"-"</formula>
    </cfRule>
    <cfRule type="cellIs" dxfId="2217" priority="2135" operator="equal">
      <formula>0</formula>
    </cfRule>
    <cfRule type="cellIs" dxfId="2216" priority="2136" operator="greaterThan">
      <formula>0</formula>
    </cfRule>
    <cfRule type="cellIs" dxfId="2215" priority="2137" operator="lessThan">
      <formula>0</formula>
    </cfRule>
  </conditionalFormatting>
  <conditionalFormatting sqref="S4">
    <cfRule type="expression" dxfId="2214" priority="2125">
      <formula>R4="-"</formula>
    </cfRule>
    <cfRule type="cellIs" dxfId="2213" priority="2126" operator="equal">
      <formula>"-"</formula>
    </cfRule>
    <cfRule type="cellIs" dxfId="2212" priority="2131" operator="equal">
      <formula>R4</formula>
    </cfRule>
    <cfRule type="cellIs" dxfId="2211" priority="2132" operator="greaterThan">
      <formula>R4</formula>
    </cfRule>
    <cfRule type="cellIs" dxfId="2210" priority="2133" operator="lessThan">
      <formula>R4</formula>
    </cfRule>
  </conditionalFormatting>
  <conditionalFormatting sqref="S5">
    <cfRule type="expression" dxfId="2209" priority="2120">
      <formula>R5="-"</formula>
    </cfRule>
    <cfRule type="cellIs" dxfId="2208" priority="2121" operator="equal">
      <formula>"-"</formula>
    </cfRule>
    <cfRule type="cellIs" dxfId="2207" priority="2122" operator="equal">
      <formula>R5</formula>
    </cfRule>
    <cfRule type="cellIs" dxfId="2206" priority="2123" operator="greaterThan">
      <formula>R5</formula>
    </cfRule>
    <cfRule type="cellIs" dxfId="2205" priority="2124" operator="lessThan">
      <formula>R5</formula>
    </cfRule>
  </conditionalFormatting>
  <conditionalFormatting sqref="S6">
    <cfRule type="expression" dxfId="2204" priority="2115">
      <formula>R6="-"</formula>
    </cfRule>
    <cfRule type="cellIs" dxfId="2203" priority="2116" operator="equal">
      <formula>"-"</formula>
    </cfRule>
    <cfRule type="cellIs" dxfId="2202" priority="2117" operator="equal">
      <formula>R6</formula>
    </cfRule>
    <cfRule type="cellIs" dxfId="2201" priority="2118" operator="greaterThan">
      <formula>R6</formula>
    </cfRule>
    <cfRule type="cellIs" dxfId="2200" priority="2119" operator="lessThan">
      <formula>R6</formula>
    </cfRule>
  </conditionalFormatting>
  <conditionalFormatting sqref="S7">
    <cfRule type="expression" dxfId="2199" priority="2110">
      <formula>R7="-"</formula>
    </cfRule>
    <cfRule type="cellIs" dxfId="2198" priority="2111" operator="equal">
      <formula>"-"</formula>
    </cfRule>
    <cfRule type="cellIs" dxfId="2197" priority="2112" operator="equal">
      <formula>R7</formula>
    </cfRule>
    <cfRule type="cellIs" dxfId="2196" priority="2113" operator="greaterThan">
      <formula>R7</formula>
    </cfRule>
    <cfRule type="cellIs" dxfId="2195" priority="2114" operator="lessThan">
      <formula>R7</formula>
    </cfRule>
  </conditionalFormatting>
  <conditionalFormatting sqref="S8">
    <cfRule type="expression" dxfId="2194" priority="2105">
      <formula>R8="-"</formula>
    </cfRule>
    <cfRule type="cellIs" dxfId="2193" priority="2106" operator="equal">
      <formula>"-"</formula>
    </cfRule>
    <cfRule type="cellIs" dxfId="2192" priority="2107" operator="equal">
      <formula>R8</formula>
    </cfRule>
    <cfRule type="cellIs" dxfId="2191" priority="2108" operator="greaterThan">
      <formula>R8</formula>
    </cfRule>
    <cfRule type="cellIs" dxfId="2190" priority="2109" operator="lessThan">
      <formula>R8</formula>
    </cfRule>
  </conditionalFormatting>
  <conditionalFormatting sqref="S9">
    <cfRule type="expression" dxfId="2189" priority="2100">
      <formula>R9="-"</formula>
    </cfRule>
    <cfRule type="cellIs" dxfId="2188" priority="2101" operator="equal">
      <formula>"-"</formula>
    </cfRule>
    <cfRule type="cellIs" dxfId="2187" priority="2102" operator="equal">
      <formula>R9</formula>
    </cfRule>
    <cfRule type="cellIs" dxfId="2186" priority="2103" operator="greaterThan">
      <formula>R9</formula>
    </cfRule>
    <cfRule type="cellIs" dxfId="2185" priority="2104" operator="lessThan">
      <formula>R9</formula>
    </cfRule>
  </conditionalFormatting>
  <conditionalFormatting sqref="S10">
    <cfRule type="expression" dxfId="2184" priority="2095">
      <formula>R10="-"</formula>
    </cfRule>
    <cfRule type="cellIs" dxfId="2183" priority="2096" operator="equal">
      <formula>"-"</formula>
    </cfRule>
    <cfRule type="cellIs" dxfId="2182" priority="2097" operator="equal">
      <formula>R10</formula>
    </cfRule>
    <cfRule type="cellIs" dxfId="2181" priority="2098" operator="greaterThan">
      <formula>R10</formula>
    </cfRule>
    <cfRule type="cellIs" dxfId="2180" priority="2099" operator="lessThan">
      <formula>R10</formula>
    </cfRule>
  </conditionalFormatting>
  <conditionalFormatting sqref="S11">
    <cfRule type="expression" dxfId="2179" priority="2090">
      <formula>R11="-"</formula>
    </cfRule>
    <cfRule type="cellIs" dxfId="2178" priority="2091" operator="equal">
      <formula>"-"</formula>
    </cfRule>
    <cfRule type="cellIs" dxfId="2177" priority="2092" operator="equal">
      <formula>R11</formula>
    </cfRule>
    <cfRule type="cellIs" dxfId="2176" priority="2093" operator="greaterThan">
      <formula>R11</formula>
    </cfRule>
    <cfRule type="cellIs" dxfId="2175" priority="2094" operator="lessThan">
      <formula>R11</formula>
    </cfRule>
  </conditionalFormatting>
  <conditionalFormatting sqref="S12">
    <cfRule type="expression" dxfId="2174" priority="2085">
      <formula>R12="-"</formula>
    </cfRule>
    <cfRule type="cellIs" dxfId="2173" priority="2086" operator="equal">
      <formula>"-"</formula>
    </cfRule>
    <cfRule type="cellIs" dxfId="2172" priority="2087" operator="equal">
      <formula>R12</formula>
    </cfRule>
    <cfRule type="cellIs" dxfId="2171" priority="2088" operator="greaterThan">
      <formula>R12</formula>
    </cfRule>
    <cfRule type="cellIs" dxfId="2170" priority="2089" operator="lessThan">
      <formula>R12</formula>
    </cfRule>
  </conditionalFormatting>
  <conditionalFormatting sqref="S13">
    <cfRule type="expression" dxfId="2169" priority="2080">
      <formula>R13="-"</formula>
    </cfRule>
    <cfRule type="cellIs" dxfId="2168" priority="2081" operator="equal">
      <formula>"-"</formula>
    </cfRule>
    <cfRule type="cellIs" dxfId="2167" priority="2082" operator="equal">
      <formula>R13</formula>
    </cfRule>
    <cfRule type="cellIs" dxfId="2166" priority="2083" operator="greaterThan">
      <formula>R13</formula>
    </cfRule>
    <cfRule type="cellIs" dxfId="2165" priority="2084" operator="lessThan">
      <formula>R13</formula>
    </cfRule>
  </conditionalFormatting>
  <conditionalFormatting sqref="S14">
    <cfRule type="expression" dxfId="2164" priority="2075">
      <formula>R14="-"</formula>
    </cfRule>
    <cfRule type="cellIs" dxfId="2163" priority="2076" operator="equal">
      <formula>"-"</formula>
    </cfRule>
    <cfRule type="cellIs" dxfId="2162" priority="2077" operator="equal">
      <formula>R14</formula>
    </cfRule>
    <cfRule type="cellIs" dxfId="2161" priority="2078" operator="greaterThan">
      <formula>R14</formula>
    </cfRule>
    <cfRule type="cellIs" dxfId="2160" priority="2079" operator="lessThan">
      <formula>R14</formula>
    </cfRule>
  </conditionalFormatting>
  <conditionalFormatting sqref="S15">
    <cfRule type="expression" dxfId="2159" priority="2070">
      <formula>R15="-"</formula>
    </cfRule>
    <cfRule type="cellIs" dxfId="2158" priority="2071" operator="equal">
      <formula>"-"</formula>
    </cfRule>
    <cfRule type="cellIs" dxfId="2157" priority="2072" operator="equal">
      <formula>R15</formula>
    </cfRule>
    <cfRule type="cellIs" dxfId="2156" priority="2073" operator="greaterThan">
      <formula>R15</formula>
    </cfRule>
    <cfRule type="cellIs" dxfId="2155" priority="2074" operator="lessThan">
      <formula>R15</formula>
    </cfRule>
  </conditionalFormatting>
  <conditionalFormatting sqref="S16">
    <cfRule type="expression" dxfId="2154" priority="2065">
      <formula>R16="-"</formula>
    </cfRule>
    <cfRule type="cellIs" dxfId="2153" priority="2066" operator="equal">
      <formula>"-"</formula>
    </cfRule>
    <cfRule type="cellIs" dxfId="2152" priority="2067" operator="equal">
      <formula>R16</formula>
    </cfRule>
    <cfRule type="cellIs" dxfId="2151" priority="2068" operator="greaterThan">
      <formula>R16</formula>
    </cfRule>
    <cfRule type="cellIs" dxfId="2150" priority="2069" operator="lessThan">
      <formula>R16</formula>
    </cfRule>
  </conditionalFormatting>
  <conditionalFormatting sqref="S17">
    <cfRule type="expression" dxfId="2149" priority="2060">
      <formula>R17="-"</formula>
    </cfRule>
    <cfRule type="cellIs" dxfId="2148" priority="2061" operator="equal">
      <formula>"-"</formula>
    </cfRule>
    <cfRule type="cellIs" dxfId="2147" priority="2062" operator="equal">
      <formula>R17</formula>
    </cfRule>
    <cfRule type="cellIs" dxfId="2146" priority="2063" operator="greaterThan">
      <formula>R17</formula>
    </cfRule>
    <cfRule type="cellIs" dxfId="2145" priority="2064" operator="lessThan">
      <formula>R17</formula>
    </cfRule>
  </conditionalFormatting>
  <conditionalFormatting sqref="S18">
    <cfRule type="expression" dxfId="2144" priority="2055">
      <formula>R18="-"</formula>
    </cfRule>
    <cfRule type="cellIs" dxfId="2143" priority="2056" operator="equal">
      <formula>"-"</formula>
    </cfRule>
    <cfRule type="cellIs" dxfId="2142" priority="2057" operator="equal">
      <formula>R18</formula>
    </cfRule>
    <cfRule type="cellIs" dxfId="2141" priority="2058" operator="greaterThan">
      <formula>R18</formula>
    </cfRule>
    <cfRule type="cellIs" dxfId="2140" priority="2059" operator="lessThan">
      <formula>R18</formula>
    </cfRule>
  </conditionalFormatting>
  <conditionalFormatting sqref="S19">
    <cfRule type="expression" dxfId="2139" priority="2050">
      <formula>R19="-"</formula>
    </cfRule>
    <cfRule type="cellIs" dxfId="2138" priority="2051" operator="equal">
      <formula>"-"</formula>
    </cfRule>
    <cfRule type="cellIs" dxfId="2137" priority="2052" operator="equal">
      <formula>R19</formula>
    </cfRule>
    <cfRule type="cellIs" dxfId="2136" priority="2053" operator="greaterThan">
      <formula>R19</formula>
    </cfRule>
    <cfRule type="cellIs" dxfId="2135" priority="2054" operator="lessThan">
      <formula>R19</formula>
    </cfRule>
  </conditionalFormatting>
  <conditionalFormatting sqref="S20">
    <cfRule type="expression" dxfId="2134" priority="2045">
      <formula>R20="-"</formula>
    </cfRule>
    <cfRule type="cellIs" dxfId="2133" priority="2046" operator="equal">
      <formula>"-"</formula>
    </cfRule>
    <cfRule type="cellIs" dxfId="2132" priority="2047" operator="equal">
      <formula>R20</formula>
    </cfRule>
    <cfRule type="cellIs" dxfId="2131" priority="2048" operator="greaterThan">
      <formula>R20</formula>
    </cfRule>
    <cfRule type="cellIs" dxfId="2130" priority="2049" operator="lessThan">
      <formula>R20</formula>
    </cfRule>
  </conditionalFormatting>
  <conditionalFormatting sqref="S21">
    <cfRule type="expression" dxfId="2129" priority="2040">
      <formula>R21="-"</formula>
    </cfRule>
    <cfRule type="cellIs" dxfId="2128" priority="2041" operator="equal">
      <formula>"-"</formula>
    </cfRule>
    <cfRule type="cellIs" dxfId="2127" priority="2042" operator="equal">
      <formula>R21</formula>
    </cfRule>
    <cfRule type="cellIs" dxfId="2126" priority="2043" operator="greaterThan">
      <formula>R21</formula>
    </cfRule>
    <cfRule type="cellIs" dxfId="2125" priority="2044" operator="lessThan">
      <formula>R21</formula>
    </cfRule>
  </conditionalFormatting>
  <conditionalFormatting sqref="S22">
    <cfRule type="expression" dxfId="2124" priority="2035">
      <formula>R22="-"</formula>
    </cfRule>
    <cfRule type="cellIs" dxfId="2123" priority="2036" operator="equal">
      <formula>"-"</formula>
    </cfRule>
    <cfRule type="cellIs" dxfId="2122" priority="2037" operator="equal">
      <formula>R22</formula>
    </cfRule>
    <cfRule type="cellIs" dxfId="2121" priority="2038" operator="greaterThan">
      <formula>R22</formula>
    </cfRule>
    <cfRule type="cellIs" dxfId="2120" priority="2039" operator="lessThan">
      <formula>R22</formula>
    </cfRule>
  </conditionalFormatting>
  <conditionalFormatting sqref="S23">
    <cfRule type="expression" dxfId="2119" priority="2030">
      <formula>R23="-"</formula>
    </cfRule>
    <cfRule type="cellIs" dxfId="2118" priority="2031" operator="equal">
      <formula>"-"</formula>
    </cfRule>
    <cfRule type="cellIs" dxfId="2117" priority="2032" operator="equal">
      <formula>R23</formula>
    </cfRule>
    <cfRule type="cellIs" dxfId="2116" priority="2033" operator="greaterThan">
      <formula>R23</formula>
    </cfRule>
    <cfRule type="cellIs" dxfId="2115" priority="2034" operator="lessThan">
      <formula>R23</formula>
    </cfRule>
  </conditionalFormatting>
  <conditionalFormatting sqref="S24">
    <cfRule type="expression" dxfId="2114" priority="2025">
      <formula>R24="-"</formula>
    </cfRule>
    <cfRule type="cellIs" dxfId="2113" priority="2026" operator="equal">
      <formula>"-"</formula>
    </cfRule>
    <cfRule type="cellIs" dxfId="2112" priority="2027" operator="equal">
      <formula>R24</formula>
    </cfRule>
    <cfRule type="cellIs" dxfId="2111" priority="2028" operator="greaterThan">
      <formula>R24</formula>
    </cfRule>
    <cfRule type="cellIs" dxfId="2110" priority="2029" operator="lessThan">
      <formula>R24</formula>
    </cfRule>
  </conditionalFormatting>
  <conditionalFormatting sqref="S25">
    <cfRule type="expression" dxfId="2109" priority="2020">
      <formula>R25="-"</formula>
    </cfRule>
    <cfRule type="cellIs" dxfId="2108" priority="2021" operator="equal">
      <formula>"-"</formula>
    </cfRule>
    <cfRule type="cellIs" dxfId="2107" priority="2022" operator="equal">
      <formula>R25</formula>
    </cfRule>
    <cfRule type="cellIs" dxfId="2106" priority="2023" operator="greaterThan">
      <formula>R25</formula>
    </cfRule>
    <cfRule type="cellIs" dxfId="2105" priority="2024" operator="lessThan">
      <formula>R25</formula>
    </cfRule>
  </conditionalFormatting>
  <conditionalFormatting sqref="S26">
    <cfRule type="expression" dxfId="2104" priority="2015">
      <formula>R26="-"</formula>
    </cfRule>
    <cfRule type="cellIs" dxfId="2103" priority="2016" operator="equal">
      <formula>"-"</formula>
    </cfRule>
    <cfRule type="cellIs" dxfId="2102" priority="2017" operator="equal">
      <formula>R26</formula>
    </cfRule>
    <cfRule type="cellIs" dxfId="2101" priority="2018" operator="greaterThan">
      <formula>R26</formula>
    </cfRule>
    <cfRule type="cellIs" dxfId="2100" priority="2019" operator="lessThan">
      <formula>R26</formula>
    </cfRule>
  </conditionalFormatting>
  <conditionalFormatting sqref="S27">
    <cfRule type="expression" dxfId="2099" priority="2010">
      <formula>R27="-"</formula>
    </cfRule>
    <cfRule type="cellIs" dxfId="2098" priority="2011" operator="equal">
      <formula>"-"</formula>
    </cfRule>
    <cfRule type="cellIs" dxfId="2097" priority="2012" operator="equal">
      <formula>R27</formula>
    </cfRule>
    <cfRule type="cellIs" dxfId="2096" priority="2013" operator="greaterThan">
      <formula>R27</formula>
    </cfRule>
    <cfRule type="cellIs" dxfId="2095" priority="2014" operator="lessThan">
      <formula>R27</formula>
    </cfRule>
  </conditionalFormatting>
  <conditionalFormatting sqref="S28">
    <cfRule type="expression" dxfId="2094" priority="2005">
      <formula>R28="-"</formula>
    </cfRule>
    <cfRule type="cellIs" dxfId="2093" priority="2006" operator="equal">
      <formula>"-"</formula>
    </cfRule>
    <cfRule type="cellIs" dxfId="2092" priority="2007" operator="equal">
      <formula>R28</formula>
    </cfRule>
    <cfRule type="cellIs" dxfId="2091" priority="2008" operator="greaterThan">
      <formula>R28</formula>
    </cfRule>
    <cfRule type="cellIs" dxfId="2090" priority="2009" operator="lessThan">
      <formula>R28</formula>
    </cfRule>
  </conditionalFormatting>
  <conditionalFormatting sqref="T4">
    <cfRule type="expression" dxfId="2089" priority="2000">
      <formula>S4="-"</formula>
    </cfRule>
    <cfRule type="cellIs" dxfId="2088" priority="2001" operator="equal">
      <formula>"-"</formula>
    </cfRule>
    <cfRule type="cellIs" dxfId="2087" priority="2002" operator="equal">
      <formula>S4</formula>
    </cfRule>
    <cfRule type="cellIs" dxfId="2086" priority="2003" operator="greaterThan">
      <formula>S4</formula>
    </cfRule>
    <cfRule type="cellIs" dxfId="2085" priority="2004" operator="lessThan">
      <formula>S4</formula>
    </cfRule>
  </conditionalFormatting>
  <conditionalFormatting sqref="T5">
    <cfRule type="expression" dxfId="2084" priority="1995">
      <formula>S5="-"</formula>
    </cfRule>
    <cfRule type="cellIs" dxfId="2083" priority="1996" operator="equal">
      <formula>"-"</formula>
    </cfRule>
    <cfRule type="cellIs" dxfId="2082" priority="1997" operator="equal">
      <formula>S5</formula>
    </cfRule>
    <cfRule type="cellIs" dxfId="2081" priority="1998" operator="greaterThan">
      <formula>S5</formula>
    </cfRule>
    <cfRule type="cellIs" dxfId="2080" priority="1999" operator="lessThan">
      <formula>S5</formula>
    </cfRule>
  </conditionalFormatting>
  <conditionalFormatting sqref="T6">
    <cfRule type="expression" dxfId="2079" priority="1990">
      <formula>S6="-"</formula>
    </cfRule>
    <cfRule type="cellIs" dxfId="2078" priority="1991" operator="equal">
      <formula>"-"</formula>
    </cfRule>
    <cfRule type="cellIs" dxfId="2077" priority="1992" operator="equal">
      <formula>S6</formula>
    </cfRule>
    <cfRule type="cellIs" dxfId="2076" priority="1993" operator="greaterThan">
      <formula>S6</formula>
    </cfRule>
    <cfRule type="cellIs" dxfId="2075" priority="1994" operator="lessThan">
      <formula>S6</formula>
    </cfRule>
  </conditionalFormatting>
  <conditionalFormatting sqref="T7">
    <cfRule type="expression" dxfId="2074" priority="1985">
      <formula>S7="-"</formula>
    </cfRule>
    <cfRule type="cellIs" dxfId="2073" priority="1986" operator="equal">
      <formula>"-"</formula>
    </cfRule>
    <cfRule type="cellIs" dxfId="2072" priority="1987" operator="equal">
      <formula>S7</formula>
    </cfRule>
    <cfRule type="cellIs" dxfId="2071" priority="1988" operator="greaterThan">
      <formula>S7</formula>
    </cfRule>
    <cfRule type="cellIs" dxfId="2070" priority="1989" operator="lessThan">
      <formula>S7</formula>
    </cfRule>
  </conditionalFormatting>
  <conditionalFormatting sqref="T8">
    <cfRule type="expression" dxfId="2069" priority="1980">
      <formula>S8="-"</formula>
    </cfRule>
    <cfRule type="cellIs" dxfId="2068" priority="1981" operator="equal">
      <formula>"-"</formula>
    </cfRule>
    <cfRule type="cellIs" dxfId="2067" priority="1982" operator="equal">
      <formula>S8</formula>
    </cfRule>
    <cfRule type="cellIs" dxfId="2066" priority="1983" operator="greaterThan">
      <formula>S8</formula>
    </cfRule>
    <cfRule type="cellIs" dxfId="2065" priority="1984" operator="lessThan">
      <formula>S8</formula>
    </cfRule>
  </conditionalFormatting>
  <conditionalFormatting sqref="T9">
    <cfRule type="expression" dxfId="2064" priority="1975">
      <formula>S9="-"</formula>
    </cfRule>
    <cfRule type="cellIs" dxfId="2063" priority="1976" operator="equal">
      <formula>"-"</formula>
    </cfRule>
    <cfRule type="cellIs" dxfId="2062" priority="1977" operator="equal">
      <formula>S9</formula>
    </cfRule>
    <cfRule type="cellIs" dxfId="2061" priority="1978" operator="greaterThan">
      <formula>S9</formula>
    </cfRule>
    <cfRule type="cellIs" dxfId="2060" priority="1979" operator="lessThan">
      <formula>S9</formula>
    </cfRule>
  </conditionalFormatting>
  <conditionalFormatting sqref="T10">
    <cfRule type="expression" dxfId="2059" priority="1970">
      <formula>S10="-"</formula>
    </cfRule>
    <cfRule type="cellIs" dxfId="2058" priority="1971" operator="equal">
      <formula>"-"</formula>
    </cfRule>
    <cfRule type="cellIs" dxfId="2057" priority="1972" operator="equal">
      <formula>S10</formula>
    </cfRule>
    <cfRule type="cellIs" dxfId="2056" priority="1973" operator="greaterThan">
      <formula>S10</formula>
    </cfRule>
    <cfRule type="cellIs" dxfId="2055" priority="1974" operator="lessThan">
      <formula>S10</formula>
    </cfRule>
  </conditionalFormatting>
  <conditionalFormatting sqref="T11">
    <cfRule type="expression" dxfId="2054" priority="1965">
      <formula>S11="-"</formula>
    </cfRule>
    <cfRule type="cellIs" dxfId="2053" priority="1966" operator="equal">
      <formula>"-"</formula>
    </cfRule>
    <cfRule type="cellIs" dxfId="2052" priority="1967" operator="equal">
      <formula>S11</formula>
    </cfRule>
    <cfRule type="cellIs" dxfId="2051" priority="1968" operator="greaterThan">
      <formula>S11</formula>
    </cfRule>
    <cfRule type="cellIs" dxfId="2050" priority="1969" operator="lessThan">
      <formula>S11</formula>
    </cfRule>
  </conditionalFormatting>
  <conditionalFormatting sqref="T12">
    <cfRule type="expression" dxfId="2049" priority="1960">
      <formula>S12="-"</formula>
    </cfRule>
    <cfRule type="cellIs" dxfId="2048" priority="1961" operator="equal">
      <formula>"-"</formula>
    </cfRule>
    <cfRule type="cellIs" dxfId="2047" priority="1962" operator="equal">
      <formula>S12</formula>
    </cfRule>
    <cfRule type="cellIs" dxfId="2046" priority="1963" operator="greaterThan">
      <formula>S12</formula>
    </cfRule>
    <cfRule type="cellIs" dxfId="2045" priority="1964" operator="lessThan">
      <formula>S12</formula>
    </cfRule>
  </conditionalFormatting>
  <conditionalFormatting sqref="T13">
    <cfRule type="expression" dxfId="2044" priority="1955">
      <formula>S13="-"</formula>
    </cfRule>
    <cfRule type="cellIs" dxfId="2043" priority="1956" operator="equal">
      <formula>"-"</formula>
    </cfRule>
    <cfRule type="cellIs" dxfId="2042" priority="1957" operator="equal">
      <formula>S13</formula>
    </cfRule>
    <cfRule type="cellIs" dxfId="2041" priority="1958" operator="greaterThan">
      <formula>S13</formula>
    </cfRule>
    <cfRule type="cellIs" dxfId="2040" priority="1959" operator="lessThan">
      <formula>S13</formula>
    </cfRule>
  </conditionalFormatting>
  <conditionalFormatting sqref="T14">
    <cfRule type="expression" dxfId="2039" priority="1950">
      <formula>S14="-"</formula>
    </cfRule>
    <cfRule type="cellIs" dxfId="2038" priority="1951" operator="equal">
      <formula>"-"</formula>
    </cfRule>
    <cfRule type="cellIs" dxfId="2037" priority="1952" operator="equal">
      <formula>S14</formula>
    </cfRule>
    <cfRule type="cellIs" dxfId="2036" priority="1953" operator="greaterThan">
      <formula>S14</formula>
    </cfRule>
    <cfRule type="cellIs" dxfId="2035" priority="1954" operator="lessThan">
      <formula>S14</formula>
    </cfRule>
  </conditionalFormatting>
  <conditionalFormatting sqref="T15">
    <cfRule type="expression" dxfId="2034" priority="1945">
      <formula>S15="-"</formula>
    </cfRule>
    <cfRule type="cellIs" dxfId="2033" priority="1946" operator="equal">
      <formula>"-"</formula>
    </cfRule>
    <cfRule type="cellIs" dxfId="2032" priority="1947" operator="equal">
      <formula>S15</formula>
    </cfRule>
    <cfRule type="cellIs" dxfId="2031" priority="1948" operator="greaterThan">
      <formula>S15</formula>
    </cfRule>
    <cfRule type="cellIs" dxfId="2030" priority="1949" operator="lessThan">
      <formula>S15</formula>
    </cfRule>
  </conditionalFormatting>
  <conditionalFormatting sqref="T16">
    <cfRule type="expression" dxfId="2029" priority="1940">
      <formula>S16="-"</formula>
    </cfRule>
    <cfRule type="cellIs" dxfId="2028" priority="1941" operator="equal">
      <formula>"-"</formula>
    </cfRule>
    <cfRule type="cellIs" dxfId="2027" priority="1942" operator="equal">
      <formula>S16</formula>
    </cfRule>
    <cfRule type="cellIs" dxfId="2026" priority="1943" operator="greaterThan">
      <formula>S16</formula>
    </cfRule>
    <cfRule type="cellIs" dxfId="2025" priority="1944" operator="lessThan">
      <formula>S16</formula>
    </cfRule>
  </conditionalFormatting>
  <conditionalFormatting sqref="T17">
    <cfRule type="expression" dxfId="2024" priority="1935">
      <formula>S17="-"</formula>
    </cfRule>
    <cfRule type="cellIs" dxfId="2023" priority="1936" operator="equal">
      <formula>"-"</formula>
    </cfRule>
    <cfRule type="cellIs" dxfId="2022" priority="1937" operator="equal">
      <formula>S17</formula>
    </cfRule>
    <cfRule type="cellIs" dxfId="2021" priority="1938" operator="greaterThan">
      <formula>S17</formula>
    </cfRule>
    <cfRule type="cellIs" dxfId="2020" priority="1939" operator="lessThan">
      <formula>S17</formula>
    </cfRule>
  </conditionalFormatting>
  <conditionalFormatting sqref="T18">
    <cfRule type="expression" dxfId="2019" priority="1930">
      <formula>S18="-"</formula>
    </cfRule>
    <cfRule type="cellIs" dxfId="2018" priority="1931" operator="equal">
      <formula>"-"</formula>
    </cfRule>
    <cfRule type="cellIs" dxfId="2017" priority="1932" operator="equal">
      <formula>S18</formula>
    </cfRule>
    <cfRule type="cellIs" dxfId="2016" priority="1933" operator="greaterThan">
      <formula>S18</formula>
    </cfRule>
    <cfRule type="cellIs" dxfId="2015" priority="1934" operator="lessThan">
      <formula>S18</formula>
    </cfRule>
  </conditionalFormatting>
  <conditionalFormatting sqref="T19">
    <cfRule type="expression" dxfId="2014" priority="1925">
      <formula>S19="-"</formula>
    </cfRule>
    <cfRule type="cellIs" dxfId="2013" priority="1926" operator="equal">
      <formula>"-"</formula>
    </cfRule>
    <cfRule type="cellIs" dxfId="2012" priority="1927" operator="equal">
      <formula>S19</formula>
    </cfRule>
    <cfRule type="cellIs" dxfId="2011" priority="1928" operator="greaterThan">
      <formula>S19</formula>
    </cfRule>
    <cfRule type="cellIs" dxfId="2010" priority="1929" operator="lessThan">
      <formula>S19</formula>
    </cfRule>
  </conditionalFormatting>
  <conditionalFormatting sqref="T20">
    <cfRule type="expression" dxfId="2009" priority="1920">
      <formula>S20="-"</formula>
    </cfRule>
    <cfRule type="cellIs" dxfId="2008" priority="1921" operator="equal">
      <formula>"-"</formula>
    </cfRule>
    <cfRule type="cellIs" dxfId="2007" priority="1922" operator="equal">
      <formula>S20</formula>
    </cfRule>
    <cfRule type="cellIs" dxfId="2006" priority="1923" operator="greaterThan">
      <formula>S20</formula>
    </cfRule>
    <cfRule type="cellIs" dxfId="2005" priority="1924" operator="lessThan">
      <formula>S20</formula>
    </cfRule>
  </conditionalFormatting>
  <conditionalFormatting sqref="T21">
    <cfRule type="expression" dxfId="2004" priority="1915">
      <formula>S21="-"</formula>
    </cfRule>
    <cfRule type="cellIs" dxfId="2003" priority="1916" operator="equal">
      <formula>"-"</formula>
    </cfRule>
    <cfRule type="cellIs" dxfId="2002" priority="1917" operator="equal">
      <formula>S21</formula>
    </cfRule>
    <cfRule type="cellIs" dxfId="2001" priority="1918" operator="greaterThan">
      <formula>S21</formula>
    </cfRule>
    <cfRule type="cellIs" dxfId="2000" priority="1919" operator="lessThan">
      <formula>S21</formula>
    </cfRule>
  </conditionalFormatting>
  <conditionalFormatting sqref="T22">
    <cfRule type="expression" dxfId="1999" priority="1910">
      <formula>S22="-"</formula>
    </cfRule>
    <cfRule type="cellIs" dxfId="1998" priority="1911" operator="equal">
      <formula>"-"</formula>
    </cfRule>
    <cfRule type="cellIs" dxfId="1997" priority="1912" operator="equal">
      <formula>S22</formula>
    </cfRule>
    <cfRule type="cellIs" dxfId="1996" priority="1913" operator="greaterThan">
      <formula>S22</formula>
    </cfRule>
    <cfRule type="cellIs" dxfId="1995" priority="1914" operator="lessThan">
      <formula>S22</formula>
    </cfRule>
  </conditionalFormatting>
  <conditionalFormatting sqref="T23">
    <cfRule type="expression" dxfId="1994" priority="1905">
      <formula>S23="-"</formula>
    </cfRule>
    <cfRule type="cellIs" dxfId="1993" priority="1906" operator="equal">
      <formula>"-"</formula>
    </cfRule>
    <cfRule type="cellIs" dxfId="1992" priority="1907" operator="equal">
      <formula>S23</formula>
    </cfRule>
    <cfRule type="cellIs" dxfId="1991" priority="1908" operator="greaterThan">
      <formula>S23</formula>
    </cfRule>
    <cfRule type="cellIs" dxfId="1990" priority="1909" operator="lessThan">
      <formula>S23</formula>
    </cfRule>
  </conditionalFormatting>
  <conditionalFormatting sqref="T24">
    <cfRule type="expression" dxfId="1989" priority="1900">
      <formula>S24="-"</formula>
    </cfRule>
    <cfRule type="cellIs" dxfId="1988" priority="1901" operator="equal">
      <formula>"-"</formula>
    </cfRule>
    <cfRule type="cellIs" dxfId="1987" priority="1902" operator="equal">
      <formula>S24</formula>
    </cfRule>
    <cfRule type="cellIs" dxfId="1986" priority="1903" operator="greaterThan">
      <formula>S24</formula>
    </cfRule>
    <cfRule type="cellIs" dxfId="1985" priority="1904" operator="lessThan">
      <formula>S24</formula>
    </cfRule>
  </conditionalFormatting>
  <conditionalFormatting sqref="T25">
    <cfRule type="expression" dxfId="1984" priority="1895">
      <formula>S25="-"</formula>
    </cfRule>
    <cfRule type="cellIs" dxfId="1983" priority="1896" operator="equal">
      <formula>"-"</formula>
    </cfRule>
    <cfRule type="cellIs" dxfId="1982" priority="1897" operator="equal">
      <formula>S25</formula>
    </cfRule>
    <cfRule type="cellIs" dxfId="1981" priority="1898" operator="greaterThan">
      <formula>S25</formula>
    </cfRule>
    <cfRule type="cellIs" dxfId="1980" priority="1899" operator="lessThan">
      <formula>S25</formula>
    </cfRule>
  </conditionalFormatting>
  <conditionalFormatting sqref="T26">
    <cfRule type="expression" dxfId="1979" priority="1890">
      <formula>S26="-"</formula>
    </cfRule>
    <cfRule type="cellIs" dxfId="1978" priority="1891" operator="equal">
      <formula>"-"</formula>
    </cfRule>
    <cfRule type="cellIs" dxfId="1977" priority="1892" operator="equal">
      <formula>S26</formula>
    </cfRule>
    <cfRule type="cellIs" dxfId="1976" priority="1893" operator="greaterThan">
      <formula>S26</formula>
    </cfRule>
    <cfRule type="cellIs" dxfId="1975" priority="1894" operator="lessThan">
      <formula>S26</formula>
    </cfRule>
  </conditionalFormatting>
  <conditionalFormatting sqref="T27">
    <cfRule type="expression" dxfId="1974" priority="1885">
      <formula>S27="-"</formula>
    </cfRule>
    <cfRule type="cellIs" dxfId="1973" priority="1886" operator="equal">
      <formula>"-"</formula>
    </cfRule>
    <cfRule type="cellIs" dxfId="1972" priority="1887" operator="equal">
      <formula>S27</formula>
    </cfRule>
    <cfRule type="cellIs" dxfId="1971" priority="1888" operator="greaterThan">
      <formula>S27</formula>
    </cfRule>
    <cfRule type="cellIs" dxfId="1970" priority="1889" operator="lessThan">
      <formula>S27</formula>
    </cfRule>
  </conditionalFormatting>
  <conditionalFormatting sqref="T28">
    <cfRule type="expression" dxfId="1969" priority="1880">
      <formula>S28="-"</formula>
    </cfRule>
    <cfRule type="cellIs" dxfId="1968" priority="1881" operator="equal">
      <formula>"-"</formula>
    </cfRule>
    <cfRule type="cellIs" dxfId="1967" priority="1882" operator="equal">
      <formula>S28</formula>
    </cfRule>
    <cfRule type="cellIs" dxfId="1966" priority="1883" operator="greaterThan">
      <formula>S28</formula>
    </cfRule>
    <cfRule type="cellIs" dxfId="1965" priority="1884" operator="lessThan">
      <formula>S28</formula>
    </cfRule>
  </conditionalFormatting>
  <conditionalFormatting sqref="U4">
    <cfRule type="expression" dxfId="1964" priority="1875">
      <formula>T4="-"</formula>
    </cfRule>
    <cfRule type="cellIs" dxfId="1963" priority="1876" operator="equal">
      <formula>"-"</formula>
    </cfRule>
    <cfRule type="cellIs" dxfId="1962" priority="1877" operator="equal">
      <formula>T4</formula>
    </cfRule>
    <cfRule type="cellIs" dxfId="1961" priority="1878" operator="greaterThan">
      <formula>T4</formula>
    </cfRule>
    <cfRule type="cellIs" dxfId="1960" priority="1879" operator="lessThan">
      <formula>T4</formula>
    </cfRule>
  </conditionalFormatting>
  <conditionalFormatting sqref="U5">
    <cfRule type="expression" dxfId="1959" priority="1870">
      <formula>T5="-"</formula>
    </cfRule>
    <cfRule type="cellIs" dxfId="1958" priority="1871" operator="equal">
      <formula>"-"</formula>
    </cfRule>
    <cfRule type="cellIs" dxfId="1957" priority="1872" operator="equal">
      <formula>T5</formula>
    </cfRule>
    <cfRule type="cellIs" dxfId="1956" priority="1873" operator="greaterThan">
      <formula>T5</formula>
    </cfRule>
    <cfRule type="cellIs" dxfId="1955" priority="1874" operator="lessThan">
      <formula>T5</formula>
    </cfRule>
  </conditionalFormatting>
  <conditionalFormatting sqref="U6">
    <cfRule type="expression" dxfId="1954" priority="1865">
      <formula>T6="-"</formula>
    </cfRule>
    <cfRule type="cellIs" dxfId="1953" priority="1866" operator="equal">
      <formula>"-"</formula>
    </cfRule>
    <cfRule type="cellIs" dxfId="1952" priority="1867" operator="equal">
      <formula>T6</formula>
    </cfRule>
    <cfRule type="cellIs" dxfId="1951" priority="1868" operator="greaterThan">
      <formula>T6</formula>
    </cfRule>
    <cfRule type="cellIs" dxfId="1950" priority="1869" operator="lessThan">
      <formula>T6</formula>
    </cfRule>
  </conditionalFormatting>
  <conditionalFormatting sqref="U7">
    <cfRule type="expression" dxfId="1949" priority="1860">
      <formula>T7="-"</formula>
    </cfRule>
    <cfRule type="cellIs" dxfId="1948" priority="1861" operator="equal">
      <formula>"-"</formula>
    </cfRule>
    <cfRule type="cellIs" dxfId="1947" priority="1862" operator="equal">
      <formula>T7</formula>
    </cfRule>
    <cfRule type="cellIs" dxfId="1946" priority="1863" operator="greaterThan">
      <formula>T7</formula>
    </cfRule>
    <cfRule type="cellIs" dxfId="1945" priority="1864" operator="lessThan">
      <formula>T7</formula>
    </cfRule>
  </conditionalFormatting>
  <conditionalFormatting sqref="U8">
    <cfRule type="expression" dxfId="1944" priority="1855">
      <formula>T8="-"</formula>
    </cfRule>
    <cfRule type="cellIs" dxfId="1943" priority="1856" operator="equal">
      <formula>"-"</formula>
    </cfRule>
    <cfRule type="cellIs" dxfId="1942" priority="1857" operator="equal">
      <formula>T8</formula>
    </cfRule>
    <cfRule type="cellIs" dxfId="1941" priority="1858" operator="greaterThan">
      <formula>T8</formula>
    </cfRule>
    <cfRule type="cellIs" dxfId="1940" priority="1859" operator="lessThan">
      <formula>T8</formula>
    </cfRule>
  </conditionalFormatting>
  <conditionalFormatting sqref="U9">
    <cfRule type="expression" dxfId="1939" priority="1850">
      <formula>T9="-"</formula>
    </cfRule>
    <cfRule type="cellIs" dxfId="1938" priority="1851" operator="equal">
      <formula>"-"</formula>
    </cfRule>
    <cfRule type="cellIs" dxfId="1937" priority="1852" operator="equal">
      <formula>T9</formula>
    </cfRule>
    <cfRule type="cellIs" dxfId="1936" priority="1853" operator="greaterThan">
      <formula>T9</formula>
    </cfRule>
    <cfRule type="cellIs" dxfId="1935" priority="1854" operator="lessThan">
      <formula>T9</formula>
    </cfRule>
  </conditionalFormatting>
  <conditionalFormatting sqref="U10">
    <cfRule type="expression" dxfId="1934" priority="1845">
      <formula>T10="-"</formula>
    </cfRule>
    <cfRule type="cellIs" dxfId="1933" priority="1846" operator="equal">
      <formula>"-"</formula>
    </cfRule>
    <cfRule type="cellIs" dxfId="1932" priority="1847" operator="equal">
      <formula>T10</formula>
    </cfRule>
    <cfRule type="cellIs" dxfId="1931" priority="1848" operator="greaterThan">
      <formula>T10</formula>
    </cfRule>
    <cfRule type="cellIs" dxfId="1930" priority="1849" operator="lessThan">
      <formula>T10</formula>
    </cfRule>
  </conditionalFormatting>
  <conditionalFormatting sqref="U11">
    <cfRule type="expression" dxfId="1929" priority="1840">
      <formula>T11="-"</formula>
    </cfRule>
    <cfRule type="cellIs" dxfId="1928" priority="1841" operator="equal">
      <formula>"-"</formula>
    </cfRule>
    <cfRule type="cellIs" dxfId="1927" priority="1842" operator="equal">
      <formula>T11</formula>
    </cfRule>
    <cfRule type="cellIs" dxfId="1926" priority="1843" operator="greaterThan">
      <formula>T11</formula>
    </cfRule>
    <cfRule type="cellIs" dxfId="1925" priority="1844" operator="lessThan">
      <formula>T11</formula>
    </cfRule>
  </conditionalFormatting>
  <conditionalFormatting sqref="U12">
    <cfRule type="expression" dxfId="1924" priority="1835">
      <formula>T12="-"</formula>
    </cfRule>
    <cfRule type="cellIs" dxfId="1923" priority="1836" operator="equal">
      <formula>"-"</formula>
    </cfRule>
    <cfRule type="cellIs" dxfId="1922" priority="1837" operator="equal">
      <formula>T12</formula>
    </cfRule>
    <cfRule type="cellIs" dxfId="1921" priority="1838" operator="greaterThan">
      <formula>T12</formula>
    </cfRule>
    <cfRule type="cellIs" dxfId="1920" priority="1839" operator="lessThan">
      <formula>T12</formula>
    </cfRule>
  </conditionalFormatting>
  <conditionalFormatting sqref="U13">
    <cfRule type="expression" dxfId="1919" priority="1830">
      <formula>T13="-"</formula>
    </cfRule>
    <cfRule type="cellIs" dxfId="1918" priority="1831" operator="equal">
      <formula>"-"</formula>
    </cfRule>
    <cfRule type="cellIs" dxfId="1917" priority="1832" operator="equal">
      <formula>T13</formula>
    </cfRule>
    <cfRule type="cellIs" dxfId="1916" priority="1833" operator="greaterThan">
      <formula>T13</formula>
    </cfRule>
    <cfRule type="cellIs" dxfId="1915" priority="1834" operator="lessThan">
      <formula>T13</formula>
    </cfRule>
  </conditionalFormatting>
  <conditionalFormatting sqref="U14">
    <cfRule type="expression" dxfId="1914" priority="1825">
      <formula>T14="-"</formula>
    </cfRule>
    <cfRule type="cellIs" dxfId="1913" priority="1826" operator="equal">
      <formula>"-"</formula>
    </cfRule>
    <cfRule type="cellIs" dxfId="1912" priority="1827" operator="equal">
      <formula>T14</formula>
    </cfRule>
    <cfRule type="cellIs" dxfId="1911" priority="1828" operator="greaterThan">
      <formula>T14</formula>
    </cfRule>
    <cfRule type="cellIs" dxfId="1910" priority="1829" operator="lessThan">
      <formula>T14</formula>
    </cfRule>
  </conditionalFormatting>
  <conditionalFormatting sqref="U15">
    <cfRule type="expression" dxfId="1909" priority="1820">
      <formula>T15="-"</formula>
    </cfRule>
    <cfRule type="cellIs" dxfId="1908" priority="1821" operator="equal">
      <formula>"-"</formula>
    </cfRule>
    <cfRule type="cellIs" dxfId="1907" priority="1822" operator="equal">
      <formula>T15</formula>
    </cfRule>
    <cfRule type="cellIs" dxfId="1906" priority="1823" operator="greaterThan">
      <formula>T15</formula>
    </cfRule>
    <cfRule type="cellIs" dxfId="1905" priority="1824" operator="lessThan">
      <formula>T15</formula>
    </cfRule>
  </conditionalFormatting>
  <conditionalFormatting sqref="U16">
    <cfRule type="expression" dxfId="1904" priority="1815">
      <formula>T16="-"</formula>
    </cfRule>
    <cfRule type="cellIs" dxfId="1903" priority="1816" operator="equal">
      <formula>"-"</formula>
    </cfRule>
    <cfRule type="cellIs" dxfId="1902" priority="1817" operator="equal">
      <formula>T16</formula>
    </cfRule>
    <cfRule type="cellIs" dxfId="1901" priority="1818" operator="greaterThan">
      <formula>T16</formula>
    </cfRule>
    <cfRule type="cellIs" dxfId="1900" priority="1819" operator="lessThan">
      <formula>T16</formula>
    </cfRule>
  </conditionalFormatting>
  <conditionalFormatting sqref="U17">
    <cfRule type="expression" dxfId="1899" priority="1810">
      <formula>T17="-"</formula>
    </cfRule>
    <cfRule type="cellIs" dxfId="1898" priority="1811" operator="equal">
      <formula>"-"</formula>
    </cfRule>
    <cfRule type="cellIs" dxfId="1897" priority="1812" operator="equal">
      <formula>T17</formula>
    </cfRule>
    <cfRule type="cellIs" dxfId="1896" priority="1813" operator="greaterThan">
      <formula>T17</formula>
    </cfRule>
    <cfRule type="cellIs" dxfId="1895" priority="1814" operator="lessThan">
      <formula>T17</formula>
    </cfRule>
  </conditionalFormatting>
  <conditionalFormatting sqref="U18">
    <cfRule type="expression" dxfId="1894" priority="1805">
      <formula>T18="-"</formula>
    </cfRule>
    <cfRule type="cellIs" dxfId="1893" priority="1806" operator="equal">
      <formula>"-"</formula>
    </cfRule>
    <cfRule type="cellIs" dxfId="1892" priority="1807" operator="equal">
      <formula>T18</formula>
    </cfRule>
    <cfRule type="cellIs" dxfId="1891" priority="1808" operator="greaterThan">
      <formula>T18</formula>
    </cfRule>
    <cfRule type="cellIs" dxfId="1890" priority="1809" operator="lessThan">
      <formula>T18</formula>
    </cfRule>
  </conditionalFormatting>
  <conditionalFormatting sqref="U19">
    <cfRule type="expression" dxfId="1889" priority="1800">
      <formula>T19="-"</formula>
    </cfRule>
    <cfRule type="cellIs" dxfId="1888" priority="1801" operator="equal">
      <formula>"-"</formula>
    </cfRule>
    <cfRule type="cellIs" dxfId="1887" priority="1802" operator="equal">
      <formula>T19</formula>
    </cfRule>
    <cfRule type="cellIs" dxfId="1886" priority="1803" operator="greaterThan">
      <formula>T19</formula>
    </cfRule>
    <cfRule type="cellIs" dxfId="1885" priority="1804" operator="lessThan">
      <formula>T19</formula>
    </cfRule>
  </conditionalFormatting>
  <conditionalFormatting sqref="U20">
    <cfRule type="expression" dxfId="1884" priority="1795">
      <formula>T20="-"</formula>
    </cfRule>
    <cfRule type="cellIs" dxfId="1883" priority="1796" operator="equal">
      <formula>"-"</formula>
    </cfRule>
    <cfRule type="cellIs" dxfId="1882" priority="1797" operator="equal">
      <formula>T20</formula>
    </cfRule>
    <cfRule type="cellIs" dxfId="1881" priority="1798" operator="greaterThan">
      <formula>T20</formula>
    </cfRule>
    <cfRule type="cellIs" dxfId="1880" priority="1799" operator="lessThan">
      <formula>T20</formula>
    </cfRule>
  </conditionalFormatting>
  <conditionalFormatting sqref="U21">
    <cfRule type="expression" dxfId="1879" priority="1790">
      <formula>T21="-"</formula>
    </cfRule>
    <cfRule type="cellIs" dxfId="1878" priority="1791" operator="equal">
      <formula>"-"</formula>
    </cfRule>
    <cfRule type="cellIs" dxfId="1877" priority="1792" operator="equal">
      <formula>T21</formula>
    </cfRule>
    <cfRule type="cellIs" dxfId="1876" priority="1793" operator="greaterThan">
      <formula>T21</formula>
    </cfRule>
    <cfRule type="cellIs" dxfId="1875" priority="1794" operator="lessThan">
      <formula>T21</formula>
    </cfRule>
  </conditionalFormatting>
  <conditionalFormatting sqref="U22">
    <cfRule type="expression" dxfId="1874" priority="1785">
      <formula>T22="-"</formula>
    </cfRule>
    <cfRule type="cellIs" dxfId="1873" priority="1786" operator="equal">
      <formula>"-"</formula>
    </cfRule>
    <cfRule type="cellIs" dxfId="1872" priority="1787" operator="equal">
      <formula>T22</formula>
    </cfRule>
    <cfRule type="cellIs" dxfId="1871" priority="1788" operator="greaterThan">
      <formula>T22</formula>
    </cfRule>
    <cfRule type="cellIs" dxfId="1870" priority="1789" operator="lessThan">
      <formula>T22</formula>
    </cfRule>
  </conditionalFormatting>
  <conditionalFormatting sqref="U23">
    <cfRule type="expression" dxfId="1869" priority="1780">
      <formula>T23="-"</formula>
    </cfRule>
    <cfRule type="cellIs" dxfId="1868" priority="1781" operator="equal">
      <formula>"-"</formula>
    </cfRule>
    <cfRule type="cellIs" dxfId="1867" priority="1782" operator="equal">
      <formula>T23</formula>
    </cfRule>
    <cfRule type="cellIs" dxfId="1866" priority="1783" operator="greaterThan">
      <formula>T23</formula>
    </cfRule>
    <cfRule type="cellIs" dxfId="1865" priority="1784" operator="lessThan">
      <formula>T23</formula>
    </cfRule>
  </conditionalFormatting>
  <conditionalFormatting sqref="U24">
    <cfRule type="expression" dxfId="1864" priority="1775">
      <formula>T24="-"</formula>
    </cfRule>
    <cfRule type="cellIs" dxfId="1863" priority="1776" operator="equal">
      <formula>"-"</formula>
    </cfRule>
    <cfRule type="cellIs" dxfId="1862" priority="1777" operator="equal">
      <formula>T24</formula>
    </cfRule>
    <cfRule type="cellIs" dxfId="1861" priority="1778" operator="greaterThan">
      <formula>T24</formula>
    </cfRule>
    <cfRule type="cellIs" dxfId="1860" priority="1779" operator="lessThan">
      <formula>T24</formula>
    </cfRule>
  </conditionalFormatting>
  <conditionalFormatting sqref="U25">
    <cfRule type="expression" dxfId="1859" priority="1770">
      <formula>T25="-"</formula>
    </cfRule>
    <cfRule type="cellIs" dxfId="1858" priority="1771" operator="equal">
      <formula>"-"</formula>
    </cfRule>
    <cfRule type="cellIs" dxfId="1857" priority="1772" operator="equal">
      <formula>T25</formula>
    </cfRule>
    <cfRule type="cellIs" dxfId="1856" priority="1773" operator="greaterThan">
      <formula>T25</formula>
    </cfRule>
    <cfRule type="cellIs" dxfId="1855" priority="1774" operator="lessThan">
      <formula>T25</formula>
    </cfRule>
  </conditionalFormatting>
  <conditionalFormatting sqref="U26">
    <cfRule type="expression" dxfId="1854" priority="1765">
      <formula>T26="-"</formula>
    </cfRule>
    <cfRule type="cellIs" dxfId="1853" priority="1766" operator="equal">
      <formula>"-"</formula>
    </cfRule>
    <cfRule type="cellIs" dxfId="1852" priority="1767" operator="equal">
      <formula>T26</formula>
    </cfRule>
    <cfRule type="cellIs" dxfId="1851" priority="1768" operator="greaterThan">
      <formula>T26</formula>
    </cfRule>
    <cfRule type="cellIs" dxfId="1850" priority="1769" operator="lessThan">
      <formula>T26</formula>
    </cfRule>
  </conditionalFormatting>
  <conditionalFormatting sqref="U27">
    <cfRule type="expression" dxfId="1849" priority="1760">
      <formula>T27="-"</formula>
    </cfRule>
    <cfRule type="cellIs" dxfId="1848" priority="1761" operator="equal">
      <formula>"-"</formula>
    </cfRule>
    <cfRule type="cellIs" dxfId="1847" priority="1762" operator="equal">
      <formula>T27</formula>
    </cfRule>
    <cfRule type="cellIs" dxfId="1846" priority="1763" operator="greaterThan">
      <formula>T27</formula>
    </cfRule>
    <cfRule type="cellIs" dxfId="1845" priority="1764" operator="lessThan">
      <formula>T27</formula>
    </cfRule>
  </conditionalFormatting>
  <conditionalFormatting sqref="U28">
    <cfRule type="expression" dxfId="1844" priority="1755">
      <formula>T28="-"</formula>
    </cfRule>
    <cfRule type="cellIs" dxfId="1843" priority="1756" operator="equal">
      <formula>"-"</formula>
    </cfRule>
    <cfRule type="cellIs" dxfId="1842" priority="1757" operator="equal">
      <formula>T28</formula>
    </cfRule>
    <cfRule type="cellIs" dxfId="1841" priority="1758" operator="greaterThan">
      <formula>T28</formula>
    </cfRule>
    <cfRule type="cellIs" dxfId="1840" priority="1759" operator="lessThan">
      <formula>T28</formula>
    </cfRule>
  </conditionalFormatting>
  <conditionalFormatting sqref="V4">
    <cfRule type="expression" dxfId="1839" priority="1750">
      <formula>U4="-"</formula>
    </cfRule>
    <cfRule type="cellIs" dxfId="1838" priority="1751" operator="equal">
      <formula>"-"</formula>
    </cfRule>
    <cfRule type="cellIs" dxfId="1837" priority="1752" operator="equal">
      <formula>U4</formula>
    </cfRule>
    <cfRule type="cellIs" dxfId="1836" priority="1753" operator="greaterThan">
      <formula>U4</formula>
    </cfRule>
    <cfRule type="cellIs" dxfId="1835" priority="1754" operator="lessThan">
      <formula>U4</formula>
    </cfRule>
  </conditionalFormatting>
  <conditionalFormatting sqref="V5">
    <cfRule type="expression" dxfId="1834" priority="1745">
      <formula>U5="-"</formula>
    </cfRule>
    <cfRule type="cellIs" dxfId="1833" priority="1746" operator="equal">
      <formula>"-"</formula>
    </cfRule>
    <cfRule type="cellIs" dxfId="1832" priority="1747" operator="equal">
      <formula>U5</formula>
    </cfRule>
    <cfRule type="cellIs" dxfId="1831" priority="1748" operator="greaterThan">
      <formula>U5</formula>
    </cfRule>
    <cfRule type="cellIs" dxfId="1830" priority="1749" operator="lessThan">
      <formula>U5</formula>
    </cfRule>
  </conditionalFormatting>
  <conditionalFormatting sqref="V6">
    <cfRule type="expression" dxfId="1829" priority="1740">
      <formula>U6="-"</formula>
    </cfRule>
    <cfRule type="cellIs" dxfId="1828" priority="1741" operator="equal">
      <formula>"-"</formula>
    </cfRule>
    <cfRule type="cellIs" dxfId="1827" priority="1742" operator="equal">
      <formula>U6</formula>
    </cfRule>
    <cfRule type="cellIs" dxfId="1826" priority="1743" operator="greaterThan">
      <formula>U6</formula>
    </cfRule>
    <cfRule type="cellIs" dxfId="1825" priority="1744" operator="lessThan">
      <formula>U6</formula>
    </cfRule>
  </conditionalFormatting>
  <conditionalFormatting sqref="V7">
    <cfRule type="expression" dxfId="1824" priority="1735">
      <formula>U7="-"</formula>
    </cfRule>
    <cfRule type="cellIs" dxfId="1823" priority="1736" operator="equal">
      <formula>"-"</formula>
    </cfRule>
    <cfRule type="cellIs" dxfId="1822" priority="1737" operator="equal">
      <formula>U7</formula>
    </cfRule>
    <cfRule type="cellIs" dxfId="1821" priority="1738" operator="greaterThan">
      <formula>U7</formula>
    </cfRule>
    <cfRule type="cellIs" dxfId="1820" priority="1739" operator="lessThan">
      <formula>U7</formula>
    </cfRule>
  </conditionalFormatting>
  <conditionalFormatting sqref="V8">
    <cfRule type="expression" dxfId="1819" priority="1730">
      <formula>U8="-"</formula>
    </cfRule>
    <cfRule type="cellIs" dxfId="1818" priority="1731" operator="equal">
      <formula>"-"</formula>
    </cfRule>
    <cfRule type="cellIs" dxfId="1817" priority="1732" operator="equal">
      <formula>U8</formula>
    </cfRule>
    <cfRule type="cellIs" dxfId="1816" priority="1733" operator="greaterThan">
      <formula>U8</formula>
    </cfRule>
    <cfRule type="cellIs" dxfId="1815" priority="1734" operator="lessThan">
      <formula>U8</formula>
    </cfRule>
  </conditionalFormatting>
  <conditionalFormatting sqref="V9">
    <cfRule type="expression" dxfId="1814" priority="1725">
      <formula>U9="-"</formula>
    </cfRule>
    <cfRule type="cellIs" dxfId="1813" priority="1726" operator="equal">
      <formula>"-"</formula>
    </cfRule>
    <cfRule type="cellIs" dxfId="1812" priority="1727" operator="equal">
      <formula>U9</formula>
    </cfRule>
    <cfRule type="cellIs" dxfId="1811" priority="1728" operator="greaterThan">
      <formula>U9</formula>
    </cfRule>
    <cfRule type="cellIs" dxfId="1810" priority="1729" operator="lessThan">
      <formula>U9</formula>
    </cfRule>
  </conditionalFormatting>
  <conditionalFormatting sqref="V10">
    <cfRule type="expression" dxfId="1809" priority="1720">
      <formula>U10="-"</formula>
    </cfRule>
    <cfRule type="cellIs" dxfId="1808" priority="1721" operator="equal">
      <formula>"-"</formula>
    </cfRule>
    <cfRule type="cellIs" dxfId="1807" priority="1722" operator="equal">
      <formula>U10</formula>
    </cfRule>
    <cfRule type="cellIs" dxfId="1806" priority="1723" operator="greaterThan">
      <formula>U10</formula>
    </cfRule>
    <cfRule type="cellIs" dxfId="1805" priority="1724" operator="lessThan">
      <formula>U10</formula>
    </cfRule>
  </conditionalFormatting>
  <conditionalFormatting sqref="V11">
    <cfRule type="expression" dxfId="1804" priority="1715">
      <formula>U11="-"</formula>
    </cfRule>
    <cfRule type="cellIs" dxfId="1803" priority="1716" operator="equal">
      <formula>"-"</formula>
    </cfRule>
    <cfRule type="cellIs" dxfId="1802" priority="1717" operator="equal">
      <formula>U11</formula>
    </cfRule>
    <cfRule type="cellIs" dxfId="1801" priority="1718" operator="greaterThan">
      <formula>U11</formula>
    </cfRule>
    <cfRule type="cellIs" dxfId="1800" priority="1719" operator="lessThan">
      <formula>U11</formula>
    </cfRule>
  </conditionalFormatting>
  <conditionalFormatting sqref="V12">
    <cfRule type="expression" dxfId="1799" priority="1710">
      <formula>U12="-"</formula>
    </cfRule>
    <cfRule type="cellIs" dxfId="1798" priority="1711" operator="equal">
      <formula>"-"</formula>
    </cfRule>
    <cfRule type="cellIs" dxfId="1797" priority="1712" operator="equal">
      <formula>U12</formula>
    </cfRule>
    <cfRule type="cellIs" dxfId="1796" priority="1713" operator="greaterThan">
      <formula>U12</formula>
    </cfRule>
    <cfRule type="cellIs" dxfId="1795" priority="1714" operator="lessThan">
      <formula>U12</formula>
    </cfRule>
  </conditionalFormatting>
  <conditionalFormatting sqref="V13">
    <cfRule type="expression" dxfId="1794" priority="1705">
      <formula>U13="-"</formula>
    </cfRule>
    <cfRule type="cellIs" dxfId="1793" priority="1706" operator="equal">
      <formula>"-"</formula>
    </cfRule>
    <cfRule type="cellIs" dxfId="1792" priority="1707" operator="equal">
      <formula>U13</formula>
    </cfRule>
    <cfRule type="cellIs" dxfId="1791" priority="1708" operator="greaterThan">
      <formula>U13</formula>
    </cfRule>
    <cfRule type="cellIs" dxfId="1790" priority="1709" operator="lessThan">
      <formula>U13</formula>
    </cfRule>
  </conditionalFormatting>
  <conditionalFormatting sqref="V14">
    <cfRule type="expression" dxfId="1789" priority="1700">
      <formula>U14="-"</formula>
    </cfRule>
    <cfRule type="cellIs" dxfId="1788" priority="1701" operator="equal">
      <formula>"-"</formula>
    </cfRule>
    <cfRule type="cellIs" dxfId="1787" priority="1702" operator="equal">
      <formula>U14</formula>
    </cfRule>
    <cfRule type="cellIs" dxfId="1786" priority="1703" operator="greaterThan">
      <formula>U14</formula>
    </cfRule>
    <cfRule type="cellIs" dxfId="1785" priority="1704" operator="lessThan">
      <formula>U14</formula>
    </cfRule>
  </conditionalFormatting>
  <conditionalFormatting sqref="V15">
    <cfRule type="expression" dxfId="1784" priority="1695">
      <formula>U15="-"</formula>
    </cfRule>
    <cfRule type="cellIs" dxfId="1783" priority="1696" operator="equal">
      <formula>"-"</formula>
    </cfRule>
    <cfRule type="cellIs" dxfId="1782" priority="1697" operator="equal">
      <formula>U15</formula>
    </cfRule>
    <cfRule type="cellIs" dxfId="1781" priority="1698" operator="greaterThan">
      <formula>U15</formula>
    </cfRule>
    <cfRule type="cellIs" dxfId="1780" priority="1699" operator="lessThan">
      <formula>U15</formula>
    </cfRule>
  </conditionalFormatting>
  <conditionalFormatting sqref="V16">
    <cfRule type="expression" dxfId="1779" priority="1690">
      <formula>U16="-"</formula>
    </cfRule>
    <cfRule type="cellIs" dxfId="1778" priority="1691" operator="equal">
      <formula>"-"</formula>
    </cfRule>
    <cfRule type="cellIs" dxfId="1777" priority="1692" operator="equal">
      <formula>U16</formula>
    </cfRule>
    <cfRule type="cellIs" dxfId="1776" priority="1693" operator="greaterThan">
      <formula>U16</formula>
    </cfRule>
    <cfRule type="cellIs" dxfId="1775" priority="1694" operator="lessThan">
      <formula>U16</formula>
    </cfRule>
  </conditionalFormatting>
  <conditionalFormatting sqref="V17">
    <cfRule type="expression" dxfId="1774" priority="1685">
      <formula>U17="-"</formula>
    </cfRule>
    <cfRule type="cellIs" dxfId="1773" priority="1686" operator="equal">
      <formula>"-"</formula>
    </cfRule>
    <cfRule type="cellIs" dxfId="1772" priority="1687" operator="equal">
      <formula>U17</formula>
    </cfRule>
    <cfRule type="cellIs" dxfId="1771" priority="1688" operator="greaterThan">
      <formula>U17</formula>
    </cfRule>
    <cfRule type="cellIs" dxfId="1770" priority="1689" operator="lessThan">
      <formula>U17</formula>
    </cfRule>
  </conditionalFormatting>
  <conditionalFormatting sqref="V18">
    <cfRule type="expression" dxfId="1769" priority="1680">
      <formula>U18="-"</formula>
    </cfRule>
    <cfRule type="cellIs" dxfId="1768" priority="1681" operator="equal">
      <formula>"-"</formula>
    </cfRule>
    <cfRule type="cellIs" dxfId="1767" priority="1682" operator="equal">
      <formula>U18</formula>
    </cfRule>
    <cfRule type="cellIs" dxfId="1766" priority="1683" operator="greaterThan">
      <formula>U18</formula>
    </cfRule>
    <cfRule type="cellIs" dxfId="1765" priority="1684" operator="lessThan">
      <formula>U18</formula>
    </cfRule>
  </conditionalFormatting>
  <conditionalFormatting sqref="V19">
    <cfRule type="expression" dxfId="1764" priority="1675">
      <formula>U19="-"</formula>
    </cfRule>
    <cfRule type="cellIs" dxfId="1763" priority="1676" operator="equal">
      <formula>"-"</formula>
    </cfRule>
    <cfRule type="cellIs" dxfId="1762" priority="1677" operator="equal">
      <formula>U19</formula>
    </cfRule>
    <cfRule type="cellIs" dxfId="1761" priority="1678" operator="greaterThan">
      <formula>U19</formula>
    </cfRule>
    <cfRule type="cellIs" dxfId="1760" priority="1679" operator="lessThan">
      <formula>U19</formula>
    </cfRule>
  </conditionalFormatting>
  <conditionalFormatting sqref="V20">
    <cfRule type="expression" dxfId="1759" priority="1670">
      <formula>U20="-"</formula>
    </cfRule>
    <cfRule type="cellIs" dxfId="1758" priority="1671" operator="equal">
      <formula>"-"</formula>
    </cfRule>
    <cfRule type="cellIs" dxfId="1757" priority="1672" operator="equal">
      <formula>U20</formula>
    </cfRule>
    <cfRule type="cellIs" dxfId="1756" priority="1673" operator="greaterThan">
      <formula>U20</formula>
    </cfRule>
    <cfRule type="cellIs" dxfId="1755" priority="1674" operator="lessThan">
      <formula>U20</formula>
    </cfRule>
  </conditionalFormatting>
  <conditionalFormatting sqref="V21">
    <cfRule type="expression" dxfId="1754" priority="1665">
      <formula>U21="-"</formula>
    </cfRule>
    <cfRule type="cellIs" dxfId="1753" priority="1666" operator="equal">
      <formula>"-"</formula>
    </cfRule>
    <cfRule type="cellIs" dxfId="1752" priority="1667" operator="equal">
      <formula>U21</formula>
    </cfRule>
    <cfRule type="cellIs" dxfId="1751" priority="1668" operator="greaterThan">
      <formula>U21</formula>
    </cfRule>
    <cfRule type="cellIs" dxfId="1750" priority="1669" operator="lessThan">
      <formula>U21</formula>
    </cfRule>
  </conditionalFormatting>
  <conditionalFormatting sqref="V22">
    <cfRule type="expression" dxfId="1749" priority="1660">
      <formula>U22="-"</formula>
    </cfRule>
    <cfRule type="cellIs" dxfId="1748" priority="1661" operator="equal">
      <formula>"-"</formula>
    </cfRule>
    <cfRule type="cellIs" dxfId="1747" priority="1662" operator="equal">
      <formula>U22</formula>
    </cfRule>
    <cfRule type="cellIs" dxfId="1746" priority="1663" operator="greaterThan">
      <formula>U22</formula>
    </cfRule>
    <cfRule type="cellIs" dxfId="1745" priority="1664" operator="lessThan">
      <formula>U22</formula>
    </cfRule>
  </conditionalFormatting>
  <conditionalFormatting sqref="V23">
    <cfRule type="expression" dxfId="1744" priority="1655">
      <formula>U23="-"</formula>
    </cfRule>
    <cfRule type="cellIs" dxfId="1743" priority="1656" operator="equal">
      <formula>"-"</formula>
    </cfRule>
    <cfRule type="cellIs" dxfId="1742" priority="1657" operator="equal">
      <formula>U23</formula>
    </cfRule>
    <cfRule type="cellIs" dxfId="1741" priority="1658" operator="greaterThan">
      <formula>U23</formula>
    </cfRule>
    <cfRule type="cellIs" dxfId="1740" priority="1659" operator="lessThan">
      <formula>U23</formula>
    </cfRule>
  </conditionalFormatting>
  <conditionalFormatting sqref="V24">
    <cfRule type="expression" dxfId="1739" priority="1650">
      <formula>U24="-"</formula>
    </cfRule>
    <cfRule type="cellIs" dxfId="1738" priority="1651" operator="equal">
      <formula>"-"</formula>
    </cfRule>
    <cfRule type="cellIs" dxfId="1737" priority="1652" operator="equal">
      <formula>U24</formula>
    </cfRule>
    <cfRule type="cellIs" dxfId="1736" priority="1653" operator="greaterThan">
      <formula>U24</formula>
    </cfRule>
    <cfRule type="cellIs" dxfId="1735" priority="1654" operator="lessThan">
      <formula>U24</formula>
    </cfRule>
  </conditionalFormatting>
  <conditionalFormatting sqref="V25">
    <cfRule type="expression" dxfId="1734" priority="1645">
      <formula>U25="-"</formula>
    </cfRule>
    <cfRule type="cellIs" dxfId="1733" priority="1646" operator="equal">
      <formula>"-"</formula>
    </cfRule>
    <cfRule type="cellIs" dxfId="1732" priority="1647" operator="equal">
      <formula>U25</formula>
    </cfRule>
    <cfRule type="cellIs" dxfId="1731" priority="1648" operator="greaterThan">
      <formula>U25</formula>
    </cfRule>
    <cfRule type="cellIs" dxfId="1730" priority="1649" operator="lessThan">
      <formula>U25</formula>
    </cfRule>
  </conditionalFormatting>
  <conditionalFormatting sqref="V26">
    <cfRule type="expression" dxfId="1729" priority="1640">
      <formula>U26="-"</formula>
    </cfRule>
    <cfRule type="cellIs" dxfId="1728" priority="1641" operator="equal">
      <formula>"-"</formula>
    </cfRule>
    <cfRule type="cellIs" dxfId="1727" priority="1642" operator="equal">
      <formula>U26</formula>
    </cfRule>
    <cfRule type="cellIs" dxfId="1726" priority="1643" operator="greaterThan">
      <formula>U26</formula>
    </cfRule>
    <cfRule type="cellIs" dxfId="1725" priority="1644" operator="lessThan">
      <formula>U26</formula>
    </cfRule>
  </conditionalFormatting>
  <conditionalFormatting sqref="V27">
    <cfRule type="expression" dxfId="1724" priority="1635">
      <formula>U27="-"</formula>
    </cfRule>
    <cfRule type="cellIs" dxfId="1723" priority="1636" operator="equal">
      <formula>"-"</formula>
    </cfRule>
    <cfRule type="cellIs" dxfId="1722" priority="1637" operator="equal">
      <formula>U27</formula>
    </cfRule>
    <cfRule type="cellIs" dxfId="1721" priority="1638" operator="greaterThan">
      <formula>U27</formula>
    </cfRule>
    <cfRule type="cellIs" dxfId="1720" priority="1639" operator="lessThan">
      <formula>U27</formula>
    </cfRule>
  </conditionalFormatting>
  <conditionalFormatting sqref="V28">
    <cfRule type="expression" dxfId="1719" priority="1630">
      <formula>U28="-"</formula>
    </cfRule>
    <cfRule type="cellIs" dxfId="1718" priority="1631" operator="equal">
      <formula>"-"</formula>
    </cfRule>
    <cfRule type="cellIs" dxfId="1717" priority="1632" operator="equal">
      <formula>U28</formula>
    </cfRule>
    <cfRule type="cellIs" dxfId="1716" priority="1633" operator="greaterThan">
      <formula>U28</formula>
    </cfRule>
    <cfRule type="cellIs" dxfId="1715" priority="1634" operator="lessThan">
      <formula>U28</formula>
    </cfRule>
  </conditionalFormatting>
  <conditionalFormatting sqref="W4">
    <cfRule type="expression" dxfId="1714" priority="1625">
      <formula>V4="-"</formula>
    </cfRule>
    <cfRule type="cellIs" dxfId="1713" priority="1626" operator="equal">
      <formula>"-"</formula>
    </cfRule>
    <cfRule type="cellIs" dxfId="1712" priority="1627" operator="equal">
      <formula>V4</formula>
    </cfRule>
    <cfRule type="cellIs" dxfId="1711" priority="1628" operator="greaterThan">
      <formula>V4</formula>
    </cfRule>
    <cfRule type="cellIs" dxfId="1710" priority="1629" operator="lessThan">
      <formula>V4</formula>
    </cfRule>
  </conditionalFormatting>
  <conditionalFormatting sqref="W5">
    <cfRule type="expression" dxfId="1709" priority="1620">
      <formula>V5="-"</formula>
    </cfRule>
    <cfRule type="cellIs" dxfId="1708" priority="1621" operator="equal">
      <formula>"-"</formula>
    </cfRule>
    <cfRule type="cellIs" dxfId="1707" priority="1622" operator="equal">
      <formula>V5</formula>
    </cfRule>
    <cfRule type="cellIs" dxfId="1706" priority="1623" operator="greaterThan">
      <formula>V5</formula>
    </cfRule>
    <cfRule type="cellIs" dxfId="1705" priority="1624" operator="lessThan">
      <formula>V5</formula>
    </cfRule>
  </conditionalFormatting>
  <conditionalFormatting sqref="W6">
    <cfRule type="expression" dxfId="1704" priority="1615">
      <formula>V6="-"</formula>
    </cfRule>
    <cfRule type="cellIs" dxfId="1703" priority="1616" operator="equal">
      <formula>"-"</formula>
    </cfRule>
    <cfRule type="cellIs" dxfId="1702" priority="1617" operator="equal">
      <formula>V6</formula>
    </cfRule>
    <cfRule type="cellIs" dxfId="1701" priority="1618" operator="greaterThan">
      <formula>V6</formula>
    </cfRule>
    <cfRule type="cellIs" dxfId="1700" priority="1619" operator="lessThan">
      <formula>V6</formula>
    </cfRule>
  </conditionalFormatting>
  <conditionalFormatting sqref="W7">
    <cfRule type="expression" dxfId="1699" priority="1610">
      <formula>V7="-"</formula>
    </cfRule>
    <cfRule type="cellIs" dxfId="1698" priority="1611" operator="equal">
      <formula>"-"</formula>
    </cfRule>
    <cfRule type="cellIs" dxfId="1697" priority="1612" operator="equal">
      <formula>V7</formula>
    </cfRule>
    <cfRule type="cellIs" dxfId="1696" priority="1613" operator="greaterThan">
      <formula>V7</formula>
    </cfRule>
    <cfRule type="cellIs" dxfId="1695" priority="1614" operator="lessThan">
      <formula>V7</formula>
    </cfRule>
  </conditionalFormatting>
  <conditionalFormatting sqref="W8">
    <cfRule type="expression" dxfId="1694" priority="1605">
      <formula>V8="-"</formula>
    </cfRule>
    <cfRule type="cellIs" dxfId="1693" priority="1606" operator="equal">
      <formula>"-"</formula>
    </cfRule>
    <cfRule type="cellIs" dxfId="1692" priority="1607" operator="equal">
      <formula>V8</formula>
    </cfRule>
    <cfRule type="cellIs" dxfId="1691" priority="1608" operator="greaterThan">
      <formula>V8</formula>
    </cfRule>
    <cfRule type="cellIs" dxfId="1690" priority="1609" operator="lessThan">
      <formula>V8</formula>
    </cfRule>
  </conditionalFormatting>
  <conditionalFormatting sqref="W9">
    <cfRule type="expression" dxfId="1689" priority="1600">
      <formula>V9="-"</formula>
    </cfRule>
    <cfRule type="cellIs" dxfId="1688" priority="1601" operator="equal">
      <formula>"-"</formula>
    </cfRule>
    <cfRule type="cellIs" dxfId="1687" priority="1602" operator="equal">
      <formula>V9</formula>
    </cfRule>
    <cfRule type="cellIs" dxfId="1686" priority="1603" operator="greaterThan">
      <formula>V9</formula>
    </cfRule>
    <cfRule type="cellIs" dxfId="1685" priority="1604" operator="lessThan">
      <formula>V9</formula>
    </cfRule>
  </conditionalFormatting>
  <conditionalFormatting sqref="W10">
    <cfRule type="expression" dxfId="1684" priority="1595">
      <formula>V10="-"</formula>
    </cfRule>
    <cfRule type="cellIs" dxfId="1683" priority="1596" operator="equal">
      <formula>"-"</formula>
    </cfRule>
    <cfRule type="cellIs" dxfId="1682" priority="1597" operator="equal">
      <formula>V10</formula>
    </cfRule>
    <cfRule type="cellIs" dxfId="1681" priority="1598" operator="greaterThan">
      <formula>V10</formula>
    </cfRule>
    <cfRule type="cellIs" dxfId="1680" priority="1599" operator="lessThan">
      <formula>V10</formula>
    </cfRule>
  </conditionalFormatting>
  <conditionalFormatting sqref="W11">
    <cfRule type="expression" dxfId="1679" priority="1590">
      <formula>V11="-"</formula>
    </cfRule>
    <cfRule type="cellIs" dxfId="1678" priority="1591" operator="equal">
      <formula>"-"</formula>
    </cfRule>
    <cfRule type="cellIs" dxfId="1677" priority="1592" operator="equal">
      <formula>V11</formula>
    </cfRule>
    <cfRule type="cellIs" dxfId="1676" priority="1593" operator="greaterThan">
      <formula>V11</formula>
    </cfRule>
    <cfRule type="cellIs" dxfId="1675" priority="1594" operator="lessThan">
      <formula>V11</formula>
    </cfRule>
  </conditionalFormatting>
  <conditionalFormatting sqref="W12">
    <cfRule type="expression" dxfId="1674" priority="1585">
      <formula>V12="-"</formula>
    </cfRule>
    <cfRule type="cellIs" dxfId="1673" priority="1586" operator="equal">
      <formula>"-"</formula>
    </cfRule>
    <cfRule type="cellIs" dxfId="1672" priority="1587" operator="equal">
      <formula>V12</formula>
    </cfRule>
    <cfRule type="cellIs" dxfId="1671" priority="1588" operator="greaterThan">
      <formula>V12</formula>
    </cfRule>
    <cfRule type="cellIs" dxfId="1670" priority="1589" operator="lessThan">
      <formula>V12</formula>
    </cfRule>
  </conditionalFormatting>
  <conditionalFormatting sqref="W13">
    <cfRule type="expression" dxfId="1669" priority="1580">
      <formula>V13="-"</formula>
    </cfRule>
    <cfRule type="cellIs" dxfId="1668" priority="1581" operator="equal">
      <formula>"-"</formula>
    </cfRule>
    <cfRule type="cellIs" dxfId="1667" priority="1582" operator="equal">
      <formula>V13</formula>
    </cfRule>
    <cfRule type="cellIs" dxfId="1666" priority="1583" operator="greaterThan">
      <formula>V13</formula>
    </cfRule>
    <cfRule type="cellIs" dxfId="1665" priority="1584" operator="lessThan">
      <formula>V13</formula>
    </cfRule>
  </conditionalFormatting>
  <conditionalFormatting sqref="W14">
    <cfRule type="expression" dxfId="1664" priority="1575">
      <formula>V14="-"</formula>
    </cfRule>
    <cfRule type="cellIs" dxfId="1663" priority="1576" operator="equal">
      <formula>"-"</formula>
    </cfRule>
    <cfRule type="cellIs" dxfId="1662" priority="1577" operator="equal">
      <formula>V14</formula>
    </cfRule>
    <cfRule type="cellIs" dxfId="1661" priority="1578" operator="greaterThan">
      <formula>V14</formula>
    </cfRule>
    <cfRule type="cellIs" dxfId="1660" priority="1579" operator="lessThan">
      <formula>V14</formula>
    </cfRule>
  </conditionalFormatting>
  <conditionalFormatting sqref="W15">
    <cfRule type="expression" dxfId="1659" priority="1570">
      <formula>V15="-"</formula>
    </cfRule>
    <cfRule type="cellIs" dxfId="1658" priority="1571" operator="equal">
      <formula>"-"</formula>
    </cfRule>
    <cfRule type="cellIs" dxfId="1657" priority="1572" operator="equal">
      <formula>V15</formula>
    </cfRule>
    <cfRule type="cellIs" dxfId="1656" priority="1573" operator="greaterThan">
      <formula>V15</formula>
    </cfRule>
    <cfRule type="cellIs" dxfId="1655" priority="1574" operator="lessThan">
      <formula>V15</formula>
    </cfRule>
  </conditionalFormatting>
  <conditionalFormatting sqref="W16">
    <cfRule type="expression" dxfId="1654" priority="1565">
      <formula>V16="-"</formula>
    </cfRule>
    <cfRule type="cellIs" dxfId="1653" priority="1566" operator="equal">
      <formula>"-"</formula>
    </cfRule>
    <cfRule type="cellIs" dxfId="1652" priority="1567" operator="equal">
      <formula>V16</formula>
    </cfRule>
    <cfRule type="cellIs" dxfId="1651" priority="1568" operator="greaterThan">
      <formula>V16</formula>
    </cfRule>
    <cfRule type="cellIs" dxfId="1650" priority="1569" operator="lessThan">
      <formula>V16</formula>
    </cfRule>
  </conditionalFormatting>
  <conditionalFormatting sqref="W17">
    <cfRule type="expression" dxfId="1649" priority="1560">
      <formula>V17="-"</formula>
    </cfRule>
    <cfRule type="cellIs" dxfId="1648" priority="1561" operator="equal">
      <formula>"-"</formula>
    </cfRule>
    <cfRule type="cellIs" dxfId="1647" priority="1562" operator="equal">
      <formula>V17</formula>
    </cfRule>
    <cfRule type="cellIs" dxfId="1646" priority="1563" operator="greaterThan">
      <formula>V17</formula>
    </cfRule>
    <cfRule type="cellIs" dxfId="1645" priority="1564" operator="lessThan">
      <formula>V17</formula>
    </cfRule>
  </conditionalFormatting>
  <conditionalFormatting sqref="W18">
    <cfRule type="expression" dxfId="1644" priority="1555">
      <formula>V18="-"</formula>
    </cfRule>
    <cfRule type="cellIs" dxfId="1643" priority="1556" operator="equal">
      <formula>"-"</formula>
    </cfRule>
    <cfRule type="cellIs" dxfId="1642" priority="1557" operator="equal">
      <formula>V18</formula>
    </cfRule>
    <cfRule type="cellIs" dxfId="1641" priority="1558" operator="greaterThan">
      <formula>V18</formula>
    </cfRule>
    <cfRule type="cellIs" dxfId="1640" priority="1559" operator="lessThan">
      <formula>V18</formula>
    </cfRule>
  </conditionalFormatting>
  <conditionalFormatting sqref="W19">
    <cfRule type="expression" dxfId="1639" priority="1550">
      <formula>V19="-"</formula>
    </cfRule>
    <cfRule type="cellIs" dxfId="1638" priority="1551" operator="equal">
      <formula>"-"</formula>
    </cfRule>
    <cfRule type="cellIs" dxfId="1637" priority="1552" operator="equal">
      <formula>V19</formula>
    </cfRule>
    <cfRule type="cellIs" dxfId="1636" priority="1553" operator="greaterThan">
      <formula>V19</formula>
    </cfRule>
    <cfRule type="cellIs" dxfId="1635" priority="1554" operator="lessThan">
      <formula>V19</formula>
    </cfRule>
  </conditionalFormatting>
  <conditionalFormatting sqref="W20">
    <cfRule type="expression" dxfId="1634" priority="1545">
      <formula>V20="-"</formula>
    </cfRule>
    <cfRule type="cellIs" dxfId="1633" priority="1546" operator="equal">
      <formula>"-"</formula>
    </cfRule>
    <cfRule type="cellIs" dxfId="1632" priority="1547" operator="equal">
      <formula>V20</formula>
    </cfRule>
    <cfRule type="cellIs" dxfId="1631" priority="1548" operator="greaterThan">
      <formula>V20</formula>
    </cfRule>
    <cfRule type="cellIs" dxfId="1630" priority="1549" operator="lessThan">
      <formula>V20</formula>
    </cfRule>
  </conditionalFormatting>
  <conditionalFormatting sqref="W21">
    <cfRule type="expression" dxfId="1629" priority="1540">
      <formula>V21="-"</formula>
    </cfRule>
    <cfRule type="cellIs" dxfId="1628" priority="1541" operator="equal">
      <formula>"-"</formula>
    </cfRule>
    <cfRule type="cellIs" dxfId="1627" priority="1542" operator="equal">
      <formula>V21</formula>
    </cfRule>
    <cfRule type="cellIs" dxfId="1626" priority="1543" operator="greaterThan">
      <formula>V21</formula>
    </cfRule>
    <cfRule type="cellIs" dxfId="1625" priority="1544" operator="lessThan">
      <formula>V21</formula>
    </cfRule>
  </conditionalFormatting>
  <conditionalFormatting sqref="W22">
    <cfRule type="expression" dxfId="1624" priority="1535">
      <formula>V22="-"</formula>
    </cfRule>
    <cfRule type="cellIs" dxfId="1623" priority="1536" operator="equal">
      <formula>"-"</formula>
    </cfRule>
    <cfRule type="cellIs" dxfId="1622" priority="1537" operator="equal">
      <formula>V22</formula>
    </cfRule>
    <cfRule type="cellIs" dxfId="1621" priority="1538" operator="greaterThan">
      <formula>V22</formula>
    </cfRule>
    <cfRule type="cellIs" dxfId="1620" priority="1539" operator="lessThan">
      <formula>V22</formula>
    </cfRule>
  </conditionalFormatting>
  <conditionalFormatting sqref="W23">
    <cfRule type="expression" dxfId="1619" priority="1530">
      <formula>V23="-"</formula>
    </cfRule>
    <cfRule type="cellIs" dxfId="1618" priority="1531" operator="equal">
      <formula>"-"</formula>
    </cfRule>
    <cfRule type="cellIs" dxfId="1617" priority="1532" operator="equal">
      <formula>V23</formula>
    </cfRule>
    <cfRule type="cellIs" dxfId="1616" priority="1533" operator="greaterThan">
      <formula>V23</formula>
    </cfRule>
    <cfRule type="cellIs" dxfId="1615" priority="1534" operator="lessThan">
      <formula>V23</formula>
    </cfRule>
  </conditionalFormatting>
  <conditionalFormatting sqref="W24">
    <cfRule type="expression" dxfId="1614" priority="1525">
      <formula>V24="-"</formula>
    </cfRule>
    <cfRule type="cellIs" dxfId="1613" priority="1526" operator="equal">
      <formula>"-"</formula>
    </cfRule>
    <cfRule type="cellIs" dxfId="1612" priority="1527" operator="equal">
      <formula>V24</formula>
    </cfRule>
    <cfRule type="cellIs" dxfId="1611" priority="1528" operator="greaterThan">
      <formula>V24</formula>
    </cfRule>
    <cfRule type="cellIs" dxfId="1610" priority="1529" operator="lessThan">
      <formula>V24</formula>
    </cfRule>
  </conditionalFormatting>
  <conditionalFormatting sqref="W25">
    <cfRule type="expression" dxfId="1609" priority="1520">
      <formula>V25="-"</formula>
    </cfRule>
    <cfRule type="cellIs" dxfId="1608" priority="1521" operator="equal">
      <formula>"-"</formula>
    </cfRule>
    <cfRule type="cellIs" dxfId="1607" priority="1522" operator="equal">
      <formula>V25</formula>
    </cfRule>
    <cfRule type="cellIs" dxfId="1606" priority="1523" operator="greaterThan">
      <formula>V25</formula>
    </cfRule>
    <cfRule type="cellIs" dxfId="1605" priority="1524" operator="lessThan">
      <formula>V25</formula>
    </cfRule>
  </conditionalFormatting>
  <conditionalFormatting sqref="W26">
    <cfRule type="expression" dxfId="1604" priority="1515">
      <formula>V26="-"</formula>
    </cfRule>
    <cfRule type="cellIs" dxfId="1603" priority="1516" operator="equal">
      <formula>"-"</formula>
    </cfRule>
    <cfRule type="cellIs" dxfId="1602" priority="1517" operator="equal">
      <formula>V26</formula>
    </cfRule>
    <cfRule type="cellIs" dxfId="1601" priority="1518" operator="greaterThan">
      <formula>V26</formula>
    </cfRule>
    <cfRule type="cellIs" dxfId="1600" priority="1519" operator="lessThan">
      <formula>V26</formula>
    </cfRule>
  </conditionalFormatting>
  <conditionalFormatting sqref="W27">
    <cfRule type="expression" dxfId="1599" priority="1510">
      <formula>V27="-"</formula>
    </cfRule>
    <cfRule type="cellIs" dxfId="1598" priority="1511" operator="equal">
      <formula>"-"</formula>
    </cfRule>
    <cfRule type="cellIs" dxfId="1597" priority="1512" operator="equal">
      <formula>V27</formula>
    </cfRule>
    <cfRule type="cellIs" dxfId="1596" priority="1513" operator="greaterThan">
      <formula>V27</formula>
    </cfRule>
    <cfRule type="cellIs" dxfId="1595" priority="1514" operator="lessThan">
      <formula>V27</formula>
    </cfRule>
  </conditionalFormatting>
  <conditionalFormatting sqref="W28">
    <cfRule type="expression" dxfId="1594" priority="1505">
      <formula>V28="-"</formula>
    </cfRule>
    <cfRule type="cellIs" dxfId="1593" priority="1506" operator="equal">
      <formula>"-"</formula>
    </cfRule>
    <cfRule type="cellIs" dxfId="1592" priority="1507" operator="equal">
      <formula>V28</formula>
    </cfRule>
    <cfRule type="cellIs" dxfId="1591" priority="1508" operator="greaterThan">
      <formula>V28</formula>
    </cfRule>
    <cfRule type="cellIs" dxfId="1590" priority="1509" operator="lessThan">
      <formula>V28</formula>
    </cfRule>
  </conditionalFormatting>
  <conditionalFormatting sqref="X4">
    <cfRule type="expression" dxfId="1589" priority="1500">
      <formula>W4="-"</formula>
    </cfRule>
    <cfRule type="cellIs" dxfId="1588" priority="1501" operator="equal">
      <formula>"-"</formula>
    </cfRule>
    <cfRule type="cellIs" dxfId="1587" priority="1502" operator="equal">
      <formula>W4</formula>
    </cfRule>
    <cfRule type="cellIs" dxfId="1586" priority="1503" operator="greaterThan">
      <formula>W4</formula>
    </cfRule>
    <cfRule type="cellIs" dxfId="1585" priority="1504" operator="lessThan">
      <formula>W4</formula>
    </cfRule>
  </conditionalFormatting>
  <conditionalFormatting sqref="X5">
    <cfRule type="expression" dxfId="1584" priority="1495">
      <formula>W5="-"</formula>
    </cfRule>
    <cfRule type="cellIs" dxfId="1583" priority="1496" operator="equal">
      <formula>"-"</formula>
    </cfRule>
    <cfRule type="cellIs" dxfId="1582" priority="1497" operator="equal">
      <formula>W5</formula>
    </cfRule>
    <cfRule type="cellIs" dxfId="1581" priority="1498" operator="greaterThan">
      <formula>W5</formula>
    </cfRule>
    <cfRule type="cellIs" dxfId="1580" priority="1499" operator="lessThan">
      <formula>W5</formula>
    </cfRule>
  </conditionalFormatting>
  <conditionalFormatting sqref="X6">
    <cfRule type="expression" dxfId="1579" priority="1490">
      <formula>W6="-"</formula>
    </cfRule>
    <cfRule type="cellIs" dxfId="1578" priority="1491" operator="equal">
      <formula>"-"</formula>
    </cfRule>
    <cfRule type="cellIs" dxfId="1577" priority="1492" operator="equal">
      <formula>W6</formula>
    </cfRule>
    <cfRule type="cellIs" dxfId="1576" priority="1493" operator="greaterThan">
      <formula>W6</formula>
    </cfRule>
    <cfRule type="cellIs" dxfId="1575" priority="1494" operator="lessThan">
      <formula>W6</formula>
    </cfRule>
  </conditionalFormatting>
  <conditionalFormatting sqref="X7">
    <cfRule type="expression" dxfId="1574" priority="1485">
      <formula>W7="-"</formula>
    </cfRule>
    <cfRule type="cellIs" dxfId="1573" priority="1486" operator="equal">
      <formula>"-"</formula>
    </cfRule>
    <cfRule type="cellIs" dxfId="1572" priority="1487" operator="equal">
      <formula>W7</formula>
    </cfRule>
    <cfRule type="cellIs" dxfId="1571" priority="1488" operator="greaterThan">
      <formula>W7</formula>
    </cfRule>
    <cfRule type="cellIs" dxfId="1570" priority="1489" operator="lessThan">
      <formula>W7</formula>
    </cfRule>
  </conditionalFormatting>
  <conditionalFormatting sqref="X8">
    <cfRule type="expression" dxfId="1569" priority="1480">
      <formula>W8="-"</formula>
    </cfRule>
    <cfRule type="cellIs" dxfId="1568" priority="1481" operator="equal">
      <formula>"-"</formula>
    </cfRule>
    <cfRule type="cellIs" dxfId="1567" priority="1482" operator="equal">
      <formula>W8</formula>
    </cfRule>
    <cfRule type="cellIs" dxfId="1566" priority="1483" operator="greaterThan">
      <formula>W8</formula>
    </cfRule>
    <cfRule type="cellIs" dxfId="1565" priority="1484" operator="lessThan">
      <formula>W8</formula>
    </cfRule>
  </conditionalFormatting>
  <conditionalFormatting sqref="X9">
    <cfRule type="expression" dxfId="1564" priority="1475">
      <formula>W9="-"</formula>
    </cfRule>
    <cfRule type="cellIs" dxfId="1563" priority="1476" operator="equal">
      <formula>"-"</formula>
    </cfRule>
    <cfRule type="cellIs" dxfId="1562" priority="1477" operator="equal">
      <formula>W9</formula>
    </cfRule>
    <cfRule type="cellIs" dxfId="1561" priority="1478" operator="greaterThan">
      <formula>W9</formula>
    </cfRule>
    <cfRule type="cellIs" dxfId="1560" priority="1479" operator="lessThan">
      <formula>W9</formula>
    </cfRule>
  </conditionalFormatting>
  <conditionalFormatting sqref="X10">
    <cfRule type="expression" dxfId="1559" priority="1470">
      <formula>W10="-"</formula>
    </cfRule>
    <cfRule type="cellIs" dxfId="1558" priority="1471" operator="equal">
      <formula>"-"</formula>
    </cfRule>
    <cfRule type="cellIs" dxfId="1557" priority="1472" operator="equal">
      <formula>W10</formula>
    </cfRule>
    <cfRule type="cellIs" dxfId="1556" priority="1473" operator="greaterThan">
      <formula>W10</formula>
    </cfRule>
    <cfRule type="cellIs" dxfId="1555" priority="1474" operator="lessThan">
      <formula>W10</formula>
    </cfRule>
  </conditionalFormatting>
  <conditionalFormatting sqref="X11">
    <cfRule type="expression" dxfId="1554" priority="1465">
      <formula>W11="-"</formula>
    </cfRule>
    <cfRule type="cellIs" dxfId="1553" priority="1466" operator="equal">
      <formula>"-"</formula>
    </cfRule>
    <cfRule type="cellIs" dxfId="1552" priority="1467" operator="equal">
      <formula>W11</formula>
    </cfRule>
    <cfRule type="cellIs" dxfId="1551" priority="1468" operator="greaterThan">
      <formula>W11</formula>
    </cfRule>
    <cfRule type="cellIs" dxfId="1550" priority="1469" operator="lessThan">
      <formula>W11</formula>
    </cfRule>
  </conditionalFormatting>
  <conditionalFormatting sqref="X12">
    <cfRule type="expression" dxfId="1549" priority="1460">
      <formula>W12="-"</formula>
    </cfRule>
    <cfRule type="cellIs" dxfId="1548" priority="1461" operator="equal">
      <formula>"-"</formula>
    </cfRule>
    <cfRule type="cellIs" dxfId="1547" priority="1462" operator="equal">
      <formula>W12</formula>
    </cfRule>
    <cfRule type="cellIs" dxfId="1546" priority="1463" operator="greaterThan">
      <formula>W12</formula>
    </cfRule>
    <cfRule type="cellIs" dxfId="1545" priority="1464" operator="lessThan">
      <formula>W12</formula>
    </cfRule>
  </conditionalFormatting>
  <conditionalFormatting sqref="X13">
    <cfRule type="expression" dxfId="1544" priority="1455">
      <formula>W13="-"</formula>
    </cfRule>
    <cfRule type="cellIs" dxfId="1543" priority="1456" operator="equal">
      <formula>"-"</formula>
    </cfRule>
    <cfRule type="cellIs" dxfId="1542" priority="1457" operator="equal">
      <formula>W13</formula>
    </cfRule>
    <cfRule type="cellIs" dxfId="1541" priority="1458" operator="greaterThan">
      <formula>W13</formula>
    </cfRule>
    <cfRule type="cellIs" dxfId="1540" priority="1459" operator="lessThan">
      <formula>W13</formula>
    </cfRule>
  </conditionalFormatting>
  <conditionalFormatting sqref="X14">
    <cfRule type="expression" dxfId="1539" priority="1450">
      <formula>W14="-"</formula>
    </cfRule>
    <cfRule type="cellIs" dxfId="1538" priority="1451" operator="equal">
      <formula>"-"</formula>
    </cfRule>
    <cfRule type="cellIs" dxfId="1537" priority="1452" operator="equal">
      <formula>W14</formula>
    </cfRule>
    <cfRule type="cellIs" dxfId="1536" priority="1453" operator="greaterThan">
      <formula>W14</formula>
    </cfRule>
    <cfRule type="cellIs" dxfId="1535" priority="1454" operator="lessThan">
      <formula>W14</formula>
    </cfRule>
  </conditionalFormatting>
  <conditionalFormatting sqref="X15">
    <cfRule type="expression" dxfId="1534" priority="1445">
      <formula>W15="-"</formula>
    </cfRule>
    <cfRule type="cellIs" dxfId="1533" priority="1446" operator="equal">
      <formula>"-"</formula>
    </cfRule>
    <cfRule type="cellIs" dxfId="1532" priority="1447" operator="equal">
      <formula>W15</formula>
    </cfRule>
    <cfRule type="cellIs" dxfId="1531" priority="1448" operator="greaterThan">
      <formula>W15</formula>
    </cfRule>
    <cfRule type="cellIs" dxfId="1530" priority="1449" operator="lessThan">
      <formula>W15</formula>
    </cfRule>
  </conditionalFormatting>
  <conditionalFormatting sqref="X16">
    <cfRule type="expression" dxfId="1529" priority="1440">
      <formula>W16="-"</formula>
    </cfRule>
    <cfRule type="cellIs" dxfId="1528" priority="1441" operator="equal">
      <formula>"-"</formula>
    </cfRule>
    <cfRule type="cellIs" dxfId="1527" priority="1442" operator="equal">
      <formula>W16</formula>
    </cfRule>
    <cfRule type="cellIs" dxfId="1526" priority="1443" operator="greaterThan">
      <formula>W16</formula>
    </cfRule>
    <cfRule type="cellIs" dxfId="1525" priority="1444" operator="lessThan">
      <formula>W16</formula>
    </cfRule>
  </conditionalFormatting>
  <conditionalFormatting sqref="X17">
    <cfRule type="expression" dxfId="1524" priority="1435">
      <formula>W17="-"</formula>
    </cfRule>
    <cfRule type="cellIs" dxfId="1523" priority="1436" operator="equal">
      <formula>"-"</formula>
    </cfRule>
    <cfRule type="cellIs" dxfId="1522" priority="1437" operator="equal">
      <formula>W17</formula>
    </cfRule>
    <cfRule type="cellIs" dxfId="1521" priority="1438" operator="greaterThan">
      <formula>W17</formula>
    </cfRule>
    <cfRule type="cellIs" dxfId="1520" priority="1439" operator="lessThan">
      <formula>W17</formula>
    </cfRule>
  </conditionalFormatting>
  <conditionalFormatting sqref="X18">
    <cfRule type="expression" dxfId="1519" priority="1430">
      <formula>W18="-"</formula>
    </cfRule>
    <cfRule type="cellIs" dxfId="1518" priority="1431" operator="equal">
      <formula>"-"</formula>
    </cfRule>
    <cfRule type="cellIs" dxfId="1517" priority="1432" operator="equal">
      <formula>W18</formula>
    </cfRule>
    <cfRule type="cellIs" dxfId="1516" priority="1433" operator="greaterThan">
      <formula>W18</formula>
    </cfRule>
    <cfRule type="cellIs" dxfId="1515" priority="1434" operator="lessThan">
      <formula>W18</formula>
    </cfRule>
  </conditionalFormatting>
  <conditionalFormatting sqref="X19">
    <cfRule type="expression" dxfId="1514" priority="1425">
      <formula>W19="-"</formula>
    </cfRule>
    <cfRule type="cellIs" dxfId="1513" priority="1426" operator="equal">
      <formula>"-"</formula>
    </cfRule>
    <cfRule type="cellIs" dxfId="1512" priority="1427" operator="equal">
      <formula>W19</formula>
    </cfRule>
    <cfRule type="cellIs" dxfId="1511" priority="1428" operator="greaterThan">
      <formula>W19</formula>
    </cfRule>
    <cfRule type="cellIs" dxfId="1510" priority="1429" operator="lessThan">
      <formula>W19</formula>
    </cfRule>
  </conditionalFormatting>
  <conditionalFormatting sqref="X20">
    <cfRule type="expression" dxfId="1509" priority="1420">
      <formula>W20="-"</formula>
    </cfRule>
    <cfRule type="cellIs" dxfId="1508" priority="1421" operator="equal">
      <formula>"-"</formula>
    </cfRule>
    <cfRule type="cellIs" dxfId="1507" priority="1422" operator="equal">
      <formula>W20</formula>
    </cfRule>
    <cfRule type="cellIs" dxfId="1506" priority="1423" operator="greaterThan">
      <formula>W20</formula>
    </cfRule>
    <cfRule type="cellIs" dxfId="1505" priority="1424" operator="lessThan">
      <formula>W20</formula>
    </cfRule>
  </conditionalFormatting>
  <conditionalFormatting sqref="X21">
    <cfRule type="expression" dxfId="1504" priority="1415">
      <formula>W21="-"</formula>
    </cfRule>
    <cfRule type="cellIs" dxfId="1503" priority="1416" operator="equal">
      <formula>"-"</formula>
    </cfRule>
    <cfRule type="cellIs" dxfId="1502" priority="1417" operator="equal">
      <formula>W21</formula>
    </cfRule>
    <cfRule type="cellIs" dxfId="1501" priority="1418" operator="greaterThan">
      <formula>W21</formula>
    </cfRule>
    <cfRule type="cellIs" dxfId="1500" priority="1419" operator="lessThan">
      <formula>W21</formula>
    </cfRule>
  </conditionalFormatting>
  <conditionalFormatting sqref="X22">
    <cfRule type="expression" dxfId="1499" priority="1410">
      <formula>W22="-"</formula>
    </cfRule>
    <cfRule type="cellIs" dxfId="1498" priority="1411" operator="equal">
      <formula>"-"</formula>
    </cfRule>
    <cfRule type="cellIs" dxfId="1497" priority="1412" operator="equal">
      <formula>W22</formula>
    </cfRule>
    <cfRule type="cellIs" dxfId="1496" priority="1413" operator="greaterThan">
      <formula>W22</formula>
    </cfRule>
    <cfRule type="cellIs" dxfId="1495" priority="1414" operator="lessThan">
      <formula>W22</formula>
    </cfRule>
  </conditionalFormatting>
  <conditionalFormatting sqref="X23">
    <cfRule type="expression" dxfId="1494" priority="1405">
      <formula>W23="-"</formula>
    </cfRule>
    <cfRule type="cellIs" dxfId="1493" priority="1406" operator="equal">
      <formula>"-"</formula>
    </cfRule>
    <cfRule type="cellIs" dxfId="1492" priority="1407" operator="equal">
      <formula>W23</formula>
    </cfRule>
    <cfRule type="cellIs" dxfId="1491" priority="1408" operator="greaterThan">
      <formula>W23</formula>
    </cfRule>
    <cfRule type="cellIs" dxfId="1490" priority="1409" operator="lessThan">
      <formula>W23</formula>
    </cfRule>
  </conditionalFormatting>
  <conditionalFormatting sqref="X24">
    <cfRule type="expression" dxfId="1489" priority="1400">
      <formula>W24="-"</formula>
    </cfRule>
    <cfRule type="cellIs" dxfId="1488" priority="1401" operator="equal">
      <formula>"-"</formula>
    </cfRule>
    <cfRule type="cellIs" dxfId="1487" priority="1402" operator="equal">
      <formula>W24</formula>
    </cfRule>
    <cfRule type="cellIs" dxfId="1486" priority="1403" operator="greaterThan">
      <formula>W24</formula>
    </cfRule>
    <cfRule type="cellIs" dxfId="1485" priority="1404" operator="lessThan">
      <formula>W24</formula>
    </cfRule>
  </conditionalFormatting>
  <conditionalFormatting sqref="X25">
    <cfRule type="expression" dxfId="1484" priority="1395">
      <formula>W25="-"</formula>
    </cfRule>
    <cfRule type="cellIs" dxfId="1483" priority="1396" operator="equal">
      <formula>"-"</formula>
    </cfRule>
    <cfRule type="cellIs" dxfId="1482" priority="1397" operator="equal">
      <formula>W25</formula>
    </cfRule>
    <cfRule type="cellIs" dxfId="1481" priority="1398" operator="greaterThan">
      <formula>W25</formula>
    </cfRule>
    <cfRule type="cellIs" dxfId="1480" priority="1399" operator="lessThan">
      <formula>W25</formula>
    </cfRule>
  </conditionalFormatting>
  <conditionalFormatting sqref="X26">
    <cfRule type="expression" dxfId="1479" priority="1390">
      <formula>W26="-"</formula>
    </cfRule>
    <cfRule type="cellIs" dxfId="1478" priority="1391" operator="equal">
      <formula>"-"</formula>
    </cfRule>
    <cfRule type="cellIs" dxfId="1477" priority="1392" operator="equal">
      <formula>W26</formula>
    </cfRule>
    <cfRule type="cellIs" dxfId="1476" priority="1393" operator="greaterThan">
      <formula>W26</formula>
    </cfRule>
    <cfRule type="cellIs" dxfId="1475" priority="1394" operator="lessThan">
      <formula>W26</formula>
    </cfRule>
  </conditionalFormatting>
  <conditionalFormatting sqref="X27">
    <cfRule type="expression" dxfId="1474" priority="1385">
      <formula>W27="-"</formula>
    </cfRule>
    <cfRule type="cellIs" dxfId="1473" priority="1386" operator="equal">
      <formula>"-"</formula>
    </cfRule>
    <cfRule type="cellIs" dxfId="1472" priority="1387" operator="equal">
      <formula>W27</formula>
    </cfRule>
    <cfRule type="cellIs" dxfId="1471" priority="1388" operator="greaterThan">
      <formula>W27</formula>
    </cfRule>
    <cfRule type="cellIs" dxfId="1470" priority="1389" operator="lessThan">
      <formula>W27</formula>
    </cfRule>
  </conditionalFormatting>
  <conditionalFormatting sqref="X28">
    <cfRule type="expression" dxfId="1469" priority="1380">
      <formula>W28="-"</formula>
    </cfRule>
    <cfRule type="cellIs" dxfId="1468" priority="1381" operator="equal">
      <formula>"-"</formula>
    </cfRule>
    <cfRule type="cellIs" dxfId="1467" priority="1382" operator="equal">
      <formula>W28</formula>
    </cfRule>
    <cfRule type="cellIs" dxfId="1466" priority="1383" operator="greaterThan">
      <formula>W28</formula>
    </cfRule>
    <cfRule type="cellIs" dxfId="1465" priority="1384" operator="lessThan">
      <formula>W28</formula>
    </cfRule>
  </conditionalFormatting>
  <conditionalFormatting sqref="Y4">
    <cfRule type="expression" dxfId="1464" priority="1375">
      <formula>X4="-"</formula>
    </cfRule>
    <cfRule type="cellIs" dxfId="1463" priority="1376" operator="equal">
      <formula>"-"</formula>
    </cfRule>
    <cfRule type="cellIs" dxfId="1462" priority="1377" operator="equal">
      <formula>X4</formula>
    </cfRule>
    <cfRule type="cellIs" dxfId="1461" priority="1378" operator="greaterThan">
      <formula>X4</formula>
    </cfRule>
    <cfRule type="cellIs" dxfId="1460" priority="1379" operator="lessThan">
      <formula>X4</formula>
    </cfRule>
  </conditionalFormatting>
  <conditionalFormatting sqref="Y5">
    <cfRule type="expression" dxfId="1459" priority="1370">
      <formula>X5="-"</formula>
    </cfRule>
    <cfRule type="cellIs" dxfId="1458" priority="1371" operator="equal">
      <formula>"-"</formula>
    </cfRule>
    <cfRule type="cellIs" dxfId="1457" priority="1372" operator="equal">
      <formula>X5</formula>
    </cfRule>
    <cfRule type="cellIs" dxfId="1456" priority="1373" operator="greaterThan">
      <formula>X5</formula>
    </cfRule>
    <cfRule type="cellIs" dxfId="1455" priority="1374" operator="lessThan">
      <formula>X5</formula>
    </cfRule>
  </conditionalFormatting>
  <conditionalFormatting sqref="Y6">
    <cfRule type="expression" dxfId="1454" priority="1365">
      <formula>X6="-"</formula>
    </cfRule>
    <cfRule type="cellIs" dxfId="1453" priority="1366" operator="equal">
      <formula>"-"</formula>
    </cfRule>
    <cfRule type="cellIs" dxfId="1452" priority="1367" operator="equal">
      <formula>X6</formula>
    </cfRule>
    <cfRule type="cellIs" dxfId="1451" priority="1368" operator="greaterThan">
      <formula>X6</formula>
    </cfRule>
    <cfRule type="cellIs" dxfId="1450" priority="1369" operator="lessThan">
      <formula>X6</formula>
    </cfRule>
  </conditionalFormatting>
  <conditionalFormatting sqref="Y7">
    <cfRule type="expression" dxfId="1449" priority="1360">
      <formula>X7="-"</formula>
    </cfRule>
    <cfRule type="cellIs" dxfId="1448" priority="1361" operator="equal">
      <formula>"-"</formula>
    </cfRule>
    <cfRule type="cellIs" dxfId="1447" priority="1362" operator="equal">
      <formula>X7</formula>
    </cfRule>
    <cfRule type="cellIs" dxfId="1446" priority="1363" operator="greaterThan">
      <formula>X7</formula>
    </cfRule>
    <cfRule type="cellIs" dxfId="1445" priority="1364" operator="lessThan">
      <formula>X7</formula>
    </cfRule>
  </conditionalFormatting>
  <conditionalFormatting sqref="Y8">
    <cfRule type="expression" dxfId="1444" priority="1355">
      <formula>X8="-"</formula>
    </cfRule>
    <cfRule type="cellIs" dxfId="1443" priority="1356" operator="equal">
      <formula>"-"</formula>
    </cfRule>
    <cfRule type="cellIs" dxfId="1442" priority="1357" operator="equal">
      <formula>X8</formula>
    </cfRule>
    <cfRule type="cellIs" dxfId="1441" priority="1358" operator="greaterThan">
      <formula>X8</formula>
    </cfRule>
    <cfRule type="cellIs" dxfId="1440" priority="1359" operator="lessThan">
      <formula>X8</formula>
    </cfRule>
  </conditionalFormatting>
  <conditionalFormatting sqref="Y9">
    <cfRule type="expression" dxfId="1439" priority="1350">
      <formula>X9="-"</formula>
    </cfRule>
    <cfRule type="cellIs" dxfId="1438" priority="1351" operator="equal">
      <formula>"-"</formula>
    </cfRule>
    <cfRule type="cellIs" dxfId="1437" priority="1352" operator="equal">
      <formula>X9</formula>
    </cfRule>
    <cfRule type="cellIs" dxfId="1436" priority="1353" operator="greaterThan">
      <formula>X9</formula>
    </cfRule>
    <cfRule type="cellIs" dxfId="1435" priority="1354" operator="lessThan">
      <formula>X9</formula>
    </cfRule>
  </conditionalFormatting>
  <conditionalFormatting sqref="Y10">
    <cfRule type="expression" dxfId="1434" priority="1345">
      <formula>X10="-"</formula>
    </cfRule>
    <cfRule type="cellIs" dxfId="1433" priority="1346" operator="equal">
      <formula>"-"</formula>
    </cfRule>
    <cfRule type="cellIs" dxfId="1432" priority="1347" operator="equal">
      <formula>X10</formula>
    </cfRule>
    <cfRule type="cellIs" dxfId="1431" priority="1348" operator="greaterThan">
      <formula>X10</formula>
    </cfRule>
    <cfRule type="cellIs" dxfId="1430" priority="1349" operator="lessThan">
      <formula>X10</formula>
    </cfRule>
  </conditionalFormatting>
  <conditionalFormatting sqref="Y11">
    <cfRule type="expression" dxfId="1429" priority="1340">
      <formula>X11="-"</formula>
    </cfRule>
    <cfRule type="cellIs" dxfId="1428" priority="1341" operator="equal">
      <formula>"-"</formula>
    </cfRule>
    <cfRule type="cellIs" dxfId="1427" priority="1342" operator="equal">
      <formula>X11</formula>
    </cfRule>
    <cfRule type="cellIs" dxfId="1426" priority="1343" operator="greaterThan">
      <formula>X11</formula>
    </cfRule>
    <cfRule type="cellIs" dxfId="1425" priority="1344" operator="lessThan">
      <formula>X11</formula>
    </cfRule>
  </conditionalFormatting>
  <conditionalFormatting sqref="Y12">
    <cfRule type="expression" dxfId="1424" priority="1335">
      <formula>X12="-"</formula>
    </cfRule>
    <cfRule type="cellIs" dxfId="1423" priority="1336" operator="equal">
      <formula>"-"</formula>
    </cfRule>
    <cfRule type="cellIs" dxfId="1422" priority="1337" operator="equal">
      <formula>X12</formula>
    </cfRule>
    <cfRule type="cellIs" dxfId="1421" priority="1338" operator="greaterThan">
      <formula>X12</formula>
    </cfRule>
    <cfRule type="cellIs" dxfId="1420" priority="1339" operator="lessThan">
      <formula>X12</formula>
    </cfRule>
  </conditionalFormatting>
  <conditionalFormatting sqref="Y13">
    <cfRule type="expression" dxfId="1419" priority="1330">
      <formula>X13="-"</formula>
    </cfRule>
    <cfRule type="cellIs" dxfId="1418" priority="1331" operator="equal">
      <formula>"-"</formula>
    </cfRule>
    <cfRule type="cellIs" dxfId="1417" priority="1332" operator="equal">
      <formula>X13</formula>
    </cfRule>
    <cfRule type="cellIs" dxfId="1416" priority="1333" operator="greaterThan">
      <formula>X13</formula>
    </cfRule>
    <cfRule type="cellIs" dxfId="1415" priority="1334" operator="lessThan">
      <formula>X13</formula>
    </cfRule>
  </conditionalFormatting>
  <conditionalFormatting sqref="Y14">
    <cfRule type="expression" dxfId="1414" priority="1325">
      <formula>X14="-"</formula>
    </cfRule>
    <cfRule type="cellIs" dxfId="1413" priority="1326" operator="equal">
      <formula>"-"</formula>
    </cfRule>
    <cfRule type="cellIs" dxfId="1412" priority="1327" operator="equal">
      <formula>X14</formula>
    </cfRule>
    <cfRule type="cellIs" dxfId="1411" priority="1328" operator="greaterThan">
      <formula>X14</formula>
    </cfRule>
    <cfRule type="cellIs" dxfId="1410" priority="1329" operator="lessThan">
      <formula>X14</formula>
    </cfRule>
  </conditionalFormatting>
  <conditionalFormatting sqref="Y15">
    <cfRule type="expression" dxfId="1409" priority="1320">
      <formula>X15="-"</formula>
    </cfRule>
    <cfRule type="cellIs" dxfId="1408" priority="1321" operator="equal">
      <formula>"-"</formula>
    </cfRule>
    <cfRule type="cellIs" dxfId="1407" priority="1322" operator="equal">
      <formula>X15</formula>
    </cfRule>
    <cfRule type="cellIs" dxfId="1406" priority="1323" operator="greaterThan">
      <formula>X15</formula>
    </cfRule>
    <cfRule type="cellIs" dxfId="1405" priority="1324" operator="lessThan">
      <formula>X15</formula>
    </cfRule>
  </conditionalFormatting>
  <conditionalFormatting sqref="Y16">
    <cfRule type="expression" dxfId="1404" priority="1315">
      <formula>X16="-"</formula>
    </cfRule>
    <cfRule type="cellIs" dxfId="1403" priority="1316" operator="equal">
      <formula>"-"</formula>
    </cfRule>
    <cfRule type="cellIs" dxfId="1402" priority="1317" operator="equal">
      <formula>X16</formula>
    </cfRule>
    <cfRule type="cellIs" dxfId="1401" priority="1318" operator="greaterThan">
      <formula>X16</formula>
    </cfRule>
    <cfRule type="cellIs" dxfId="1400" priority="1319" operator="lessThan">
      <formula>X16</formula>
    </cfRule>
  </conditionalFormatting>
  <conditionalFormatting sqref="Y17">
    <cfRule type="expression" dxfId="1399" priority="1310">
      <formula>X17="-"</formula>
    </cfRule>
    <cfRule type="cellIs" dxfId="1398" priority="1311" operator="equal">
      <formula>"-"</formula>
    </cfRule>
    <cfRule type="cellIs" dxfId="1397" priority="1312" operator="equal">
      <formula>X17</formula>
    </cfRule>
    <cfRule type="cellIs" dxfId="1396" priority="1313" operator="greaterThan">
      <formula>X17</formula>
    </cfRule>
    <cfRule type="cellIs" dxfId="1395" priority="1314" operator="lessThan">
      <formula>X17</formula>
    </cfRule>
  </conditionalFormatting>
  <conditionalFormatting sqref="Y18">
    <cfRule type="expression" dxfId="1394" priority="1305">
      <formula>X18="-"</formula>
    </cfRule>
    <cfRule type="cellIs" dxfId="1393" priority="1306" operator="equal">
      <formula>"-"</formula>
    </cfRule>
    <cfRule type="cellIs" dxfId="1392" priority="1307" operator="equal">
      <formula>X18</formula>
    </cfRule>
    <cfRule type="cellIs" dxfId="1391" priority="1308" operator="greaterThan">
      <formula>X18</formula>
    </cfRule>
    <cfRule type="cellIs" dxfId="1390" priority="1309" operator="lessThan">
      <formula>X18</formula>
    </cfRule>
  </conditionalFormatting>
  <conditionalFormatting sqref="Y19">
    <cfRule type="expression" dxfId="1389" priority="1300">
      <formula>X19="-"</formula>
    </cfRule>
    <cfRule type="cellIs" dxfId="1388" priority="1301" operator="equal">
      <formula>"-"</formula>
    </cfRule>
    <cfRule type="cellIs" dxfId="1387" priority="1302" operator="equal">
      <formula>X19</formula>
    </cfRule>
    <cfRule type="cellIs" dxfId="1386" priority="1303" operator="greaterThan">
      <formula>X19</formula>
    </cfRule>
    <cfRule type="cellIs" dxfId="1385" priority="1304" operator="lessThan">
      <formula>X19</formula>
    </cfRule>
  </conditionalFormatting>
  <conditionalFormatting sqref="Y20">
    <cfRule type="expression" dxfId="1384" priority="1295">
      <formula>X20="-"</formula>
    </cfRule>
    <cfRule type="cellIs" dxfId="1383" priority="1296" operator="equal">
      <formula>"-"</formula>
    </cfRule>
    <cfRule type="cellIs" dxfId="1382" priority="1297" operator="equal">
      <formula>X20</formula>
    </cfRule>
    <cfRule type="cellIs" dxfId="1381" priority="1298" operator="greaterThan">
      <formula>X20</formula>
    </cfRule>
    <cfRule type="cellIs" dxfId="1380" priority="1299" operator="lessThan">
      <formula>X20</formula>
    </cfRule>
  </conditionalFormatting>
  <conditionalFormatting sqref="Y21">
    <cfRule type="expression" dxfId="1379" priority="1290">
      <formula>X21="-"</formula>
    </cfRule>
    <cfRule type="cellIs" dxfId="1378" priority="1291" operator="equal">
      <formula>"-"</formula>
    </cfRule>
    <cfRule type="cellIs" dxfId="1377" priority="1292" operator="equal">
      <formula>X21</formula>
    </cfRule>
    <cfRule type="cellIs" dxfId="1376" priority="1293" operator="greaterThan">
      <formula>X21</formula>
    </cfRule>
    <cfRule type="cellIs" dxfId="1375" priority="1294" operator="lessThan">
      <formula>X21</formula>
    </cfRule>
  </conditionalFormatting>
  <conditionalFormatting sqref="Y22">
    <cfRule type="expression" dxfId="1374" priority="1285">
      <formula>X22="-"</formula>
    </cfRule>
    <cfRule type="cellIs" dxfId="1373" priority="1286" operator="equal">
      <formula>"-"</formula>
    </cfRule>
    <cfRule type="cellIs" dxfId="1372" priority="1287" operator="equal">
      <formula>X22</formula>
    </cfRule>
    <cfRule type="cellIs" dxfId="1371" priority="1288" operator="greaterThan">
      <formula>X22</formula>
    </cfRule>
    <cfRule type="cellIs" dxfId="1370" priority="1289" operator="lessThan">
      <formula>X22</formula>
    </cfRule>
  </conditionalFormatting>
  <conditionalFormatting sqref="Y23">
    <cfRule type="expression" dxfId="1369" priority="1280">
      <formula>X23="-"</formula>
    </cfRule>
    <cfRule type="cellIs" dxfId="1368" priority="1281" operator="equal">
      <formula>"-"</formula>
    </cfRule>
    <cfRule type="cellIs" dxfId="1367" priority="1282" operator="equal">
      <formula>X23</formula>
    </cfRule>
    <cfRule type="cellIs" dxfId="1366" priority="1283" operator="greaterThan">
      <formula>X23</formula>
    </cfRule>
    <cfRule type="cellIs" dxfId="1365" priority="1284" operator="lessThan">
      <formula>X23</formula>
    </cfRule>
  </conditionalFormatting>
  <conditionalFormatting sqref="Y24">
    <cfRule type="expression" dxfId="1364" priority="1275">
      <formula>X24="-"</formula>
    </cfRule>
    <cfRule type="cellIs" dxfId="1363" priority="1276" operator="equal">
      <formula>"-"</formula>
    </cfRule>
    <cfRule type="cellIs" dxfId="1362" priority="1277" operator="equal">
      <formula>X24</formula>
    </cfRule>
    <cfRule type="cellIs" dxfId="1361" priority="1278" operator="greaterThan">
      <formula>X24</formula>
    </cfRule>
    <cfRule type="cellIs" dxfId="1360" priority="1279" operator="lessThan">
      <formula>X24</formula>
    </cfRule>
  </conditionalFormatting>
  <conditionalFormatting sqref="Y25">
    <cfRule type="expression" dxfId="1359" priority="1270">
      <formula>X25="-"</formula>
    </cfRule>
    <cfRule type="cellIs" dxfId="1358" priority="1271" operator="equal">
      <formula>"-"</formula>
    </cfRule>
    <cfRule type="cellIs" dxfId="1357" priority="1272" operator="equal">
      <formula>X25</formula>
    </cfRule>
    <cfRule type="cellIs" dxfId="1356" priority="1273" operator="greaterThan">
      <formula>X25</formula>
    </cfRule>
    <cfRule type="cellIs" dxfId="1355" priority="1274" operator="lessThan">
      <formula>X25</formula>
    </cfRule>
  </conditionalFormatting>
  <conditionalFormatting sqref="Y26">
    <cfRule type="expression" dxfId="1354" priority="1265">
      <formula>X26="-"</formula>
    </cfRule>
    <cfRule type="cellIs" dxfId="1353" priority="1266" operator="equal">
      <formula>"-"</formula>
    </cfRule>
    <cfRule type="cellIs" dxfId="1352" priority="1267" operator="equal">
      <formula>X26</formula>
    </cfRule>
    <cfRule type="cellIs" dxfId="1351" priority="1268" operator="greaterThan">
      <formula>X26</formula>
    </cfRule>
    <cfRule type="cellIs" dxfId="1350" priority="1269" operator="lessThan">
      <formula>X26</formula>
    </cfRule>
  </conditionalFormatting>
  <conditionalFormatting sqref="Y27">
    <cfRule type="expression" dxfId="1349" priority="1260">
      <formula>X27="-"</formula>
    </cfRule>
    <cfRule type="cellIs" dxfId="1348" priority="1261" operator="equal">
      <formula>"-"</formula>
    </cfRule>
    <cfRule type="cellIs" dxfId="1347" priority="1262" operator="equal">
      <formula>X27</formula>
    </cfRule>
    <cfRule type="cellIs" dxfId="1346" priority="1263" operator="greaterThan">
      <formula>X27</formula>
    </cfRule>
    <cfRule type="cellIs" dxfId="1345" priority="1264" operator="lessThan">
      <formula>X27</formula>
    </cfRule>
  </conditionalFormatting>
  <conditionalFormatting sqref="Y28">
    <cfRule type="expression" dxfId="1344" priority="1255">
      <formula>X28="-"</formula>
    </cfRule>
    <cfRule type="cellIs" dxfId="1343" priority="1256" operator="equal">
      <formula>"-"</formula>
    </cfRule>
    <cfRule type="cellIs" dxfId="1342" priority="1257" operator="equal">
      <formula>X28</formula>
    </cfRule>
    <cfRule type="cellIs" dxfId="1341" priority="1258" operator="greaterThan">
      <formula>X28</formula>
    </cfRule>
    <cfRule type="cellIs" dxfId="1340" priority="1259" operator="lessThan">
      <formula>X28</formula>
    </cfRule>
  </conditionalFormatting>
  <conditionalFormatting sqref="Z4">
    <cfRule type="expression" dxfId="1339" priority="1250">
      <formula>Y4="-"</formula>
    </cfRule>
    <cfRule type="cellIs" dxfId="1338" priority="1251" operator="equal">
      <formula>"-"</formula>
    </cfRule>
    <cfRule type="cellIs" dxfId="1337" priority="1252" operator="equal">
      <formula>Y4</formula>
    </cfRule>
    <cfRule type="cellIs" dxfId="1336" priority="1253" operator="greaterThan">
      <formula>Y4</formula>
    </cfRule>
    <cfRule type="cellIs" dxfId="1335" priority="1254" operator="lessThan">
      <formula>Y4</formula>
    </cfRule>
  </conditionalFormatting>
  <conditionalFormatting sqref="Z5">
    <cfRule type="expression" dxfId="1334" priority="1245">
      <formula>Y5="-"</formula>
    </cfRule>
    <cfRule type="cellIs" dxfId="1333" priority="1246" operator="equal">
      <formula>"-"</formula>
    </cfRule>
    <cfRule type="cellIs" dxfId="1332" priority="1247" operator="equal">
      <formula>Y5</formula>
    </cfRule>
    <cfRule type="cellIs" dxfId="1331" priority="1248" operator="greaterThan">
      <formula>Y5</formula>
    </cfRule>
    <cfRule type="cellIs" dxfId="1330" priority="1249" operator="lessThan">
      <formula>Y5</formula>
    </cfRule>
  </conditionalFormatting>
  <conditionalFormatting sqref="Z6">
    <cfRule type="expression" dxfId="1329" priority="1240">
      <formula>Y6="-"</formula>
    </cfRule>
    <cfRule type="cellIs" dxfId="1328" priority="1241" operator="equal">
      <formula>"-"</formula>
    </cfRule>
    <cfRule type="cellIs" dxfId="1327" priority="1242" operator="equal">
      <formula>Y6</formula>
    </cfRule>
    <cfRule type="cellIs" dxfId="1326" priority="1243" operator="greaterThan">
      <formula>Y6</formula>
    </cfRule>
    <cfRule type="cellIs" dxfId="1325" priority="1244" operator="lessThan">
      <formula>Y6</formula>
    </cfRule>
  </conditionalFormatting>
  <conditionalFormatting sqref="Z7">
    <cfRule type="expression" dxfId="1324" priority="1235">
      <formula>Y7="-"</formula>
    </cfRule>
    <cfRule type="cellIs" dxfId="1323" priority="1236" operator="equal">
      <formula>"-"</formula>
    </cfRule>
    <cfRule type="cellIs" dxfId="1322" priority="1237" operator="equal">
      <formula>Y7</formula>
    </cfRule>
    <cfRule type="cellIs" dxfId="1321" priority="1238" operator="greaterThan">
      <formula>Y7</formula>
    </cfRule>
    <cfRule type="cellIs" dxfId="1320" priority="1239" operator="lessThan">
      <formula>Y7</formula>
    </cfRule>
  </conditionalFormatting>
  <conditionalFormatting sqref="Z8">
    <cfRule type="expression" dxfId="1319" priority="1230">
      <formula>Y8="-"</formula>
    </cfRule>
    <cfRule type="cellIs" dxfId="1318" priority="1231" operator="equal">
      <formula>"-"</formula>
    </cfRule>
    <cfRule type="cellIs" dxfId="1317" priority="1232" operator="equal">
      <formula>Y8</formula>
    </cfRule>
    <cfRule type="cellIs" dxfId="1316" priority="1233" operator="greaterThan">
      <formula>Y8</formula>
    </cfRule>
    <cfRule type="cellIs" dxfId="1315" priority="1234" operator="lessThan">
      <formula>Y8</formula>
    </cfRule>
  </conditionalFormatting>
  <conditionalFormatting sqref="Z9">
    <cfRule type="expression" dxfId="1314" priority="1225">
      <formula>Y9="-"</formula>
    </cfRule>
    <cfRule type="cellIs" dxfId="1313" priority="1226" operator="equal">
      <formula>"-"</formula>
    </cfRule>
    <cfRule type="cellIs" dxfId="1312" priority="1227" operator="equal">
      <formula>Y9</formula>
    </cfRule>
    <cfRule type="cellIs" dxfId="1311" priority="1228" operator="greaterThan">
      <formula>Y9</formula>
    </cfRule>
    <cfRule type="cellIs" dxfId="1310" priority="1229" operator="lessThan">
      <formula>Y9</formula>
    </cfRule>
  </conditionalFormatting>
  <conditionalFormatting sqref="Z10">
    <cfRule type="expression" dxfId="1309" priority="1220">
      <formula>Y10="-"</formula>
    </cfRule>
    <cfRule type="cellIs" dxfId="1308" priority="1221" operator="equal">
      <formula>"-"</formula>
    </cfRule>
    <cfRule type="cellIs" dxfId="1307" priority="1222" operator="equal">
      <formula>Y10</formula>
    </cfRule>
    <cfRule type="cellIs" dxfId="1306" priority="1223" operator="greaterThan">
      <formula>Y10</formula>
    </cfRule>
    <cfRule type="cellIs" dxfId="1305" priority="1224" operator="lessThan">
      <formula>Y10</formula>
    </cfRule>
  </conditionalFormatting>
  <conditionalFormatting sqref="Z11">
    <cfRule type="expression" dxfId="1304" priority="1215">
      <formula>Y11="-"</formula>
    </cfRule>
    <cfRule type="cellIs" dxfId="1303" priority="1216" operator="equal">
      <formula>"-"</formula>
    </cfRule>
    <cfRule type="cellIs" dxfId="1302" priority="1217" operator="equal">
      <formula>Y11</formula>
    </cfRule>
    <cfRule type="cellIs" dxfId="1301" priority="1218" operator="greaterThan">
      <formula>Y11</formula>
    </cfRule>
    <cfRule type="cellIs" dxfId="1300" priority="1219" operator="lessThan">
      <formula>Y11</formula>
    </cfRule>
  </conditionalFormatting>
  <conditionalFormatting sqref="Z12">
    <cfRule type="expression" dxfId="1299" priority="1210">
      <formula>Y12="-"</formula>
    </cfRule>
    <cfRule type="cellIs" dxfId="1298" priority="1211" operator="equal">
      <formula>"-"</formula>
    </cfRule>
    <cfRule type="cellIs" dxfId="1297" priority="1212" operator="equal">
      <formula>Y12</formula>
    </cfRule>
    <cfRule type="cellIs" dxfId="1296" priority="1213" operator="greaterThan">
      <formula>Y12</formula>
    </cfRule>
    <cfRule type="cellIs" dxfId="1295" priority="1214" operator="lessThan">
      <formula>Y12</formula>
    </cfRule>
  </conditionalFormatting>
  <conditionalFormatting sqref="Z13">
    <cfRule type="expression" dxfId="1294" priority="1205">
      <formula>Y13="-"</formula>
    </cfRule>
    <cfRule type="cellIs" dxfId="1293" priority="1206" operator="equal">
      <formula>"-"</formula>
    </cfRule>
    <cfRule type="cellIs" dxfId="1292" priority="1207" operator="equal">
      <formula>Y13</formula>
    </cfRule>
    <cfRule type="cellIs" dxfId="1291" priority="1208" operator="greaterThan">
      <formula>Y13</formula>
    </cfRule>
    <cfRule type="cellIs" dxfId="1290" priority="1209" operator="lessThan">
      <formula>Y13</formula>
    </cfRule>
  </conditionalFormatting>
  <conditionalFormatting sqref="Z14">
    <cfRule type="expression" dxfId="1289" priority="1200">
      <formula>Y14="-"</formula>
    </cfRule>
    <cfRule type="cellIs" dxfId="1288" priority="1201" operator="equal">
      <formula>"-"</formula>
    </cfRule>
    <cfRule type="cellIs" dxfId="1287" priority="1202" operator="equal">
      <formula>Y14</formula>
    </cfRule>
    <cfRule type="cellIs" dxfId="1286" priority="1203" operator="greaterThan">
      <formula>Y14</formula>
    </cfRule>
    <cfRule type="cellIs" dxfId="1285" priority="1204" operator="lessThan">
      <formula>Y14</formula>
    </cfRule>
  </conditionalFormatting>
  <conditionalFormatting sqref="Z15">
    <cfRule type="expression" dxfId="1284" priority="1195">
      <formula>Y15="-"</formula>
    </cfRule>
    <cfRule type="cellIs" dxfId="1283" priority="1196" operator="equal">
      <formula>"-"</formula>
    </cfRule>
    <cfRule type="cellIs" dxfId="1282" priority="1197" operator="equal">
      <formula>Y15</formula>
    </cfRule>
    <cfRule type="cellIs" dxfId="1281" priority="1198" operator="greaterThan">
      <formula>Y15</formula>
    </cfRule>
    <cfRule type="cellIs" dxfId="1280" priority="1199" operator="lessThan">
      <formula>Y15</formula>
    </cfRule>
  </conditionalFormatting>
  <conditionalFormatting sqref="Z16">
    <cfRule type="expression" dxfId="1279" priority="1190">
      <formula>Y16="-"</formula>
    </cfRule>
    <cfRule type="cellIs" dxfId="1278" priority="1191" operator="equal">
      <formula>"-"</formula>
    </cfRule>
    <cfRule type="cellIs" dxfId="1277" priority="1192" operator="equal">
      <formula>Y16</formula>
    </cfRule>
    <cfRule type="cellIs" dxfId="1276" priority="1193" operator="greaterThan">
      <formula>Y16</formula>
    </cfRule>
    <cfRule type="cellIs" dxfId="1275" priority="1194" operator="lessThan">
      <formula>Y16</formula>
    </cfRule>
  </conditionalFormatting>
  <conditionalFormatting sqref="Z17">
    <cfRule type="expression" dxfId="1274" priority="1185">
      <formula>Y17="-"</formula>
    </cfRule>
    <cfRule type="cellIs" dxfId="1273" priority="1186" operator="equal">
      <formula>"-"</formula>
    </cfRule>
    <cfRule type="cellIs" dxfId="1272" priority="1187" operator="equal">
      <formula>Y17</formula>
    </cfRule>
    <cfRule type="cellIs" dxfId="1271" priority="1188" operator="greaterThan">
      <formula>Y17</formula>
    </cfRule>
    <cfRule type="cellIs" dxfId="1270" priority="1189" operator="lessThan">
      <formula>Y17</formula>
    </cfRule>
  </conditionalFormatting>
  <conditionalFormatting sqref="Z18">
    <cfRule type="expression" dxfId="1269" priority="1180">
      <formula>Y18="-"</formula>
    </cfRule>
    <cfRule type="cellIs" dxfId="1268" priority="1181" operator="equal">
      <formula>"-"</formula>
    </cfRule>
    <cfRule type="cellIs" dxfId="1267" priority="1182" operator="equal">
      <formula>Y18</formula>
    </cfRule>
    <cfRule type="cellIs" dxfId="1266" priority="1183" operator="greaterThan">
      <formula>Y18</formula>
    </cfRule>
    <cfRule type="cellIs" dxfId="1265" priority="1184" operator="lessThan">
      <formula>Y18</formula>
    </cfRule>
  </conditionalFormatting>
  <conditionalFormatting sqref="Z19">
    <cfRule type="expression" dxfId="1264" priority="1175">
      <formula>Y19="-"</formula>
    </cfRule>
    <cfRule type="cellIs" dxfId="1263" priority="1176" operator="equal">
      <formula>"-"</formula>
    </cfRule>
    <cfRule type="cellIs" dxfId="1262" priority="1177" operator="equal">
      <formula>Y19</formula>
    </cfRule>
    <cfRule type="cellIs" dxfId="1261" priority="1178" operator="greaterThan">
      <formula>Y19</formula>
    </cfRule>
    <cfRule type="cellIs" dxfId="1260" priority="1179" operator="lessThan">
      <formula>Y19</formula>
    </cfRule>
  </conditionalFormatting>
  <conditionalFormatting sqref="Z20">
    <cfRule type="expression" dxfId="1259" priority="1170">
      <formula>Y20="-"</formula>
    </cfRule>
    <cfRule type="cellIs" dxfId="1258" priority="1171" operator="equal">
      <formula>"-"</formula>
    </cfRule>
    <cfRule type="cellIs" dxfId="1257" priority="1172" operator="equal">
      <formula>Y20</formula>
    </cfRule>
    <cfRule type="cellIs" dxfId="1256" priority="1173" operator="greaterThan">
      <formula>Y20</formula>
    </cfRule>
    <cfRule type="cellIs" dxfId="1255" priority="1174" operator="lessThan">
      <formula>Y20</formula>
    </cfRule>
  </conditionalFormatting>
  <conditionalFormatting sqref="Z21">
    <cfRule type="expression" dxfId="1254" priority="1165">
      <formula>Y21="-"</formula>
    </cfRule>
    <cfRule type="cellIs" dxfId="1253" priority="1166" operator="equal">
      <formula>"-"</formula>
    </cfRule>
    <cfRule type="cellIs" dxfId="1252" priority="1167" operator="equal">
      <formula>Y21</formula>
    </cfRule>
    <cfRule type="cellIs" dxfId="1251" priority="1168" operator="greaterThan">
      <formula>Y21</formula>
    </cfRule>
    <cfRule type="cellIs" dxfId="1250" priority="1169" operator="lessThan">
      <formula>Y21</formula>
    </cfRule>
  </conditionalFormatting>
  <conditionalFormatting sqref="Z22">
    <cfRule type="expression" dxfId="1249" priority="1160">
      <formula>Y22="-"</formula>
    </cfRule>
    <cfRule type="cellIs" dxfId="1248" priority="1161" operator="equal">
      <formula>"-"</formula>
    </cfRule>
    <cfRule type="cellIs" dxfId="1247" priority="1162" operator="equal">
      <formula>Y22</formula>
    </cfRule>
    <cfRule type="cellIs" dxfId="1246" priority="1163" operator="greaterThan">
      <formula>Y22</formula>
    </cfRule>
    <cfRule type="cellIs" dxfId="1245" priority="1164" operator="lessThan">
      <formula>Y22</formula>
    </cfRule>
  </conditionalFormatting>
  <conditionalFormatting sqref="Z23">
    <cfRule type="expression" dxfId="1244" priority="1155">
      <formula>Y23="-"</formula>
    </cfRule>
    <cfRule type="cellIs" dxfId="1243" priority="1156" operator="equal">
      <formula>"-"</formula>
    </cfRule>
    <cfRule type="cellIs" dxfId="1242" priority="1157" operator="equal">
      <formula>Y23</formula>
    </cfRule>
    <cfRule type="cellIs" dxfId="1241" priority="1158" operator="greaterThan">
      <formula>Y23</formula>
    </cfRule>
    <cfRule type="cellIs" dxfId="1240" priority="1159" operator="lessThan">
      <formula>Y23</formula>
    </cfRule>
  </conditionalFormatting>
  <conditionalFormatting sqref="Z24">
    <cfRule type="expression" dxfId="1239" priority="1150">
      <formula>Y24="-"</formula>
    </cfRule>
    <cfRule type="cellIs" dxfId="1238" priority="1151" operator="equal">
      <formula>"-"</formula>
    </cfRule>
    <cfRule type="cellIs" dxfId="1237" priority="1152" operator="equal">
      <formula>Y24</formula>
    </cfRule>
    <cfRule type="cellIs" dxfId="1236" priority="1153" operator="greaterThan">
      <formula>Y24</formula>
    </cfRule>
    <cfRule type="cellIs" dxfId="1235" priority="1154" operator="lessThan">
      <formula>Y24</formula>
    </cfRule>
  </conditionalFormatting>
  <conditionalFormatting sqref="Z25">
    <cfRule type="expression" dxfId="1234" priority="1145">
      <formula>Y25="-"</formula>
    </cfRule>
    <cfRule type="cellIs" dxfId="1233" priority="1146" operator="equal">
      <formula>"-"</formula>
    </cfRule>
    <cfRule type="cellIs" dxfId="1232" priority="1147" operator="equal">
      <formula>Y25</formula>
    </cfRule>
    <cfRule type="cellIs" dxfId="1231" priority="1148" operator="greaterThan">
      <formula>Y25</formula>
    </cfRule>
    <cfRule type="cellIs" dxfId="1230" priority="1149" operator="lessThan">
      <formula>Y25</formula>
    </cfRule>
  </conditionalFormatting>
  <conditionalFormatting sqref="Z26">
    <cfRule type="expression" dxfId="1229" priority="1140">
      <formula>Y26="-"</formula>
    </cfRule>
    <cfRule type="cellIs" dxfId="1228" priority="1141" operator="equal">
      <formula>"-"</formula>
    </cfRule>
    <cfRule type="cellIs" dxfId="1227" priority="1142" operator="equal">
      <formula>Y26</formula>
    </cfRule>
    <cfRule type="cellIs" dxfId="1226" priority="1143" operator="greaterThan">
      <formula>Y26</formula>
    </cfRule>
    <cfRule type="cellIs" dxfId="1225" priority="1144" operator="lessThan">
      <formula>Y26</formula>
    </cfRule>
  </conditionalFormatting>
  <conditionalFormatting sqref="Z27">
    <cfRule type="expression" dxfId="1224" priority="1135">
      <formula>Y27="-"</formula>
    </cfRule>
    <cfRule type="cellIs" dxfId="1223" priority="1136" operator="equal">
      <formula>"-"</formula>
    </cfRule>
    <cfRule type="cellIs" dxfId="1222" priority="1137" operator="equal">
      <formula>Y27</formula>
    </cfRule>
    <cfRule type="cellIs" dxfId="1221" priority="1138" operator="greaterThan">
      <formula>Y27</formula>
    </cfRule>
    <cfRule type="cellIs" dxfId="1220" priority="1139" operator="lessThan">
      <formula>Y27</formula>
    </cfRule>
  </conditionalFormatting>
  <conditionalFormatting sqref="Z28">
    <cfRule type="expression" dxfId="1219" priority="1130">
      <formula>Y28="-"</formula>
    </cfRule>
    <cfRule type="cellIs" dxfId="1218" priority="1131" operator="equal">
      <formula>"-"</formula>
    </cfRule>
    <cfRule type="cellIs" dxfId="1217" priority="1132" operator="equal">
      <formula>Y28</formula>
    </cfRule>
    <cfRule type="cellIs" dxfId="1216" priority="1133" operator="greaterThan">
      <formula>Y28</formula>
    </cfRule>
    <cfRule type="cellIs" dxfId="1215" priority="1134" operator="lessThan">
      <formula>Y28</formula>
    </cfRule>
  </conditionalFormatting>
  <conditionalFormatting sqref="AC4">
    <cfRule type="cellIs" dxfId="1214" priority="2127" operator="equal">
      <formula>"-"</formula>
    </cfRule>
    <cfRule type="cellIs" dxfId="1213" priority="2128" operator="equal">
      <formula>0</formula>
    </cfRule>
    <cfRule type="cellIs" dxfId="1212" priority="2129" operator="greaterThan">
      <formula>0</formula>
    </cfRule>
    <cfRule type="cellIs" dxfId="1211" priority="2130" operator="lessThan">
      <formula>0</formula>
    </cfRule>
  </conditionalFormatting>
  <conditionalFormatting sqref="AC5">
    <cfRule type="cellIs" dxfId="1210" priority="1126" operator="equal">
      <formula>"-"</formula>
    </cfRule>
    <cfRule type="cellIs" dxfId="1209" priority="1127" operator="equal">
      <formula>0</formula>
    </cfRule>
    <cfRule type="cellIs" dxfId="1208" priority="1128" operator="greaterThan">
      <formula>0</formula>
    </cfRule>
    <cfRule type="cellIs" dxfId="1207" priority="1129" operator="lessThan">
      <formula>0</formula>
    </cfRule>
  </conditionalFormatting>
  <conditionalFormatting sqref="AC6">
    <cfRule type="cellIs" dxfId="1206" priority="1122" operator="equal">
      <formula>"-"</formula>
    </cfRule>
    <cfRule type="cellIs" dxfId="1205" priority="1123" operator="equal">
      <formula>0</formula>
    </cfRule>
    <cfRule type="cellIs" dxfId="1204" priority="1124" operator="greaterThan">
      <formula>0</formula>
    </cfRule>
    <cfRule type="cellIs" dxfId="1203" priority="1125" operator="lessThan">
      <formula>0</formula>
    </cfRule>
  </conditionalFormatting>
  <conditionalFormatting sqref="AC7">
    <cfRule type="cellIs" dxfId="1202" priority="1118" operator="equal">
      <formula>"-"</formula>
    </cfRule>
    <cfRule type="cellIs" dxfId="1201" priority="1119" operator="equal">
      <formula>0</formula>
    </cfRule>
    <cfRule type="cellIs" dxfId="1200" priority="1120" operator="greaterThan">
      <formula>0</formula>
    </cfRule>
    <cfRule type="cellIs" dxfId="1199" priority="1121" operator="lessThan">
      <formula>0</formula>
    </cfRule>
  </conditionalFormatting>
  <conditionalFormatting sqref="AC8">
    <cfRule type="cellIs" dxfId="1198" priority="1114" operator="equal">
      <formula>"-"</formula>
    </cfRule>
    <cfRule type="cellIs" dxfId="1197" priority="1115" operator="equal">
      <formula>0</formula>
    </cfRule>
    <cfRule type="cellIs" dxfId="1196" priority="1116" operator="greaterThan">
      <formula>0</formula>
    </cfRule>
    <cfRule type="cellIs" dxfId="1195" priority="1117" operator="lessThan">
      <formula>0</formula>
    </cfRule>
  </conditionalFormatting>
  <conditionalFormatting sqref="AC9">
    <cfRule type="cellIs" dxfId="1194" priority="1110" operator="equal">
      <formula>"-"</formula>
    </cfRule>
    <cfRule type="cellIs" dxfId="1193" priority="1111" operator="equal">
      <formula>0</formula>
    </cfRule>
    <cfRule type="cellIs" dxfId="1192" priority="1112" operator="greaterThan">
      <formula>0</formula>
    </cfRule>
    <cfRule type="cellIs" dxfId="1191" priority="1113" operator="lessThan">
      <formula>0</formula>
    </cfRule>
  </conditionalFormatting>
  <conditionalFormatting sqref="AC10">
    <cfRule type="cellIs" dxfId="1190" priority="1106" operator="equal">
      <formula>"-"</formula>
    </cfRule>
    <cfRule type="cellIs" dxfId="1189" priority="1107" operator="equal">
      <formula>0</formula>
    </cfRule>
    <cfRule type="cellIs" dxfId="1188" priority="1108" operator="greaterThan">
      <formula>0</formula>
    </cfRule>
    <cfRule type="cellIs" dxfId="1187" priority="1109" operator="lessThan">
      <formula>0</formula>
    </cfRule>
  </conditionalFormatting>
  <conditionalFormatting sqref="AC11">
    <cfRule type="cellIs" dxfId="1186" priority="1102" operator="equal">
      <formula>"-"</formula>
    </cfRule>
    <cfRule type="cellIs" dxfId="1185" priority="1103" operator="equal">
      <formula>0</formula>
    </cfRule>
    <cfRule type="cellIs" dxfId="1184" priority="1104" operator="greaterThan">
      <formula>0</formula>
    </cfRule>
    <cfRule type="cellIs" dxfId="1183" priority="1105" operator="lessThan">
      <formula>0</formula>
    </cfRule>
  </conditionalFormatting>
  <conditionalFormatting sqref="AC12">
    <cfRule type="cellIs" dxfId="1182" priority="1098" operator="equal">
      <formula>"-"</formula>
    </cfRule>
    <cfRule type="cellIs" dxfId="1181" priority="1099" operator="equal">
      <formula>0</formula>
    </cfRule>
    <cfRule type="cellIs" dxfId="1180" priority="1100" operator="greaterThan">
      <formula>0</formula>
    </cfRule>
    <cfRule type="cellIs" dxfId="1179" priority="1101" operator="lessThan">
      <formula>0</formula>
    </cfRule>
  </conditionalFormatting>
  <conditionalFormatting sqref="AC13">
    <cfRule type="cellIs" dxfId="1178" priority="1094" operator="equal">
      <formula>"-"</formula>
    </cfRule>
    <cfRule type="cellIs" dxfId="1177" priority="1095" operator="equal">
      <formula>0</formula>
    </cfRule>
    <cfRule type="cellIs" dxfId="1176" priority="1096" operator="greaterThan">
      <formula>0</formula>
    </cfRule>
    <cfRule type="cellIs" dxfId="1175" priority="1097" operator="lessThan">
      <formula>0</formula>
    </cfRule>
  </conditionalFormatting>
  <conditionalFormatting sqref="AC14">
    <cfRule type="cellIs" dxfId="1174" priority="1090" operator="equal">
      <formula>"-"</formula>
    </cfRule>
    <cfRule type="cellIs" dxfId="1173" priority="1091" operator="equal">
      <formula>0</formula>
    </cfRule>
    <cfRule type="cellIs" dxfId="1172" priority="1092" operator="greaterThan">
      <formula>0</formula>
    </cfRule>
    <cfRule type="cellIs" dxfId="1171" priority="1093" operator="lessThan">
      <formula>0</formula>
    </cfRule>
  </conditionalFormatting>
  <conditionalFormatting sqref="AC15">
    <cfRule type="cellIs" dxfId="1170" priority="1086" operator="equal">
      <formula>"-"</formula>
    </cfRule>
    <cfRule type="cellIs" dxfId="1169" priority="1087" operator="equal">
      <formula>0</formula>
    </cfRule>
    <cfRule type="cellIs" dxfId="1168" priority="1088" operator="greaterThan">
      <formula>0</formula>
    </cfRule>
    <cfRule type="cellIs" dxfId="1167" priority="1089" operator="lessThan">
      <formula>0</formula>
    </cfRule>
  </conditionalFormatting>
  <conditionalFormatting sqref="AC16">
    <cfRule type="cellIs" dxfId="1166" priority="1082" operator="equal">
      <formula>"-"</formula>
    </cfRule>
    <cfRule type="cellIs" dxfId="1165" priority="1083" operator="equal">
      <formula>0</formula>
    </cfRule>
    <cfRule type="cellIs" dxfId="1164" priority="1084" operator="greaterThan">
      <formula>0</formula>
    </cfRule>
    <cfRule type="cellIs" dxfId="1163" priority="1085" operator="lessThan">
      <formula>0</formula>
    </cfRule>
  </conditionalFormatting>
  <conditionalFormatting sqref="AC17">
    <cfRule type="cellIs" dxfId="1162" priority="1078" operator="equal">
      <formula>"-"</formula>
    </cfRule>
    <cfRule type="cellIs" dxfId="1161" priority="1079" operator="equal">
      <formula>0</formula>
    </cfRule>
    <cfRule type="cellIs" dxfId="1160" priority="1080" operator="greaterThan">
      <formula>0</formula>
    </cfRule>
    <cfRule type="cellIs" dxfId="1159" priority="1081" operator="lessThan">
      <formula>0</formula>
    </cfRule>
  </conditionalFormatting>
  <conditionalFormatting sqref="AC18">
    <cfRule type="cellIs" dxfId="1158" priority="1074" operator="equal">
      <formula>"-"</formula>
    </cfRule>
    <cfRule type="cellIs" dxfId="1157" priority="1075" operator="equal">
      <formula>0</formula>
    </cfRule>
    <cfRule type="cellIs" dxfId="1156" priority="1076" operator="greaterThan">
      <formula>0</formula>
    </cfRule>
    <cfRule type="cellIs" dxfId="1155" priority="1077" operator="lessThan">
      <formula>0</formula>
    </cfRule>
  </conditionalFormatting>
  <conditionalFormatting sqref="AC19">
    <cfRule type="cellIs" dxfId="1154" priority="1070" operator="equal">
      <formula>"-"</formula>
    </cfRule>
    <cfRule type="cellIs" dxfId="1153" priority="1071" operator="equal">
      <formula>0</formula>
    </cfRule>
    <cfRule type="cellIs" dxfId="1152" priority="1072" operator="greaterThan">
      <formula>0</formula>
    </cfRule>
    <cfRule type="cellIs" dxfId="1151" priority="1073" operator="lessThan">
      <formula>0</formula>
    </cfRule>
  </conditionalFormatting>
  <conditionalFormatting sqref="AC20">
    <cfRule type="cellIs" dxfId="1150" priority="1066" operator="equal">
      <formula>"-"</formula>
    </cfRule>
    <cfRule type="cellIs" dxfId="1149" priority="1067" operator="equal">
      <formula>0</formula>
    </cfRule>
    <cfRule type="cellIs" dxfId="1148" priority="1068" operator="greaterThan">
      <formula>0</formula>
    </cfRule>
    <cfRule type="cellIs" dxfId="1147" priority="1069" operator="lessThan">
      <formula>0</formula>
    </cfRule>
  </conditionalFormatting>
  <conditionalFormatting sqref="AC21">
    <cfRule type="cellIs" dxfId="1146" priority="1062" operator="equal">
      <formula>"-"</formula>
    </cfRule>
    <cfRule type="cellIs" dxfId="1145" priority="1063" operator="equal">
      <formula>0</formula>
    </cfRule>
    <cfRule type="cellIs" dxfId="1144" priority="1064" operator="greaterThan">
      <formula>0</formula>
    </cfRule>
    <cfRule type="cellIs" dxfId="1143" priority="1065" operator="lessThan">
      <formula>0</formula>
    </cfRule>
  </conditionalFormatting>
  <conditionalFormatting sqref="AC22">
    <cfRule type="cellIs" dxfId="1142" priority="1058" operator="equal">
      <formula>"-"</formula>
    </cfRule>
    <cfRule type="cellIs" dxfId="1141" priority="1059" operator="equal">
      <formula>0</formula>
    </cfRule>
    <cfRule type="cellIs" dxfId="1140" priority="1060" operator="greaterThan">
      <formula>0</formula>
    </cfRule>
    <cfRule type="cellIs" dxfId="1139" priority="1061" operator="lessThan">
      <formula>0</formula>
    </cfRule>
  </conditionalFormatting>
  <conditionalFormatting sqref="AC23">
    <cfRule type="cellIs" dxfId="1138" priority="1054" operator="equal">
      <formula>"-"</formula>
    </cfRule>
    <cfRule type="cellIs" dxfId="1137" priority="1055" operator="equal">
      <formula>0</formula>
    </cfRule>
    <cfRule type="cellIs" dxfId="1136" priority="1056" operator="greaterThan">
      <formula>0</formula>
    </cfRule>
    <cfRule type="cellIs" dxfId="1135" priority="1057" operator="lessThan">
      <formula>0</formula>
    </cfRule>
  </conditionalFormatting>
  <conditionalFormatting sqref="AC24">
    <cfRule type="cellIs" dxfId="1134" priority="1050" operator="equal">
      <formula>"-"</formula>
    </cfRule>
    <cfRule type="cellIs" dxfId="1133" priority="1051" operator="equal">
      <formula>0</formula>
    </cfRule>
    <cfRule type="cellIs" dxfId="1132" priority="1052" operator="greaterThan">
      <formula>0</formula>
    </cfRule>
    <cfRule type="cellIs" dxfId="1131" priority="1053" operator="lessThan">
      <formula>0</formula>
    </cfRule>
  </conditionalFormatting>
  <conditionalFormatting sqref="AC25">
    <cfRule type="cellIs" dxfId="1130" priority="1046" operator="equal">
      <formula>"-"</formula>
    </cfRule>
    <cfRule type="cellIs" dxfId="1129" priority="1047" operator="equal">
      <formula>0</formula>
    </cfRule>
    <cfRule type="cellIs" dxfId="1128" priority="1048" operator="greaterThan">
      <formula>0</formula>
    </cfRule>
    <cfRule type="cellIs" dxfId="1127" priority="1049" operator="lessThan">
      <formula>0</formula>
    </cfRule>
  </conditionalFormatting>
  <conditionalFormatting sqref="AC26">
    <cfRule type="cellIs" dxfId="1126" priority="1042" operator="equal">
      <formula>"-"</formula>
    </cfRule>
    <cfRule type="cellIs" dxfId="1125" priority="1043" operator="equal">
      <formula>0</formula>
    </cfRule>
    <cfRule type="cellIs" dxfId="1124" priority="1044" operator="greaterThan">
      <formula>0</formula>
    </cfRule>
    <cfRule type="cellIs" dxfId="1123" priority="1045" operator="lessThan">
      <formula>0</formula>
    </cfRule>
  </conditionalFormatting>
  <conditionalFormatting sqref="AC27">
    <cfRule type="cellIs" dxfId="1122" priority="1038" operator="equal">
      <formula>"-"</formula>
    </cfRule>
    <cfRule type="cellIs" dxfId="1121" priority="1039" operator="equal">
      <formula>0</formula>
    </cfRule>
    <cfRule type="cellIs" dxfId="1120" priority="1040" operator="greaterThan">
      <formula>0</formula>
    </cfRule>
    <cfRule type="cellIs" dxfId="1119" priority="1041" operator="lessThan">
      <formula>0</formula>
    </cfRule>
  </conditionalFormatting>
  <conditionalFormatting sqref="AC28">
    <cfRule type="cellIs" dxfId="1118" priority="1034" operator="equal">
      <formula>"-"</formula>
    </cfRule>
    <cfRule type="cellIs" dxfId="1117" priority="1035" operator="equal">
      <formula>0</formula>
    </cfRule>
    <cfRule type="cellIs" dxfId="1116" priority="1036" operator="greaterThan">
      <formula>0</formula>
    </cfRule>
    <cfRule type="cellIs" dxfId="1115" priority="1037" operator="lessThan">
      <formula>0</formula>
    </cfRule>
  </conditionalFormatting>
  <conditionalFormatting sqref="AD4">
    <cfRule type="cellIs" dxfId="1114" priority="1030" operator="equal">
      <formula>"-"</formula>
    </cfRule>
    <cfRule type="cellIs" dxfId="1113" priority="1031" operator="equal">
      <formula>0</formula>
    </cfRule>
    <cfRule type="cellIs" dxfId="1112" priority="1032" operator="greaterThan">
      <formula>0</formula>
    </cfRule>
    <cfRule type="cellIs" dxfId="1111" priority="1033" operator="lessThan">
      <formula>0</formula>
    </cfRule>
  </conditionalFormatting>
  <conditionalFormatting sqref="AD5">
    <cfRule type="cellIs" dxfId="1110" priority="1026" operator="equal">
      <formula>"-"</formula>
    </cfRule>
    <cfRule type="cellIs" dxfId="1109" priority="1027" operator="equal">
      <formula>0</formula>
    </cfRule>
    <cfRule type="cellIs" dxfId="1108" priority="1028" operator="greaterThan">
      <formula>0</formula>
    </cfRule>
    <cfRule type="cellIs" dxfId="1107" priority="1029" operator="lessThan">
      <formula>0</formula>
    </cfRule>
  </conditionalFormatting>
  <conditionalFormatting sqref="AD6">
    <cfRule type="cellIs" dxfId="1106" priority="1022" operator="equal">
      <formula>"-"</formula>
    </cfRule>
    <cfRule type="cellIs" dxfId="1105" priority="1023" operator="equal">
      <formula>0</formula>
    </cfRule>
    <cfRule type="cellIs" dxfId="1104" priority="1024" operator="greaterThan">
      <formula>0</formula>
    </cfRule>
    <cfRule type="cellIs" dxfId="1103" priority="1025" operator="lessThan">
      <formula>0</formula>
    </cfRule>
  </conditionalFormatting>
  <conditionalFormatting sqref="AD7">
    <cfRule type="cellIs" dxfId="1102" priority="1018" operator="equal">
      <formula>"-"</formula>
    </cfRule>
    <cfRule type="cellIs" dxfId="1101" priority="1019" operator="equal">
      <formula>0</formula>
    </cfRule>
    <cfRule type="cellIs" dxfId="1100" priority="1020" operator="greaterThan">
      <formula>0</formula>
    </cfRule>
    <cfRule type="cellIs" dxfId="1099" priority="1021" operator="lessThan">
      <formula>0</formula>
    </cfRule>
  </conditionalFormatting>
  <conditionalFormatting sqref="AD8">
    <cfRule type="cellIs" dxfId="1098" priority="1014" operator="equal">
      <formula>"-"</formula>
    </cfRule>
    <cfRule type="cellIs" dxfId="1097" priority="1015" operator="equal">
      <formula>0</formula>
    </cfRule>
    <cfRule type="cellIs" dxfId="1096" priority="1016" operator="greaterThan">
      <formula>0</formula>
    </cfRule>
    <cfRule type="cellIs" dxfId="1095" priority="1017" operator="lessThan">
      <formula>0</formula>
    </cfRule>
  </conditionalFormatting>
  <conditionalFormatting sqref="AD9">
    <cfRule type="cellIs" dxfId="1094" priority="1010" operator="equal">
      <formula>"-"</formula>
    </cfRule>
    <cfRule type="cellIs" dxfId="1093" priority="1011" operator="equal">
      <formula>0</formula>
    </cfRule>
    <cfRule type="cellIs" dxfId="1092" priority="1012" operator="greaterThan">
      <formula>0</formula>
    </cfRule>
    <cfRule type="cellIs" dxfId="1091" priority="1013" operator="lessThan">
      <formula>0</formula>
    </cfRule>
  </conditionalFormatting>
  <conditionalFormatting sqref="AD10">
    <cfRule type="cellIs" dxfId="1090" priority="1006" operator="equal">
      <formula>"-"</formula>
    </cfRule>
    <cfRule type="cellIs" dxfId="1089" priority="1007" operator="equal">
      <formula>0</formula>
    </cfRule>
    <cfRule type="cellIs" dxfId="1088" priority="1008" operator="greaterThan">
      <formula>0</formula>
    </cfRule>
    <cfRule type="cellIs" dxfId="1087" priority="1009" operator="lessThan">
      <formula>0</formula>
    </cfRule>
  </conditionalFormatting>
  <conditionalFormatting sqref="AD11">
    <cfRule type="cellIs" dxfId="1086" priority="1002" operator="equal">
      <formula>"-"</formula>
    </cfRule>
    <cfRule type="cellIs" dxfId="1085" priority="1003" operator="equal">
      <formula>0</formula>
    </cfRule>
    <cfRule type="cellIs" dxfId="1084" priority="1004" operator="greaterThan">
      <formula>0</formula>
    </cfRule>
    <cfRule type="cellIs" dxfId="1083" priority="1005" operator="lessThan">
      <formula>0</formula>
    </cfRule>
  </conditionalFormatting>
  <conditionalFormatting sqref="AD12">
    <cfRule type="cellIs" dxfId="1082" priority="998" operator="equal">
      <formula>"-"</formula>
    </cfRule>
    <cfRule type="cellIs" dxfId="1081" priority="999" operator="equal">
      <formula>0</formula>
    </cfRule>
    <cfRule type="cellIs" dxfId="1080" priority="1000" operator="greaterThan">
      <formula>0</formula>
    </cfRule>
    <cfRule type="cellIs" dxfId="1079" priority="1001" operator="lessThan">
      <formula>0</formula>
    </cfRule>
  </conditionalFormatting>
  <conditionalFormatting sqref="AD13">
    <cfRule type="cellIs" dxfId="1078" priority="994" operator="equal">
      <formula>"-"</formula>
    </cfRule>
    <cfRule type="cellIs" dxfId="1077" priority="995" operator="equal">
      <formula>0</formula>
    </cfRule>
    <cfRule type="cellIs" dxfId="1076" priority="996" operator="greaterThan">
      <formula>0</formula>
    </cfRule>
    <cfRule type="cellIs" dxfId="1075" priority="997" operator="lessThan">
      <formula>0</formula>
    </cfRule>
  </conditionalFormatting>
  <conditionalFormatting sqref="AD14">
    <cfRule type="cellIs" dxfId="1074" priority="990" operator="equal">
      <formula>"-"</formula>
    </cfRule>
    <cfRule type="cellIs" dxfId="1073" priority="991" operator="equal">
      <formula>0</formula>
    </cfRule>
    <cfRule type="cellIs" dxfId="1072" priority="992" operator="greaterThan">
      <formula>0</formula>
    </cfRule>
    <cfRule type="cellIs" dxfId="1071" priority="993" operator="lessThan">
      <formula>0</formula>
    </cfRule>
  </conditionalFormatting>
  <conditionalFormatting sqref="AD15">
    <cfRule type="cellIs" dxfId="1070" priority="986" operator="equal">
      <formula>"-"</formula>
    </cfRule>
    <cfRule type="cellIs" dxfId="1069" priority="987" operator="equal">
      <formula>0</formula>
    </cfRule>
    <cfRule type="cellIs" dxfId="1068" priority="988" operator="greaterThan">
      <formula>0</formula>
    </cfRule>
    <cfRule type="cellIs" dxfId="1067" priority="989" operator="lessThan">
      <formula>0</formula>
    </cfRule>
  </conditionalFormatting>
  <conditionalFormatting sqref="AD16">
    <cfRule type="cellIs" dxfId="1066" priority="982" operator="equal">
      <formula>"-"</formula>
    </cfRule>
    <cfRule type="cellIs" dxfId="1065" priority="983" operator="equal">
      <formula>0</formula>
    </cfRule>
    <cfRule type="cellIs" dxfId="1064" priority="984" operator="greaterThan">
      <formula>0</formula>
    </cfRule>
    <cfRule type="cellIs" dxfId="1063" priority="985" operator="lessThan">
      <formula>0</formula>
    </cfRule>
  </conditionalFormatting>
  <conditionalFormatting sqref="AD17">
    <cfRule type="cellIs" dxfId="1062" priority="978" operator="equal">
      <formula>"-"</formula>
    </cfRule>
    <cfRule type="cellIs" dxfId="1061" priority="979" operator="equal">
      <formula>0</formula>
    </cfRule>
    <cfRule type="cellIs" dxfId="1060" priority="980" operator="greaterThan">
      <formula>0</formula>
    </cfRule>
    <cfRule type="cellIs" dxfId="1059" priority="981" operator="lessThan">
      <formula>0</formula>
    </cfRule>
  </conditionalFormatting>
  <conditionalFormatting sqref="AD18">
    <cfRule type="cellIs" dxfId="1058" priority="974" operator="equal">
      <formula>"-"</formula>
    </cfRule>
    <cfRule type="cellIs" dxfId="1057" priority="975" operator="equal">
      <formula>0</formula>
    </cfRule>
    <cfRule type="cellIs" dxfId="1056" priority="976" operator="greaterThan">
      <formula>0</formula>
    </cfRule>
    <cfRule type="cellIs" dxfId="1055" priority="977" operator="lessThan">
      <formula>0</formula>
    </cfRule>
  </conditionalFormatting>
  <conditionalFormatting sqref="AD19">
    <cfRule type="cellIs" dxfId="1054" priority="970" operator="equal">
      <formula>"-"</formula>
    </cfRule>
    <cfRule type="cellIs" dxfId="1053" priority="971" operator="equal">
      <formula>0</formula>
    </cfRule>
    <cfRule type="cellIs" dxfId="1052" priority="972" operator="greaterThan">
      <formula>0</formula>
    </cfRule>
    <cfRule type="cellIs" dxfId="1051" priority="973" operator="lessThan">
      <formula>0</formula>
    </cfRule>
  </conditionalFormatting>
  <conditionalFormatting sqref="AD20">
    <cfRule type="cellIs" dxfId="1050" priority="966" operator="equal">
      <formula>"-"</formula>
    </cfRule>
    <cfRule type="cellIs" dxfId="1049" priority="967" operator="equal">
      <formula>0</formula>
    </cfRule>
    <cfRule type="cellIs" dxfId="1048" priority="968" operator="greaterThan">
      <formula>0</formula>
    </cfRule>
    <cfRule type="cellIs" dxfId="1047" priority="969" operator="lessThan">
      <formula>0</formula>
    </cfRule>
  </conditionalFormatting>
  <conditionalFormatting sqref="AD21">
    <cfRule type="cellIs" dxfId="1046" priority="962" operator="equal">
      <formula>"-"</formula>
    </cfRule>
    <cfRule type="cellIs" dxfId="1045" priority="963" operator="equal">
      <formula>0</formula>
    </cfRule>
    <cfRule type="cellIs" dxfId="1044" priority="964" operator="greaterThan">
      <formula>0</formula>
    </cfRule>
    <cfRule type="cellIs" dxfId="1043" priority="965" operator="lessThan">
      <formula>0</formula>
    </cfRule>
  </conditionalFormatting>
  <conditionalFormatting sqref="AD22">
    <cfRule type="cellIs" dxfId="1042" priority="958" operator="equal">
      <formula>"-"</formula>
    </cfRule>
    <cfRule type="cellIs" dxfId="1041" priority="959" operator="equal">
      <formula>0</formula>
    </cfRule>
    <cfRule type="cellIs" dxfId="1040" priority="960" operator="greaterThan">
      <formula>0</formula>
    </cfRule>
    <cfRule type="cellIs" dxfId="1039" priority="961" operator="lessThan">
      <formula>0</formula>
    </cfRule>
  </conditionalFormatting>
  <conditionalFormatting sqref="AD23">
    <cfRule type="cellIs" dxfId="1038" priority="954" operator="equal">
      <formula>"-"</formula>
    </cfRule>
    <cfRule type="cellIs" dxfId="1037" priority="955" operator="equal">
      <formula>0</formula>
    </cfRule>
    <cfRule type="cellIs" dxfId="1036" priority="956" operator="greaterThan">
      <formula>0</formula>
    </cfRule>
    <cfRule type="cellIs" dxfId="1035" priority="957" operator="lessThan">
      <formula>0</formula>
    </cfRule>
  </conditionalFormatting>
  <conditionalFormatting sqref="AD24">
    <cfRule type="cellIs" dxfId="1034" priority="950" operator="equal">
      <formula>"-"</formula>
    </cfRule>
    <cfRule type="cellIs" dxfId="1033" priority="951" operator="equal">
      <formula>0</formula>
    </cfRule>
    <cfRule type="cellIs" dxfId="1032" priority="952" operator="greaterThan">
      <formula>0</formula>
    </cfRule>
    <cfRule type="cellIs" dxfId="1031" priority="953" operator="lessThan">
      <formula>0</formula>
    </cfRule>
  </conditionalFormatting>
  <conditionalFormatting sqref="AD25">
    <cfRule type="cellIs" dxfId="1030" priority="946" operator="equal">
      <formula>"-"</formula>
    </cfRule>
    <cfRule type="cellIs" dxfId="1029" priority="947" operator="equal">
      <formula>0</formula>
    </cfRule>
    <cfRule type="cellIs" dxfId="1028" priority="948" operator="greaterThan">
      <formula>0</formula>
    </cfRule>
    <cfRule type="cellIs" dxfId="1027" priority="949" operator="lessThan">
      <formula>0</formula>
    </cfRule>
  </conditionalFormatting>
  <conditionalFormatting sqref="AD26">
    <cfRule type="cellIs" dxfId="1026" priority="942" operator="equal">
      <formula>"-"</formula>
    </cfRule>
    <cfRule type="cellIs" dxfId="1025" priority="943" operator="equal">
      <formula>0</formula>
    </cfRule>
    <cfRule type="cellIs" dxfId="1024" priority="944" operator="greaterThan">
      <formula>0</formula>
    </cfRule>
    <cfRule type="cellIs" dxfId="1023" priority="945" operator="lessThan">
      <formula>0</formula>
    </cfRule>
  </conditionalFormatting>
  <conditionalFormatting sqref="AD27">
    <cfRule type="cellIs" dxfId="1022" priority="938" operator="equal">
      <formula>"-"</formula>
    </cfRule>
    <cfRule type="cellIs" dxfId="1021" priority="939" operator="equal">
      <formula>0</formula>
    </cfRule>
    <cfRule type="cellIs" dxfId="1020" priority="940" operator="greaterThan">
      <formula>0</formula>
    </cfRule>
    <cfRule type="cellIs" dxfId="1019" priority="941" operator="lessThan">
      <formula>0</formula>
    </cfRule>
  </conditionalFormatting>
  <conditionalFormatting sqref="AD28">
    <cfRule type="cellIs" dxfId="1018" priority="934" operator="equal">
      <formula>"-"</formula>
    </cfRule>
    <cfRule type="cellIs" dxfId="1017" priority="935" operator="equal">
      <formula>0</formula>
    </cfRule>
    <cfRule type="cellIs" dxfId="1016" priority="936" operator="greaterThan">
      <formula>0</formula>
    </cfRule>
    <cfRule type="cellIs" dxfId="1015" priority="937" operator="lessThan">
      <formula>0</formula>
    </cfRule>
  </conditionalFormatting>
  <conditionalFormatting sqref="AE4">
    <cfRule type="cellIs" dxfId="1014" priority="930" operator="equal">
      <formula>"-"</formula>
    </cfRule>
    <cfRule type="cellIs" dxfId="1013" priority="931" operator="equal">
      <formula>0</formula>
    </cfRule>
    <cfRule type="cellIs" dxfId="1012" priority="932" operator="greaterThan">
      <formula>0</formula>
    </cfRule>
    <cfRule type="cellIs" dxfId="1011" priority="933" operator="lessThan">
      <formula>0</formula>
    </cfRule>
  </conditionalFormatting>
  <conditionalFormatting sqref="AE5">
    <cfRule type="cellIs" dxfId="1010" priority="926" operator="equal">
      <formula>"-"</formula>
    </cfRule>
    <cfRule type="cellIs" dxfId="1009" priority="927" operator="equal">
      <formula>0</formula>
    </cfRule>
    <cfRule type="cellIs" dxfId="1008" priority="928" operator="greaterThan">
      <formula>0</formula>
    </cfRule>
    <cfRule type="cellIs" dxfId="1007" priority="929" operator="lessThan">
      <formula>0</formula>
    </cfRule>
  </conditionalFormatting>
  <conditionalFormatting sqref="AE6">
    <cfRule type="cellIs" dxfId="1006" priority="922" operator="equal">
      <formula>"-"</formula>
    </cfRule>
    <cfRule type="cellIs" dxfId="1005" priority="923" operator="equal">
      <formula>0</formula>
    </cfRule>
    <cfRule type="cellIs" dxfId="1004" priority="924" operator="greaterThan">
      <formula>0</formula>
    </cfRule>
    <cfRule type="cellIs" dxfId="1003" priority="925" operator="lessThan">
      <formula>0</formula>
    </cfRule>
  </conditionalFormatting>
  <conditionalFormatting sqref="AE7">
    <cfRule type="cellIs" dxfId="1002" priority="918" operator="equal">
      <formula>"-"</formula>
    </cfRule>
    <cfRule type="cellIs" dxfId="1001" priority="919" operator="equal">
      <formula>0</formula>
    </cfRule>
    <cfRule type="cellIs" dxfId="1000" priority="920" operator="greaterThan">
      <formula>0</formula>
    </cfRule>
    <cfRule type="cellIs" dxfId="999" priority="921" operator="lessThan">
      <formula>0</formula>
    </cfRule>
  </conditionalFormatting>
  <conditionalFormatting sqref="AE8">
    <cfRule type="cellIs" dxfId="998" priority="914" operator="equal">
      <formula>"-"</formula>
    </cfRule>
    <cfRule type="cellIs" dxfId="997" priority="915" operator="equal">
      <formula>0</formula>
    </cfRule>
    <cfRule type="cellIs" dxfId="996" priority="916" operator="greaterThan">
      <formula>0</formula>
    </cfRule>
    <cfRule type="cellIs" dxfId="995" priority="917" operator="lessThan">
      <formula>0</formula>
    </cfRule>
  </conditionalFormatting>
  <conditionalFormatting sqref="AE9">
    <cfRule type="cellIs" dxfId="994" priority="910" operator="equal">
      <formula>"-"</formula>
    </cfRule>
    <cfRule type="cellIs" dxfId="993" priority="911" operator="equal">
      <formula>0</formula>
    </cfRule>
    <cfRule type="cellIs" dxfId="992" priority="912" operator="greaterThan">
      <formula>0</formula>
    </cfRule>
    <cfRule type="cellIs" dxfId="991" priority="913" operator="lessThan">
      <formula>0</formula>
    </cfRule>
  </conditionalFormatting>
  <conditionalFormatting sqref="AE10">
    <cfRule type="cellIs" dxfId="990" priority="906" operator="equal">
      <formula>"-"</formula>
    </cfRule>
    <cfRule type="cellIs" dxfId="989" priority="907" operator="equal">
      <formula>0</formula>
    </cfRule>
    <cfRule type="cellIs" dxfId="988" priority="908" operator="greaterThan">
      <formula>0</formula>
    </cfRule>
    <cfRule type="cellIs" dxfId="987" priority="909" operator="lessThan">
      <formula>0</formula>
    </cfRule>
  </conditionalFormatting>
  <conditionalFormatting sqref="AE11">
    <cfRule type="cellIs" dxfId="986" priority="902" operator="equal">
      <formula>"-"</formula>
    </cfRule>
    <cfRule type="cellIs" dxfId="985" priority="903" operator="equal">
      <formula>0</formula>
    </cfRule>
    <cfRule type="cellIs" dxfId="984" priority="904" operator="greaterThan">
      <formula>0</formula>
    </cfRule>
    <cfRule type="cellIs" dxfId="983" priority="905" operator="lessThan">
      <formula>0</formula>
    </cfRule>
  </conditionalFormatting>
  <conditionalFormatting sqref="AE12">
    <cfRule type="cellIs" dxfId="982" priority="898" operator="equal">
      <formula>"-"</formula>
    </cfRule>
    <cfRule type="cellIs" dxfId="981" priority="899" operator="equal">
      <formula>0</formula>
    </cfRule>
    <cfRule type="cellIs" dxfId="980" priority="900" operator="greaterThan">
      <formula>0</formula>
    </cfRule>
    <cfRule type="cellIs" dxfId="979" priority="901" operator="lessThan">
      <formula>0</formula>
    </cfRule>
  </conditionalFormatting>
  <conditionalFormatting sqref="AE13">
    <cfRule type="cellIs" dxfId="978" priority="894" operator="equal">
      <formula>"-"</formula>
    </cfRule>
    <cfRule type="cellIs" dxfId="977" priority="895" operator="equal">
      <formula>0</formula>
    </cfRule>
    <cfRule type="cellIs" dxfId="976" priority="896" operator="greaterThan">
      <formula>0</formula>
    </cfRule>
    <cfRule type="cellIs" dxfId="975" priority="897" operator="lessThan">
      <formula>0</formula>
    </cfRule>
  </conditionalFormatting>
  <conditionalFormatting sqref="AE14">
    <cfRule type="cellIs" dxfId="974" priority="890" operator="equal">
      <formula>"-"</formula>
    </cfRule>
    <cfRule type="cellIs" dxfId="973" priority="891" operator="equal">
      <formula>0</formula>
    </cfRule>
    <cfRule type="cellIs" dxfId="972" priority="892" operator="greaterThan">
      <formula>0</formula>
    </cfRule>
    <cfRule type="cellIs" dxfId="971" priority="893" operator="lessThan">
      <formula>0</formula>
    </cfRule>
  </conditionalFormatting>
  <conditionalFormatting sqref="AE15">
    <cfRule type="cellIs" dxfId="970" priority="886" operator="equal">
      <formula>"-"</formula>
    </cfRule>
    <cfRule type="cellIs" dxfId="969" priority="887" operator="equal">
      <formula>0</formula>
    </cfRule>
    <cfRule type="cellIs" dxfId="968" priority="888" operator="greaterThan">
      <formula>0</formula>
    </cfRule>
    <cfRule type="cellIs" dxfId="967" priority="889" operator="lessThan">
      <formula>0</formula>
    </cfRule>
  </conditionalFormatting>
  <conditionalFormatting sqref="AE16">
    <cfRule type="cellIs" dxfId="966" priority="882" operator="equal">
      <formula>"-"</formula>
    </cfRule>
    <cfRule type="cellIs" dxfId="965" priority="883" operator="equal">
      <formula>0</formula>
    </cfRule>
    <cfRule type="cellIs" dxfId="964" priority="884" operator="greaterThan">
      <formula>0</formula>
    </cfRule>
    <cfRule type="cellIs" dxfId="963" priority="885" operator="lessThan">
      <formula>0</formula>
    </cfRule>
  </conditionalFormatting>
  <conditionalFormatting sqref="AE17">
    <cfRule type="cellIs" dxfId="962" priority="878" operator="equal">
      <formula>"-"</formula>
    </cfRule>
    <cfRule type="cellIs" dxfId="961" priority="879" operator="equal">
      <formula>0</formula>
    </cfRule>
    <cfRule type="cellIs" dxfId="960" priority="880" operator="greaterThan">
      <formula>0</formula>
    </cfRule>
    <cfRule type="cellIs" dxfId="959" priority="881" operator="lessThan">
      <formula>0</formula>
    </cfRule>
  </conditionalFormatting>
  <conditionalFormatting sqref="AE18">
    <cfRule type="cellIs" dxfId="958" priority="874" operator="equal">
      <formula>"-"</formula>
    </cfRule>
    <cfRule type="cellIs" dxfId="957" priority="875" operator="equal">
      <formula>0</formula>
    </cfRule>
    <cfRule type="cellIs" dxfId="956" priority="876" operator="greaterThan">
      <formula>0</formula>
    </cfRule>
    <cfRule type="cellIs" dxfId="955" priority="877" operator="lessThan">
      <formula>0</formula>
    </cfRule>
  </conditionalFormatting>
  <conditionalFormatting sqref="AE19">
    <cfRule type="cellIs" dxfId="954" priority="870" operator="equal">
      <formula>"-"</formula>
    </cfRule>
    <cfRule type="cellIs" dxfId="953" priority="871" operator="equal">
      <formula>0</formula>
    </cfRule>
    <cfRule type="cellIs" dxfId="952" priority="872" operator="greaterThan">
      <formula>0</formula>
    </cfRule>
    <cfRule type="cellIs" dxfId="951" priority="873" operator="lessThan">
      <formula>0</formula>
    </cfRule>
  </conditionalFormatting>
  <conditionalFormatting sqref="AE20">
    <cfRule type="cellIs" dxfId="950" priority="866" operator="equal">
      <formula>"-"</formula>
    </cfRule>
    <cfRule type="cellIs" dxfId="949" priority="867" operator="equal">
      <formula>0</formula>
    </cfRule>
    <cfRule type="cellIs" dxfId="948" priority="868" operator="greaterThan">
      <formula>0</formula>
    </cfRule>
    <cfRule type="cellIs" dxfId="947" priority="869" operator="lessThan">
      <formula>0</formula>
    </cfRule>
  </conditionalFormatting>
  <conditionalFormatting sqref="AE21">
    <cfRule type="cellIs" dxfId="946" priority="862" operator="equal">
      <formula>"-"</formula>
    </cfRule>
    <cfRule type="cellIs" dxfId="945" priority="863" operator="equal">
      <formula>0</formula>
    </cfRule>
    <cfRule type="cellIs" dxfId="944" priority="864" operator="greaterThan">
      <formula>0</formula>
    </cfRule>
    <cfRule type="cellIs" dxfId="943" priority="865" operator="lessThan">
      <formula>0</formula>
    </cfRule>
  </conditionalFormatting>
  <conditionalFormatting sqref="AE22">
    <cfRule type="cellIs" dxfId="942" priority="858" operator="equal">
      <formula>"-"</formula>
    </cfRule>
    <cfRule type="cellIs" dxfId="941" priority="859" operator="equal">
      <formula>0</formula>
    </cfRule>
    <cfRule type="cellIs" dxfId="940" priority="860" operator="greaterThan">
      <formula>0</formula>
    </cfRule>
    <cfRule type="cellIs" dxfId="939" priority="861" operator="lessThan">
      <formula>0</formula>
    </cfRule>
  </conditionalFormatting>
  <conditionalFormatting sqref="AE23">
    <cfRule type="cellIs" dxfId="938" priority="854" operator="equal">
      <formula>"-"</formula>
    </cfRule>
    <cfRule type="cellIs" dxfId="937" priority="855" operator="equal">
      <formula>0</formula>
    </cfRule>
    <cfRule type="cellIs" dxfId="936" priority="856" operator="greaterThan">
      <formula>0</formula>
    </cfRule>
    <cfRule type="cellIs" dxfId="935" priority="857" operator="lessThan">
      <formula>0</formula>
    </cfRule>
  </conditionalFormatting>
  <conditionalFormatting sqref="AE24">
    <cfRule type="cellIs" dxfId="934" priority="850" operator="equal">
      <formula>"-"</formula>
    </cfRule>
    <cfRule type="cellIs" dxfId="933" priority="851" operator="equal">
      <formula>0</formula>
    </cfRule>
    <cfRule type="cellIs" dxfId="932" priority="852" operator="greaterThan">
      <formula>0</formula>
    </cfRule>
    <cfRule type="cellIs" dxfId="931" priority="853" operator="lessThan">
      <formula>0</formula>
    </cfRule>
  </conditionalFormatting>
  <conditionalFormatting sqref="AE25">
    <cfRule type="cellIs" dxfId="930" priority="846" operator="equal">
      <formula>"-"</formula>
    </cfRule>
    <cfRule type="cellIs" dxfId="929" priority="847" operator="equal">
      <formula>0</formula>
    </cfRule>
    <cfRule type="cellIs" dxfId="928" priority="848" operator="greaterThan">
      <formula>0</formula>
    </cfRule>
    <cfRule type="cellIs" dxfId="927" priority="849" operator="lessThan">
      <formula>0</formula>
    </cfRule>
  </conditionalFormatting>
  <conditionalFormatting sqref="AE26">
    <cfRule type="cellIs" dxfId="926" priority="842" operator="equal">
      <formula>"-"</formula>
    </cfRule>
    <cfRule type="cellIs" dxfId="925" priority="843" operator="equal">
      <formula>0</formula>
    </cfRule>
    <cfRule type="cellIs" dxfId="924" priority="844" operator="greaterThan">
      <formula>0</formula>
    </cfRule>
    <cfRule type="cellIs" dxfId="923" priority="845" operator="lessThan">
      <formula>0</formula>
    </cfRule>
  </conditionalFormatting>
  <conditionalFormatting sqref="AE27">
    <cfRule type="cellIs" dxfId="922" priority="838" operator="equal">
      <formula>"-"</formula>
    </cfRule>
    <cfRule type="cellIs" dxfId="921" priority="839" operator="equal">
      <formula>0</formula>
    </cfRule>
    <cfRule type="cellIs" dxfId="920" priority="840" operator="greaterThan">
      <formula>0</formula>
    </cfRule>
    <cfRule type="cellIs" dxfId="919" priority="841" operator="lessThan">
      <formula>0</formula>
    </cfRule>
  </conditionalFormatting>
  <conditionalFormatting sqref="AE28">
    <cfRule type="cellIs" dxfId="918" priority="834" operator="equal">
      <formula>"-"</formula>
    </cfRule>
    <cfRule type="cellIs" dxfId="917" priority="835" operator="equal">
      <formula>0</formula>
    </cfRule>
    <cfRule type="cellIs" dxfId="916" priority="836" operator="greaterThan">
      <formula>0</formula>
    </cfRule>
    <cfRule type="cellIs" dxfId="915" priority="837" operator="lessThan">
      <formula>0</formula>
    </cfRule>
  </conditionalFormatting>
  <conditionalFormatting sqref="AF4">
    <cfRule type="cellIs" dxfId="914" priority="830" operator="equal">
      <formula>"-"</formula>
    </cfRule>
    <cfRule type="cellIs" dxfId="913" priority="831" operator="equal">
      <formula>0</formula>
    </cfRule>
    <cfRule type="cellIs" dxfId="912" priority="832" operator="greaterThan">
      <formula>0</formula>
    </cfRule>
    <cfRule type="cellIs" dxfId="911" priority="833" operator="lessThan">
      <formula>0</formula>
    </cfRule>
  </conditionalFormatting>
  <conditionalFormatting sqref="AF5">
    <cfRule type="cellIs" dxfId="910" priority="826" operator="equal">
      <formula>"-"</formula>
    </cfRule>
    <cfRule type="cellIs" dxfId="909" priority="827" operator="equal">
      <formula>0</formula>
    </cfRule>
    <cfRule type="cellIs" dxfId="908" priority="828" operator="greaterThan">
      <formula>0</formula>
    </cfRule>
    <cfRule type="cellIs" dxfId="907" priority="829" operator="lessThan">
      <formula>0</formula>
    </cfRule>
  </conditionalFormatting>
  <conditionalFormatting sqref="AF6">
    <cfRule type="cellIs" dxfId="906" priority="822" operator="equal">
      <formula>"-"</formula>
    </cfRule>
    <cfRule type="cellIs" dxfId="905" priority="823" operator="equal">
      <formula>0</formula>
    </cfRule>
    <cfRule type="cellIs" dxfId="904" priority="824" operator="greaterThan">
      <formula>0</formula>
    </cfRule>
    <cfRule type="cellIs" dxfId="903" priority="825" operator="lessThan">
      <formula>0</formula>
    </cfRule>
  </conditionalFormatting>
  <conditionalFormatting sqref="AF7">
    <cfRule type="cellIs" dxfId="902" priority="818" operator="equal">
      <formula>"-"</formula>
    </cfRule>
    <cfRule type="cellIs" dxfId="901" priority="819" operator="equal">
      <formula>0</formula>
    </cfRule>
    <cfRule type="cellIs" dxfId="900" priority="820" operator="greaterThan">
      <formula>0</formula>
    </cfRule>
    <cfRule type="cellIs" dxfId="899" priority="821" operator="lessThan">
      <formula>0</formula>
    </cfRule>
  </conditionalFormatting>
  <conditionalFormatting sqref="AF8">
    <cfRule type="cellIs" dxfId="898" priority="814" operator="equal">
      <formula>"-"</formula>
    </cfRule>
    <cfRule type="cellIs" dxfId="897" priority="815" operator="equal">
      <formula>0</formula>
    </cfRule>
    <cfRule type="cellIs" dxfId="896" priority="816" operator="greaterThan">
      <formula>0</formula>
    </cfRule>
    <cfRule type="cellIs" dxfId="895" priority="817" operator="lessThan">
      <formula>0</formula>
    </cfRule>
  </conditionalFormatting>
  <conditionalFormatting sqref="AF9">
    <cfRule type="cellIs" dxfId="894" priority="810" operator="equal">
      <formula>"-"</formula>
    </cfRule>
    <cfRule type="cellIs" dxfId="893" priority="811" operator="equal">
      <formula>0</formula>
    </cfRule>
    <cfRule type="cellIs" dxfId="892" priority="812" operator="greaterThan">
      <formula>0</formula>
    </cfRule>
    <cfRule type="cellIs" dxfId="891" priority="813" operator="lessThan">
      <formula>0</formula>
    </cfRule>
  </conditionalFormatting>
  <conditionalFormatting sqref="AF10">
    <cfRule type="cellIs" dxfId="890" priority="806" operator="equal">
      <formula>"-"</formula>
    </cfRule>
    <cfRule type="cellIs" dxfId="889" priority="807" operator="equal">
      <formula>0</formula>
    </cfRule>
    <cfRule type="cellIs" dxfId="888" priority="808" operator="greaterThan">
      <formula>0</formula>
    </cfRule>
    <cfRule type="cellIs" dxfId="887" priority="809" operator="lessThan">
      <formula>0</formula>
    </cfRule>
  </conditionalFormatting>
  <conditionalFormatting sqref="AF11">
    <cfRule type="cellIs" dxfId="886" priority="802" operator="equal">
      <formula>"-"</formula>
    </cfRule>
    <cfRule type="cellIs" dxfId="885" priority="803" operator="equal">
      <formula>0</formula>
    </cfRule>
    <cfRule type="cellIs" dxfId="884" priority="804" operator="greaterThan">
      <formula>0</formula>
    </cfRule>
    <cfRule type="cellIs" dxfId="883" priority="805" operator="lessThan">
      <formula>0</formula>
    </cfRule>
  </conditionalFormatting>
  <conditionalFormatting sqref="AF12">
    <cfRule type="cellIs" dxfId="882" priority="798" operator="equal">
      <formula>"-"</formula>
    </cfRule>
    <cfRule type="cellIs" dxfId="881" priority="799" operator="equal">
      <formula>0</formula>
    </cfRule>
    <cfRule type="cellIs" dxfId="880" priority="800" operator="greaterThan">
      <formula>0</formula>
    </cfRule>
    <cfRule type="cellIs" dxfId="879" priority="801" operator="lessThan">
      <formula>0</formula>
    </cfRule>
  </conditionalFormatting>
  <conditionalFormatting sqref="AF13">
    <cfRule type="cellIs" dxfId="878" priority="794" operator="equal">
      <formula>"-"</formula>
    </cfRule>
    <cfRule type="cellIs" dxfId="877" priority="795" operator="equal">
      <formula>0</formula>
    </cfRule>
    <cfRule type="cellIs" dxfId="876" priority="796" operator="greaterThan">
      <formula>0</formula>
    </cfRule>
    <cfRule type="cellIs" dxfId="875" priority="797" operator="lessThan">
      <formula>0</formula>
    </cfRule>
  </conditionalFormatting>
  <conditionalFormatting sqref="AF14">
    <cfRule type="cellIs" dxfId="874" priority="790" operator="equal">
      <formula>"-"</formula>
    </cfRule>
    <cfRule type="cellIs" dxfId="873" priority="791" operator="equal">
      <formula>0</formula>
    </cfRule>
    <cfRule type="cellIs" dxfId="872" priority="792" operator="greaterThan">
      <formula>0</formula>
    </cfRule>
    <cfRule type="cellIs" dxfId="871" priority="793" operator="lessThan">
      <formula>0</formula>
    </cfRule>
  </conditionalFormatting>
  <conditionalFormatting sqref="AF15">
    <cfRule type="cellIs" dxfId="870" priority="786" operator="equal">
      <formula>"-"</formula>
    </cfRule>
    <cfRule type="cellIs" dxfId="869" priority="787" operator="equal">
      <formula>0</formula>
    </cfRule>
    <cfRule type="cellIs" dxfId="868" priority="788" operator="greaterThan">
      <formula>0</formula>
    </cfRule>
    <cfRule type="cellIs" dxfId="867" priority="789" operator="lessThan">
      <formula>0</formula>
    </cfRule>
  </conditionalFormatting>
  <conditionalFormatting sqref="AF16">
    <cfRule type="cellIs" dxfId="866" priority="782" operator="equal">
      <formula>"-"</formula>
    </cfRule>
    <cfRule type="cellIs" dxfId="865" priority="783" operator="equal">
      <formula>0</formula>
    </cfRule>
    <cfRule type="cellIs" dxfId="864" priority="784" operator="greaterThan">
      <formula>0</formula>
    </cfRule>
    <cfRule type="cellIs" dxfId="863" priority="785" operator="lessThan">
      <formula>0</formula>
    </cfRule>
  </conditionalFormatting>
  <conditionalFormatting sqref="AF17">
    <cfRule type="cellIs" dxfId="862" priority="778" operator="equal">
      <formula>"-"</formula>
    </cfRule>
    <cfRule type="cellIs" dxfId="861" priority="779" operator="equal">
      <formula>0</formula>
    </cfRule>
    <cfRule type="cellIs" dxfId="860" priority="780" operator="greaterThan">
      <formula>0</formula>
    </cfRule>
    <cfRule type="cellIs" dxfId="859" priority="781" operator="lessThan">
      <formula>0</formula>
    </cfRule>
  </conditionalFormatting>
  <conditionalFormatting sqref="AF18">
    <cfRule type="cellIs" dxfId="858" priority="774" operator="equal">
      <formula>"-"</formula>
    </cfRule>
    <cfRule type="cellIs" dxfId="857" priority="775" operator="equal">
      <formula>0</formula>
    </cfRule>
    <cfRule type="cellIs" dxfId="856" priority="776" operator="greaterThan">
      <formula>0</formula>
    </cfRule>
    <cfRule type="cellIs" dxfId="855" priority="777" operator="lessThan">
      <formula>0</formula>
    </cfRule>
  </conditionalFormatting>
  <conditionalFormatting sqref="AF19">
    <cfRule type="cellIs" dxfId="854" priority="770" operator="equal">
      <formula>"-"</formula>
    </cfRule>
    <cfRule type="cellIs" dxfId="853" priority="771" operator="equal">
      <formula>0</formula>
    </cfRule>
    <cfRule type="cellIs" dxfId="852" priority="772" operator="greaterThan">
      <formula>0</formula>
    </cfRule>
    <cfRule type="cellIs" dxfId="851" priority="773" operator="lessThan">
      <formula>0</formula>
    </cfRule>
  </conditionalFormatting>
  <conditionalFormatting sqref="AF20">
    <cfRule type="cellIs" dxfId="850" priority="766" operator="equal">
      <formula>"-"</formula>
    </cfRule>
    <cfRule type="cellIs" dxfId="849" priority="767" operator="equal">
      <formula>0</formula>
    </cfRule>
    <cfRule type="cellIs" dxfId="848" priority="768" operator="greaterThan">
      <formula>0</formula>
    </cfRule>
    <cfRule type="cellIs" dxfId="847" priority="769" operator="lessThan">
      <formula>0</formula>
    </cfRule>
  </conditionalFormatting>
  <conditionalFormatting sqref="AF21">
    <cfRule type="cellIs" dxfId="846" priority="762" operator="equal">
      <formula>"-"</formula>
    </cfRule>
    <cfRule type="cellIs" dxfId="845" priority="763" operator="equal">
      <formula>0</formula>
    </cfRule>
    <cfRule type="cellIs" dxfId="844" priority="764" operator="greaterThan">
      <formula>0</formula>
    </cfRule>
    <cfRule type="cellIs" dxfId="843" priority="765" operator="lessThan">
      <formula>0</formula>
    </cfRule>
  </conditionalFormatting>
  <conditionalFormatting sqref="AF22">
    <cfRule type="cellIs" dxfId="842" priority="758" operator="equal">
      <formula>"-"</formula>
    </cfRule>
    <cfRule type="cellIs" dxfId="841" priority="759" operator="equal">
      <formula>0</formula>
    </cfRule>
    <cfRule type="cellIs" dxfId="840" priority="760" operator="greaterThan">
      <formula>0</formula>
    </cfRule>
    <cfRule type="cellIs" dxfId="839" priority="761" operator="lessThan">
      <formula>0</formula>
    </cfRule>
  </conditionalFormatting>
  <conditionalFormatting sqref="AF23">
    <cfRule type="cellIs" dxfId="838" priority="754" operator="equal">
      <formula>"-"</formula>
    </cfRule>
    <cfRule type="cellIs" dxfId="837" priority="755" operator="equal">
      <formula>0</formula>
    </cfRule>
    <cfRule type="cellIs" dxfId="836" priority="756" operator="greaterThan">
      <formula>0</formula>
    </cfRule>
    <cfRule type="cellIs" dxfId="835" priority="757" operator="lessThan">
      <formula>0</formula>
    </cfRule>
  </conditionalFormatting>
  <conditionalFormatting sqref="AF24">
    <cfRule type="cellIs" dxfId="834" priority="750" operator="equal">
      <formula>"-"</formula>
    </cfRule>
    <cfRule type="cellIs" dxfId="833" priority="751" operator="equal">
      <formula>0</formula>
    </cfRule>
    <cfRule type="cellIs" dxfId="832" priority="752" operator="greaterThan">
      <formula>0</formula>
    </cfRule>
    <cfRule type="cellIs" dxfId="831" priority="753" operator="lessThan">
      <formula>0</formula>
    </cfRule>
  </conditionalFormatting>
  <conditionalFormatting sqref="AF25">
    <cfRule type="cellIs" dxfId="830" priority="746" operator="equal">
      <formula>"-"</formula>
    </cfRule>
    <cfRule type="cellIs" dxfId="829" priority="747" operator="equal">
      <formula>0</formula>
    </cfRule>
    <cfRule type="cellIs" dxfId="828" priority="748" operator="greaterThan">
      <formula>0</formula>
    </cfRule>
    <cfRule type="cellIs" dxfId="827" priority="749" operator="lessThan">
      <formula>0</formula>
    </cfRule>
  </conditionalFormatting>
  <conditionalFormatting sqref="AF26">
    <cfRule type="cellIs" dxfId="826" priority="742" operator="equal">
      <formula>"-"</formula>
    </cfRule>
    <cfRule type="cellIs" dxfId="825" priority="743" operator="equal">
      <formula>0</formula>
    </cfRule>
    <cfRule type="cellIs" dxfId="824" priority="744" operator="greaterThan">
      <formula>0</formula>
    </cfRule>
    <cfRule type="cellIs" dxfId="823" priority="745" operator="lessThan">
      <formula>0</formula>
    </cfRule>
  </conditionalFormatting>
  <conditionalFormatting sqref="AF27">
    <cfRule type="cellIs" dxfId="822" priority="738" operator="equal">
      <formula>"-"</formula>
    </cfRule>
    <cfRule type="cellIs" dxfId="821" priority="739" operator="equal">
      <formula>0</formula>
    </cfRule>
    <cfRule type="cellIs" dxfId="820" priority="740" operator="greaterThan">
      <formula>0</formula>
    </cfRule>
    <cfRule type="cellIs" dxfId="819" priority="741" operator="lessThan">
      <formula>0</formula>
    </cfRule>
  </conditionalFormatting>
  <conditionalFormatting sqref="AF28">
    <cfRule type="cellIs" dxfId="818" priority="734" operator="equal">
      <formula>"-"</formula>
    </cfRule>
    <cfRule type="cellIs" dxfId="817" priority="735" operator="equal">
      <formula>0</formula>
    </cfRule>
    <cfRule type="cellIs" dxfId="816" priority="736" operator="greaterThan">
      <formula>0</formula>
    </cfRule>
    <cfRule type="cellIs" dxfId="815" priority="737" operator="lessThan">
      <formula>0</formula>
    </cfRule>
  </conditionalFormatting>
  <conditionalFormatting sqref="S29">
    <cfRule type="expression" dxfId="814" priority="729">
      <formula>R29="-"</formula>
    </cfRule>
    <cfRule type="cellIs" dxfId="813" priority="730" operator="equal">
      <formula>"-"</formula>
    </cfRule>
    <cfRule type="cellIs" dxfId="812" priority="731" operator="equal">
      <formula>R29</formula>
    </cfRule>
    <cfRule type="cellIs" dxfId="811" priority="732" operator="greaterThan">
      <formula>R29</formula>
    </cfRule>
    <cfRule type="cellIs" dxfId="810" priority="733" operator="lessThan">
      <formula>R29</formula>
    </cfRule>
  </conditionalFormatting>
  <conditionalFormatting sqref="S30">
    <cfRule type="expression" dxfId="809" priority="724">
      <formula>R30="-"</formula>
    </cfRule>
    <cfRule type="cellIs" dxfId="808" priority="725" operator="equal">
      <formula>"-"</formula>
    </cfRule>
    <cfRule type="cellIs" dxfId="807" priority="726" operator="equal">
      <formula>R30</formula>
    </cfRule>
    <cfRule type="cellIs" dxfId="806" priority="727" operator="greaterThan">
      <formula>R30</formula>
    </cfRule>
    <cfRule type="cellIs" dxfId="805" priority="728" operator="lessThan">
      <formula>R30</formula>
    </cfRule>
  </conditionalFormatting>
  <conditionalFormatting sqref="T29">
    <cfRule type="expression" dxfId="804" priority="719">
      <formula>S29="-"</formula>
    </cfRule>
    <cfRule type="cellIs" dxfId="803" priority="720" operator="equal">
      <formula>"-"</formula>
    </cfRule>
    <cfRule type="cellIs" dxfId="802" priority="721" operator="equal">
      <formula>S29</formula>
    </cfRule>
    <cfRule type="cellIs" dxfId="801" priority="722" operator="greaterThan">
      <formula>S29</formula>
    </cfRule>
    <cfRule type="cellIs" dxfId="800" priority="723" operator="lessThan">
      <formula>S29</formula>
    </cfRule>
  </conditionalFormatting>
  <conditionalFormatting sqref="T30">
    <cfRule type="expression" dxfId="799" priority="714">
      <formula>S30="-"</formula>
    </cfRule>
    <cfRule type="cellIs" dxfId="798" priority="715" operator="equal">
      <formula>"-"</formula>
    </cfRule>
    <cfRule type="cellIs" dxfId="797" priority="716" operator="equal">
      <formula>S30</formula>
    </cfRule>
    <cfRule type="cellIs" dxfId="796" priority="717" operator="greaterThan">
      <formula>S30</formula>
    </cfRule>
    <cfRule type="cellIs" dxfId="795" priority="718" operator="lessThan">
      <formula>S30</formula>
    </cfRule>
  </conditionalFormatting>
  <conditionalFormatting sqref="U29">
    <cfRule type="expression" dxfId="794" priority="709">
      <formula>T29="-"</formula>
    </cfRule>
    <cfRule type="cellIs" dxfId="793" priority="710" operator="equal">
      <formula>"-"</formula>
    </cfRule>
    <cfRule type="cellIs" dxfId="792" priority="711" operator="equal">
      <formula>T29</formula>
    </cfRule>
    <cfRule type="cellIs" dxfId="791" priority="712" operator="greaterThan">
      <formula>T29</formula>
    </cfRule>
    <cfRule type="cellIs" dxfId="790" priority="713" operator="lessThan">
      <formula>T29</formula>
    </cfRule>
  </conditionalFormatting>
  <conditionalFormatting sqref="U30">
    <cfRule type="expression" dxfId="789" priority="704">
      <formula>T30="-"</formula>
    </cfRule>
    <cfRule type="cellIs" dxfId="788" priority="705" operator="equal">
      <formula>"-"</formula>
    </cfRule>
    <cfRule type="cellIs" dxfId="787" priority="706" operator="equal">
      <formula>T30</formula>
    </cfRule>
    <cfRule type="cellIs" dxfId="786" priority="707" operator="greaterThan">
      <formula>T30</formula>
    </cfRule>
    <cfRule type="cellIs" dxfId="785" priority="708" operator="lessThan">
      <formula>T30</formula>
    </cfRule>
  </conditionalFormatting>
  <conditionalFormatting sqref="V29">
    <cfRule type="expression" dxfId="784" priority="699">
      <formula>U29="-"</formula>
    </cfRule>
    <cfRule type="cellIs" dxfId="783" priority="700" operator="equal">
      <formula>"-"</formula>
    </cfRule>
    <cfRule type="cellIs" dxfId="782" priority="701" operator="equal">
      <formula>U29</formula>
    </cfRule>
    <cfRule type="cellIs" dxfId="781" priority="702" operator="greaterThan">
      <formula>U29</formula>
    </cfRule>
    <cfRule type="cellIs" dxfId="780" priority="703" operator="lessThan">
      <formula>U29</formula>
    </cfRule>
  </conditionalFormatting>
  <conditionalFormatting sqref="V30">
    <cfRule type="expression" dxfId="779" priority="694">
      <formula>U30="-"</formula>
    </cfRule>
    <cfRule type="cellIs" dxfId="778" priority="695" operator="equal">
      <formula>"-"</formula>
    </cfRule>
    <cfRule type="cellIs" dxfId="777" priority="696" operator="equal">
      <formula>U30</formula>
    </cfRule>
    <cfRule type="cellIs" dxfId="776" priority="697" operator="greaterThan">
      <formula>U30</formula>
    </cfRule>
    <cfRule type="cellIs" dxfId="775" priority="698" operator="lessThan">
      <formula>U30</formula>
    </cfRule>
  </conditionalFormatting>
  <conditionalFormatting sqref="W29">
    <cfRule type="expression" dxfId="774" priority="689">
      <formula>V29="-"</formula>
    </cfRule>
    <cfRule type="cellIs" dxfId="773" priority="690" operator="equal">
      <formula>"-"</formula>
    </cfRule>
    <cfRule type="cellIs" dxfId="772" priority="691" operator="equal">
      <formula>V29</formula>
    </cfRule>
    <cfRule type="cellIs" dxfId="771" priority="692" operator="greaterThan">
      <formula>V29</formula>
    </cfRule>
    <cfRule type="cellIs" dxfId="770" priority="693" operator="lessThan">
      <formula>V29</formula>
    </cfRule>
  </conditionalFormatting>
  <conditionalFormatting sqref="W30">
    <cfRule type="expression" dxfId="769" priority="684">
      <formula>V30="-"</formula>
    </cfRule>
    <cfRule type="cellIs" dxfId="768" priority="685" operator="equal">
      <formula>"-"</formula>
    </cfRule>
    <cfRule type="cellIs" dxfId="767" priority="686" operator="equal">
      <formula>V30</formula>
    </cfRule>
    <cfRule type="cellIs" dxfId="766" priority="687" operator="greaterThan">
      <formula>V30</formula>
    </cfRule>
    <cfRule type="cellIs" dxfId="765" priority="688" operator="lessThan">
      <formula>V30</formula>
    </cfRule>
  </conditionalFormatting>
  <conditionalFormatting sqref="X29">
    <cfRule type="expression" dxfId="764" priority="679">
      <formula>W29="-"</formula>
    </cfRule>
    <cfRule type="cellIs" dxfId="763" priority="680" operator="equal">
      <formula>"-"</formula>
    </cfRule>
    <cfRule type="cellIs" dxfId="762" priority="681" operator="equal">
      <formula>W29</formula>
    </cfRule>
    <cfRule type="cellIs" dxfId="761" priority="682" operator="greaterThan">
      <formula>W29</formula>
    </cfRule>
    <cfRule type="cellIs" dxfId="760" priority="683" operator="lessThan">
      <formula>W29</formula>
    </cfRule>
  </conditionalFormatting>
  <conditionalFormatting sqref="X30">
    <cfRule type="expression" dxfId="759" priority="674">
      <formula>W30="-"</formula>
    </cfRule>
    <cfRule type="cellIs" dxfId="758" priority="675" operator="equal">
      <formula>"-"</formula>
    </cfRule>
    <cfRule type="cellIs" dxfId="757" priority="676" operator="equal">
      <formula>W30</formula>
    </cfRule>
    <cfRule type="cellIs" dxfId="756" priority="677" operator="greaterThan">
      <formula>W30</formula>
    </cfRule>
    <cfRule type="cellIs" dxfId="755" priority="678" operator="lessThan">
      <formula>W30</formula>
    </cfRule>
  </conditionalFormatting>
  <conditionalFormatting sqref="Y29">
    <cfRule type="expression" dxfId="754" priority="669">
      <formula>X29="-"</formula>
    </cfRule>
    <cfRule type="cellIs" dxfId="753" priority="670" operator="equal">
      <formula>"-"</formula>
    </cfRule>
    <cfRule type="cellIs" dxfId="752" priority="671" operator="equal">
      <formula>X29</formula>
    </cfRule>
    <cfRule type="cellIs" dxfId="751" priority="672" operator="greaterThan">
      <formula>X29</formula>
    </cfRule>
    <cfRule type="cellIs" dxfId="750" priority="673" operator="lessThan">
      <formula>X29</formula>
    </cfRule>
  </conditionalFormatting>
  <conditionalFormatting sqref="Y30">
    <cfRule type="expression" dxfId="749" priority="664">
      <formula>X30="-"</formula>
    </cfRule>
    <cfRule type="cellIs" dxfId="748" priority="665" operator="equal">
      <formula>"-"</formula>
    </cfRule>
    <cfRule type="cellIs" dxfId="747" priority="666" operator="equal">
      <formula>X30</formula>
    </cfRule>
    <cfRule type="cellIs" dxfId="746" priority="667" operator="greaterThan">
      <formula>X30</formula>
    </cfRule>
    <cfRule type="cellIs" dxfId="745" priority="668" operator="lessThan">
      <formula>X30</formula>
    </cfRule>
  </conditionalFormatting>
  <conditionalFormatting sqref="Z29">
    <cfRule type="expression" dxfId="744" priority="659">
      <formula>Y29="-"</formula>
    </cfRule>
    <cfRule type="cellIs" dxfId="743" priority="660" operator="equal">
      <formula>"-"</formula>
    </cfRule>
    <cfRule type="cellIs" dxfId="742" priority="661" operator="equal">
      <formula>Y29</formula>
    </cfRule>
    <cfRule type="cellIs" dxfId="741" priority="662" operator="greaterThan">
      <formula>Y29</formula>
    </cfRule>
    <cfRule type="cellIs" dxfId="740" priority="663" operator="lessThan">
      <formula>Y29</formula>
    </cfRule>
  </conditionalFormatting>
  <conditionalFormatting sqref="Z30">
    <cfRule type="expression" dxfId="739" priority="654">
      <formula>Y30="-"</formula>
    </cfRule>
    <cfRule type="cellIs" dxfId="738" priority="655" operator="equal">
      <formula>"-"</formula>
    </cfRule>
    <cfRule type="cellIs" dxfId="737" priority="656" operator="equal">
      <formula>Y30</formula>
    </cfRule>
    <cfRule type="cellIs" dxfId="736" priority="657" operator="greaterThan">
      <formula>Y30</formula>
    </cfRule>
    <cfRule type="cellIs" dxfId="735" priority="658" operator="lessThan">
      <formula>Y30</formula>
    </cfRule>
  </conditionalFormatting>
  <conditionalFormatting sqref="AC29">
    <cfRule type="cellIs" dxfId="734" priority="650" operator="equal">
      <formula>"-"</formula>
    </cfRule>
    <cfRule type="cellIs" dxfId="733" priority="651" operator="equal">
      <formula>0</formula>
    </cfRule>
    <cfRule type="cellIs" dxfId="732" priority="652" operator="greaterThan">
      <formula>0</formula>
    </cfRule>
    <cfRule type="cellIs" dxfId="731" priority="653" operator="lessThan">
      <formula>0</formula>
    </cfRule>
  </conditionalFormatting>
  <conditionalFormatting sqref="AC30">
    <cfRule type="cellIs" dxfId="730" priority="646" operator="equal">
      <formula>"-"</formula>
    </cfRule>
    <cfRule type="cellIs" dxfId="729" priority="647" operator="equal">
      <formula>0</formula>
    </cfRule>
    <cfRule type="cellIs" dxfId="728" priority="648" operator="greaterThan">
      <formula>0</formula>
    </cfRule>
    <cfRule type="cellIs" dxfId="727" priority="649" operator="lessThan">
      <formula>0</formula>
    </cfRule>
  </conditionalFormatting>
  <conditionalFormatting sqref="AD29">
    <cfRule type="cellIs" dxfId="726" priority="642" operator="equal">
      <formula>"-"</formula>
    </cfRule>
    <cfRule type="cellIs" dxfId="725" priority="643" operator="equal">
      <formula>0</formula>
    </cfRule>
    <cfRule type="cellIs" dxfId="724" priority="644" operator="greaterThan">
      <formula>0</formula>
    </cfRule>
    <cfRule type="cellIs" dxfId="723" priority="645" operator="lessThan">
      <formula>0</formula>
    </cfRule>
  </conditionalFormatting>
  <conditionalFormatting sqref="AD30">
    <cfRule type="cellIs" dxfId="722" priority="638" operator="equal">
      <formula>"-"</formula>
    </cfRule>
    <cfRule type="cellIs" dxfId="721" priority="639" operator="equal">
      <formula>0</formula>
    </cfRule>
    <cfRule type="cellIs" dxfId="720" priority="640" operator="greaterThan">
      <formula>0</formula>
    </cfRule>
    <cfRule type="cellIs" dxfId="719" priority="641" operator="lessThan">
      <formula>0</formula>
    </cfRule>
  </conditionalFormatting>
  <conditionalFormatting sqref="AE29">
    <cfRule type="cellIs" dxfId="718" priority="634" operator="equal">
      <formula>"-"</formula>
    </cfRule>
    <cfRule type="cellIs" dxfId="717" priority="635" operator="equal">
      <formula>0</formula>
    </cfRule>
    <cfRule type="cellIs" dxfId="716" priority="636" operator="greaterThan">
      <formula>0</formula>
    </cfRule>
    <cfRule type="cellIs" dxfId="715" priority="637" operator="lessThan">
      <formula>0</formula>
    </cfRule>
  </conditionalFormatting>
  <conditionalFormatting sqref="AE30">
    <cfRule type="cellIs" dxfId="714" priority="630" operator="equal">
      <formula>"-"</formula>
    </cfRule>
    <cfRule type="cellIs" dxfId="713" priority="631" operator="equal">
      <formula>0</formula>
    </cfRule>
    <cfRule type="cellIs" dxfId="712" priority="632" operator="greaterThan">
      <formula>0</formula>
    </cfRule>
    <cfRule type="cellIs" dxfId="711" priority="633" operator="lessThan">
      <formula>0</formula>
    </cfRule>
  </conditionalFormatting>
  <conditionalFormatting sqref="AF29">
    <cfRule type="cellIs" dxfId="710" priority="626" operator="equal">
      <formula>"-"</formula>
    </cfRule>
    <cfRule type="cellIs" dxfId="709" priority="627" operator="equal">
      <formula>0</formula>
    </cfRule>
    <cfRule type="cellIs" dxfId="708" priority="628" operator="greaterThan">
      <formula>0</formula>
    </cfRule>
    <cfRule type="cellIs" dxfId="707" priority="629" operator="lessThan">
      <formula>0</formula>
    </cfRule>
  </conditionalFormatting>
  <conditionalFormatting sqref="AF30">
    <cfRule type="cellIs" dxfId="706" priority="622" operator="equal">
      <formula>"-"</formula>
    </cfRule>
    <cfRule type="cellIs" dxfId="705" priority="623" operator="equal">
      <formula>0</formula>
    </cfRule>
    <cfRule type="cellIs" dxfId="704" priority="624" operator="greaterThan">
      <formula>0</formula>
    </cfRule>
    <cfRule type="cellIs" dxfId="703" priority="625" operator="lessThan">
      <formula>0</formula>
    </cfRule>
  </conditionalFormatting>
  <conditionalFormatting sqref="AM4">
    <cfRule type="expression" dxfId="702" priority="617">
      <formula>AL4="-"</formula>
    </cfRule>
    <cfRule type="cellIs" dxfId="701" priority="618" operator="equal">
      <formula>"-"</formula>
    </cfRule>
    <cfRule type="cellIs" dxfId="700" priority="619" operator="equal">
      <formula>AL4</formula>
    </cfRule>
    <cfRule type="cellIs" dxfId="699" priority="620" operator="greaterThan">
      <formula>AL4</formula>
    </cfRule>
    <cfRule type="cellIs" dxfId="698" priority="621" operator="lessThan">
      <formula>AL4</formula>
    </cfRule>
  </conditionalFormatting>
  <conditionalFormatting sqref="AM5">
    <cfRule type="expression" dxfId="697" priority="612">
      <formula>AL5="-"</formula>
    </cfRule>
    <cfRule type="cellIs" dxfId="696" priority="613" operator="equal">
      <formula>"-"</formula>
    </cfRule>
    <cfRule type="cellIs" dxfId="695" priority="614" operator="equal">
      <formula>AL5</formula>
    </cfRule>
    <cfRule type="cellIs" dxfId="694" priority="615" operator="greaterThan">
      <formula>AL5</formula>
    </cfRule>
    <cfRule type="cellIs" dxfId="693" priority="616" operator="lessThan">
      <formula>AL5</formula>
    </cfRule>
  </conditionalFormatting>
  <conditionalFormatting sqref="AM6">
    <cfRule type="expression" dxfId="692" priority="607">
      <formula>AL6="-"</formula>
    </cfRule>
    <cfRule type="cellIs" dxfId="691" priority="608" operator="equal">
      <formula>"-"</formula>
    </cfRule>
    <cfRule type="cellIs" dxfId="690" priority="609" operator="equal">
      <formula>AL6</formula>
    </cfRule>
    <cfRule type="cellIs" dxfId="689" priority="610" operator="greaterThan">
      <formula>AL6</formula>
    </cfRule>
    <cfRule type="cellIs" dxfId="688" priority="611" operator="lessThan">
      <formula>AL6</formula>
    </cfRule>
  </conditionalFormatting>
  <conditionalFormatting sqref="AM7">
    <cfRule type="expression" dxfId="687" priority="602">
      <formula>AL7="-"</formula>
    </cfRule>
    <cfRule type="cellIs" dxfId="686" priority="603" operator="equal">
      <formula>"-"</formula>
    </cfRule>
    <cfRule type="cellIs" dxfId="685" priority="604" operator="equal">
      <formula>AL7</formula>
    </cfRule>
    <cfRule type="cellIs" dxfId="684" priority="605" operator="greaterThan">
      <formula>AL7</formula>
    </cfRule>
    <cfRule type="cellIs" dxfId="683" priority="606" operator="lessThan">
      <formula>AL7</formula>
    </cfRule>
  </conditionalFormatting>
  <conditionalFormatting sqref="AM8">
    <cfRule type="expression" dxfId="682" priority="597">
      <formula>AL8="-"</formula>
    </cfRule>
    <cfRule type="cellIs" dxfId="681" priority="598" operator="equal">
      <formula>"-"</formula>
    </cfRule>
    <cfRule type="cellIs" dxfId="680" priority="599" operator="equal">
      <formula>AL8</formula>
    </cfRule>
    <cfRule type="cellIs" dxfId="679" priority="600" operator="greaterThan">
      <formula>AL8</formula>
    </cfRule>
    <cfRule type="cellIs" dxfId="678" priority="601" operator="lessThan">
      <formula>AL8</formula>
    </cfRule>
  </conditionalFormatting>
  <conditionalFormatting sqref="AM9">
    <cfRule type="expression" dxfId="677" priority="592">
      <formula>AL9="-"</formula>
    </cfRule>
    <cfRule type="cellIs" dxfId="676" priority="593" operator="equal">
      <formula>"-"</formula>
    </cfRule>
    <cfRule type="cellIs" dxfId="675" priority="594" operator="equal">
      <formula>AL9</formula>
    </cfRule>
    <cfRule type="cellIs" dxfId="674" priority="595" operator="greaterThan">
      <formula>AL9</formula>
    </cfRule>
    <cfRule type="cellIs" dxfId="673" priority="596" operator="lessThan">
      <formula>AL9</formula>
    </cfRule>
  </conditionalFormatting>
  <conditionalFormatting sqref="AM10">
    <cfRule type="expression" dxfId="672" priority="587">
      <formula>AL10="-"</formula>
    </cfRule>
    <cfRule type="cellIs" dxfId="671" priority="588" operator="equal">
      <formula>"-"</formula>
    </cfRule>
    <cfRule type="cellIs" dxfId="670" priority="589" operator="equal">
      <formula>AL10</formula>
    </cfRule>
    <cfRule type="cellIs" dxfId="669" priority="590" operator="greaterThan">
      <formula>AL10</formula>
    </cfRule>
    <cfRule type="cellIs" dxfId="668" priority="591" operator="lessThan">
      <formula>AL10</formula>
    </cfRule>
  </conditionalFormatting>
  <conditionalFormatting sqref="AM11">
    <cfRule type="expression" dxfId="667" priority="582">
      <formula>AL11="-"</formula>
    </cfRule>
    <cfRule type="cellIs" dxfId="666" priority="583" operator="equal">
      <formula>"-"</formula>
    </cfRule>
    <cfRule type="cellIs" dxfId="665" priority="584" operator="equal">
      <formula>AL11</formula>
    </cfRule>
    <cfRule type="cellIs" dxfId="664" priority="585" operator="greaterThan">
      <formula>AL11</formula>
    </cfRule>
    <cfRule type="cellIs" dxfId="663" priority="586" operator="lessThan">
      <formula>AL11</formula>
    </cfRule>
  </conditionalFormatting>
  <conditionalFormatting sqref="AM12">
    <cfRule type="expression" dxfId="662" priority="577">
      <formula>AL12="-"</formula>
    </cfRule>
    <cfRule type="cellIs" dxfId="661" priority="578" operator="equal">
      <formula>"-"</formula>
    </cfRule>
    <cfRule type="cellIs" dxfId="660" priority="579" operator="equal">
      <formula>AL12</formula>
    </cfRule>
    <cfRule type="cellIs" dxfId="659" priority="580" operator="greaterThan">
      <formula>AL12</formula>
    </cfRule>
    <cfRule type="cellIs" dxfId="658" priority="581" operator="lessThan">
      <formula>AL12</formula>
    </cfRule>
  </conditionalFormatting>
  <conditionalFormatting sqref="AM13">
    <cfRule type="expression" dxfId="657" priority="572">
      <formula>AL13="-"</formula>
    </cfRule>
    <cfRule type="cellIs" dxfId="656" priority="573" operator="equal">
      <formula>"-"</formula>
    </cfRule>
    <cfRule type="cellIs" dxfId="655" priority="574" operator="equal">
      <formula>AL13</formula>
    </cfRule>
    <cfRule type="cellIs" dxfId="654" priority="575" operator="greaterThan">
      <formula>AL13</formula>
    </cfRule>
    <cfRule type="cellIs" dxfId="653" priority="576" operator="lessThan">
      <formula>AL13</formula>
    </cfRule>
  </conditionalFormatting>
  <conditionalFormatting sqref="AM14">
    <cfRule type="expression" dxfId="652" priority="567">
      <formula>AL14="-"</formula>
    </cfRule>
    <cfRule type="cellIs" dxfId="651" priority="568" operator="equal">
      <formula>"-"</formula>
    </cfRule>
    <cfRule type="cellIs" dxfId="650" priority="569" operator="equal">
      <formula>AL14</formula>
    </cfRule>
    <cfRule type="cellIs" dxfId="649" priority="570" operator="greaterThan">
      <formula>AL14</formula>
    </cfRule>
    <cfRule type="cellIs" dxfId="648" priority="571" operator="lessThan">
      <formula>AL14</formula>
    </cfRule>
  </conditionalFormatting>
  <conditionalFormatting sqref="AM15">
    <cfRule type="expression" dxfId="647" priority="562">
      <formula>AL15="-"</formula>
    </cfRule>
    <cfRule type="cellIs" dxfId="646" priority="563" operator="equal">
      <formula>"-"</formula>
    </cfRule>
    <cfRule type="cellIs" dxfId="645" priority="564" operator="equal">
      <formula>AL15</formula>
    </cfRule>
    <cfRule type="cellIs" dxfId="644" priority="565" operator="greaterThan">
      <formula>AL15</formula>
    </cfRule>
    <cfRule type="cellIs" dxfId="643" priority="566" operator="lessThan">
      <formula>AL15</formula>
    </cfRule>
  </conditionalFormatting>
  <conditionalFormatting sqref="AM16">
    <cfRule type="expression" dxfId="642" priority="557">
      <formula>AL16="-"</formula>
    </cfRule>
    <cfRule type="cellIs" dxfId="641" priority="558" operator="equal">
      <formula>"-"</formula>
    </cfRule>
    <cfRule type="cellIs" dxfId="640" priority="559" operator="equal">
      <formula>AL16</formula>
    </cfRule>
    <cfRule type="cellIs" dxfId="639" priority="560" operator="greaterThan">
      <formula>AL16</formula>
    </cfRule>
    <cfRule type="cellIs" dxfId="638" priority="561" operator="lessThan">
      <formula>AL16</formula>
    </cfRule>
  </conditionalFormatting>
  <conditionalFormatting sqref="AM17">
    <cfRule type="expression" dxfId="637" priority="552">
      <formula>AL17="-"</formula>
    </cfRule>
    <cfRule type="cellIs" dxfId="636" priority="553" operator="equal">
      <formula>"-"</formula>
    </cfRule>
    <cfRule type="cellIs" dxfId="635" priority="554" operator="equal">
      <formula>AL17</formula>
    </cfRule>
    <cfRule type="cellIs" dxfId="634" priority="555" operator="greaterThan">
      <formula>AL17</formula>
    </cfRule>
    <cfRule type="cellIs" dxfId="633" priority="556" operator="lessThan">
      <formula>AL17</formula>
    </cfRule>
  </conditionalFormatting>
  <conditionalFormatting sqref="AM18">
    <cfRule type="expression" dxfId="632" priority="547">
      <formula>AL18="-"</formula>
    </cfRule>
    <cfRule type="cellIs" dxfId="631" priority="548" operator="equal">
      <formula>"-"</formula>
    </cfRule>
    <cfRule type="cellIs" dxfId="630" priority="549" operator="equal">
      <formula>AL18</formula>
    </cfRule>
    <cfRule type="cellIs" dxfId="629" priority="550" operator="greaterThan">
      <formula>AL18</formula>
    </cfRule>
    <cfRule type="cellIs" dxfId="628" priority="551" operator="lessThan">
      <formula>AL18</formula>
    </cfRule>
  </conditionalFormatting>
  <conditionalFormatting sqref="AM19">
    <cfRule type="expression" dxfId="627" priority="542">
      <formula>AL19="-"</formula>
    </cfRule>
    <cfRule type="cellIs" dxfId="626" priority="543" operator="equal">
      <formula>"-"</formula>
    </cfRule>
    <cfRule type="cellIs" dxfId="625" priority="544" operator="equal">
      <formula>AL19</formula>
    </cfRule>
    <cfRule type="cellIs" dxfId="624" priority="545" operator="greaterThan">
      <formula>AL19</formula>
    </cfRule>
    <cfRule type="cellIs" dxfId="623" priority="546" operator="lessThan">
      <formula>AL19</formula>
    </cfRule>
  </conditionalFormatting>
  <conditionalFormatting sqref="AM20">
    <cfRule type="expression" dxfId="622" priority="537">
      <formula>AL20="-"</formula>
    </cfRule>
    <cfRule type="cellIs" dxfId="621" priority="538" operator="equal">
      <formula>"-"</formula>
    </cfRule>
    <cfRule type="cellIs" dxfId="620" priority="539" operator="equal">
      <formula>AL20</formula>
    </cfRule>
    <cfRule type="cellIs" dxfId="619" priority="540" operator="greaterThan">
      <formula>AL20</formula>
    </cfRule>
    <cfRule type="cellIs" dxfId="618" priority="541" operator="lessThan">
      <formula>AL20</formula>
    </cfRule>
  </conditionalFormatting>
  <conditionalFormatting sqref="AM21">
    <cfRule type="expression" dxfId="617" priority="532">
      <formula>AL21="-"</formula>
    </cfRule>
    <cfRule type="cellIs" dxfId="616" priority="533" operator="equal">
      <formula>"-"</formula>
    </cfRule>
    <cfRule type="cellIs" dxfId="615" priority="534" operator="equal">
      <formula>AL21</formula>
    </cfRule>
    <cfRule type="cellIs" dxfId="614" priority="535" operator="greaterThan">
      <formula>AL21</formula>
    </cfRule>
    <cfRule type="cellIs" dxfId="613" priority="536" operator="lessThan">
      <formula>AL21</formula>
    </cfRule>
  </conditionalFormatting>
  <conditionalFormatting sqref="AM22">
    <cfRule type="expression" dxfId="612" priority="527">
      <formula>AL22="-"</formula>
    </cfRule>
    <cfRule type="cellIs" dxfId="611" priority="528" operator="equal">
      <formula>"-"</formula>
    </cfRule>
    <cfRule type="cellIs" dxfId="610" priority="529" operator="equal">
      <formula>AL22</formula>
    </cfRule>
    <cfRule type="cellIs" dxfId="609" priority="530" operator="greaterThan">
      <formula>AL22</formula>
    </cfRule>
    <cfRule type="cellIs" dxfId="608" priority="531" operator="lessThan">
      <formula>AL22</formula>
    </cfRule>
  </conditionalFormatting>
  <conditionalFormatting sqref="AM23">
    <cfRule type="expression" dxfId="607" priority="522">
      <formula>AL23="-"</formula>
    </cfRule>
    <cfRule type="cellIs" dxfId="606" priority="523" operator="equal">
      <formula>"-"</formula>
    </cfRule>
    <cfRule type="cellIs" dxfId="605" priority="524" operator="equal">
      <formula>AL23</formula>
    </cfRule>
    <cfRule type="cellIs" dxfId="604" priority="525" operator="greaterThan">
      <formula>AL23</formula>
    </cfRule>
    <cfRule type="cellIs" dxfId="603" priority="526" operator="lessThan">
      <formula>AL23</formula>
    </cfRule>
  </conditionalFormatting>
  <conditionalFormatting sqref="AM24">
    <cfRule type="expression" dxfId="602" priority="517">
      <formula>AL24="-"</formula>
    </cfRule>
    <cfRule type="cellIs" dxfId="601" priority="518" operator="equal">
      <formula>"-"</formula>
    </cfRule>
    <cfRule type="cellIs" dxfId="600" priority="519" operator="equal">
      <formula>AL24</formula>
    </cfRule>
    <cfRule type="cellIs" dxfId="599" priority="520" operator="greaterThan">
      <formula>AL24</formula>
    </cfRule>
    <cfRule type="cellIs" dxfId="598" priority="521" operator="lessThan">
      <formula>AL24</formula>
    </cfRule>
  </conditionalFormatting>
  <conditionalFormatting sqref="AM25">
    <cfRule type="expression" dxfId="597" priority="512">
      <formula>AL25="-"</formula>
    </cfRule>
    <cfRule type="cellIs" dxfId="596" priority="513" operator="equal">
      <formula>"-"</formula>
    </cfRule>
    <cfRule type="cellIs" dxfId="595" priority="514" operator="equal">
      <formula>AL25</formula>
    </cfRule>
    <cfRule type="cellIs" dxfId="594" priority="515" operator="greaterThan">
      <formula>AL25</formula>
    </cfRule>
    <cfRule type="cellIs" dxfId="593" priority="516" operator="lessThan">
      <formula>AL25</formula>
    </cfRule>
  </conditionalFormatting>
  <conditionalFormatting sqref="AM26">
    <cfRule type="expression" dxfId="592" priority="507">
      <formula>AL26="-"</formula>
    </cfRule>
    <cfRule type="cellIs" dxfId="591" priority="508" operator="equal">
      <formula>"-"</formula>
    </cfRule>
    <cfRule type="cellIs" dxfId="590" priority="509" operator="equal">
      <formula>AL26</formula>
    </cfRule>
    <cfRule type="cellIs" dxfId="589" priority="510" operator="greaterThan">
      <formula>AL26</formula>
    </cfRule>
    <cfRule type="cellIs" dxfId="588" priority="511" operator="lessThan">
      <formula>AL26</formula>
    </cfRule>
  </conditionalFormatting>
  <conditionalFormatting sqref="AM27">
    <cfRule type="expression" dxfId="587" priority="502">
      <formula>AL27="-"</formula>
    </cfRule>
    <cfRule type="cellIs" dxfId="586" priority="503" operator="equal">
      <formula>"-"</formula>
    </cfRule>
    <cfRule type="cellIs" dxfId="585" priority="504" operator="equal">
      <formula>AL27</formula>
    </cfRule>
    <cfRule type="cellIs" dxfId="584" priority="505" operator="greaterThan">
      <formula>AL27</formula>
    </cfRule>
    <cfRule type="cellIs" dxfId="583" priority="506" operator="lessThan">
      <formula>AL27</formula>
    </cfRule>
  </conditionalFormatting>
  <conditionalFormatting sqref="AM28">
    <cfRule type="expression" dxfId="582" priority="497">
      <formula>AL28="-"</formula>
    </cfRule>
    <cfRule type="cellIs" dxfId="581" priority="498" operator="equal">
      <formula>"-"</formula>
    </cfRule>
    <cfRule type="cellIs" dxfId="580" priority="499" operator="equal">
      <formula>AL28</formula>
    </cfRule>
    <cfRule type="cellIs" dxfId="579" priority="500" operator="greaterThan">
      <formula>AL28</formula>
    </cfRule>
    <cfRule type="cellIs" dxfId="578" priority="501" operator="lessThan">
      <formula>AL28</formula>
    </cfRule>
  </conditionalFormatting>
  <conditionalFormatting sqref="AN4">
    <cfRule type="expression" dxfId="577" priority="492">
      <formula>AM4="-"</formula>
    </cfRule>
    <cfRule type="cellIs" dxfId="576" priority="493" operator="equal">
      <formula>"-"</formula>
    </cfRule>
    <cfRule type="cellIs" dxfId="575" priority="494" operator="equal">
      <formula>AM4</formula>
    </cfRule>
    <cfRule type="cellIs" dxfId="574" priority="495" operator="greaterThan">
      <formula>AM4</formula>
    </cfRule>
    <cfRule type="cellIs" dxfId="573" priority="496" operator="lessThan">
      <formula>AM4</formula>
    </cfRule>
  </conditionalFormatting>
  <conditionalFormatting sqref="AN5">
    <cfRule type="expression" dxfId="572" priority="487">
      <formula>AM5="-"</formula>
    </cfRule>
    <cfRule type="cellIs" dxfId="571" priority="488" operator="equal">
      <formula>"-"</formula>
    </cfRule>
    <cfRule type="cellIs" dxfId="570" priority="489" operator="equal">
      <formula>AM5</formula>
    </cfRule>
    <cfRule type="cellIs" dxfId="569" priority="490" operator="greaterThan">
      <formula>AM5</formula>
    </cfRule>
    <cfRule type="cellIs" dxfId="568" priority="491" operator="lessThan">
      <formula>AM5</formula>
    </cfRule>
  </conditionalFormatting>
  <conditionalFormatting sqref="AN6">
    <cfRule type="expression" dxfId="567" priority="482">
      <formula>AM6="-"</formula>
    </cfRule>
    <cfRule type="cellIs" dxfId="566" priority="483" operator="equal">
      <formula>"-"</formula>
    </cfRule>
    <cfRule type="cellIs" dxfId="565" priority="484" operator="equal">
      <formula>AM6</formula>
    </cfRule>
    <cfRule type="cellIs" dxfId="564" priority="485" operator="greaterThan">
      <formula>AM6</formula>
    </cfRule>
    <cfRule type="cellIs" dxfId="563" priority="486" operator="lessThan">
      <formula>AM6</formula>
    </cfRule>
  </conditionalFormatting>
  <conditionalFormatting sqref="AN7">
    <cfRule type="expression" dxfId="562" priority="477">
      <formula>AM7="-"</formula>
    </cfRule>
    <cfRule type="cellIs" dxfId="561" priority="478" operator="equal">
      <formula>"-"</formula>
    </cfRule>
    <cfRule type="cellIs" dxfId="560" priority="479" operator="equal">
      <formula>AM7</formula>
    </cfRule>
    <cfRule type="cellIs" dxfId="559" priority="480" operator="greaterThan">
      <formula>AM7</formula>
    </cfRule>
    <cfRule type="cellIs" dxfId="558" priority="481" operator="lessThan">
      <formula>AM7</formula>
    </cfRule>
  </conditionalFormatting>
  <conditionalFormatting sqref="AN8">
    <cfRule type="expression" dxfId="557" priority="472">
      <formula>AM8="-"</formula>
    </cfRule>
    <cfRule type="cellIs" dxfId="556" priority="473" operator="equal">
      <formula>"-"</formula>
    </cfRule>
    <cfRule type="cellIs" dxfId="555" priority="474" operator="equal">
      <formula>AM8</formula>
    </cfRule>
    <cfRule type="cellIs" dxfId="554" priority="475" operator="greaterThan">
      <formula>AM8</formula>
    </cfRule>
    <cfRule type="cellIs" dxfId="553" priority="476" operator="lessThan">
      <formula>AM8</formula>
    </cfRule>
  </conditionalFormatting>
  <conditionalFormatting sqref="AN9">
    <cfRule type="expression" dxfId="552" priority="467">
      <formula>AM9="-"</formula>
    </cfRule>
    <cfRule type="cellIs" dxfId="551" priority="468" operator="equal">
      <formula>"-"</formula>
    </cfRule>
    <cfRule type="cellIs" dxfId="550" priority="469" operator="equal">
      <formula>AM9</formula>
    </cfRule>
    <cfRule type="cellIs" dxfId="549" priority="470" operator="greaterThan">
      <formula>AM9</formula>
    </cfRule>
    <cfRule type="cellIs" dxfId="548" priority="471" operator="lessThan">
      <formula>AM9</formula>
    </cfRule>
  </conditionalFormatting>
  <conditionalFormatting sqref="AN10">
    <cfRule type="expression" dxfId="547" priority="462">
      <formula>AM10="-"</formula>
    </cfRule>
    <cfRule type="cellIs" dxfId="546" priority="463" operator="equal">
      <formula>"-"</formula>
    </cfRule>
    <cfRule type="cellIs" dxfId="545" priority="464" operator="equal">
      <formula>AM10</formula>
    </cfRule>
    <cfRule type="cellIs" dxfId="544" priority="465" operator="greaterThan">
      <formula>AM10</formula>
    </cfRule>
    <cfRule type="cellIs" dxfId="543" priority="466" operator="lessThan">
      <formula>AM10</formula>
    </cfRule>
  </conditionalFormatting>
  <conditionalFormatting sqref="AN11">
    <cfRule type="expression" dxfId="542" priority="457">
      <formula>AM11="-"</formula>
    </cfRule>
    <cfRule type="cellIs" dxfId="541" priority="458" operator="equal">
      <formula>"-"</formula>
    </cfRule>
    <cfRule type="cellIs" dxfId="540" priority="459" operator="equal">
      <formula>AM11</formula>
    </cfRule>
    <cfRule type="cellIs" dxfId="539" priority="460" operator="greaterThan">
      <formula>AM11</formula>
    </cfRule>
    <cfRule type="cellIs" dxfId="538" priority="461" operator="lessThan">
      <formula>AM11</formula>
    </cfRule>
  </conditionalFormatting>
  <conditionalFormatting sqref="AN12">
    <cfRule type="expression" dxfId="537" priority="452">
      <formula>AM12="-"</formula>
    </cfRule>
    <cfRule type="cellIs" dxfId="536" priority="453" operator="equal">
      <formula>"-"</formula>
    </cfRule>
    <cfRule type="cellIs" dxfId="535" priority="454" operator="equal">
      <formula>AM12</formula>
    </cfRule>
    <cfRule type="cellIs" dxfId="534" priority="455" operator="greaterThan">
      <formula>AM12</formula>
    </cfRule>
    <cfRule type="cellIs" dxfId="533" priority="456" operator="lessThan">
      <formula>AM12</formula>
    </cfRule>
  </conditionalFormatting>
  <conditionalFormatting sqref="AN13">
    <cfRule type="expression" dxfId="532" priority="447">
      <formula>AM13="-"</formula>
    </cfRule>
    <cfRule type="cellIs" dxfId="531" priority="448" operator="equal">
      <formula>"-"</formula>
    </cfRule>
    <cfRule type="cellIs" dxfId="530" priority="449" operator="equal">
      <formula>AM13</formula>
    </cfRule>
    <cfRule type="cellIs" dxfId="529" priority="450" operator="greaterThan">
      <formula>AM13</formula>
    </cfRule>
    <cfRule type="cellIs" dxfId="528" priority="451" operator="lessThan">
      <formula>AM13</formula>
    </cfRule>
  </conditionalFormatting>
  <conditionalFormatting sqref="AN14">
    <cfRule type="expression" dxfId="527" priority="442">
      <formula>AM14="-"</formula>
    </cfRule>
    <cfRule type="cellIs" dxfId="526" priority="443" operator="equal">
      <formula>"-"</formula>
    </cfRule>
    <cfRule type="cellIs" dxfId="525" priority="444" operator="equal">
      <formula>AM14</formula>
    </cfRule>
    <cfRule type="cellIs" dxfId="524" priority="445" operator="greaterThan">
      <formula>AM14</formula>
    </cfRule>
    <cfRule type="cellIs" dxfId="523" priority="446" operator="lessThan">
      <formula>AM14</formula>
    </cfRule>
  </conditionalFormatting>
  <conditionalFormatting sqref="AN15">
    <cfRule type="expression" dxfId="522" priority="437">
      <formula>AM15="-"</formula>
    </cfRule>
    <cfRule type="cellIs" dxfId="521" priority="438" operator="equal">
      <formula>"-"</formula>
    </cfRule>
    <cfRule type="cellIs" dxfId="520" priority="439" operator="equal">
      <formula>AM15</formula>
    </cfRule>
    <cfRule type="cellIs" dxfId="519" priority="440" operator="greaterThan">
      <formula>AM15</formula>
    </cfRule>
    <cfRule type="cellIs" dxfId="518" priority="441" operator="lessThan">
      <formula>AM15</formula>
    </cfRule>
  </conditionalFormatting>
  <conditionalFormatting sqref="AN16">
    <cfRule type="expression" dxfId="517" priority="432">
      <formula>AM16="-"</formula>
    </cfRule>
    <cfRule type="cellIs" dxfId="516" priority="433" operator="equal">
      <formula>"-"</formula>
    </cfRule>
    <cfRule type="cellIs" dxfId="515" priority="434" operator="equal">
      <formula>AM16</formula>
    </cfRule>
    <cfRule type="cellIs" dxfId="514" priority="435" operator="greaterThan">
      <formula>AM16</formula>
    </cfRule>
    <cfRule type="cellIs" dxfId="513" priority="436" operator="lessThan">
      <formula>AM16</formula>
    </cfRule>
  </conditionalFormatting>
  <conditionalFormatting sqref="AN17">
    <cfRule type="expression" dxfId="512" priority="427">
      <formula>AM17="-"</formula>
    </cfRule>
    <cfRule type="cellIs" dxfId="511" priority="428" operator="equal">
      <formula>"-"</formula>
    </cfRule>
    <cfRule type="cellIs" dxfId="510" priority="429" operator="equal">
      <formula>AM17</formula>
    </cfRule>
    <cfRule type="cellIs" dxfId="509" priority="430" operator="greaterThan">
      <formula>AM17</formula>
    </cfRule>
    <cfRule type="cellIs" dxfId="508" priority="431" operator="lessThan">
      <formula>AM17</formula>
    </cfRule>
  </conditionalFormatting>
  <conditionalFormatting sqref="AN18">
    <cfRule type="expression" dxfId="507" priority="422">
      <formula>AM18="-"</formula>
    </cfRule>
    <cfRule type="cellIs" dxfId="506" priority="423" operator="equal">
      <formula>"-"</formula>
    </cfRule>
    <cfRule type="cellIs" dxfId="505" priority="424" operator="equal">
      <formula>AM18</formula>
    </cfRule>
    <cfRule type="cellIs" dxfId="504" priority="425" operator="greaterThan">
      <formula>AM18</formula>
    </cfRule>
    <cfRule type="cellIs" dxfId="503" priority="426" operator="lessThan">
      <formula>AM18</formula>
    </cfRule>
  </conditionalFormatting>
  <conditionalFormatting sqref="AN19">
    <cfRule type="expression" dxfId="502" priority="417">
      <formula>AM19="-"</formula>
    </cfRule>
    <cfRule type="cellIs" dxfId="501" priority="418" operator="equal">
      <formula>"-"</formula>
    </cfRule>
    <cfRule type="cellIs" dxfId="500" priority="419" operator="equal">
      <formula>AM19</formula>
    </cfRule>
    <cfRule type="cellIs" dxfId="499" priority="420" operator="greaterThan">
      <formula>AM19</formula>
    </cfRule>
    <cfRule type="cellIs" dxfId="498" priority="421" operator="lessThan">
      <formula>AM19</formula>
    </cfRule>
  </conditionalFormatting>
  <conditionalFormatting sqref="AN20">
    <cfRule type="expression" dxfId="497" priority="412">
      <formula>AM20="-"</formula>
    </cfRule>
    <cfRule type="cellIs" dxfId="496" priority="413" operator="equal">
      <formula>"-"</formula>
    </cfRule>
    <cfRule type="cellIs" dxfId="495" priority="414" operator="equal">
      <formula>AM20</formula>
    </cfRule>
    <cfRule type="cellIs" dxfId="494" priority="415" operator="greaterThan">
      <formula>AM20</formula>
    </cfRule>
    <cfRule type="cellIs" dxfId="493" priority="416" operator="lessThan">
      <formula>AM20</formula>
    </cfRule>
  </conditionalFormatting>
  <conditionalFormatting sqref="AN21">
    <cfRule type="expression" dxfId="492" priority="407">
      <formula>AM21="-"</formula>
    </cfRule>
    <cfRule type="cellIs" dxfId="491" priority="408" operator="equal">
      <formula>"-"</formula>
    </cfRule>
    <cfRule type="cellIs" dxfId="490" priority="409" operator="equal">
      <formula>AM21</formula>
    </cfRule>
    <cfRule type="cellIs" dxfId="489" priority="410" operator="greaterThan">
      <formula>AM21</formula>
    </cfRule>
    <cfRule type="cellIs" dxfId="488" priority="411" operator="lessThan">
      <formula>AM21</formula>
    </cfRule>
  </conditionalFormatting>
  <conditionalFormatting sqref="AN22">
    <cfRule type="expression" dxfId="487" priority="402">
      <formula>AM22="-"</formula>
    </cfRule>
    <cfRule type="cellIs" dxfId="486" priority="403" operator="equal">
      <formula>"-"</formula>
    </cfRule>
    <cfRule type="cellIs" dxfId="485" priority="404" operator="equal">
      <formula>AM22</formula>
    </cfRule>
    <cfRule type="cellIs" dxfId="484" priority="405" operator="greaterThan">
      <formula>AM22</formula>
    </cfRule>
    <cfRule type="cellIs" dxfId="483" priority="406" operator="lessThan">
      <formula>AM22</formula>
    </cfRule>
  </conditionalFormatting>
  <conditionalFormatting sqref="AN23">
    <cfRule type="expression" dxfId="482" priority="397">
      <formula>AM23="-"</formula>
    </cfRule>
    <cfRule type="cellIs" dxfId="481" priority="398" operator="equal">
      <formula>"-"</formula>
    </cfRule>
    <cfRule type="cellIs" dxfId="480" priority="399" operator="equal">
      <formula>AM23</formula>
    </cfRule>
    <cfRule type="cellIs" dxfId="479" priority="400" operator="greaterThan">
      <formula>AM23</formula>
    </cfRule>
    <cfRule type="cellIs" dxfId="478" priority="401" operator="lessThan">
      <formula>AM23</formula>
    </cfRule>
  </conditionalFormatting>
  <conditionalFormatting sqref="AN24">
    <cfRule type="expression" dxfId="477" priority="392">
      <formula>AM24="-"</formula>
    </cfRule>
    <cfRule type="cellIs" dxfId="476" priority="393" operator="equal">
      <formula>"-"</formula>
    </cfRule>
    <cfRule type="cellIs" dxfId="475" priority="394" operator="equal">
      <formula>AM24</formula>
    </cfRule>
    <cfRule type="cellIs" dxfId="474" priority="395" operator="greaterThan">
      <formula>AM24</formula>
    </cfRule>
    <cfRule type="cellIs" dxfId="473" priority="396" operator="lessThan">
      <formula>AM24</formula>
    </cfRule>
  </conditionalFormatting>
  <conditionalFormatting sqref="AN25">
    <cfRule type="expression" dxfId="472" priority="387">
      <formula>AM25="-"</formula>
    </cfRule>
    <cfRule type="cellIs" dxfId="471" priority="388" operator="equal">
      <formula>"-"</formula>
    </cfRule>
    <cfRule type="cellIs" dxfId="470" priority="389" operator="equal">
      <formula>AM25</formula>
    </cfRule>
    <cfRule type="cellIs" dxfId="469" priority="390" operator="greaterThan">
      <formula>AM25</formula>
    </cfRule>
    <cfRule type="cellIs" dxfId="468" priority="391" operator="lessThan">
      <formula>AM25</formula>
    </cfRule>
  </conditionalFormatting>
  <conditionalFormatting sqref="AN26">
    <cfRule type="expression" dxfId="467" priority="382">
      <formula>AM26="-"</formula>
    </cfRule>
    <cfRule type="cellIs" dxfId="466" priority="383" operator="equal">
      <formula>"-"</formula>
    </cfRule>
    <cfRule type="cellIs" dxfId="465" priority="384" operator="equal">
      <formula>AM26</formula>
    </cfRule>
    <cfRule type="cellIs" dxfId="464" priority="385" operator="greaterThan">
      <formula>AM26</formula>
    </cfRule>
    <cfRule type="cellIs" dxfId="463" priority="386" operator="lessThan">
      <formula>AM26</formula>
    </cfRule>
  </conditionalFormatting>
  <conditionalFormatting sqref="AN27">
    <cfRule type="expression" dxfId="462" priority="377">
      <formula>AM27="-"</formula>
    </cfRule>
    <cfRule type="cellIs" dxfId="461" priority="378" operator="equal">
      <formula>"-"</formula>
    </cfRule>
    <cfRule type="cellIs" dxfId="460" priority="379" operator="equal">
      <formula>AM27</formula>
    </cfRule>
    <cfRule type="cellIs" dxfId="459" priority="380" operator="greaterThan">
      <formula>AM27</formula>
    </cfRule>
    <cfRule type="cellIs" dxfId="458" priority="381" operator="lessThan">
      <formula>AM27</formula>
    </cfRule>
  </conditionalFormatting>
  <conditionalFormatting sqref="AN28">
    <cfRule type="expression" dxfId="457" priority="372">
      <formula>AM28="-"</formula>
    </cfRule>
    <cfRule type="cellIs" dxfId="456" priority="373" operator="equal">
      <formula>"-"</formula>
    </cfRule>
    <cfRule type="cellIs" dxfId="455" priority="374" operator="equal">
      <formula>AM28</formula>
    </cfRule>
    <cfRule type="cellIs" dxfId="454" priority="375" operator="greaterThan">
      <formula>AM28</formula>
    </cfRule>
    <cfRule type="cellIs" dxfId="453" priority="376" operator="lessThan">
      <formula>AM28</formula>
    </cfRule>
  </conditionalFormatting>
  <conditionalFormatting sqref="AO4">
    <cfRule type="expression" dxfId="452" priority="367">
      <formula>AN4="-"</formula>
    </cfRule>
    <cfRule type="cellIs" dxfId="451" priority="368" operator="equal">
      <formula>"-"</formula>
    </cfRule>
    <cfRule type="cellIs" dxfId="450" priority="369" operator="equal">
      <formula>AN4</formula>
    </cfRule>
    <cfRule type="cellIs" dxfId="449" priority="370" operator="greaterThan">
      <formula>AN4</formula>
    </cfRule>
    <cfRule type="cellIs" dxfId="448" priority="371" operator="lessThan">
      <formula>AN4</formula>
    </cfRule>
  </conditionalFormatting>
  <conditionalFormatting sqref="AO5">
    <cfRule type="expression" dxfId="447" priority="362">
      <formula>AN5="-"</formula>
    </cfRule>
    <cfRule type="cellIs" dxfId="446" priority="363" operator="equal">
      <formula>"-"</formula>
    </cfRule>
    <cfRule type="cellIs" dxfId="445" priority="364" operator="equal">
      <formula>AN5</formula>
    </cfRule>
    <cfRule type="cellIs" dxfId="444" priority="365" operator="greaterThan">
      <formula>AN5</formula>
    </cfRule>
    <cfRule type="cellIs" dxfId="443" priority="366" operator="lessThan">
      <formula>AN5</formula>
    </cfRule>
  </conditionalFormatting>
  <conditionalFormatting sqref="AO6">
    <cfRule type="expression" dxfId="442" priority="357">
      <formula>AN6="-"</formula>
    </cfRule>
    <cfRule type="cellIs" dxfId="441" priority="358" operator="equal">
      <formula>"-"</formula>
    </cfRule>
    <cfRule type="cellIs" dxfId="440" priority="359" operator="equal">
      <formula>AN6</formula>
    </cfRule>
    <cfRule type="cellIs" dxfId="439" priority="360" operator="greaterThan">
      <formula>AN6</formula>
    </cfRule>
    <cfRule type="cellIs" dxfId="438" priority="361" operator="lessThan">
      <formula>AN6</formula>
    </cfRule>
  </conditionalFormatting>
  <conditionalFormatting sqref="AO7">
    <cfRule type="expression" dxfId="437" priority="352">
      <formula>AN7="-"</formula>
    </cfRule>
    <cfRule type="cellIs" dxfId="436" priority="353" operator="equal">
      <formula>"-"</formula>
    </cfRule>
    <cfRule type="cellIs" dxfId="435" priority="354" operator="equal">
      <formula>AN7</formula>
    </cfRule>
    <cfRule type="cellIs" dxfId="434" priority="355" operator="greaterThan">
      <formula>AN7</formula>
    </cfRule>
    <cfRule type="cellIs" dxfId="433" priority="356" operator="lessThan">
      <formula>AN7</formula>
    </cfRule>
  </conditionalFormatting>
  <conditionalFormatting sqref="AO8">
    <cfRule type="expression" dxfId="432" priority="347">
      <formula>AN8="-"</formula>
    </cfRule>
    <cfRule type="cellIs" dxfId="431" priority="348" operator="equal">
      <formula>"-"</formula>
    </cfRule>
    <cfRule type="cellIs" dxfId="430" priority="349" operator="equal">
      <formula>AN8</formula>
    </cfRule>
    <cfRule type="cellIs" dxfId="429" priority="350" operator="greaterThan">
      <formula>AN8</formula>
    </cfRule>
    <cfRule type="cellIs" dxfId="428" priority="351" operator="lessThan">
      <formula>AN8</formula>
    </cfRule>
  </conditionalFormatting>
  <conditionalFormatting sqref="AO9">
    <cfRule type="expression" dxfId="427" priority="342">
      <formula>AN9="-"</formula>
    </cfRule>
    <cfRule type="cellIs" dxfId="426" priority="343" operator="equal">
      <formula>"-"</formula>
    </cfRule>
    <cfRule type="cellIs" dxfId="425" priority="344" operator="equal">
      <formula>AN9</formula>
    </cfRule>
    <cfRule type="cellIs" dxfId="424" priority="345" operator="greaterThan">
      <formula>AN9</formula>
    </cfRule>
    <cfRule type="cellIs" dxfId="423" priority="346" operator="lessThan">
      <formula>AN9</formula>
    </cfRule>
  </conditionalFormatting>
  <conditionalFormatting sqref="AO10">
    <cfRule type="expression" dxfId="422" priority="337">
      <formula>AN10="-"</formula>
    </cfRule>
    <cfRule type="cellIs" dxfId="421" priority="338" operator="equal">
      <formula>"-"</formula>
    </cfRule>
    <cfRule type="cellIs" dxfId="420" priority="339" operator="equal">
      <formula>AN10</formula>
    </cfRule>
    <cfRule type="cellIs" dxfId="419" priority="340" operator="greaterThan">
      <formula>AN10</formula>
    </cfRule>
    <cfRule type="cellIs" dxfId="418" priority="341" operator="lessThan">
      <formula>AN10</formula>
    </cfRule>
  </conditionalFormatting>
  <conditionalFormatting sqref="AO11">
    <cfRule type="expression" dxfId="417" priority="332">
      <formula>AN11="-"</formula>
    </cfRule>
    <cfRule type="cellIs" dxfId="416" priority="333" operator="equal">
      <formula>"-"</formula>
    </cfRule>
    <cfRule type="cellIs" dxfId="415" priority="334" operator="equal">
      <formula>AN11</formula>
    </cfRule>
    <cfRule type="cellIs" dxfId="414" priority="335" operator="greaterThan">
      <formula>AN11</formula>
    </cfRule>
    <cfRule type="cellIs" dxfId="413" priority="336" operator="lessThan">
      <formula>AN11</formula>
    </cfRule>
  </conditionalFormatting>
  <conditionalFormatting sqref="AO12">
    <cfRule type="expression" dxfId="412" priority="327">
      <formula>AN12="-"</formula>
    </cfRule>
    <cfRule type="cellIs" dxfId="411" priority="328" operator="equal">
      <formula>"-"</formula>
    </cfRule>
    <cfRule type="cellIs" dxfId="410" priority="329" operator="equal">
      <formula>AN12</formula>
    </cfRule>
    <cfRule type="cellIs" dxfId="409" priority="330" operator="greaterThan">
      <formula>AN12</formula>
    </cfRule>
    <cfRule type="cellIs" dxfId="408" priority="331" operator="lessThan">
      <formula>AN12</formula>
    </cfRule>
  </conditionalFormatting>
  <conditionalFormatting sqref="AO13">
    <cfRule type="expression" dxfId="407" priority="322">
      <formula>AN13="-"</formula>
    </cfRule>
    <cfRule type="cellIs" dxfId="406" priority="323" operator="equal">
      <formula>"-"</formula>
    </cfRule>
    <cfRule type="cellIs" dxfId="405" priority="324" operator="equal">
      <formula>AN13</formula>
    </cfRule>
    <cfRule type="cellIs" dxfId="404" priority="325" operator="greaterThan">
      <formula>AN13</formula>
    </cfRule>
    <cfRule type="cellIs" dxfId="403" priority="326" operator="lessThan">
      <formula>AN13</formula>
    </cfRule>
  </conditionalFormatting>
  <conditionalFormatting sqref="AO14">
    <cfRule type="expression" dxfId="402" priority="317">
      <formula>AN14="-"</formula>
    </cfRule>
    <cfRule type="cellIs" dxfId="401" priority="318" operator="equal">
      <formula>"-"</formula>
    </cfRule>
    <cfRule type="cellIs" dxfId="400" priority="319" operator="equal">
      <formula>AN14</formula>
    </cfRule>
    <cfRule type="cellIs" dxfId="399" priority="320" operator="greaterThan">
      <formula>AN14</formula>
    </cfRule>
    <cfRule type="cellIs" dxfId="398" priority="321" operator="lessThan">
      <formula>AN14</formula>
    </cfRule>
  </conditionalFormatting>
  <conditionalFormatting sqref="AO15">
    <cfRule type="expression" dxfId="397" priority="312">
      <formula>AN15="-"</formula>
    </cfRule>
    <cfRule type="cellIs" dxfId="396" priority="313" operator="equal">
      <formula>"-"</formula>
    </cfRule>
    <cfRule type="cellIs" dxfId="395" priority="314" operator="equal">
      <formula>AN15</formula>
    </cfRule>
    <cfRule type="cellIs" dxfId="394" priority="315" operator="greaterThan">
      <formula>AN15</formula>
    </cfRule>
    <cfRule type="cellIs" dxfId="393" priority="316" operator="lessThan">
      <formula>AN15</formula>
    </cfRule>
  </conditionalFormatting>
  <conditionalFormatting sqref="AO16">
    <cfRule type="expression" dxfId="392" priority="307">
      <formula>AN16="-"</formula>
    </cfRule>
    <cfRule type="cellIs" dxfId="391" priority="308" operator="equal">
      <formula>"-"</formula>
    </cfRule>
    <cfRule type="cellIs" dxfId="390" priority="309" operator="equal">
      <formula>AN16</formula>
    </cfRule>
    <cfRule type="cellIs" dxfId="389" priority="310" operator="greaterThan">
      <formula>AN16</formula>
    </cfRule>
    <cfRule type="cellIs" dxfId="388" priority="311" operator="lessThan">
      <formula>AN16</formula>
    </cfRule>
  </conditionalFormatting>
  <conditionalFormatting sqref="AO17">
    <cfRule type="expression" dxfId="387" priority="302">
      <formula>AN17="-"</formula>
    </cfRule>
    <cfRule type="cellIs" dxfId="386" priority="303" operator="equal">
      <formula>"-"</formula>
    </cfRule>
    <cfRule type="cellIs" dxfId="385" priority="304" operator="equal">
      <formula>AN17</formula>
    </cfRule>
    <cfRule type="cellIs" dxfId="384" priority="305" operator="greaterThan">
      <formula>AN17</formula>
    </cfRule>
    <cfRule type="cellIs" dxfId="383" priority="306" operator="lessThan">
      <formula>AN17</formula>
    </cfRule>
  </conditionalFormatting>
  <conditionalFormatting sqref="AO18">
    <cfRule type="expression" dxfId="382" priority="297">
      <formula>AN18="-"</formula>
    </cfRule>
    <cfRule type="cellIs" dxfId="381" priority="298" operator="equal">
      <formula>"-"</formula>
    </cfRule>
    <cfRule type="cellIs" dxfId="380" priority="299" operator="equal">
      <formula>AN18</formula>
    </cfRule>
    <cfRule type="cellIs" dxfId="379" priority="300" operator="greaterThan">
      <formula>AN18</formula>
    </cfRule>
    <cfRule type="cellIs" dxfId="378" priority="301" operator="lessThan">
      <formula>AN18</formula>
    </cfRule>
  </conditionalFormatting>
  <conditionalFormatting sqref="AO19">
    <cfRule type="expression" dxfId="377" priority="292">
      <formula>AN19="-"</formula>
    </cfRule>
    <cfRule type="cellIs" dxfId="376" priority="293" operator="equal">
      <formula>"-"</formula>
    </cfRule>
    <cfRule type="cellIs" dxfId="375" priority="294" operator="equal">
      <formula>AN19</formula>
    </cfRule>
    <cfRule type="cellIs" dxfId="374" priority="295" operator="greaterThan">
      <formula>AN19</formula>
    </cfRule>
    <cfRule type="cellIs" dxfId="373" priority="296" operator="lessThan">
      <formula>AN19</formula>
    </cfRule>
  </conditionalFormatting>
  <conditionalFormatting sqref="AO20">
    <cfRule type="expression" dxfId="372" priority="287">
      <formula>AN20="-"</formula>
    </cfRule>
    <cfRule type="cellIs" dxfId="371" priority="288" operator="equal">
      <formula>"-"</formula>
    </cfRule>
    <cfRule type="cellIs" dxfId="370" priority="289" operator="equal">
      <formula>AN20</formula>
    </cfRule>
    <cfRule type="cellIs" dxfId="369" priority="290" operator="greaterThan">
      <formula>AN20</formula>
    </cfRule>
    <cfRule type="cellIs" dxfId="368" priority="291" operator="lessThan">
      <formula>AN20</formula>
    </cfRule>
  </conditionalFormatting>
  <conditionalFormatting sqref="AO21">
    <cfRule type="expression" dxfId="367" priority="282">
      <formula>AN21="-"</formula>
    </cfRule>
    <cfRule type="cellIs" dxfId="366" priority="283" operator="equal">
      <formula>"-"</formula>
    </cfRule>
    <cfRule type="cellIs" dxfId="365" priority="284" operator="equal">
      <formula>AN21</formula>
    </cfRule>
    <cfRule type="cellIs" dxfId="364" priority="285" operator="greaterThan">
      <formula>AN21</formula>
    </cfRule>
    <cfRule type="cellIs" dxfId="363" priority="286" operator="lessThan">
      <formula>AN21</formula>
    </cfRule>
  </conditionalFormatting>
  <conditionalFormatting sqref="AO22">
    <cfRule type="expression" dxfId="362" priority="277">
      <formula>AN22="-"</formula>
    </cfRule>
    <cfRule type="cellIs" dxfId="361" priority="278" operator="equal">
      <formula>"-"</formula>
    </cfRule>
    <cfRule type="cellIs" dxfId="360" priority="279" operator="equal">
      <formula>AN22</formula>
    </cfRule>
    <cfRule type="cellIs" dxfId="359" priority="280" operator="greaterThan">
      <formula>AN22</formula>
    </cfRule>
    <cfRule type="cellIs" dxfId="358" priority="281" operator="lessThan">
      <formula>AN22</formula>
    </cfRule>
  </conditionalFormatting>
  <conditionalFormatting sqref="AO23">
    <cfRule type="expression" dxfId="357" priority="272">
      <formula>AN23="-"</formula>
    </cfRule>
    <cfRule type="cellIs" dxfId="356" priority="273" operator="equal">
      <formula>"-"</formula>
    </cfRule>
    <cfRule type="cellIs" dxfId="355" priority="274" operator="equal">
      <formula>AN23</formula>
    </cfRule>
    <cfRule type="cellIs" dxfId="354" priority="275" operator="greaterThan">
      <formula>AN23</formula>
    </cfRule>
    <cfRule type="cellIs" dxfId="353" priority="276" operator="lessThan">
      <formula>AN23</formula>
    </cfRule>
  </conditionalFormatting>
  <conditionalFormatting sqref="AO24">
    <cfRule type="expression" dxfId="352" priority="267">
      <formula>AN24="-"</formula>
    </cfRule>
    <cfRule type="cellIs" dxfId="351" priority="268" operator="equal">
      <formula>"-"</formula>
    </cfRule>
    <cfRule type="cellIs" dxfId="350" priority="269" operator="equal">
      <formula>AN24</formula>
    </cfRule>
    <cfRule type="cellIs" dxfId="349" priority="270" operator="greaterThan">
      <formula>AN24</formula>
    </cfRule>
    <cfRule type="cellIs" dxfId="348" priority="271" operator="lessThan">
      <formula>AN24</formula>
    </cfRule>
  </conditionalFormatting>
  <conditionalFormatting sqref="AO25">
    <cfRule type="expression" dxfId="347" priority="262">
      <formula>AN25="-"</formula>
    </cfRule>
    <cfRule type="cellIs" dxfId="346" priority="263" operator="equal">
      <formula>"-"</formula>
    </cfRule>
    <cfRule type="cellIs" dxfId="345" priority="264" operator="equal">
      <formula>AN25</formula>
    </cfRule>
    <cfRule type="cellIs" dxfId="344" priority="265" operator="greaterThan">
      <formula>AN25</formula>
    </cfRule>
    <cfRule type="cellIs" dxfId="343" priority="266" operator="lessThan">
      <formula>AN25</formula>
    </cfRule>
  </conditionalFormatting>
  <conditionalFormatting sqref="AO26">
    <cfRule type="expression" dxfId="342" priority="257">
      <formula>AN26="-"</formula>
    </cfRule>
    <cfRule type="cellIs" dxfId="341" priority="258" operator="equal">
      <formula>"-"</formula>
    </cfRule>
    <cfRule type="cellIs" dxfId="340" priority="259" operator="equal">
      <formula>AN26</formula>
    </cfRule>
    <cfRule type="cellIs" dxfId="339" priority="260" operator="greaterThan">
      <formula>AN26</formula>
    </cfRule>
    <cfRule type="cellIs" dxfId="338" priority="261" operator="lessThan">
      <formula>AN26</formula>
    </cfRule>
  </conditionalFormatting>
  <conditionalFormatting sqref="AO27">
    <cfRule type="expression" dxfId="337" priority="252">
      <formula>AN27="-"</formula>
    </cfRule>
    <cfRule type="cellIs" dxfId="336" priority="253" operator="equal">
      <formula>"-"</formula>
    </cfRule>
    <cfRule type="cellIs" dxfId="335" priority="254" operator="equal">
      <formula>AN27</formula>
    </cfRule>
    <cfRule type="cellIs" dxfId="334" priority="255" operator="greaterThan">
      <formula>AN27</formula>
    </cfRule>
    <cfRule type="cellIs" dxfId="333" priority="256" operator="lessThan">
      <formula>AN27</formula>
    </cfRule>
  </conditionalFormatting>
  <conditionalFormatting sqref="AO28">
    <cfRule type="expression" dxfId="332" priority="247">
      <formula>AN28="-"</formula>
    </cfRule>
    <cfRule type="cellIs" dxfId="331" priority="248" operator="equal">
      <formula>"-"</formula>
    </cfRule>
    <cfRule type="cellIs" dxfId="330" priority="249" operator="equal">
      <formula>AN28</formula>
    </cfRule>
    <cfRule type="cellIs" dxfId="329" priority="250" operator="greaterThan">
      <formula>AN28</formula>
    </cfRule>
    <cfRule type="cellIs" dxfId="328" priority="251" operator="lessThan">
      <formula>AN28</formula>
    </cfRule>
  </conditionalFormatting>
  <conditionalFormatting sqref="AQ4">
    <cfRule type="cellIs" dxfId="327" priority="243" operator="equal">
      <formula>"-"</formula>
    </cfRule>
    <cfRule type="cellIs" dxfId="326" priority="244" operator="equal">
      <formula>0</formula>
    </cfRule>
    <cfRule type="cellIs" dxfId="325" priority="245" operator="greaterThan">
      <formula>0</formula>
    </cfRule>
    <cfRule type="cellIs" dxfId="324" priority="246" operator="lessThan">
      <formula>0</formula>
    </cfRule>
  </conditionalFormatting>
  <conditionalFormatting sqref="AQ5">
    <cfRule type="cellIs" dxfId="323" priority="239" operator="equal">
      <formula>"-"</formula>
    </cfRule>
    <cfRule type="cellIs" dxfId="322" priority="240" operator="equal">
      <formula>0</formula>
    </cfRule>
    <cfRule type="cellIs" dxfId="321" priority="241" operator="greaterThan">
      <formula>0</formula>
    </cfRule>
    <cfRule type="cellIs" dxfId="320" priority="242" operator="lessThan">
      <formula>0</formula>
    </cfRule>
  </conditionalFormatting>
  <conditionalFormatting sqref="AQ6">
    <cfRule type="cellIs" dxfId="319" priority="235" operator="equal">
      <formula>"-"</formula>
    </cfRule>
    <cfRule type="cellIs" dxfId="318" priority="236" operator="equal">
      <formula>0</formula>
    </cfRule>
    <cfRule type="cellIs" dxfId="317" priority="237" operator="greaterThan">
      <formula>0</formula>
    </cfRule>
    <cfRule type="cellIs" dxfId="316" priority="238" operator="lessThan">
      <formula>0</formula>
    </cfRule>
  </conditionalFormatting>
  <conditionalFormatting sqref="AQ7">
    <cfRule type="cellIs" dxfId="315" priority="231" operator="equal">
      <formula>"-"</formula>
    </cfRule>
    <cfRule type="cellIs" dxfId="314" priority="232" operator="equal">
      <formula>0</formula>
    </cfRule>
    <cfRule type="cellIs" dxfId="313" priority="233" operator="greaterThan">
      <formula>0</formula>
    </cfRule>
    <cfRule type="cellIs" dxfId="312" priority="234" operator="lessThan">
      <formula>0</formula>
    </cfRule>
  </conditionalFormatting>
  <conditionalFormatting sqref="AQ8">
    <cfRule type="cellIs" dxfId="311" priority="227" operator="equal">
      <formula>"-"</formula>
    </cfRule>
    <cfRule type="cellIs" dxfId="310" priority="228" operator="equal">
      <formula>0</formula>
    </cfRule>
    <cfRule type="cellIs" dxfId="309" priority="229" operator="greaterThan">
      <formula>0</formula>
    </cfRule>
    <cfRule type="cellIs" dxfId="308" priority="230" operator="lessThan">
      <formula>0</formula>
    </cfRule>
  </conditionalFormatting>
  <conditionalFormatting sqref="AQ9">
    <cfRule type="cellIs" dxfId="307" priority="223" operator="equal">
      <formula>"-"</formula>
    </cfRule>
    <cfRule type="cellIs" dxfId="306" priority="224" operator="equal">
      <formula>0</formula>
    </cfRule>
    <cfRule type="cellIs" dxfId="305" priority="225" operator="greaterThan">
      <formula>0</formula>
    </cfRule>
    <cfRule type="cellIs" dxfId="304" priority="226" operator="lessThan">
      <formula>0</formula>
    </cfRule>
  </conditionalFormatting>
  <conditionalFormatting sqref="AQ10">
    <cfRule type="cellIs" dxfId="303" priority="219" operator="equal">
      <formula>"-"</formula>
    </cfRule>
    <cfRule type="cellIs" dxfId="302" priority="220" operator="equal">
      <formula>0</formula>
    </cfRule>
    <cfRule type="cellIs" dxfId="301" priority="221" operator="greaterThan">
      <formula>0</formula>
    </cfRule>
    <cfRule type="cellIs" dxfId="300" priority="222" operator="lessThan">
      <formula>0</formula>
    </cfRule>
  </conditionalFormatting>
  <conditionalFormatting sqref="AQ11">
    <cfRule type="cellIs" dxfId="299" priority="215" operator="equal">
      <formula>"-"</formula>
    </cfRule>
    <cfRule type="cellIs" dxfId="298" priority="216" operator="equal">
      <formula>0</formula>
    </cfRule>
    <cfRule type="cellIs" dxfId="297" priority="217" operator="greaterThan">
      <formula>0</formula>
    </cfRule>
    <cfRule type="cellIs" dxfId="296" priority="218" operator="lessThan">
      <formula>0</formula>
    </cfRule>
  </conditionalFormatting>
  <conditionalFormatting sqref="AQ12">
    <cfRule type="cellIs" dxfId="295" priority="211" operator="equal">
      <formula>"-"</formula>
    </cfRule>
    <cfRule type="cellIs" dxfId="294" priority="212" operator="equal">
      <formula>0</formula>
    </cfRule>
    <cfRule type="cellIs" dxfId="293" priority="213" operator="greaterThan">
      <formula>0</formula>
    </cfRule>
    <cfRule type="cellIs" dxfId="292" priority="214" operator="lessThan">
      <formula>0</formula>
    </cfRule>
  </conditionalFormatting>
  <conditionalFormatting sqref="AQ13">
    <cfRule type="cellIs" dxfId="291" priority="207" operator="equal">
      <formula>"-"</formula>
    </cfRule>
    <cfRule type="cellIs" dxfId="290" priority="208" operator="equal">
      <formula>0</formula>
    </cfRule>
    <cfRule type="cellIs" dxfId="289" priority="209" operator="greaterThan">
      <formula>0</formula>
    </cfRule>
    <cfRule type="cellIs" dxfId="288" priority="210" operator="lessThan">
      <formula>0</formula>
    </cfRule>
  </conditionalFormatting>
  <conditionalFormatting sqref="AQ14">
    <cfRule type="cellIs" dxfId="287" priority="203" operator="equal">
      <formula>"-"</formula>
    </cfRule>
    <cfRule type="cellIs" dxfId="286" priority="204" operator="equal">
      <formula>0</formula>
    </cfRule>
    <cfRule type="cellIs" dxfId="285" priority="205" operator="greaterThan">
      <formula>0</formula>
    </cfRule>
    <cfRule type="cellIs" dxfId="284" priority="206" operator="lessThan">
      <formula>0</formula>
    </cfRule>
  </conditionalFormatting>
  <conditionalFormatting sqref="AQ15">
    <cfRule type="cellIs" dxfId="283" priority="199" operator="equal">
      <formula>"-"</formula>
    </cfRule>
    <cfRule type="cellIs" dxfId="282" priority="200" operator="equal">
      <formula>0</formula>
    </cfRule>
    <cfRule type="cellIs" dxfId="281" priority="201" operator="greaterThan">
      <formula>0</formula>
    </cfRule>
    <cfRule type="cellIs" dxfId="280" priority="202" operator="lessThan">
      <formula>0</formula>
    </cfRule>
  </conditionalFormatting>
  <conditionalFormatting sqref="AQ16">
    <cfRule type="cellIs" dxfId="279" priority="195" operator="equal">
      <formula>"-"</formula>
    </cfRule>
    <cfRule type="cellIs" dxfId="278" priority="196" operator="equal">
      <formula>0</formula>
    </cfRule>
    <cfRule type="cellIs" dxfId="277" priority="197" operator="greaterThan">
      <formula>0</formula>
    </cfRule>
    <cfRule type="cellIs" dxfId="276" priority="198" operator="lessThan">
      <formula>0</formula>
    </cfRule>
  </conditionalFormatting>
  <conditionalFormatting sqref="AQ17">
    <cfRule type="cellIs" dxfId="275" priority="191" operator="equal">
      <formula>"-"</formula>
    </cfRule>
    <cfRule type="cellIs" dxfId="274" priority="192" operator="equal">
      <formula>0</formula>
    </cfRule>
    <cfRule type="cellIs" dxfId="273" priority="193" operator="greaterThan">
      <formula>0</formula>
    </cfRule>
    <cfRule type="cellIs" dxfId="272" priority="194" operator="lessThan">
      <formula>0</formula>
    </cfRule>
  </conditionalFormatting>
  <conditionalFormatting sqref="AQ18">
    <cfRule type="cellIs" dxfId="271" priority="187" operator="equal">
      <formula>"-"</formula>
    </cfRule>
    <cfRule type="cellIs" dxfId="270" priority="188" operator="equal">
      <formula>0</formula>
    </cfRule>
    <cfRule type="cellIs" dxfId="269" priority="189" operator="greaterThan">
      <formula>0</formula>
    </cfRule>
    <cfRule type="cellIs" dxfId="268" priority="190" operator="lessThan">
      <formula>0</formula>
    </cfRule>
  </conditionalFormatting>
  <conditionalFormatting sqref="AQ19">
    <cfRule type="cellIs" dxfId="267" priority="183" operator="equal">
      <formula>"-"</formula>
    </cfRule>
    <cfRule type="cellIs" dxfId="266" priority="184" operator="equal">
      <formula>0</formula>
    </cfRule>
    <cfRule type="cellIs" dxfId="265" priority="185" operator="greaterThan">
      <formula>0</formula>
    </cfRule>
    <cfRule type="cellIs" dxfId="264" priority="186" operator="lessThan">
      <formula>0</formula>
    </cfRule>
  </conditionalFormatting>
  <conditionalFormatting sqref="AQ20">
    <cfRule type="cellIs" dxfId="263" priority="179" operator="equal">
      <formula>"-"</formula>
    </cfRule>
    <cfRule type="cellIs" dxfId="262" priority="180" operator="equal">
      <formula>0</formula>
    </cfRule>
    <cfRule type="cellIs" dxfId="261" priority="181" operator="greaterThan">
      <formula>0</formula>
    </cfRule>
    <cfRule type="cellIs" dxfId="260" priority="182" operator="lessThan">
      <formula>0</formula>
    </cfRule>
  </conditionalFormatting>
  <conditionalFormatting sqref="AQ21">
    <cfRule type="cellIs" dxfId="259" priority="175" operator="equal">
      <formula>"-"</formula>
    </cfRule>
    <cfRule type="cellIs" dxfId="258" priority="176" operator="equal">
      <formula>0</formula>
    </cfRule>
    <cfRule type="cellIs" dxfId="257" priority="177" operator="greaterThan">
      <formula>0</formula>
    </cfRule>
    <cfRule type="cellIs" dxfId="256" priority="178" operator="lessThan">
      <formula>0</formula>
    </cfRule>
  </conditionalFormatting>
  <conditionalFormatting sqref="AQ22">
    <cfRule type="cellIs" dxfId="255" priority="171" operator="equal">
      <formula>"-"</formula>
    </cfRule>
    <cfRule type="cellIs" dxfId="254" priority="172" operator="equal">
      <formula>0</formula>
    </cfRule>
    <cfRule type="cellIs" dxfId="253" priority="173" operator="greaterThan">
      <formula>0</formula>
    </cfRule>
    <cfRule type="cellIs" dxfId="252" priority="174" operator="lessThan">
      <formula>0</formula>
    </cfRule>
  </conditionalFormatting>
  <conditionalFormatting sqref="AQ23">
    <cfRule type="cellIs" dxfId="251" priority="167" operator="equal">
      <formula>"-"</formula>
    </cfRule>
    <cfRule type="cellIs" dxfId="250" priority="168" operator="equal">
      <formula>0</formula>
    </cfRule>
    <cfRule type="cellIs" dxfId="249" priority="169" operator="greaterThan">
      <formula>0</formula>
    </cfRule>
    <cfRule type="cellIs" dxfId="248" priority="170" operator="lessThan">
      <formula>0</formula>
    </cfRule>
  </conditionalFormatting>
  <conditionalFormatting sqref="AQ24">
    <cfRule type="cellIs" dxfId="247" priority="163" operator="equal">
      <formula>"-"</formula>
    </cfRule>
    <cfRule type="cellIs" dxfId="246" priority="164" operator="equal">
      <formula>0</formula>
    </cfRule>
    <cfRule type="cellIs" dxfId="245" priority="165" operator="greaterThan">
      <formula>0</formula>
    </cfRule>
    <cfRule type="cellIs" dxfId="244" priority="166" operator="lessThan">
      <formula>0</formula>
    </cfRule>
  </conditionalFormatting>
  <conditionalFormatting sqref="AQ25">
    <cfRule type="cellIs" dxfId="243" priority="159" operator="equal">
      <formula>"-"</formula>
    </cfRule>
    <cfRule type="cellIs" dxfId="242" priority="160" operator="equal">
      <formula>0</formula>
    </cfRule>
    <cfRule type="cellIs" dxfId="241" priority="161" operator="greaterThan">
      <formula>0</formula>
    </cfRule>
    <cfRule type="cellIs" dxfId="240" priority="162" operator="lessThan">
      <formula>0</formula>
    </cfRule>
  </conditionalFormatting>
  <conditionalFormatting sqref="AQ26">
    <cfRule type="cellIs" dxfId="239" priority="155" operator="equal">
      <formula>"-"</formula>
    </cfRule>
    <cfRule type="cellIs" dxfId="238" priority="156" operator="equal">
      <formula>0</formula>
    </cfRule>
    <cfRule type="cellIs" dxfId="237" priority="157" operator="greaterThan">
      <formula>0</formula>
    </cfRule>
    <cfRule type="cellIs" dxfId="236" priority="158" operator="lessThan">
      <formula>0</formula>
    </cfRule>
  </conditionalFormatting>
  <conditionalFormatting sqref="AQ27">
    <cfRule type="cellIs" dxfId="235" priority="151" operator="equal">
      <formula>"-"</formula>
    </cfRule>
    <cfRule type="cellIs" dxfId="234" priority="152" operator="equal">
      <formula>0</formula>
    </cfRule>
    <cfRule type="cellIs" dxfId="233" priority="153" operator="greaterThan">
      <formula>0</formula>
    </cfRule>
    <cfRule type="cellIs" dxfId="232" priority="154" operator="lessThan">
      <formula>0</formula>
    </cfRule>
  </conditionalFormatting>
  <conditionalFormatting sqref="AQ28">
    <cfRule type="cellIs" dxfId="231" priority="147" operator="equal">
      <formula>"-"</formula>
    </cfRule>
    <cfRule type="cellIs" dxfId="230" priority="148" operator="equal">
      <formula>0</formula>
    </cfRule>
    <cfRule type="cellIs" dxfId="229" priority="149" operator="greaterThan">
      <formula>0</formula>
    </cfRule>
    <cfRule type="cellIs" dxfId="228" priority="150" operator="lessThan">
      <formula>0</formula>
    </cfRule>
  </conditionalFormatting>
  <conditionalFormatting sqref="AR4">
    <cfRule type="cellIs" dxfId="227" priority="143" operator="equal">
      <formula>"-"</formula>
    </cfRule>
    <cfRule type="cellIs" dxfId="226" priority="144" operator="equal">
      <formula>0</formula>
    </cfRule>
    <cfRule type="cellIs" dxfId="225" priority="145" operator="greaterThan">
      <formula>0</formula>
    </cfRule>
    <cfRule type="cellIs" dxfId="224" priority="146" operator="lessThan">
      <formula>0</formula>
    </cfRule>
  </conditionalFormatting>
  <conditionalFormatting sqref="AR5">
    <cfRule type="cellIs" dxfId="223" priority="139" operator="equal">
      <formula>"-"</formula>
    </cfRule>
    <cfRule type="cellIs" dxfId="222" priority="140" operator="equal">
      <formula>0</formula>
    </cfRule>
    <cfRule type="cellIs" dxfId="221" priority="141" operator="greaterThan">
      <formula>0</formula>
    </cfRule>
    <cfRule type="cellIs" dxfId="220" priority="142" operator="lessThan">
      <formula>0</formula>
    </cfRule>
  </conditionalFormatting>
  <conditionalFormatting sqref="AR6">
    <cfRule type="cellIs" dxfId="219" priority="135" operator="equal">
      <formula>"-"</formula>
    </cfRule>
    <cfRule type="cellIs" dxfId="218" priority="136" operator="equal">
      <formula>0</formula>
    </cfRule>
    <cfRule type="cellIs" dxfId="217" priority="137" operator="greaterThan">
      <formula>0</formula>
    </cfRule>
    <cfRule type="cellIs" dxfId="216" priority="138" operator="lessThan">
      <formula>0</formula>
    </cfRule>
  </conditionalFormatting>
  <conditionalFormatting sqref="AR7">
    <cfRule type="cellIs" dxfId="215" priority="131" operator="equal">
      <formula>"-"</formula>
    </cfRule>
    <cfRule type="cellIs" dxfId="214" priority="132" operator="equal">
      <formula>0</formula>
    </cfRule>
    <cfRule type="cellIs" dxfId="213" priority="133" operator="greaterThan">
      <formula>0</formula>
    </cfRule>
    <cfRule type="cellIs" dxfId="212" priority="134" operator="lessThan">
      <formula>0</formula>
    </cfRule>
  </conditionalFormatting>
  <conditionalFormatting sqref="AR8">
    <cfRule type="cellIs" dxfId="211" priority="127" operator="equal">
      <formula>"-"</formula>
    </cfRule>
    <cfRule type="cellIs" dxfId="210" priority="128" operator="equal">
      <formula>0</formula>
    </cfRule>
    <cfRule type="cellIs" dxfId="209" priority="129" operator="greaterThan">
      <formula>0</formula>
    </cfRule>
    <cfRule type="cellIs" dxfId="208" priority="130" operator="lessThan">
      <formula>0</formula>
    </cfRule>
  </conditionalFormatting>
  <conditionalFormatting sqref="AR9">
    <cfRule type="cellIs" dxfId="207" priority="123" operator="equal">
      <formula>"-"</formula>
    </cfRule>
    <cfRule type="cellIs" dxfId="206" priority="124" operator="equal">
      <formula>0</formula>
    </cfRule>
    <cfRule type="cellIs" dxfId="205" priority="125" operator="greaterThan">
      <formula>0</formula>
    </cfRule>
    <cfRule type="cellIs" dxfId="204" priority="126" operator="lessThan">
      <formula>0</formula>
    </cfRule>
  </conditionalFormatting>
  <conditionalFormatting sqref="AR10">
    <cfRule type="cellIs" dxfId="203" priority="119" operator="equal">
      <formula>"-"</formula>
    </cfRule>
    <cfRule type="cellIs" dxfId="202" priority="120" operator="equal">
      <formula>0</formula>
    </cfRule>
    <cfRule type="cellIs" dxfId="201" priority="121" operator="greaterThan">
      <formula>0</formula>
    </cfRule>
    <cfRule type="cellIs" dxfId="200" priority="122" operator="lessThan">
      <formula>0</formula>
    </cfRule>
  </conditionalFormatting>
  <conditionalFormatting sqref="AR11">
    <cfRule type="cellIs" dxfId="199" priority="115" operator="equal">
      <formula>"-"</formula>
    </cfRule>
    <cfRule type="cellIs" dxfId="198" priority="116" operator="equal">
      <formula>0</formula>
    </cfRule>
    <cfRule type="cellIs" dxfId="197" priority="117" operator="greaterThan">
      <formula>0</formula>
    </cfRule>
    <cfRule type="cellIs" dxfId="196" priority="118" operator="lessThan">
      <formula>0</formula>
    </cfRule>
  </conditionalFormatting>
  <conditionalFormatting sqref="AR12">
    <cfRule type="cellIs" dxfId="195" priority="111" operator="equal">
      <formula>"-"</formula>
    </cfRule>
    <cfRule type="cellIs" dxfId="194" priority="112" operator="equal">
      <formula>0</formula>
    </cfRule>
    <cfRule type="cellIs" dxfId="193" priority="113" operator="greaterThan">
      <formula>0</formula>
    </cfRule>
    <cfRule type="cellIs" dxfId="192" priority="114" operator="lessThan">
      <formula>0</formula>
    </cfRule>
  </conditionalFormatting>
  <conditionalFormatting sqref="AR13">
    <cfRule type="cellIs" dxfId="191" priority="107" operator="equal">
      <formula>"-"</formula>
    </cfRule>
    <cfRule type="cellIs" dxfId="190" priority="108" operator="equal">
      <formula>0</formula>
    </cfRule>
    <cfRule type="cellIs" dxfId="189" priority="109" operator="greaterThan">
      <formula>0</formula>
    </cfRule>
    <cfRule type="cellIs" dxfId="188" priority="110" operator="lessThan">
      <formula>0</formula>
    </cfRule>
  </conditionalFormatting>
  <conditionalFormatting sqref="AR14">
    <cfRule type="cellIs" dxfId="187" priority="103" operator="equal">
      <formula>"-"</formula>
    </cfRule>
    <cfRule type="cellIs" dxfId="186" priority="104" operator="equal">
      <formula>0</formula>
    </cfRule>
    <cfRule type="cellIs" dxfId="185" priority="105" operator="greaterThan">
      <formula>0</formula>
    </cfRule>
    <cfRule type="cellIs" dxfId="184" priority="106" operator="lessThan">
      <formula>0</formula>
    </cfRule>
  </conditionalFormatting>
  <conditionalFormatting sqref="AR15">
    <cfRule type="cellIs" dxfId="183" priority="99" operator="equal">
      <formula>"-"</formula>
    </cfRule>
    <cfRule type="cellIs" dxfId="182" priority="100" operator="equal">
      <formula>0</formula>
    </cfRule>
    <cfRule type="cellIs" dxfId="181" priority="101" operator="greaterThan">
      <formula>0</formula>
    </cfRule>
    <cfRule type="cellIs" dxfId="180" priority="102" operator="lessThan">
      <formula>0</formula>
    </cfRule>
  </conditionalFormatting>
  <conditionalFormatting sqref="AR16">
    <cfRule type="cellIs" dxfId="179" priority="95" operator="equal">
      <formula>"-"</formula>
    </cfRule>
    <cfRule type="cellIs" dxfId="178" priority="96" operator="equal">
      <formula>0</formula>
    </cfRule>
    <cfRule type="cellIs" dxfId="177" priority="97" operator="greaterThan">
      <formula>0</formula>
    </cfRule>
    <cfRule type="cellIs" dxfId="176" priority="98" operator="lessThan">
      <formula>0</formula>
    </cfRule>
  </conditionalFormatting>
  <conditionalFormatting sqref="AR17">
    <cfRule type="cellIs" dxfId="175" priority="91" operator="equal">
      <formula>"-"</formula>
    </cfRule>
    <cfRule type="cellIs" dxfId="174" priority="92" operator="equal">
      <formula>0</formula>
    </cfRule>
    <cfRule type="cellIs" dxfId="173" priority="93" operator="greaterThan">
      <formula>0</formula>
    </cfRule>
    <cfRule type="cellIs" dxfId="172" priority="94" operator="lessThan">
      <formula>0</formula>
    </cfRule>
  </conditionalFormatting>
  <conditionalFormatting sqref="AR18">
    <cfRule type="cellIs" dxfId="171" priority="87" operator="equal">
      <formula>"-"</formula>
    </cfRule>
    <cfRule type="cellIs" dxfId="170" priority="88" operator="equal">
      <formula>0</formula>
    </cfRule>
    <cfRule type="cellIs" dxfId="169" priority="89" operator="greaterThan">
      <formula>0</formula>
    </cfRule>
    <cfRule type="cellIs" dxfId="168" priority="90" operator="lessThan">
      <formula>0</formula>
    </cfRule>
  </conditionalFormatting>
  <conditionalFormatting sqref="AR19">
    <cfRule type="cellIs" dxfId="167" priority="83" operator="equal">
      <formula>"-"</formula>
    </cfRule>
    <cfRule type="cellIs" dxfId="166" priority="84" operator="equal">
      <formula>0</formula>
    </cfRule>
    <cfRule type="cellIs" dxfId="165" priority="85" operator="greaterThan">
      <formula>0</formula>
    </cfRule>
    <cfRule type="cellIs" dxfId="164" priority="86" operator="lessThan">
      <formula>0</formula>
    </cfRule>
  </conditionalFormatting>
  <conditionalFormatting sqref="AR20">
    <cfRule type="cellIs" dxfId="163" priority="79" operator="equal">
      <formula>"-"</formula>
    </cfRule>
    <cfRule type="cellIs" dxfId="162" priority="80" operator="equal">
      <formula>0</formula>
    </cfRule>
    <cfRule type="cellIs" dxfId="161" priority="81" operator="greaterThan">
      <formula>0</formula>
    </cfRule>
    <cfRule type="cellIs" dxfId="160" priority="82" operator="lessThan">
      <formula>0</formula>
    </cfRule>
  </conditionalFormatting>
  <conditionalFormatting sqref="AR21">
    <cfRule type="cellIs" dxfId="159" priority="75" operator="equal">
      <formula>"-"</formula>
    </cfRule>
    <cfRule type="cellIs" dxfId="158" priority="76" operator="equal">
      <formula>0</formula>
    </cfRule>
    <cfRule type="cellIs" dxfId="157" priority="77" operator="greaterThan">
      <formula>0</formula>
    </cfRule>
    <cfRule type="cellIs" dxfId="156" priority="78" operator="lessThan">
      <formula>0</formula>
    </cfRule>
  </conditionalFormatting>
  <conditionalFormatting sqref="AR22">
    <cfRule type="cellIs" dxfId="155" priority="71" operator="equal">
      <formula>"-"</formula>
    </cfRule>
    <cfRule type="cellIs" dxfId="154" priority="72" operator="equal">
      <formula>0</formula>
    </cfRule>
    <cfRule type="cellIs" dxfId="153" priority="73" operator="greaterThan">
      <formula>0</formula>
    </cfRule>
    <cfRule type="cellIs" dxfId="152" priority="74" operator="lessThan">
      <formula>0</formula>
    </cfRule>
  </conditionalFormatting>
  <conditionalFormatting sqref="AR23">
    <cfRule type="cellIs" dxfId="151" priority="67" operator="equal">
      <formula>"-"</formula>
    </cfRule>
    <cfRule type="cellIs" dxfId="150" priority="68" operator="equal">
      <formula>0</formula>
    </cfRule>
    <cfRule type="cellIs" dxfId="149" priority="69" operator="greaterThan">
      <formula>0</formula>
    </cfRule>
    <cfRule type="cellIs" dxfId="148" priority="70" operator="lessThan">
      <formula>0</formula>
    </cfRule>
  </conditionalFormatting>
  <conditionalFormatting sqref="AR24">
    <cfRule type="cellIs" dxfId="147" priority="63" operator="equal">
      <formula>"-"</formula>
    </cfRule>
    <cfRule type="cellIs" dxfId="146" priority="64" operator="equal">
      <formula>0</formula>
    </cfRule>
    <cfRule type="cellIs" dxfId="145" priority="65" operator="greaterThan">
      <formula>0</formula>
    </cfRule>
    <cfRule type="cellIs" dxfId="144" priority="66" operator="lessThan">
      <formula>0</formula>
    </cfRule>
  </conditionalFormatting>
  <conditionalFormatting sqref="AR25">
    <cfRule type="cellIs" dxfId="143" priority="59" operator="equal">
      <formula>"-"</formula>
    </cfRule>
    <cfRule type="cellIs" dxfId="142" priority="60" operator="equal">
      <formula>0</formula>
    </cfRule>
    <cfRule type="cellIs" dxfId="141" priority="61" operator="greaterThan">
      <formula>0</formula>
    </cfRule>
    <cfRule type="cellIs" dxfId="140" priority="62" operator="lessThan">
      <formula>0</formula>
    </cfRule>
  </conditionalFormatting>
  <conditionalFormatting sqref="AR26">
    <cfRule type="cellIs" dxfId="139" priority="55" operator="equal">
      <formula>"-"</formula>
    </cfRule>
    <cfRule type="cellIs" dxfId="138" priority="56" operator="equal">
      <formula>0</formula>
    </cfRule>
    <cfRule type="cellIs" dxfId="137" priority="57" operator="greaterThan">
      <formula>0</formula>
    </cfRule>
    <cfRule type="cellIs" dxfId="136" priority="58" operator="lessThan">
      <formula>0</formula>
    </cfRule>
  </conditionalFormatting>
  <conditionalFormatting sqref="AR27">
    <cfRule type="cellIs" dxfId="135" priority="51" operator="equal">
      <formula>"-"</formula>
    </cfRule>
    <cfRule type="cellIs" dxfId="134" priority="52" operator="equal">
      <formula>0</formula>
    </cfRule>
    <cfRule type="cellIs" dxfId="133" priority="53" operator="greaterThan">
      <formula>0</formula>
    </cfRule>
    <cfRule type="cellIs" dxfId="132" priority="54" operator="lessThan">
      <formula>0</formula>
    </cfRule>
  </conditionalFormatting>
  <conditionalFormatting sqref="AR28">
    <cfRule type="cellIs" dxfId="131" priority="47" operator="equal">
      <formula>"-"</formula>
    </cfRule>
    <cfRule type="cellIs" dxfId="130" priority="48" operator="equal">
      <formula>0</formula>
    </cfRule>
    <cfRule type="cellIs" dxfId="129" priority="49" operator="greaterThan">
      <formula>0</formula>
    </cfRule>
    <cfRule type="cellIs" dxfId="128" priority="50" operator="lessThan">
      <formula>0</formula>
    </cfRule>
  </conditionalFormatting>
  <conditionalFormatting sqref="AM29">
    <cfRule type="expression" dxfId="127" priority="42">
      <formula>AL29="-"</formula>
    </cfRule>
    <cfRule type="cellIs" dxfId="126" priority="43" operator="equal">
      <formula>"-"</formula>
    </cfRule>
    <cfRule type="cellIs" dxfId="125" priority="44" operator="equal">
      <formula>AL29</formula>
    </cfRule>
    <cfRule type="cellIs" dxfId="124" priority="45" operator="greaterThan">
      <formula>AL29</formula>
    </cfRule>
    <cfRule type="cellIs" dxfId="123" priority="46" operator="lessThan">
      <formula>AL29</formula>
    </cfRule>
  </conditionalFormatting>
  <conditionalFormatting sqref="AM30">
    <cfRule type="expression" dxfId="122" priority="37">
      <formula>AL30="-"</formula>
    </cfRule>
    <cfRule type="cellIs" dxfId="121" priority="38" operator="equal">
      <formula>"-"</formula>
    </cfRule>
    <cfRule type="cellIs" dxfId="120" priority="39" operator="equal">
      <formula>AL30</formula>
    </cfRule>
    <cfRule type="cellIs" dxfId="119" priority="40" operator="greaterThan">
      <formula>AL30</formula>
    </cfRule>
    <cfRule type="cellIs" dxfId="118" priority="41" operator="lessThan">
      <formula>AL30</formula>
    </cfRule>
  </conditionalFormatting>
  <conditionalFormatting sqref="AN29">
    <cfRule type="expression" dxfId="117" priority="32">
      <formula>AM29="-"</formula>
    </cfRule>
    <cfRule type="cellIs" dxfId="116" priority="33" operator="equal">
      <formula>"-"</formula>
    </cfRule>
    <cfRule type="cellIs" dxfId="115" priority="34" operator="equal">
      <formula>AM29</formula>
    </cfRule>
    <cfRule type="cellIs" dxfId="114" priority="35" operator="greaterThan">
      <formula>AM29</formula>
    </cfRule>
    <cfRule type="cellIs" dxfId="113" priority="36" operator="lessThan">
      <formula>AM29</formula>
    </cfRule>
  </conditionalFormatting>
  <conditionalFormatting sqref="AN30">
    <cfRule type="expression" dxfId="112" priority="27">
      <formula>AM30="-"</formula>
    </cfRule>
    <cfRule type="cellIs" dxfId="111" priority="28" operator="equal">
      <formula>"-"</formula>
    </cfRule>
    <cfRule type="cellIs" dxfId="110" priority="29" operator="equal">
      <formula>AM30</formula>
    </cfRule>
    <cfRule type="cellIs" dxfId="109" priority="30" operator="greaterThan">
      <formula>AM30</formula>
    </cfRule>
    <cfRule type="cellIs" dxfId="108" priority="31" operator="lessThan">
      <formula>AM30</formula>
    </cfRule>
  </conditionalFormatting>
  <conditionalFormatting sqref="AO29">
    <cfRule type="expression" dxfId="107" priority="22">
      <formula>AN29="-"</formula>
    </cfRule>
    <cfRule type="cellIs" dxfId="106" priority="23" operator="equal">
      <formula>"-"</formula>
    </cfRule>
    <cfRule type="cellIs" dxfId="105" priority="24" operator="equal">
      <formula>AN29</formula>
    </cfRule>
    <cfRule type="cellIs" dxfId="104" priority="25" operator="greaterThan">
      <formula>AN29</formula>
    </cfRule>
    <cfRule type="cellIs" dxfId="103" priority="26" operator="lessThan">
      <formula>AN29</formula>
    </cfRule>
  </conditionalFormatting>
  <conditionalFormatting sqref="AO30">
    <cfRule type="expression" dxfId="102" priority="17">
      <formula>AN30="-"</formula>
    </cfRule>
    <cfRule type="cellIs" dxfId="101" priority="18" operator="equal">
      <formula>"-"</formula>
    </cfRule>
    <cfRule type="cellIs" dxfId="100" priority="19" operator="equal">
      <formula>AN30</formula>
    </cfRule>
    <cfRule type="cellIs" dxfId="99" priority="20" operator="greaterThan">
      <formula>AN30</formula>
    </cfRule>
    <cfRule type="cellIs" dxfId="98" priority="21" operator="lessThan">
      <formula>AN30</formula>
    </cfRule>
  </conditionalFormatting>
  <conditionalFormatting sqref="AQ29">
    <cfRule type="cellIs" dxfId="97" priority="13" operator="equal">
      <formula>"-"</formula>
    </cfRule>
    <cfRule type="cellIs" dxfId="96" priority="14" operator="equal">
      <formula>0</formula>
    </cfRule>
    <cfRule type="cellIs" dxfId="95" priority="15" operator="greaterThan">
      <formula>0</formula>
    </cfRule>
    <cfRule type="cellIs" dxfId="94" priority="16" operator="lessThan">
      <formula>0</formula>
    </cfRule>
  </conditionalFormatting>
  <conditionalFormatting sqref="AQ30">
    <cfRule type="cellIs" dxfId="93" priority="9" operator="equal">
      <formula>"-"</formula>
    </cfRule>
    <cfRule type="cellIs" dxfId="92" priority="10" operator="equal">
      <formula>0</formula>
    </cfRule>
    <cfRule type="cellIs" dxfId="91" priority="11" operator="greaterThan">
      <formula>0</formula>
    </cfRule>
    <cfRule type="cellIs" dxfId="90" priority="12" operator="lessThan">
      <formula>0</formula>
    </cfRule>
  </conditionalFormatting>
  <conditionalFormatting sqref="AR29">
    <cfRule type="cellIs" dxfId="89" priority="5" operator="equal">
      <formula>"-"</formula>
    </cfRule>
    <cfRule type="cellIs" dxfId="88" priority="6" operator="equal">
      <formula>0</formula>
    </cfRule>
    <cfRule type="cellIs" dxfId="87" priority="7" operator="greaterThan">
      <formula>0</formula>
    </cfRule>
    <cfRule type="cellIs" dxfId="86" priority="8" operator="lessThan">
      <formula>0</formula>
    </cfRule>
  </conditionalFormatting>
  <conditionalFormatting sqref="AR30">
    <cfRule type="cellIs" dxfId="85" priority="1" operator="equal">
      <formula>"-"</formula>
    </cfRule>
    <cfRule type="cellIs" dxfId="84" priority="2" operator="equal">
      <formula>0</formula>
    </cfRule>
    <cfRule type="cellIs" dxfId="83" priority="3" operator="greaterThan">
      <formula>0</formula>
    </cfRule>
    <cfRule type="cellIs" dxfId="82" priority="4" operator="lessThan">
      <formula>0</formula>
    </cfRule>
  </conditionalFormatting>
  <printOptions horizontalCentered="1"/>
  <pageMargins left="0.70866141732283472" right="0.70866141732283472" top="0.78740157480314965" bottom="0.59055118110236227" header="0.31496062992125984" footer="0.31496062992125984"/>
  <pageSetup paperSize="9" scale="39" orientation="landscape" horizontalDpi="4294967294" r:id="rId1"/>
  <colBreaks count="1" manualBreakCount="1">
    <brk id="16" max="6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9">
    <tabColor rgb="FF00B0F0"/>
  </sheetPr>
  <dimension ref="A1:AN292"/>
  <sheetViews>
    <sheetView topLeftCell="A277" zoomScaleNormal="100" zoomScaleSheetLayoutView="130" workbookViewId="0">
      <selection activeCell="R32" sqref="R32"/>
    </sheetView>
  </sheetViews>
  <sheetFormatPr defaultRowHeight="15" x14ac:dyDescent="0.25"/>
  <sheetData>
    <row r="1" spans="1:16" x14ac:dyDescent="0.25">
      <c r="A1" s="902" t="str">
        <f>'táblázat_elkövetés helyes'!A30</f>
        <v>Összes bűncselekmény</v>
      </c>
      <c r="B1" s="902"/>
      <c r="C1" s="902"/>
      <c r="D1" s="902"/>
      <c r="E1" s="902"/>
      <c r="F1" s="902"/>
      <c r="G1" s="902"/>
      <c r="H1" s="902"/>
      <c r="I1" s="902" t="str">
        <f>'táblázat_elkövetés helyes'!A29</f>
        <v>Közterületen elkövetett bűncselekmény</v>
      </c>
      <c r="J1" s="902"/>
      <c r="K1" s="902"/>
      <c r="L1" s="902"/>
      <c r="M1" s="902"/>
      <c r="N1" s="902"/>
      <c r="O1" s="902"/>
      <c r="P1" s="902"/>
    </row>
    <row r="2" spans="1:16" x14ac:dyDescent="0.25">
      <c r="A2" s="902" t="str">
        <f>'táblázat_elkövetés helyes'!$A$3</f>
        <v>az ENyÜBS 2010-2018. évi adatai alapján</v>
      </c>
      <c r="B2" s="902"/>
      <c r="C2" s="902"/>
      <c r="D2" s="902"/>
      <c r="E2" s="902"/>
      <c r="F2" s="902"/>
      <c r="G2" s="902"/>
      <c r="H2" s="902"/>
      <c r="I2" s="902" t="str">
        <f>'táblázat_elkövetés helyes'!$A$3</f>
        <v>az ENyÜBS 2010-2018. évi adatai alapján</v>
      </c>
      <c r="J2" s="902"/>
      <c r="K2" s="902"/>
      <c r="L2" s="902"/>
      <c r="M2" s="902"/>
      <c r="N2" s="902"/>
      <c r="O2" s="902"/>
      <c r="P2" s="902"/>
    </row>
    <row r="3" spans="1:16" x14ac:dyDescent="0.25">
      <c r="A3" s="909" t="str">
        <f>CONCATENATE('táblázat_elkövetés helyes'!$A$1,"  /  ",'táblázat_elkövetés helyes'!$Q$1)</f>
        <v>Vas megye  /  Vas Megyei Rendőr-főkapitányság</v>
      </c>
      <c r="B3" s="909"/>
      <c r="C3" s="909"/>
      <c r="D3" s="909"/>
      <c r="E3" s="909"/>
      <c r="F3" s="909"/>
      <c r="G3" s="909"/>
      <c r="H3" s="909"/>
      <c r="I3" s="909" t="str">
        <f>CONCATENATE('táblázat_elkövetés helyes'!$A$1,"  /  ",'táblázat_elkövetés helyes'!$Q$1)</f>
        <v>Vas megye  /  Vas Megyei Rendőr-főkapitányság</v>
      </c>
      <c r="J3" s="909"/>
      <c r="K3" s="909"/>
      <c r="L3" s="909"/>
      <c r="M3" s="909"/>
      <c r="N3" s="909"/>
      <c r="O3" s="909"/>
      <c r="P3" s="909"/>
    </row>
    <row r="11" spans="1:16" x14ac:dyDescent="0.25">
      <c r="B11" s="80"/>
      <c r="C11" s="80"/>
      <c r="D11" s="80"/>
      <c r="E11" s="80"/>
      <c r="F11" s="80"/>
      <c r="G11" s="80"/>
      <c r="H11" s="80"/>
      <c r="J11" s="80"/>
      <c r="K11" s="80"/>
      <c r="L11" s="80"/>
      <c r="M11" s="80"/>
      <c r="N11" s="80"/>
      <c r="O11" s="80"/>
      <c r="P11" s="80"/>
    </row>
    <row r="12" spans="1:16" x14ac:dyDescent="0.25">
      <c r="B12" s="80"/>
      <c r="C12" s="80"/>
      <c r="D12" s="80"/>
      <c r="E12" s="80"/>
      <c r="F12" s="80"/>
      <c r="G12" s="80"/>
      <c r="H12" s="80"/>
      <c r="J12" s="80"/>
      <c r="K12" s="80"/>
      <c r="L12" s="80"/>
      <c r="M12" s="80"/>
      <c r="N12" s="80"/>
      <c r="O12" s="80"/>
      <c r="P12" s="80"/>
    </row>
    <row r="13" spans="1:16" x14ac:dyDescent="0.25">
      <c r="B13" s="80"/>
      <c r="C13" s="80"/>
      <c r="D13" s="80"/>
      <c r="E13" s="80"/>
      <c r="F13" s="80"/>
      <c r="G13" s="80"/>
      <c r="H13" s="80"/>
      <c r="J13" s="80"/>
      <c r="K13" s="80"/>
      <c r="L13" s="80"/>
      <c r="M13" s="80"/>
      <c r="N13" s="80"/>
      <c r="O13" s="80"/>
      <c r="P13" s="80"/>
    </row>
    <row r="23" spans="1:16" x14ac:dyDescent="0.25">
      <c r="A23" s="902" t="str">
        <f>'táblázat_elkövetés helyes'!A25</f>
        <v>14 kiemelten kezelt bűncselekmény összesen</v>
      </c>
      <c r="B23" s="902"/>
      <c r="C23" s="902"/>
      <c r="D23" s="902"/>
      <c r="E23" s="902"/>
      <c r="F23" s="902"/>
      <c r="G23" s="902"/>
      <c r="H23" s="902"/>
      <c r="I23" s="902" t="str">
        <f>'táblázat_elkövetés helyes'!A4</f>
        <v>Emberölés</v>
      </c>
      <c r="J23" s="902"/>
      <c r="K23" s="902"/>
      <c r="L23" s="902"/>
      <c r="M23" s="902"/>
      <c r="N23" s="902"/>
      <c r="O23" s="902"/>
      <c r="P23" s="902"/>
    </row>
    <row r="24" spans="1:16" x14ac:dyDescent="0.25">
      <c r="A24" s="902" t="str">
        <f>'táblázat_elkövetés helyes'!$A$3</f>
        <v>az ENyÜBS 2010-2018. évi adatai alapján</v>
      </c>
      <c r="B24" s="902"/>
      <c r="C24" s="902"/>
      <c r="D24" s="902"/>
      <c r="E24" s="902"/>
      <c r="F24" s="902"/>
      <c r="G24" s="902"/>
      <c r="H24" s="902"/>
      <c r="I24" s="902" t="str">
        <f>'táblázat_elkövetés helyes'!$A$3</f>
        <v>az ENyÜBS 2010-2018. évi adatai alapján</v>
      </c>
      <c r="J24" s="902"/>
      <c r="K24" s="902"/>
      <c r="L24" s="902"/>
      <c r="M24" s="902"/>
      <c r="N24" s="902"/>
      <c r="O24" s="902"/>
      <c r="P24" s="902"/>
    </row>
    <row r="25" spans="1:16" x14ac:dyDescent="0.25">
      <c r="A25" s="909" t="str">
        <f>CONCATENATE('táblázat_elkövetés helyes'!$A$1,"  /  ",'táblázat_elkövetés helyes'!$Q$1)</f>
        <v>Vas megye  /  Vas Megyei Rendőr-főkapitányság</v>
      </c>
      <c r="B25" s="909"/>
      <c r="C25" s="909"/>
      <c r="D25" s="909"/>
      <c r="E25" s="909"/>
      <c r="F25" s="909"/>
      <c r="G25" s="909"/>
      <c r="H25" s="909"/>
      <c r="I25" s="909" t="str">
        <f>CONCATENATE('táblázat_elkövetés helyes'!$A$1,"  /  ",'táblázat_elkövetés helyes'!$Q$1)</f>
        <v>Vas megye  /  Vas Megyei Rendőr-főkapitányság</v>
      </c>
      <c r="J25" s="909"/>
      <c r="K25" s="909"/>
      <c r="L25" s="909"/>
      <c r="M25" s="909"/>
      <c r="N25" s="909"/>
      <c r="O25" s="909"/>
      <c r="P25" s="909"/>
    </row>
    <row r="45" spans="1:16" x14ac:dyDescent="0.25">
      <c r="A45" s="902" t="str">
        <f>'táblázat_elkövetés helyes'!A5</f>
        <v>Szándékos befejezett emberölés</v>
      </c>
      <c r="B45" s="902"/>
      <c r="C45" s="902"/>
      <c r="D45" s="902"/>
      <c r="E45" s="902"/>
      <c r="F45" s="902"/>
      <c r="G45" s="902"/>
      <c r="H45" s="902"/>
      <c r="I45" s="914" t="str">
        <f>'táblázat_elkövetés helyes'!A6</f>
        <v>Emberölés kísérlete</v>
      </c>
      <c r="J45" s="902"/>
      <c r="K45" s="902"/>
      <c r="L45" s="902"/>
      <c r="M45" s="902"/>
      <c r="N45" s="902"/>
      <c r="O45" s="902"/>
      <c r="P45" s="902"/>
    </row>
    <row r="46" spans="1:16" x14ac:dyDescent="0.25">
      <c r="A46" s="902" t="str">
        <f>'táblázat_elkövetés helyes'!$A$3</f>
        <v>az ENyÜBS 2010-2018. évi adatai alapján</v>
      </c>
      <c r="B46" s="902"/>
      <c r="C46" s="902"/>
      <c r="D46" s="902"/>
      <c r="E46" s="902"/>
      <c r="F46" s="902"/>
      <c r="G46" s="902"/>
      <c r="H46" s="902"/>
      <c r="I46" s="902" t="str">
        <f>'táblázat_elkövetés helyes'!$A$3</f>
        <v>az ENyÜBS 2010-2018. évi adatai alapján</v>
      </c>
      <c r="J46" s="902"/>
      <c r="K46" s="902"/>
      <c r="L46" s="902"/>
      <c r="M46" s="902"/>
      <c r="N46" s="902"/>
      <c r="O46" s="902"/>
      <c r="P46" s="902"/>
    </row>
    <row r="47" spans="1:16" x14ac:dyDescent="0.25">
      <c r="A47" s="909" t="str">
        <f>CONCATENATE('táblázat_elkövetés helyes'!$A$1,"  /  ",'táblázat_elkövetés helyes'!$Q$1)</f>
        <v>Vas megye  /  Vas Megyei Rendőr-főkapitányság</v>
      </c>
      <c r="B47" s="909"/>
      <c r="C47" s="909"/>
      <c r="D47" s="909"/>
      <c r="E47" s="909"/>
      <c r="F47" s="909"/>
      <c r="G47" s="909"/>
      <c r="H47" s="909"/>
      <c r="I47" s="909" t="str">
        <f>CONCATENATE('táblázat_elkövetés helyes'!$A$1,"  /  ",'táblázat_elkövetés helyes'!$Q$1)</f>
        <v>Vas megye  /  Vas Megyei Rendőr-főkapitányság</v>
      </c>
      <c r="J47" s="909"/>
      <c r="K47" s="909"/>
      <c r="L47" s="909"/>
      <c r="M47" s="909"/>
      <c r="N47" s="909"/>
      <c r="O47" s="909"/>
      <c r="P47" s="909"/>
    </row>
    <row r="67" spans="1:16" x14ac:dyDescent="0.25">
      <c r="A67" s="902" t="str">
        <f>'táblázat_elkövetés helyes'!A7</f>
        <v>Testi sértés</v>
      </c>
      <c r="B67" s="902"/>
      <c r="C67" s="902"/>
      <c r="D67" s="902"/>
      <c r="E67" s="902"/>
      <c r="F67" s="902"/>
      <c r="G67" s="902"/>
      <c r="H67" s="902"/>
      <c r="I67" s="902" t="str">
        <f>'táblázat_elkövetés helyes'!A8</f>
        <v>Súlyos testi sértés</v>
      </c>
      <c r="J67" s="902"/>
      <c r="K67" s="902"/>
      <c r="L67" s="902"/>
      <c r="M67" s="902"/>
      <c r="N67" s="902"/>
      <c r="O67" s="902"/>
      <c r="P67" s="902"/>
    </row>
    <row r="68" spans="1:16" x14ac:dyDescent="0.25">
      <c r="A68" s="902" t="str">
        <f>'táblázat_elkövetés helyes'!$A$3</f>
        <v>az ENyÜBS 2010-2018. évi adatai alapján</v>
      </c>
      <c r="B68" s="902"/>
      <c r="C68" s="902"/>
      <c r="D68" s="902"/>
      <c r="E68" s="902"/>
      <c r="F68" s="902"/>
      <c r="G68" s="902"/>
      <c r="H68" s="902"/>
      <c r="I68" s="902" t="str">
        <f>'táblázat_elkövetés helyes'!$A$3</f>
        <v>az ENyÜBS 2010-2018. évi adatai alapján</v>
      </c>
      <c r="J68" s="902"/>
      <c r="K68" s="902"/>
      <c r="L68" s="902"/>
      <c r="M68" s="902"/>
      <c r="N68" s="902"/>
      <c r="O68" s="902"/>
      <c r="P68" s="902"/>
    </row>
    <row r="69" spans="1:16" x14ac:dyDescent="0.25">
      <c r="A69" s="909" t="str">
        <f>CONCATENATE('táblázat_elkövetés helyes'!$A$1,"  /  ",'táblázat_elkövetés helyes'!$Q$1)</f>
        <v>Vas megye  /  Vas Megyei Rendőr-főkapitányság</v>
      </c>
      <c r="B69" s="909"/>
      <c r="C69" s="909"/>
      <c r="D69" s="909"/>
      <c r="E69" s="909"/>
      <c r="F69" s="909"/>
      <c r="G69" s="909"/>
      <c r="H69" s="909"/>
      <c r="I69" s="909" t="str">
        <f>CONCATENATE('táblázat_elkövetés helyes'!$A$1,"  /  ",'táblázat_elkövetés helyes'!$Q$1)</f>
        <v>Vas megye  /  Vas Megyei Rendőr-főkapitányság</v>
      </c>
      <c r="J69" s="909"/>
      <c r="K69" s="909"/>
      <c r="L69" s="909"/>
      <c r="M69" s="909"/>
      <c r="N69" s="909"/>
      <c r="O69" s="909"/>
      <c r="P69" s="909"/>
    </row>
    <row r="77" spans="1:16" x14ac:dyDescent="0.25">
      <c r="A77" s="80"/>
      <c r="B77" s="80"/>
      <c r="D77" s="80"/>
      <c r="E77" s="80"/>
      <c r="F77" s="80"/>
      <c r="G77" s="80"/>
      <c r="H77" s="80"/>
    </row>
    <row r="78" spans="1:16" x14ac:dyDescent="0.25">
      <c r="A78" s="80"/>
      <c r="B78" s="80"/>
      <c r="D78" s="80"/>
      <c r="E78" s="80"/>
      <c r="F78" s="80"/>
      <c r="G78" s="80"/>
      <c r="H78" s="80"/>
    </row>
    <row r="79" spans="1:16" x14ac:dyDescent="0.25">
      <c r="A79" s="80"/>
      <c r="B79" s="80"/>
      <c r="D79" s="80"/>
      <c r="E79" s="80"/>
      <c r="F79" s="80"/>
      <c r="G79" s="80"/>
      <c r="H79" s="80"/>
    </row>
    <row r="89" spans="1:40" x14ac:dyDescent="0.25">
      <c r="A89" s="902" t="str">
        <f>'táblázat_elkövetés helyes'!A9</f>
        <v>Halált okozó testi sértés</v>
      </c>
      <c r="B89" s="902"/>
      <c r="C89" s="902"/>
      <c r="D89" s="902"/>
      <c r="E89" s="902"/>
      <c r="F89" s="902"/>
      <c r="G89" s="902"/>
      <c r="H89" s="902"/>
      <c r="I89" s="902" t="str">
        <f>'táblázat_elkövetés helyes'!A10</f>
        <v>Kiskorú veszélyeztetése</v>
      </c>
      <c r="J89" s="902"/>
      <c r="K89" s="902"/>
      <c r="L89" s="902"/>
      <c r="M89" s="902"/>
      <c r="N89" s="902"/>
      <c r="O89" s="902"/>
      <c r="P89" s="902"/>
      <c r="Q89" s="80"/>
      <c r="R89" s="80"/>
      <c r="S89" s="80"/>
      <c r="T89" s="80"/>
      <c r="V89" s="80"/>
      <c r="W89" s="80"/>
      <c r="X89" s="80"/>
      <c r="Y89" s="80"/>
      <c r="Z89" s="80"/>
      <c r="AA89" s="80"/>
      <c r="AB89" s="80"/>
      <c r="AC89" s="80"/>
      <c r="AD89" s="80"/>
      <c r="AF89" s="80"/>
      <c r="AG89" s="80"/>
      <c r="AH89" s="80"/>
      <c r="AI89" s="80"/>
      <c r="AJ89" s="80"/>
      <c r="AK89" s="80"/>
      <c r="AL89" s="80"/>
      <c r="AM89" s="80"/>
      <c r="AN89" s="80"/>
    </row>
    <row r="90" spans="1:40" x14ac:dyDescent="0.25">
      <c r="A90" s="902" t="str">
        <f>'táblázat_elkövetés helyes'!$A$3</f>
        <v>az ENyÜBS 2010-2018. évi adatai alapján</v>
      </c>
      <c r="B90" s="902"/>
      <c r="C90" s="902"/>
      <c r="D90" s="902"/>
      <c r="E90" s="902"/>
      <c r="F90" s="902"/>
      <c r="G90" s="902"/>
      <c r="H90" s="902"/>
      <c r="I90" s="902" t="str">
        <f>'táblázat_elkövetés helyes'!$A$3</f>
        <v>az ENyÜBS 2010-2018. évi adatai alapján</v>
      </c>
      <c r="J90" s="902"/>
      <c r="K90" s="902"/>
      <c r="L90" s="902"/>
      <c r="M90" s="902"/>
      <c r="N90" s="902"/>
      <c r="O90" s="902"/>
      <c r="P90" s="902"/>
      <c r="Q90" s="80"/>
      <c r="R90" s="80"/>
      <c r="S90" s="80"/>
      <c r="T90" s="80"/>
      <c r="V90" s="80"/>
      <c r="W90" s="80"/>
      <c r="X90" s="80"/>
      <c r="Y90" s="80"/>
      <c r="Z90" s="80"/>
      <c r="AA90" s="80"/>
      <c r="AB90" s="80"/>
      <c r="AC90" s="80"/>
      <c r="AD90" s="80"/>
      <c r="AF90" s="80"/>
      <c r="AG90" s="80"/>
      <c r="AH90" s="80"/>
      <c r="AI90" s="80"/>
      <c r="AJ90" s="80"/>
      <c r="AK90" s="80"/>
      <c r="AL90" s="80"/>
      <c r="AM90" s="80"/>
      <c r="AN90" s="80"/>
    </row>
    <row r="91" spans="1:40" x14ac:dyDescent="0.25">
      <c r="A91" s="909" t="str">
        <f>CONCATENATE('táblázat_elkövetés helyes'!$A$1,"  /  ",'táblázat_elkövetés helyes'!$Q$1)</f>
        <v>Vas megye  /  Vas Megyei Rendőr-főkapitányság</v>
      </c>
      <c r="B91" s="909"/>
      <c r="C91" s="909"/>
      <c r="D91" s="909"/>
      <c r="E91" s="909"/>
      <c r="F91" s="909"/>
      <c r="G91" s="909"/>
      <c r="H91" s="909"/>
      <c r="I91" s="909" t="str">
        <f>CONCATENATE('táblázat_elkövetés helyes'!$A$1,"  /  ",'táblázat_elkövetés helyes'!$Q$1)</f>
        <v>Vas megye  /  Vas Megyei Rendőr-főkapitányság</v>
      </c>
      <c r="J91" s="909"/>
      <c r="K91" s="909"/>
      <c r="L91" s="909"/>
      <c r="M91" s="909"/>
      <c r="N91" s="909"/>
      <c r="O91" s="909"/>
      <c r="P91" s="909"/>
      <c r="Q91" s="80"/>
      <c r="R91" s="80"/>
      <c r="S91" s="80"/>
      <c r="T91" s="80"/>
      <c r="V91" s="80"/>
      <c r="W91" s="80"/>
      <c r="X91" s="80"/>
      <c r="Y91" s="80"/>
      <c r="Z91" s="80"/>
      <c r="AA91" s="80"/>
      <c r="AB91" s="80"/>
      <c r="AC91" s="80"/>
      <c r="AD91" s="80"/>
      <c r="AF91" s="80"/>
      <c r="AG91" s="80"/>
      <c r="AH91" s="80"/>
      <c r="AI91" s="80"/>
      <c r="AJ91" s="80"/>
      <c r="AK91" s="80"/>
      <c r="AL91" s="80"/>
      <c r="AM91" s="80"/>
      <c r="AN91" s="80"/>
    </row>
    <row r="96" spans="1:40" x14ac:dyDescent="0.25">
      <c r="J96" s="80"/>
      <c r="K96" s="80"/>
      <c r="L96" s="80"/>
      <c r="M96" s="80"/>
      <c r="N96" s="80"/>
      <c r="O96" s="80"/>
      <c r="P96" s="80"/>
    </row>
    <row r="97" spans="1:16" x14ac:dyDescent="0.25">
      <c r="J97" s="80"/>
      <c r="K97" s="80"/>
      <c r="L97" s="80"/>
      <c r="M97" s="80"/>
      <c r="N97" s="80"/>
      <c r="O97" s="80"/>
      <c r="P97" s="80"/>
    </row>
    <row r="98" spans="1:16" x14ac:dyDescent="0.25">
      <c r="J98" s="80"/>
      <c r="K98" s="80"/>
      <c r="L98" s="80"/>
      <c r="M98" s="80"/>
      <c r="N98" s="80"/>
      <c r="O98" s="80"/>
      <c r="P98" s="80"/>
    </row>
    <row r="99" spans="1:16" x14ac:dyDescent="0.25">
      <c r="J99" s="80"/>
      <c r="K99" s="80"/>
      <c r="L99" s="80"/>
      <c r="M99" s="80"/>
      <c r="N99" s="80"/>
      <c r="O99" s="80"/>
      <c r="P99" s="80"/>
    </row>
    <row r="100" spans="1:16" x14ac:dyDescent="0.25">
      <c r="J100" s="80"/>
      <c r="K100" s="80"/>
      <c r="L100" s="80"/>
      <c r="M100" s="80"/>
      <c r="N100" s="80"/>
      <c r="O100" s="80"/>
      <c r="P100" s="80"/>
    </row>
    <row r="101" spans="1:16" x14ac:dyDescent="0.25">
      <c r="J101" s="80"/>
      <c r="K101" s="80"/>
      <c r="L101" s="80"/>
      <c r="M101" s="80"/>
      <c r="N101" s="80"/>
      <c r="O101" s="80"/>
      <c r="P101" s="80"/>
    </row>
    <row r="112" spans="1:16" x14ac:dyDescent="0.25">
      <c r="A112" s="902" t="str">
        <f>'táblázat_elkövetés helyes'!A11</f>
        <v>Embercsempészés</v>
      </c>
      <c r="B112" s="902"/>
      <c r="C112" s="902"/>
      <c r="D112" s="902"/>
      <c r="E112" s="902"/>
      <c r="F112" s="902"/>
      <c r="G112" s="902"/>
      <c r="H112" s="902"/>
      <c r="I112" s="902" t="str">
        <f>'táblázat_elkövetés helyes'!A12</f>
        <v>Garázdaság</v>
      </c>
      <c r="J112" s="902"/>
      <c r="K112" s="902"/>
      <c r="L112" s="902"/>
      <c r="M112" s="902"/>
      <c r="N112" s="902"/>
      <c r="O112" s="902"/>
      <c r="P112" s="902"/>
    </row>
    <row r="113" spans="1:30" x14ac:dyDescent="0.25">
      <c r="A113" s="902" t="str">
        <f>'táblázat_elkövetés helyes'!$A$3</f>
        <v>az ENyÜBS 2010-2018. évi adatai alapján</v>
      </c>
      <c r="B113" s="902"/>
      <c r="C113" s="902"/>
      <c r="D113" s="902"/>
      <c r="E113" s="902"/>
      <c r="F113" s="902"/>
      <c r="G113" s="902"/>
      <c r="H113" s="902"/>
      <c r="I113" s="902" t="str">
        <f>'táblázat_elkövetés helyes'!$A$3</f>
        <v>az ENyÜBS 2010-2018. évi adatai alapján</v>
      </c>
      <c r="J113" s="902"/>
      <c r="K113" s="902"/>
      <c r="L113" s="902"/>
      <c r="M113" s="902"/>
      <c r="N113" s="902"/>
      <c r="O113" s="902"/>
      <c r="P113" s="902"/>
    </row>
    <row r="114" spans="1:30" x14ac:dyDescent="0.25">
      <c r="A114" s="909" t="str">
        <f>CONCATENATE('táblázat_elkövetés helyes'!$A$1,"  /  ",'táblázat_elkövetés helyes'!$Q$1)</f>
        <v>Vas megye  /  Vas Megyei Rendőr-főkapitányság</v>
      </c>
      <c r="B114" s="909"/>
      <c r="C114" s="909"/>
      <c r="D114" s="909"/>
      <c r="E114" s="909"/>
      <c r="F114" s="909"/>
      <c r="G114" s="909"/>
      <c r="H114" s="909"/>
      <c r="I114" s="909" t="str">
        <f>CONCATENATE('táblázat_elkövetés helyes'!$A$1,"  /  ",'táblázat_elkövetés helyes'!$Q$1)</f>
        <v>Vas megye  /  Vas Megyei Rendőr-főkapitányság</v>
      </c>
      <c r="J114" s="909"/>
      <c r="K114" s="909"/>
      <c r="L114" s="909"/>
      <c r="M114" s="909"/>
      <c r="N114" s="909"/>
      <c r="O114" s="909"/>
      <c r="P114" s="909"/>
    </row>
    <row r="119" spans="1:30" x14ac:dyDescent="0.25">
      <c r="A119" s="80"/>
      <c r="B119" s="80"/>
      <c r="D119" s="80"/>
      <c r="E119" s="80"/>
      <c r="F119" s="80"/>
      <c r="G119" s="80"/>
      <c r="H119" s="80"/>
    </row>
    <row r="120" spans="1:30" x14ac:dyDescent="0.25">
      <c r="A120" s="80"/>
      <c r="B120" s="80"/>
      <c r="D120" s="80"/>
      <c r="E120" s="80"/>
      <c r="F120" s="80"/>
      <c r="G120" s="80"/>
      <c r="H120" s="80"/>
    </row>
    <row r="121" spans="1:30" x14ac:dyDescent="0.25">
      <c r="A121" s="80"/>
      <c r="B121" s="80"/>
      <c r="D121" s="80"/>
      <c r="E121" s="80"/>
      <c r="F121" s="80"/>
      <c r="G121" s="80"/>
      <c r="H121" s="80"/>
    </row>
    <row r="122" spans="1:30" x14ac:dyDescent="0.25">
      <c r="A122" s="80"/>
      <c r="B122" s="80"/>
      <c r="D122" s="80"/>
      <c r="E122" s="80"/>
      <c r="F122" s="80"/>
      <c r="G122" s="80"/>
      <c r="H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</row>
    <row r="123" spans="1:30" x14ac:dyDescent="0.25">
      <c r="A123" s="80"/>
      <c r="B123" s="80"/>
      <c r="D123" s="80"/>
      <c r="E123" s="80"/>
      <c r="F123" s="80"/>
      <c r="G123" s="80"/>
      <c r="H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</row>
    <row r="124" spans="1:30" x14ac:dyDescent="0.25">
      <c r="A124" s="80"/>
      <c r="B124" s="80"/>
      <c r="D124" s="80"/>
      <c r="E124" s="80"/>
      <c r="F124" s="80"/>
      <c r="G124" s="80"/>
      <c r="H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</row>
    <row r="129" spans="1:28" x14ac:dyDescent="0.25">
      <c r="W129" s="270"/>
      <c r="X129" s="270"/>
      <c r="Y129" s="270"/>
      <c r="Z129" s="270"/>
      <c r="AA129" s="270"/>
      <c r="AB129" s="270"/>
    </row>
    <row r="130" spans="1:28" x14ac:dyDescent="0.25">
      <c r="W130" s="270"/>
      <c r="X130" s="271"/>
      <c r="Y130" s="271"/>
      <c r="Z130" s="271"/>
      <c r="AA130" s="271"/>
      <c r="AB130" s="271"/>
    </row>
    <row r="134" spans="1:28" x14ac:dyDescent="0.25">
      <c r="A134" s="908" t="str">
        <f>'táblázat_elkövetés helyes'!A13</f>
        <v>Önbíráskodás</v>
      </c>
      <c r="B134" s="908"/>
      <c r="C134" s="908"/>
      <c r="D134" s="908"/>
      <c r="E134" s="908"/>
      <c r="F134" s="908"/>
      <c r="G134" s="908"/>
      <c r="H134" s="908"/>
      <c r="I134" s="903" t="s">
        <v>843</v>
      </c>
      <c r="J134" s="903"/>
      <c r="K134" s="903"/>
      <c r="L134" s="903"/>
      <c r="M134" s="903"/>
      <c r="N134" s="903"/>
      <c r="O134" s="903"/>
      <c r="P134" s="903"/>
    </row>
    <row r="135" spans="1:28" x14ac:dyDescent="0.25">
      <c r="A135" s="908"/>
      <c r="B135" s="908"/>
      <c r="C135" s="908"/>
      <c r="D135" s="908"/>
      <c r="E135" s="908"/>
      <c r="F135" s="908"/>
      <c r="G135" s="908"/>
      <c r="H135" s="908"/>
      <c r="I135" s="906"/>
      <c r="J135" s="906"/>
      <c r="K135" s="906"/>
      <c r="L135" s="906"/>
      <c r="M135" s="906"/>
      <c r="N135" s="906"/>
      <c r="O135" s="906"/>
      <c r="P135" s="906"/>
    </row>
    <row r="136" spans="1:28" ht="15" customHeight="1" x14ac:dyDescent="0.25">
      <c r="A136" s="909" t="str">
        <f>'táblázat_elkövetés helyes'!$A$3</f>
        <v>az ENyÜBS 2010-2018. évi adatai alapján</v>
      </c>
      <c r="B136" s="909"/>
      <c r="C136" s="909"/>
      <c r="D136" s="909"/>
      <c r="E136" s="909"/>
      <c r="F136" s="909"/>
      <c r="G136" s="909"/>
      <c r="H136" s="909"/>
      <c r="I136" s="902" t="str">
        <f>'táblázat_elkövetés helyes'!$A$3</f>
        <v>az ENyÜBS 2010-2018. évi adatai alapján</v>
      </c>
      <c r="J136" s="902"/>
      <c r="K136" s="902"/>
      <c r="L136" s="902"/>
      <c r="M136" s="902"/>
      <c r="N136" s="902"/>
      <c r="O136" s="902"/>
      <c r="P136" s="902"/>
    </row>
    <row r="137" spans="1:28" x14ac:dyDescent="0.25">
      <c r="A137" s="909" t="str">
        <f>CONCATENATE('táblázat_elkövetés helyes'!$A$1,"  /  ",'táblázat_elkövetés helyes'!$Q$1)</f>
        <v>Vas megye  /  Vas Megyei Rendőr-főkapitányság</v>
      </c>
      <c r="B137" s="909"/>
      <c r="C137" s="909"/>
      <c r="D137" s="909"/>
      <c r="E137" s="909"/>
      <c r="F137" s="909"/>
      <c r="G137" s="909"/>
      <c r="H137" s="909"/>
      <c r="I137" s="909" t="str">
        <f>CONCATENATE('táblázat_elkövetés helyes'!$A$1,"  /  ",'táblázat_elkövetés helyes'!$Q$1)</f>
        <v>Vas megye  /  Vas Megyei Rendőr-főkapitányság</v>
      </c>
      <c r="J137" s="909"/>
      <c r="K137" s="909"/>
      <c r="L137" s="909"/>
      <c r="M137" s="909"/>
      <c r="N137" s="909"/>
      <c r="O137" s="909"/>
      <c r="P137" s="909"/>
    </row>
    <row r="144" spans="1:28" x14ac:dyDescent="0.25">
      <c r="B144" s="80"/>
      <c r="C144" s="80"/>
      <c r="D144" s="80"/>
      <c r="E144" s="80"/>
      <c r="F144" s="80"/>
      <c r="G144" s="80"/>
      <c r="H144" s="80"/>
      <c r="I144" s="80"/>
      <c r="J144" s="80"/>
      <c r="L144" s="80"/>
      <c r="M144" s="80"/>
      <c r="N144" s="80"/>
      <c r="O144" s="80"/>
      <c r="P144" s="80"/>
    </row>
    <row r="145" spans="1:16" x14ac:dyDescent="0.25">
      <c r="B145" s="80"/>
      <c r="C145" s="80"/>
      <c r="D145" s="80"/>
      <c r="E145" s="80"/>
      <c r="F145" s="80"/>
      <c r="G145" s="80"/>
      <c r="H145" s="80"/>
      <c r="I145" s="80"/>
      <c r="J145" s="80"/>
      <c r="L145" s="80"/>
      <c r="M145" s="80"/>
      <c r="N145" s="80"/>
      <c r="O145" s="80"/>
      <c r="P145" s="80"/>
    </row>
    <row r="146" spans="1:16" x14ac:dyDescent="0.25">
      <c r="B146" s="80"/>
      <c r="C146" s="80"/>
      <c r="D146" s="80"/>
      <c r="E146" s="80"/>
      <c r="F146" s="80"/>
      <c r="G146" s="80"/>
      <c r="H146" s="80"/>
      <c r="I146" s="80"/>
      <c r="J146" s="80"/>
      <c r="L146" s="80"/>
      <c r="M146" s="80"/>
      <c r="N146" s="80"/>
      <c r="O146" s="80"/>
      <c r="P146" s="80"/>
    </row>
    <row r="157" spans="1:16" x14ac:dyDescent="0.25">
      <c r="A157" s="902" t="str">
        <f>'táblázat_elkövetés helyes'!A15</f>
        <v>Lopás*</v>
      </c>
      <c r="B157" s="902"/>
      <c r="C157" s="902"/>
      <c r="D157" s="902"/>
      <c r="E157" s="902"/>
      <c r="F157" s="902"/>
      <c r="G157" s="902"/>
      <c r="H157" s="902"/>
      <c r="I157" s="902" t="str">
        <f>'táblázat_elkövetés helyes'!A16</f>
        <v>Személygépkocsi lopás</v>
      </c>
      <c r="J157" s="902"/>
      <c r="K157" s="902"/>
      <c r="L157" s="902"/>
      <c r="M157" s="902"/>
      <c r="N157" s="902"/>
      <c r="O157" s="902"/>
      <c r="P157" s="902"/>
    </row>
    <row r="158" spans="1:16" x14ac:dyDescent="0.25">
      <c r="A158" s="902" t="str">
        <f>'táblázat_elkövetés helyes'!$A$3</f>
        <v>az ENyÜBS 2010-2018. évi adatai alapján</v>
      </c>
      <c r="B158" s="902"/>
      <c r="C158" s="902"/>
      <c r="D158" s="902"/>
      <c r="E158" s="902"/>
      <c r="F158" s="902"/>
      <c r="G158" s="902"/>
      <c r="H158" s="902"/>
      <c r="I158" s="902" t="str">
        <f>'táblázat_elkövetés helyes'!$A$3</f>
        <v>az ENyÜBS 2010-2018. évi adatai alapján</v>
      </c>
      <c r="J158" s="902"/>
      <c r="K158" s="902"/>
      <c r="L158" s="902"/>
      <c r="M158" s="902"/>
      <c r="N158" s="902"/>
      <c r="O158" s="902"/>
      <c r="P158" s="902"/>
    </row>
    <row r="159" spans="1:16" x14ac:dyDescent="0.25">
      <c r="A159" s="909" t="str">
        <f>CONCATENATE('táblázat_elkövetés helyes'!$A$1,"  /  ",'táblázat_elkövetés helyes'!$Q$1)</f>
        <v>Vas megye  /  Vas Megyei Rendőr-főkapitányság</v>
      </c>
      <c r="B159" s="909"/>
      <c r="C159" s="909"/>
      <c r="D159" s="909"/>
      <c r="E159" s="909"/>
      <c r="F159" s="909"/>
      <c r="G159" s="909"/>
      <c r="H159" s="909"/>
      <c r="I159" s="909" t="str">
        <f>CONCATENATE('táblázat_elkövetés helyes'!$A$1,"  /  ",'táblázat_elkövetés helyes'!$Q$1)</f>
        <v>Vas megye  /  Vas Megyei Rendőr-főkapitányság</v>
      </c>
      <c r="J159" s="909"/>
      <c r="K159" s="909"/>
      <c r="L159" s="909"/>
      <c r="M159" s="909"/>
      <c r="N159" s="909"/>
      <c r="O159" s="909"/>
      <c r="P159" s="909"/>
    </row>
    <row r="160" spans="1:16" x14ac:dyDescent="0.25">
      <c r="A160" s="907" t="s">
        <v>39</v>
      </c>
      <c r="B160" s="907"/>
      <c r="C160" s="907"/>
      <c r="D160" s="907"/>
      <c r="E160" s="907"/>
      <c r="F160" s="907"/>
      <c r="G160" s="907"/>
      <c r="H160" s="907"/>
    </row>
    <row r="179" spans="1:16" x14ac:dyDescent="0.25">
      <c r="A179" s="902" t="str">
        <f>'táblázat_elkövetés helyes'!A17</f>
        <v>Zárt gépjármű-feltörés</v>
      </c>
      <c r="B179" s="902"/>
      <c r="C179" s="902"/>
      <c r="D179" s="902"/>
      <c r="E179" s="902"/>
      <c r="F179" s="902"/>
      <c r="G179" s="902"/>
      <c r="H179" s="902"/>
      <c r="I179" s="902" t="str">
        <f>'táblázat_elkövetés helyes'!A18</f>
        <v>Lakásbetörés</v>
      </c>
      <c r="J179" s="902"/>
      <c r="K179" s="902"/>
      <c r="L179" s="902"/>
      <c r="M179" s="902"/>
      <c r="N179" s="902"/>
      <c r="O179" s="902"/>
      <c r="P179" s="902"/>
    </row>
    <row r="180" spans="1:16" x14ac:dyDescent="0.25">
      <c r="A180" s="902" t="str">
        <f>'táblázat_elkövetés helyes'!$A$3</f>
        <v>az ENyÜBS 2010-2018. évi adatai alapján</v>
      </c>
      <c r="B180" s="902"/>
      <c r="C180" s="902"/>
      <c r="D180" s="902"/>
      <c r="E180" s="902"/>
      <c r="F180" s="902"/>
      <c r="G180" s="902"/>
      <c r="H180" s="902"/>
      <c r="I180" s="902" t="str">
        <f>'táblázat_elkövetés helyes'!$A$3</f>
        <v>az ENyÜBS 2010-2018. évi adatai alapján</v>
      </c>
      <c r="J180" s="902"/>
      <c r="K180" s="902"/>
      <c r="L180" s="902"/>
      <c r="M180" s="902"/>
      <c r="N180" s="902"/>
      <c r="O180" s="902"/>
      <c r="P180" s="902"/>
    </row>
    <row r="181" spans="1:16" x14ac:dyDescent="0.25">
      <c r="A181" s="909" t="str">
        <f>CONCATENATE('táblázat_elkövetés helyes'!$A$1,"  /  ",'táblázat_elkövetés helyes'!$Q$1)</f>
        <v>Vas megye  /  Vas Megyei Rendőr-főkapitányság</v>
      </c>
      <c r="B181" s="909"/>
      <c r="C181" s="909"/>
      <c r="D181" s="909"/>
      <c r="E181" s="909"/>
      <c r="F181" s="909"/>
      <c r="G181" s="909"/>
      <c r="H181" s="909"/>
      <c r="I181" s="909" t="str">
        <f>CONCATENATE('táblázat_elkövetés helyes'!$A$1,"  /  ",'táblázat_elkövetés helyes'!$Q$1)</f>
        <v>Vas megye  /  Vas Megyei Rendőr-főkapitányság</v>
      </c>
      <c r="J181" s="909"/>
      <c r="K181" s="909"/>
      <c r="L181" s="909"/>
      <c r="M181" s="909"/>
      <c r="N181" s="909"/>
      <c r="O181" s="909"/>
      <c r="P181" s="909"/>
    </row>
    <row r="186" spans="1:16" x14ac:dyDescent="0.25">
      <c r="B186" s="80"/>
      <c r="C186" s="80"/>
      <c r="D186" s="80"/>
      <c r="E186" s="80"/>
      <c r="F186" s="80"/>
      <c r="G186" s="80"/>
      <c r="H186" s="80"/>
      <c r="I186" s="80"/>
      <c r="J186" s="80"/>
      <c r="L186" s="80"/>
      <c r="M186" s="80"/>
      <c r="N186" s="80"/>
      <c r="O186" s="80"/>
      <c r="P186" s="80"/>
    </row>
    <row r="187" spans="1:16" x14ac:dyDescent="0.25">
      <c r="B187" s="80"/>
      <c r="C187" s="80"/>
      <c r="D187" s="80"/>
      <c r="E187" s="80"/>
      <c r="F187" s="80"/>
      <c r="G187" s="80"/>
      <c r="H187" s="80"/>
      <c r="I187" s="80"/>
      <c r="J187" s="80"/>
      <c r="L187" s="80"/>
      <c r="M187" s="80"/>
      <c r="N187" s="80"/>
      <c r="O187" s="80"/>
      <c r="P187" s="80"/>
    </row>
    <row r="188" spans="1:16" x14ac:dyDescent="0.25">
      <c r="B188" s="80"/>
      <c r="C188" s="80"/>
      <c r="D188" s="80"/>
      <c r="E188" s="80"/>
      <c r="F188" s="80"/>
      <c r="G188" s="80"/>
      <c r="H188" s="80"/>
      <c r="I188" s="80"/>
      <c r="J188" s="80"/>
      <c r="L188" s="80"/>
      <c r="M188" s="80"/>
      <c r="N188" s="80"/>
      <c r="O188" s="80"/>
      <c r="P188" s="80"/>
    </row>
    <row r="189" spans="1:16" x14ac:dyDescent="0.25">
      <c r="B189" s="80"/>
      <c r="C189" s="80"/>
      <c r="D189" s="80"/>
      <c r="E189" s="80"/>
      <c r="F189" s="80"/>
      <c r="G189" s="80"/>
      <c r="H189" s="80"/>
      <c r="I189" s="80"/>
      <c r="J189" s="80"/>
      <c r="L189" s="80"/>
      <c r="M189" s="80"/>
      <c r="N189" s="80"/>
      <c r="O189" s="80"/>
      <c r="P189" s="80"/>
    </row>
    <row r="190" spans="1:16" x14ac:dyDescent="0.25">
      <c r="B190" s="80"/>
      <c r="C190" s="80"/>
      <c r="D190" s="80"/>
      <c r="E190" s="80"/>
      <c r="F190" s="80"/>
      <c r="G190" s="80"/>
      <c r="H190" s="80"/>
      <c r="I190" s="80"/>
      <c r="J190" s="80"/>
      <c r="L190" s="80"/>
      <c r="M190" s="80"/>
      <c r="N190" s="80"/>
      <c r="O190" s="80"/>
      <c r="P190" s="80"/>
    </row>
    <row r="191" spans="1:16" x14ac:dyDescent="0.25">
      <c r="B191" s="80"/>
      <c r="C191" s="80"/>
      <c r="D191" s="80"/>
      <c r="E191" s="80"/>
      <c r="F191" s="80"/>
      <c r="G191" s="80"/>
      <c r="H191" s="80"/>
      <c r="I191" s="80"/>
      <c r="J191" s="80"/>
      <c r="L191" s="80"/>
      <c r="M191" s="80"/>
      <c r="N191" s="80"/>
      <c r="O191" s="80"/>
      <c r="P191" s="80"/>
    </row>
    <row r="202" spans="1:16" x14ac:dyDescent="0.25">
      <c r="A202" s="902" t="str">
        <f>'táblázat_elkövetés helyes'!A19</f>
        <v>Rablás</v>
      </c>
      <c r="B202" s="902"/>
      <c r="C202" s="902"/>
      <c r="D202" s="902"/>
      <c r="E202" s="902"/>
      <c r="F202" s="902"/>
      <c r="G202" s="902"/>
      <c r="H202" s="902"/>
      <c r="I202" s="902" t="str">
        <f>'táblázat_elkövetés helyes'!A20</f>
        <v xml:space="preserve">Kifosztás </v>
      </c>
      <c r="J202" s="902"/>
      <c r="K202" s="902"/>
      <c r="L202" s="902"/>
      <c r="M202" s="902"/>
      <c r="N202" s="902"/>
      <c r="O202" s="902"/>
      <c r="P202" s="902"/>
    </row>
    <row r="203" spans="1:16" x14ac:dyDescent="0.25">
      <c r="A203" s="902" t="str">
        <f>'táblázat_elkövetés helyes'!$A$3</f>
        <v>az ENyÜBS 2010-2018. évi adatai alapján</v>
      </c>
      <c r="B203" s="902"/>
      <c r="C203" s="902"/>
      <c r="D203" s="902"/>
      <c r="E203" s="902"/>
      <c r="F203" s="902"/>
      <c r="G203" s="902"/>
      <c r="H203" s="902"/>
      <c r="I203" s="902" t="str">
        <f>'táblázat_elkövetés helyes'!$A$3</f>
        <v>az ENyÜBS 2010-2018. évi adatai alapján</v>
      </c>
      <c r="J203" s="902"/>
      <c r="K203" s="902"/>
      <c r="L203" s="902"/>
      <c r="M203" s="902"/>
      <c r="N203" s="902"/>
      <c r="O203" s="902"/>
      <c r="P203" s="902"/>
    </row>
    <row r="204" spans="1:16" x14ac:dyDescent="0.25">
      <c r="A204" s="909" t="str">
        <f>CONCATENATE('táblázat_elkövetés helyes'!$A$1,"  /  ",'táblázat_elkövetés helyes'!$Q$1)</f>
        <v>Vas megye  /  Vas Megyei Rendőr-főkapitányság</v>
      </c>
      <c r="B204" s="909"/>
      <c r="C204" s="909"/>
      <c r="D204" s="909"/>
      <c r="E204" s="909"/>
      <c r="F204" s="909"/>
      <c r="G204" s="909"/>
      <c r="H204" s="909"/>
      <c r="I204" s="909" t="str">
        <f>CONCATENATE('táblázat_elkövetés helyes'!$A$1,"  /  ",'táblázat_elkövetés helyes'!$Q$1)</f>
        <v>Vas megye  /  Vas Megyei Rendőr-főkapitányság</v>
      </c>
      <c r="J204" s="909"/>
      <c r="K204" s="909"/>
      <c r="L204" s="909"/>
      <c r="M204" s="909"/>
      <c r="N204" s="909"/>
      <c r="O204" s="909"/>
      <c r="P204" s="909"/>
    </row>
    <row r="209" spans="1:16" x14ac:dyDescent="0.25">
      <c r="B209" s="80"/>
      <c r="C209" s="80"/>
      <c r="D209" s="80"/>
      <c r="E209" s="80"/>
      <c r="F209" s="80"/>
      <c r="G209" s="80"/>
      <c r="H209" s="80"/>
      <c r="J209" s="80"/>
      <c r="K209" s="80"/>
      <c r="L209" s="80"/>
      <c r="M209" s="80"/>
      <c r="N209" s="80"/>
      <c r="O209" s="80"/>
      <c r="P209" s="80"/>
    </row>
    <row r="210" spans="1:16" x14ac:dyDescent="0.25">
      <c r="B210" s="80"/>
      <c r="C210" s="80"/>
      <c r="D210" s="80"/>
      <c r="E210" s="80"/>
      <c r="F210" s="80"/>
      <c r="G210" s="80"/>
      <c r="H210" s="80"/>
      <c r="J210" s="80"/>
      <c r="K210" s="80"/>
      <c r="L210" s="80"/>
      <c r="M210" s="80"/>
      <c r="N210" s="80"/>
      <c r="O210" s="80"/>
      <c r="P210" s="80"/>
    </row>
    <row r="211" spans="1:16" x14ac:dyDescent="0.25">
      <c r="B211" s="80"/>
      <c r="C211" s="80"/>
      <c r="D211" s="80"/>
      <c r="E211" s="80"/>
      <c r="F211" s="80"/>
      <c r="G211" s="80"/>
      <c r="H211" s="80"/>
      <c r="J211" s="80"/>
      <c r="K211" s="80"/>
      <c r="L211" s="80"/>
      <c r="M211" s="80"/>
      <c r="N211" s="80"/>
      <c r="O211" s="80"/>
      <c r="P211" s="80"/>
    </row>
    <row r="212" spans="1:16" x14ac:dyDescent="0.25">
      <c r="B212" s="80"/>
      <c r="C212" s="80"/>
      <c r="D212" s="80"/>
      <c r="E212" s="80"/>
      <c r="F212" s="80"/>
      <c r="G212" s="80"/>
      <c r="H212" s="80"/>
      <c r="J212" s="80"/>
      <c r="K212" s="80"/>
      <c r="L212" s="80"/>
      <c r="M212" s="80"/>
      <c r="N212" s="80"/>
      <c r="O212" s="80"/>
      <c r="P212" s="80"/>
    </row>
    <row r="213" spans="1:16" x14ac:dyDescent="0.25">
      <c r="B213" s="80"/>
      <c r="C213" s="80"/>
      <c r="D213" s="80"/>
      <c r="E213" s="80"/>
      <c r="F213" s="80"/>
      <c r="G213" s="80"/>
      <c r="H213" s="80"/>
      <c r="J213" s="80"/>
      <c r="K213" s="80"/>
      <c r="L213" s="80"/>
      <c r="M213" s="80"/>
      <c r="N213" s="80"/>
      <c r="O213" s="80"/>
      <c r="P213" s="80"/>
    </row>
    <row r="214" spans="1:16" x14ac:dyDescent="0.25">
      <c r="B214" s="80"/>
      <c r="C214" s="80"/>
      <c r="D214" s="80"/>
      <c r="E214" s="80"/>
      <c r="F214" s="80"/>
      <c r="G214" s="80"/>
      <c r="H214" s="80"/>
      <c r="J214" s="80"/>
      <c r="K214" s="80"/>
      <c r="L214" s="80"/>
      <c r="M214" s="80"/>
      <c r="N214" s="80"/>
      <c r="O214" s="80"/>
      <c r="P214" s="80"/>
    </row>
    <row r="224" spans="1:16" x14ac:dyDescent="0.25">
      <c r="A224" s="902" t="str">
        <f>'táblázat_elkövetés helyes'!A21</f>
        <v>Zsarolás</v>
      </c>
      <c r="B224" s="902"/>
      <c r="C224" s="902"/>
      <c r="D224" s="902"/>
      <c r="E224" s="902"/>
      <c r="F224" s="902"/>
      <c r="G224" s="902"/>
      <c r="H224" s="902"/>
      <c r="I224" s="902" t="str">
        <f>'táblázat_elkövetés helyes'!A22</f>
        <v>Rongálás</v>
      </c>
      <c r="J224" s="902"/>
      <c r="K224" s="902"/>
      <c r="L224" s="902"/>
      <c r="M224" s="902"/>
      <c r="N224" s="902"/>
      <c r="O224" s="902"/>
      <c r="P224" s="902"/>
    </row>
    <row r="225" spans="1:16" x14ac:dyDescent="0.25">
      <c r="A225" s="902" t="str">
        <f>'táblázat_elkövetés helyes'!$A$3</f>
        <v>az ENyÜBS 2010-2018. évi adatai alapján</v>
      </c>
      <c r="B225" s="902"/>
      <c r="C225" s="902"/>
      <c r="D225" s="902"/>
      <c r="E225" s="902"/>
      <c r="F225" s="902"/>
      <c r="G225" s="902"/>
      <c r="H225" s="902"/>
      <c r="I225" s="902" t="str">
        <f>'táblázat_elkövetés helyes'!$A$3</f>
        <v>az ENyÜBS 2010-2018. évi adatai alapján</v>
      </c>
      <c r="J225" s="902"/>
      <c r="K225" s="902"/>
      <c r="L225" s="902"/>
      <c r="M225" s="902"/>
      <c r="N225" s="902"/>
      <c r="O225" s="902"/>
      <c r="P225" s="902"/>
    </row>
    <row r="226" spans="1:16" x14ac:dyDescent="0.25">
      <c r="A226" s="909" t="str">
        <f>CONCATENATE('táblázat_elkövetés helyes'!$A$1,"  /  ",'táblázat_elkövetés helyes'!$Q$1)</f>
        <v>Vas megye  /  Vas Megyei Rendőr-főkapitányság</v>
      </c>
      <c r="B226" s="909"/>
      <c r="C226" s="909"/>
      <c r="D226" s="909"/>
      <c r="E226" s="909"/>
      <c r="F226" s="909"/>
      <c r="G226" s="909"/>
      <c r="H226" s="909"/>
      <c r="I226" s="909" t="str">
        <f>CONCATENATE('táblázat_elkövetés helyes'!$A$1,"  /  ",'táblázat_elkövetés helyes'!$Q$1)</f>
        <v>Vas megye  /  Vas Megyei Rendőr-főkapitányság</v>
      </c>
      <c r="J226" s="909"/>
      <c r="K226" s="909"/>
      <c r="L226" s="909"/>
      <c r="M226" s="909"/>
      <c r="N226" s="909"/>
      <c r="O226" s="909"/>
      <c r="P226" s="909"/>
    </row>
    <row r="231" spans="1:16" x14ac:dyDescent="0.25">
      <c r="B231" s="80"/>
      <c r="C231" s="80"/>
      <c r="D231" s="80"/>
      <c r="E231" s="80"/>
      <c r="F231" s="80"/>
      <c r="G231" s="80"/>
      <c r="H231" s="80"/>
      <c r="I231" s="80"/>
      <c r="J231" s="80"/>
      <c r="L231" s="80"/>
      <c r="M231" s="80"/>
      <c r="N231" s="80"/>
      <c r="O231" s="80"/>
      <c r="P231" s="80"/>
    </row>
    <row r="232" spans="1:16" x14ac:dyDescent="0.25">
      <c r="B232" s="80"/>
      <c r="C232" s="80"/>
      <c r="D232" s="80"/>
      <c r="E232" s="80"/>
      <c r="F232" s="80"/>
      <c r="G232" s="80"/>
      <c r="H232" s="80"/>
      <c r="I232" s="80"/>
      <c r="J232" s="80"/>
      <c r="L232" s="80"/>
      <c r="M232" s="80"/>
      <c r="N232" s="80"/>
      <c r="O232" s="80"/>
      <c r="P232" s="80"/>
    </row>
    <row r="233" spans="1:16" x14ac:dyDescent="0.25">
      <c r="B233" s="80"/>
      <c r="C233" s="80"/>
      <c r="D233" s="80"/>
      <c r="E233" s="80"/>
      <c r="F233" s="80"/>
      <c r="G233" s="80"/>
      <c r="H233" s="80"/>
      <c r="I233" s="80"/>
      <c r="J233" s="80"/>
      <c r="L233" s="80"/>
      <c r="M233" s="80"/>
      <c r="N233" s="80"/>
      <c r="O233" s="80"/>
      <c r="P233" s="80"/>
    </row>
    <row r="234" spans="1:16" x14ac:dyDescent="0.25">
      <c r="B234" s="80"/>
      <c r="C234" s="80"/>
      <c r="D234" s="80"/>
      <c r="E234" s="80"/>
      <c r="F234" s="80"/>
      <c r="G234" s="80"/>
      <c r="H234" s="80"/>
      <c r="I234" s="80"/>
      <c r="J234" s="80"/>
      <c r="L234" s="80"/>
      <c r="M234" s="80"/>
      <c r="N234" s="80"/>
      <c r="O234" s="80"/>
      <c r="P234" s="80"/>
    </row>
    <row r="235" spans="1:16" x14ac:dyDescent="0.25">
      <c r="B235" s="80"/>
      <c r="C235" s="80"/>
      <c r="D235" s="80"/>
      <c r="E235" s="80"/>
      <c r="F235" s="80"/>
      <c r="G235" s="80"/>
      <c r="H235" s="80"/>
      <c r="I235" s="80"/>
      <c r="J235" s="80"/>
      <c r="L235" s="80"/>
      <c r="M235" s="80"/>
      <c r="N235" s="80"/>
      <c r="O235" s="80"/>
      <c r="P235" s="80"/>
    </row>
    <row r="236" spans="1:16" x14ac:dyDescent="0.25">
      <c r="B236" s="80"/>
      <c r="C236" s="80"/>
      <c r="D236" s="80"/>
      <c r="E236" s="80"/>
      <c r="F236" s="80"/>
      <c r="G236" s="80"/>
      <c r="H236" s="80"/>
      <c r="I236" s="80"/>
      <c r="J236" s="80"/>
      <c r="L236" s="80"/>
      <c r="M236" s="80"/>
      <c r="N236" s="80"/>
      <c r="O236" s="80"/>
      <c r="P236" s="80"/>
    </row>
    <row r="247" spans="1:16" x14ac:dyDescent="0.25">
      <c r="A247" s="902" t="str">
        <f>'táblázat_elkövetés helyes'!A23</f>
        <v>Orgazdaság</v>
      </c>
      <c r="B247" s="902"/>
      <c r="C247" s="902"/>
      <c r="D247" s="902"/>
      <c r="E247" s="902"/>
      <c r="F247" s="902"/>
      <c r="G247" s="902"/>
      <c r="H247" s="902"/>
      <c r="I247" s="902" t="str">
        <f>'táblázat_elkövetés helyes'!A24</f>
        <v>Jármű önkényes elvétele</v>
      </c>
      <c r="J247" s="902"/>
      <c r="K247" s="902"/>
      <c r="L247" s="902"/>
      <c r="M247" s="902"/>
      <c r="N247" s="902"/>
      <c r="O247" s="902"/>
      <c r="P247" s="902"/>
    </row>
    <row r="248" spans="1:16" x14ac:dyDescent="0.25">
      <c r="A248" s="902" t="str">
        <f>'táblázat_elkövetés helyes'!$A$3</f>
        <v>az ENyÜBS 2010-2018. évi adatai alapján</v>
      </c>
      <c r="B248" s="902"/>
      <c r="C248" s="902"/>
      <c r="D248" s="902"/>
      <c r="E248" s="902"/>
      <c r="F248" s="902"/>
      <c r="G248" s="902"/>
      <c r="H248" s="902"/>
      <c r="I248" s="902" t="str">
        <f>'táblázat_elkövetés helyes'!$A$3</f>
        <v>az ENyÜBS 2010-2018. évi adatai alapján</v>
      </c>
      <c r="J248" s="902"/>
      <c r="K248" s="902"/>
      <c r="L248" s="902"/>
      <c r="M248" s="902"/>
      <c r="N248" s="902"/>
      <c r="O248" s="902"/>
      <c r="P248" s="902"/>
    </row>
    <row r="249" spans="1:16" x14ac:dyDescent="0.25">
      <c r="A249" s="909" t="str">
        <f>CONCATENATE('táblázat_elkövetés helyes'!$A$1,"  /  ",'táblázat_elkövetés helyes'!$Q$1)</f>
        <v>Vas megye  /  Vas Megyei Rendőr-főkapitányság</v>
      </c>
      <c r="B249" s="909"/>
      <c r="C249" s="909"/>
      <c r="D249" s="909"/>
      <c r="E249" s="909"/>
      <c r="F249" s="909"/>
      <c r="G249" s="909"/>
      <c r="H249" s="909"/>
      <c r="I249" s="909" t="str">
        <f>CONCATENATE('táblázat_elkövetés helyes'!$A$1,"  /  ",'táblázat_elkövetés helyes'!$Q$1)</f>
        <v>Vas megye  /  Vas Megyei Rendőr-főkapitányság</v>
      </c>
      <c r="J249" s="909"/>
      <c r="K249" s="909"/>
      <c r="L249" s="909"/>
      <c r="M249" s="909"/>
      <c r="N249" s="909"/>
      <c r="O249" s="909"/>
      <c r="P249" s="909"/>
    </row>
    <row r="268" spans="1:16" x14ac:dyDescent="0.25">
      <c r="A268" s="902" t="str">
        <f>'táblázat_elkövetés helyes'!A26</f>
        <v>Közterületen elkövetett kiemelten kezelt bűncselekmény</v>
      </c>
      <c r="B268" s="902"/>
      <c r="C268" s="902"/>
      <c r="D268" s="902"/>
      <c r="E268" s="902"/>
      <c r="F268" s="902"/>
      <c r="G268" s="902"/>
      <c r="H268" s="902"/>
      <c r="I268" s="902" t="str">
        <f>'táblázat_elkövetés helyes'!A27</f>
        <v>Segítségnyújtás elmulasztása</v>
      </c>
      <c r="J268" s="902"/>
      <c r="K268" s="902"/>
      <c r="L268" s="902"/>
      <c r="M268" s="902"/>
      <c r="N268" s="902"/>
      <c r="O268" s="902"/>
      <c r="P268" s="902"/>
    </row>
    <row r="269" spans="1:16" x14ac:dyDescent="0.25">
      <c r="A269" s="902" t="str">
        <f>'táblázat_elkövetés helyes'!$A$3</f>
        <v>az ENyÜBS 2010-2018. évi adatai alapján</v>
      </c>
      <c r="B269" s="902"/>
      <c r="C269" s="902"/>
      <c r="D269" s="902"/>
      <c r="E269" s="902"/>
      <c r="F269" s="902"/>
      <c r="G269" s="902"/>
      <c r="H269" s="902"/>
      <c r="I269" s="902" t="str">
        <f>'táblázat_elkövetés helyes'!$A$3</f>
        <v>az ENyÜBS 2010-2018. évi adatai alapján</v>
      </c>
      <c r="J269" s="902"/>
      <c r="K269" s="902"/>
      <c r="L269" s="902"/>
      <c r="M269" s="902"/>
      <c r="N269" s="902"/>
      <c r="O269" s="902"/>
      <c r="P269" s="902"/>
    </row>
    <row r="270" spans="1:16" x14ac:dyDescent="0.25">
      <c r="A270" s="909" t="str">
        <f>CONCATENATE('táblázat_elkövetés helyes'!$A$1,"  /  ",'táblázat_elkövetés helyes'!$Q$1)</f>
        <v>Vas megye  /  Vas Megyei Rendőr-főkapitányság</v>
      </c>
      <c r="B270" s="909"/>
      <c r="C270" s="909"/>
      <c r="D270" s="909"/>
      <c r="E270" s="909"/>
      <c r="F270" s="909"/>
      <c r="G270" s="909"/>
      <c r="H270" s="909"/>
      <c r="I270" s="909" t="str">
        <f>CONCATENATE('táblázat_elkövetés helyes'!$A$1,"  /  ",'táblázat_elkövetés helyes'!$Q$1)</f>
        <v>Vas megye  /  Vas Megyei Rendőr-főkapitányság</v>
      </c>
      <c r="J270" s="909"/>
      <c r="K270" s="909"/>
      <c r="L270" s="909"/>
      <c r="M270" s="909"/>
      <c r="N270" s="909"/>
      <c r="O270" s="909"/>
      <c r="P270" s="909"/>
    </row>
    <row r="290" spans="5:12" x14ac:dyDescent="0.25">
      <c r="E290" s="902" t="str">
        <f>'táblázat_elkövetés helyes'!A28</f>
        <v>Cserbenhagyás</v>
      </c>
      <c r="F290" s="902"/>
      <c r="G290" s="902"/>
      <c r="H290" s="902"/>
      <c r="I290" s="902"/>
      <c r="J290" s="902"/>
      <c r="K290" s="902"/>
      <c r="L290" s="902"/>
    </row>
    <row r="291" spans="5:12" x14ac:dyDescent="0.25">
      <c r="E291" s="902" t="str">
        <f>'táblázat_elkövetés helyes'!$A$3</f>
        <v>az ENyÜBS 2010-2018. évi adatai alapján</v>
      </c>
      <c r="F291" s="902"/>
      <c r="G291" s="902"/>
      <c r="H291" s="902"/>
      <c r="I291" s="902"/>
      <c r="J291" s="902"/>
      <c r="K291" s="902"/>
      <c r="L291" s="902"/>
    </row>
    <row r="292" spans="5:12" x14ac:dyDescent="0.25">
      <c r="E292" s="909" t="str">
        <f>CONCATENATE('táblázat_elkövetés helyes'!$A$1,"  /  ",'táblázat_elkövetés helyes'!$Q$1)</f>
        <v>Vas megye  /  Vas Megyei Rendőr-főkapitányság</v>
      </c>
      <c r="F292" s="909"/>
      <c r="G292" s="909"/>
      <c r="H292" s="909"/>
      <c r="I292" s="909"/>
      <c r="J292" s="909"/>
      <c r="K292" s="909"/>
      <c r="L292" s="909"/>
    </row>
  </sheetData>
  <mergeCells count="82">
    <mergeCell ref="I47:P47"/>
    <mergeCell ref="I23:P23"/>
    <mergeCell ref="A67:H67"/>
    <mergeCell ref="I67:P67"/>
    <mergeCell ref="A68:H68"/>
    <mergeCell ref="I68:P68"/>
    <mergeCell ref="A47:H47"/>
    <mergeCell ref="A25:H25"/>
    <mergeCell ref="A45:H45"/>
    <mergeCell ref="A46:H46"/>
    <mergeCell ref="I24:P24"/>
    <mergeCell ref="A24:H24"/>
    <mergeCell ref="I25:P25"/>
    <mergeCell ref="I45:P45"/>
    <mergeCell ref="I46:P46"/>
    <mergeCell ref="I1:P1"/>
    <mergeCell ref="I3:P3"/>
    <mergeCell ref="A1:H1"/>
    <mergeCell ref="A23:H23"/>
    <mergeCell ref="A2:H2"/>
    <mergeCell ref="A3:H3"/>
    <mergeCell ref="I2:P2"/>
    <mergeCell ref="A69:H69"/>
    <mergeCell ref="I69:P69"/>
    <mergeCell ref="A89:H89"/>
    <mergeCell ref="I89:P89"/>
    <mergeCell ref="A90:H90"/>
    <mergeCell ref="I90:P90"/>
    <mergeCell ref="A179:H179"/>
    <mergeCell ref="A136:H136"/>
    <mergeCell ref="A91:H91"/>
    <mergeCell ref="I91:P91"/>
    <mergeCell ref="A112:H112"/>
    <mergeCell ref="I112:P112"/>
    <mergeCell ref="A113:H113"/>
    <mergeCell ref="I113:P113"/>
    <mergeCell ref="A160:H160"/>
    <mergeCell ref="I202:P202"/>
    <mergeCell ref="I203:P203"/>
    <mergeCell ref="A114:H114"/>
    <mergeCell ref="I114:P114"/>
    <mergeCell ref="A180:H180"/>
    <mergeCell ref="I180:P180"/>
    <mergeCell ref="A181:H181"/>
    <mergeCell ref="I159:P159"/>
    <mergeCell ref="A157:H157"/>
    <mergeCell ref="I157:P157"/>
    <mergeCell ref="A158:H158"/>
    <mergeCell ref="I158:P158"/>
    <mergeCell ref="I134:P135"/>
    <mergeCell ref="I136:P136"/>
    <mergeCell ref="I137:P137"/>
    <mergeCell ref="A159:H159"/>
    <mergeCell ref="I181:P181"/>
    <mergeCell ref="I179:P179"/>
    <mergeCell ref="A137:H137"/>
    <mergeCell ref="A134:H135"/>
    <mergeCell ref="A268:H268"/>
    <mergeCell ref="I268:P268"/>
    <mergeCell ref="I224:P224"/>
    <mergeCell ref="I225:P225"/>
    <mergeCell ref="I226:P226"/>
    <mergeCell ref="A202:H202"/>
    <mergeCell ref="A203:H203"/>
    <mergeCell ref="A204:H204"/>
    <mergeCell ref="I204:P204"/>
    <mergeCell ref="A224:H224"/>
    <mergeCell ref="A225:H225"/>
    <mergeCell ref="A226:H226"/>
    <mergeCell ref="A269:H269"/>
    <mergeCell ref="I269:P269"/>
    <mergeCell ref="I249:P249"/>
    <mergeCell ref="A247:H247"/>
    <mergeCell ref="I247:P247"/>
    <mergeCell ref="A248:H248"/>
    <mergeCell ref="I248:P248"/>
    <mergeCell ref="A249:H249"/>
    <mergeCell ref="A270:H270"/>
    <mergeCell ref="I270:P270"/>
    <mergeCell ref="E290:L290"/>
    <mergeCell ref="E291:L291"/>
    <mergeCell ref="E292:L292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paperSize="9" scale="76" orientation="landscape" r:id="rId1"/>
  <rowBreaks count="5" manualBreakCount="5">
    <brk id="44" max="15" man="1"/>
    <brk id="88" max="15" man="1"/>
    <brk id="178" max="15" man="1"/>
    <brk id="223" max="15" man="1"/>
    <brk id="267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D177"/>
  <sheetViews>
    <sheetView zoomScaleNormal="100" workbookViewId="0">
      <selection activeCell="BW3" sqref="BW3:CD176"/>
    </sheetView>
  </sheetViews>
  <sheetFormatPr defaultRowHeight="12.75" x14ac:dyDescent="0.2"/>
  <cols>
    <col min="1" max="1" width="17.28515625" style="134" customWidth="1"/>
    <col min="2" max="2" width="35" style="94" customWidth="1"/>
    <col min="3" max="10" width="9.42578125" style="94" customWidth="1"/>
    <col min="11" max="11" width="9.140625" style="94"/>
    <col min="12" max="19" width="9.42578125" style="94" customWidth="1"/>
    <col min="20" max="20" width="9.140625" style="94"/>
    <col min="21" max="28" width="9.42578125" style="94" customWidth="1"/>
    <col min="29" max="29" width="9.140625" style="94"/>
    <col min="30" max="37" width="9.42578125" style="94" customWidth="1"/>
    <col min="38" max="38" width="9.140625" style="94"/>
    <col min="39" max="46" width="9.42578125" style="94" customWidth="1"/>
    <col min="47" max="47" width="9.140625" style="94"/>
    <col min="48" max="55" width="9.42578125" style="94" customWidth="1"/>
    <col min="56" max="56" width="9.140625" style="94"/>
    <col min="57" max="64" width="9.42578125" style="94" customWidth="1"/>
    <col min="65" max="65" width="9.140625" style="94"/>
    <col min="66" max="73" width="9.42578125" style="94" customWidth="1"/>
    <col min="74" max="74" width="9.140625" style="94"/>
    <col min="75" max="82" width="9.42578125" style="94" customWidth="1"/>
    <col min="83" max="83" width="9.140625" style="94"/>
    <col min="84" max="91" width="9.42578125" style="94" customWidth="1"/>
    <col min="92" max="92" width="9.140625" style="94"/>
    <col min="93" max="100" width="9.42578125" style="94" customWidth="1"/>
    <col min="101" max="101" width="9.140625" style="94"/>
    <col min="102" max="109" width="9.42578125" style="94" customWidth="1"/>
    <col min="110" max="110" width="9.140625" style="94"/>
    <col min="111" max="118" width="9.42578125" style="94" customWidth="1"/>
    <col min="119" max="119" width="9.140625" style="94"/>
    <col min="120" max="127" width="9.42578125" style="94" customWidth="1"/>
    <col min="128" max="128" width="9.140625" style="94"/>
    <col min="129" max="136" width="9.42578125" style="94" customWidth="1"/>
    <col min="137" max="137" width="9.140625" style="94"/>
    <col min="138" max="145" width="9.42578125" style="94" customWidth="1"/>
    <col min="146" max="146" width="9.140625" style="94"/>
    <col min="147" max="154" width="9.42578125" style="94" customWidth="1"/>
    <col min="155" max="155" width="9.140625" style="94"/>
    <col min="156" max="163" width="9.42578125" style="94" customWidth="1"/>
    <col min="164" max="164" width="9.140625" style="94"/>
    <col min="165" max="172" width="9.42578125" style="94" customWidth="1"/>
    <col min="173" max="173" width="9.140625" style="94"/>
    <col min="174" max="181" width="9.42578125" style="94" customWidth="1"/>
    <col min="182" max="182" width="9.140625" style="94"/>
    <col min="183" max="190" width="9.42578125" style="94" customWidth="1"/>
    <col min="191" max="191" width="9.140625" style="94"/>
    <col min="192" max="199" width="9.42578125" style="94" customWidth="1"/>
    <col min="200" max="200" width="9.140625" style="94"/>
    <col min="201" max="208" width="9.42578125" style="94" customWidth="1"/>
    <col min="209" max="209" width="9.140625" style="94"/>
    <col min="210" max="217" width="9.42578125" style="94" customWidth="1"/>
    <col min="218" max="218" width="9.140625" style="94"/>
    <col min="219" max="226" width="9.42578125" style="94" customWidth="1"/>
    <col min="227" max="227" width="9.140625" style="94"/>
    <col min="228" max="235" width="9.42578125" style="94" customWidth="1"/>
    <col min="236" max="236" width="9.140625" style="94"/>
    <col min="237" max="244" width="9.42578125" style="94" customWidth="1"/>
    <col min="245" max="245" width="9.140625" style="94"/>
    <col min="246" max="253" width="9.42578125" style="94" customWidth="1"/>
    <col min="254" max="254" width="9.140625" style="94"/>
    <col min="255" max="290" width="9.140625" style="515"/>
    <col min="291" max="16384" width="9.140625" style="94"/>
  </cols>
  <sheetData>
    <row r="1" spans="1:290" ht="45.75" customHeight="1" thickBot="1" x14ac:dyDescent="0.25">
      <c r="A1" s="927" t="s">
        <v>1172</v>
      </c>
      <c r="B1" s="928"/>
      <c r="C1" s="920" t="s">
        <v>5</v>
      </c>
      <c r="D1" s="921"/>
      <c r="E1" s="922"/>
      <c r="F1" s="922"/>
      <c r="G1" s="922"/>
      <c r="H1" s="923"/>
      <c r="I1" s="923"/>
      <c r="J1" s="923"/>
      <c r="K1" s="924"/>
      <c r="L1" s="915" t="s">
        <v>7</v>
      </c>
      <c r="M1" s="916"/>
      <c r="N1" s="917"/>
      <c r="O1" s="917"/>
      <c r="P1" s="917"/>
      <c r="Q1" s="918"/>
      <c r="R1" s="918"/>
      <c r="S1" s="918"/>
      <c r="T1" s="919"/>
      <c r="U1" s="915" t="s">
        <v>564</v>
      </c>
      <c r="V1" s="916"/>
      <c r="W1" s="917"/>
      <c r="X1" s="917"/>
      <c r="Y1" s="917"/>
      <c r="Z1" s="918"/>
      <c r="AA1" s="918"/>
      <c r="AB1" s="918"/>
      <c r="AC1" s="919"/>
      <c r="AD1" s="920" t="s">
        <v>8</v>
      </c>
      <c r="AE1" s="921"/>
      <c r="AF1" s="922"/>
      <c r="AG1" s="922"/>
      <c r="AH1" s="922"/>
      <c r="AI1" s="923"/>
      <c r="AJ1" s="923"/>
      <c r="AK1" s="923"/>
      <c r="AL1" s="924"/>
      <c r="AM1" s="915" t="s">
        <v>565</v>
      </c>
      <c r="AN1" s="916"/>
      <c r="AO1" s="917"/>
      <c r="AP1" s="917"/>
      <c r="AQ1" s="917"/>
      <c r="AR1" s="918"/>
      <c r="AS1" s="918"/>
      <c r="AT1" s="918"/>
      <c r="AU1" s="919"/>
      <c r="AV1" s="915" t="s">
        <v>566</v>
      </c>
      <c r="AW1" s="916"/>
      <c r="AX1" s="917"/>
      <c r="AY1" s="917"/>
      <c r="AZ1" s="917"/>
      <c r="BA1" s="918"/>
      <c r="BB1" s="918"/>
      <c r="BC1" s="918"/>
      <c r="BD1" s="919"/>
      <c r="BE1" s="920" t="s">
        <v>9</v>
      </c>
      <c r="BF1" s="921"/>
      <c r="BG1" s="922"/>
      <c r="BH1" s="922"/>
      <c r="BI1" s="922"/>
      <c r="BJ1" s="923"/>
      <c r="BK1" s="923"/>
      <c r="BL1" s="923"/>
      <c r="BM1" s="924"/>
      <c r="BN1" s="920" t="s">
        <v>10</v>
      </c>
      <c r="BO1" s="921"/>
      <c r="BP1" s="922"/>
      <c r="BQ1" s="922"/>
      <c r="BR1" s="922"/>
      <c r="BS1" s="923"/>
      <c r="BT1" s="923"/>
      <c r="BU1" s="923"/>
      <c r="BV1" s="924"/>
      <c r="BW1" s="920" t="s">
        <v>11</v>
      </c>
      <c r="BX1" s="921"/>
      <c r="BY1" s="922"/>
      <c r="BZ1" s="922"/>
      <c r="CA1" s="922"/>
      <c r="CB1" s="923"/>
      <c r="CC1" s="923"/>
      <c r="CD1" s="923"/>
      <c r="CE1" s="924"/>
      <c r="CF1" s="920" t="s">
        <v>12</v>
      </c>
      <c r="CG1" s="921"/>
      <c r="CH1" s="922"/>
      <c r="CI1" s="922"/>
      <c r="CJ1" s="922"/>
      <c r="CK1" s="923"/>
      <c r="CL1" s="923"/>
      <c r="CM1" s="923"/>
      <c r="CN1" s="924"/>
      <c r="CO1" s="920" t="s">
        <v>567</v>
      </c>
      <c r="CP1" s="921"/>
      <c r="CQ1" s="922"/>
      <c r="CR1" s="922"/>
      <c r="CS1" s="922"/>
      <c r="CT1" s="923"/>
      <c r="CU1" s="923"/>
      <c r="CV1" s="923"/>
      <c r="CW1" s="924"/>
      <c r="CX1" s="920" t="s">
        <v>14</v>
      </c>
      <c r="CY1" s="921"/>
      <c r="CZ1" s="922"/>
      <c r="DA1" s="922"/>
      <c r="DB1" s="922"/>
      <c r="DC1" s="923"/>
      <c r="DD1" s="923"/>
      <c r="DE1" s="923"/>
      <c r="DF1" s="924"/>
      <c r="DG1" s="915" t="s">
        <v>15</v>
      </c>
      <c r="DH1" s="916"/>
      <c r="DI1" s="917"/>
      <c r="DJ1" s="917"/>
      <c r="DK1" s="917"/>
      <c r="DL1" s="918"/>
      <c r="DM1" s="918"/>
      <c r="DN1" s="918"/>
      <c r="DO1" s="919"/>
      <c r="DP1" s="915" t="s">
        <v>16</v>
      </c>
      <c r="DQ1" s="916"/>
      <c r="DR1" s="917"/>
      <c r="DS1" s="917"/>
      <c r="DT1" s="917"/>
      <c r="DU1" s="918"/>
      <c r="DV1" s="918"/>
      <c r="DW1" s="918"/>
      <c r="DX1" s="919"/>
      <c r="DY1" s="915" t="s">
        <v>568</v>
      </c>
      <c r="DZ1" s="916"/>
      <c r="EA1" s="917"/>
      <c r="EB1" s="917"/>
      <c r="EC1" s="917"/>
      <c r="ED1" s="918"/>
      <c r="EE1" s="918"/>
      <c r="EF1" s="918"/>
      <c r="EG1" s="919"/>
      <c r="EH1" s="920" t="s">
        <v>17</v>
      </c>
      <c r="EI1" s="921"/>
      <c r="EJ1" s="922"/>
      <c r="EK1" s="922"/>
      <c r="EL1" s="922"/>
      <c r="EM1" s="923"/>
      <c r="EN1" s="923"/>
      <c r="EO1" s="923"/>
      <c r="EP1" s="924"/>
      <c r="EQ1" s="920" t="s">
        <v>18</v>
      </c>
      <c r="ER1" s="921"/>
      <c r="ES1" s="922"/>
      <c r="ET1" s="922"/>
      <c r="EU1" s="922"/>
      <c r="EV1" s="923"/>
      <c r="EW1" s="923"/>
      <c r="EX1" s="923"/>
      <c r="EY1" s="924"/>
      <c r="EZ1" s="920" t="s">
        <v>19</v>
      </c>
      <c r="FA1" s="921"/>
      <c r="FB1" s="922"/>
      <c r="FC1" s="922"/>
      <c r="FD1" s="922"/>
      <c r="FE1" s="923"/>
      <c r="FF1" s="923"/>
      <c r="FG1" s="923"/>
      <c r="FH1" s="924"/>
      <c r="FI1" s="920" t="s">
        <v>20</v>
      </c>
      <c r="FJ1" s="921"/>
      <c r="FK1" s="922"/>
      <c r="FL1" s="922"/>
      <c r="FM1" s="922"/>
      <c r="FN1" s="923"/>
      <c r="FO1" s="923"/>
      <c r="FP1" s="923"/>
      <c r="FQ1" s="924"/>
      <c r="FR1" s="920" t="s">
        <v>21</v>
      </c>
      <c r="FS1" s="921"/>
      <c r="FT1" s="922"/>
      <c r="FU1" s="922"/>
      <c r="FV1" s="922"/>
      <c r="FW1" s="923"/>
      <c r="FX1" s="923"/>
      <c r="FY1" s="923"/>
      <c r="FZ1" s="924"/>
      <c r="GA1" s="920" t="s">
        <v>22</v>
      </c>
      <c r="GB1" s="921"/>
      <c r="GC1" s="922"/>
      <c r="GD1" s="922"/>
      <c r="GE1" s="922"/>
      <c r="GF1" s="923"/>
      <c r="GG1" s="923"/>
      <c r="GH1" s="923"/>
      <c r="GI1" s="924"/>
      <c r="GJ1" s="920" t="s">
        <v>569</v>
      </c>
      <c r="GK1" s="921"/>
      <c r="GL1" s="922"/>
      <c r="GM1" s="922"/>
      <c r="GN1" s="922"/>
      <c r="GO1" s="923"/>
      <c r="GP1" s="923"/>
      <c r="GQ1" s="923"/>
      <c r="GR1" s="924"/>
      <c r="GS1" s="920" t="s">
        <v>570</v>
      </c>
      <c r="GT1" s="921"/>
      <c r="GU1" s="922"/>
      <c r="GV1" s="922"/>
      <c r="GW1" s="922"/>
      <c r="GX1" s="923"/>
      <c r="GY1" s="923"/>
      <c r="GZ1" s="923"/>
      <c r="HA1" s="924"/>
      <c r="HB1" s="920" t="s">
        <v>25</v>
      </c>
      <c r="HC1" s="921"/>
      <c r="HD1" s="922"/>
      <c r="HE1" s="922"/>
      <c r="HF1" s="922"/>
      <c r="HG1" s="923"/>
      <c r="HH1" s="923"/>
      <c r="HI1" s="923"/>
      <c r="HJ1" s="924"/>
      <c r="HK1" s="920" t="s">
        <v>26</v>
      </c>
      <c r="HL1" s="921"/>
      <c r="HM1" s="922"/>
      <c r="HN1" s="922"/>
      <c r="HO1" s="922"/>
      <c r="HP1" s="923"/>
      <c r="HQ1" s="923"/>
      <c r="HR1" s="923"/>
      <c r="HS1" s="924"/>
      <c r="HT1" s="920" t="s">
        <v>571</v>
      </c>
      <c r="HU1" s="921"/>
      <c r="HV1" s="922"/>
      <c r="HW1" s="922"/>
      <c r="HX1" s="922"/>
      <c r="HY1" s="923"/>
      <c r="HZ1" s="923"/>
      <c r="IA1" s="923"/>
      <c r="IB1" s="924"/>
      <c r="IC1" s="920" t="s">
        <v>572</v>
      </c>
      <c r="ID1" s="921"/>
      <c r="IE1" s="922"/>
      <c r="IF1" s="922"/>
      <c r="IG1" s="922"/>
      <c r="IH1" s="923"/>
      <c r="II1" s="923"/>
      <c r="IJ1" s="923"/>
      <c r="IK1" s="924"/>
      <c r="IL1" s="942" t="s">
        <v>1119</v>
      </c>
      <c r="IM1" s="943"/>
      <c r="IN1" s="943"/>
      <c r="IO1" s="943"/>
      <c r="IP1" s="943"/>
      <c r="IQ1" s="943"/>
      <c r="IR1" s="943"/>
      <c r="IS1" s="943"/>
      <c r="IT1" s="944"/>
      <c r="IU1" s="945" t="s">
        <v>572</v>
      </c>
      <c r="IV1" s="946"/>
      <c r="IW1" s="946"/>
      <c r="IX1" s="946"/>
      <c r="IY1" s="946"/>
      <c r="IZ1" s="946"/>
      <c r="JA1" s="946"/>
      <c r="JB1" s="946"/>
      <c r="JC1" s="947"/>
      <c r="JD1" s="948" t="s">
        <v>571</v>
      </c>
      <c r="JE1" s="949"/>
      <c r="JF1" s="949"/>
      <c r="JG1" s="949"/>
      <c r="JH1" s="949"/>
      <c r="JI1" s="949"/>
      <c r="JJ1" s="949"/>
      <c r="JK1" s="949"/>
      <c r="JL1" s="950"/>
      <c r="JM1" s="948" t="s">
        <v>569</v>
      </c>
      <c r="JN1" s="949"/>
      <c r="JO1" s="949"/>
      <c r="JP1" s="949"/>
      <c r="JQ1" s="949"/>
      <c r="JR1" s="949"/>
      <c r="JS1" s="949"/>
      <c r="JT1" s="949"/>
      <c r="JU1" s="950"/>
      <c r="JV1" s="939" t="s">
        <v>1120</v>
      </c>
      <c r="JW1" s="940"/>
      <c r="JX1" s="940"/>
      <c r="JY1" s="940"/>
      <c r="JZ1" s="940"/>
      <c r="KA1" s="940"/>
      <c r="KB1" s="940"/>
      <c r="KC1" s="940"/>
      <c r="KD1" s="941"/>
    </row>
    <row r="2" spans="1:290" ht="32.25" customHeight="1" thickBot="1" x14ac:dyDescent="0.25">
      <c r="A2" s="925" t="s">
        <v>1121</v>
      </c>
      <c r="B2" s="926"/>
      <c r="C2" s="345" t="s">
        <v>1092</v>
      </c>
      <c r="D2" s="479" t="s">
        <v>1093</v>
      </c>
      <c r="E2" s="479" t="s">
        <v>1122</v>
      </c>
      <c r="F2" s="479" t="s">
        <v>1094</v>
      </c>
      <c r="G2" s="479" t="s">
        <v>1095</v>
      </c>
      <c r="H2" s="479" t="s">
        <v>1096</v>
      </c>
      <c r="I2" s="479" t="s">
        <v>1097</v>
      </c>
      <c r="J2" s="837" t="s">
        <v>1098</v>
      </c>
      <c r="K2" s="480" t="s">
        <v>1171</v>
      </c>
      <c r="L2" s="345" t="s">
        <v>1092</v>
      </c>
      <c r="M2" s="479" t="s">
        <v>1093</v>
      </c>
      <c r="N2" s="479" t="s">
        <v>1122</v>
      </c>
      <c r="O2" s="479" t="s">
        <v>1094</v>
      </c>
      <c r="P2" s="479" t="s">
        <v>1095</v>
      </c>
      <c r="Q2" s="479" t="s">
        <v>1096</v>
      </c>
      <c r="R2" s="479" t="s">
        <v>1097</v>
      </c>
      <c r="S2" s="837" t="s">
        <v>1098</v>
      </c>
      <c r="T2" s="480" t="s">
        <v>1171</v>
      </c>
      <c r="U2" s="345" t="s">
        <v>1092</v>
      </c>
      <c r="V2" s="479" t="s">
        <v>1093</v>
      </c>
      <c r="W2" s="479" t="s">
        <v>1122</v>
      </c>
      <c r="X2" s="479" t="s">
        <v>1094</v>
      </c>
      <c r="Y2" s="479" t="s">
        <v>1095</v>
      </c>
      <c r="Z2" s="479" t="s">
        <v>1096</v>
      </c>
      <c r="AA2" s="479" t="s">
        <v>1097</v>
      </c>
      <c r="AB2" s="837" t="s">
        <v>1098</v>
      </c>
      <c r="AC2" s="480" t="s">
        <v>1171</v>
      </c>
      <c r="AD2" s="345" t="s">
        <v>1092</v>
      </c>
      <c r="AE2" s="479" t="s">
        <v>1093</v>
      </c>
      <c r="AF2" s="479" t="s">
        <v>1122</v>
      </c>
      <c r="AG2" s="479" t="s">
        <v>1094</v>
      </c>
      <c r="AH2" s="479" t="s">
        <v>1095</v>
      </c>
      <c r="AI2" s="479" t="s">
        <v>1096</v>
      </c>
      <c r="AJ2" s="479" t="s">
        <v>1097</v>
      </c>
      <c r="AK2" s="837" t="s">
        <v>1098</v>
      </c>
      <c r="AL2" s="480" t="s">
        <v>1171</v>
      </c>
      <c r="AM2" s="345" t="s">
        <v>1092</v>
      </c>
      <c r="AN2" s="479" t="s">
        <v>1093</v>
      </c>
      <c r="AO2" s="479" t="s">
        <v>1122</v>
      </c>
      <c r="AP2" s="479" t="s">
        <v>1094</v>
      </c>
      <c r="AQ2" s="479" t="s">
        <v>1095</v>
      </c>
      <c r="AR2" s="479" t="s">
        <v>1096</v>
      </c>
      <c r="AS2" s="479" t="s">
        <v>1097</v>
      </c>
      <c r="AT2" s="837" t="s">
        <v>1098</v>
      </c>
      <c r="AU2" s="480" t="s">
        <v>1171</v>
      </c>
      <c r="AV2" s="345" t="s">
        <v>1092</v>
      </c>
      <c r="AW2" s="479" t="s">
        <v>1093</v>
      </c>
      <c r="AX2" s="479" t="s">
        <v>1122</v>
      </c>
      <c r="AY2" s="479" t="s">
        <v>1094</v>
      </c>
      <c r="AZ2" s="479" t="s">
        <v>1095</v>
      </c>
      <c r="BA2" s="479" t="s">
        <v>1096</v>
      </c>
      <c r="BB2" s="479" t="s">
        <v>1097</v>
      </c>
      <c r="BC2" s="837" t="s">
        <v>1098</v>
      </c>
      <c r="BD2" s="480" t="s">
        <v>1171</v>
      </c>
      <c r="BE2" s="345" t="s">
        <v>1092</v>
      </c>
      <c r="BF2" s="479" t="s">
        <v>1093</v>
      </c>
      <c r="BG2" s="479" t="s">
        <v>1122</v>
      </c>
      <c r="BH2" s="479" t="s">
        <v>1094</v>
      </c>
      <c r="BI2" s="479" t="s">
        <v>1095</v>
      </c>
      <c r="BJ2" s="479" t="s">
        <v>1096</v>
      </c>
      <c r="BK2" s="479" t="s">
        <v>1097</v>
      </c>
      <c r="BL2" s="837" t="s">
        <v>1098</v>
      </c>
      <c r="BM2" s="480" t="s">
        <v>1171</v>
      </c>
      <c r="BN2" s="345" t="s">
        <v>1092</v>
      </c>
      <c r="BO2" s="479" t="s">
        <v>1093</v>
      </c>
      <c r="BP2" s="479" t="s">
        <v>1122</v>
      </c>
      <c r="BQ2" s="479" t="s">
        <v>1094</v>
      </c>
      <c r="BR2" s="479" t="s">
        <v>1095</v>
      </c>
      <c r="BS2" s="479" t="s">
        <v>1096</v>
      </c>
      <c r="BT2" s="479" t="s">
        <v>1097</v>
      </c>
      <c r="BU2" s="837" t="s">
        <v>1098</v>
      </c>
      <c r="BV2" s="480" t="s">
        <v>1171</v>
      </c>
      <c r="BW2" s="345" t="s">
        <v>1092</v>
      </c>
      <c r="BX2" s="479" t="s">
        <v>1093</v>
      </c>
      <c r="BY2" s="479" t="s">
        <v>1122</v>
      </c>
      <c r="BZ2" s="479" t="s">
        <v>1094</v>
      </c>
      <c r="CA2" s="479" t="s">
        <v>1095</v>
      </c>
      <c r="CB2" s="479" t="s">
        <v>1096</v>
      </c>
      <c r="CC2" s="479" t="s">
        <v>1097</v>
      </c>
      <c r="CD2" s="837" t="s">
        <v>1098</v>
      </c>
      <c r="CE2" s="480" t="s">
        <v>1171</v>
      </c>
      <c r="CF2" s="345" t="s">
        <v>1092</v>
      </c>
      <c r="CG2" s="479" t="s">
        <v>1093</v>
      </c>
      <c r="CH2" s="479" t="s">
        <v>1122</v>
      </c>
      <c r="CI2" s="479" t="s">
        <v>1094</v>
      </c>
      <c r="CJ2" s="479" t="s">
        <v>1095</v>
      </c>
      <c r="CK2" s="479" t="s">
        <v>1096</v>
      </c>
      <c r="CL2" s="479" t="s">
        <v>1097</v>
      </c>
      <c r="CM2" s="837" t="s">
        <v>1098</v>
      </c>
      <c r="CN2" s="480" t="s">
        <v>1171</v>
      </c>
      <c r="CO2" s="345" t="s">
        <v>1092</v>
      </c>
      <c r="CP2" s="479" t="s">
        <v>1093</v>
      </c>
      <c r="CQ2" s="479" t="s">
        <v>1122</v>
      </c>
      <c r="CR2" s="479" t="s">
        <v>1094</v>
      </c>
      <c r="CS2" s="479" t="s">
        <v>1095</v>
      </c>
      <c r="CT2" s="479" t="s">
        <v>1096</v>
      </c>
      <c r="CU2" s="479" t="s">
        <v>1097</v>
      </c>
      <c r="CV2" s="837" t="s">
        <v>1098</v>
      </c>
      <c r="CW2" s="480" t="s">
        <v>1171</v>
      </c>
      <c r="CX2" s="345" t="s">
        <v>1092</v>
      </c>
      <c r="CY2" s="479" t="s">
        <v>1093</v>
      </c>
      <c r="CZ2" s="479" t="s">
        <v>1122</v>
      </c>
      <c r="DA2" s="479" t="s">
        <v>1094</v>
      </c>
      <c r="DB2" s="479" t="s">
        <v>1095</v>
      </c>
      <c r="DC2" s="479" t="s">
        <v>1096</v>
      </c>
      <c r="DD2" s="479" t="s">
        <v>1097</v>
      </c>
      <c r="DE2" s="837" t="s">
        <v>1098</v>
      </c>
      <c r="DF2" s="480" t="s">
        <v>1171</v>
      </c>
      <c r="DG2" s="345" t="s">
        <v>1092</v>
      </c>
      <c r="DH2" s="479" t="s">
        <v>1093</v>
      </c>
      <c r="DI2" s="479" t="s">
        <v>1122</v>
      </c>
      <c r="DJ2" s="479" t="s">
        <v>1094</v>
      </c>
      <c r="DK2" s="479" t="s">
        <v>1095</v>
      </c>
      <c r="DL2" s="479" t="s">
        <v>1096</v>
      </c>
      <c r="DM2" s="479" t="s">
        <v>1097</v>
      </c>
      <c r="DN2" s="837" t="s">
        <v>1098</v>
      </c>
      <c r="DO2" s="480" t="s">
        <v>1171</v>
      </c>
      <c r="DP2" s="345" t="s">
        <v>1092</v>
      </c>
      <c r="DQ2" s="479" t="s">
        <v>1093</v>
      </c>
      <c r="DR2" s="479" t="s">
        <v>1122</v>
      </c>
      <c r="DS2" s="479" t="s">
        <v>1094</v>
      </c>
      <c r="DT2" s="479" t="s">
        <v>1095</v>
      </c>
      <c r="DU2" s="479" t="s">
        <v>1096</v>
      </c>
      <c r="DV2" s="479" t="s">
        <v>1097</v>
      </c>
      <c r="DW2" s="837" t="s">
        <v>1098</v>
      </c>
      <c r="DX2" s="480" t="s">
        <v>1171</v>
      </c>
      <c r="DY2" s="345" t="s">
        <v>1092</v>
      </c>
      <c r="DZ2" s="479" t="s">
        <v>1093</v>
      </c>
      <c r="EA2" s="479" t="s">
        <v>1122</v>
      </c>
      <c r="EB2" s="479" t="s">
        <v>1094</v>
      </c>
      <c r="EC2" s="479" t="s">
        <v>1095</v>
      </c>
      <c r="ED2" s="479" t="s">
        <v>1096</v>
      </c>
      <c r="EE2" s="479" t="s">
        <v>1097</v>
      </c>
      <c r="EF2" s="837" t="s">
        <v>1098</v>
      </c>
      <c r="EG2" s="480" t="s">
        <v>1171</v>
      </c>
      <c r="EH2" s="345" t="s">
        <v>1092</v>
      </c>
      <c r="EI2" s="479" t="s">
        <v>1093</v>
      </c>
      <c r="EJ2" s="479" t="s">
        <v>1122</v>
      </c>
      <c r="EK2" s="479" t="s">
        <v>1094</v>
      </c>
      <c r="EL2" s="479" t="s">
        <v>1095</v>
      </c>
      <c r="EM2" s="479" t="s">
        <v>1096</v>
      </c>
      <c r="EN2" s="479" t="s">
        <v>1097</v>
      </c>
      <c r="EO2" s="837" t="s">
        <v>1098</v>
      </c>
      <c r="EP2" s="480" t="s">
        <v>1171</v>
      </c>
      <c r="EQ2" s="345" t="s">
        <v>1092</v>
      </c>
      <c r="ER2" s="479" t="s">
        <v>1093</v>
      </c>
      <c r="ES2" s="479" t="s">
        <v>1122</v>
      </c>
      <c r="ET2" s="479" t="s">
        <v>1094</v>
      </c>
      <c r="EU2" s="479" t="s">
        <v>1095</v>
      </c>
      <c r="EV2" s="479" t="s">
        <v>1096</v>
      </c>
      <c r="EW2" s="479" t="s">
        <v>1097</v>
      </c>
      <c r="EX2" s="837" t="s">
        <v>1098</v>
      </c>
      <c r="EY2" s="480" t="s">
        <v>1171</v>
      </c>
      <c r="EZ2" s="345" t="s">
        <v>1092</v>
      </c>
      <c r="FA2" s="479" t="s">
        <v>1093</v>
      </c>
      <c r="FB2" s="479" t="s">
        <v>1122</v>
      </c>
      <c r="FC2" s="479" t="s">
        <v>1094</v>
      </c>
      <c r="FD2" s="479" t="s">
        <v>1095</v>
      </c>
      <c r="FE2" s="479" t="s">
        <v>1096</v>
      </c>
      <c r="FF2" s="479" t="s">
        <v>1097</v>
      </c>
      <c r="FG2" s="837" t="s">
        <v>1098</v>
      </c>
      <c r="FH2" s="480" t="s">
        <v>1171</v>
      </c>
      <c r="FI2" s="345" t="s">
        <v>1092</v>
      </c>
      <c r="FJ2" s="479" t="s">
        <v>1093</v>
      </c>
      <c r="FK2" s="479" t="s">
        <v>1122</v>
      </c>
      <c r="FL2" s="479" t="s">
        <v>1094</v>
      </c>
      <c r="FM2" s="479" t="s">
        <v>1095</v>
      </c>
      <c r="FN2" s="479" t="s">
        <v>1096</v>
      </c>
      <c r="FO2" s="479" t="s">
        <v>1097</v>
      </c>
      <c r="FP2" s="837" t="s">
        <v>1098</v>
      </c>
      <c r="FQ2" s="480" t="s">
        <v>1171</v>
      </c>
      <c r="FR2" s="345" t="s">
        <v>1092</v>
      </c>
      <c r="FS2" s="479" t="s">
        <v>1093</v>
      </c>
      <c r="FT2" s="479" t="s">
        <v>1122</v>
      </c>
      <c r="FU2" s="479" t="s">
        <v>1094</v>
      </c>
      <c r="FV2" s="479" t="s">
        <v>1095</v>
      </c>
      <c r="FW2" s="479" t="s">
        <v>1096</v>
      </c>
      <c r="FX2" s="479" t="s">
        <v>1097</v>
      </c>
      <c r="FY2" s="837" t="s">
        <v>1098</v>
      </c>
      <c r="FZ2" s="480" t="s">
        <v>1171</v>
      </c>
      <c r="GA2" s="345" t="s">
        <v>1092</v>
      </c>
      <c r="GB2" s="479" t="s">
        <v>1093</v>
      </c>
      <c r="GC2" s="479" t="s">
        <v>1122</v>
      </c>
      <c r="GD2" s="479" t="s">
        <v>1094</v>
      </c>
      <c r="GE2" s="479" t="s">
        <v>1095</v>
      </c>
      <c r="GF2" s="479" t="s">
        <v>1096</v>
      </c>
      <c r="GG2" s="479" t="s">
        <v>1097</v>
      </c>
      <c r="GH2" s="837" t="s">
        <v>1098</v>
      </c>
      <c r="GI2" s="480" t="s">
        <v>1171</v>
      </c>
      <c r="GJ2" s="345" t="s">
        <v>1092</v>
      </c>
      <c r="GK2" s="479" t="s">
        <v>1093</v>
      </c>
      <c r="GL2" s="479" t="s">
        <v>1122</v>
      </c>
      <c r="GM2" s="479" t="s">
        <v>1094</v>
      </c>
      <c r="GN2" s="479" t="s">
        <v>1095</v>
      </c>
      <c r="GO2" s="479" t="s">
        <v>1096</v>
      </c>
      <c r="GP2" s="479" t="s">
        <v>1097</v>
      </c>
      <c r="GQ2" s="837" t="s">
        <v>1098</v>
      </c>
      <c r="GR2" s="480" t="s">
        <v>1171</v>
      </c>
      <c r="GS2" s="345" t="s">
        <v>1092</v>
      </c>
      <c r="GT2" s="479" t="s">
        <v>1093</v>
      </c>
      <c r="GU2" s="479" t="s">
        <v>1122</v>
      </c>
      <c r="GV2" s="479" t="s">
        <v>1094</v>
      </c>
      <c r="GW2" s="479" t="s">
        <v>1095</v>
      </c>
      <c r="GX2" s="479" t="s">
        <v>1096</v>
      </c>
      <c r="GY2" s="479" t="s">
        <v>1097</v>
      </c>
      <c r="GZ2" s="837" t="s">
        <v>1098</v>
      </c>
      <c r="HA2" s="480" t="s">
        <v>1171</v>
      </c>
      <c r="HB2" s="345" t="s">
        <v>1092</v>
      </c>
      <c r="HC2" s="479" t="s">
        <v>1093</v>
      </c>
      <c r="HD2" s="479" t="s">
        <v>1122</v>
      </c>
      <c r="HE2" s="479" t="s">
        <v>1094</v>
      </c>
      <c r="HF2" s="479" t="s">
        <v>1095</v>
      </c>
      <c r="HG2" s="479" t="s">
        <v>1096</v>
      </c>
      <c r="HH2" s="479" t="s">
        <v>1097</v>
      </c>
      <c r="HI2" s="837" t="s">
        <v>1098</v>
      </c>
      <c r="HJ2" s="480" t="s">
        <v>1171</v>
      </c>
      <c r="HK2" s="345" t="s">
        <v>1092</v>
      </c>
      <c r="HL2" s="479" t="s">
        <v>1093</v>
      </c>
      <c r="HM2" s="479" t="s">
        <v>1122</v>
      </c>
      <c r="HN2" s="479" t="s">
        <v>1094</v>
      </c>
      <c r="HO2" s="479" t="s">
        <v>1095</v>
      </c>
      <c r="HP2" s="479" t="s">
        <v>1096</v>
      </c>
      <c r="HQ2" s="479" t="s">
        <v>1097</v>
      </c>
      <c r="HR2" s="837" t="s">
        <v>1098</v>
      </c>
      <c r="HS2" s="480" t="s">
        <v>1171</v>
      </c>
      <c r="HT2" s="345" t="s">
        <v>1092</v>
      </c>
      <c r="HU2" s="479" t="s">
        <v>1093</v>
      </c>
      <c r="HV2" s="479" t="s">
        <v>1122</v>
      </c>
      <c r="HW2" s="479" t="s">
        <v>1094</v>
      </c>
      <c r="HX2" s="479" t="s">
        <v>1095</v>
      </c>
      <c r="HY2" s="479" t="s">
        <v>1096</v>
      </c>
      <c r="HZ2" s="479" t="s">
        <v>1097</v>
      </c>
      <c r="IA2" s="837" t="s">
        <v>1098</v>
      </c>
      <c r="IB2" s="480" t="s">
        <v>1171</v>
      </c>
      <c r="IC2" s="345" t="s">
        <v>1092</v>
      </c>
      <c r="ID2" s="479" t="s">
        <v>1093</v>
      </c>
      <c r="IE2" s="479" t="s">
        <v>1122</v>
      </c>
      <c r="IF2" s="479" t="s">
        <v>1094</v>
      </c>
      <c r="IG2" s="479" t="s">
        <v>1095</v>
      </c>
      <c r="IH2" s="479" t="s">
        <v>1096</v>
      </c>
      <c r="II2" s="479" t="s">
        <v>1097</v>
      </c>
      <c r="IJ2" s="837" t="s">
        <v>1098</v>
      </c>
      <c r="IK2" s="480" t="s">
        <v>1171</v>
      </c>
      <c r="IL2" s="345" t="s">
        <v>1092</v>
      </c>
      <c r="IM2" s="479" t="s">
        <v>1093</v>
      </c>
      <c r="IN2" s="479" t="s">
        <v>1122</v>
      </c>
      <c r="IO2" s="479" t="s">
        <v>1094</v>
      </c>
      <c r="IP2" s="479" t="s">
        <v>1095</v>
      </c>
      <c r="IQ2" s="479" t="s">
        <v>1096</v>
      </c>
      <c r="IR2" s="479" t="s">
        <v>1097</v>
      </c>
      <c r="IS2" s="837" t="s">
        <v>1098</v>
      </c>
      <c r="IT2" s="480" t="s">
        <v>1171</v>
      </c>
      <c r="IU2" s="516" t="s">
        <v>1092</v>
      </c>
      <c r="IV2" s="517" t="s">
        <v>1093</v>
      </c>
      <c r="IW2" s="517" t="s">
        <v>1122</v>
      </c>
      <c r="IX2" s="517" t="s">
        <v>1094</v>
      </c>
      <c r="IY2" s="517" t="s">
        <v>1095</v>
      </c>
      <c r="IZ2" s="517" t="s">
        <v>1096</v>
      </c>
      <c r="JA2" s="517" t="s">
        <v>1097</v>
      </c>
      <c r="JB2" s="838" t="s">
        <v>1098</v>
      </c>
      <c r="JC2" s="518" t="s">
        <v>1171</v>
      </c>
      <c r="JD2" s="516" t="s">
        <v>1092</v>
      </c>
      <c r="JE2" s="517" t="s">
        <v>1093</v>
      </c>
      <c r="JF2" s="517" t="s">
        <v>1122</v>
      </c>
      <c r="JG2" s="517" t="s">
        <v>1094</v>
      </c>
      <c r="JH2" s="517" t="s">
        <v>1095</v>
      </c>
      <c r="JI2" s="517" t="s">
        <v>1096</v>
      </c>
      <c r="JJ2" s="517" t="s">
        <v>1097</v>
      </c>
      <c r="JK2" s="838" t="s">
        <v>1098</v>
      </c>
      <c r="JL2" s="518" t="s">
        <v>1171</v>
      </c>
      <c r="JM2" s="516" t="s">
        <v>1092</v>
      </c>
      <c r="JN2" s="517" t="s">
        <v>1093</v>
      </c>
      <c r="JO2" s="517" t="s">
        <v>1122</v>
      </c>
      <c r="JP2" s="517" t="s">
        <v>1094</v>
      </c>
      <c r="JQ2" s="517" t="s">
        <v>1095</v>
      </c>
      <c r="JR2" s="517" t="s">
        <v>1096</v>
      </c>
      <c r="JS2" s="517" t="s">
        <v>1097</v>
      </c>
      <c r="JT2" s="838" t="s">
        <v>1098</v>
      </c>
      <c r="JU2" s="518" t="s">
        <v>1171</v>
      </c>
      <c r="JV2" s="516" t="s">
        <v>1092</v>
      </c>
      <c r="JW2" s="517" t="s">
        <v>1093</v>
      </c>
      <c r="JX2" s="517" t="s">
        <v>1122</v>
      </c>
      <c r="JY2" s="517" t="s">
        <v>1094</v>
      </c>
      <c r="JZ2" s="517" t="s">
        <v>1095</v>
      </c>
      <c r="KA2" s="517" t="s">
        <v>1096</v>
      </c>
      <c r="KB2" s="517" t="s">
        <v>1097</v>
      </c>
      <c r="KC2" s="838" t="s">
        <v>1098</v>
      </c>
      <c r="KD2" s="518" t="s">
        <v>1171</v>
      </c>
    </row>
    <row r="3" spans="1:290" ht="15" customHeight="1" thickBot="1" x14ac:dyDescent="0.25">
      <c r="A3" s="932" t="s">
        <v>1123</v>
      </c>
      <c r="B3" s="933"/>
      <c r="C3" s="481"/>
      <c r="D3" s="482"/>
      <c r="E3" s="482"/>
      <c r="F3" s="482"/>
      <c r="G3" s="483">
        <v>1</v>
      </c>
      <c r="H3" s="483"/>
      <c r="I3" s="483"/>
      <c r="J3" s="483"/>
      <c r="K3" s="484"/>
      <c r="L3" s="481"/>
      <c r="M3" s="482"/>
      <c r="N3" s="482"/>
      <c r="O3" s="482"/>
      <c r="P3" s="483"/>
      <c r="Q3" s="483"/>
      <c r="R3" s="483"/>
      <c r="S3" s="483"/>
      <c r="T3" s="484"/>
      <c r="U3" s="481"/>
      <c r="V3" s="482"/>
      <c r="W3" s="482"/>
      <c r="X3" s="482"/>
      <c r="Y3" s="483">
        <v>1</v>
      </c>
      <c r="Z3" s="483"/>
      <c r="AA3" s="483"/>
      <c r="AB3" s="483"/>
      <c r="AC3" s="484"/>
      <c r="AD3" s="481"/>
      <c r="AE3" s="482"/>
      <c r="AF3" s="482"/>
      <c r="AG3" s="482">
        <v>358</v>
      </c>
      <c r="AH3" s="483">
        <v>56</v>
      </c>
      <c r="AI3" s="483">
        <v>1</v>
      </c>
      <c r="AJ3" s="483">
        <v>1</v>
      </c>
      <c r="AK3" s="483">
        <v>2</v>
      </c>
      <c r="AL3" s="484"/>
      <c r="AM3" s="481"/>
      <c r="AN3" s="482"/>
      <c r="AO3" s="482"/>
      <c r="AP3" s="482">
        <v>23</v>
      </c>
      <c r="AQ3" s="483">
        <v>4</v>
      </c>
      <c r="AR3" s="483"/>
      <c r="AS3" s="483">
        <v>1</v>
      </c>
      <c r="AT3" s="483">
        <v>2</v>
      </c>
      <c r="AU3" s="484"/>
      <c r="AV3" s="481"/>
      <c r="AW3" s="482"/>
      <c r="AX3" s="482"/>
      <c r="AY3" s="482"/>
      <c r="AZ3" s="483"/>
      <c r="BA3" s="483"/>
      <c r="BB3" s="483"/>
      <c r="BC3" s="483"/>
      <c r="BD3" s="484"/>
      <c r="BE3" s="481"/>
      <c r="BF3" s="482"/>
      <c r="BG3" s="482"/>
      <c r="BH3" s="482"/>
      <c r="BI3" s="483"/>
      <c r="BJ3" s="483"/>
      <c r="BK3" s="483"/>
      <c r="BL3" s="483"/>
      <c r="BM3" s="484"/>
      <c r="BN3" s="481"/>
      <c r="BO3" s="482"/>
      <c r="BP3" s="482"/>
      <c r="BQ3" s="482"/>
      <c r="BR3" s="483"/>
      <c r="BS3" s="483"/>
      <c r="BT3" s="483"/>
      <c r="BU3" s="483"/>
      <c r="BV3" s="484"/>
      <c r="BW3" s="481"/>
      <c r="BX3" s="482"/>
      <c r="BY3" s="482"/>
      <c r="BZ3" s="482">
        <v>8</v>
      </c>
      <c r="CA3" s="483">
        <v>4</v>
      </c>
      <c r="CB3" s="483">
        <v>1</v>
      </c>
      <c r="CC3" s="483"/>
      <c r="CD3" s="483"/>
      <c r="CE3" s="484"/>
      <c r="CF3" s="481"/>
      <c r="CG3" s="482"/>
      <c r="CH3" s="482"/>
      <c r="CI3" s="482">
        <v>4</v>
      </c>
      <c r="CJ3" s="483"/>
      <c r="CK3" s="483"/>
      <c r="CL3" s="483"/>
      <c r="CM3" s="483">
        <v>1</v>
      </c>
      <c r="CN3" s="484"/>
      <c r="CO3" s="481"/>
      <c r="CP3" s="482"/>
      <c r="CQ3" s="482"/>
      <c r="CR3" s="482"/>
      <c r="CS3" s="483"/>
      <c r="CT3" s="483"/>
      <c r="CU3" s="483"/>
      <c r="CV3" s="483"/>
      <c r="CW3" s="484"/>
      <c r="CX3" s="481"/>
      <c r="CY3" s="482"/>
      <c r="CZ3" s="482"/>
      <c r="DA3" s="482">
        <v>138</v>
      </c>
      <c r="DB3" s="483">
        <v>55</v>
      </c>
      <c r="DC3" s="483">
        <v>29</v>
      </c>
      <c r="DD3" s="483">
        <v>115</v>
      </c>
      <c r="DE3" s="483">
        <v>98</v>
      </c>
      <c r="DF3" s="484"/>
      <c r="DG3" s="481"/>
      <c r="DH3" s="482"/>
      <c r="DI3" s="482"/>
      <c r="DJ3" s="482"/>
      <c r="DK3" s="483"/>
      <c r="DL3" s="483"/>
      <c r="DM3" s="483"/>
      <c r="DN3" s="483"/>
      <c r="DO3" s="484"/>
      <c r="DP3" s="481"/>
      <c r="DQ3" s="482"/>
      <c r="DR3" s="482"/>
      <c r="DS3" s="482"/>
      <c r="DT3" s="483"/>
      <c r="DU3" s="483">
        <v>1</v>
      </c>
      <c r="DV3" s="483"/>
      <c r="DW3" s="483">
        <v>1</v>
      </c>
      <c r="DX3" s="484"/>
      <c r="DY3" s="481"/>
      <c r="DZ3" s="482"/>
      <c r="EA3" s="482"/>
      <c r="EB3" s="482"/>
      <c r="EC3" s="483"/>
      <c r="ED3" s="483"/>
      <c r="EE3" s="483"/>
      <c r="EF3" s="483"/>
      <c r="EG3" s="484"/>
      <c r="EH3" s="481"/>
      <c r="EI3" s="482"/>
      <c r="EJ3" s="482"/>
      <c r="EK3" s="482">
        <v>1</v>
      </c>
      <c r="EL3" s="483"/>
      <c r="EM3" s="483">
        <v>1</v>
      </c>
      <c r="EN3" s="483"/>
      <c r="EO3" s="483"/>
      <c r="EP3" s="484"/>
      <c r="EQ3" s="481"/>
      <c r="ER3" s="482"/>
      <c r="ES3" s="482"/>
      <c r="ET3" s="482"/>
      <c r="EU3" s="483"/>
      <c r="EV3" s="483">
        <v>13</v>
      </c>
      <c r="EW3" s="483">
        <v>12</v>
      </c>
      <c r="EX3" s="483">
        <v>6</v>
      </c>
      <c r="EY3" s="484"/>
      <c r="EZ3" s="481"/>
      <c r="FA3" s="482"/>
      <c r="FB3" s="482"/>
      <c r="FC3" s="482"/>
      <c r="FD3" s="483"/>
      <c r="FE3" s="483"/>
      <c r="FF3" s="483"/>
      <c r="FG3" s="483">
        <v>1</v>
      </c>
      <c r="FH3" s="484"/>
      <c r="FI3" s="481"/>
      <c r="FJ3" s="482"/>
      <c r="FK3" s="482"/>
      <c r="FL3" s="482">
        <v>23</v>
      </c>
      <c r="FM3" s="483">
        <v>4</v>
      </c>
      <c r="FN3" s="483"/>
      <c r="FO3" s="483">
        <v>4</v>
      </c>
      <c r="FP3" s="483">
        <v>1</v>
      </c>
      <c r="FQ3" s="484"/>
      <c r="FR3" s="481"/>
      <c r="FS3" s="482"/>
      <c r="FT3" s="482"/>
      <c r="FU3" s="482"/>
      <c r="FV3" s="483"/>
      <c r="FW3" s="483">
        <v>1</v>
      </c>
      <c r="FX3" s="483"/>
      <c r="FY3" s="483"/>
      <c r="FZ3" s="484"/>
      <c r="GA3" s="481"/>
      <c r="GB3" s="482"/>
      <c r="GC3" s="482"/>
      <c r="GD3" s="482">
        <v>17</v>
      </c>
      <c r="GE3" s="483"/>
      <c r="GF3" s="483"/>
      <c r="GG3" s="483"/>
      <c r="GH3" s="483"/>
      <c r="GI3" s="484"/>
      <c r="GJ3" s="481"/>
      <c r="GK3" s="482"/>
      <c r="GL3" s="482"/>
      <c r="GM3" s="482">
        <v>549</v>
      </c>
      <c r="GN3" s="483">
        <v>120</v>
      </c>
      <c r="GO3" s="483">
        <v>46</v>
      </c>
      <c r="GP3" s="483">
        <v>132</v>
      </c>
      <c r="GQ3" s="483">
        <v>109</v>
      </c>
      <c r="GR3" s="484"/>
      <c r="GS3" s="481"/>
      <c r="GT3" s="482"/>
      <c r="GU3" s="482"/>
      <c r="GV3" s="482"/>
      <c r="GW3" s="483">
        <v>19</v>
      </c>
      <c r="GX3" s="483">
        <v>9</v>
      </c>
      <c r="GY3" s="483">
        <v>6</v>
      </c>
      <c r="GZ3" s="483">
        <v>22</v>
      </c>
      <c r="HA3" s="484"/>
      <c r="HB3" s="481"/>
      <c r="HC3" s="482"/>
      <c r="HD3" s="482"/>
      <c r="HE3" s="482"/>
      <c r="HF3" s="483"/>
      <c r="HG3" s="483"/>
      <c r="HH3" s="483">
        <v>1</v>
      </c>
      <c r="HI3" s="483"/>
      <c r="HJ3" s="484"/>
      <c r="HK3" s="481"/>
      <c r="HL3" s="482"/>
      <c r="HM3" s="482"/>
      <c r="HN3" s="482"/>
      <c r="HO3" s="483"/>
      <c r="HP3" s="483"/>
      <c r="HQ3" s="483"/>
      <c r="HR3" s="483"/>
      <c r="HS3" s="484"/>
      <c r="HT3" s="481"/>
      <c r="HU3" s="482"/>
      <c r="HV3" s="482"/>
      <c r="HW3" s="482"/>
      <c r="HX3" s="483">
        <v>24</v>
      </c>
      <c r="HY3" s="483">
        <v>10</v>
      </c>
      <c r="HZ3" s="483">
        <v>8</v>
      </c>
      <c r="IA3" s="483">
        <v>22</v>
      </c>
      <c r="IB3" s="484"/>
      <c r="IC3" s="481"/>
      <c r="ID3" s="482"/>
      <c r="IE3" s="482"/>
      <c r="IF3" s="482">
        <v>1615</v>
      </c>
      <c r="IG3" s="483">
        <v>418</v>
      </c>
      <c r="IH3" s="483">
        <v>232</v>
      </c>
      <c r="II3" s="483">
        <v>629</v>
      </c>
      <c r="IJ3" s="483">
        <v>383</v>
      </c>
      <c r="IK3" s="484"/>
      <c r="IL3" s="481"/>
      <c r="IM3" s="482"/>
      <c r="IN3" s="482"/>
      <c r="IO3" s="482"/>
      <c r="IP3" s="483"/>
      <c r="IQ3" s="483">
        <v>1</v>
      </c>
      <c r="IR3" s="483">
        <v>1</v>
      </c>
      <c r="IS3" s="483"/>
      <c r="IT3" s="484"/>
      <c r="IU3" s="519"/>
      <c r="IV3" s="520"/>
      <c r="IW3" s="520"/>
      <c r="IX3" s="520"/>
      <c r="IY3" s="521"/>
      <c r="IZ3" s="521"/>
      <c r="JA3" s="521"/>
      <c r="JB3" s="521"/>
      <c r="JC3" s="522"/>
      <c r="JD3" s="523"/>
      <c r="JE3" s="524"/>
      <c r="JF3" s="524"/>
      <c r="JG3" s="524"/>
      <c r="JH3" s="524"/>
      <c r="JI3" s="525"/>
      <c r="JJ3" s="525"/>
      <c r="JK3" s="525"/>
      <c r="JL3" s="522"/>
      <c r="JM3" s="523"/>
      <c r="JN3" s="524"/>
      <c r="JO3" s="524"/>
      <c r="JP3" s="524"/>
      <c r="JQ3" s="524"/>
      <c r="JR3" s="525"/>
      <c r="JS3" s="525"/>
      <c r="JT3" s="525"/>
      <c r="JU3" s="522"/>
      <c r="JV3" s="523"/>
      <c r="JW3" s="524"/>
      <c r="JX3" s="524"/>
      <c r="JY3" s="524"/>
      <c r="JZ3" s="524"/>
      <c r="KA3" s="525"/>
      <c r="KB3" s="525"/>
      <c r="KC3" s="525"/>
      <c r="KD3" s="522"/>
    </row>
    <row r="4" spans="1:290" ht="15" customHeight="1" x14ac:dyDescent="0.2">
      <c r="A4" s="934" t="s">
        <v>545</v>
      </c>
      <c r="B4" s="485" t="s">
        <v>1124</v>
      </c>
      <c r="C4" s="486">
        <v>1</v>
      </c>
      <c r="D4" s="487">
        <v>1</v>
      </c>
      <c r="E4" s="487"/>
      <c r="F4" s="487">
        <v>1</v>
      </c>
      <c r="G4" s="488"/>
      <c r="H4" s="488"/>
      <c r="I4" s="488"/>
      <c r="J4" s="488"/>
      <c r="K4" s="489"/>
      <c r="L4" s="486"/>
      <c r="M4" s="487">
        <v>1</v>
      </c>
      <c r="N4" s="487"/>
      <c r="O4" s="487"/>
      <c r="P4" s="488"/>
      <c r="Q4" s="488"/>
      <c r="R4" s="488"/>
      <c r="S4" s="488"/>
      <c r="T4" s="489"/>
      <c r="U4" s="486"/>
      <c r="V4" s="487"/>
      <c r="W4" s="487"/>
      <c r="X4" s="487">
        <v>1</v>
      </c>
      <c r="Y4" s="488"/>
      <c r="Z4" s="488"/>
      <c r="AA4" s="488"/>
      <c r="AB4" s="488"/>
      <c r="AC4" s="489"/>
      <c r="AD4" s="486">
        <v>19</v>
      </c>
      <c r="AE4" s="487">
        <v>27</v>
      </c>
      <c r="AF4" s="487">
        <v>40</v>
      </c>
      <c r="AG4" s="487">
        <v>41</v>
      </c>
      <c r="AH4" s="488">
        <v>26</v>
      </c>
      <c r="AI4" s="488">
        <v>20</v>
      </c>
      <c r="AJ4" s="488">
        <v>19</v>
      </c>
      <c r="AK4" s="488">
        <v>33</v>
      </c>
      <c r="AL4" s="489"/>
      <c r="AM4" s="486">
        <v>14</v>
      </c>
      <c r="AN4" s="487">
        <v>16</v>
      </c>
      <c r="AO4" s="487">
        <v>23</v>
      </c>
      <c r="AP4" s="487">
        <v>24</v>
      </c>
      <c r="AQ4" s="488">
        <v>18</v>
      </c>
      <c r="AR4" s="488">
        <v>15</v>
      </c>
      <c r="AS4" s="488">
        <v>13</v>
      </c>
      <c r="AT4" s="488">
        <v>21</v>
      </c>
      <c r="AU4" s="489"/>
      <c r="AV4" s="486"/>
      <c r="AW4" s="487"/>
      <c r="AX4" s="487"/>
      <c r="AY4" s="487"/>
      <c r="AZ4" s="488"/>
      <c r="BA4" s="488"/>
      <c r="BB4" s="488">
        <v>1</v>
      </c>
      <c r="BC4" s="488"/>
      <c r="BD4" s="489"/>
      <c r="BE4" s="486"/>
      <c r="BF4" s="487"/>
      <c r="BG4" s="487"/>
      <c r="BH4" s="487">
        <v>1</v>
      </c>
      <c r="BI4" s="488"/>
      <c r="BJ4" s="488"/>
      <c r="BK4" s="488"/>
      <c r="BL4" s="488">
        <v>1</v>
      </c>
      <c r="BM4" s="489"/>
      <c r="BN4" s="486"/>
      <c r="BO4" s="487"/>
      <c r="BP4" s="487"/>
      <c r="BQ4" s="487"/>
      <c r="BR4" s="488"/>
      <c r="BS4" s="488">
        <v>8</v>
      </c>
      <c r="BT4" s="488"/>
      <c r="BU4" s="488">
        <v>1</v>
      </c>
      <c r="BV4" s="489"/>
      <c r="BW4" s="486">
        <v>25</v>
      </c>
      <c r="BX4" s="487">
        <v>25</v>
      </c>
      <c r="BY4" s="487">
        <v>42</v>
      </c>
      <c r="BZ4" s="487">
        <v>61</v>
      </c>
      <c r="CA4" s="488">
        <v>26</v>
      </c>
      <c r="CB4" s="488">
        <v>47</v>
      </c>
      <c r="CC4" s="488">
        <v>34</v>
      </c>
      <c r="CD4" s="488">
        <v>49</v>
      </c>
      <c r="CE4" s="489"/>
      <c r="CF4" s="486">
        <v>2</v>
      </c>
      <c r="CG4" s="487"/>
      <c r="CH4" s="487"/>
      <c r="CI4" s="487">
        <v>2</v>
      </c>
      <c r="CJ4" s="488"/>
      <c r="CK4" s="488"/>
      <c r="CL4" s="488"/>
      <c r="CM4" s="488">
        <v>2</v>
      </c>
      <c r="CN4" s="489"/>
      <c r="CO4" s="486">
        <v>1</v>
      </c>
      <c r="CP4" s="487">
        <v>1</v>
      </c>
      <c r="CQ4" s="487">
        <v>1</v>
      </c>
      <c r="CR4" s="487"/>
      <c r="CS4" s="488">
        <v>2</v>
      </c>
      <c r="CT4" s="488">
        <v>3</v>
      </c>
      <c r="CU4" s="488"/>
      <c r="CV4" s="488">
        <v>5</v>
      </c>
      <c r="CW4" s="489"/>
      <c r="CX4" s="486">
        <v>898</v>
      </c>
      <c r="CY4" s="487">
        <v>1122</v>
      </c>
      <c r="CZ4" s="487">
        <v>1067</v>
      </c>
      <c r="DA4" s="487">
        <v>1038</v>
      </c>
      <c r="DB4" s="488">
        <v>786</v>
      </c>
      <c r="DC4" s="488">
        <v>723</v>
      </c>
      <c r="DD4" s="488">
        <v>562</v>
      </c>
      <c r="DE4" s="488">
        <v>436</v>
      </c>
      <c r="DF4" s="489"/>
      <c r="DG4" s="486">
        <v>56</v>
      </c>
      <c r="DH4" s="487">
        <v>88</v>
      </c>
      <c r="DI4" s="487">
        <v>101</v>
      </c>
      <c r="DJ4" s="487">
        <v>66</v>
      </c>
      <c r="DK4" s="488">
        <v>59</v>
      </c>
      <c r="DL4" s="488">
        <v>72</v>
      </c>
      <c r="DM4" s="488">
        <v>38</v>
      </c>
      <c r="DN4" s="488">
        <v>35</v>
      </c>
      <c r="DO4" s="489"/>
      <c r="DP4" s="486">
        <v>139</v>
      </c>
      <c r="DQ4" s="487">
        <v>150</v>
      </c>
      <c r="DR4" s="487">
        <v>103</v>
      </c>
      <c r="DS4" s="487">
        <v>133</v>
      </c>
      <c r="DT4" s="488">
        <v>88</v>
      </c>
      <c r="DU4" s="488">
        <v>64</v>
      </c>
      <c r="DV4" s="488">
        <v>60</v>
      </c>
      <c r="DW4" s="488">
        <v>24</v>
      </c>
      <c r="DX4" s="489"/>
      <c r="DY4" s="486">
        <v>66</v>
      </c>
      <c r="DZ4" s="487">
        <v>85</v>
      </c>
      <c r="EA4" s="487">
        <v>128</v>
      </c>
      <c r="EB4" s="487">
        <v>149</v>
      </c>
      <c r="EC4" s="488">
        <v>131</v>
      </c>
      <c r="ED4" s="488">
        <v>107</v>
      </c>
      <c r="EE4" s="488">
        <v>93</v>
      </c>
      <c r="EF4" s="488">
        <v>61</v>
      </c>
      <c r="EG4" s="489"/>
      <c r="EH4" s="486">
        <v>27</v>
      </c>
      <c r="EI4" s="487">
        <v>23</v>
      </c>
      <c r="EJ4" s="487">
        <v>17</v>
      </c>
      <c r="EK4" s="487">
        <v>14</v>
      </c>
      <c r="EL4" s="488">
        <v>14</v>
      </c>
      <c r="EM4" s="488">
        <v>6</v>
      </c>
      <c r="EN4" s="488">
        <v>4</v>
      </c>
      <c r="EO4" s="488">
        <v>4</v>
      </c>
      <c r="EP4" s="489"/>
      <c r="EQ4" s="486">
        <v>14</v>
      </c>
      <c r="ER4" s="487">
        <v>25</v>
      </c>
      <c r="ES4" s="487">
        <v>39</v>
      </c>
      <c r="ET4" s="487">
        <v>22</v>
      </c>
      <c r="EU4" s="488">
        <v>22</v>
      </c>
      <c r="EV4" s="488">
        <v>12</v>
      </c>
      <c r="EW4" s="488">
        <v>15</v>
      </c>
      <c r="EX4" s="488">
        <v>13</v>
      </c>
      <c r="EY4" s="489"/>
      <c r="EZ4" s="486">
        <v>2</v>
      </c>
      <c r="FA4" s="487"/>
      <c r="FB4" s="487">
        <v>2</v>
      </c>
      <c r="FC4" s="487">
        <v>2</v>
      </c>
      <c r="FD4" s="488"/>
      <c r="FE4" s="488"/>
      <c r="FF4" s="488">
        <v>2</v>
      </c>
      <c r="FG4" s="488"/>
      <c r="FH4" s="489"/>
      <c r="FI4" s="486">
        <v>150</v>
      </c>
      <c r="FJ4" s="487">
        <v>201</v>
      </c>
      <c r="FK4" s="487">
        <v>154</v>
      </c>
      <c r="FL4" s="487">
        <v>99</v>
      </c>
      <c r="FM4" s="488">
        <v>60</v>
      </c>
      <c r="FN4" s="488">
        <v>50</v>
      </c>
      <c r="FO4" s="488">
        <v>56</v>
      </c>
      <c r="FP4" s="488">
        <v>56</v>
      </c>
      <c r="FQ4" s="489"/>
      <c r="FR4" s="486"/>
      <c r="FS4" s="487">
        <v>1</v>
      </c>
      <c r="FT4" s="487">
        <v>1</v>
      </c>
      <c r="FU4" s="487">
        <v>2</v>
      </c>
      <c r="FV4" s="488"/>
      <c r="FW4" s="488">
        <v>3</v>
      </c>
      <c r="FX4" s="488"/>
      <c r="FY4" s="488"/>
      <c r="FZ4" s="489"/>
      <c r="GA4" s="486">
        <v>6</v>
      </c>
      <c r="GB4" s="487">
        <v>21</v>
      </c>
      <c r="GC4" s="487">
        <v>3</v>
      </c>
      <c r="GD4" s="487">
        <v>13</v>
      </c>
      <c r="GE4" s="488">
        <v>3</v>
      </c>
      <c r="GF4" s="488"/>
      <c r="GG4" s="488"/>
      <c r="GH4" s="488"/>
      <c r="GI4" s="489"/>
      <c r="GJ4" s="486">
        <v>1145</v>
      </c>
      <c r="GK4" s="487">
        <v>1447</v>
      </c>
      <c r="GL4" s="487">
        <v>1366</v>
      </c>
      <c r="GM4" s="487">
        <v>1296</v>
      </c>
      <c r="GN4" s="488">
        <v>939</v>
      </c>
      <c r="GO4" s="488">
        <v>872</v>
      </c>
      <c r="GP4" s="488">
        <v>692</v>
      </c>
      <c r="GQ4" s="488">
        <v>600</v>
      </c>
      <c r="GR4" s="489"/>
      <c r="GS4" s="486">
        <v>689</v>
      </c>
      <c r="GT4" s="487">
        <v>946</v>
      </c>
      <c r="GU4" s="487">
        <v>832</v>
      </c>
      <c r="GV4" s="487">
        <v>635</v>
      </c>
      <c r="GW4" s="488">
        <v>308</v>
      </c>
      <c r="GX4" s="488">
        <v>335</v>
      </c>
      <c r="GY4" s="488">
        <v>262</v>
      </c>
      <c r="GZ4" s="488">
        <v>205</v>
      </c>
      <c r="HA4" s="489"/>
      <c r="HB4" s="486">
        <v>5</v>
      </c>
      <c r="HC4" s="487">
        <v>5</v>
      </c>
      <c r="HD4" s="487">
        <v>8</v>
      </c>
      <c r="HE4" s="487">
        <v>3</v>
      </c>
      <c r="HF4" s="488">
        <v>9</v>
      </c>
      <c r="HG4" s="488">
        <v>6</v>
      </c>
      <c r="HH4" s="488">
        <v>1</v>
      </c>
      <c r="HI4" s="488">
        <v>2</v>
      </c>
      <c r="HJ4" s="489"/>
      <c r="HK4" s="486">
        <v>1</v>
      </c>
      <c r="HL4" s="487">
        <v>2</v>
      </c>
      <c r="HM4" s="487">
        <v>2</v>
      </c>
      <c r="HN4" s="487"/>
      <c r="HO4" s="488"/>
      <c r="HP4" s="488"/>
      <c r="HQ4" s="488"/>
      <c r="HR4" s="488">
        <v>2</v>
      </c>
      <c r="HS4" s="489"/>
      <c r="HT4" s="486">
        <v>741</v>
      </c>
      <c r="HU4" s="487">
        <v>1194</v>
      </c>
      <c r="HV4" s="487">
        <v>1013</v>
      </c>
      <c r="HW4" s="487">
        <v>749</v>
      </c>
      <c r="HX4" s="488">
        <v>411</v>
      </c>
      <c r="HY4" s="488">
        <v>430</v>
      </c>
      <c r="HZ4" s="488">
        <v>339</v>
      </c>
      <c r="IA4" s="488">
        <v>310</v>
      </c>
      <c r="IB4" s="489"/>
      <c r="IC4" s="486">
        <v>1463</v>
      </c>
      <c r="ID4" s="487">
        <v>2197</v>
      </c>
      <c r="IE4" s="487">
        <v>2155</v>
      </c>
      <c r="IF4" s="487">
        <v>1945</v>
      </c>
      <c r="IG4" s="488">
        <v>1587</v>
      </c>
      <c r="IH4" s="488">
        <v>1410</v>
      </c>
      <c r="II4" s="488">
        <v>1309</v>
      </c>
      <c r="IJ4" s="488">
        <v>1053</v>
      </c>
      <c r="IK4" s="489"/>
      <c r="IL4" s="486">
        <v>107</v>
      </c>
      <c r="IM4" s="487">
        <v>141</v>
      </c>
      <c r="IN4" s="487">
        <v>204</v>
      </c>
      <c r="IO4" s="487">
        <v>137</v>
      </c>
      <c r="IP4" s="488">
        <v>62</v>
      </c>
      <c r="IQ4" s="488">
        <v>125</v>
      </c>
      <c r="IR4" s="488">
        <v>107</v>
      </c>
      <c r="IS4" s="488">
        <v>69</v>
      </c>
      <c r="IT4" s="489"/>
      <c r="IU4" s="526">
        <v>5934.3690423072239</v>
      </c>
      <c r="IV4" s="527">
        <v>8920.7406204320287</v>
      </c>
      <c r="IW4" s="527">
        <v>8785.8773646444879</v>
      </c>
      <c r="IX4" s="527">
        <v>7919.058670249583</v>
      </c>
      <c r="IY4" s="528">
        <v>6430.5684995340171</v>
      </c>
      <c r="IZ4" s="528">
        <v>5655.1558175911432</v>
      </c>
      <c r="JA4" s="528">
        <v>5195.2690903317989</v>
      </c>
      <c r="JB4" s="528">
        <v>4175.4232919624092</v>
      </c>
      <c r="JC4" s="529"/>
      <c r="JD4" s="530">
        <v>3005.7193850646981</v>
      </c>
      <c r="JE4" s="531">
        <v>4848.1403280818586</v>
      </c>
      <c r="JF4" s="531">
        <v>4129.973907371168</v>
      </c>
      <c r="JG4" s="531">
        <v>3049.5500997516388</v>
      </c>
      <c r="JH4" s="531">
        <v>1665.3835244539891</v>
      </c>
      <c r="JI4" s="532">
        <v>1724.6219869249589</v>
      </c>
      <c r="JJ4" s="532">
        <v>1345.451658993491</v>
      </c>
      <c r="JK4" s="532">
        <v>1229.2319283080217</v>
      </c>
      <c r="JL4" s="529"/>
      <c r="JM4" s="530">
        <v>4644.4651766519291</v>
      </c>
      <c r="JN4" s="531">
        <v>5875.4263439987008</v>
      </c>
      <c r="JO4" s="531">
        <v>5569.1454664057401</v>
      </c>
      <c r="JP4" s="531">
        <v>5276.6581165261996</v>
      </c>
      <c r="JQ4" s="531">
        <v>3804.8543295919603</v>
      </c>
      <c r="JR4" s="532">
        <v>3497.3729595315444</v>
      </c>
      <c r="JS4" s="532">
        <v>2746.4676932846482</v>
      </c>
      <c r="JT4" s="532">
        <v>2379.158570918752</v>
      </c>
      <c r="JU4" s="529"/>
      <c r="JV4" s="530">
        <v>2794.7917089198068</v>
      </c>
      <c r="JW4" s="531">
        <v>3841.1564073412374</v>
      </c>
      <c r="JX4" s="531">
        <v>3392.0417482061316</v>
      </c>
      <c r="JY4" s="531">
        <v>2585.3996172794264</v>
      </c>
      <c r="JZ4" s="531">
        <v>1248.0246363304834</v>
      </c>
      <c r="KA4" s="532">
        <v>1343.6008502787472</v>
      </c>
      <c r="KB4" s="532">
        <v>1039.8475948563264</v>
      </c>
      <c r="KC4" s="532">
        <v>812.87917839724025</v>
      </c>
      <c r="KD4" s="529"/>
    </row>
    <row r="5" spans="1:290" ht="15" customHeight="1" x14ac:dyDescent="0.2">
      <c r="A5" s="935"/>
      <c r="B5" s="490" t="s">
        <v>1125</v>
      </c>
      <c r="C5" s="491">
        <v>2</v>
      </c>
      <c r="D5" s="492">
        <v>1</v>
      </c>
      <c r="E5" s="492">
        <v>2</v>
      </c>
      <c r="F5" s="492">
        <v>1</v>
      </c>
      <c r="G5" s="493">
        <v>3</v>
      </c>
      <c r="H5" s="493">
        <v>1</v>
      </c>
      <c r="I5" s="493"/>
      <c r="J5" s="493"/>
      <c r="K5" s="199"/>
      <c r="L5" s="491"/>
      <c r="M5" s="492">
        <v>1</v>
      </c>
      <c r="N5" s="492">
        <v>2</v>
      </c>
      <c r="O5" s="492">
        <v>1</v>
      </c>
      <c r="P5" s="493">
        <v>3</v>
      </c>
      <c r="Q5" s="493">
        <v>1</v>
      </c>
      <c r="R5" s="493"/>
      <c r="S5" s="493"/>
      <c r="T5" s="199"/>
      <c r="U5" s="491">
        <v>2</v>
      </c>
      <c r="V5" s="492"/>
      <c r="W5" s="492"/>
      <c r="X5" s="492"/>
      <c r="Y5" s="493"/>
      <c r="Z5" s="493"/>
      <c r="AA5" s="493"/>
      <c r="AB5" s="493"/>
      <c r="AC5" s="199"/>
      <c r="AD5" s="491">
        <v>51</v>
      </c>
      <c r="AE5" s="492">
        <v>52</v>
      </c>
      <c r="AF5" s="492">
        <v>67</v>
      </c>
      <c r="AG5" s="492">
        <v>61</v>
      </c>
      <c r="AH5" s="493">
        <v>85</v>
      </c>
      <c r="AI5" s="493">
        <v>53</v>
      </c>
      <c r="AJ5" s="493">
        <v>49</v>
      </c>
      <c r="AK5" s="493">
        <v>54</v>
      </c>
      <c r="AL5" s="199"/>
      <c r="AM5" s="491">
        <v>35</v>
      </c>
      <c r="AN5" s="492">
        <v>37</v>
      </c>
      <c r="AO5" s="492">
        <v>44</v>
      </c>
      <c r="AP5" s="492">
        <v>32</v>
      </c>
      <c r="AQ5" s="493">
        <v>54</v>
      </c>
      <c r="AR5" s="493">
        <v>28</v>
      </c>
      <c r="AS5" s="493">
        <v>24</v>
      </c>
      <c r="AT5" s="493">
        <v>28</v>
      </c>
      <c r="AU5" s="199"/>
      <c r="AV5" s="491"/>
      <c r="AW5" s="492"/>
      <c r="AX5" s="492"/>
      <c r="AY5" s="492">
        <v>1</v>
      </c>
      <c r="AZ5" s="493"/>
      <c r="BA5" s="493"/>
      <c r="BB5" s="493">
        <v>1</v>
      </c>
      <c r="BC5" s="493"/>
      <c r="BD5" s="199"/>
      <c r="BE5" s="491">
        <v>5</v>
      </c>
      <c r="BF5" s="492">
        <v>3</v>
      </c>
      <c r="BG5" s="492"/>
      <c r="BH5" s="492">
        <v>3</v>
      </c>
      <c r="BI5" s="493">
        <v>2</v>
      </c>
      <c r="BJ5" s="493">
        <v>5</v>
      </c>
      <c r="BK5" s="493">
        <v>3</v>
      </c>
      <c r="BL5" s="493">
        <v>1</v>
      </c>
      <c r="BM5" s="199"/>
      <c r="BN5" s="491"/>
      <c r="BO5" s="492"/>
      <c r="BP5" s="492"/>
      <c r="BQ5" s="492"/>
      <c r="BR5" s="493"/>
      <c r="BS5" s="493"/>
      <c r="BT5" s="493"/>
      <c r="BU5" s="493"/>
      <c r="BV5" s="199"/>
      <c r="BW5" s="491">
        <v>52</v>
      </c>
      <c r="BX5" s="492">
        <v>54</v>
      </c>
      <c r="BY5" s="492">
        <v>68</v>
      </c>
      <c r="BZ5" s="492">
        <v>63</v>
      </c>
      <c r="CA5" s="493">
        <v>106</v>
      </c>
      <c r="CB5" s="493">
        <v>123</v>
      </c>
      <c r="CC5" s="493">
        <v>93</v>
      </c>
      <c r="CD5" s="493">
        <v>99</v>
      </c>
      <c r="CE5" s="199"/>
      <c r="CF5" s="491">
        <v>9</v>
      </c>
      <c r="CG5" s="492">
        <v>5</v>
      </c>
      <c r="CH5" s="492">
        <v>4</v>
      </c>
      <c r="CI5" s="492">
        <v>2</v>
      </c>
      <c r="CJ5" s="493">
        <v>7</v>
      </c>
      <c r="CK5" s="493">
        <v>3</v>
      </c>
      <c r="CL5" s="493"/>
      <c r="CM5" s="493">
        <v>2</v>
      </c>
      <c r="CN5" s="199"/>
      <c r="CO5" s="491">
        <v>1</v>
      </c>
      <c r="CP5" s="492">
        <v>5</v>
      </c>
      <c r="CQ5" s="492">
        <v>11</v>
      </c>
      <c r="CR5" s="492">
        <v>3</v>
      </c>
      <c r="CS5" s="493">
        <v>1</v>
      </c>
      <c r="CT5" s="493">
        <v>2</v>
      </c>
      <c r="CU5" s="493">
        <v>1</v>
      </c>
      <c r="CV5" s="493">
        <v>5</v>
      </c>
      <c r="CW5" s="199"/>
      <c r="CX5" s="491">
        <v>2109</v>
      </c>
      <c r="CY5" s="492">
        <v>3010</v>
      </c>
      <c r="CZ5" s="492">
        <v>2873</v>
      </c>
      <c r="DA5" s="492">
        <v>2783</v>
      </c>
      <c r="DB5" s="493">
        <v>2573</v>
      </c>
      <c r="DC5" s="493">
        <v>1887</v>
      </c>
      <c r="DD5" s="493">
        <v>1642</v>
      </c>
      <c r="DE5" s="493">
        <v>1396</v>
      </c>
      <c r="DF5" s="199"/>
      <c r="DG5" s="491">
        <v>126</v>
      </c>
      <c r="DH5" s="492">
        <v>275</v>
      </c>
      <c r="DI5" s="492">
        <v>344</v>
      </c>
      <c r="DJ5" s="492">
        <v>272</v>
      </c>
      <c r="DK5" s="493">
        <v>278</v>
      </c>
      <c r="DL5" s="493">
        <v>221</v>
      </c>
      <c r="DM5" s="493">
        <v>162</v>
      </c>
      <c r="DN5" s="493">
        <v>114</v>
      </c>
      <c r="DO5" s="199"/>
      <c r="DP5" s="491">
        <v>246</v>
      </c>
      <c r="DQ5" s="492">
        <v>461</v>
      </c>
      <c r="DR5" s="492">
        <v>470</v>
      </c>
      <c r="DS5" s="492">
        <v>319</v>
      </c>
      <c r="DT5" s="493">
        <v>248</v>
      </c>
      <c r="DU5" s="493">
        <v>161</v>
      </c>
      <c r="DV5" s="493">
        <v>170</v>
      </c>
      <c r="DW5" s="493">
        <v>157</v>
      </c>
      <c r="DX5" s="199"/>
      <c r="DY5" s="491">
        <v>350</v>
      </c>
      <c r="DZ5" s="492">
        <v>600</v>
      </c>
      <c r="EA5" s="492">
        <v>512</v>
      </c>
      <c r="EB5" s="492">
        <v>668</v>
      </c>
      <c r="EC5" s="493">
        <v>736</v>
      </c>
      <c r="ED5" s="493">
        <v>518</v>
      </c>
      <c r="EE5" s="493">
        <v>360</v>
      </c>
      <c r="EF5" s="493">
        <v>321</v>
      </c>
      <c r="EG5" s="199"/>
      <c r="EH5" s="491">
        <v>49</v>
      </c>
      <c r="EI5" s="492">
        <v>57</v>
      </c>
      <c r="EJ5" s="492">
        <v>33</v>
      </c>
      <c r="EK5" s="492">
        <v>28</v>
      </c>
      <c r="EL5" s="493">
        <v>28</v>
      </c>
      <c r="EM5" s="493">
        <v>27</v>
      </c>
      <c r="EN5" s="493">
        <v>10</v>
      </c>
      <c r="EO5" s="493">
        <v>9</v>
      </c>
      <c r="EP5" s="199"/>
      <c r="EQ5" s="491">
        <v>68</v>
      </c>
      <c r="ER5" s="492">
        <v>73</v>
      </c>
      <c r="ES5" s="492">
        <v>96</v>
      </c>
      <c r="ET5" s="492">
        <v>127</v>
      </c>
      <c r="EU5" s="493">
        <v>98</v>
      </c>
      <c r="EV5" s="493">
        <v>90</v>
      </c>
      <c r="EW5" s="493">
        <v>90</v>
      </c>
      <c r="EX5" s="493">
        <v>43</v>
      </c>
      <c r="EY5" s="199"/>
      <c r="EZ5" s="491">
        <v>2</v>
      </c>
      <c r="FA5" s="492">
        <v>2</v>
      </c>
      <c r="FB5" s="492">
        <v>7</v>
      </c>
      <c r="FC5" s="492">
        <v>10</v>
      </c>
      <c r="FD5" s="493">
        <v>5</v>
      </c>
      <c r="FE5" s="493">
        <v>2</v>
      </c>
      <c r="FF5" s="493"/>
      <c r="FG5" s="493"/>
      <c r="FH5" s="199"/>
      <c r="FI5" s="491">
        <v>353</v>
      </c>
      <c r="FJ5" s="492">
        <v>373</v>
      </c>
      <c r="FK5" s="492">
        <v>336</v>
      </c>
      <c r="FL5" s="492">
        <v>295</v>
      </c>
      <c r="FM5" s="493">
        <v>241</v>
      </c>
      <c r="FN5" s="493">
        <v>182</v>
      </c>
      <c r="FO5" s="493">
        <v>145</v>
      </c>
      <c r="FP5" s="493">
        <v>111</v>
      </c>
      <c r="FQ5" s="199"/>
      <c r="FR5" s="491">
        <v>3</v>
      </c>
      <c r="FS5" s="492">
        <v>2</v>
      </c>
      <c r="FT5" s="492">
        <v>2</v>
      </c>
      <c r="FU5" s="492">
        <v>1</v>
      </c>
      <c r="FV5" s="493">
        <v>8</v>
      </c>
      <c r="FW5" s="493">
        <v>3</v>
      </c>
      <c r="FX5" s="493">
        <v>2</v>
      </c>
      <c r="FY5" s="493"/>
      <c r="FZ5" s="199"/>
      <c r="GA5" s="491">
        <v>74</v>
      </c>
      <c r="GB5" s="492">
        <v>57</v>
      </c>
      <c r="GC5" s="492">
        <v>73</v>
      </c>
      <c r="GD5" s="492">
        <v>54</v>
      </c>
      <c r="GE5" s="493">
        <v>51</v>
      </c>
      <c r="GF5" s="493">
        <v>23</v>
      </c>
      <c r="GG5" s="493">
        <v>1</v>
      </c>
      <c r="GH5" s="493">
        <v>3</v>
      </c>
      <c r="GI5" s="199"/>
      <c r="GJ5" s="491">
        <v>2778</v>
      </c>
      <c r="GK5" s="492">
        <v>3694</v>
      </c>
      <c r="GL5" s="492">
        <v>3572</v>
      </c>
      <c r="GM5" s="492">
        <v>3431</v>
      </c>
      <c r="GN5" s="493">
        <v>3208</v>
      </c>
      <c r="GO5" s="493">
        <v>2401</v>
      </c>
      <c r="GP5" s="493">
        <v>2036</v>
      </c>
      <c r="GQ5" s="493">
        <v>1723</v>
      </c>
      <c r="GR5" s="199"/>
      <c r="GS5" s="491">
        <v>1494</v>
      </c>
      <c r="GT5" s="492">
        <v>1940</v>
      </c>
      <c r="GU5" s="492">
        <v>1965</v>
      </c>
      <c r="GV5" s="492">
        <v>1424</v>
      </c>
      <c r="GW5" s="493">
        <v>1000</v>
      </c>
      <c r="GX5" s="493">
        <v>807</v>
      </c>
      <c r="GY5" s="493">
        <v>674</v>
      </c>
      <c r="GZ5" s="493">
        <v>570</v>
      </c>
      <c r="HA5" s="199"/>
      <c r="HB5" s="491">
        <v>13</v>
      </c>
      <c r="HC5" s="492">
        <v>11</v>
      </c>
      <c r="HD5" s="492">
        <v>17</v>
      </c>
      <c r="HE5" s="492">
        <v>11</v>
      </c>
      <c r="HF5" s="493">
        <v>3</v>
      </c>
      <c r="HG5" s="493">
        <v>13</v>
      </c>
      <c r="HH5" s="493">
        <v>4</v>
      </c>
      <c r="HI5" s="493">
        <v>7</v>
      </c>
      <c r="HJ5" s="199"/>
      <c r="HK5" s="491"/>
      <c r="HL5" s="492"/>
      <c r="HM5" s="492">
        <v>1</v>
      </c>
      <c r="HN5" s="492"/>
      <c r="HO5" s="493">
        <v>2</v>
      </c>
      <c r="HP5" s="493"/>
      <c r="HQ5" s="493"/>
      <c r="HR5" s="493">
        <v>1</v>
      </c>
      <c r="HS5" s="199"/>
      <c r="HT5" s="491">
        <v>1588</v>
      </c>
      <c r="HU5" s="492">
        <v>2014</v>
      </c>
      <c r="HV5" s="492">
        <v>2063</v>
      </c>
      <c r="HW5" s="492">
        <v>1543</v>
      </c>
      <c r="HX5" s="493">
        <v>1126</v>
      </c>
      <c r="HY5" s="493">
        <v>905</v>
      </c>
      <c r="HZ5" s="493">
        <v>804</v>
      </c>
      <c r="IA5" s="493">
        <v>816</v>
      </c>
      <c r="IB5" s="199"/>
      <c r="IC5" s="491">
        <v>3560</v>
      </c>
      <c r="ID5" s="492">
        <v>7447</v>
      </c>
      <c r="IE5" s="492">
        <v>6532</v>
      </c>
      <c r="IF5" s="492">
        <v>5102</v>
      </c>
      <c r="IG5" s="493">
        <v>4559</v>
      </c>
      <c r="IH5" s="493">
        <v>3443</v>
      </c>
      <c r="II5" s="493">
        <v>2882</v>
      </c>
      <c r="IJ5" s="493">
        <v>2748</v>
      </c>
      <c r="IK5" s="199"/>
      <c r="IL5" s="491">
        <v>495</v>
      </c>
      <c r="IM5" s="492">
        <v>884</v>
      </c>
      <c r="IN5" s="492">
        <v>755</v>
      </c>
      <c r="IO5" s="492">
        <v>474</v>
      </c>
      <c r="IP5" s="493">
        <v>395</v>
      </c>
      <c r="IQ5" s="493">
        <v>572</v>
      </c>
      <c r="IR5" s="493">
        <v>400</v>
      </c>
      <c r="IS5" s="493">
        <v>357</v>
      </c>
      <c r="IT5" s="199"/>
      <c r="IU5" s="533">
        <v>4043.478754699408</v>
      </c>
      <c r="IV5" s="534">
        <v>8454.237903866675</v>
      </c>
      <c r="IW5" s="534">
        <v>7421.7995477838003</v>
      </c>
      <c r="IX5" s="534">
        <v>5766.4703821332096</v>
      </c>
      <c r="IY5" s="535">
        <v>5103.0345090050259</v>
      </c>
      <c r="IZ5" s="535">
        <v>3842.7197035648114</v>
      </c>
      <c r="JA5" s="535">
        <v>3205.67722990334</v>
      </c>
      <c r="JB5" s="535">
        <v>3057.1037613056101</v>
      </c>
      <c r="JC5" s="536"/>
      <c r="JD5" s="537">
        <v>1803.6641186692866</v>
      </c>
      <c r="JE5" s="538">
        <v>2286.4019253910951</v>
      </c>
      <c r="JF5" s="538">
        <v>2344.0251786708477</v>
      </c>
      <c r="JG5" s="538">
        <v>1743.9560563762336</v>
      </c>
      <c r="JH5" s="538">
        <v>1260.3678124895064</v>
      </c>
      <c r="JI5" s="539">
        <v>1010.0671889997544</v>
      </c>
      <c r="JJ5" s="539">
        <v>894.2971869681769</v>
      </c>
      <c r="JK5" s="539">
        <v>907.78626973267023</v>
      </c>
      <c r="JL5" s="536"/>
      <c r="JM5" s="537">
        <v>3155.276399032291</v>
      </c>
      <c r="JN5" s="538">
        <v>4193.6289535226942</v>
      </c>
      <c r="JO5" s="538">
        <v>4058.5835861426408</v>
      </c>
      <c r="JP5" s="538">
        <v>3877.8439594470879</v>
      </c>
      <c r="JQ5" s="538">
        <v>3590.817000414153</v>
      </c>
      <c r="JR5" s="539">
        <v>2679.7473157882987</v>
      </c>
      <c r="JS5" s="539">
        <v>2264.6630257054826</v>
      </c>
      <c r="JT5" s="539">
        <v>1916.8085082713123</v>
      </c>
      <c r="JU5" s="536"/>
      <c r="JV5" s="537">
        <v>1696.8981066069987</v>
      </c>
      <c r="JW5" s="538">
        <v>2202.3931158186319</v>
      </c>
      <c r="JX5" s="538">
        <v>2232.6754610219177</v>
      </c>
      <c r="JY5" s="538">
        <v>1609.4578251975088</v>
      </c>
      <c r="JZ5" s="538">
        <v>1119.3319826727409</v>
      </c>
      <c r="KA5" s="539">
        <v>900.68974753900761</v>
      </c>
      <c r="KB5" s="539">
        <v>749.69689554297406</v>
      </c>
      <c r="KC5" s="539">
        <v>634.1154090044389</v>
      </c>
      <c r="KD5" s="536"/>
    </row>
    <row r="6" spans="1:290" ht="15" customHeight="1" x14ac:dyDescent="0.2">
      <c r="A6" s="935"/>
      <c r="B6" s="490" t="s">
        <v>1126</v>
      </c>
      <c r="C6" s="491">
        <v>4</v>
      </c>
      <c r="D6" s="492">
        <v>3</v>
      </c>
      <c r="E6" s="492">
        <v>6</v>
      </c>
      <c r="F6" s="492">
        <v>5</v>
      </c>
      <c r="G6" s="493">
        <v>5</v>
      </c>
      <c r="H6" s="493"/>
      <c r="I6" s="493"/>
      <c r="J6" s="493">
        <v>3</v>
      </c>
      <c r="K6" s="199"/>
      <c r="L6" s="491">
        <v>1</v>
      </c>
      <c r="M6" s="492">
        <v>3</v>
      </c>
      <c r="N6" s="492">
        <v>4</v>
      </c>
      <c r="O6" s="492">
        <v>4</v>
      </c>
      <c r="P6" s="493">
        <v>4</v>
      </c>
      <c r="Q6" s="493"/>
      <c r="R6" s="493"/>
      <c r="S6" s="493">
        <v>2</v>
      </c>
      <c r="T6" s="199"/>
      <c r="U6" s="491">
        <v>3</v>
      </c>
      <c r="V6" s="492"/>
      <c r="W6" s="492">
        <v>2</v>
      </c>
      <c r="X6" s="492">
        <v>1</v>
      </c>
      <c r="Y6" s="493">
        <v>1</v>
      </c>
      <c r="Z6" s="493"/>
      <c r="AA6" s="493"/>
      <c r="AB6" s="493">
        <v>1</v>
      </c>
      <c r="AC6" s="199"/>
      <c r="AD6" s="491">
        <v>88</v>
      </c>
      <c r="AE6" s="492">
        <v>107</v>
      </c>
      <c r="AF6" s="492">
        <v>111</v>
      </c>
      <c r="AG6" s="492">
        <v>112</v>
      </c>
      <c r="AH6" s="493">
        <v>141</v>
      </c>
      <c r="AI6" s="493">
        <v>112</v>
      </c>
      <c r="AJ6" s="493">
        <v>90</v>
      </c>
      <c r="AK6" s="493">
        <v>91</v>
      </c>
      <c r="AL6" s="199"/>
      <c r="AM6" s="491">
        <v>80</v>
      </c>
      <c r="AN6" s="492">
        <v>88</v>
      </c>
      <c r="AO6" s="492">
        <v>80</v>
      </c>
      <c r="AP6" s="492">
        <v>80</v>
      </c>
      <c r="AQ6" s="493">
        <v>100</v>
      </c>
      <c r="AR6" s="493">
        <v>76</v>
      </c>
      <c r="AS6" s="493">
        <v>62</v>
      </c>
      <c r="AT6" s="493">
        <v>47</v>
      </c>
      <c r="AU6" s="199"/>
      <c r="AV6" s="491">
        <v>2</v>
      </c>
      <c r="AW6" s="492">
        <v>1</v>
      </c>
      <c r="AX6" s="492">
        <v>2</v>
      </c>
      <c r="AY6" s="492"/>
      <c r="AZ6" s="493">
        <v>2</v>
      </c>
      <c r="BA6" s="493"/>
      <c r="BB6" s="493"/>
      <c r="BC6" s="493"/>
      <c r="BD6" s="199"/>
      <c r="BE6" s="491">
        <v>13</v>
      </c>
      <c r="BF6" s="492">
        <v>10</v>
      </c>
      <c r="BG6" s="492">
        <v>3</v>
      </c>
      <c r="BH6" s="492">
        <v>5</v>
      </c>
      <c r="BI6" s="493">
        <v>51</v>
      </c>
      <c r="BJ6" s="493">
        <v>15</v>
      </c>
      <c r="BK6" s="493">
        <v>6</v>
      </c>
      <c r="BL6" s="493">
        <v>8</v>
      </c>
      <c r="BM6" s="199"/>
      <c r="BN6" s="491"/>
      <c r="BO6" s="492"/>
      <c r="BP6" s="492"/>
      <c r="BQ6" s="492"/>
      <c r="BR6" s="493"/>
      <c r="BS6" s="493"/>
      <c r="BT6" s="493"/>
      <c r="BU6" s="493"/>
      <c r="BV6" s="199"/>
      <c r="BW6" s="491">
        <v>72</v>
      </c>
      <c r="BX6" s="492">
        <v>69</v>
      </c>
      <c r="BY6" s="492">
        <v>90</v>
      </c>
      <c r="BZ6" s="492">
        <v>94</v>
      </c>
      <c r="CA6" s="493">
        <v>158</v>
      </c>
      <c r="CB6" s="493">
        <v>138</v>
      </c>
      <c r="CC6" s="493">
        <v>95</v>
      </c>
      <c r="CD6" s="493">
        <v>110</v>
      </c>
      <c r="CE6" s="199"/>
      <c r="CF6" s="491">
        <v>7</v>
      </c>
      <c r="CG6" s="492">
        <v>13</v>
      </c>
      <c r="CH6" s="492">
        <v>7</v>
      </c>
      <c r="CI6" s="492">
        <v>9</v>
      </c>
      <c r="CJ6" s="493">
        <v>11</v>
      </c>
      <c r="CK6" s="493">
        <v>4</v>
      </c>
      <c r="CL6" s="493">
        <v>8</v>
      </c>
      <c r="CM6" s="493">
        <v>1</v>
      </c>
      <c r="CN6" s="199"/>
      <c r="CO6" s="491">
        <v>6</v>
      </c>
      <c r="CP6" s="492">
        <v>14</v>
      </c>
      <c r="CQ6" s="492">
        <v>14</v>
      </c>
      <c r="CR6" s="492">
        <v>8</v>
      </c>
      <c r="CS6" s="493">
        <v>12</v>
      </c>
      <c r="CT6" s="493">
        <v>6</v>
      </c>
      <c r="CU6" s="493">
        <v>11</v>
      </c>
      <c r="CV6" s="493">
        <v>19</v>
      </c>
      <c r="CW6" s="199"/>
      <c r="CX6" s="491">
        <v>2226</v>
      </c>
      <c r="CY6" s="492">
        <v>3365</v>
      </c>
      <c r="CZ6" s="492">
        <v>3352</v>
      </c>
      <c r="DA6" s="492">
        <v>2855</v>
      </c>
      <c r="DB6" s="493">
        <v>2880</v>
      </c>
      <c r="DC6" s="493">
        <v>2157</v>
      </c>
      <c r="DD6" s="493">
        <v>1472</v>
      </c>
      <c r="DE6" s="493">
        <v>1230</v>
      </c>
      <c r="DF6" s="199"/>
      <c r="DG6" s="491">
        <v>199</v>
      </c>
      <c r="DH6" s="492">
        <v>423</v>
      </c>
      <c r="DI6" s="492">
        <v>492</v>
      </c>
      <c r="DJ6" s="492">
        <v>322</v>
      </c>
      <c r="DK6" s="493">
        <v>292</v>
      </c>
      <c r="DL6" s="493">
        <v>205</v>
      </c>
      <c r="DM6" s="493">
        <v>66</v>
      </c>
      <c r="DN6" s="493">
        <v>47</v>
      </c>
      <c r="DO6" s="199"/>
      <c r="DP6" s="491">
        <v>244</v>
      </c>
      <c r="DQ6" s="492">
        <v>353</v>
      </c>
      <c r="DR6" s="492">
        <v>293</v>
      </c>
      <c r="DS6" s="492">
        <v>250</v>
      </c>
      <c r="DT6" s="493">
        <v>215</v>
      </c>
      <c r="DU6" s="493">
        <v>174</v>
      </c>
      <c r="DV6" s="493">
        <v>112</v>
      </c>
      <c r="DW6" s="493">
        <v>90</v>
      </c>
      <c r="DX6" s="199"/>
      <c r="DY6" s="491">
        <v>244</v>
      </c>
      <c r="DZ6" s="492">
        <v>329</v>
      </c>
      <c r="EA6" s="492">
        <v>320</v>
      </c>
      <c r="EB6" s="492">
        <v>313</v>
      </c>
      <c r="EC6" s="493">
        <v>394</v>
      </c>
      <c r="ED6" s="493">
        <v>321</v>
      </c>
      <c r="EE6" s="493">
        <v>221</v>
      </c>
      <c r="EF6" s="493">
        <v>182</v>
      </c>
      <c r="EG6" s="199"/>
      <c r="EH6" s="491">
        <v>41</v>
      </c>
      <c r="EI6" s="492">
        <v>77</v>
      </c>
      <c r="EJ6" s="492">
        <v>79</v>
      </c>
      <c r="EK6" s="492">
        <v>41</v>
      </c>
      <c r="EL6" s="493">
        <v>44</v>
      </c>
      <c r="EM6" s="493">
        <v>22</v>
      </c>
      <c r="EN6" s="493">
        <v>12</v>
      </c>
      <c r="EO6" s="493">
        <v>10</v>
      </c>
      <c r="EP6" s="199"/>
      <c r="EQ6" s="491">
        <v>13</v>
      </c>
      <c r="ER6" s="492">
        <v>74</v>
      </c>
      <c r="ES6" s="492">
        <v>61</v>
      </c>
      <c r="ET6" s="492">
        <v>52</v>
      </c>
      <c r="EU6" s="493">
        <v>52</v>
      </c>
      <c r="EV6" s="493">
        <v>52</v>
      </c>
      <c r="EW6" s="493">
        <v>57</v>
      </c>
      <c r="EX6" s="493">
        <v>50</v>
      </c>
      <c r="EY6" s="199"/>
      <c r="EZ6" s="491">
        <v>9</v>
      </c>
      <c r="FA6" s="492">
        <v>9</v>
      </c>
      <c r="FB6" s="492">
        <v>3</v>
      </c>
      <c r="FC6" s="492">
        <v>4</v>
      </c>
      <c r="FD6" s="493">
        <v>10</v>
      </c>
      <c r="FE6" s="493">
        <v>1</v>
      </c>
      <c r="FF6" s="493">
        <v>9</v>
      </c>
      <c r="FG6" s="493">
        <v>2</v>
      </c>
      <c r="FH6" s="199"/>
      <c r="FI6" s="491">
        <v>340</v>
      </c>
      <c r="FJ6" s="492">
        <v>451</v>
      </c>
      <c r="FK6" s="492">
        <v>347</v>
      </c>
      <c r="FL6" s="492">
        <v>229</v>
      </c>
      <c r="FM6" s="493">
        <v>255</v>
      </c>
      <c r="FN6" s="493">
        <v>164</v>
      </c>
      <c r="FO6" s="493">
        <v>141</v>
      </c>
      <c r="FP6" s="493">
        <v>112</v>
      </c>
      <c r="FQ6" s="199"/>
      <c r="FR6" s="491">
        <v>4</v>
      </c>
      <c r="FS6" s="492">
        <v>6</v>
      </c>
      <c r="FT6" s="492">
        <v>10</v>
      </c>
      <c r="FU6" s="492">
        <v>2</v>
      </c>
      <c r="FV6" s="493">
        <v>26</v>
      </c>
      <c r="FW6" s="493">
        <v>6</v>
      </c>
      <c r="FX6" s="493">
        <v>2</v>
      </c>
      <c r="FY6" s="493">
        <v>5</v>
      </c>
      <c r="FZ6" s="199"/>
      <c r="GA6" s="491">
        <v>119</v>
      </c>
      <c r="GB6" s="492">
        <v>53</v>
      </c>
      <c r="GC6" s="492">
        <v>37</v>
      </c>
      <c r="GD6" s="492">
        <v>15</v>
      </c>
      <c r="GE6" s="493">
        <v>32</v>
      </c>
      <c r="GF6" s="493">
        <v>18</v>
      </c>
      <c r="GG6" s="493">
        <v>17</v>
      </c>
      <c r="GH6" s="493">
        <v>11</v>
      </c>
      <c r="GI6" s="199"/>
      <c r="GJ6" s="491">
        <v>2942</v>
      </c>
      <c r="GK6" s="492">
        <v>4251</v>
      </c>
      <c r="GL6" s="492">
        <v>4120</v>
      </c>
      <c r="GM6" s="492">
        <v>3431</v>
      </c>
      <c r="GN6" s="493">
        <v>3677</v>
      </c>
      <c r="GO6" s="493">
        <v>2695</v>
      </c>
      <c r="GP6" s="493">
        <v>1920</v>
      </c>
      <c r="GQ6" s="493">
        <v>1652</v>
      </c>
      <c r="GR6" s="199"/>
      <c r="GS6" s="491">
        <v>1468</v>
      </c>
      <c r="GT6" s="492">
        <v>2136</v>
      </c>
      <c r="GU6" s="492">
        <v>2217</v>
      </c>
      <c r="GV6" s="492">
        <v>1366</v>
      </c>
      <c r="GW6" s="493">
        <v>1019</v>
      </c>
      <c r="GX6" s="493">
        <v>576</v>
      </c>
      <c r="GY6" s="493">
        <v>334</v>
      </c>
      <c r="GZ6" s="493">
        <v>414</v>
      </c>
      <c r="HA6" s="199"/>
      <c r="HB6" s="491">
        <v>11</v>
      </c>
      <c r="HC6" s="492">
        <v>11</v>
      </c>
      <c r="HD6" s="492">
        <v>5</v>
      </c>
      <c r="HE6" s="492">
        <v>9</v>
      </c>
      <c r="HF6" s="493">
        <v>20</v>
      </c>
      <c r="HG6" s="493">
        <v>9</v>
      </c>
      <c r="HH6" s="493">
        <v>11</v>
      </c>
      <c r="HI6" s="493">
        <v>6</v>
      </c>
      <c r="HJ6" s="199"/>
      <c r="HK6" s="491">
        <v>6</v>
      </c>
      <c r="HL6" s="492">
        <v>10</v>
      </c>
      <c r="HM6" s="492">
        <v>2</v>
      </c>
      <c r="HN6" s="492"/>
      <c r="HO6" s="493"/>
      <c r="HP6" s="493"/>
      <c r="HQ6" s="493"/>
      <c r="HR6" s="493">
        <v>1</v>
      </c>
      <c r="HS6" s="199"/>
      <c r="HT6" s="491">
        <v>1667</v>
      </c>
      <c r="HU6" s="492">
        <v>2339</v>
      </c>
      <c r="HV6" s="492">
        <v>2403</v>
      </c>
      <c r="HW6" s="492">
        <v>1581</v>
      </c>
      <c r="HX6" s="493">
        <v>1404</v>
      </c>
      <c r="HY6" s="493">
        <v>935</v>
      </c>
      <c r="HZ6" s="493">
        <v>832</v>
      </c>
      <c r="IA6" s="493">
        <v>949</v>
      </c>
      <c r="IB6" s="199"/>
      <c r="IC6" s="491">
        <v>4118</v>
      </c>
      <c r="ID6" s="492">
        <v>7416</v>
      </c>
      <c r="IE6" s="492">
        <v>7056</v>
      </c>
      <c r="IF6" s="492">
        <v>5771</v>
      </c>
      <c r="IG6" s="493">
        <v>6130</v>
      </c>
      <c r="IH6" s="493">
        <v>4251</v>
      </c>
      <c r="II6" s="493">
        <v>3705</v>
      </c>
      <c r="IJ6" s="493">
        <v>3067</v>
      </c>
      <c r="IK6" s="199"/>
      <c r="IL6" s="491">
        <v>417</v>
      </c>
      <c r="IM6" s="492">
        <v>590</v>
      </c>
      <c r="IN6" s="492">
        <v>591</v>
      </c>
      <c r="IO6" s="492">
        <v>314</v>
      </c>
      <c r="IP6" s="493">
        <v>251</v>
      </c>
      <c r="IQ6" s="493">
        <v>413</v>
      </c>
      <c r="IR6" s="493">
        <v>271</v>
      </c>
      <c r="IS6" s="493">
        <v>227</v>
      </c>
      <c r="IT6" s="199"/>
      <c r="IU6" s="533">
        <v>3333.5492018262476</v>
      </c>
      <c r="IV6" s="534">
        <v>6002.3310023310023</v>
      </c>
      <c r="IW6" s="534">
        <v>5695.4209009678025</v>
      </c>
      <c r="IX6" s="534">
        <v>4556.5082824071878</v>
      </c>
      <c r="IY6" s="535">
        <v>4803.9999373050578</v>
      </c>
      <c r="IZ6" s="535">
        <v>3307.2703932780951</v>
      </c>
      <c r="JA6" s="535">
        <v>2840.9308745159683</v>
      </c>
      <c r="JB6" s="535">
        <v>2356.0591511426924</v>
      </c>
      <c r="JC6" s="536"/>
      <c r="JD6" s="537">
        <v>1349.447916329372</v>
      </c>
      <c r="JE6" s="538">
        <v>1893.1300181300182</v>
      </c>
      <c r="JF6" s="538">
        <v>1939.6395160183713</v>
      </c>
      <c r="JG6" s="538">
        <v>1248.282723009143</v>
      </c>
      <c r="JH6" s="538">
        <v>1100.2962336013541</v>
      </c>
      <c r="JI6" s="539">
        <v>727.42832691484818</v>
      </c>
      <c r="JJ6" s="539">
        <v>637.96342445270864</v>
      </c>
      <c r="JK6" s="539">
        <v>729.01862876896485</v>
      </c>
      <c r="JL6" s="536"/>
      <c r="JM6" s="537">
        <v>2381.5691480749924</v>
      </c>
      <c r="JN6" s="538">
        <v>3440.6565656565658</v>
      </c>
      <c r="JO6" s="538">
        <v>3325.5575555537616</v>
      </c>
      <c r="JP6" s="538">
        <v>2708.9551060369195</v>
      </c>
      <c r="JQ6" s="538">
        <v>2881.6162756069652</v>
      </c>
      <c r="JR6" s="539">
        <v>2096.7051775780915</v>
      </c>
      <c r="JS6" s="539">
        <v>1472.2232871985584</v>
      </c>
      <c r="JT6" s="539">
        <v>1269.0608795851738</v>
      </c>
      <c r="JU6" s="536"/>
      <c r="JV6" s="537">
        <v>1188.3560534922126</v>
      </c>
      <c r="JW6" s="538">
        <v>1728.8267288267289</v>
      </c>
      <c r="JX6" s="538">
        <v>1789.5051215200704</v>
      </c>
      <c r="JY6" s="538">
        <v>1078.5289055221313</v>
      </c>
      <c r="JZ6" s="538">
        <v>798.57682481465804</v>
      </c>
      <c r="KA6" s="539">
        <v>448.12696930797063</v>
      </c>
      <c r="KB6" s="539">
        <v>256.10550933558255</v>
      </c>
      <c r="KC6" s="539">
        <v>318.03341655463799</v>
      </c>
      <c r="KD6" s="536"/>
    </row>
    <row r="7" spans="1:290" ht="15" customHeight="1" x14ac:dyDescent="0.2">
      <c r="A7" s="935"/>
      <c r="B7" s="490" t="s">
        <v>1127</v>
      </c>
      <c r="C7" s="491">
        <v>1</v>
      </c>
      <c r="D7" s="492">
        <v>5</v>
      </c>
      <c r="E7" s="492">
        <v>6</v>
      </c>
      <c r="F7" s="492">
        <v>4</v>
      </c>
      <c r="G7" s="493">
        <v>3</v>
      </c>
      <c r="H7" s="493">
        <v>4</v>
      </c>
      <c r="I7" s="493">
        <v>5</v>
      </c>
      <c r="J7" s="493">
        <v>2</v>
      </c>
      <c r="K7" s="199"/>
      <c r="L7" s="491"/>
      <c r="M7" s="492">
        <v>3</v>
      </c>
      <c r="N7" s="492">
        <v>1</v>
      </c>
      <c r="O7" s="492">
        <v>2</v>
      </c>
      <c r="P7" s="493">
        <v>2</v>
      </c>
      <c r="Q7" s="493">
        <v>1</v>
      </c>
      <c r="R7" s="493">
        <v>3</v>
      </c>
      <c r="S7" s="493">
        <v>1</v>
      </c>
      <c r="T7" s="199"/>
      <c r="U7" s="491">
        <v>1</v>
      </c>
      <c r="V7" s="492">
        <v>2</v>
      </c>
      <c r="W7" s="492">
        <v>3</v>
      </c>
      <c r="X7" s="492">
        <v>2</v>
      </c>
      <c r="Y7" s="493">
        <v>1</v>
      </c>
      <c r="Z7" s="493">
        <v>3</v>
      </c>
      <c r="AA7" s="493">
        <v>2</v>
      </c>
      <c r="AB7" s="493">
        <v>1</v>
      </c>
      <c r="AC7" s="199"/>
      <c r="AD7" s="491">
        <v>110</v>
      </c>
      <c r="AE7" s="492">
        <v>134</v>
      </c>
      <c r="AF7" s="492">
        <v>131</v>
      </c>
      <c r="AG7" s="492">
        <v>140</v>
      </c>
      <c r="AH7" s="493">
        <v>137</v>
      </c>
      <c r="AI7" s="493">
        <v>118</v>
      </c>
      <c r="AJ7" s="493">
        <v>126</v>
      </c>
      <c r="AK7" s="493">
        <v>79</v>
      </c>
      <c r="AL7" s="199"/>
      <c r="AM7" s="491">
        <v>72</v>
      </c>
      <c r="AN7" s="492">
        <v>81</v>
      </c>
      <c r="AO7" s="492">
        <v>82</v>
      </c>
      <c r="AP7" s="492">
        <v>84</v>
      </c>
      <c r="AQ7" s="493">
        <v>74</v>
      </c>
      <c r="AR7" s="493">
        <v>65</v>
      </c>
      <c r="AS7" s="493">
        <v>67</v>
      </c>
      <c r="AT7" s="493">
        <v>40</v>
      </c>
      <c r="AU7" s="199"/>
      <c r="AV7" s="491"/>
      <c r="AW7" s="492"/>
      <c r="AX7" s="492"/>
      <c r="AY7" s="492"/>
      <c r="AZ7" s="493"/>
      <c r="BA7" s="493"/>
      <c r="BB7" s="493">
        <v>1</v>
      </c>
      <c r="BC7" s="493"/>
      <c r="BD7" s="199"/>
      <c r="BE7" s="491">
        <v>10</v>
      </c>
      <c r="BF7" s="492">
        <v>5</v>
      </c>
      <c r="BG7" s="492">
        <v>6</v>
      </c>
      <c r="BH7" s="492">
        <v>16</v>
      </c>
      <c r="BI7" s="493">
        <v>4</v>
      </c>
      <c r="BJ7" s="493">
        <v>8</v>
      </c>
      <c r="BK7" s="493">
        <v>4</v>
      </c>
      <c r="BL7" s="493">
        <v>5</v>
      </c>
      <c r="BM7" s="199"/>
      <c r="BN7" s="491"/>
      <c r="BO7" s="492"/>
      <c r="BP7" s="492"/>
      <c r="BQ7" s="492"/>
      <c r="BR7" s="493"/>
      <c r="BS7" s="493">
        <v>1</v>
      </c>
      <c r="BT7" s="493"/>
      <c r="BU7" s="493"/>
      <c r="BV7" s="199"/>
      <c r="BW7" s="491">
        <v>101</v>
      </c>
      <c r="BX7" s="492">
        <v>129</v>
      </c>
      <c r="BY7" s="492">
        <v>206</v>
      </c>
      <c r="BZ7" s="492">
        <v>184</v>
      </c>
      <c r="CA7" s="493">
        <v>135</v>
      </c>
      <c r="CB7" s="493">
        <v>147</v>
      </c>
      <c r="CC7" s="493">
        <v>118</v>
      </c>
      <c r="CD7" s="493">
        <v>123</v>
      </c>
      <c r="CE7" s="199"/>
      <c r="CF7" s="491">
        <v>2</v>
      </c>
      <c r="CG7" s="492">
        <v>10</v>
      </c>
      <c r="CH7" s="492">
        <v>5</v>
      </c>
      <c r="CI7" s="492">
        <v>4</v>
      </c>
      <c r="CJ7" s="493">
        <v>1</v>
      </c>
      <c r="CK7" s="493">
        <v>2</v>
      </c>
      <c r="CL7" s="493">
        <v>3</v>
      </c>
      <c r="CM7" s="493">
        <v>4</v>
      </c>
      <c r="CN7" s="199"/>
      <c r="CO7" s="491">
        <v>1</v>
      </c>
      <c r="CP7" s="492">
        <v>2</v>
      </c>
      <c r="CQ7" s="492">
        <v>1</v>
      </c>
      <c r="CR7" s="492">
        <v>1</v>
      </c>
      <c r="CS7" s="493">
        <v>2</v>
      </c>
      <c r="CT7" s="493">
        <v>6</v>
      </c>
      <c r="CU7" s="493">
        <v>7</v>
      </c>
      <c r="CV7" s="493">
        <v>3</v>
      </c>
      <c r="CW7" s="199"/>
      <c r="CX7" s="491">
        <v>1706</v>
      </c>
      <c r="CY7" s="492">
        <v>1942</v>
      </c>
      <c r="CZ7" s="492">
        <v>1941</v>
      </c>
      <c r="DA7" s="492">
        <v>1744</v>
      </c>
      <c r="DB7" s="493">
        <v>1392</v>
      </c>
      <c r="DC7" s="493">
        <v>854</v>
      </c>
      <c r="DD7" s="493">
        <v>730</v>
      </c>
      <c r="DE7" s="493">
        <v>1019</v>
      </c>
      <c r="DF7" s="199"/>
      <c r="DG7" s="491">
        <v>163</v>
      </c>
      <c r="DH7" s="492">
        <v>199</v>
      </c>
      <c r="DI7" s="492">
        <v>243</v>
      </c>
      <c r="DJ7" s="492">
        <v>164</v>
      </c>
      <c r="DK7" s="493">
        <v>169</v>
      </c>
      <c r="DL7" s="493">
        <v>58</v>
      </c>
      <c r="DM7" s="493">
        <v>44</v>
      </c>
      <c r="DN7" s="493">
        <v>33</v>
      </c>
      <c r="DO7" s="199"/>
      <c r="DP7" s="491">
        <v>268</v>
      </c>
      <c r="DQ7" s="492">
        <v>214</v>
      </c>
      <c r="DR7" s="492">
        <v>158</v>
      </c>
      <c r="DS7" s="492">
        <v>130</v>
      </c>
      <c r="DT7" s="493">
        <v>95</v>
      </c>
      <c r="DU7" s="493">
        <v>40</v>
      </c>
      <c r="DV7" s="493">
        <v>34</v>
      </c>
      <c r="DW7" s="493">
        <v>21</v>
      </c>
      <c r="DX7" s="199"/>
      <c r="DY7" s="491">
        <v>158</v>
      </c>
      <c r="DZ7" s="492">
        <v>262</v>
      </c>
      <c r="EA7" s="492">
        <v>297</v>
      </c>
      <c r="EB7" s="492">
        <v>225</v>
      </c>
      <c r="EC7" s="493">
        <v>280</v>
      </c>
      <c r="ED7" s="493">
        <v>142</v>
      </c>
      <c r="EE7" s="493">
        <v>145</v>
      </c>
      <c r="EF7" s="493">
        <v>95</v>
      </c>
      <c r="EG7" s="199"/>
      <c r="EH7" s="491">
        <v>83</v>
      </c>
      <c r="EI7" s="492">
        <v>64</v>
      </c>
      <c r="EJ7" s="492">
        <v>59</v>
      </c>
      <c r="EK7" s="492">
        <v>38</v>
      </c>
      <c r="EL7" s="493">
        <v>49</v>
      </c>
      <c r="EM7" s="493">
        <v>15</v>
      </c>
      <c r="EN7" s="493">
        <v>11</v>
      </c>
      <c r="EO7" s="493"/>
      <c r="EP7" s="199"/>
      <c r="EQ7" s="491">
        <v>6</v>
      </c>
      <c r="ER7" s="492">
        <v>17</v>
      </c>
      <c r="ES7" s="492">
        <v>46</v>
      </c>
      <c r="ET7" s="492">
        <v>29</v>
      </c>
      <c r="EU7" s="493">
        <v>18</v>
      </c>
      <c r="EV7" s="493">
        <v>4</v>
      </c>
      <c r="EW7" s="493">
        <v>13</v>
      </c>
      <c r="EX7" s="493">
        <v>6</v>
      </c>
      <c r="EY7" s="199"/>
      <c r="EZ7" s="491">
        <v>8</v>
      </c>
      <c r="FA7" s="492">
        <v>4</v>
      </c>
      <c r="FB7" s="492">
        <v>17</v>
      </c>
      <c r="FC7" s="492">
        <v>2</v>
      </c>
      <c r="FD7" s="493">
        <v>5</v>
      </c>
      <c r="FE7" s="493"/>
      <c r="FF7" s="493">
        <v>2</v>
      </c>
      <c r="FG7" s="493">
        <v>2</v>
      </c>
      <c r="FH7" s="199"/>
      <c r="FI7" s="491">
        <v>261</v>
      </c>
      <c r="FJ7" s="492">
        <v>252</v>
      </c>
      <c r="FK7" s="492">
        <v>249</v>
      </c>
      <c r="FL7" s="492">
        <v>168</v>
      </c>
      <c r="FM7" s="493">
        <v>125</v>
      </c>
      <c r="FN7" s="493">
        <v>91</v>
      </c>
      <c r="FO7" s="493">
        <v>115</v>
      </c>
      <c r="FP7" s="493">
        <v>106</v>
      </c>
      <c r="FQ7" s="199"/>
      <c r="FR7" s="491">
        <v>3</v>
      </c>
      <c r="FS7" s="492">
        <v>8</v>
      </c>
      <c r="FT7" s="492">
        <v>1</v>
      </c>
      <c r="FU7" s="492">
        <v>3</v>
      </c>
      <c r="FV7" s="493">
        <v>6</v>
      </c>
      <c r="FW7" s="493">
        <v>3</v>
      </c>
      <c r="FX7" s="493">
        <v>5</v>
      </c>
      <c r="FY7" s="493">
        <v>1</v>
      </c>
      <c r="FZ7" s="199"/>
      <c r="GA7" s="491">
        <v>88</v>
      </c>
      <c r="GB7" s="492">
        <v>69</v>
      </c>
      <c r="GC7" s="492">
        <v>22</v>
      </c>
      <c r="GD7" s="492">
        <v>11</v>
      </c>
      <c r="GE7" s="493">
        <v>10</v>
      </c>
      <c r="GF7" s="493">
        <v>11</v>
      </c>
      <c r="GG7" s="493">
        <v>4</v>
      </c>
      <c r="GH7" s="493">
        <v>6</v>
      </c>
      <c r="GI7" s="199"/>
      <c r="GJ7" s="491">
        <v>2380</v>
      </c>
      <c r="GK7" s="492">
        <v>2641</v>
      </c>
      <c r="GL7" s="492">
        <v>2690</v>
      </c>
      <c r="GM7" s="492">
        <v>2344</v>
      </c>
      <c r="GN7" s="493">
        <v>1887</v>
      </c>
      <c r="GO7" s="493">
        <v>1264</v>
      </c>
      <c r="GP7" s="493">
        <v>1143</v>
      </c>
      <c r="GQ7" s="493">
        <v>1356</v>
      </c>
      <c r="GR7" s="199"/>
      <c r="GS7" s="491">
        <v>1307</v>
      </c>
      <c r="GT7" s="492">
        <v>1299</v>
      </c>
      <c r="GU7" s="492">
        <v>1315</v>
      </c>
      <c r="GV7" s="492">
        <v>897</v>
      </c>
      <c r="GW7" s="493">
        <v>585</v>
      </c>
      <c r="GX7" s="493">
        <v>390</v>
      </c>
      <c r="GY7" s="493">
        <v>370</v>
      </c>
      <c r="GZ7" s="493">
        <v>290</v>
      </c>
      <c r="HA7" s="199"/>
      <c r="HB7" s="491">
        <v>8</v>
      </c>
      <c r="HC7" s="492">
        <v>12</v>
      </c>
      <c r="HD7" s="492">
        <v>10</v>
      </c>
      <c r="HE7" s="492">
        <v>2</v>
      </c>
      <c r="HF7" s="493">
        <v>6</v>
      </c>
      <c r="HG7" s="493">
        <v>8</v>
      </c>
      <c r="HH7" s="493">
        <v>3</v>
      </c>
      <c r="HI7" s="493">
        <v>5</v>
      </c>
      <c r="HJ7" s="199"/>
      <c r="HK7" s="491">
        <v>3</v>
      </c>
      <c r="HL7" s="492"/>
      <c r="HM7" s="492"/>
      <c r="HN7" s="492">
        <v>1</v>
      </c>
      <c r="HO7" s="493">
        <v>1</v>
      </c>
      <c r="HP7" s="493"/>
      <c r="HQ7" s="493"/>
      <c r="HR7" s="493"/>
      <c r="HS7" s="199"/>
      <c r="HT7" s="491">
        <v>1433</v>
      </c>
      <c r="HU7" s="492">
        <v>1498</v>
      </c>
      <c r="HV7" s="492">
        <v>1492</v>
      </c>
      <c r="HW7" s="492">
        <v>1333</v>
      </c>
      <c r="HX7" s="493">
        <v>822</v>
      </c>
      <c r="HY7" s="493">
        <v>607</v>
      </c>
      <c r="HZ7" s="493">
        <v>648</v>
      </c>
      <c r="IA7" s="493">
        <v>673</v>
      </c>
      <c r="IB7" s="199"/>
      <c r="IC7" s="491">
        <v>3107</v>
      </c>
      <c r="ID7" s="492">
        <v>4044</v>
      </c>
      <c r="IE7" s="492">
        <v>6867</v>
      </c>
      <c r="IF7" s="492">
        <v>5177</v>
      </c>
      <c r="IG7" s="493">
        <v>4171</v>
      </c>
      <c r="IH7" s="493">
        <v>2138</v>
      </c>
      <c r="II7" s="493">
        <v>2298</v>
      </c>
      <c r="IJ7" s="493">
        <v>2265</v>
      </c>
      <c r="IK7" s="199"/>
      <c r="IL7" s="491">
        <v>267</v>
      </c>
      <c r="IM7" s="492">
        <v>473</v>
      </c>
      <c r="IN7" s="492">
        <v>519</v>
      </c>
      <c r="IO7" s="492">
        <v>281</v>
      </c>
      <c r="IP7" s="493">
        <v>191</v>
      </c>
      <c r="IQ7" s="493">
        <v>179</v>
      </c>
      <c r="IR7" s="493">
        <v>182</v>
      </c>
      <c r="IS7" s="493">
        <v>117</v>
      </c>
      <c r="IT7" s="199"/>
      <c r="IU7" s="533">
        <v>3157.4561492652588</v>
      </c>
      <c r="IV7" s="534">
        <v>4093.1174089068822</v>
      </c>
      <c r="IW7" s="534">
        <v>6932.8621908127207</v>
      </c>
      <c r="IX7" s="534">
        <v>5188.2065260963682</v>
      </c>
      <c r="IY7" s="535">
        <v>4159.270856185557</v>
      </c>
      <c r="IZ7" s="535">
        <v>2113.0240556620743</v>
      </c>
      <c r="JA7" s="535">
        <v>2262.7464109178991</v>
      </c>
      <c r="JB7" s="535">
        <v>2231.9668900275915</v>
      </c>
      <c r="JC7" s="536"/>
      <c r="JD7" s="537">
        <v>1456.2712139997154</v>
      </c>
      <c r="JE7" s="538">
        <v>1516.1943319838056</v>
      </c>
      <c r="JF7" s="538">
        <v>1506.3099444724887</v>
      </c>
      <c r="JG7" s="538">
        <v>1335.885512707448</v>
      </c>
      <c r="JH7" s="538">
        <v>819.68847849065628</v>
      </c>
      <c r="JI7" s="539">
        <v>599.90907473661332</v>
      </c>
      <c r="JJ7" s="539">
        <v>638.05904015439455</v>
      </c>
      <c r="JK7" s="539">
        <v>663.18486401261339</v>
      </c>
      <c r="JL7" s="536"/>
      <c r="JM7" s="537">
        <v>2418.6500274384666</v>
      </c>
      <c r="JN7" s="538">
        <v>2673.0769230769233</v>
      </c>
      <c r="JO7" s="538">
        <v>2715.8001009591117</v>
      </c>
      <c r="JP7" s="538">
        <v>2349.0739998396534</v>
      </c>
      <c r="JQ7" s="538">
        <v>1881.6936239803752</v>
      </c>
      <c r="JR7" s="539">
        <v>1249.2340534877744</v>
      </c>
      <c r="JS7" s="539">
        <v>1125.465251383446</v>
      </c>
      <c r="JT7" s="539">
        <v>1336.2238864800947</v>
      </c>
      <c r="JU7" s="536"/>
      <c r="JV7" s="537">
        <v>1328.2250360765024</v>
      </c>
      <c r="JW7" s="538">
        <v>1314.7773279352227</v>
      </c>
      <c r="JX7" s="538">
        <v>1327.6123170116102</v>
      </c>
      <c r="JY7" s="538">
        <v>898.94171410246133</v>
      </c>
      <c r="JZ7" s="538">
        <v>583.3549390718174</v>
      </c>
      <c r="KA7" s="539">
        <v>385.4440513134748</v>
      </c>
      <c r="KB7" s="539">
        <v>364.32383465605864</v>
      </c>
      <c r="KC7" s="539">
        <v>285.77059519117068</v>
      </c>
      <c r="KD7" s="536"/>
    </row>
    <row r="8" spans="1:290" ht="15" customHeight="1" x14ac:dyDescent="0.2">
      <c r="A8" s="935"/>
      <c r="B8" s="490" t="s">
        <v>1128</v>
      </c>
      <c r="C8" s="491">
        <v>2</v>
      </c>
      <c r="D8" s="492">
        <v>3</v>
      </c>
      <c r="E8" s="492">
        <v>1</v>
      </c>
      <c r="F8" s="492"/>
      <c r="G8" s="493">
        <v>1</v>
      </c>
      <c r="H8" s="493"/>
      <c r="I8" s="493">
        <v>4</v>
      </c>
      <c r="J8" s="493">
        <v>1</v>
      </c>
      <c r="K8" s="199"/>
      <c r="L8" s="491"/>
      <c r="M8" s="492"/>
      <c r="N8" s="492">
        <v>1</v>
      </c>
      <c r="O8" s="492"/>
      <c r="P8" s="493">
        <v>1</v>
      </c>
      <c r="Q8" s="493"/>
      <c r="R8" s="493">
        <v>1</v>
      </c>
      <c r="S8" s="493"/>
      <c r="T8" s="199"/>
      <c r="U8" s="491">
        <v>2</v>
      </c>
      <c r="V8" s="492">
        <v>3</v>
      </c>
      <c r="W8" s="492"/>
      <c r="X8" s="492"/>
      <c r="Y8" s="493"/>
      <c r="Z8" s="493"/>
      <c r="AA8" s="493">
        <v>3</v>
      </c>
      <c r="AB8" s="493">
        <v>1</v>
      </c>
      <c r="AC8" s="199"/>
      <c r="AD8" s="491">
        <v>57</v>
      </c>
      <c r="AE8" s="492">
        <v>72</v>
      </c>
      <c r="AF8" s="492">
        <v>65</v>
      </c>
      <c r="AG8" s="492">
        <v>70</v>
      </c>
      <c r="AH8" s="493">
        <v>81</v>
      </c>
      <c r="AI8" s="493">
        <v>122</v>
      </c>
      <c r="AJ8" s="493">
        <v>111</v>
      </c>
      <c r="AK8" s="493">
        <v>120</v>
      </c>
      <c r="AL8" s="199"/>
      <c r="AM8" s="491">
        <v>41</v>
      </c>
      <c r="AN8" s="492">
        <v>56</v>
      </c>
      <c r="AO8" s="492">
        <v>47</v>
      </c>
      <c r="AP8" s="492">
        <v>60</v>
      </c>
      <c r="AQ8" s="493">
        <v>64</v>
      </c>
      <c r="AR8" s="493">
        <v>97</v>
      </c>
      <c r="AS8" s="493">
        <v>82</v>
      </c>
      <c r="AT8" s="493">
        <v>91</v>
      </c>
      <c r="AU8" s="199"/>
      <c r="AV8" s="491"/>
      <c r="AW8" s="492">
        <v>2</v>
      </c>
      <c r="AX8" s="492"/>
      <c r="AY8" s="492"/>
      <c r="AZ8" s="493"/>
      <c r="BA8" s="493"/>
      <c r="BB8" s="493"/>
      <c r="BC8" s="493"/>
      <c r="BD8" s="199"/>
      <c r="BE8" s="491">
        <v>4</v>
      </c>
      <c r="BF8" s="492">
        <v>7</v>
      </c>
      <c r="BG8" s="492">
        <v>6</v>
      </c>
      <c r="BH8" s="492"/>
      <c r="BI8" s="493">
        <v>2</v>
      </c>
      <c r="BJ8" s="493">
        <v>1</v>
      </c>
      <c r="BK8" s="493">
        <v>4</v>
      </c>
      <c r="BL8" s="493">
        <v>1</v>
      </c>
      <c r="BM8" s="199"/>
      <c r="BN8" s="491"/>
      <c r="BO8" s="492"/>
      <c r="BP8" s="492"/>
      <c r="BQ8" s="492"/>
      <c r="BR8" s="493"/>
      <c r="BS8" s="493"/>
      <c r="BT8" s="493">
        <v>2</v>
      </c>
      <c r="BU8" s="493"/>
      <c r="BV8" s="199"/>
      <c r="BW8" s="491">
        <v>65</v>
      </c>
      <c r="BX8" s="492">
        <v>67</v>
      </c>
      <c r="BY8" s="492">
        <v>73</v>
      </c>
      <c r="BZ8" s="492">
        <v>88</v>
      </c>
      <c r="CA8" s="493">
        <v>126</v>
      </c>
      <c r="CB8" s="493">
        <v>203</v>
      </c>
      <c r="CC8" s="493">
        <v>199</v>
      </c>
      <c r="CD8" s="493">
        <v>192</v>
      </c>
      <c r="CE8" s="199"/>
      <c r="CF8" s="491">
        <v>5</v>
      </c>
      <c r="CG8" s="492">
        <v>8</v>
      </c>
      <c r="CH8" s="492">
        <v>1</v>
      </c>
      <c r="CI8" s="492">
        <v>5</v>
      </c>
      <c r="CJ8" s="493">
        <v>9</v>
      </c>
      <c r="CK8" s="493">
        <v>4</v>
      </c>
      <c r="CL8" s="493">
        <v>4</v>
      </c>
      <c r="CM8" s="493">
        <v>8</v>
      </c>
      <c r="CN8" s="199"/>
      <c r="CO8" s="491">
        <v>6</v>
      </c>
      <c r="CP8" s="492">
        <v>12</v>
      </c>
      <c r="CQ8" s="492">
        <v>8</v>
      </c>
      <c r="CR8" s="492">
        <v>3</v>
      </c>
      <c r="CS8" s="493">
        <v>3</v>
      </c>
      <c r="CT8" s="493">
        <v>2</v>
      </c>
      <c r="CU8" s="493">
        <v>3</v>
      </c>
      <c r="CV8" s="493">
        <v>6</v>
      </c>
      <c r="CW8" s="199"/>
      <c r="CX8" s="491">
        <v>3550</v>
      </c>
      <c r="CY8" s="492">
        <v>2669</v>
      </c>
      <c r="CZ8" s="492">
        <v>2635</v>
      </c>
      <c r="DA8" s="492">
        <v>2870</v>
      </c>
      <c r="DB8" s="493">
        <v>2279</v>
      </c>
      <c r="DC8" s="493">
        <v>2230</v>
      </c>
      <c r="DD8" s="493">
        <v>2136</v>
      </c>
      <c r="DE8" s="493">
        <v>1752</v>
      </c>
      <c r="DF8" s="199"/>
      <c r="DG8" s="491">
        <v>110</v>
      </c>
      <c r="DH8" s="492">
        <v>32</v>
      </c>
      <c r="DI8" s="492">
        <v>22</v>
      </c>
      <c r="DJ8" s="492">
        <v>26</v>
      </c>
      <c r="DK8" s="493">
        <v>23</v>
      </c>
      <c r="DL8" s="493">
        <v>10</v>
      </c>
      <c r="DM8" s="493">
        <v>8</v>
      </c>
      <c r="DN8" s="493">
        <v>5</v>
      </c>
      <c r="DO8" s="199"/>
      <c r="DP8" s="491">
        <v>265</v>
      </c>
      <c r="DQ8" s="492">
        <v>167</v>
      </c>
      <c r="DR8" s="492">
        <v>174</v>
      </c>
      <c r="DS8" s="492">
        <v>118</v>
      </c>
      <c r="DT8" s="493">
        <v>81</v>
      </c>
      <c r="DU8" s="493">
        <v>120</v>
      </c>
      <c r="DV8" s="493">
        <v>139</v>
      </c>
      <c r="DW8" s="493">
        <v>86</v>
      </c>
      <c r="DX8" s="199"/>
      <c r="DY8" s="491">
        <v>261</v>
      </c>
      <c r="DZ8" s="492">
        <v>109</v>
      </c>
      <c r="EA8" s="492">
        <v>186</v>
      </c>
      <c r="EB8" s="492">
        <v>204</v>
      </c>
      <c r="EC8" s="493">
        <v>114</v>
      </c>
      <c r="ED8" s="493">
        <v>180</v>
      </c>
      <c r="EE8" s="493">
        <v>125</v>
      </c>
      <c r="EF8" s="493">
        <v>124</v>
      </c>
      <c r="EG8" s="199"/>
      <c r="EH8" s="491">
        <v>46</v>
      </c>
      <c r="EI8" s="492">
        <v>63</v>
      </c>
      <c r="EJ8" s="492">
        <v>61</v>
      </c>
      <c r="EK8" s="492">
        <v>50</v>
      </c>
      <c r="EL8" s="493">
        <v>41</v>
      </c>
      <c r="EM8" s="493">
        <v>32</v>
      </c>
      <c r="EN8" s="493">
        <v>15</v>
      </c>
      <c r="EO8" s="493">
        <v>17</v>
      </c>
      <c r="EP8" s="199"/>
      <c r="EQ8" s="491">
        <v>52</v>
      </c>
      <c r="ER8" s="492">
        <v>75</v>
      </c>
      <c r="ES8" s="492">
        <v>86</v>
      </c>
      <c r="ET8" s="492">
        <v>90</v>
      </c>
      <c r="EU8" s="493">
        <v>81</v>
      </c>
      <c r="EV8" s="493">
        <v>120</v>
      </c>
      <c r="EW8" s="493">
        <v>95</v>
      </c>
      <c r="EX8" s="493">
        <v>50</v>
      </c>
      <c r="EY8" s="199"/>
      <c r="EZ8" s="491">
        <v>3</v>
      </c>
      <c r="FA8" s="492">
        <v>5</v>
      </c>
      <c r="FB8" s="492">
        <v>2</v>
      </c>
      <c r="FC8" s="492">
        <v>3</v>
      </c>
      <c r="FD8" s="493">
        <v>3</v>
      </c>
      <c r="FE8" s="493">
        <v>7</v>
      </c>
      <c r="FF8" s="493">
        <v>1</v>
      </c>
      <c r="FG8" s="493">
        <v>1</v>
      </c>
      <c r="FH8" s="199"/>
      <c r="FI8" s="491">
        <v>463</v>
      </c>
      <c r="FJ8" s="492">
        <v>266</v>
      </c>
      <c r="FK8" s="492">
        <v>166</v>
      </c>
      <c r="FL8" s="492">
        <v>210</v>
      </c>
      <c r="FM8" s="493">
        <v>141</v>
      </c>
      <c r="FN8" s="493">
        <v>118</v>
      </c>
      <c r="FO8" s="493">
        <v>144</v>
      </c>
      <c r="FP8" s="493">
        <v>123</v>
      </c>
      <c r="FQ8" s="199"/>
      <c r="FR8" s="491">
        <v>1</v>
      </c>
      <c r="FS8" s="492">
        <v>6</v>
      </c>
      <c r="FT8" s="492">
        <v>3</v>
      </c>
      <c r="FU8" s="492">
        <v>3</v>
      </c>
      <c r="FV8" s="493">
        <v>4</v>
      </c>
      <c r="FW8" s="493">
        <v>1</v>
      </c>
      <c r="FX8" s="493">
        <v>3</v>
      </c>
      <c r="FY8" s="493">
        <v>3</v>
      </c>
      <c r="FZ8" s="199"/>
      <c r="GA8" s="491">
        <v>41</v>
      </c>
      <c r="GB8" s="492">
        <v>12</v>
      </c>
      <c r="GC8" s="492">
        <v>4</v>
      </c>
      <c r="GD8" s="492">
        <v>4</v>
      </c>
      <c r="GE8" s="493">
        <v>6</v>
      </c>
      <c r="GF8" s="493">
        <v>2</v>
      </c>
      <c r="GG8" s="493">
        <v>1</v>
      </c>
      <c r="GH8" s="493"/>
      <c r="GI8" s="199"/>
      <c r="GJ8" s="491">
        <v>4295</v>
      </c>
      <c r="GK8" s="492">
        <v>3265</v>
      </c>
      <c r="GL8" s="492">
        <v>3111</v>
      </c>
      <c r="GM8" s="492">
        <v>3396</v>
      </c>
      <c r="GN8" s="493">
        <v>2777</v>
      </c>
      <c r="GO8" s="493">
        <v>2842</v>
      </c>
      <c r="GP8" s="493">
        <v>2722</v>
      </c>
      <c r="GQ8" s="493">
        <v>2274</v>
      </c>
      <c r="GR8" s="199"/>
      <c r="GS8" s="491">
        <v>2294</v>
      </c>
      <c r="GT8" s="492">
        <v>1861</v>
      </c>
      <c r="GU8" s="492">
        <v>1723</v>
      </c>
      <c r="GV8" s="492">
        <v>1402</v>
      </c>
      <c r="GW8" s="493">
        <v>656</v>
      </c>
      <c r="GX8" s="493">
        <v>681</v>
      </c>
      <c r="GY8" s="493">
        <v>680</v>
      </c>
      <c r="GZ8" s="493">
        <v>699</v>
      </c>
      <c r="HA8" s="199"/>
      <c r="HB8" s="491">
        <v>10</v>
      </c>
      <c r="HC8" s="492">
        <v>3</v>
      </c>
      <c r="HD8" s="492">
        <v>12</v>
      </c>
      <c r="HE8" s="492">
        <v>7</v>
      </c>
      <c r="HF8" s="493">
        <v>7</v>
      </c>
      <c r="HG8" s="493">
        <v>9</v>
      </c>
      <c r="HH8" s="493">
        <v>5</v>
      </c>
      <c r="HI8" s="493">
        <v>1</v>
      </c>
      <c r="HJ8" s="199"/>
      <c r="HK8" s="491">
        <v>2</v>
      </c>
      <c r="HL8" s="492">
        <v>3</v>
      </c>
      <c r="HM8" s="492"/>
      <c r="HN8" s="492">
        <v>2</v>
      </c>
      <c r="HO8" s="493"/>
      <c r="HP8" s="493">
        <v>2</v>
      </c>
      <c r="HQ8" s="493"/>
      <c r="HR8" s="493"/>
      <c r="HS8" s="199"/>
      <c r="HT8" s="491">
        <v>2394</v>
      </c>
      <c r="HU8" s="492">
        <v>2088</v>
      </c>
      <c r="HV8" s="492">
        <v>1800</v>
      </c>
      <c r="HW8" s="492">
        <v>2046</v>
      </c>
      <c r="HX8" s="493">
        <v>825</v>
      </c>
      <c r="HY8" s="493">
        <v>834</v>
      </c>
      <c r="HZ8" s="493">
        <v>896</v>
      </c>
      <c r="IA8" s="493">
        <v>970</v>
      </c>
      <c r="IB8" s="199"/>
      <c r="IC8" s="491">
        <v>6979</v>
      </c>
      <c r="ID8" s="492">
        <v>5954</v>
      </c>
      <c r="IE8" s="492">
        <v>6211</v>
      </c>
      <c r="IF8" s="492">
        <v>8630</v>
      </c>
      <c r="IG8" s="493">
        <v>10772</v>
      </c>
      <c r="IH8" s="493">
        <v>4885</v>
      </c>
      <c r="II8" s="493">
        <v>4867</v>
      </c>
      <c r="IJ8" s="493">
        <v>4875</v>
      </c>
      <c r="IK8" s="199"/>
      <c r="IL8" s="491">
        <v>419</v>
      </c>
      <c r="IM8" s="492">
        <v>173</v>
      </c>
      <c r="IN8" s="492">
        <v>257</v>
      </c>
      <c r="IO8" s="492">
        <v>236</v>
      </c>
      <c r="IP8" s="493">
        <v>105</v>
      </c>
      <c r="IQ8" s="493">
        <v>230</v>
      </c>
      <c r="IR8" s="493">
        <v>186</v>
      </c>
      <c r="IS8" s="493">
        <v>185</v>
      </c>
      <c r="IT8" s="199"/>
      <c r="IU8" s="533">
        <v>25770.835641224476</v>
      </c>
      <c r="IV8" s="534">
        <v>21933.249834229722</v>
      </c>
      <c r="IW8" s="534">
        <v>22715.968107673176</v>
      </c>
      <c r="IX8" s="534">
        <v>33118.428121881952</v>
      </c>
      <c r="IY8" s="535">
        <v>41354.422604422602</v>
      </c>
      <c r="IZ8" s="535">
        <v>18590.402252920805</v>
      </c>
      <c r="JA8" s="535">
        <v>18516.96849794552</v>
      </c>
      <c r="JB8" s="535">
        <v>12693.329167317608</v>
      </c>
      <c r="JC8" s="536"/>
      <c r="JD8" s="537">
        <v>8840.1462279827192</v>
      </c>
      <c r="JE8" s="538">
        <v>7691.740956310322</v>
      </c>
      <c r="JF8" s="538">
        <v>6583.2784726793952</v>
      </c>
      <c r="JG8" s="538">
        <v>7851.7154040985497</v>
      </c>
      <c r="JH8" s="538">
        <v>3167.22972972973</v>
      </c>
      <c r="JI8" s="539">
        <v>3173.8782966092022</v>
      </c>
      <c r="JJ8" s="539">
        <v>3408.9179729112766</v>
      </c>
      <c r="JK8" s="539">
        <v>2525.6470343175547</v>
      </c>
      <c r="JL8" s="536"/>
      <c r="JM8" s="537">
        <v>15859.8279236365</v>
      </c>
      <c r="JN8" s="538">
        <v>12027.554704192145</v>
      </c>
      <c r="JO8" s="538">
        <v>11378.099626947553</v>
      </c>
      <c r="JP8" s="538">
        <v>13032.466037301405</v>
      </c>
      <c r="JQ8" s="538">
        <v>10661.087223587223</v>
      </c>
      <c r="JR8" s="539">
        <v>10815.542109068767</v>
      </c>
      <c r="JS8" s="539">
        <v>10356.110181098767</v>
      </c>
      <c r="JT8" s="539">
        <v>5920.9498515856894</v>
      </c>
      <c r="JU8" s="536"/>
      <c r="JV8" s="537">
        <v>8470.8836453602144</v>
      </c>
      <c r="JW8" s="538">
        <v>6855.5219921903772</v>
      </c>
      <c r="JX8" s="538">
        <v>6301.6604491258868</v>
      </c>
      <c r="JY8" s="538">
        <v>5380.3054724077056</v>
      </c>
      <c r="JZ8" s="538">
        <v>2518.4275184275184</v>
      </c>
      <c r="KA8" s="539">
        <v>2591.6200479506792</v>
      </c>
      <c r="KB8" s="539">
        <v>2587.1252472987367</v>
      </c>
      <c r="KC8" s="539">
        <v>1820.0281206061552</v>
      </c>
      <c r="KD8" s="536"/>
    </row>
    <row r="9" spans="1:290" ht="15" customHeight="1" x14ac:dyDescent="0.2">
      <c r="A9" s="935"/>
      <c r="B9" s="490" t="s">
        <v>1129</v>
      </c>
      <c r="C9" s="491"/>
      <c r="D9" s="492">
        <v>3</v>
      </c>
      <c r="E9" s="492"/>
      <c r="F9" s="492">
        <v>1</v>
      </c>
      <c r="G9" s="493">
        <v>2</v>
      </c>
      <c r="H9" s="493"/>
      <c r="I9" s="493">
        <v>2</v>
      </c>
      <c r="J9" s="493">
        <v>1</v>
      </c>
      <c r="K9" s="199"/>
      <c r="L9" s="491"/>
      <c r="M9" s="492">
        <v>2</v>
      </c>
      <c r="N9" s="492"/>
      <c r="O9" s="492"/>
      <c r="P9" s="493">
        <v>1</v>
      </c>
      <c r="Q9" s="493"/>
      <c r="R9" s="493">
        <v>1</v>
      </c>
      <c r="S9" s="493">
        <v>1</v>
      </c>
      <c r="T9" s="199"/>
      <c r="U9" s="491"/>
      <c r="V9" s="492">
        <v>1</v>
      </c>
      <c r="W9" s="492"/>
      <c r="X9" s="492">
        <v>1</v>
      </c>
      <c r="Y9" s="493">
        <v>1</v>
      </c>
      <c r="Z9" s="493"/>
      <c r="AA9" s="493">
        <v>1</v>
      </c>
      <c r="AB9" s="493"/>
      <c r="AC9" s="199"/>
      <c r="AD9" s="491">
        <v>85</v>
      </c>
      <c r="AE9" s="492">
        <v>55</v>
      </c>
      <c r="AF9" s="492">
        <v>85</v>
      </c>
      <c r="AG9" s="492">
        <v>75</v>
      </c>
      <c r="AH9" s="493">
        <v>95</v>
      </c>
      <c r="AI9" s="493">
        <v>86</v>
      </c>
      <c r="AJ9" s="493">
        <v>116</v>
      </c>
      <c r="AK9" s="493">
        <v>77</v>
      </c>
      <c r="AL9" s="199"/>
      <c r="AM9" s="491">
        <v>55</v>
      </c>
      <c r="AN9" s="492">
        <v>39</v>
      </c>
      <c r="AO9" s="492">
        <v>66</v>
      </c>
      <c r="AP9" s="492">
        <v>54</v>
      </c>
      <c r="AQ9" s="493">
        <v>70</v>
      </c>
      <c r="AR9" s="493">
        <v>52</v>
      </c>
      <c r="AS9" s="493">
        <v>75</v>
      </c>
      <c r="AT9" s="493">
        <v>46</v>
      </c>
      <c r="AU9" s="199"/>
      <c r="AV9" s="491"/>
      <c r="AW9" s="492">
        <v>1</v>
      </c>
      <c r="AX9" s="492"/>
      <c r="AY9" s="492"/>
      <c r="AZ9" s="493">
        <v>1</v>
      </c>
      <c r="BA9" s="493"/>
      <c r="BB9" s="493"/>
      <c r="BC9" s="493"/>
      <c r="BD9" s="199"/>
      <c r="BE9" s="491">
        <v>4</v>
      </c>
      <c r="BF9" s="492">
        <v>4</v>
      </c>
      <c r="BG9" s="492">
        <v>6</v>
      </c>
      <c r="BH9" s="492">
        <v>7</v>
      </c>
      <c r="BI9" s="493">
        <v>4</v>
      </c>
      <c r="BJ9" s="493">
        <v>6</v>
      </c>
      <c r="BK9" s="493">
        <v>6</v>
      </c>
      <c r="BL9" s="493">
        <v>6</v>
      </c>
      <c r="BM9" s="199"/>
      <c r="BN9" s="491"/>
      <c r="BO9" s="492"/>
      <c r="BP9" s="492"/>
      <c r="BQ9" s="492"/>
      <c r="BR9" s="493">
        <v>1</v>
      </c>
      <c r="BS9" s="493">
        <v>1</v>
      </c>
      <c r="BT9" s="493">
        <v>2</v>
      </c>
      <c r="BU9" s="493">
        <v>4</v>
      </c>
      <c r="BV9" s="199"/>
      <c r="BW9" s="491">
        <v>108</v>
      </c>
      <c r="BX9" s="492">
        <v>117</v>
      </c>
      <c r="BY9" s="492">
        <v>105</v>
      </c>
      <c r="BZ9" s="492">
        <v>83</v>
      </c>
      <c r="CA9" s="493">
        <v>124</v>
      </c>
      <c r="CB9" s="493">
        <v>158</v>
      </c>
      <c r="CC9" s="493">
        <v>161</v>
      </c>
      <c r="CD9" s="493">
        <v>188</v>
      </c>
      <c r="CE9" s="199"/>
      <c r="CF9" s="491">
        <v>7</v>
      </c>
      <c r="CG9" s="492">
        <v>3</v>
      </c>
      <c r="CH9" s="492"/>
      <c r="CI9" s="492">
        <v>6</v>
      </c>
      <c r="CJ9" s="493">
        <v>5</v>
      </c>
      <c r="CK9" s="493">
        <v>2</v>
      </c>
      <c r="CL9" s="493">
        <v>3</v>
      </c>
      <c r="CM9" s="493"/>
      <c r="CN9" s="199"/>
      <c r="CO9" s="491"/>
      <c r="CP9" s="492">
        <v>3</v>
      </c>
      <c r="CQ9" s="492"/>
      <c r="CR9" s="492">
        <v>5</v>
      </c>
      <c r="CS9" s="493"/>
      <c r="CT9" s="493">
        <v>9</v>
      </c>
      <c r="CU9" s="493">
        <v>7</v>
      </c>
      <c r="CV9" s="493">
        <v>7</v>
      </c>
      <c r="CW9" s="199"/>
      <c r="CX9" s="491">
        <v>2202</v>
      </c>
      <c r="CY9" s="492">
        <v>2494</v>
      </c>
      <c r="CZ9" s="492">
        <v>2815</v>
      </c>
      <c r="DA9" s="492">
        <v>2590</v>
      </c>
      <c r="DB9" s="493">
        <v>2159</v>
      </c>
      <c r="DC9" s="493">
        <v>2182</v>
      </c>
      <c r="DD9" s="493">
        <v>1811</v>
      </c>
      <c r="DE9" s="493">
        <v>1548</v>
      </c>
      <c r="DF9" s="199"/>
      <c r="DG9" s="491">
        <v>18</v>
      </c>
      <c r="DH9" s="492">
        <v>9</v>
      </c>
      <c r="DI9" s="492">
        <v>19</v>
      </c>
      <c r="DJ9" s="492">
        <v>22</v>
      </c>
      <c r="DK9" s="493">
        <v>12</v>
      </c>
      <c r="DL9" s="493">
        <v>10</v>
      </c>
      <c r="DM9" s="493">
        <v>4</v>
      </c>
      <c r="DN9" s="493">
        <v>4</v>
      </c>
      <c r="DO9" s="199"/>
      <c r="DP9" s="491">
        <v>91</v>
      </c>
      <c r="DQ9" s="492">
        <v>122</v>
      </c>
      <c r="DR9" s="492">
        <v>148</v>
      </c>
      <c r="DS9" s="492">
        <v>86</v>
      </c>
      <c r="DT9" s="493">
        <v>54</v>
      </c>
      <c r="DU9" s="493">
        <v>39</v>
      </c>
      <c r="DV9" s="493">
        <v>26</v>
      </c>
      <c r="DW9" s="493">
        <v>15</v>
      </c>
      <c r="DX9" s="199"/>
      <c r="DY9" s="491">
        <v>152</v>
      </c>
      <c r="DZ9" s="492">
        <v>301</v>
      </c>
      <c r="EA9" s="492">
        <v>314</v>
      </c>
      <c r="EB9" s="492">
        <v>196</v>
      </c>
      <c r="EC9" s="493">
        <v>155</v>
      </c>
      <c r="ED9" s="493">
        <v>147</v>
      </c>
      <c r="EE9" s="493">
        <v>90</v>
      </c>
      <c r="EF9" s="493">
        <v>89</v>
      </c>
      <c r="EG9" s="199"/>
      <c r="EH9" s="491">
        <v>25</v>
      </c>
      <c r="EI9" s="492">
        <v>83</v>
      </c>
      <c r="EJ9" s="492">
        <v>102</v>
      </c>
      <c r="EK9" s="492">
        <v>47</v>
      </c>
      <c r="EL9" s="493">
        <v>34</v>
      </c>
      <c r="EM9" s="493">
        <v>26</v>
      </c>
      <c r="EN9" s="493">
        <v>24</v>
      </c>
      <c r="EO9" s="493">
        <v>15</v>
      </c>
      <c r="EP9" s="199"/>
      <c r="EQ9" s="491">
        <v>83</v>
      </c>
      <c r="ER9" s="492">
        <v>132</v>
      </c>
      <c r="ES9" s="492">
        <v>154</v>
      </c>
      <c r="ET9" s="492">
        <v>152</v>
      </c>
      <c r="EU9" s="493">
        <v>149</v>
      </c>
      <c r="EV9" s="493">
        <v>161</v>
      </c>
      <c r="EW9" s="493">
        <v>114</v>
      </c>
      <c r="EX9" s="493">
        <v>86</v>
      </c>
      <c r="EY9" s="199"/>
      <c r="EZ9" s="491">
        <v>5</v>
      </c>
      <c r="FA9" s="492">
        <v>3</v>
      </c>
      <c r="FB9" s="492">
        <v>7</v>
      </c>
      <c r="FC9" s="492">
        <v>4</v>
      </c>
      <c r="FD9" s="493">
        <v>5</v>
      </c>
      <c r="FE9" s="493">
        <v>2</v>
      </c>
      <c r="FF9" s="493">
        <v>1</v>
      </c>
      <c r="FG9" s="493">
        <v>2</v>
      </c>
      <c r="FH9" s="199"/>
      <c r="FI9" s="491">
        <v>199</v>
      </c>
      <c r="FJ9" s="492">
        <v>181</v>
      </c>
      <c r="FK9" s="492">
        <v>216</v>
      </c>
      <c r="FL9" s="492">
        <v>150</v>
      </c>
      <c r="FM9" s="493">
        <v>171</v>
      </c>
      <c r="FN9" s="493">
        <v>119</v>
      </c>
      <c r="FO9" s="493">
        <v>170</v>
      </c>
      <c r="FP9" s="493">
        <v>170</v>
      </c>
      <c r="FQ9" s="199"/>
      <c r="FR9" s="491">
        <v>5</v>
      </c>
      <c r="FS9" s="492">
        <v>5</v>
      </c>
      <c r="FT9" s="492">
        <v>7</v>
      </c>
      <c r="FU9" s="492">
        <v>2</v>
      </c>
      <c r="FV9" s="493">
        <v>6</v>
      </c>
      <c r="FW9" s="493">
        <v>4</v>
      </c>
      <c r="FX9" s="493">
        <v>3</v>
      </c>
      <c r="FY9" s="493">
        <v>4</v>
      </c>
      <c r="FZ9" s="199"/>
      <c r="GA9" s="491">
        <v>12</v>
      </c>
      <c r="GB9" s="492">
        <v>6</v>
      </c>
      <c r="GC9" s="492">
        <v>6</v>
      </c>
      <c r="GD9" s="492">
        <v>2</v>
      </c>
      <c r="GE9" s="493">
        <v>2</v>
      </c>
      <c r="GF9" s="493"/>
      <c r="GG9" s="493">
        <v>4</v>
      </c>
      <c r="GH9" s="493"/>
      <c r="GI9" s="199"/>
      <c r="GJ9" s="491">
        <v>2735</v>
      </c>
      <c r="GK9" s="492">
        <v>3089</v>
      </c>
      <c r="GL9" s="492">
        <v>3503</v>
      </c>
      <c r="GM9" s="492">
        <v>3124</v>
      </c>
      <c r="GN9" s="493">
        <v>2757</v>
      </c>
      <c r="GO9" s="493">
        <v>2756</v>
      </c>
      <c r="GP9" s="493">
        <v>2424</v>
      </c>
      <c r="GQ9" s="493">
        <v>2108</v>
      </c>
      <c r="GR9" s="199"/>
      <c r="GS9" s="491">
        <v>1292</v>
      </c>
      <c r="GT9" s="492">
        <v>1571</v>
      </c>
      <c r="GU9" s="492">
        <v>1789</v>
      </c>
      <c r="GV9" s="492">
        <v>1183</v>
      </c>
      <c r="GW9" s="493">
        <v>624</v>
      </c>
      <c r="GX9" s="493">
        <v>637</v>
      </c>
      <c r="GY9" s="493">
        <v>596</v>
      </c>
      <c r="GZ9" s="493">
        <v>473</v>
      </c>
      <c r="HA9" s="199"/>
      <c r="HB9" s="491">
        <v>8</v>
      </c>
      <c r="HC9" s="492">
        <v>6</v>
      </c>
      <c r="HD9" s="492">
        <v>9</v>
      </c>
      <c r="HE9" s="492">
        <v>14</v>
      </c>
      <c r="HF9" s="493">
        <v>11</v>
      </c>
      <c r="HG9" s="493">
        <v>12</v>
      </c>
      <c r="HH9" s="493">
        <v>8</v>
      </c>
      <c r="HI9" s="493">
        <v>6</v>
      </c>
      <c r="HJ9" s="199"/>
      <c r="HK9" s="491">
        <v>4</v>
      </c>
      <c r="HL9" s="492">
        <v>1</v>
      </c>
      <c r="HM9" s="492"/>
      <c r="HN9" s="492">
        <v>3</v>
      </c>
      <c r="HO9" s="493">
        <v>3</v>
      </c>
      <c r="HP9" s="493"/>
      <c r="HQ9" s="493">
        <v>1</v>
      </c>
      <c r="HR9" s="493">
        <v>1</v>
      </c>
      <c r="HS9" s="199"/>
      <c r="HT9" s="491">
        <v>1453</v>
      </c>
      <c r="HU9" s="492">
        <v>1674</v>
      </c>
      <c r="HV9" s="492">
        <v>1874</v>
      </c>
      <c r="HW9" s="492">
        <v>1299</v>
      </c>
      <c r="HX9" s="493">
        <v>765</v>
      </c>
      <c r="HY9" s="493">
        <v>774</v>
      </c>
      <c r="HZ9" s="493">
        <v>736</v>
      </c>
      <c r="IA9" s="493">
        <v>653</v>
      </c>
      <c r="IB9" s="199"/>
      <c r="IC9" s="491">
        <v>3968</v>
      </c>
      <c r="ID9" s="492">
        <v>4138</v>
      </c>
      <c r="IE9" s="492">
        <v>6843</v>
      </c>
      <c r="IF9" s="492">
        <v>4925</v>
      </c>
      <c r="IG9" s="493">
        <v>3897</v>
      </c>
      <c r="IH9" s="493">
        <v>5196</v>
      </c>
      <c r="II9" s="493">
        <v>4582</v>
      </c>
      <c r="IJ9" s="493">
        <v>3472</v>
      </c>
      <c r="IK9" s="199"/>
      <c r="IL9" s="491">
        <v>214</v>
      </c>
      <c r="IM9" s="492">
        <v>380</v>
      </c>
      <c r="IN9" s="492">
        <v>416</v>
      </c>
      <c r="IO9" s="492">
        <v>180</v>
      </c>
      <c r="IP9" s="493">
        <v>80</v>
      </c>
      <c r="IQ9" s="493">
        <v>182</v>
      </c>
      <c r="IR9" s="493">
        <v>119</v>
      </c>
      <c r="IS9" s="493">
        <v>124</v>
      </c>
      <c r="IT9" s="199"/>
      <c r="IU9" s="533">
        <v>9295.7878461322216</v>
      </c>
      <c r="IV9" s="534">
        <v>9627.9578398752874</v>
      </c>
      <c r="IW9" s="534">
        <v>15775.641468981257</v>
      </c>
      <c r="IX9" s="534">
        <v>12998.152546846133</v>
      </c>
      <c r="IY9" s="535">
        <v>10178.655383168782</v>
      </c>
      <c r="IZ9" s="535">
        <v>13406.610418763063</v>
      </c>
      <c r="JA9" s="535">
        <v>11900.062331186371</v>
      </c>
      <c r="JB9" s="535">
        <v>6545.3859930247909</v>
      </c>
      <c r="JC9" s="536"/>
      <c r="JD9" s="537">
        <v>3403.9263458745259</v>
      </c>
      <c r="JE9" s="538">
        <v>3894.9254286977362</v>
      </c>
      <c r="JF9" s="538">
        <v>4320.2618899416739</v>
      </c>
      <c r="JG9" s="538">
        <v>3428.3452098178936</v>
      </c>
      <c r="JH9" s="538">
        <v>1998.1194170192759</v>
      </c>
      <c r="JI9" s="539">
        <v>1997.0585958665531</v>
      </c>
      <c r="JJ9" s="539">
        <v>1911.489715354249</v>
      </c>
      <c r="JK9" s="539">
        <v>1231.0302573286831</v>
      </c>
      <c r="JL9" s="536"/>
      <c r="JM9" s="537">
        <v>6407.2529635009132</v>
      </c>
      <c r="JN9" s="538">
        <v>7187.2309732660133</v>
      </c>
      <c r="JO9" s="538">
        <v>8075.7083246881994</v>
      </c>
      <c r="JP9" s="538">
        <v>8244.9195038268663</v>
      </c>
      <c r="JQ9" s="538">
        <v>7201.0656636890772</v>
      </c>
      <c r="JR9" s="539">
        <v>7110.9735015610077</v>
      </c>
      <c r="JS9" s="539">
        <v>6295.4498233949716</v>
      </c>
      <c r="JT9" s="539">
        <v>3973.9843529079085</v>
      </c>
      <c r="JU9" s="536"/>
      <c r="JV9" s="537">
        <v>3026.7535023192618</v>
      </c>
      <c r="JW9" s="538">
        <v>3655.2735056655579</v>
      </c>
      <c r="JX9" s="538">
        <v>4124.3055075270304</v>
      </c>
      <c r="JY9" s="538">
        <v>3122.1958300343099</v>
      </c>
      <c r="JZ9" s="538">
        <v>1629.8385832941544</v>
      </c>
      <c r="KA9" s="539">
        <v>1643.5740640400445</v>
      </c>
      <c r="KB9" s="539">
        <v>1547.8911281944734</v>
      </c>
      <c r="KC9" s="539">
        <v>891.69573004053166</v>
      </c>
      <c r="KD9" s="536"/>
    </row>
    <row r="10" spans="1:290" ht="15" customHeight="1" x14ac:dyDescent="0.2">
      <c r="A10" s="935"/>
      <c r="B10" s="490" t="s">
        <v>1130</v>
      </c>
      <c r="C10" s="491">
        <v>6</v>
      </c>
      <c r="D10" s="492">
        <v>7</v>
      </c>
      <c r="E10" s="492">
        <v>2</v>
      </c>
      <c r="F10" s="492">
        <v>4</v>
      </c>
      <c r="G10" s="493">
        <v>5</v>
      </c>
      <c r="H10" s="493"/>
      <c r="I10" s="493">
        <v>5</v>
      </c>
      <c r="J10" s="493"/>
      <c r="K10" s="199"/>
      <c r="L10" s="491">
        <v>3</v>
      </c>
      <c r="M10" s="492">
        <v>4</v>
      </c>
      <c r="N10" s="492">
        <v>1</v>
      </c>
      <c r="O10" s="492">
        <v>2</v>
      </c>
      <c r="P10" s="493">
        <v>1</v>
      </c>
      <c r="Q10" s="493"/>
      <c r="R10" s="493">
        <v>1</v>
      </c>
      <c r="S10" s="493"/>
      <c r="T10" s="199"/>
      <c r="U10" s="491">
        <v>3</v>
      </c>
      <c r="V10" s="492">
        <v>3</v>
      </c>
      <c r="W10" s="492"/>
      <c r="X10" s="492">
        <v>2</v>
      </c>
      <c r="Y10" s="493">
        <v>2</v>
      </c>
      <c r="Z10" s="493"/>
      <c r="AA10" s="493">
        <v>4</v>
      </c>
      <c r="AB10" s="493"/>
      <c r="AC10" s="199"/>
      <c r="AD10" s="491">
        <v>119</v>
      </c>
      <c r="AE10" s="492">
        <v>88</v>
      </c>
      <c r="AF10" s="492">
        <v>84</v>
      </c>
      <c r="AG10" s="492">
        <v>89</v>
      </c>
      <c r="AH10" s="493">
        <v>98</v>
      </c>
      <c r="AI10" s="493">
        <v>125</v>
      </c>
      <c r="AJ10" s="493">
        <v>117</v>
      </c>
      <c r="AK10" s="493">
        <v>133</v>
      </c>
      <c r="AL10" s="199"/>
      <c r="AM10" s="491">
        <v>80</v>
      </c>
      <c r="AN10" s="492">
        <v>56</v>
      </c>
      <c r="AO10" s="492">
        <v>65</v>
      </c>
      <c r="AP10" s="492">
        <v>76</v>
      </c>
      <c r="AQ10" s="493">
        <v>77</v>
      </c>
      <c r="AR10" s="493">
        <v>85</v>
      </c>
      <c r="AS10" s="493">
        <v>98</v>
      </c>
      <c r="AT10" s="493">
        <v>108</v>
      </c>
      <c r="AU10" s="199"/>
      <c r="AV10" s="491"/>
      <c r="AW10" s="492"/>
      <c r="AX10" s="492"/>
      <c r="AY10" s="492">
        <v>1</v>
      </c>
      <c r="AZ10" s="493"/>
      <c r="BA10" s="493"/>
      <c r="BB10" s="493"/>
      <c r="BC10" s="493">
        <v>1</v>
      </c>
      <c r="BD10" s="199"/>
      <c r="BE10" s="491">
        <v>12</v>
      </c>
      <c r="BF10" s="492">
        <v>3</v>
      </c>
      <c r="BG10" s="492">
        <v>6</v>
      </c>
      <c r="BH10" s="492">
        <v>4</v>
      </c>
      <c r="BI10" s="493">
        <v>1</v>
      </c>
      <c r="BJ10" s="493">
        <v>5</v>
      </c>
      <c r="BK10" s="493">
        <v>3</v>
      </c>
      <c r="BL10" s="493">
        <v>8</v>
      </c>
      <c r="BM10" s="199"/>
      <c r="BN10" s="491">
        <v>1</v>
      </c>
      <c r="BO10" s="492"/>
      <c r="BP10" s="492"/>
      <c r="BQ10" s="492"/>
      <c r="BR10" s="493">
        <v>1</v>
      </c>
      <c r="BS10" s="493">
        <v>2</v>
      </c>
      <c r="BT10" s="493">
        <v>1</v>
      </c>
      <c r="BU10" s="493">
        <v>2</v>
      </c>
      <c r="BV10" s="199"/>
      <c r="BW10" s="491">
        <v>135</v>
      </c>
      <c r="BX10" s="492">
        <v>111</v>
      </c>
      <c r="BY10" s="492">
        <v>108</v>
      </c>
      <c r="BZ10" s="492">
        <v>146</v>
      </c>
      <c r="CA10" s="493">
        <v>161</v>
      </c>
      <c r="CB10" s="493">
        <v>212</v>
      </c>
      <c r="CC10" s="493">
        <v>189</v>
      </c>
      <c r="CD10" s="493">
        <v>155</v>
      </c>
      <c r="CE10" s="199"/>
      <c r="CF10" s="491">
        <v>16</v>
      </c>
      <c r="CG10" s="492">
        <v>10</v>
      </c>
      <c r="CH10" s="492">
        <v>2</v>
      </c>
      <c r="CI10" s="492">
        <v>8</v>
      </c>
      <c r="CJ10" s="493">
        <v>10</v>
      </c>
      <c r="CK10" s="493">
        <v>6</v>
      </c>
      <c r="CL10" s="493">
        <v>4</v>
      </c>
      <c r="CM10" s="493">
        <v>6</v>
      </c>
      <c r="CN10" s="199"/>
      <c r="CO10" s="491">
        <v>10</v>
      </c>
      <c r="CP10" s="492">
        <v>2</v>
      </c>
      <c r="CQ10" s="492">
        <v>6</v>
      </c>
      <c r="CR10" s="492">
        <v>8</v>
      </c>
      <c r="CS10" s="493">
        <v>6</v>
      </c>
      <c r="CT10" s="493">
        <v>2</v>
      </c>
      <c r="CU10" s="493">
        <v>4</v>
      </c>
      <c r="CV10" s="493">
        <v>11</v>
      </c>
      <c r="CW10" s="199"/>
      <c r="CX10" s="491">
        <v>2805</v>
      </c>
      <c r="CY10" s="492">
        <v>2004</v>
      </c>
      <c r="CZ10" s="492">
        <v>2083</v>
      </c>
      <c r="DA10" s="492">
        <v>2226</v>
      </c>
      <c r="DB10" s="493">
        <v>1852</v>
      </c>
      <c r="DC10" s="493">
        <v>1637</v>
      </c>
      <c r="DD10" s="493">
        <v>1754</v>
      </c>
      <c r="DE10" s="493">
        <v>1775</v>
      </c>
      <c r="DF10" s="199"/>
      <c r="DG10" s="491">
        <v>75</v>
      </c>
      <c r="DH10" s="492">
        <v>18</v>
      </c>
      <c r="DI10" s="492">
        <v>24</v>
      </c>
      <c r="DJ10" s="492">
        <v>26</v>
      </c>
      <c r="DK10" s="493">
        <v>15</v>
      </c>
      <c r="DL10" s="493">
        <v>6</v>
      </c>
      <c r="DM10" s="493">
        <v>8</v>
      </c>
      <c r="DN10" s="493">
        <v>3</v>
      </c>
      <c r="DO10" s="199"/>
      <c r="DP10" s="491">
        <v>189</v>
      </c>
      <c r="DQ10" s="492">
        <v>107</v>
      </c>
      <c r="DR10" s="492">
        <v>136</v>
      </c>
      <c r="DS10" s="492">
        <v>112</v>
      </c>
      <c r="DT10" s="493">
        <v>46</v>
      </c>
      <c r="DU10" s="493">
        <v>48</v>
      </c>
      <c r="DV10" s="493">
        <v>24</v>
      </c>
      <c r="DW10" s="493">
        <v>34</v>
      </c>
      <c r="DX10" s="199"/>
      <c r="DY10" s="491">
        <v>344</v>
      </c>
      <c r="DZ10" s="492">
        <v>172</v>
      </c>
      <c r="EA10" s="492">
        <v>150</v>
      </c>
      <c r="EB10" s="492">
        <v>203</v>
      </c>
      <c r="EC10" s="493">
        <v>184</v>
      </c>
      <c r="ED10" s="493">
        <v>163</v>
      </c>
      <c r="EE10" s="493">
        <v>133</v>
      </c>
      <c r="EF10" s="493">
        <v>112</v>
      </c>
      <c r="EG10" s="199"/>
      <c r="EH10" s="491">
        <v>86</v>
      </c>
      <c r="EI10" s="492">
        <v>50</v>
      </c>
      <c r="EJ10" s="492">
        <v>61</v>
      </c>
      <c r="EK10" s="492">
        <v>43</v>
      </c>
      <c r="EL10" s="493">
        <v>37</v>
      </c>
      <c r="EM10" s="493">
        <v>28</v>
      </c>
      <c r="EN10" s="493">
        <v>26</v>
      </c>
      <c r="EO10" s="493">
        <v>14</v>
      </c>
      <c r="EP10" s="199"/>
      <c r="EQ10" s="491">
        <v>34</v>
      </c>
      <c r="ER10" s="492">
        <v>46</v>
      </c>
      <c r="ES10" s="492">
        <v>71</v>
      </c>
      <c r="ET10" s="492">
        <v>86</v>
      </c>
      <c r="EU10" s="493">
        <v>79</v>
      </c>
      <c r="EV10" s="493">
        <v>70</v>
      </c>
      <c r="EW10" s="493">
        <v>59</v>
      </c>
      <c r="EX10" s="493">
        <v>47</v>
      </c>
      <c r="EY10" s="199"/>
      <c r="EZ10" s="491">
        <v>3</v>
      </c>
      <c r="FA10" s="492">
        <v>2</v>
      </c>
      <c r="FB10" s="492">
        <v>4</v>
      </c>
      <c r="FC10" s="492">
        <v>4</v>
      </c>
      <c r="FD10" s="493">
        <v>9</v>
      </c>
      <c r="FE10" s="493">
        <v>5</v>
      </c>
      <c r="FF10" s="493">
        <v>5</v>
      </c>
      <c r="FG10" s="493">
        <v>3</v>
      </c>
      <c r="FH10" s="199"/>
      <c r="FI10" s="491">
        <v>368</v>
      </c>
      <c r="FJ10" s="492">
        <v>305</v>
      </c>
      <c r="FK10" s="492">
        <v>247</v>
      </c>
      <c r="FL10" s="492">
        <v>163</v>
      </c>
      <c r="FM10" s="493">
        <v>156</v>
      </c>
      <c r="FN10" s="493">
        <v>133</v>
      </c>
      <c r="FO10" s="493">
        <v>130</v>
      </c>
      <c r="FP10" s="493">
        <v>145</v>
      </c>
      <c r="FQ10" s="199"/>
      <c r="FR10" s="491">
        <v>4</v>
      </c>
      <c r="FS10" s="492">
        <v>3</v>
      </c>
      <c r="FT10" s="492">
        <v>2</v>
      </c>
      <c r="FU10" s="492">
        <v>4</v>
      </c>
      <c r="FV10" s="493">
        <v>4</v>
      </c>
      <c r="FW10" s="493">
        <v>3</v>
      </c>
      <c r="FX10" s="493">
        <v>2</v>
      </c>
      <c r="FY10" s="493">
        <v>7</v>
      </c>
      <c r="FZ10" s="199"/>
      <c r="GA10" s="491">
        <v>20</v>
      </c>
      <c r="GB10" s="492">
        <v>3</v>
      </c>
      <c r="GC10" s="492">
        <v>5</v>
      </c>
      <c r="GD10" s="492">
        <v>8</v>
      </c>
      <c r="GE10" s="493">
        <v>10</v>
      </c>
      <c r="GF10" s="493">
        <v>3</v>
      </c>
      <c r="GG10" s="493">
        <v>1</v>
      </c>
      <c r="GH10" s="493">
        <v>3</v>
      </c>
      <c r="GI10" s="199"/>
      <c r="GJ10" s="491">
        <v>3619</v>
      </c>
      <c r="GK10" s="492">
        <v>2634</v>
      </c>
      <c r="GL10" s="492">
        <v>2681</v>
      </c>
      <c r="GM10" s="492">
        <v>2793</v>
      </c>
      <c r="GN10" s="493">
        <v>2429</v>
      </c>
      <c r="GO10" s="493">
        <v>2231</v>
      </c>
      <c r="GP10" s="493">
        <v>2300</v>
      </c>
      <c r="GQ10" s="493">
        <v>2309</v>
      </c>
      <c r="GR10" s="199"/>
      <c r="GS10" s="491">
        <v>1491</v>
      </c>
      <c r="GT10" s="492">
        <v>1036</v>
      </c>
      <c r="GU10" s="492">
        <v>1037</v>
      </c>
      <c r="GV10" s="492">
        <v>938</v>
      </c>
      <c r="GW10" s="493">
        <v>652</v>
      </c>
      <c r="GX10" s="493">
        <v>585</v>
      </c>
      <c r="GY10" s="493">
        <v>665</v>
      </c>
      <c r="GZ10" s="493">
        <v>555</v>
      </c>
      <c r="HA10" s="199"/>
      <c r="HB10" s="491">
        <v>8</v>
      </c>
      <c r="HC10" s="492">
        <v>11</v>
      </c>
      <c r="HD10" s="492">
        <v>14</v>
      </c>
      <c r="HE10" s="492">
        <v>12</v>
      </c>
      <c r="HF10" s="493">
        <v>8</v>
      </c>
      <c r="HG10" s="493">
        <v>11</v>
      </c>
      <c r="HH10" s="493">
        <v>6</v>
      </c>
      <c r="HI10" s="493">
        <v>9</v>
      </c>
      <c r="HJ10" s="199"/>
      <c r="HK10" s="491">
        <v>1</v>
      </c>
      <c r="HL10" s="492">
        <v>4</v>
      </c>
      <c r="HM10" s="492">
        <v>2</v>
      </c>
      <c r="HN10" s="492">
        <v>1</v>
      </c>
      <c r="HO10" s="493">
        <v>3</v>
      </c>
      <c r="HP10" s="493"/>
      <c r="HQ10" s="493"/>
      <c r="HR10" s="493">
        <v>1</v>
      </c>
      <c r="HS10" s="199"/>
      <c r="HT10" s="491">
        <v>2058</v>
      </c>
      <c r="HU10" s="492">
        <v>1159</v>
      </c>
      <c r="HV10" s="492">
        <v>1123</v>
      </c>
      <c r="HW10" s="492">
        <v>1057</v>
      </c>
      <c r="HX10" s="493">
        <v>771</v>
      </c>
      <c r="HY10" s="493">
        <v>701</v>
      </c>
      <c r="HZ10" s="493">
        <v>819</v>
      </c>
      <c r="IA10" s="493">
        <v>734</v>
      </c>
      <c r="IB10" s="199"/>
      <c r="IC10" s="491">
        <v>5458</v>
      </c>
      <c r="ID10" s="492">
        <v>3766</v>
      </c>
      <c r="IE10" s="492">
        <v>4401</v>
      </c>
      <c r="IF10" s="492">
        <v>5174</v>
      </c>
      <c r="IG10" s="493">
        <v>3185</v>
      </c>
      <c r="IH10" s="493">
        <v>2951</v>
      </c>
      <c r="II10" s="493">
        <v>3132</v>
      </c>
      <c r="IJ10" s="493">
        <v>3104</v>
      </c>
      <c r="IK10" s="199"/>
      <c r="IL10" s="491">
        <v>511</v>
      </c>
      <c r="IM10" s="492">
        <v>218</v>
      </c>
      <c r="IN10" s="492">
        <v>218</v>
      </c>
      <c r="IO10" s="492">
        <v>185</v>
      </c>
      <c r="IP10" s="493">
        <v>118</v>
      </c>
      <c r="IQ10" s="493">
        <v>195</v>
      </c>
      <c r="IR10" s="493">
        <v>173</v>
      </c>
      <c r="IS10" s="493">
        <v>152</v>
      </c>
      <c r="IT10" s="199"/>
      <c r="IU10" s="533">
        <v>8478.1832020752754</v>
      </c>
      <c r="IV10" s="534">
        <v>5843.1987090968332</v>
      </c>
      <c r="IW10" s="534">
        <v>6795.1271480846735</v>
      </c>
      <c r="IX10" s="534">
        <v>9302.7437160631453</v>
      </c>
      <c r="IY10" s="535">
        <v>5778.1970573828485</v>
      </c>
      <c r="IZ10" s="535">
        <v>5451.7910916514247</v>
      </c>
      <c r="JA10" s="535">
        <v>5867.2561398250309</v>
      </c>
      <c r="JB10" s="535">
        <v>4076.0584094967958</v>
      </c>
      <c r="JC10" s="536"/>
      <c r="JD10" s="537">
        <v>3196.7938860151917</v>
      </c>
      <c r="JE10" s="538">
        <v>1798.2653488696842</v>
      </c>
      <c r="JF10" s="538">
        <v>1733.9076999089043</v>
      </c>
      <c r="JG10" s="538">
        <v>1900.463878600453</v>
      </c>
      <c r="JH10" s="538">
        <v>1398.7409517243882</v>
      </c>
      <c r="JI10" s="539">
        <v>1295.0544070646049</v>
      </c>
      <c r="JJ10" s="539">
        <v>1534.253760701373</v>
      </c>
      <c r="JK10" s="539">
        <v>963.8617501838429</v>
      </c>
      <c r="JL10" s="536"/>
      <c r="JM10" s="537">
        <v>5621.5729220063067</v>
      </c>
      <c r="JN10" s="538">
        <v>4086.8256504941742</v>
      </c>
      <c r="JO10" s="538">
        <v>4139.4537341547393</v>
      </c>
      <c r="JP10" s="538">
        <v>5021.7555467654356</v>
      </c>
      <c r="JQ10" s="538">
        <v>4406.6689646414252</v>
      </c>
      <c r="JR10" s="539">
        <v>4121.635352583643</v>
      </c>
      <c r="JS10" s="539">
        <v>4308.6491448268107</v>
      </c>
      <c r="JT10" s="539">
        <v>3032.0937073221976</v>
      </c>
      <c r="JU10" s="536"/>
      <c r="JV10" s="537">
        <v>2316.0445500722308</v>
      </c>
      <c r="JW10" s="538">
        <v>1607.4226932087943</v>
      </c>
      <c r="JX10" s="538">
        <v>1601.1240292124075</v>
      </c>
      <c r="JY10" s="538">
        <v>1686.5043690891437</v>
      </c>
      <c r="JZ10" s="538">
        <v>1182.8522704595346</v>
      </c>
      <c r="KA10" s="539">
        <v>1080.7515379925733</v>
      </c>
      <c r="KB10" s="539">
        <v>1245.7616005694911</v>
      </c>
      <c r="KC10" s="539">
        <v>728.8055468011346</v>
      </c>
      <c r="KD10" s="536"/>
    </row>
    <row r="11" spans="1:290" ht="15" customHeight="1" x14ac:dyDescent="0.2">
      <c r="A11" s="935"/>
      <c r="B11" s="490" t="s">
        <v>1131</v>
      </c>
      <c r="C11" s="491">
        <v>4</v>
      </c>
      <c r="D11" s="492">
        <v>4</v>
      </c>
      <c r="E11" s="492">
        <v>4</v>
      </c>
      <c r="F11" s="492">
        <v>3</v>
      </c>
      <c r="G11" s="493">
        <v>3</v>
      </c>
      <c r="H11" s="493">
        <v>6</v>
      </c>
      <c r="I11" s="493">
        <v>2</v>
      </c>
      <c r="J11" s="493">
        <v>5</v>
      </c>
      <c r="K11" s="199"/>
      <c r="L11" s="491">
        <v>2</v>
      </c>
      <c r="M11" s="492">
        <v>3</v>
      </c>
      <c r="N11" s="492">
        <v>2</v>
      </c>
      <c r="O11" s="492"/>
      <c r="P11" s="493">
        <v>2</v>
      </c>
      <c r="Q11" s="493">
        <v>5</v>
      </c>
      <c r="R11" s="493">
        <v>2</v>
      </c>
      <c r="S11" s="493">
        <v>2</v>
      </c>
      <c r="T11" s="199"/>
      <c r="U11" s="491">
        <v>2</v>
      </c>
      <c r="V11" s="492">
        <v>1</v>
      </c>
      <c r="W11" s="492">
        <v>2</v>
      </c>
      <c r="X11" s="492">
        <v>3</v>
      </c>
      <c r="Y11" s="493">
        <v>1</v>
      </c>
      <c r="Z11" s="493">
        <v>1</v>
      </c>
      <c r="AA11" s="493"/>
      <c r="AB11" s="493">
        <v>1</v>
      </c>
      <c r="AC11" s="199"/>
      <c r="AD11" s="491">
        <v>187</v>
      </c>
      <c r="AE11" s="492">
        <v>179</v>
      </c>
      <c r="AF11" s="492">
        <v>178</v>
      </c>
      <c r="AG11" s="492">
        <v>171</v>
      </c>
      <c r="AH11" s="493">
        <v>157</v>
      </c>
      <c r="AI11" s="493">
        <v>133</v>
      </c>
      <c r="AJ11" s="493">
        <v>178</v>
      </c>
      <c r="AK11" s="493">
        <v>194</v>
      </c>
      <c r="AL11" s="199"/>
      <c r="AM11" s="491">
        <v>133</v>
      </c>
      <c r="AN11" s="492">
        <v>139</v>
      </c>
      <c r="AO11" s="492">
        <v>131</v>
      </c>
      <c r="AP11" s="492">
        <v>119</v>
      </c>
      <c r="AQ11" s="493">
        <v>84</v>
      </c>
      <c r="AR11" s="493">
        <v>69</v>
      </c>
      <c r="AS11" s="493">
        <v>103</v>
      </c>
      <c r="AT11" s="493">
        <v>91</v>
      </c>
      <c r="AU11" s="199"/>
      <c r="AV11" s="491"/>
      <c r="AW11" s="492">
        <v>1</v>
      </c>
      <c r="AX11" s="492"/>
      <c r="AY11" s="492"/>
      <c r="AZ11" s="493"/>
      <c r="BA11" s="493"/>
      <c r="BB11" s="493"/>
      <c r="BC11" s="493"/>
      <c r="BD11" s="199"/>
      <c r="BE11" s="491">
        <v>13</v>
      </c>
      <c r="BF11" s="492">
        <v>35</v>
      </c>
      <c r="BG11" s="492">
        <v>17</v>
      </c>
      <c r="BH11" s="492">
        <v>13</v>
      </c>
      <c r="BI11" s="493">
        <v>13</v>
      </c>
      <c r="BJ11" s="493">
        <v>11</v>
      </c>
      <c r="BK11" s="493">
        <v>31</v>
      </c>
      <c r="BL11" s="493">
        <v>31</v>
      </c>
      <c r="BM11" s="199"/>
      <c r="BN11" s="491"/>
      <c r="BO11" s="492">
        <v>1</v>
      </c>
      <c r="BP11" s="492">
        <v>5</v>
      </c>
      <c r="BQ11" s="492">
        <v>1</v>
      </c>
      <c r="BR11" s="493"/>
      <c r="BS11" s="493">
        <v>3</v>
      </c>
      <c r="BT11" s="493">
        <v>9</v>
      </c>
      <c r="BU11" s="493">
        <v>1</v>
      </c>
      <c r="BV11" s="199"/>
      <c r="BW11" s="491">
        <v>245</v>
      </c>
      <c r="BX11" s="492">
        <v>198</v>
      </c>
      <c r="BY11" s="492">
        <v>204</v>
      </c>
      <c r="BZ11" s="492">
        <v>279</v>
      </c>
      <c r="CA11" s="493">
        <v>254</v>
      </c>
      <c r="CB11" s="493">
        <v>246</v>
      </c>
      <c r="CC11" s="493">
        <v>310</v>
      </c>
      <c r="CD11" s="493">
        <v>263</v>
      </c>
      <c r="CE11" s="199"/>
      <c r="CF11" s="491">
        <v>15</v>
      </c>
      <c r="CG11" s="492">
        <v>14</v>
      </c>
      <c r="CH11" s="492">
        <v>18</v>
      </c>
      <c r="CI11" s="492">
        <v>16</v>
      </c>
      <c r="CJ11" s="493">
        <v>20</v>
      </c>
      <c r="CK11" s="493">
        <v>8</v>
      </c>
      <c r="CL11" s="493">
        <v>17</v>
      </c>
      <c r="CM11" s="493">
        <v>7</v>
      </c>
      <c r="CN11" s="199"/>
      <c r="CO11" s="491">
        <v>20</v>
      </c>
      <c r="CP11" s="492">
        <v>17</v>
      </c>
      <c r="CQ11" s="492">
        <v>25</v>
      </c>
      <c r="CR11" s="492">
        <v>16</v>
      </c>
      <c r="CS11" s="493">
        <v>15</v>
      </c>
      <c r="CT11" s="493">
        <v>13</v>
      </c>
      <c r="CU11" s="493">
        <v>19</v>
      </c>
      <c r="CV11" s="493">
        <v>30</v>
      </c>
      <c r="CW11" s="199"/>
      <c r="CX11" s="491">
        <v>4289</v>
      </c>
      <c r="CY11" s="492">
        <v>4610</v>
      </c>
      <c r="CZ11" s="492">
        <v>4083</v>
      </c>
      <c r="DA11" s="492">
        <v>4244</v>
      </c>
      <c r="DB11" s="493">
        <v>3729</v>
      </c>
      <c r="DC11" s="493">
        <v>3015</v>
      </c>
      <c r="DD11" s="493">
        <v>2501</v>
      </c>
      <c r="DE11" s="493">
        <v>2302</v>
      </c>
      <c r="DF11" s="199"/>
      <c r="DG11" s="491">
        <v>48</v>
      </c>
      <c r="DH11" s="492">
        <v>71</v>
      </c>
      <c r="DI11" s="492">
        <v>63</v>
      </c>
      <c r="DJ11" s="492">
        <v>51</v>
      </c>
      <c r="DK11" s="493">
        <v>33</v>
      </c>
      <c r="DL11" s="493">
        <v>12</v>
      </c>
      <c r="DM11" s="493">
        <v>11</v>
      </c>
      <c r="DN11" s="493">
        <v>16</v>
      </c>
      <c r="DO11" s="199"/>
      <c r="DP11" s="491">
        <v>588</v>
      </c>
      <c r="DQ11" s="492">
        <v>675</v>
      </c>
      <c r="DR11" s="492">
        <v>501</v>
      </c>
      <c r="DS11" s="492">
        <v>555</v>
      </c>
      <c r="DT11" s="493">
        <v>428</v>
      </c>
      <c r="DU11" s="493">
        <v>126</v>
      </c>
      <c r="DV11" s="493">
        <v>86</v>
      </c>
      <c r="DW11" s="493">
        <v>55</v>
      </c>
      <c r="DX11" s="199"/>
      <c r="DY11" s="491">
        <v>204</v>
      </c>
      <c r="DZ11" s="492">
        <v>498</v>
      </c>
      <c r="EA11" s="492">
        <v>336</v>
      </c>
      <c r="EB11" s="492">
        <v>339</v>
      </c>
      <c r="EC11" s="493">
        <v>294</v>
      </c>
      <c r="ED11" s="493">
        <v>181</v>
      </c>
      <c r="EE11" s="493">
        <v>126</v>
      </c>
      <c r="EF11" s="493">
        <v>106</v>
      </c>
      <c r="EG11" s="199"/>
      <c r="EH11" s="491">
        <v>107</v>
      </c>
      <c r="EI11" s="492">
        <v>183</v>
      </c>
      <c r="EJ11" s="492">
        <v>159</v>
      </c>
      <c r="EK11" s="492">
        <v>123</v>
      </c>
      <c r="EL11" s="493">
        <v>104</v>
      </c>
      <c r="EM11" s="493">
        <v>49</v>
      </c>
      <c r="EN11" s="493">
        <v>47</v>
      </c>
      <c r="EO11" s="493">
        <v>24</v>
      </c>
      <c r="EP11" s="199"/>
      <c r="EQ11" s="491">
        <v>170</v>
      </c>
      <c r="ER11" s="492">
        <v>229</v>
      </c>
      <c r="ES11" s="492">
        <v>289</v>
      </c>
      <c r="ET11" s="492">
        <v>285</v>
      </c>
      <c r="EU11" s="493">
        <v>299</v>
      </c>
      <c r="EV11" s="493">
        <v>175</v>
      </c>
      <c r="EW11" s="493">
        <v>125</v>
      </c>
      <c r="EX11" s="493">
        <v>76</v>
      </c>
      <c r="EY11" s="199"/>
      <c r="EZ11" s="491">
        <v>14</v>
      </c>
      <c r="FA11" s="492">
        <v>9</v>
      </c>
      <c r="FB11" s="492">
        <v>4</v>
      </c>
      <c r="FC11" s="492">
        <v>11</v>
      </c>
      <c r="FD11" s="493">
        <v>23</v>
      </c>
      <c r="FE11" s="493">
        <v>10</v>
      </c>
      <c r="FF11" s="493">
        <v>7</v>
      </c>
      <c r="FG11" s="493">
        <v>3</v>
      </c>
      <c r="FH11" s="199"/>
      <c r="FI11" s="491">
        <v>568</v>
      </c>
      <c r="FJ11" s="492">
        <v>330</v>
      </c>
      <c r="FK11" s="492">
        <v>257</v>
      </c>
      <c r="FL11" s="492">
        <v>241</v>
      </c>
      <c r="FM11" s="493">
        <v>236</v>
      </c>
      <c r="FN11" s="493">
        <v>189</v>
      </c>
      <c r="FO11" s="493">
        <v>163</v>
      </c>
      <c r="FP11" s="493">
        <v>178</v>
      </c>
      <c r="FQ11" s="199"/>
      <c r="FR11" s="491">
        <v>13</v>
      </c>
      <c r="FS11" s="492">
        <v>9</v>
      </c>
      <c r="FT11" s="492">
        <v>12</v>
      </c>
      <c r="FU11" s="492">
        <v>11</v>
      </c>
      <c r="FV11" s="493">
        <v>9</v>
      </c>
      <c r="FW11" s="493">
        <v>7</v>
      </c>
      <c r="FX11" s="493">
        <v>12</v>
      </c>
      <c r="FY11" s="493">
        <v>9</v>
      </c>
      <c r="FZ11" s="199"/>
      <c r="GA11" s="491">
        <v>20</v>
      </c>
      <c r="GB11" s="492">
        <v>16</v>
      </c>
      <c r="GC11" s="492">
        <v>15</v>
      </c>
      <c r="GD11" s="492">
        <v>11</v>
      </c>
      <c r="GE11" s="493">
        <v>9</v>
      </c>
      <c r="GF11" s="493">
        <v>12</v>
      </c>
      <c r="GG11" s="493">
        <v>9</v>
      </c>
      <c r="GH11" s="493">
        <v>3</v>
      </c>
      <c r="GI11" s="199"/>
      <c r="GJ11" s="491">
        <v>5665</v>
      </c>
      <c r="GK11" s="492">
        <v>5834</v>
      </c>
      <c r="GL11" s="492">
        <v>5270</v>
      </c>
      <c r="GM11" s="492">
        <v>5425</v>
      </c>
      <c r="GN11" s="493">
        <v>4871</v>
      </c>
      <c r="GO11" s="493">
        <v>3877</v>
      </c>
      <c r="GP11" s="493">
        <v>3430</v>
      </c>
      <c r="GQ11" s="493">
        <v>3126</v>
      </c>
      <c r="GR11" s="199"/>
      <c r="GS11" s="491">
        <v>3286</v>
      </c>
      <c r="GT11" s="492">
        <v>3430</v>
      </c>
      <c r="GU11" s="492">
        <v>3226</v>
      </c>
      <c r="GV11" s="492">
        <v>2858</v>
      </c>
      <c r="GW11" s="493">
        <v>1596</v>
      </c>
      <c r="GX11" s="493">
        <v>983</v>
      </c>
      <c r="GY11" s="493">
        <v>811</v>
      </c>
      <c r="GZ11" s="493">
        <v>777</v>
      </c>
      <c r="HA11" s="199"/>
      <c r="HB11" s="491">
        <v>14</v>
      </c>
      <c r="HC11" s="492">
        <v>17</v>
      </c>
      <c r="HD11" s="492">
        <v>11</v>
      </c>
      <c r="HE11" s="492">
        <v>16</v>
      </c>
      <c r="HF11" s="493">
        <v>19</v>
      </c>
      <c r="HG11" s="493">
        <v>25</v>
      </c>
      <c r="HH11" s="493">
        <v>13</v>
      </c>
      <c r="HI11" s="493">
        <v>13</v>
      </c>
      <c r="HJ11" s="199"/>
      <c r="HK11" s="491">
        <v>3</v>
      </c>
      <c r="HL11" s="492">
        <v>1</v>
      </c>
      <c r="HM11" s="492">
        <v>4</v>
      </c>
      <c r="HN11" s="492">
        <v>3</v>
      </c>
      <c r="HO11" s="493"/>
      <c r="HP11" s="493">
        <v>1</v>
      </c>
      <c r="HQ11" s="493"/>
      <c r="HR11" s="493">
        <v>1</v>
      </c>
      <c r="HS11" s="199"/>
      <c r="HT11" s="491">
        <v>4227</v>
      </c>
      <c r="HU11" s="492">
        <v>3750</v>
      </c>
      <c r="HV11" s="492">
        <v>3463</v>
      </c>
      <c r="HW11" s="492">
        <v>3231</v>
      </c>
      <c r="HX11" s="493">
        <v>2088</v>
      </c>
      <c r="HY11" s="493">
        <v>1476</v>
      </c>
      <c r="HZ11" s="493">
        <v>1398</v>
      </c>
      <c r="IA11" s="493">
        <v>1232</v>
      </c>
      <c r="IB11" s="199"/>
      <c r="IC11" s="491">
        <v>8951</v>
      </c>
      <c r="ID11" s="492">
        <v>8277</v>
      </c>
      <c r="IE11" s="492">
        <v>9881</v>
      </c>
      <c r="IF11" s="492">
        <v>7952</v>
      </c>
      <c r="IG11" s="493">
        <v>6763</v>
      </c>
      <c r="IH11" s="493">
        <v>7843</v>
      </c>
      <c r="II11" s="493">
        <v>5127</v>
      </c>
      <c r="IJ11" s="493">
        <v>4606</v>
      </c>
      <c r="IK11" s="199"/>
      <c r="IL11" s="491">
        <v>432</v>
      </c>
      <c r="IM11" s="492">
        <v>697</v>
      </c>
      <c r="IN11" s="492">
        <v>480</v>
      </c>
      <c r="IO11" s="492">
        <v>384</v>
      </c>
      <c r="IP11" s="493">
        <v>181</v>
      </c>
      <c r="IQ11" s="493">
        <v>224</v>
      </c>
      <c r="IR11" s="493">
        <v>174</v>
      </c>
      <c r="IS11" s="493">
        <v>150</v>
      </c>
      <c r="IT11" s="199"/>
      <c r="IU11" s="533">
        <v>10724.255676031869</v>
      </c>
      <c r="IV11" s="534">
        <v>9818.505338078292</v>
      </c>
      <c r="IW11" s="534">
        <v>11601.094243480915</v>
      </c>
      <c r="IX11" s="534">
        <v>10596.732496468645</v>
      </c>
      <c r="IY11" s="535">
        <v>8982.1234095678265</v>
      </c>
      <c r="IZ11" s="535">
        <v>10191.405590134751</v>
      </c>
      <c r="JA11" s="535">
        <v>6674.8252203460434</v>
      </c>
      <c r="JB11" s="535">
        <v>7743.3888674074942</v>
      </c>
      <c r="JC11" s="536"/>
      <c r="JD11" s="537">
        <v>5064.3982507637929</v>
      </c>
      <c r="JE11" s="538">
        <v>4448.3985765124562</v>
      </c>
      <c r="JF11" s="538">
        <v>4065.8424618130157</v>
      </c>
      <c r="JG11" s="538">
        <v>4305.5888702326702</v>
      </c>
      <c r="JH11" s="538">
        <v>2773.1293330145827</v>
      </c>
      <c r="JI11" s="539">
        <v>1917.9541822056472</v>
      </c>
      <c r="JJ11" s="539">
        <v>1820.0518154951765</v>
      </c>
      <c r="JK11" s="539">
        <v>2071.1800010086918</v>
      </c>
      <c r="JL11" s="536"/>
      <c r="JM11" s="537">
        <v>6787.2761037560649</v>
      </c>
      <c r="JN11" s="538">
        <v>6920.5219454329781</v>
      </c>
      <c r="JO11" s="538">
        <v>6187.4068073215685</v>
      </c>
      <c r="JP11" s="538">
        <v>7229.284933770422</v>
      </c>
      <c r="JQ11" s="538">
        <v>6469.306983292161</v>
      </c>
      <c r="JR11" s="539">
        <v>5037.8782956716086</v>
      </c>
      <c r="JS11" s="539">
        <v>4465.5062425954611</v>
      </c>
      <c r="JT11" s="539">
        <v>5255.2830220399101</v>
      </c>
      <c r="JU11" s="536"/>
      <c r="JV11" s="537">
        <v>3936.979572275804</v>
      </c>
      <c r="JW11" s="538">
        <v>4068.8018979833928</v>
      </c>
      <c r="JX11" s="538">
        <v>3787.5852676317613</v>
      </c>
      <c r="JY11" s="538">
        <v>3808.5338876895607</v>
      </c>
      <c r="JZ11" s="538">
        <v>2119.6908120168937</v>
      </c>
      <c r="KA11" s="539">
        <v>1277.3366945177177</v>
      </c>
      <c r="KB11" s="539">
        <v>1055.8383564853993</v>
      </c>
      <c r="KC11" s="539">
        <v>1306.2555688179816</v>
      </c>
      <c r="KD11" s="536"/>
    </row>
    <row r="12" spans="1:290" ht="15" customHeight="1" x14ac:dyDescent="0.2">
      <c r="A12" s="935"/>
      <c r="B12" s="490" t="s">
        <v>1132</v>
      </c>
      <c r="C12" s="491">
        <v>1</v>
      </c>
      <c r="D12" s="492">
        <v>2</v>
      </c>
      <c r="E12" s="492">
        <v>4</v>
      </c>
      <c r="F12" s="492">
        <v>2</v>
      </c>
      <c r="G12" s="493"/>
      <c r="H12" s="493">
        <v>2</v>
      </c>
      <c r="I12" s="493">
        <v>2</v>
      </c>
      <c r="J12" s="493">
        <v>2</v>
      </c>
      <c r="K12" s="199"/>
      <c r="L12" s="491">
        <v>1</v>
      </c>
      <c r="M12" s="492">
        <v>1</v>
      </c>
      <c r="N12" s="492">
        <v>3</v>
      </c>
      <c r="O12" s="492"/>
      <c r="P12" s="493"/>
      <c r="Q12" s="493">
        <v>2</v>
      </c>
      <c r="R12" s="493">
        <v>2</v>
      </c>
      <c r="S12" s="493"/>
      <c r="T12" s="199"/>
      <c r="U12" s="491"/>
      <c r="V12" s="492">
        <v>1</v>
      </c>
      <c r="W12" s="492"/>
      <c r="X12" s="492">
        <v>2</v>
      </c>
      <c r="Y12" s="493"/>
      <c r="Z12" s="493"/>
      <c r="AA12" s="493"/>
      <c r="AB12" s="493">
        <v>2</v>
      </c>
      <c r="AC12" s="199"/>
      <c r="AD12" s="491">
        <v>70</v>
      </c>
      <c r="AE12" s="492">
        <v>95</v>
      </c>
      <c r="AF12" s="492">
        <v>102</v>
      </c>
      <c r="AG12" s="492">
        <v>132</v>
      </c>
      <c r="AH12" s="493">
        <v>126</v>
      </c>
      <c r="AI12" s="493">
        <v>113</v>
      </c>
      <c r="AJ12" s="493">
        <v>137</v>
      </c>
      <c r="AK12" s="493">
        <v>134</v>
      </c>
      <c r="AL12" s="199"/>
      <c r="AM12" s="491">
        <v>66</v>
      </c>
      <c r="AN12" s="492">
        <v>78</v>
      </c>
      <c r="AO12" s="492">
        <v>86</v>
      </c>
      <c r="AP12" s="492">
        <v>112</v>
      </c>
      <c r="AQ12" s="493">
        <v>83</v>
      </c>
      <c r="AR12" s="493">
        <v>75</v>
      </c>
      <c r="AS12" s="493">
        <v>95</v>
      </c>
      <c r="AT12" s="493">
        <v>84</v>
      </c>
      <c r="AU12" s="199"/>
      <c r="AV12" s="491">
        <v>1</v>
      </c>
      <c r="AW12" s="492"/>
      <c r="AX12" s="492"/>
      <c r="AY12" s="492"/>
      <c r="AZ12" s="493">
        <v>1</v>
      </c>
      <c r="BA12" s="493"/>
      <c r="BB12" s="493"/>
      <c r="BC12" s="493"/>
      <c r="BD12" s="199"/>
      <c r="BE12" s="491">
        <v>9</v>
      </c>
      <c r="BF12" s="492">
        <v>3</v>
      </c>
      <c r="BG12" s="492">
        <v>3</v>
      </c>
      <c r="BH12" s="492"/>
      <c r="BI12" s="493">
        <v>4</v>
      </c>
      <c r="BJ12" s="493">
        <v>1</v>
      </c>
      <c r="BK12" s="493">
        <v>1</v>
      </c>
      <c r="BL12" s="493">
        <v>1</v>
      </c>
      <c r="BM12" s="199"/>
      <c r="BN12" s="491"/>
      <c r="BO12" s="492"/>
      <c r="BP12" s="492">
        <v>17</v>
      </c>
      <c r="BQ12" s="492">
        <v>1</v>
      </c>
      <c r="BR12" s="493"/>
      <c r="BS12" s="493">
        <v>5</v>
      </c>
      <c r="BT12" s="493">
        <v>2</v>
      </c>
      <c r="BU12" s="493">
        <v>3</v>
      </c>
      <c r="BV12" s="199"/>
      <c r="BW12" s="491">
        <v>62</v>
      </c>
      <c r="BX12" s="492">
        <v>75</v>
      </c>
      <c r="BY12" s="492">
        <v>77</v>
      </c>
      <c r="BZ12" s="492">
        <v>129</v>
      </c>
      <c r="CA12" s="493">
        <v>125</v>
      </c>
      <c r="CB12" s="493">
        <v>153</v>
      </c>
      <c r="CC12" s="493">
        <v>130</v>
      </c>
      <c r="CD12" s="493">
        <v>138</v>
      </c>
      <c r="CE12" s="199"/>
      <c r="CF12" s="491">
        <v>4</v>
      </c>
      <c r="CG12" s="492">
        <v>8</v>
      </c>
      <c r="CH12" s="492">
        <v>3</v>
      </c>
      <c r="CI12" s="492">
        <v>3</v>
      </c>
      <c r="CJ12" s="493">
        <v>1</v>
      </c>
      <c r="CK12" s="493">
        <v>4</v>
      </c>
      <c r="CL12" s="493">
        <v>9</v>
      </c>
      <c r="CM12" s="493">
        <v>5</v>
      </c>
      <c r="CN12" s="199"/>
      <c r="CO12" s="491">
        <v>1</v>
      </c>
      <c r="CP12" s="492">
        <v>2</v>
      </c>
      <c r="CQ12" s="492">
        <v>3</v>
      </c>
      <c r="CR12" s="492">
        <v>4</v>
      </c>
      <c r="CS12" s="493">
        <v>1</v>
      </c>
      <c r="CT12" s="493">
        <v>2</v>
      </c>
      <c r="CU12" s="493">
        <v>4</v>
      </c>
      <c r="CV12" s="493">
        <v>7</v>
      </c>
      <c r="CW12" s="199"/>
      <c r="CX12" s="491">
        <v>3284</v>
      </c>
      <c r="CY12" s="492">
        <v>3861</v>
      </c>
      <c r="CZ12" s="492">
        <v>3565</v>
      </c>
      <c r="DA12" s="492">
        <v>3361</v>
      </c>
      <c r="DB12" s="493">
        <v>2340</v>
      </c>
      <c r="DC12" s="493">
        <v>1919</v>
      </c>
      <c r="DD12" s="493">
        <v>1880</v>
      </c>
      <c r="DE12" s="493">
        <v>1817</v>
      </c>
      <c r="DF12" s="199"/>
      <c r="DG12" s="491">
        <v>141</v>
      </c>
      <c r="DH12" s="492">
        <v>154</v>
      </c>
      <c r="DI12" s="492">
        <v>201</v>
      </c>
      <c r="DJ12" s="492">
        <v>139</v>
      </c>
      <c r="DK12" s="493">
        <v>125</v>
      </c>
      <c r="DL12" s="493">
        <v>75</v>
      </c>
      <c r="DM12" s="493">
        <v>43</v>
      </c>
      <c r="DN12" s="493">
        <v>77</v>
      </c>
      <c r="DO12" s="199"/>
      <c r="DP12" s="491">
        <v>453</v>
      </c>
      <c r="DQ12" s="492">
        <v>475</v>
      </c>
      <c r="DR12" s="492">
        <v>526</v>
      </c>
      <c r="DS12" s="492">
        <v>377</v>
      </c>
      <c r="DT12" s="493">
        <v>338</v>
      </c>
      <c r="DU12" s="493">
        <v>188</v>
      </c>
      <c r="DV12" s="493">
        <v>177</v>
      </c>
      <c r="DW12" s="493">
        <v>84</v>
      </c>
      <c r="DX12" s="199"/>
      <c r="DY12" s="491">
        <v>169</v>
      </c>
      <c r="DZ12" s="492">
        <v>325</v>
      </c>
      <c r="EA12" s="492">
        <v>336</v>
      </c>
      <c r="EB12" s="492">
        <v>275</v>
      </c>
      <c r="EC12" s="493">
        <v>201</v>
      </c>
      <c r="ED12" s="493">
        <v>101</v>
      </c>
      <c r="EE12" s="493">
        <v>144</v>
      </c>
      <c r="EF12" s="493">
        <v>107</v>
      </c>
      <c r="EG12" s="199"/>
      <c r="EH12" s="491">
        <v>106</v>
      </c>
      <c r="EI12" s="492">
        <v>93</v>
      </c>
      <c r="EJ12" s="492">
        <v>83</v>
      </c>
      <c r="EK12" s="492">
        <v>41</v>
      </c>
      <c r="EL12" s="493">
        <v>44</v>
      </c>
      <c r="EM12" s="493">
        <v>50</v>
      </c>
      <c r="EN12" s="493">
        <v>49</v>
      </c>
      <c r="EO12" s="493">
        <v>12</v>
      </c>
      <c r="EP12" s="199"/>
      <c r="EQ12" s="491">
        <v>30</v>
      </c>
      <c r="ER12" s="492">
        <v>82</v>
      </c>
      <c r="ES12" s="492">
        <v>113</v>
      </c>
      <c r="ET12" s="492">
        <v>83</v>
      </c>
      <c r="EU12" s="493">
        <v>82</v>
      </c>
      <c r="EV12" s="493">
        <v>78</v>
      </c>
      <c r="EW12" s="493">
        <v>55</v>
      </c>
      <c r="EX12" s="493">
        <v>51</v>
      </c>
      <c r="EY12" s="199"/>
      <c r="EZ12" s="491">
        <v>5</v>
      </c>
      <c r="FA12" s="492">
        <v>5</v>
      </c>
      <c r="FB12" s="492">
        <v>5</v>
      </c>
      <c r="FC12" s="492">
        <v>6</v>
      </c>
      <c r="FD12" s="493">
        <v>2</v>
      </c>
      <c r="FE12" s="493">
        <v>1</v>
      </c>
      <c r="FF12" s="493">
        <v>2</v>
      </c>
      <c r="FG12" s="493">
        <v>6</v>
      </c>
      <c r="FH12" s="199"/>
      <c r="FI12" s="491">
        <v>444</v>
      </c>
      <c r="FJ12" s="492">
        <v>351</v>
      </c>
      <c r="FK12" s="492">
        <v>252</v>
      </c>
      <c r="FL12" s="492">
        <v>211</v>
      </c>
      <c r="FM12" s="493">
        <v>207</v>
      </c>
      <c r="FN12" s="493">
        <v>128</v>
      </c>
      <c r="FO12" s="493">
        <v>172</v>
      </c>
      <c r="FP12" s="493">
        <v>119</v>
      </c>
      <c r="FQ12" s="199"/>
      <c r="FR12" s="491">
        <v>3</v>
      </c>
      <c r="FS12" s="492">
        <v>2</v>
      </c>
      <c r="FT12" s="492">
        <v>2</v>
      </c>
      <c r="FU12" s="492">
        <v>2</v>
      </c>
      <c r="FV12" s="493">
        <v>4</v>
      </c>
      <c r="FW12" s="493">
        <v>4</v>
      </c>
      <c r="FX12" s="493">
        <v>2</v>
      </c>
      <c r="FY12" s="493">
        <v>1</v>
      </c>
      <c r="FZ12" s="199"/>
      <c r="GA12" s="491">
        <v>21</v>
      </c>
      <c r="GB12" s="492">
        <v>33</v>
      </c>
      <c r="GC12" s="492">
        <v>42</v>
      </c>
      <c r="GD12" s="492">
        <v>25</v>
      </c>
      <c r="GE12" s="493">
        <v>23</v>
      </c>
      <c r="GF12" s="493">
        <v>4</v>
      </c>
      <c r="GG12" s="493">
        <v>4</v>
      </c>
      <c r="GH12" s="493">
        <v>4</v>
      </c>
      <c r="GI12" s="199"/>
      <c r="GJ12" s="491">
        <v>4040</v>
      </c>
      <c r="GK12" s="492">
        <v>4612</v>
      </c>
      <c r="GL12" s="492">
        <v>4271</v>
      </c>
      <c r="GM12" s="492">
        <v>4000</v>
      </c>
      <c r="GN12" s="493">
        <v>2959</v>
      </c>
      <c r="GO12" s="493">
        <v>2464</v>
      </c>
      <c r="GP12" s="493">
        <v>2449</v>
      </c>
      <c r="GQ12" s="493">
        <v>2300</v>
      </c>
      <c r="GR12" s="199"/>
      <c r="GS12" s="491">
        <v>2317</v>
      </c>
      <c r="GT12" s="492">
        <v>2800</v>
      </c>
      <c r="GU12" s="492">
        <v>2867</v>
      </c>
      <c r="GV12" s="492">
        <v>2493</v>
      </c>
      <c r="GW12" s="493">
        <v>1297</v>
      </c>
      <c r="GX12" s="493">
        <v>884</v>
      </c>
      <c r="GY12" s="493">
        <v>895</v>
      </c>
      <c r="GZ12" s="493">
        <v>583</v>
      </c>
      <c r="HA12" s="199"/>
      <c r="HB12" s="491">
        <v>13</v>
      </c>
      <c r="HC12" s="492">
        <v>11</v>
      </c>
      <c r="HD12" s="492">
        <v>7</v>
      </c>
      <c r="HE12" s="492">
        <v>11</v>
      </c>
      <c r="HF12" s="493">
        <v>10</v>
      </c>
      <c r="HG12" s="493">
        <v>11</v>
      </c>
      <c r="HH12" s="493">
        <v>16</v>
      </c>
      <c r="HI12" s="493">
        <v>7</v>
      </c>
      <c r="HJ12" s="199"/>
      <c r="HK12" s="491">
        <v>4</v>
      </c>
      <c r="HL12" s="492">
        <v>6</v>
      </c>
      <c r="HM12" s="492">
        <v>2</v>
      </c>
      <c r="HN12" s="492"/>
      <c r="HO12" s="493">
        <v>1</v>
      </c>
      <c r="HP12" s="493">
        <v>2</v>
      </c>
      <c r="HQ12" s="493"/>
      <c r="HR12" s="493">
        <v>2</v>
      </c>
      <c r="HS12" s="199"/>
      <c r="HT12" s="491">
        <v>2444</v>
      </c>
      <c r="HU12" s="492">
        <v>2950</v>
      </c>
      <c r="HV12" s="492">
        <v>3020</v>
      </c>
      <c r="HW12" s="492">
        <v>2724</v>
      </c>
      <c r="HX12" s="493">
        <v>1477</v>
      </c>
      <c r="HY12" s="493">
        <v>1105</v>
      </c>
      <c r="HZ12" s="493">
        <v>1113</v>
      </c>
      <c r="IA12" s="493">
        <v>735</v>
      </c>
      <c r="IB12" s="199"/>
      <c r="IC12" s="491">
        <v>5716</v>
      </c>
      <c r="ID12" s="492">
        <v>6233</v>
      </c>
      <c r="IE12" s="492">
        <v>7551</v>
      </c>
      <c r="IF12" s="492">
        <v>5702</v>
      </c>
      <c r="IG12" s="493">
        <v>5288</v>
      </c>
      <c r="IH12" s="493">
        <v>3834</v>
      </c>
      <c r="II12" s="493">
        <v>3310</v>
      </c>
      <c r="IJ12" s="493">
        <v>3206</v>
      </c>
      <c r="IK12" s="199"/>
      <c r="IL12" s="491">
        <v>270</v>
      </c>
      <c r="IM12" s="492">
        <v>519</v>
      </c>
      <c r="IN12" s="492">
        <v>548</v>
      </c>
      <c r="IO12" s="492">
        <v>309</v>
      </c>
      <c r="IP12" s="493">
        <v>88</v>
      </c>
      <c r="IQ12" s="493">
        <v>157</v>
      </c>
      <c r="IR12" s="493">
        <v>201</v>
      </c>
      <c r="IS12" s="493">
        <v>139</v>
      </c>
      <c r="IT12" s="199"/>
      <c r="IU12" s="533">
        <v>9115.2644000765449</v>
      </c>
      <c r="IV12" s="534">
        <v>9851.7417968009104</v>
      </c>
      <c r="IW12" s="534">
        <v>11854.561439314253</v>
      </c>
      <c r="IX12" s="534">
        <v>9706.0275418319234</v>
      </c>
      <c r="IY12" s="535">
        <v>8959.8264965519575</v>
      </c>
      <c r="IZ12" s="535">
        <v>6485.0053280560205</v>
      </c>
      <c r="JA12" s="535">
        <v>5604.8496342454619</v>
      </c>
      <c r="JB12" s="535">
        <v>12370.258903422464</v>
      </c>
      <c r="JC12" s="536"/>
      <c r="JD12" s="537">
        <v>3897.4293551062065</v>
      </c>
      <c r="JE12" s="538">
        <v>4662.7046848327745</v>
      </c>
      <c r="JF12" s="538">
        <v>4741.1966026657456</v>
      </c>
      <c r="JG12" s="538">
        <v>4636.8325191073591</v>
      </c>
      <c r="JH12" s="538">
        <v>2502.5839136549243</v>
      </c>
      <c r="JI12" s="539">
        <v>1869.0482231356032</v>
      </c>
      <c r="JJ12" s="539">
        <v>1884.6518558656189</v>
      </c>
      <c r="JK12" s="539">
        <v>2835.9763861558049</v>
      </c>
      <c r="JL12" s="536"/>
      <c r="JM12" s="537">
        <v>6442.5591631051857</v>
      </c>
      <c r="JN12" s="538">
        <v>7289.6250869317819</v>
      </c>
      <c r="JO12" s="538">
        <v>6705.1823476772843</v>
      </c>
      <c r="JP12" s="538">
        <v>6808.8583246804083</v>
      </c>
      <c r="JQ12" s="538">
        <v>5013.6396753587833</v>
      </c>
      <c r="JR12" s="539">
        <v>4167.7238206390284</v>
      </c>
      <c r="JS12" s="539">
        <v>4146.9114061230021</v>
      </c>
      <c r="JT12" s="539">
        <v>8874.4839294671438</v>
      </c>
      <c r="JU12" s="536"/>
      <c r="JV12" s="537">
        <v>3694.903361612553</v>
      </c>
      <c r="JW12" s="538">
        <v>4425.6180059429726</v>
      </c>
      <c r="JX12" s="538">
        <v>4500.9969072326794</v>
      </c>
      <c r="JY12" s="538">
        <v>4243.6209508570655</v>
      </c>
      <c r="JZ12" s="538">
        <v>2197.5973838933223</v>
      </c>
      <c r="KA12" s="539">
        <v>1495.2385785084825</v>
      </c>
      <c r="KB12" s="539">
        <v>1515.5107017068547</v>
      </c>
      <c r="KC12" s="539">
        <v>2249.4887525562372</v>
      </c>
      <c r="KD12" s="536"/>
    </row>
    <row r="13" spans="1:290" ht="15" customHeight="1" x14ac:dyDescent="0.2">
      <c r="A13" s="935"/>
      <c r="B13" s="490" t="s">
        <v>1133</v>
      </c>
      <c r="C13" s="491">
        <v>2</v>
      </c>
      <c r="D13" s="492">
        <v>4</v>
      </c>
      <c r="E13" s="492">
        <v>3</v>
      </c>
      <c r="F13" s="492">
        <v>1</v>
      </c>
      <c r="G13" s="493">
        <v>2</v>
      </c>
      <c r="H13" s="493">
        <v>1</v>
      </c>
      <c r="I13" s="493"/>
      <c r="J13" s="493">
        <v>1</v>
      </c>
      <c r="K13" s="199"/>
      <c r="L13" s="491"/>
      <c r="M13" s="492">
        <v>1</v>
      </c>
      <c r="N13" s="492">
        <v>2</v>
      </c>
      <c r="O13" s="492">
        <v>1</v>
      </c>
      <c r="P13" s="493">
        <v>1</v>
      </c>
      <c r="Q13" s="493">
        <v>1</v>
      </c>
      <c r="R13" s="493"/>
      <c r="S13" s="493"/>
      <c r="T13" s="199"/>
      <c r="U13" s="491">
        <v>2</v>
      </c>
      <c r="V13" s="492">
        <v>3</v>
      </c>
      <c r="W13" s="492">
        <v>1</v>
      </c>
      <c r="X13" s="492"/>
      <c r="Y13" s="493">
        <v>1</v>
      </c>
      <c r="Z13" s="493"/>
      <c r="AA13" s="493"/>
      <c r="AB13" s="493">
        <v>1</v>
      </c>
      <c r="AC13" s="199"/>
      <c r="AD13" s="491">
        <v>127</v>
      </c>
      <c r="AE13" s="492">
        <v>127</v>
      </c>
      <c r="AF13" s="492">
        <v>106</v>
      </c>
      <c r="AG13" s="492">
        <v>110</v>
      </c>
      <c r="AH13" s="493">
        <v>108</v>
      </c>
      <c r="AI13" s="493">
        <v>128</v>
      </c>
      <c r="AJ13" s="493">
        <v>127</v>
      </c>
      <c r="AK13" s="493">
        <v>137</v>
      </c>
      <c r="AL13" s="199"/>
      <c r="AM13" s="491">
        <v>101</v>
      </c>
      <c r="AN13" s="492">
        <v>94</v>
      </c>
      <c r="AO13" s="492">
        <v>78</v>
      </c>
      <c r="AP13" s="492">
        <v>81</v>
      </c>
      <c r="AQ13" s="493">
        <v>67</v>
      </c>
      <c r="AR13" s="493">
        <v>93</v>
      </c>
      <c r="AS13" s="493">
        <v>81</v>
      </c>
      <c r="AT13" s="493">
        <v>102</v>
      </c>
      <c r="AU13" s="199"/>
      <c r="AV13" s="491"/>
      <c r="AW13" s="492"/>
      <c r="AX13" s="492"/>
      <c r="AY13" s="492"/>
      <c r="AZ13" s="493"/>
      <c r="BA13" s="493">
        <v>1</v>
      </c>
      <c r="BB13" s="493"/>
      <c r="BC13" s="493"/>
      <c r="BD13" s="199"/>
      <c r="BE13" s="491">
        <v>6</v>
      </c>
      <c r="BF13" s="492">
        <v>12</v>
      </c>
      <c r="BG13" s="492">
        <v>9</v>
      </c>
      <c r="BH13" s="492">
        <v>5</v>
      </c>
      <c r="BI13" s="493">
        <v>10</v>
      </c>
      <c r="BJ13" s="493">
        <v>1</v>
      </c>
      <c r="BK13" s="493">
        <v>6</v>
      </c>
      <c r="BL13" s="493">
        <v>7</v>
      </c>
      <c r="BM13" s="199"/>
      <c r="BN13" s="491"/>
      <c r="BO13" s="492"/>
      <c r="BP13" s="492"/>
      <c r="BQ13" s="492"/>
      <c r="BR13" s="493"/>
      <c r="BS13" s="493">
        <v>1</v>
      </c>
      <c r="BT13" s="493">
        <v>3</v>
      </c>
      <c r="BU13" s="493"/>
      <c r="BV13" s="199"/>
      <c r="BW13" s="491">
        <v>120</v>
      </c>
      <c r="BX13" s="492">
        <v>120</v>
      </c>
      <c r="BY13" s="492">
        <v>109</v>
      </c>
      <c r="BZ13" s="492">
        <v>88</v>
      </c>
      <c r="CA13" s="493">
        <v>140</v>
      </c>
      <c r="CB13" s="493">
        <v>130</v>
      </c>
      <c r="CC13" s="493">
        <v>167</v>
      </c>
      <c r="CD13" s="493">
        <v>169</v>
      </c>
      <c r="CE13" s="199"/>
      <c r="CF13" s="491">
        <v>12</v>
      </c>
      <c r="CG13" s="492">
        <v>9</v>
      </c>
      <c r="CH13" s="492">
        <v>6</v>
      </c>
      <c r="CI13" s="492">
        <v>7</v>
      </c>
      <c r="CJ13" s="493">
        <v>5</v>
      </c>
      <c r="CK13" s="493">
        <v>5</v>
      </c>
      <c r="CL13" s="493">
        <v>5</v>
      </c>
      <c r="CM13" s="493">
        <v>4</v>
      </c>
      <c r="CN13" s="199"/>
      <c r="CO13" s="491">
        <v>12</v>
      </c>
      <c r="CP13" s="492">
        <v>11</v>
      </c>
      <c r="CQ13" s="492">
        <v>12</v>
      </c>
      <c r="CR13" s="492">
        <v>12</v>
      </c>
      <c r="CS13" s="493">
        <v>9</v>
      </c>
      <c r="CT13" s="493">
        <v>17</v>
      </c>
      <c r="CU13" s="493">
        <v>10</v>
      </c>
      <c r="CV13" s="493">
        <v>14</v>
      </c>
      <c r="CW13" s="199"/>
      <c r="CX13" s="491">
        <v>3135</v>
      </c>
      <c r="CY13" s="492">
        <v>3213</v>
      </c>
      <c r="CZ13" s="492">
        <v>2809</v>
      </c>
      <c r="DA13" s="492">
        <v>2767</v>
      </c>
      <c r="DB13" s="493">
        <v>1723</v>
      </c>
      <c r="DC13" s="493">
        <v>1601</v>
      </c>
      <c r="DD13" s="493">
        <v>1404</v>
      </c>
      <c r="DE13" s="493">
        <v>1329</v>
      </c>
      <c r="DF13" s="199"/>
      <c r="DG13" s="491">
        <v>290</v>
      </c>
      <c r="DH13" s="492">
        <v>182</v>
      </c>
      <c r="DI13" s="492">
        <v>181</v>
      </c>
      <c r="DJ13" s="492">
        <v>179</v>
      </c>
      <c r="DK13" s="493">
        <v>102</v>
      </c>
      <c r="DL13" s="493">
        <v>75</v>
      </c>
      <c r="DM13" s="493">
        <v>48</v>
      </c>
      <c r="DN13" s="493">
        <v>63</v>
      </c>
      <c r="DO13" s="199"/>
      <c r="DP13" s="491">
        <v>722</v>
      </c>
      <c r="DQ13" s="492">
        <v>525</v>
      </c>
      <c r="DR13" s="492">
        <v>561</v>
      </c>
      <c r="DS13" s="492">
        <v>354</v>
      </c>
      <c r="DT13" s="493">
        <v>195</v>
      </c>
      <c r="DU13" s="493">
        <v>183</v>
      </c>
      <c r="DV13" s="493">
        <v>154</v>
      </c>
      <c r="DW13" s="493">
        <v>164</v>
      </c>
      <c r="DX13" s="199"/>
      <c r="DY13" s="491">
        <v>302</v>
      </c>
      <c r="DZ13" s="492">
        <v>429</v>
      </c>
      <c r="EA13" s="492">
        <v>258</v>
      </c>
      <c r="EB13" s="492">
        <v>247</v>
      </c>
      <c r="EC13" s="493">
        <v>162</v>
      </c>
      <c r="ED13" s="493">
        <v>134</v>
      </c>
      <c r="EE13" s="493">
        <v>118</v>
      </c>
      <c r="EF13" s="493">
        <v>118</v>
      </c>
      <c r="EG13" s="199"/>
      <c r="EH13" s="491">
        <v>106</v>
      </c>
      <c r="EI13" s="492">
        <v>151</v>
      </c>
      <c r="EJ13" s="492">
        <v>117</v>
      </c>
      <c r="EK13" s="492">
        <v>89</v>
      </c>
      <c r="EL13" s="493">
        <v>66</v>
      </c>
      <c r="EM13" s="493">
        <v>62</v>
      </c>
      <c r="EN13" s="493">
        <v>59</v>
      </c>
      <c r="EO13" s="493">
        <v>36</v>
      </c>
      <c r="EP13" s="199"/>
      <c r="EQ13" s="491">
        <v>28</v>
      </c>
      <c r="ER13" s="492">
        <v>40</v>
      </c>
      <c r="ES13" s="492">
        <v>47</v>
      </c>
      <c r="ET13" s="492">
        <v>78</v>
      </c>
      <c r="EU13" s="493">
        <v>38</v>
      </c>
      <c r="EV13" s="493">
        <v>65</v>
      </c>
      <c r="EW13" s="493">
        <v>45</v>
      </c>
      <c r="EX13" s="493">
        <v>43</v>
      </c>
      <c r="EY13" s="199"/>
      <c r="EZ13" s="491">
        <v>6</v>
      </c>
      <c r="FA13" s="492">
        <v>8</v>
      </c>
      <c r="FB13" s="492">
        <v>7</v>
      </c>
      <c r="FC13" s="492">
        <v>5</v>
      </c>
      <c r="FD13" s="493">
        <v>7</v>
      </c>
      <c r="FE13" s="493">
        <v>5</v>
      </c>
      <c r="FF13" s="493">
        <v>16</v>
      </c>
      <c r="FG13" s="493">
        <v>6</v>
      </c>
      <c r="FH13" s="199"/>
      <c r="FI13" s="491">
        <v>403</v>
      </c>
      <c r="FJ13" s="492">
        <v>369</v>
      </c>
      <c r="FK13" s="492">
        <v>205</v>
      </c>
      <c r="FL13" s="492">
        <v>136</v>
      </c>
      <c r="FM13" s="493">
        <v>138</v>
      </c>
      <c r="FN13" s="493">
        <v>137</v>
      </c>
      <c r="FO13" s="493">
        <v>129</v>
      </c>
      <c r="FP13" s="493">
        <v>141</v>
      </c>
      <c r="FQ13" s="199"/>
      <c r="FR13" s="491">
        <v>15</v>
      </c>
      <c r="FS13" s="492">
        <v>9</v>
      </c>
      <c r="FT13" s="492">
        <v>7</v>
      </c>
      <c r="FU13" s="492">
        <v>4</v>
      </c>
      <c r="FV13" s="493">
        <v>5</v>
      </c>
      <c r="FW13" s="493">
        <v>9</v>
      </c>
      <c r="FX13" s="493">
        <v>1</v>
      </c>
      <c r="FY13" s="493">
        <v>9</v>
      </c>
      <c r="FZ13" s="199"/>
      <c r="GA13" s="491">
        <v>37</v>
      </c>
      <c r="GB13" s="492">
        <v>22</v>
      </c>
      <c r="GC13" s="492">
        <v>26</v>
      </c>
      <c r="GD13" s="492">
        <v>25</v>
      </c>
      <c r="GE13" s="493">
        <v>14</v>
      </c>
      <c r="GF13" s="493">
        <v>12</v>
      </c>
      <c r="GG13" s="493">
        <v>17</v>
      </c>
      <c r="GH13" s="493">
        <v>20</v>
      </c>
      <c r="GI13" s="199"/>
      <c r="GJ13" s="491">
        <v>4009</v>
      </c>
      <c r="GK13" s="492">
        <v>4095</v>
      </c>
      <c r="GL13" s="492">
        <v>3463</v>
      </c>
      <c r="GM13" s="492">
        <v>3327</v>
      </c>
      <c r="GN13" s="493">
        <v>2265</v>
      </c>
      <c r="GO13" s="493">
        <v>2174</v>
      </c>
      <c r="GP13" s="493">
        <v>1989</v>
      </c>
      <c r="GQ13" s="493">
        <v>1916</v>
      </c>
      <c r="GR13" s="199"/>
      <c r="GS13" s="491">
        <v>2314</v>
      </c>
      <c r="GT13" s="492">
        <v>1988</v>
      </c>
      <c r="GU13" s="492">
        <v>1818</v>
      </c>
      <c r="GV13" s="492">
        <v>1610</v>
      </c>
      <c r="GW13" s="493">
        <v>766</v>
      </c>
      <c r="GX13" s="493">
        <v>712</v>
      </c>
      <c r="GY13" s="493">
        <v>596</v>
      </c>
      <c r="GZ13" s="493">
        <v>572</v>
      </c>
      <c r="HA13" s="199"/>
      <c r="HB13" s="491">
        <v>8</v>
      </c>
      <c r="HC13" s="492">
        <v>12</v>
      </c>
      <c r="HD13" s="492">
        <v>7</v>
      </c>
      <c r="HE13" s="492">
        <v>9</v>
      </c>
      <c r="HF13" s="493">
        <v>6</v>
      </c>
      <c r="HG13" s="493">
        <v>4</v>
      </c>
      <c r="HH13" s="493">
        <v>11</v>
      </c>
      <c r="HI13" s="493">
        <v>17</v>
      </c>
      <c r="HJ13" s="199"/>
      <c r="HK13" s="491">
        <v>3</v>
      </c>
      <c r="HL13" s="492">
        <v>4</v>
      </c>
      <c r="HM13" s="492">
        <v>4</v>
      </c>
      <c r="HN13" s="492">
        <v>2</v>
      </c>
      <c r="HO13" s="493">
        <v>2</v>
      </c>
      <c r="HP13" s="493">
        <v>2</v>
      </c>
      <c r="HQ13" s="493">
        <v>1</v>
      </c>
      <c r="HR13" s="493">
        <v>2</v>
      </c>
      <c r="HS13" s="199"/>
      <c r="HT13" s="491">
        <v>2492</v>
      </c>
      <c r="HU13" s="492">
        <v>2184</v>
      </c>
      <c r="HV13" s="492">
        <v>2006</v>
      </c>
      <c r="HW13" s="492">
        <v>1804</v>
      </c>
      <c r="HX13" s="493">
        <v>1042</v>
      </c>
      <c r="HY13" s="493">
        <v>937</v>
      </c>
      <c r="HZ13" s="493">
        <v>866</v>
      </c>
      <c r="IA13" s="493">
        <v>952</v>
      </c>
      <c r="IB13" s="199"/>
      <c r="IC13" s="491">
        <v>4958</v>
      </c>
      <c r="ID13" s="492">
        <v>5581</v>
      </c>
      <c r="IE13" s="492">
        <v>5470</v>
      </c>
      <c r="IF13" s="492">
        <v>4771</v>
      </c>
      <c r="IG13" s="493">
        <v>3313</v>
      </c>
      <c r="IH13" s="493">
        <v>3458</v>
      </c>
      <c r="II13" s="493">
        <v>2951</v>
      </c>
      <c r="IJ13" s="493">
        <v>4136</v>
      </c>
      <c r="IK13" s="199"/>
      <c r="IL13" s="491">
        <v>519</v>
      </c>
      <c r="IM13" s="492">
        <v>873</v>
      </c>
      <c r="IN13" s="492">
        <v>574</v>
      </c>
      <c r="IO13" s="492">
        <v>285</v>
      </c>
      <c r="IP13" s="493">
        <v>127</v>
      </c>
      <c r="IQ13" s="493">
        <v>206</v>
      </c>
      <c r="IR13" s="493">
        <v>162</v>
      </c>
      <c r="IS13" s="493">
        <v>165</v>
      </c>
      <c r="IT13" s="199"/>
      <c r="IU13" s="533">
        <v>6169.9665243849322</v>
      </c>
      <c r="IV13" s="534">
        <v>6903.3335394891456</v>
      </c>
      <c r="IW13" s="534">
        <v>6713.7158637618904</v>
      </c>
      <c r="IX13" s="534">
        <v>6027.0338554825676</v>
      </c>
      <c r="IY13" s="535">
        <v>4194.414199984808</v>
      </c>
      <c r="IZ13" s="535">
        <v>4393.7334027927773</v>
      </c>
      <c r="JA13" s="535">
        <v>3763.3585839263401</v>
      </c>
      <c r="JB13" s="535">
        <v>5308.9620825096908</v>
      </c>
      <c r="JC13" s="536"/>
      <c r="JD13" s="537">
        <v>3101.1610687307889</v>
      </c>
      <c r="JE13" s="538">
        <v>2701.4657678273243</v>
      </c>
      <c r="JF13" s="538">
        <v>2462.1049401656951</v>
      </c>
      <c r="JG13" s="538">
        <v>2278.9287518948963</v>
      </c>
      <c r="JH13" s="538">
        <v>1319.2211277947993</v>
      </c>
      <c r="JI13" s="539">
        <v>1190.551821404521</v>
      </c>
      <c r="JJ13" s="539">
        <v>1104.3946234090852</v>
      </c>
      <c r="JK13" s="539">
        <v>1221.985469668575</v>
      </c>
      <c r="JL13" s="536"/>
      <c r="JM13" s="537">
        <v>4988.9866470873731</v>
      </c>
      <c r="JN13" s="538">
        <v>5065.2483146762324</v>
      </c>
      <c r="JO13" s="538">
        <v>4250.3835532371895</v>
      </c>
      <c r="JP13" s="538">
        <v>4202.8802425467411</v>
      </c>
      <c r="JQ13" s="538">
        <v>2867.5967893044335</v>
      </c>
      <c r="JR13" s="539">
        <v>2762.2835215938403</v>
      </c>
      <c r="JS13" s="539">
        <v>2536.5368429107048</v>
      </c>
      <c r="JT13" s="539">
        <v>2459.3741175262494</v>
      </c>
      <c r="JU13" s="536"/>
      <c r="JV13" s="537">
        <v>2879.6495638214469</v>
      </c>
      <c r="JW13" s="538">
        <v>2459.0265322530768</v>
      </c>
      <c r="JX13" s="538">
        <v>2231.3593126725991</v>
      </c>
      <c r="JY13" s="538">
        <v>2033.855482566953</v>
      </c>
      <c r="JZ13" s="538">
        <v>969.79211505836474</v>
      </c>
      <c r="KA13" s="539">
        <v>904.66691231592176</v>
      </c>
      <c r="KB13" s="539">
        <v>760.0683551406637</v>
      </c>
      <c r="KC13" s="539">
        <v>734.2181603470849</v>
      </c>
      <c r="KD13" s="536"/>
    </row>
    <row r="14" spans="1:290" ht="15" customHeight="1" x14ac:dyDescent="0.2">
      <c r="A14" s="935"/>
      <c r="B14" s="490" t="s">
        <v>1134</v>
      </c>
      <c r="C14" s="491">
        <v>12</v>
      </c>
      <c r="D14" s="492">
        <v>4</v>
      </c>
      <c r="E14" s="492">
        <v>2</v>
      </c>
      <c r="F14" s="492">
        <v>1</v>
      </c>
      <c r="G14" s="493">
        <v>2</v>
      </c>
      <c r="H14" s="493">
        <v>1</v>
      </c>
      <c r="I14" s="493">
        <v>2</v>
      </c>
      <c r="J14" s="493">
        <v>1</v>
      </c>
      <c r="K14" s="199"/>
      <c r="L14" s="491">
        <v>3</v>
      </c>
      <c r="M14" s="492">
        <v>1</v>
      </c>
      <c r="N14" s="492"/>
      <c r="O14" s="492">
        <v>1</v>
      </c>
      <c r="P14" s="493">
        <v>1</v>
      </c>
      <c r="Q14" s="493">
        <v>1</v>
      </c>
      <c r="R14" s="493">
        <v>1</v>
      </c>
      <c r="S14" s="493"/>
      <c r="T14" s="199"/>
      <c r="U14" s="491">
        <v>4</v>
      </c>
      <c r="V14" s="492">
        <v>3</v>
      </c>
      <c r="W14" s="492">
        <v>2</v>
      </c>
      <c r="X14" s="492"/>
      <c r="Y14" s="493">
        <v>1</v>
      </c>
      <c r="Z14" s="493"/>
      <c r="AA14" s="493">
        <v>1</v>
      </c>
      <c r="AB14" s="493"/>
      <c r="AC14" s="199"/>
      <c r="AD14" s="491">
        <v>143</v>
      </c>
      <c r="AE14" s="492">
        <v>133</v>
      </c>
      <c r="AF14" s="492">
        <v>109</v>
      </c>
      <c r="AG14" s="492">
        <v>102</v>
      </c>
      <c r="AH14" s="493">
        <v>110</v>
      </c>
      <c r="AI14" s="493">
        <v>145</v>
      </c>
      <c r="AJ14" s="493">
        <v>113</v>
      </c>
      <c r="AK14" s="493">
        <v>110</v>
      </c>
      <c r="AL14" s="199"/>
      <c r="AM14" s="491">
        <v>108</v>
      </c>
      <c r="AN14" s="492">
        <v>101</v>
      </c>
      <c r="AO14" s="492">
        <v>71</v>
      </c>
      <c r="AP14" s="492">
        <v>65</v>
      </c>
      <c r="AQ14" s="493">
        <v>70</v>
      </c>
      <c r="AR14" s="493">
        <v>98</v>
      </c>
      <c r="AS14" s="493">
        <v>74</v>
      </c>
      <c r="AT14" s="493">
        <v>71</v>
      </c>
      <c r="AU14" s="199"/>
      <c r="AV14" s="491"/>
      <c r="AW14" s="492">
        <v>1</v>
      </c>
      <c r="AX14" s="492"/>
      <c r="AY14" s="492"/>
      <c r="AZ14" s="493"/>
      <c r="BA14" s="493"/>
      <c r="BB14" s="493">
        <v>2</v>
      </c>
      <c r="BC14" s="493"/>
      <c r="BD14" s="199"/>
      <c r="BE14" s="491">
        <v>17</v>
      </c>
      <c r="BF14" s="492">
        <v>30</v>
      </c>
      <c r="BG14" s="492">
        <v>14</v>
      </c>
      <c r="BH14" s="492">
        <v>6</v>
      </c>
      <c r="BI14" s="493">
        <v>9</v>
      </c>
      <c r="BJ14" s="493">
        <v>17</v>
      </c>
      <c r="BK14" s="493">
        <v>5</v>
      </c>
      <c r="BL14" s="493">
        <v>4</v>
      </c>
      <c r="BM14" s="199"/>
      <c r="BN14" s="491"/>
      <c r="BO14" s="492"/>
      <c r="BP14" s="492"/>
      <c r="BQ14" s="492"/>
      <c r="BR14" s="493">
        <v>1</v>
      </c>
      <c r="BS14" s="493">
        <v>3</v>
      </c>
      <c r="BT14" s="493">
        <v>11</v>
      </c>
      <c r="BU14" s="493">
        <v>7</v>
      </c>
      <c r="BV14" s="199"/>
      <c r="BW14" s="491">
        <v>132</v>
      </c>
      <c r="BX14" s="492">
        <v>79</v>
      </c>
      <c r="BY14" s="492">
        <v>87</v>
      </c>
      <c r="BZ14" s="492">
        <v>102</v>
      </c>
      <c r="CA14" s="493">
        <v>151</v>
      </c>
      <c r="CB14" s="493">
        <v>165</v>
      </c>
      <c r="CC14" s="493">
        <v>161</v>
      </c>
      <c r="CD14" s="493">
        <v>167</v>
      </c>
      <c r="CE14" s="199"/>
      <c r="CF14" s="491">
        <v>9</v>
      </c>
      <c r="CG14" s="492">
        <v>4</v>
      </c>
      <c r="CH14" s="492">
        <v>6</v>
      </c>
      <c r="CI14" s="492">
        <v>5</v>
      </c>
      <c r="CJ14" s="493">
        <v>5</v>
      </c>
      <c r="CK14" s="493">
        <v>9</v>
      </c>
      <c r="CL14" s="493">
        <v>9</v>
      </c>
      <c r="CM14" s="493">
        <v>11</v>
      </c>
      <c r="CN14" s="199"/>
      <c r="CO14" s="491">
        <v>11</v>
      </c>
      <c r="CP14" s="492">
        <v>6</v>
      </c>
      <c r="CQ14" s="492">
        <v>4</v>
      </c>
      <c r="CR14" s="492">
        <v>1</v>
      </c>
      <c r="CS14" s="493">
        <v>5</v>
      </c>
      <c r="CT14" s="493">
        <v>4</v>
      </c>
      <c r="CU14" s="493">
        <v>4</v>
      </c>
      <c r="CV14" s="493">
        <v>3</v>
      </c>
      <c r="CW14" s="199"/>
      <c r="CX14" s="491">
        <v>3376</v>
      </c>
      <c r="CY14" s="492">
        <v>4311</v>
      </c>
      <c r="CZ14" s="492">
        <v>4014</v>
      </c>
      <c r="DA14" s="492">
        <v>4448</v>
      </c>
      <c r="DB14" s="493">
        <v>3817</v>
      </c>
      <c r="DC14" s="493">
        <v>3031</v>
      </c>
      <c r="DD14" s="493">
        <v>2648</v>
      </c>
      <c r="DE14" s="493">
        <v>2034</v>
      </c>
      <c r="DF14" s="199"/>
      <c r="DG14" s="491">
        <v>197</v>
      </c>
      <c r="DH14" s="492">
        <v>409</v>
      </c>
      <c r="DI14" s="492">
        <v>493</v>
      </c>
      <c r="DJ14" s="492">
        <v>529</v>
      </c>
      <c r="DK14" s="493">
        <v>422</v>
      </c>
      <c r="DL14" s="493">
        <v>274</v>
      </c>
      <c r="DM14" s="493">
        <v>164</v>
      </c>
      <c r="DN14" s="493">
        <v>155</v>
      </c>
      <c r="DO14" s="199"/>
      <c r="DP14" s="491">
        <v>325</v>
      </c>
      <c r="DQ14" s="492">
        <v>392</v>
      </c>
      <c r="DR14" s="492">
        <v>359</v>
      </c>
      <c r="DS14" s="492">
        <v>236</v>
      </c>
      <c r="DT14" s="493">
        <v>345</v>
      </c>
      <c r="DU14" s="493">
        <v>258</v>
      </c>
      <c r="DV14" s="493">
        <v>230</v>
      </c>
      <c r="DW14" s="493">
        <v>211</v>
      </c>
      <c r="DX14" s="199"/>
      <c r="DY14" s="491">
        <v>231</v>
      </c>
      <c r="DZ14" s="492">
        <v>472</v>
      </c>
      <c r="EA14" s="492">
        <v>370</v>
      </c>
      <c r="EB14" s="492">
        <v>552</v>
      </c>
      <c r="EC14" s="493">
        <v>676</v>
      </c>
      <c r="ED14" s="493">
        <v>616</v>
      </c>
      <c r="EE14" s="493">
        <v>472</v>
      </c>
      <c r="EF14" s="493">
        <v>296</v>
      </c>
      <c r="EG14" s="199"/>
      <c r="EH14" s="491">
        <v>126</v>
      </c>
      <c r="EI14" s="492">
        <v>86</v>
      </c>
      <c r="EJ14" s="492">
        <v>83</v>
      </c>
      <c r="EK14" s="492">
        <v>63</v>
      </c>
      <c r="EL14" s="493">
        <v>43</v>
      </c>
      <c r="EM14" s="493">
        <v>42</v>
      </c>
      <c r="EN14" s="493">
        <v>26</v>
      </c>
      <c r="EO14" s="493">
        <v>26</v>
      </c>
      <c r="EP14" s="199"/>
      <c r="EQ14" s="491">
        <v>42</v>
      </c>
      <c r="ER14" s="492">
        <v>95</v>
      </c>
      <c r="ES14" s="492">
        <v>157</v>
      </c>
      <c r="ET14" s="492">
        <v>179</v>
      </c>
      <c r="EU14" s="493">
        <v>135</v>
      </c>
      <c r="EV14" s="493">
        <v>126</v>
      </c>
      <c r="EW14" s="493">
        <v>120</v>
      </c>
      <c r="EX14" s="493">
        <v>97</v>
      </c>
      <c r="EY14" s="199"/>
      <c r="EZ14" s="491">
        <v>5</v>
      </c>
      <c r="FA14" s="492">
        <v>4</v>
      </c>
      <c r="FB14" s="492">
        <v>5</v>
      </c>
      <c r="FC14" s="492">
        <v>3</v>
      </c>
      <c r="FD14" s="493">
        <v>3</v>
      </c>
      <c r="FE14" s="493">
        <v>2</v>
      </c>
      <c r="FF14" s="493">
        <v>3</v>
      </c>
      <c r="FG14" s="493">
        <v>6</v>
      </c>
      <c r="FH14" s="199"/>
      <c r="FI14" s="491">
        <v>538</v>
      </c>
      <c r="FJ14" s="492">
        <v>496</v>
      </c>
      <c r="FK14" s="492">
        <v>475</v>
      </c>
      <c r="FL14" s="492">
        <v>295</v>
      </c>
      <c r="FM14" s="493">
        <v>232</v>
      </c>
      <c r="FN14" s="493">
        <v>202</v>
      </c>
      <c r="FO14" s="493">
        <v>263</v>
      </c>
      <c r="FP14" s="493">
        <v>197</v>
      </c>
      <c r="FQ14" s="199"/>
      <c r="FR14" s="491">
        <v>17</v>
      </c>
      <c r="FS14" s="492">
        <v>4</v>
      </c>
      <c r="FT14" s="492">
        <v>4</v>
      </c>
      <c r="FU14" s="492">
        <v>4</v>
      </c>
      <c r="FV14" s="493">
        <v>2</v>
      </c>
      <c r="FW14" s="493">
        <v>6</v>
      </c>
      <c r="FX14" s="493">
        <v>3</v>
      </c>
      <c r="FY14" s="493">
        <v>4</v>
      </c>
      <c r="FZ14" s="199"/>
      <c r="GA14" s="491">
        <v>40</v>
      </c>
      <c r="GB14" s="492">
        <v>60</v>
      </c>
      <c r="GC14" s="492">
        <v>32</v>
      </c>
      <c r="GD14" s="492">
        <v>28</v>
      </c>
      <c r="GE14" s="493">
        <v>36</v>
      </c>
      <c r="GF14" s="493">
        <v>43</v>
      </c>
      <c r="GG14" s="493">
        <v>8</v>
      </c>
      <c r="GH14" s="493">
        <v>3</v>
      </c>
      <c r="GI14" s="199"/>
      <c r="GJ14" s="491">
        <v>4468</v>
      </c>
      <c r="GK14" s="492">
        <v>5312</v>
      </c>
      <c r="GL14" s="492">
        <v>4992</v>
      </c>
      <c r="GM14" s="492">
        <v>5237</v>
      </c>
      <c r="GN14" s="493">
        <v>4551</v>
      </c>
      <c r="GO14" s="493">
        <v>3796</v>
      </c>
      <c r="GP14" s="493">
        <v>3376</v>
      </c>
      <c r="GQ14" s="493">
        <v>2670</v>
      </c>
      <c r="GR14" s="199"/>
      <c r="GS14" s="491">
        <v>2329</v>
      </c>
      <c r="GT14" s="492">
        <v>2760</v>
      </c>
      <c r="GU14" s="492">
        <v>2877</v>
      </c>
      <c r="GV14" s="492">
        <v>2512</v>
      </c>
      <c r="GW14" s="493">
        <v>1667</v>
      </c>
      <c r="GX14" s="493">
        <v>1247</v>
      </c>
      <c r="GY14" s="493">
        <v>1078</v>
      </c>
      <c r="GZ14" s="493">
        <v>856</v>
      </c>
      <c r="HA14" s="199"/>
      <c r="HB14" s="491">
        <v>21</v>
      </c>
      <c r="HC14" s="492">
        <v>15</v>
      </c>
      <c r="HD14" s="492">
        <v>21</v>
      </c>
      <c r="HE14" s="492">
        <v>11</v>
      </c>
      <c r="HF14" s="493">
        <v>16</v>
      </c>
      <c r="HG14" s="493">
        <v>19</v>
      </c>
      <c r="HH14" s="493">
        <v>18</v>
      </c>
      <c r="HI14" s="493">
        <v>16</v>
      </c>
      <c r="HJ14" s="199"/>
      <c r="HK14" s="491">
        <v>6</v>
      </c>
      <c r="HL14" s="492">
        <v>6</v>
      </c>
      <c r="HM14" s="492">
        <v>3</v>
      </c>
      <c r="HN14" s="492">
        <v>1</v>
      </c>
      <c r="HO14" s="493">
        <v>3</v>
      </c>
      <c r="HP14" s="493">
        <v>1</v>
      </c>
      <c r="HQ14" s="493">
        <v>1</v>
      </c>
      <c r="HR14" s="493">
        <v>1</v>
      </c>
      <c r="HS14" s="199"/>
      <c r="HT14" s="491">
        <v>2590</v>
      </c>
      <c r="HU14" s="492">
        <v>2916</v>
      </c>
      <c r="HV14" s="492">
        <v>3063</v>
      </c>
      <c r="HW14" s="492">
        <v>2696</v>
      </c>
      <c r="HX14" s="493">
        <v>1842</v>
      </c>
      <c r="HY14" s="493">
        <v>1483</v>
      </c>
      <c r="HZ14" s="493">
        <v>1308</v>
      </c>
      <c r="IA14" s="493">
        <v>1071</v>
      </c>
      <c r="IB14" s="199"/>
      <c r="IC14" s="491">
        <v>7670</v>
      </c>
      <c r="ID14" s="492">
        <v>8884</v>
      </c>
      <c r="IE14" s="492">
        <v>8627</v>
      </c>
      <c r="IF14" s="492">
        <v>7502</v>
      </c>
      <c r="IG14" s="493">
        <v>5863</v>
      </c>
      <c r="IH14" s="493">
        <v>5455</v>
      </c>
      <c r="II14" s="493">
        <v>4901</v>
      </c>
      <c r="IJ14" s="493">
        <v>4098</v>
      </c>
      <c r="IK14" s="199"/>
      <c r="IL14" s="491">
        <v>352</v>
      </c>
      <c r="IM14" s="492">
        <v>937</v>
      </c>
      <c r="IN14" s="492">
        <v>612</v>
      </c>
      <c r="IO14" s="492">
        <v>475</v>
      </c>
      <c r="IP14" s="493">
        <v>402</v>
      </c>
      <c r="IQ14" s="493">
        <v>743</v>
      </c>
      <c r="IR14" s="493">
        <v>579</v>
      </c>
      <c r="IS14" s="493">
        <v>373</v>
      </c>
      <c r="IT14" s="199"/>
      <c r="IU14" s="533">
        <v>5482.8010179281164</v>
      </c>
      <c r="IV14" s="534">
        <v>6127.23460604723</v>
      </c>
      <c r="IW14" s="534">
        <v>5928.8021441825304</v>
      </c>
      <c r="IX14" s="534">
        <v>5188.140996825704</v>
      </c>
      <c r="IY14" s="535">
        <v>3980.9879477168561</v>
      </c>
      <c r="IZ14" s="535">
        <v>3574.2366662298518</v>
      </c>
      <c r="JA14" s="535">
        <v>3228.3350459779203</v>
      </c>
      <c r="JB14" s="535">
        <v>2714.3027460954577</v>
      </c>
      <c r="JC14" s="536"/>
      <c r="JD14" s="537">
        <v>1851.4282446458697</v>
      </c>
      <c r="JE14" s="538">
        <v>2011.1454425071729</v>
      </c>
      <c r="JF14" s="538">
        <v>2105.0099649508625</v>
      </c>
      <c r="JG14" s="538">
        <v>1864.4665592431484</v>
      </c>
      <c r="JH14" s="538">
        <v>1250.7214394839586</v>
      </c>
      <c r="JI14" s="539">
        <v>971.69440440309268</v>
      </c>
      <c r="JJ14" s="539">
        <v>861.59196901430721</v>
      </c>
      <c r="JK14" s="539">
        <v>709.37487580972061</v>
      </c>
      <c r="JL14" s="536"/>
      <c r="JM14" s="537">
        <v>3193.8924313041489</v>
      </c>
      <c r="JN14" s="538">
        <v>3663.6504082983893</v>
      </c>
      <c r="JO14" s="538">
        <v>3430.6920486564495</v>
      </c>
      <c r="JP14" s="538">
        <v>3621.7401226841125</v>
      </c>
      <c r="JQ14" s="538">
        <v>3090.1374978781191</v>
      </c>
      <c r="JR14" s="539">
        <v>2487.2231686541736</v>
      </c>
      <c r="JS14" s="539">
        <v>2223.8031249176611</v>
      </c>
      <c r="JT14" s="539">
        <v>1768.4695783491634</v>
      </c>
      <c r="JU14" s="536"/>
      <c r="JV14" s="537">
        <v>1664.8557458610928</v>
      </c>
      <c r="JW14" s="538">
        <v>1903.553299492386</v>
      </c>
      <c r="JX14" s="538">
        <v>1977.1836987148649</v>
      </c>
      <c r="JY14" s="538">
        <v>1737.2180997102332</v>
      </c>
      <c r="JZ14" s="538">
        <v>1131.8961127143098</v>
      </c>
      <c r="KA14" s="539">
        <v>817.0619840125803</v>
      </c>
      <c r="KB14" s="539">
        <v>710.08879403472713</v>
      </c>
      <c r="KC14" s="539">
        <v>566.97002212242842</v>
      </c>
      <c r="KD14" s="536"/>
    </row>
    <row r="15" spans="1:290" ht="15" customHeight="1" x14ac:dyDescent="0.2">
      <c r="A15" s="935"/>
      <c r="B15" s="490" t="s">
        <v>1135</v>
      </c>
      <c r="C15" s="491"/>
      <c r="D15" s="492">
        <v>1</v>
      </c>
      <c r="E15" s="492"/>
      <c r="F15" s="492"/>
      <c r="G15" s="493">
        <v>1</v>
      </c>
      <c r="H15" s="493">
        <v>2</v>
      </c>
      <c r="I15" s="493">
        <v>5</v>
      </c>
      <c r="J15" s="493"/>
      <c r="K15" s="199"/>
      <c r="L15" s="491"/>
      <c r="M15" s="492"/>
      <c r="N15" s="492"/>
      <c r="O15" s="492"/>
      <c r="P15" s="493">
        <v>1</v>
      </c>
      <c r="Q15" s="493">
        <v>1</v>
      </c>
      <c r="R15" s="493"/>
      <c r="S15" s="493"/>
      <c r="T15" s="199"/>
      <c r="U15" s="491"/>
      <c r="V15" s="492"/>
      <c r="W15" s="492"/>
      <c r="X15" s="492"/>
      <c r="Y15" s="493"/>
      <c r="Z15" s="493"/>
      <c r="AA15" s="493"/>
      <c r="AB15" s="493"/>
      <c r="AC15" s="199"/>
      <c r="AD15" s="491">
        <v>23</v>
      </c>
      <c r="AE15" s="492">
        <v>33</v>
      </c>
      <c r="AF15" s="492">
        <v>29</v>
      </c>
      <c r="AG15" s="492">
        <v>39</v>
      </c>
      <c r="AH15" s="493">
        <v>16</v>
      </c>
      <c r="AI15" s="493">
        <v>12</v>
      </c>
      <c r="AJ15" s="493">
        <v>34</v>
      </c>
      <c r="AK15" s="493">
        <v>29</v>
      </c>
      <c r="AL15" s="199"/>
      <c r="AM15" s="491">
        <v>18</v>
      </c>
      <c r="AN15" s="492">
        <v>21</v>
      </c>
      <c r="AO15" s="492">
        <v>18</v>
      </c>
      <c r="AP15" s="492">
        <v>28</v>
      </c>
      <c r="AQ15" s="493">
        <v>10</v>
      </c>
      <c r="AR15" s="493">
        <v>8</v>
      </c>
      <c r="AS15" s="493">
        <v>23</v>
      </c>
      <c r="AT15" s="493">
        <v>14</v>
      </c>
      <c r="AU15" s="199"/>
      <c r="AV15" s="491">
        <v>2</v>
      </c>
      <c r="AW15" s="492"/>
      <c r="AX15" s="492"/>
      <c r="AY15" s="492"/>
      <c r="AZ15" s="493"/>
      <c r="BA15" s="493"/>
      <c r="BB15" s="493"/>
      <c r="BC15" s="493">
        <v>1</v>
      </c>
      <c r="BD15" s="199"/>
      <c r="BE15" s="491"/>
      <c r="BF15" s="492"/>
      <c r="BG15" s="492">
        <v>5</v>
      </c>
      <c r="BH15" s="492"/>
      <c r="BI15" s="493"/>
      <c r="BJ15" s="493">
        <v>1</v>
      </c>
      <c r="BK15" s="493">
        <v>3</v>
      </c>
      <c r="BL15" s="493">
        <v>2</v>
      </c>
      <c r="BM15" s="199"/>
      <c r="BN15" s="491"/>
      <c r="BO15" s="492"/>
      <c r="BP15" s="492"/>
      <c r="BQ15" s="492"/>
      <c r="BR15" s="493"/>
      <c r="BS15" s="493"/>
      <c r="BT15" s="493"/>
      <c r="BU15" s="493"/>
      <c r="BV15" s="199"/>
      <c r="BW15" s="491">
        <v>28</v>
      </c>
      <c r="BX15" s="492">
        <v>32</v>
      </c>
      <c r="BY15" s="492">
        <v>27</v>
      </c>
      <c r="BZ15" s="492">
        <v>37</v>
      </c>
      <c r="CA15" s="493">
        <v>25</v>
      </c>
      <c r="CB15" s="493">
        <v>27</v>
      </c>
      <c r="CC15" s="493">
        <v>39</v>
      </c>
      <c r="CD15" s="493">
        <v>39</v>
      </c>
      <c r="CE15" s="199"/>
      <c r="CF15" s="491">
        <v>1</v>
      </c>
      <c r="CG15" s="492">
        <v>3</v>
      </c>
      <c r="CH15" s="492">
        <v>1</v>
      </c>
      <c r="CI15" s="492">
        <v>3</v>
      </c>
      <c r="CJ15" s="493">
        <v>1</v>
      </c>
      <c r="CK15" s="493"/>
      <c r="CL15" s="493">
        <v>5</v>
      </c>
      <c r="CM15" s="493">
        <v>1</v>
      </c>
      <c r="CN15" s="199"/>
      <c r="CO15" s="491">
        <v>1</v>
      </c>
      <c r="CP15" s="492">
        <v>3</v>
      </c>
      <c r="CQ15" s="492"/>
      <c r="CR15" s="492"/>
      <c r="CS15" s="493">
        <v>3</v>
      </c>
      <c r="CT15" s="493">
        <v>2</v>
      </c>
      <c r="CU15" s="493">
        <v>3</v>
      </c>
      <c r="CV15" s="493">
        <v>3</v>
      </c>
      <c r="CW15" s="199"/>
      <c r="CX15" s="491">
        <v>1218</v>
      </c>
      <c r="CY15" s="492">
        <v>1532</v>
      </c>
      <c r="CZ15" s="492">
        <v>1891</v>
      </c>
      <c r="DA15" s="492">
        <v>1732</v>
      </c>
      <c r="DB15" s="493">
        <v>1213</v>
      </c>
      <c r="DC15" s="493">
        <v>903</v>
      </c>
      <c r="DD15" s="493">
        <v>966</v>
      </c>
      <c r="DE15" s="493">
        <v>686</v>
      </c>
      <c r="DF15" s="199"/>
      <c r="DG15" s="491">
        <v>136</v>
      </c>
      <c r="DH15" s="492">
        <v>170</v>
      </c>
      <c r="DI15" s="492">
        <v>245</v>
      </c>
      <c r="DJ15" s="492">
        <v>234</v>
      </c>
      <c r="DK15" s="493">
        <v>192</v>
      </c>
      <c r="DL15" s="493">
        <v>116</v>
      </c>
      <c r="DM15" s="493">
        <v>125</v>
      </c>
      <c r="DN15" s="493">
        <v>77</v>
      </c>
      <c r="DO15" s="199"/>
      <c r="DP15" s="491">
        <v>163</v>
      </c>
      <c r="DQ15" s="492">
        <v>195</v>
      </c>
      <c r="DR15" s="492">
        <v>303</v>
      </c>
      <c r="DS15" s="492">
        <v>221</v>
      </c>
      <c r="DT15" s="493">
        <v>94</v>
      </c>
      <c r="DU15" s="493">
        <v>41</v>
      </c>
      <c r="DV15" s="493">
        <v>128</v>
      </c>
      <c r="DW15" s="493">
        <v>102</v>
      </c>
      <c r="DX15" s="199"/>
      <c r="DY15" s="491">
        <v>232</v>
      </c>
      <c r="DZ15" s="492">
        <v>287</v>
      </c>
      <c r="EA15" s="492">
        <v>383</v>
      </c>
      <c r="EB15" s="492">
        <v>398</v>
      </c>
      <c r="EC15" s="493">
        <v>249</v>
      </c>
      <c r="ED15" s="493">
        <v>356</v>
      </c>
      <c r="EE15" s="493">
        <v>308</v>
      </c>
      <c r="EF15" s="493">
        <v>180</v>
      </c>
      <c r="EG15" s="199"/>
      <c r="EH15" s="491">
        <v>22</v>
      </c>
      <c r="EI15" s="492">
        <v>42</v>
      </c>
      <c r="EJ15" s="492">
        <v>26</v>
      </c>
      <c r="EK15" s="492">
        <v>13</v>
      </c>
      <c r="EL15" s="493">
        <v>9</v>
      </c>
      <c r="EM15" s="493">
        <v>8</v>
      </c>
      <c r="EN15" s="493">
        <v>12</v>
      </c>
      <c r="EO15" s="493">
        <v>4</v>
      </c>
      <c r="EP15" s="199"/>
      <c r="EQ15" s="491">
        <v>8</v>
      </c>
      <c r="ER15" s="492">
        <v>8</v>
      </c>
      <c r="ES15" s="492">
        <v>9</v>
      </c>
      <c r="ET15" s="492">
        <v>10</v>
      </c>
      <c r="EU15" s="493">
        <v>16</v>
      </c>
      <c r="EV15" s="493">
        <v>12</v>
      </c>
      <c r="EW15" s="493">
        <v>13</v>
      </c>
      <c r="EX15" s="493">
        <v>12</v>
      </c>
      <c r="EY15" s="199"/>
      <c r="EZ15" s="491"/>
      <c r="FA15" s="492"/>
      <c r="FB15" s="492">
        <v>1</v>
      </c>
      <c r="FC15" s="492">
        <v>3</v>
      </c>
      <c r="FD15" s="493"/>
      <c r="FE15" s="493">
        <v>2</v>
      </c>
      <c r="FF15" s="493"/>
      <c r="FG15" s="493">
        <v>1</v>
      </c>
      <c r="FH15" s="199"/>
      <c r="FI15" s="491">
        <v>203</v>
      </c>
      <c r="FJ15" s="492">
        <v>170</v>
      </c>
      <c r="FK15" s="492">
        <v>152</v>
      </c>
      <c r="FL15" s="492">
        <v>123</v>
      </c>
      <c r="FM15" s="493">
        <v>119</v>
      </c>
      <c r="FN15" s="493">
        <v>75</v>
      </c>
      <c r="FO15" s="493">
        <v>88</v>
      </c>
      <c r="FP15" s="493">
        <v>64</v>
      </c>
      <c r="FQ15" s="199"/>
      <c r="FR15" s="491">
        <v>1</v>
      </c>
      <c r="FS15" s="492"/>
      <c r="FT15" s="492">
        <v>1</v>
      </c>
      <c r="FU15" s="492">
        <v>2</v>
      </c>
      <c r="FV15" s="493"/>
      <c r="FW15" s="493"/>
      <c r="FX15" s="493">
        <v>1</v>
      </c>
      <c r="FY15" s="493">
        <v>1</v>
      </c>
      <c r="FZ15" s="199"/>
      <c r="GA15" s="491">
        <v>31</v>
      </c>
      <c r="GB15" s="492">
        <v>41</v>
      </c>
      <c r="GC15" s="492">
        <v>32</v>
      </c>
      <c r="GD15" s="492">
        <v>18</v>
      </c>
      <c r="GE15" s="493">
        <v>21</v>
      </c>
      <c r="GF15" s="493">
        <v>10</v>
      </c>
      <c r="GG15" s="493">
        <v>5</v>
      </c>
      <c r="GH15" s="493">
        <v>4</v>
      </c>
      <c r="GI15" s="199"/>
      <c r="GJ15" s="491">
        <v>1536</v>
      </c>
      <c r="GK15" s="492">
        <v>1865</v>
      </c>
      <c r="GL15" s="492">
        <v>2174</v>
      </c>
      <c r="GM15" s="492">
        <v>1980</v>
      </c>
      <c r="GN15" s="493">
        <v>1424</v>
      </c>
      <c r="GO15" s="493">
        <v>1054</v>
      </c>
      <c r="GP15" s="493">
        <v>1174</v>
      </c>
      <c r="GQ15" s="493">
        <v>846</v>
      </c>
      <c r="GR15" s="199"/>
      <c r="GS15" s="491">
        <v>722</v>
      </c>
      <c r="GT15" s="492">
        <v>820</v>
      </c>
      <c r="GU15" s="492">
        <v>1045</v>
      </c>
      <c r="GV15" s="492">
        <v>872</v>
      </c>
      <c r="GW15" s="493">
        <v>535</v>
      </c>
      <c r="GX15" s="493">
        <v>248</v>
      </c>
      <c r="GY15" s="493">
        <v>393</v>
      </c>
      <c r="GZ15" s="493">
        <v>306</v>
      </c>
      <c r="HA15" s="199"/>
      <c r="HB15" s="491">
        <v>8</v>
      </c>
      <c r="HC15" s="492">
        <v>7</v>
      </c>
      <c r="HD15" s="492">
        <v>6</v>
      </c>
      <c r="HE15" s="492">
        <v>3</v>
      </c>
      <c r="HF15" s="493">
        <v>4</v>
      </c>
      <c r="HG15" s="493">
        <v>8</v>
      </c>
      <c r="HH15" s="493">
        <v>4</v>
      </c>
      <c r="HI15" s="493">
        <v>3</v>
      </c>
      <c r="HJ15" s="199"/>
      <c r="HK15" s="491">
        <v>1</v>
      </c>
      <c r="HL15" s="492">
        <v>1</v>
      </c>
      <c r="HM15" s="492">
        <v>2</v>
      </c>
      <c r="HN15" s="492"/>
      <c r="HO15" s="493">
        <v>2</v>
      </c>
      <c r="HP15" s="493"/>
      <c r="HQ15" s="493">
        <v>1</v>
      </c>
      <c r="HR15" s="493"/>
      <c r="HS15" s="199"/>
      <c r="HT15" s="491">
        <v>776</v>
      </c>
      <c r="HU15" s="492">
        <v>879</v>
      </c>
      <c r="HV15" s="492">
        <v>1115</v>
      </c>
      <c r="HW15" s="492">
        <v>961</v>
      </c>
      <c r="HX15" s="493">
        <v>593</v>
      </c>
      <c r="HY15" s="493">
        <v>316</v>
      </c>
      <c r="HZ15" s="493">
        <v>520</v>
      </c>
      <c r="IA15" s="493">
        <v>426</v>
      </c>
      <c r="IB15" s="199"/>
      <c r="IC15" s="491">
        <v>1818</v>
      </c>
      <c r="ID15" s="492">
        <v>2243</v>
      </c>
      <c r="IE15" s="492">
        <v>2679</v>
      </c>
      <c r="IF15" s="492">
        <v>2723</v>
      </c>
      <c r="IG15" s="493">
        <v>1925</v>
      </c>
      <c r="IH15" s="493">
        <v>1472</v>
      </c>
      <c r="II15" s="493">
        <v>1708</v>
      </c>
      <c r="IJ15" s="493">
        <v>1390</v>
      </c>
      <c r="IK15" s="199"/>
      <c r="IL15" s="491">
        <v>328</v>
      </c>
      <c r="IM15" s="492">
        <v>420</v>
      </c>
      <c r="IN15" s="492">
        <v>555</v>
      </c>
      <c r="IO15" s="492">
        <v>382</v>
      </c>
      <c r="IP15" s="493">
        <v>149</v>
      </c>
      <c r="IQ15" s="493">
        <v>375</v>
      </c>
      <c r="IR15" s="493">
        <v>333</v>
      </c>
      <c r="IS15" s="493">
        <v>200</v>
      </c>
      <c r="IT15" s="199"/>
      <c r="IU15" s="533">
        <v>3247.5884244372992</v>
      </c>
      <c r="IV15" s="534">
        <v>4010.9438145989056</v>
      </c>
      <c r="IW15" s="534">
        <v>4803.1411359724616</v>
      </c>
      <c r="IX15" s="534">
        <v>4701.1498221746488</v>
      </c>
      <c r="IY15" s="535">
        <v>3315.0788730453946</v>
      </c>
      <c r="IZ15" s="535">
        <v>2523.9189328212337</v>
      </c>
      <c r="JA15" s="535">
        <v>2936.1709442849533</v>
      </c>
      <c r="JB15" s="535">
        <v>2410.8505619536563</v>
      </c>
      <c r="JC15" s="536"/>
      <c r="JD15" s="537">
        <v>1386.2093604858878</v>
      </c>
      <c r="JE15" s="538">
        <v>1571.8321948428165</v>
      </c>
      <c r="JF15" s="538">
        <v>1999.0676993689044</v>
      </c>
      <c r="JG15" s="538">
        <v>1659.1277925485999</v>
      </c>
      <c r="JH15" s="538">
        <v>1021.2165047874906</v>
      </c>
      <c r="JI15" s="539">
        <v>541.81955351325405</v>
      </c>
      <c r="JJ15" s="539">
        <v>893.91621254577024</v>
      </c>
      <c r="JK15" s="539">
        <v>738.86499236853058</v>
      </c>
      <c r="JL15" s="536"/>
      <c r="JM15" s="537">
        <v>2743.8370846730973</v>
      </c>
      <c r="JN15" s="538">
        <v>3335.0023246665</v>
      </c>
      <c r="JO15" s="538">
        <v>3897.7337923121054</v>
      </c>
      <c r="JP15" s="538">
        <v>3418.3902489554921</v>
      </c>
      <c r="JQ15" s="538">
        <v>2452.2973066060481</v>
      </c>
      <c r="JR15" s="539">
        <v>1807.2082576043347</v>
      </c>
      <c r="JS15" s="539">
        <v>2018.1877567860274</v>
      </c>
      <c r="JT15" s="539">
        <v>1467.3234355487721</v>
      </c>
      <c r="JU15" s="536"/>
      <c r="JV15" s="537">
        <v>1289.7463379778494</v>
      </c>
      <c r="JW15" s="538">
        <v>1466.3280998533671</v>
      </c>
      <c r="JX15" s="538">
        <v>1873.5656913367757</v>
      </c>
      <c r="JY15" s="538">
        <v>1505.4728773177721</v>
      </c>
      <c r="JZ15" s="538">
        <v>921.33360887235654</v>
      </c>
      <c r="KA15" s="539">
        <v>425.22547237749052</v>
      </c>
      <c r="KB15" s="539">
        <v>675.59436832786093</v>
      </c>
      <c r="KC15" s="539">
        <v>530.73400860274728</v>
      </c>
      <c r="KD15" s="536"/>
    </row>
    <row r="16" spans="1:290" ht="15" customHeight="1" x14ac:dyDescent="0.2">
      <c r="A16" s="935"/>
      <c r="B16" s="490" t="s">
        <v>1136</v>
      </c>
      <c r="C16" s="491">
        <v>16</v>
      </c>
      <c r="D16" s="492">
        <v>34</v>
      </c>
      <c r="E16" s="492">
        <v>3</v>
      </c>
      <c r="F16" s="492">
        <v>3</v>
      </c>
      <c r="G16" s="493">
        <v>2</v>
      </c>
      <c r="H16" s="493">
        <v>2</v>
      </c>
      <c r="I16" s="493"/>
      <c r="J16" s="493">
        <v>3</v>
      </c>
      <c r="K16" s="199"/>
      <c r="L16" s="491">
        <v>6</v>
      </c>
      <c r="M16" s="492">
        <v>4</v>
      </c>
      <c r="N16" s="492">
        <v>1</v>
      </c>
      <c r="O16" s="492">
        <v>1</v>
      </c>
      <c r="P16" s="493">
        <v>1</v>
      </c>
      <c r="Q16" s="493"/>
      <c r="R16" s="493"/>
      <c r="S16" s="493">
        <v>3</v>
      </c>
      <c r="T16" s="199"/>
      <c r="U16" s="491">
        <v>7</v>
      </c>
      <c r="V16" s="492">
        <v>8</v>
      </c>
      <c r="W16" s="492">
        <v>2</v>
      </c>
      <c r="X16" s="492">
        <v>2</v>
      </c>
      <c r="Y16" s="493">
        <v>1</v>
      </c>
      <c r="Z16" s="493">
        <v>1</v>
      </c>
      <c r="AA16" s="493"/>
      <c r="AB16" s="493"/>
      <c r="AC16" s="199"/>
      <c r="AD16" s="491">
        <v>215</v>
      </c>
      <c r="AE16" s="492">
        <v>128</v>
      </c>
      <c r="AF16" s="492">
        <v>138</v>
      </c>
      <c r="AG16" s="492">
        <v>105</v>
      </c>
      <c r="AH16" s="493">
        <v>160</v>
      </c>
      <c r="AI16" s="493">
        <v>223</v>
      </c>
      <c r="AJ16" s="493">
        <v>208</v>
      </c>
      <c r="AK16" s="493">
        <v>177</v>
      </c>
      <c r="AL16" s="199"/>
      <c r="AM16" s="491">
        <v>147</v>
      </c>
      <c r="AN16" s="492">
        <v>91</v>
      </c>
      <c r="AO16" s="492">
        <v>99</v>
      </c>
      <c r="AP16" s="492">
        <v>87</v>
      </c>
      <c r="AQ16" s="493">
        <v>112</v>
      </c>
      <c r="AR16" s="493">
        <v>135</v>
      </c>
      <c r="AS16" s="493">
        <v>110</v>
      </c>
      <c r="AT16" s="493">
        <v>95</v>
      </c>
      <c r="AU16" s="199"/>
      <c r="AV16" s="491">
        <v>2</v>
      </c>
      <c r="AW16" s="492"/>
      <c r="AX16" s="492"/>
      <c r="AY16" s="492"/>
      <c r="AZ16" s="493"/>
      <c r="BA16" s="493"/>
      <c r="BB16" s="493"/>
      <c r="BC16" s="493"/>
      <c r="BD16" s="199"/>
      <c r="BE16" s="491">
        <v>39</v>
      </c>
      <c r="BF16" s="492">
        <v>20</v>
      </c>
      <c r="BG16" s="492">
        <v>14</v>
      </c>
      <c r="BH16" s="492">
        <v>12</v>
      </c>
      <c r="BI16" s="493"/>
      <c r="BJ16" s="493">
        <v>9</v>
      </c>
      <c r="BK16" s="493">
        <v>17</v>
      </c>
      <c r="BL16" s="493">
        <v>17</v>
      </c>
      <c r="BM16" s="199"/>
      <c r="BN16" s="491">
        <v>1</v>
      </c>
      <c r="BO16" s="492"/>
      <c r="BP16" s="492"/>
      <c r="BQ16" s="492"/>
      <c r="BR16" s="493"/>
      <c r="BS16" s="493">
        <v>2</v>
      </c>
      <c r="BT16" s="493">
        <v>3</v>
      </c>
      <c r="BU16" s="493">
        <v>4</v>
      </c>
      <c r="BV16" s="199"/>
      <c r="BW16" s="491">
        <v>153</v>
      </c>
      <c r="BX16" s="492">
        <v>101</v>
      </c>
      <c r="BY16" s="492">
        <v>122</v>
      </c>
      <c r="BZ16" s="492">
        <v>110</v>
      </c>
      <c r="CA16" s="493">
        <v>120</v>
      </c>
      <c r="CB16" s="493">
        <v>135</v>
      </c>
      <c r="CC16" s="493">
        <v>148</v>
      </c>
      <c r="CD16" s="493">
        <v>185</v>
      </c>
      <c r="CE16" s="199"/>
      <c r="CF16" s="491">
        <v>13</v>
      </c>
      <c r="CG16" s="492">
        <v>11</v>
      </c>
      <c r="CH16" s="492">
        <v>9</v>
      </c>
      <c r="CI16" s="492">
        <v>4</v>
      </c>
      <c r="CJ16" s="493">
        <v>4</v>
      </c>
      <c r="CK16" s="493">
        <v>4</v>
      </c>
      <c r="CL16" s="493">
        <v>7</v>
      </c>
      <c r="CM16" s="493">
        <v>6</v>
      </c>
      <c r="CN16" s="199"/>
      <c r="CO16" s="491">
        <v>21</v>
      </c>
      <c r="CP16" s="492">
        <v>11</v>
      </c>
      <c r="CQ16" s="492">
        <v>11</v>
      </c>
      <c r="CR16" s="492">
        <v>14</v>
      </c>
      <c r="CS16" s="493">
        <v>4</v>
      </c>
      <c r="CT16" s="493">
        <v>15</v>
      </c>
      <c r="CU16" s="493">
        <v>8</v>
      </c>
      <c r="CV16" s="493">
        <v>12</v>
      </c>
      <c r="CW16" s="199"/>
      <c r="CX16" s="491">
        <v>6565</v>
      </c>
      <c r="CY16" s="492">
        <v>3735</v>
      </c>
      <c r="CZ16" s="492">
        <v>3700</v>
      </c>
      <c r="DA16" s="492">
        <v>3618</v>
      </c>
      <c r="DB16" s="493">
        <v>3337</v>
      </c>
      <c r="DC16" s="493">
        <v>2561</v>
      </c>
      <c r="DD16" s="493">
        <v>1747</v>
      </c>
      <c r="DE16" s="493">
        <v>1620</v>
      </c>
      <c r="DF16" s="199"/>
      <c r="DG16" s="491">
        <v>552</v>
      </c>
      <c r="DH16" s="492">
        <v>302</v>
      </c>
      <c r="DI16" s="492">
        <v>279</v>
      </c>
      <c r="DJ16" s="492">
        <v>162</v>
      </c>
      <c r="DK16" s="493">
        <v>186</v>
      </c>
      <c r="DL16" s="493">
        <v>105</v>
      </c>
      <c r="DM16" s="493">
        <v>61</v>
      </c>
      <c r="DN16" s="493">
        <v>22</v>
      </c>
      <c r="DO16" s="199"/>
      <c r="DP16" s="491">
        <v>946</v>
      </c>
      <c r="DQ16" s="492">
        <v>520</v>
      </c>
      <c r="DR16" s="492">
        <v>538</v>
      </c>
      <c r="DS16" s="492">
        <v>518</v>
      </c>
      <c r="DT16" s="493">
        <v>347</v>
      </c>
      <c r="DU16" s="493">
        <v>301</v>
      </c>
      <c r="DV16" s="493">
        <v>107</v>
      </c>
      <c r="DW16" s="493">
        <v>130</v>
      </c>
      <c r="DX16" s="199"/>
      <c r="DY16" s="491">
        <v>586</v>
      </c>
      <c r="DZ16" s="492">
        <v>307</v>
      </c>
      <c r="EA16" s="492">
        <v>353</v>
      </c>
      <c r="EB16" s="492">
        <v>319</v>
      </c>
      <c r="EC16" s="493">
        <v>560</v>
      </c>
      <c r="ED16" s="493">
        <v>247</v>
      </c>
      <c r="EE16" s="493">
        <v>187</v>
      </c>
      <c r="EF16" s="493">
        <v>123</v>
      </c>
      <c r="EG16" s="199"/>
      <c r="EH16" s="491">
        <v>165</v>
      </c>
      <c r="EI16" s="492">
        <v>129</v>
      </c>
      <c r="EJ16" s="492">
        <v>136</v>
      </c>
      <c r="EK16" s="492">
        <v>65</v>
      </c>
      <c r="EL16" s="493">
        <v>68</v>
      </c>
      <c r="EM16" s="493">
        <v>69</v>
      </c>
      <c r="EN16" s="493">
        <v>31</v>
      </c>
      <c r="EO16" s="493">
        <v>17</v>
      </c>
      <c r="EP16" s="199"/>
      <c r="EQ16" s="491">
        <v>115</v>
      </c>
      <c r="ER16" s="492">
        <v>69</v>
      </c>
      <c r="ES16" s="492">
        <v>78</v>
      </c>
      <c r="ET16" s="492">
        <v>75</v>
      </c>
      <c r="EU16" s="493">
        <v>78</v>
      </c>
      <c r="EV16" s="493">
        <v>83</v>
      </c>
      <c r="EW16" s="493">
        <v>44</v>
      </c>
      <c r="EX16" s="493">
        <v>40</v>
      </c>
      <c r="EY16" s="199"/>
      <c r="EZ16" s="491">
        <v>22</v>
      </c>
      <c r="FA16" s="492">
        <v>11</v>
      </c>
      <c r="FB16" s="492">
        <v>5</v>
      </c>
      <c r="FC16" s="492"/>
      <c r="FD16" s="493">
        <v>9</v>
      </c>
      <c r="FE16" s="493">
        <v>7</v>
      </c>
      <c r="FF16" s="493">
        <v>8</v>
      </c>
      <c r="FG16" s="493">
        <v>4</v>
      </c>
      <c r="FH16" s="199"/>
      <c r="FI16" s="491">
        <v>997</v>
      </c>
      <c r="FJ16" s="492">
        <v>483</v>
      </c>
      <c r="FK16" s="492">
        <v>300</v>
      </c>
      <c r="FL16" s="492">
        <v>274</v>
      </c>
      <c r="FM16" s="493">
        <v>255</v>
      </c>
      <c r="FN16" s="493">
        <v>261</v>
      </c>
      <c r="FO16" s="493">
        <v>158</v>
      </c>
      <c r="FP16" s="493">
        <v>179</v>
      </c>
      <c r="FQ16" s="199"/>
      <c r="FR16" s="491">
        <v>11</v>
      </c>
      <c r="FS16" s="492">
        <v>7</v>
      </c>
      <c r="FT16" s="492">
        <v>9</v>
      </c>
      <c r="FU16" s="492">
        <v>15</v>
      </c>
      <c r="FV16" s="493">
        <v>18</v>
      </c>
      <c r="FW16" s="493">
        <v>11</v>
      </c>
      <c r="FX16" s="493">
        <v>7</v>
      </c>
      <c r="FY16" s="493">
        <v>7</v>
      </c>
      <c r="FZ16" s="199"/>
      <c r="GA16" s="491">
        <v>142</v>
      </c>
      <c r="GB16" s="492">
        <v>65</v>
      </c>
      <c r="GC16" s="492">
        <v>62</v>
      </c>
      <c r="GD16" s="492">
        <v>29</v>
      </c>
      <c r="GE16" s="493">
        <v>31</v>
      </c>
      <c r="GF16" s="493">
        <v>11</v>
      </c>
      <c r="GG16" s="493">
        <v>4</v>
      </c>
      <c r="GH16" s="493">
        <v>11</v>
      </c>
      <c r="GI16" s="199"/>
      <c r="GJ16" s="491">
        <v>8475</v>
      </c>
      <c r="GK16" s="492">
        <v>4804</v>
      </c>
      <c r="GL16" s="492">
        <v>4587</v>
      </c>
      <c r="GM16" s="492">
        <v>4324</v>
      </c>
      <c r="GN16" s="493">
        <v>4086</v>
      </c>
      <c r="GO16" s="493">
        <v>3393</v>
      </c>
      <c r="GP16" s="493">
        <v>2390</v>
      </c>
      <c r="GQ16" s="493">
        <v>2282</v>
      </c>
      <c r="GR16" s="199"/>
      <c r="GS16" s="491">
        <v>4813</v>
      </c>
      <c r="GT16" s="492">
        <v>2707</v>
      </c>
      <c r="GU16" s="492">
        <v>2590</v>
      </c>
      <c r="GV16" s="492">
        <v>2213</v>
      </c>
      <c r="GW16" s="493">
        <v>1543</v>
      </c>
      <c r="GX16" s="493">
        <v>1273</v>
      </c>
      <c r="GY16" s="493">
        <v>749</v>
      </c>
      <c r="GZ16" s="493">
        <v>733</v>
      </c>
      <c r="HA16" s="199"/>
      <c r="HB16" s="491">
        <v>24</v>
      </c>
      <c r="HC16" s="492">
        <v>15</v>
      </c>
      <c r="HD16" s="492">
        <v>10</v>
      </c>
      <c r="HE16" s="492">
        <v>7</v>
      </c>
      <c r="HF16" s="493">
        <v>15</v>
      </c>
      <c r="HG16" s="493">
        <v>14</v>
      </c>
      <c r="HH16" s="493">
        <v>15</v>
      </c>
      <c r="HI16" s="493">
        <v>5</v>
      </c>
      <c r="HJ16" s="199"/>
      <c r="HK16" s="491">
        <v>4</v>
      </c>
      <c r="HL16" s="492">
        <v>5</v>
      </c>
      <c r="HM16" s="492">
        <v>2</v>
      </c>
      <c r="HN16" s="492">
        <v>2</v>
      </c>
      <c r="HO16" s="493">
        <v>2</v>
      </c>
      <c r="HP16" s="493">
        <v>4</v>
      </c>
      <c r="HQ16" s="493">
        <v>4</v>
      </c>
      <c r="HR16" s="493"/>
      <c r="HS16" s="199"/>
      <c r="HT16" s="491">
        <v>5233</v>
      </c>
      <c r="HU16" s="492">
        <v>2893</v>
      </c>
      <c r="HV16" s="492">
        <v>2764</v>
      </c>
      <c r="HW16" s="492">
        <v>5585</v>
      </c>
      <c r="HX16" s="493">
        <v>1725</v>
      </c>
      <c r="HY16" s="493">
        <v>1460</v>
      </c>
      <c r="HZ16" s="493">
        <v>1030</v>
      </c>
      <c r="IA16" s="493">
        <v>992</v>
      </c>
      <c r="IB16" s="199"/>
      <c r="IC16" s="491">
        <v>18484</v>
      </c>
      <c r="ID16" s="492">
        <v>7830</v>
      </c>
      <c r="IE16" s="492">
        <v>8939</v>
      </c>
      <c r="IF16" s="492">
        <v>10346</v>
      </c>
      <c r="IG16" s="493">
        <v>9021</v>
      </c>
      <c r="IH16" s="493">
        <v>5462</v>
      </c>
      <c r="II16" s="493">
        <v>4181</v>
      </c>
      <c r="IJ16" s="493">
        <v>7787</v>
      </c>
      <c r="IK16" s="199"/>
      <c r="IL16" s="491">
        <v>853</v>
      </c>
      <c r="IM16" s="492">
        <v>555</v>
      </c>
      <c r="IN16" s="492">
        <v>631</v>
      </c>
      <c r="IO16" s="492">
        <v>420</v>
      </c>
      <c r="IP16" s="493">
        <v>411</v>
      </c>
      <c r="IQ16" s="493">
        <v>348</v>
      </c>
      <c r="IR16" s="493">
        <v>245</v>
      </c>
      <c r="IS16" s="493">
        <v>169</v>
      </c>
      <c r="IT16" s="199"/>
      <c r="IU16" s="533">
        <v>16022.884882108183</v>
      </c>
      <c r="IV16" s="534">
        <v>6689.1632138738196</v>
      </c>
      <c r="IW16" s="534">
        <v>7554.9357674104131</v>
      </c>
      <c r="IX16" s="534">
        <v>8777.7645801164035</v>
      </c>
      <c r="IY16" s="535">
        <v>7558.3149004624966</v>
      </c>
      <c r="IZ16" s="535">
        <v>4544.1309827868781</v>
      </c>
      <c r="JA16" s="535">
        <v>3476.7496008515168</v>
      </c>
      <c r="JB16" s="535">
        <v>6512.2308174785703</v>
      </c>
      <c r="JC16" s="536"/>
      <c r="JD16" s="537">
        <v>4536.2343966712897</v>
      </c>
      <c r="JE16" s="538">
        <v>2471.4877621630858</v>
      </c>
      <c r="JF16" s="538">
        <v>2336.0378634212307</v>
      </c>
      <c r="JG16" s="538">
        <v>4738.4317784602854</v>
      </c>
      <c r="JH16" s="538">
        <v>1445.3046450834506</v>
      </c>
      <c r="JI16" s="539">
        <v>1214.6523681561412</v>
      </c>
      <c r="JJ16" s="539">
        <v>856.50612027674299</v>
      </c>
      <c r="JK16" s="539">
        <v>829.60485051223088</v>
      </c>
      <c r="JL16" s="536"/>
      <c r="JM16" s="537">
        <v>7346.5672676837721</v>
      </c>
      <c r="JN16" s="538">
        <v>4104.0536499935924</v>
      </c>
      <c r="JO16" s="538">
        <v>3876.7748478701824</v>
      </c>
      <c r="JP16" s="538">
        <v>3668.5727860451698</v>
      </c>
      <c r="JQ16" s="538">
        <v>3423.4868288759303</v>
      </c>
      <c r="JR16" s="539">
        <v>2822.8188254477991</v>
      </c>
      <c r="JS16" s="539">
        <v>1987.4268227780735</v>
      </c>
      <c r="JT16" s="539">
        <v>1908.425674263015</v>
      </c>
      <c r="JU16" s="536"/>
      <c r="JV16" s="537">
        <v>4172.1567267683768</v>
      </c>
      <c r="JW16" s="538">
        <v>2312.5880996112937</v>
      </c>
      <c r="JX16" s="538">
        <v>2188.979039891819</v>
      </c>
      <c r="JY16" s="538">
        <v>1877.5558685286683</v>
      </c>
      <c r="JZ16" s="538">
        <v>1292.8145318050808</v>
      </c>
      <c r="KA16" s="539">
        <v>1059.0770305909366</v>
      </c>
      <c r="KB16" s="539">
        <v>622.83794571580631</v>
      </c>
      <c r="KC16" s="539">
        <v>613.00439054986418</v>
      </c>
      <c r="KD16" s="536"/>
    </row>
    <row r="17" spans="1:290" ht="15" customHeight="1" x14ac:dyDescent="0.2">
      <c r="A17" s="935"/>
      <c r="B17" s="490" t="s">
        <v>1137</v>
      </c>
      <c r="C17" s="491">
        <v>2</v>
      </c>
      <c r="D17" s="492"/>
      <c r="E17" s="492">
        <v>2</v>
      </c>
      <c r="F17" s="492">
        <v>3</v>
      </c>
      <c r="G17" s="493">
        <v>3</v>
      </c>
      <c r="H17" s="493">
        <v>2</v>
      </c>
      <c r="I17" s="493">
        <v>3</v>
      </c>
      <c r="J17" s="493">
        <v>2</v>
      </c>
      <c r="K17" s="199"/>
      <c r="L17" s="491"/>
      <c r="M17" s="492"/>
      <c r="N17" s="492">
        <v>1</v>
      </c>
      <c r="O17" s="492"/>
      <c r="P17" s="493">
        <v>2</v>
      </c>
      <c r="Q17" s="493">
        <v>1</v>
      </c>
      <c r="R17" s="493">
        <v>3</v>
      </c>
      <c r="S17" s="493">
        <v>1</v>
      </c>
      <c r="T17" s="199"/>
      <c r="U17" s="491">
        <v>2</v>
      </c>
      <c r="V17" s="492"/>
      <c r="W17" s="492">
        <v>1</v>
      </c>
      <c r="X17" s="492">
        <v>2</v>
      </c>
      <c r="Y17" s="493">
        <v>1</v>
      </c>
      <c r="Z17" s="493">
        <v>1</v>
      </c>
      <c r="AA17" s="493"/>
      <c r="AB17" s="493">
        <v>1</v>
      </c>
      <c r="AC17" s="199"/>
      <c r="AD17" s="491">
        <v>95</v>
      </c>
      <c r="AE17" s="492">
        <v>78</v>
      </c>
      <c r="AF17" s="492">
        <v>93</v>
      </c>
      <c r="AG17" s="492">
        <v>103</v>
      </c>
      <c r="AH17" s="493">
        <v>143</v>
      </c>
      <c r="AI17" s="493">
        <v>116</v>
      </c>
      <c r="AJ17" s="493">
        <v>114</v>
      </c>
      <c r="AK17" s="493">
        <v>96</v>
      </c>
      <c r="AL17" s="199"/>
      <c r="AM17" s="491">
        <v>64</v>
      </c>
      <c r="AN17" s="492">
        <v>63</v>
      </c>
      <c r="AO17" s="492">
        <v>63</v>
      </c>
      <c r="AP17" s="492">
        <v>70</v>
      </c>
      <c r="AQ17" s="493">
        <v>94</v>
      </c>
      <c r="AR17" s="493">
        <v>71</v>
      </c>
      <c r="AS17" s="493">
        <v>69</v>
      </c>
      <c r="AT17" s="493">
        <v>44</v>
      </c>
      <c r="AU17" s="199"/>
      <c r="AV17" s="491"/>
      <c r="AW17" s="492"/>
      <c r="AX17" s="492"/>
      <c r="AY17" s="492">
        <v>1</v>
      </c>
      <c r="AZ17" s="493"/>
      <c r="BA17" s="493"/>
      <c r="BB17" s="493"/>
      <c r="BC17" s="493"/>
      <c r="BD17" s="199"/>
      <c r="BE17" s="491">
        <v>14</v>
      </c>
      <c r="BF17" s="492">
        <v>17</v>
      </c>
      <c r="BG17" s="492">
        <v>9</v>
      </c>
      <c r="BH17" s="492">
        <v>7</v>
      </c>
      <c r="BI17" s="493">
        <v>10</v>
      </c>
      <c r="BJ17" s="493">
        <v>10</v>
      </c>
      <c r="BK17" s="493">
        <v>1</v>
      </c>
      <c r="BL17" s="493">
        <v>11</v>
      </c>
      <c r="BM17" s="199"/>
      <c r="BN17" s="491"/>
      <c r="BO17" s="492"/>
      <c r="BP17" s="492"/>
      <c r="BQ17" s="492"/>
      <c r="BR17" s="493"/>
      <c r="BS17" s="493">
        <v>3</v>
      </c>
      <c r="BT17" s="493">
        <v>2</v>
      </c>
      <c r="BU17" s="493"/>
      <c r="BV17" s="199"/>
      <c r="BW17" s="491">
        <v>111</v>
      </c>
      <c r="BX17" s="492">
        <v>79</v>
      </c>
      <c r="BY17" s="492">
        <v>122</v>
      </c>
      <c r="BZ17" s="492">
        <v>149</v>
      </c>
      <c r="CA17" s="493">
        <v>163</v>
      </c>
      <c r="CB17" s="493">
        <v>191</v>
      </c>
      <c r="CC17" s="493">
        <v>148</v>
      </c>
      <c r="CD17" s="493">
        <v>151</v>
      </c>
      <c r="CE17" s="199"/>
      <c r="CF17" s="491">
        <v>10</v>
      </c>
      <c r="CG17" s="492">
        <v>8</v>
      </c>
      <c r="CH17" s="492">
        <v>8</v>
      </c>
      <c r="CI17" s="492">
        <v>7</v>
      </c>
      <c r="CJ17" s="493">
        <v>6</v>
      </c>
      <c r="CK17" s="493">
        <v>9</v>
      </c>
      <c r="CL17" s="493">
        <v>7</v>
      </c>
      <c r="CM17" s="493">
        <v>3</v>
      </c>
      <c r="CN17" s="199"/>
      <c r="CO17" s="491">
        <v>8</v>
      </c>
      <c r="CP17" s="492"/>
      <c r="CQ17" s="492">
        <v>10</v>
      </c>
      <c r="CR17" s="492">
        <v>2</v>
      </c>
      <c r="CS17" s="493">
        <v>3</v>
      </c>
      <c r="CT17" s="493">
        <v>6</v>
      </c>
      <c r="CU17" s="493">
        <v>7</v>
      </c>
      <c r="CV17" s="493">
        <v>13</v>
      </c>
      <c r="CW17" s="199"/>
      <c r="CX17" s="491">
        <v>3564</v>
      </c>
      <c r="CY17" s="492">
        <v>4043</v>
      </c>
      <c r="CZ17" s="492">
        <v>3069</v>
      </c>
      <c r="DA17" s="492">
        <v>3607</v>
      </c>
      <c r="DB17" s="493">
        <v>3558</v>
      </c>
      <c r="DC17" s="493">
        <v>2821</v>
      </c>
      <c r="DD17" s="493">
        <v>2225</v>
      </c>
      <c r="DE17" s="493">
        <v>1679</v>
      </c>
      <c r="DF17" s="199"/>
      <c r="DG17" s="491">
        <v>316</v>
      </c>
      <c r="DH17" s="492">
        <v>385</v>
      </c>
      <c r="DI17" s="492">
        <v>442</v>
      </c>
      <c r="DJ17" s="492">
        <v>345</v>
      </c>
      <c r="DK17" s="493">
        <v>315</v>
      </c>
      <c r="DL17" s="493">
        <v>249</v>
      </c>
      <c r="DM17" s="493">
        <v>161</v>
      </c>
      <c r="DN17" s="493">
        <v>100</v>
      </c>
      <c r="DO17" s="199"/>
      <c r="DP17" s="491">
        <v>648</v>
      </c>
      <c r="DQ17" s="492">
        <v>576</v>
      </c>
      <c r="DR17" s="492">
        <v>345</v>
      </c>
      <c r="DS17" s="492">
        <v>413</v>
      </c>
      <c r="DT17" s="493">
        <v>527</v>
      </c>
      <c r="DU17" s="493">
        <v>371</v>
      </c>
      <c r="DV17" s="493">
        <v>246</v>
      </c>
      <c r="DW17" s="493">
        <v>272</v>
      </c>
      <c r="DX17" s="199"/>
      <c r="DY17" s="491">
        <v>342</v>
      </c>
      <c r="DZ17" s="492">
        <v>306</v>
      </c>
      <c r="EA17" s="492">
        <v>300</v>
      </c>
      <c r="EB17" s="492">
        <v>492</v>
      </c>
      <c r="EC17" s="493">
        <v>453</v>
      </c>
      <c r="ED17" s="493">
        <v>438</v>
      </c>
      <c r="EE17" s="493">
        <v>321</v>
      </c>
      <c r="EF17" s="493">
        <v>187</v>
      </c>
      <c r="EG17" s="199"/>
      <c r="EH17" s="491">
        <v>99</v>
      </c>
      <c r="EI17" s="492">
        <v>85</v>
      </c>
      <c r="EJ17" s="492">
        <v>80</v>
      </c>
      <c r="EK17" s="492">
        <v>69</v>
      </c>
      <c r="EL17" s="493">
        <v>71</v>
      </c>
      <c r="EM17" s="493">
        <v>46</v>
      </c>
      <c r="EN17" s="493">
        <v>52</v>
      </c>
      <c r="EO17" s="493">
        <v>22</v>
      </c>
      <c r="EP17" s="199"/>
      <c r="EQ17" s="491">
        <v>26</v>
      </c>
      <c r="ER17" s="492">
        <v>50</v>
      </c>
      <c r="ES17" s="492">
        <v>48</v>
      </c>
      <c r="ET17" s="492">
        <v>46</v>
      </c>
      <c r="EU17" s="493">
        <v>49</v>
      </c>
      <c r="EV17" s="493">
        <v>53</v>
      </c>
      <c r="EW17" s="493">
        <v>32</v>
      </c>
      <c r="EX17" s="493">
        <v>38</v>
      </c>
      <c r="EY17" s="199"/>
      <c r="EZ17" s="491">
        <v>4</v>
      </c>
      <c r="FA17" s="492">
        <v>4</v>
      </c>
      <c r="FB17" s="492">
        <v>4</v>
      </c>
      <c r="FC17" s="492">
        <v>4</v>
      </c>
      <c r="FD17" s="493">
        <v>7</v>
      </c>
      <c r="FE17" s="493">
        <v>11</v>
      </c>
      <c r="FF17" s="493">
        <v>6</v>
      </c>
      <c r="FG17" s="493">
        <v>5</v>
      </c>
      <c r="FH17" s="199"/>
      <c r="FI17" s="491">
        <v>538</v>
      </c>
      <c r="FJ17" s="492">
        <v>451</v>
      </c>
      <c r="FK17" s="492">
        <v>286</v>
      </c>
      <c r="FL17" s="492">
        <v>299</v>
      </c>
      <c r="FM17" s="493">
        <v>276</v>
      </c>
      <c r="FN17" s="493">
        <v>179</v>
      </c>
      <c r="FO17" s="493">
        <v>194</v>
      </c>
      <c r="FP17" s="493">
        <v>225</v>
      </c>
      <c r="FQ17" s="199"/>
      <c r="FR17" s="491">
        <v>8</v>
      </c>
      <c r="FS17" s="492">
        <v>5</v>
      </c>
      <c r="FT17" s="492">
        <v>7</v>
      </c>
      <c r="FU17" s="492">
        <v>7</v>
      </c>
      <c r="FV17" s="493">
        <v>24</v>
      </c>
      <c r="FW17" s="493">
        <v>9</v>
      </c>
      <c r="FX17" s="493">
        <v>4</v>
      </c>
      <c r="FY17" s="493"/>
      <c r="FZ17" s="199"/>
      <c r="GA17" s="491">
        <v>33</v>
      </c>
      <c r="GB17" s="492">
        <v>77</v>
      </c>
      <c r="GC17" s="492">
        <v>9</v>
      </c>
      <c r="GD17" s="492">
        <v>23</v>
      </c>
      <c r="GE17" s="493">
        <v>38</v>
      </c>
      <c r="GF17" s="493">
        <v>13</v>
      </c>
      <c r="GG17" s="493">
        <v>5</v>
      </c>
      <c r="GH17" s="493">
        <v>11</v>
      </c>
      <c r="GI17" s="199"/>
      <c r="GJ17" s="491">
        <v>4512</v>
      </c>
      <c r="GK17" s="492">
        <v>4897</v>
      </c>
      <c r="GL17" s="492">
        <v>3747</v>
      </c>
      <c r="GM17" s="492">
        <v>4326</v>
      </c>
      <c r="GN17" s="493">
        <v>4351</v>
      </c>
      <c r="GO17" s="493">
        <v>3469</v>
      </c>
      <c r="GP17" s="493">
        <v>2800</v>
      </c>
      <c r="GQ17" s="493">
        <v>2256</v>
      </c>
      <c r="GR17" s="199"/>
      <c r="GS17" s="491">
        <v>2551</v>
      </c>
      <c r="GT17" s="492">
        <v>2664</v>
      </c>
      <c r="GU17" s="492">
        <v>2216</v>
      </c>
      <c r="GV17" s="492">
        <v>2186</v>
      </c>
      <c r="GW17" s="493">
        <v>1955</v>
      </c>
      <c r="GX17" s="493">
        <v>1258</v>
      </c>
      <c r="GY17" s="493">
        <v>1115</v>
      </c>
      <c r="GZ17" s="493">
        <v>787</v>
      </c>
      <c r="HA17" s="199"/>
      <c r="HB17" s="491">
        <v>9</v>
      </c>
      <c r="HC17" s="492">
        <v>12</v>
      </c>
      <c r="HD17" s="492">
        <v>12</v>
      </c>
      <c r="HE17" s="492">
        <v>10</v>
      </c>
      <c r="HF17" s="493">
        <v>17</v>
      </c>
      <c r="HG17" s="493">
        <v>23</v>
      </c>
      <c r="HH17" s="493">
        <v>18</v>
      </c>
      <c r="HI17" s="493">
        <v>16</v>
      </c>
      <c r="HJ17" s="199"/>
      <c r="HK17" s="491">
        <v>9</v>
      </c>
      <c r="HL17" s="492">
        <v>15</v>
      </c>
      <c r="HM17" s="492">
        <v>6</v>
      </c>
      <c r="HN17" s="492">
        <v>3</v>
      </c>
      <c r="HO17" s="493">
        <v>5</v>
      </c>
      <c r="HP17" s="493"/>
      <c r="HQ17" s="493">
        <v>2</v>
      </c>
      <c r="HR17" s="493">
        <v>5</v>
      </c>
      <c r="HS17" s="199"/>
      <c r="HT17" s="491">
        <v>2857</v>
      </c>
      <c r="HU17" s="492">
        <v>2894</v>
      </c>
      <c r="HV17" s="492">
        <v>2351</v>
      </c>
      <c r="HW17" s="492">
        <v>2481</v>
      </c>
      <c r="HX17" s="493">
        <v>2198</v>
      </c>
      <c r="HY17" s="493">
        <v>1517</v>
      </c>
      <c r="HZ17" s="493">
        <v>1367</v>
      </c>
      <c r="IA17" s="493">
        <v>1052</v>
      </c>
      <c r="IB17" s="199"/>
      <c r="IC17" s="491">
        <v>6959</v>
      </c>
      <c r="ID17" s="492">
        <v>6850</v>
      </c>
      <c r="IE17" s="492">
        <v>6019</v>
      </c>
      <c r="IF17" s="492">
        <v>9206</v>
      </c>
      <c r="IG17" s="493">
        <v>5992</v>
      </c>
      <c r="IH17" s="493">
        <v>4831</v>
      </c>
      <c r="II17" s="493">
        <v>4101</v>
      </c>
      <c r="IJ17" s="493">
        <v>3504</v>
      </c>
      <c r="IK17" s="199"/>
      <c r="IL17" s="491">
        <v>531</v>
      </c>
      <c r="IM17" s="492">
        <v>539</v>
      </c>
      <c r="IN17" s="492">
        <v>429</v>
      </c>
      <c r="IO17" s="492">
        <v>385</v>
      </c>
      <c r="IP17" s="493">
        <v>310</v>
      </c>
      <c r="IQ17" s="493">
        <v>529</v>
      </c>
      <c r="IR17" s="493">
        <v>406</v>
      </c>
      <c r="IS17" s="493">
        <v>240</v>
      </c>
      <c r="IT17" s="199"/>
      <c r="IU17" s="533">
        <v>5717.1728789609024</v>
      </c>
      <c r="IV17" s="534">
        <v>5563.3162237671368</v>
      </c>
      <c r="IW17" s="534">
        <v>4862.4238605335013</v>
      </c>
      <c r="IX17" s="534">
        <v>7454.7339098888997</v>
      </c>
      <c r="IY17" s="535">
        <v>4820.59533386967</v>
      </c>
      <c r="IZ17" s="535">
        <v>3866.1608886327986</v>
      </c>
      <c r="JA17" s="535">
        <v>3284.9784926426414</v>
      </c>
      <c r="JB17" s="535">
        <v>2826.0343576094847</v>
      </c>
      <c r="JC17" s="536"/>
      <c r="JD17" s="537">
        <v>2347.1709893937773</v>
      </c>
      <c r="JE17" s="538">
        <v>2350.3995841725687</v>
      </c>
      <c r="JF17" s="538">
        <v>1899.2454720242999</v>
      </c>
      <c r="JG17" s="538">
        <v>2009.0370226411428</v>
      </c>
      <c r="JH17" s="538">
        <v>1768.3024939662107</v>
      </c>
      <c r="JI17" s="539">
        <v>1214.0273376228433</v>
      </c>
      <c r="JJ17" s="539">
        <v>1094.9928308808803</v>
      </c>
      <c r="JK17" s="539">
        <v>848.4555206065005</v>
      </c>
      <c r="JL17" s="536"/>
      <c r="JM17" s="537">
        <v>3706.8377683390704</v>
      </c>
      <c r="JN17" s="538">
        <v>3977.1619777792212</v>
      </c>
      <c r="JO17" s="538">
        <v>3026.9982065823274</v>
      </c>
      <c r="JP17" s="538">
        <v>3503.0609270236127</v>
      </c>
      <c r="JQ17" s="538">
        <v>3500.4022526146423</v>
      </c>
      <c r="JR17" s="539">
        <v>2776.1772143794615</v>
      </c>
      <c r="JS17" s="539">
        <v>2242.8529089001208</v>
      </c>
      <c r="JT17" s="539">
        <v>1819.5015727074763</v>
      </c>
      <c r="JU17" s="536"/>
      <c r="JV17" s="537">
        <v>2095.7764067005692</v>
      </c>
      <c r="JW17" s="538">
        <v>2163.6021051263724</v>
      </c>
      <c r="JX17" s="538">
        <v>1790.1862892411098</v>
      </c>
      <c r="JY17" s="538">
        <v>1770.1551517507207</v>
      </c>
      <c r="JZ17" s="538">
        <v>1572.807723250201</v>
      </c>
      <c r="KA17" s="539">
        <v>1006.7543775408943</v>
      </c>
      <c r="KB17" s="539">
        <v>893.13606907986957</v>
      </c>
      <c r="KC17" s="539">
        <v>634.72860714573756</v>
      </c>
      <c r="KD17" s="536"/>
    </row>
    <row r="18" spans="1:290" ht="15" customHeight="1" x14ac:dyDescent="0.2">
      <c r="A18" s="935"/>
      <c r="B18" s="490" t="s">
        <v>1138</v>
      </c>
      <c r="C18" s="491"/>
      <c r="D18" s="492">
        <v>3</v>
      </c>
      <c r="E18" s="492">
        <v>3</v>
      </c>
      <c r="F18" s="492"/>
      <c r="G18" s="493">
        <v>2</v>
      </c>
      <c r="H18" s="493">
        <v>4</v>
      </c>
      <c r="I18" s="493">
        <v>3</v>
      </c>
      <c r="J18" s="493">
        <v>4</v>
      </c>
      <c r="K18" s="199"/>
      <c r="L18" s="491"/>
      <c r="M18" s="492">
        <v>2</v>
      </c>
      <c r="N18" s="492">
        <v>3</v>
      </c>
      <c r="O18" s="492"/>
      <c r="P18" s="493">
        <v>2</v>
      </c>
      <c r="Q18" s="493">
        <v>1</v>
      </c>
      <c r="R18" s="493">
        <v>2</v>
      </c>
      <c r="S18" s="493"/>
      <c r="T18" s="199"/>
      <c r="U18" s="491"/>
      <c r="V18" s="492">
        <v>1</v>
      </c>
      <c r="W18" s="492"/>
      <c r="X18" s="492"/>
      <c r="Y18" s="493"/>
      <c r="Z18" s="493">
        <v>2</v>
      </c>
      <c r="AA18" s="493">
        <v>1</v>
      </c>
      <c r="AB18" s="493">
        <v>4</v>
      </c>
      <c r="AC18" s="199"/>
      <c r="AD18" s="491">
        <v>72</v>
      </c>
      <c r="AE18" s="492">
        <v>59</v>
      </c>
      <c r="AF18" s="492">
        <v>113</v>
      </c>
      <c r="AG18" s="492">
        <v>81</v>
      </c>
      <c r="AH18" s="493">
        <v>114</v>
      </c>
      <c r="AI18" s="493">
        <v>118</v>
      </c>
      <c r="AJ18" s="493">
        <v>105</v>
      </c>
      <c r="AK18" s="493">
        <v>118</v>
      </c>
      <c r="AL18" s="199"/>
      <c r="AM18" s="491">
        <v>57</v>
      </c>
      <c r="AN18" s="492">
        <v>40</v>
      </c>
      <c r="AO18" s="492">
        <v>68</v>
      </c>
      <c r="AP18" s="492">
        <v>49</v>
      </c>
      <c r="AQ18" s="493">
        <v>40</v>
      </c>
      <c r="AR18" s="493">
        <v>41</v>
      </c>
      <c r="AS18" s="493">
        <v>38</v>
      </c>
      <c r="AT18" s="493">
        <v>31</v>
      </c>
      <c r="AU18" s="199"/>
      <c r="AV18" s="491">
        <v>1</v>
      </c>
      <c r="AW18" s="492"/>
      <c r="AX18" s="492"/>
      <c r="AY18" s="492"/>
      <c r="AZ18" s="493"/>
      <c r="BA18" s="493"/>
      <c r="BB18" s="493"/>
      <c r="BC18" s="493"/>
      <c r="BD18" s="199"/>
      <c r="BE18" s="491">
        <v>9</v>
      </c>
      <c r="BF18" s="492">
        <v>5</v>
      </c>
      <c r="BG18" s="492">
        <v>6</v>
      </c>
      <c r="BH18" s="492">
        <v>15</v>
      </c>
      <c r="BI18" s="493">
        <v>5</v>
      </c>
      <c r="BJ18" s="493">
        <v>3</v>
      </c>
      <c r="BK18" s="493"/>
      <c r="BL18" s="493">
        <v>4</v>
      </c>
      <c r="BM18" s="199"/>
      <c r="BN18" s="491"/>
      <c r="BO18" s="492"/>
      <c r="BP18" s="492"/>
      <c r="BQ18" s="492"/>
      <c r="BR18" s="493">
        <v>1</v>
      </c>
      <c r="BS18" s="493"/>
      <c r="BT18" s="493"/>
      <c r="BU18" s="493"/>
      <c r="BV18" s="199"/>
      <c r="BW18" s="491">
        <v>48</v>
      </c>
      <c r="BX18" s="492">
        <v>72</v>
      </c>
      <c r="BY18" s="492">
        <v>114</v>
      </c>
      <c r="BZ18" s="492">
        <v>132</v>
      </c>
      <c r="CA18" s="493">
        <v>112</v>
      </c>
      <c r="CB18" s="493">
        <v>116</v>
      </c>
      <c r="CC18" s="493">
        <v>135</v>
      </c>
      <c r="CD18" s="493">
        <v>87</v>
      </c>
      <c r="CE18" s="199"/>
      <c r="CF18" s="491">
        <v>2</v>
      </c>
      <c r="CG18" s="492">
        <v>4</v>
      </c>
      <c r="CH18" s="492">
        <v>2</v>
      </c>
      <c r="CI18" s="492">
        <v>5</v>
      </c>
      <c r="CJ18" s="493">
        <v>5</v>
      </c>
      <c r="CK18" s="493">
        <v>4</v>
      </c>
      <c r="CL18" s="493">
        <v>3</v>
      </c>
      <c r="CM18" s="493">
        <v>1</v>
      </c>
      <c r="CN18" s="199"/>
      <c r="CO18" s="491">
        <v>2</v>
      </c>
      <c r="CP18" s="492">
        <v>2</v>
      </c>
      <c r="CQ18" s="492">
        <v>4</v>
      </c>
      <c r="CR18" s="492">
        <v>2</v>
      </c>
      <c r="CS18" s="493">
        <v>3</v>
      </c>
      <c r="CT18" s="493">
        <v>2</v>
      </c>
      <c r="CU18" s="493"/>
      <c r="CV18" s="493">
        <v>3</v>
      </c>
      <c r="CW18" s="199"/>
      <c r="CX18" s="491">
        <v>1350</v>
      </c>
      <c r="CY18" s="492">
        <v>1679</v>
      </c>
      <c r="CZ18" s="492">
        <v>1614</v>
      </c>
      <c r="DA18" s="492">
        <v>1527</v>
      </c>
      <c r="DB18" s="493">
        <v>1176</v>
      </c>
      <c r="DC18" s="493">
        <v>826</v>
      </c>
      <c r="DD18" s="493">
        <v>677</v>
      </c>
      <c r="DE18" s="493">
        <v>572</v>
      </c>
      <c r="DF18" s="199"/>
      <c r="DG18" s="491">
        <v>144</v>
      </c>
      <c r="DH18" s="492">
        <v>217</v>
      </c>
      <c r="DI18" s="492">
        <v>181</v>
      </c>
      <c r="DJ18" s="492">
        <v>168</v>
      </c>
      <c r="DK18" s="493">
        <v>114</v>
      </c>
      <c r="DL18" s="493">
        <v>70</v>
      </c>
      <c r="DM18" s="493">
        <v>45</v>
      </c>
      <c r="DN18" s="493">
        <v>21</v>
      </c>
      <c r="DO18" s="199"/>
      <c r="DP18" s="491">
        <v>140</v>
      </c>
      <c r="DQ18" s="492">
        <v>131</v>
      </c>
      <c r="DR18" s="492">
        <v>92</v>
      </c>
      <c r="DS18" s="492">
        <v>82</v>
      </c>
      <c r="DT18" s="493">
        <v>65</v>
      </c>
      <c r="DU18" s="493">
        <v>34</v>
      </c>
      <c r="DV18" s="493">
        <v>42</v>
      </c>
      <c r="DW18" s="493">
        <v>34</v>
      </c>
      <c r="DX18" s="199"/>
      <c r="DY18" s="491">
        <v>153</v>
      </c>
      <c r="DZ18" s="492">
        <v>249</v>
      </c>
      <c r="EA18" s="492">
        <v>257</v>
      </c>
      <c r="EB18" s="492">
        <v>183</v>
      </c>
      <c r="EC18" s="493">
        <v>262</v>
      </c>
      <c r="ED18" s="493">
        <v>168</v>
      </c>
      <c r="EE18" s="493">
        <v>111</v>
      </c>
      <c r="EF18" s="493">
        <v>75</v>
      </c>
      <c r="EG18" s="199"/>
      <c r="EH18" s="491">
        <v>49</v>
      </c>
      <c r="EI18" s="492">
        <v>61</v>
      </c>
      <c r="EJ18" s="492">
        <v>52</v>
      </c>
      <c r="EK18" s="492">
        <v>26</v>
      </c>
      <c r="EL18" s="493">
        <v>31</v>
      </c>
      <c r="EM18" s="493">
        <v>15</v>
      </c>
      <c r="EN18" s="493">
        <v>9</v>
      </c>
      <c r="EO18" s="493">
        <v>9</v>
      </c>
      <c r="EP18" s="199"/>
      <c r="EQ18" s="491">
        <v>9</v>
      </c>
      <c r="ER18" s="492">
        <v>12</v>
      </c>
      <c r="ES18" s="492">
        <v>6</v>
      </c>
      <c r="ET18" s="492">
        <v>9</v>
      </c>
      <c r="EU18" s="493">
        <v>16</v>
      </c>
      <c r="EV18" s="493">
        <v>10</v>
      </c>
      <c r="EW18" s="493">
        <v>9</v>
      </c>
      <c r="EX18" s="493">
        <v>9</v>
      </c>
      <c r="EY18" s="199"/>
      <c r="EZ18" s="491">
        <v>4</v>
      </c>
      <c r="FA18" s="492">
        <v>5</v>
      </c>
      <c r="FB18" s="492">
        <v>2</v>
      </c>
      <c r="FC18" s="492">
        <v>7</v>
      </c>
      <c r="FD18" s="493">
        <v>4</v>
      </c>
      <c r="FE18" s="493">
        <v>1</v>
      </c>
      <c r="FF18" s="493">
        <v>1</v>
      </c>
      <c r="FG18" s="493">
        <v>2</v>
      </c>
      <c r="FH18" s="199"/>
      <c r="FI18" s="491">
        <v>180</v>
      </c>
      <c r="FJ18" s="492">
        <v>219</v>
      </c>
      <c r="FK18" s="492">
        <v>154</v>
      </c>
      <c r="FL18" s="492">
        <v>119</v>
      </c>
      <c r="FM18" s="493">
        <v>83</v>
      </c>
      <c r="FN18" s="493">
        <v>69</v>
      </c>
      <c r="FO18" s="493">
        <v>71</v>
      </c>
      <c r="FP18" s="493">
        <v>66</v>
      </c>
      <c r="FQ18" s="199"/>
      <c r="FR18" s="491">
        <v>8</v>
      </c>
      <c r="FS18" s="492">
        <v>4</v>
      </c>
      <c r="FT18" s="492"/>
      <c r="FU18" s="492">
        <v>8</v>
      </c>
      <c r="FV18" s="493">
        <v>3</v>
      </c>
      <c r="FW18" s="493">
        <v>2</v>
      </c>
      <c r="FX18" s="493">
        <v>2</v>
      </c>
      <c r="FY18" s="493">
        <v>1</v>
      </c>
      <c r="FZ18" s="199"/>
      <c r="GA18" s="491">
        <v>33</v>
      </c>
      <c r="GB18" s="492">
        <v>29</v>
      </c>
      <c r="GC18" s="492">
        <v>21</v>
      </c>
      <c r="GD18" s="492">
        <v>17</v>
      </c>
      <c r="GE18" s="493">
        <v>9</v>
      </c>
      <c r="GF18" s="493">
        <v>8</v>
      </c>
      <c r="GG18" s="493">
        <v>4</v>
      </c>
      <c r="GH18" s="493">
        <v>13</v>
      </c>
      <c r="GI18" s="199"/>
      <c r="GJ18" s="491">
        <v>1766</v>
      </c>
      <c r="GK18" s="492">
        <v>2154</v>
      </c>
      <c r="GL18" s="492">
        <v>2091</v>
      </c>
      <c r="GM18" s="492">
        <v>1948</v>
      </c>
      <c r="GN18" s="493">
        <v>1564</v>
      </c>
      <c r="GO18" s="493">
        <v>1178</v>
      </c>
      <c r="GP18" s="493">
        <v>1019</v>
      </c>
      <c r="GQ18" s="493">
        <v>889</v>
      </c>
      <c r="GR18" s="199"/>
      <c r="GS18" s="491">
        <v>851</v>
      </c>
      <c r="GT18" s="492">
        <v>1115</v>
      </c>
      <c r="GU18" s="492">
        <v>1076</v>
      </c>
      <c r="GV18" s="492">
        <v>862</v>
      </c>
      <c r="GW18" s="493">
        <v>533</v>
      </c>
      <c r="GX18" s="493">
        <v>374</v>
      </c>
      <c r="GY18" s="493">
        <v>345</v>
      </c>
      <c r="GZ18" s="493">
        <v>263</v>
      </c>
      <c r="HA18" s="199"/>
      <c r="HB18" s="491">
        <v>18</v>
      </c>
      <c r="HC18" s="492">
        <v>9</v>
      </c>
      <c r="HD18" s="492">
        <v>11</v>
      </c>
      <c r="HE18" s="492">
        <v>6</v>
      </c>
      <c r="HF18" s="493">
        <v>4</v>
      </c>
      <c r="HG18" s="493">
        <v>6</v>
      </c>
      <c r="HH18" s="493">
        <v>10</v>
      </c>
      <c r="HI18" s="493">
        <v>7</v>
      </c>
      <c r="HJ18" s="199"/>
      <c r="HK18" s="491">
        <v>9</v>
      </c>
      <c r="HL18" s="492">
        <v>5</v>
      </c>
      <c r="HM18" s="492">
        <v>2</v>
      </c>
      <c r="HN18" s="492">
        <v>2</v>
      </c>
      <c r="HO18" s="493">
        <v>1</v>
      </c>
      <c r="HP18" s="493">
        <v>3</v>
      </c>
      <c r="HQ18" s="493">
        <v>1</v>
      </c>
      <c r="HR18" s="493"/>
      <c r="HS18" s="199"/>
      <c r="HT18" s="491">
        <v>977</v>
      </c>
      <c r="HU18" s="492">
        <v>1242</v>
      </c>
      <c r="HV18" s="492">
        <v>1196</v>
      </c>
      <c r="HW18" s="492">
        <v>1062</v>
      </c>
      <c r="HX18" s="493">
        <v>645</v>
      </c>
      <c r="HY18" s="493">
        <v>474</v>
      </c>
      <c r="HZ18" s="493">
        <v>477</v>
      </c>
      <c r="IA18" s="493">
        <v>414</v>
      </c>
      <c r="IB18" s="199"/>
      <c r="IC18" s="491">
        <v>2766</v>
      </c>
      <c r="ID18" s="492">
        <v>3284</v>
      </c>
      <c r="IE18" s="492">
        <v>2942</v>
      </c>
      <c r="IF18" s="492">
        <v>2823</v>
      </c>
      <c r="IG18" s="493">
        <v>2296</v>
      </c>
      <c r="IH18" s="493">
        <v>1856</v>
      </c>
      <c r="II18" s="493">
        <v>1635</v>
      </c>
      <c r="IJ18" s="493">
        <v>1556</v>
      </c>
      <c r="IK18" s="199"/>
      <c r="IL18" s="491">
        <v>223</v>
      </c>
      <c r="IM18" s="492">
        <v>391</v>
      </c>
      <c r="IN18" s="492">
        <v>378</v>
      </c>
      <c r="IO18" s="492">
        <v>286</v>
      </c>
      <c r="IP18" s="493">
        <v>121</v>
      </c>
      <c r="IQ18" s="493">
        <v>200</v>
      </c>
      <c r="IR18" s="493">
        <v>135</v>
      </c>
      <c r="IS18" s="493">
        <v>91</v>
      </c>
      <c r="IT18" s="199"/>
      <c r="IU18" s="533">
        <v>3456.2039235286766</v>
      </c>
      <c r="IV18" s="534">
        <v>4107.8755128590019</v>
      </c>
      <c r="IW18" s="534">
        <v>3687.687235989421</v>
      </c>
      <c r="IX18" s="534">
        <v>3498.748233894356</v>
      </c>
      <c r="IY18" s="535">
        <v>2859.74068030939</v>
      </c>
      <c r="IZ18" s="535">
        <v>2310.5556039687776</v>
      </c>
      <c r="JA18" s="535">
        <v>2029.2157422461619</v>
      </c>
      <c r="JB18" s="535">
        <v>2108.8868709594353</v>
      </c>
      <c r="JC18" s="536"/>
      <c r="JD18" s="537">
        <v>1220.7922029239037</v>
      </c>
      <c r="JE18" s="538">
        <v>1553.5875112578806</v>
      </c>
      <c r="JF18" s="538">
        <v>1499.1413780568821</v>
      </c>
      <c r="JG18" s="538">
        <v>1316.2134694990457</v>
      </c>
      <c r="JH18" s="538">
        <v>803.36791759562561</v>
      </c>
      <c r="JI18" s="539">
        <v>590.08801523771581</v>
      </c>
      <c r="JJ18" s="539">
        <v>592.00973030667842</v>
      </c>
      <c r="JK18" s="539">
        <v>561.10486155347439</v>
      </c>
      <c r="JL18" s="536"/>
      <c r="JM18" s="537">
        <v>2206.6724978133198</v>
      </c>
      <c r="JN18" s="538">
        <v>2694.3860702491747</v>
      </c>
      <c r="JO18" s="538">
        <v>2620.9904862181775</v>
      </c>
      <c r="JP18" s="538">
        <v>2414.2973997967429</v>
      </c>
      <c r="JQ18" s="538">
        <v>1948.0115087124939</v>
      </c>
      <c r="JR18" s="539">
        <v>1466.5056581224244</v>
      </c>
      <c r="JS18" s="539">
        <v>1264.6916460849168</v>
      </c>
      <c r="JT18" s="539">
        <v>1204.884594012171</v>
      </c>
      <c r="JU18" s="536"/>
      <c r="JV18" s="537">
        <v>1063.3512432837686</v>
      </c>
      <c r="JW18" s="538">
        <v>1394.726308415891</v>
      </c>
      <c r="JX18" s="538">
        <v>1348.7258551749208</v>
      </c>
      <c r="JY18" s="538">
        <v>1068.338993133877</v>
      </c>
      <c r="JZ18" s="538">
        <v>663.86837221467988</v>
      </c>
      <c r="KA18" s="539">
        <v>465.59687278250146</v>
      </c>
      <c r="KB18" s="539">
        <v>428.18313827212592</v>
      </c>
      <c r="KC18" s="539">
        <v>356.45067291923613</v>
      </c>
      <c r="KD18" s="536"/>
    </row>
    <row r="19" spans="1:290" ht="15" customHeight="1" x14ac:dyDescent="0.2">
      <c r="A19" s="935"/>
      <c r="B19" s="490" t="s">
        <v>1139</v>
      </c>
      <c r="C19" s="491">
        <v>2</v>
      </c>
      <c r="D19" s="492">
        <v>1</v>
      </c>
      <c r="E19" s="492">
        <v>2</v>
      </c>
      <c r="F19" s="492">
        <v>4</v>
      </c>
      <c r="G19" s="493"/>
      <c r="H19" s="493"/>
      <c r="I19" s="493"/>
      <c r="J19" s="493">
        <v>3</v>
      </c>
      <c r="K19" s="199"/>
      <c r="L19" s="491">
        <v>1</v>
      </c>
      <c r="M19" s="492">
        <v>1</v>
      </c>
      <c r="N19" s="492">
        <v>1</v>
      </c>
      <c r="O19" s="492">
        <v>4</v>
      </c>
      <c r="P19" s="493"/>
      <c r="Q19" s="493"/>
      <c r="R19" s="493"/>
      <c r="S19" s="493">
        <v>3</v>
      </c>
      <c r="T19" s="199"/>
      <c r="U19" s="491">
        <v>1</v>
      </c>
      <c r="V19" s="492"/>
      <c r="W19" s="492">
        <v>1</v>
      </c>
      <c r="X19" s="492"/>
      <c r="Y19" s="493"/>
      <c r="Z19" s="493"/>
      <c r="AA19" s="493"/>
      <c r="AB19" s="493"/>
      <c r="AC19" s="199"/>
      <c r="AD19" s="491">
        <v>35</v>
      </c>
      <c r="AE19" s="492">
        <v>25</v>
      </c>
      <c r="AF19" s="492">
        <v>47</v>
      </c>
      <c r="AG19" s="492">
        <v>31</v>
      </c>
      <c r="AH19" s="493">
        <v>43</v>
      </c>
      <c r="AI19" s="493">
        <v>40</v>
      </c>
      <c r="AJ19" s="493">
        <v>28</v>
      </c>
      <c r="AK19" s="493">
        <v>19</v>
      </c>
      <c r="AL19" s="199"/>
      <c r="AM19" s="491">
        <v>22</v>
      </c>
      <c r="AN19" s="492">
        <v>15</v>
      </c>
      <c r="AO19" s="492">
        <v>32</v>
      </c>
      <c r="AP19" s="492">
        <v>18</v>
      </c>
      <c r="AQ19" s="493">
        <v>29</v>
      </c>
      <c r="AR19" s="493">
        <v>28</v>
      </c>
      <c r="AS19" s="493">
        <v>14</v>
      </c>
      <c r="AT19" s="493">
        <v>9</v>
      </c>
      <c r="AU19" s="199"/>
      <c r="AV19" s="491"/>
      <c r="AW19" s="492"/>
      <c r="AX19" s="492"/>
      <c r="AY19" s="492"/>
      <c r="AZ19" s="493"/>
      <c r="BA19" s="493"/>
      <c r="BB19" s="493"/>
      <c r="BC19" s="493"/>
      <c r="BD19" s="199"/>
      <c r="BE19" s="491">
        <v>2</v>
      </c>
      <c r="BF19" s="492">
        <v>2</v>
      </c>
      <c r="BG19" s="492">
        <v>1</v>
      </c>
      <c r="BH19" s="492"/>
      <c r="BI19" s="493">
        <v>1</v>
      </c>
      <c r="BJ19" s="493">
        <v>10</v>
      </c>
      <c r="BK19" s="493"/>
      <c r="BL19" s="493">
        <v>4</v>
      </c>
      <c r="BM19" s="199"/>
      <c r="BN19" s="491"/>
      <c r="BO19" s="492"/>
      <c r="BP19" s="492"/>
      <c r="BQ19" s="492"/>
      <c r="BR19" s="493"/>
      <c r="BS19" s="493">
        <v>1</v>
      </c>
      <c r="BT19" s="493"/>
      <c r="BU19" s="493"/>
      <c r="BV19" s="199"/>
      <c r="BW19" s="491">
        <v>35</v>
      </c>
      <c r="BX19" s="492">
        <v>46</v>
      </c>
      <c r="BY19" s="492">
        <v>65</v>
      </c>
      <c r="BZ19" s="492">
        <v>67</v>
      </c>
      <c r="CA19" s="493">
        <v>98</v>
      </c>
      <c r="CB19" s="493">
        <v>64</v>
      </c>
      <c r="CC19" s="493">
        <v>56</v>
      </c>
      <c r="CD19" s="493">
        <v>40</v>
      </c>
      <c r="CE19" s="199"/>
      <c r="CF19" s="491">
        <v>3</v>
      </c>
      <c r="CG19" s="492">
        <v>3</v>
      </c>
      <c r="CH19" s="492">
        <v>5</v>
      </c>
      <c r="CI19" s="492">
        <v>3</v>
      </c>
      <c r="CJ19" s="493">
        <v>4</v>
      </c>
      <c r="CK19" s="493">
        <v>4</v>
      </c>
      <c r="CL19" s="493">
        <v>2</v>
      </c>
      <c r="CM19" s="493">
        <v>4</v>
      </c>
      <c r="CN19" s="199"/>
      <c r="CO19" s="491">
        <v>2</v>
      </c>
      <c r="CP19" s="492">
        <v>4</v>
      </c>
      <c r="CQ19" s="492">
        <v>6</v>
      </c>
      <c r="CR19" s="492">
        <v>2</v>
      </c>
      <c r="CS19" s="493">
        <v>1</v>
      </c>
      <c r="CT19" s="493"/>
      <c r="CU19" s="493">
        <v>1</v>
      </c>
      <c r="CV19" s="493"/>
      <c r="CW19" s="199"/>
      <c r="CX19" s="491">
        <v>874</v>
      </c>
      <c r="CY19" s="492">
        <v>977</v>
      </c>
      <c r="CZ19" s="492">
        <v>995</v>
      </c>
      <c r="DA19" s="492">
        <v>784</v>
      </c>
      <c r="DB19" s="493">
        <v>863</v>
      </c>
      <c r="DC19" s="493">
        <v>502</v>
      </c>
      <c r="DD19" s="493">
        <v>394</v>
      </c>
      <c r="DE19" s="493">
        <v>280</v>
      </c>
      <c r="DF19" s="199"/>
      <c r="DG19" s="491">
        <v>86</v>
      </c>
      <c r="DH19" s="492">
        <v>78</v>
      </c>
      <c r="DI19" s="492">
        <v>83</v>
      </c>
      <c r="DJ19" s="492">
        <v>59</v>
      </c>
      <c r="DK19" s="493">
        <v>60</v>
      </c>
      <c r="DL19" s="493">
        <v>45</v>
      </c>
      <c r="DM19" s="493">
        <v>40</v>
      </c>
      <c r="DN19" s="493">
        <v>25</v>
      </c>
      <c r="DO19" s="199"/>
      <c r="DP19" s="491">
        <v>135</v>
      </c>
      <c r="DQ19" s="492">
        <v>99</v>
      </c>
      <c r="DR19" s="492">
        <v>72</v>
      </c>
      <c r="DS19" s="492">
        <v>78</v>
      </c>
      <c r="DT19" s="493">
        <v>62</v>
      </c>
      <c r="DU19" s="493">
        <v>24</v>
      </c>
      <c r="DV19" s="493">
        <v>19</v>
      </c>
      <c r="DW19" s="493">
        <v>14</v>
      </c>
      <c r="DX19" s="199"/>
      <c r="DY19" s="491">
        <v>122</v>
      </c>
      <c r="DZ19" s="492">
        <v>253</v>
      </c>
      <c r="EA19" s="492">
        <v>315</v>
      </c>
      <c r="EB19" s="492">
        <v>210</v>
      </c>
      <c r="EC19" s="493">
        <v>290</v>
      </c>
      <c r="ED19" s="493">
        <v>128</v>
      </c>
      <c r="EE19" s="493">
        <v>104</v>
      </c>
      <c r="EF19" s="493">
        <v>51</v>
      </c>
      <c r="EG19" s="199"/>
      <c r="EH19" s="491">
        <v>11</v>
      </c>
      <c r="EI19" s="492">
        <v>23</v>
      </c>
      <c r="EJ19" s="492">
        <v>21</v>
      </c>
      <c r="EK19" s="492">
        <v>13</v>
      </c>
      <c r="EL19" s="493">
        <v>8</v>
      </c>
      <c r="EM19" s="493">
        <v>3</v>
      </c>
      <c r="EN19" s="493">
        <v>4</v>
      </c>
      <c r="EO19" s="493">
        <v>4</v>
      </c>
      <c r="EP19" s="199"/>
      <c r="EQ19" s="491">
        <v>4</v>
      </c>
      <c r="ER19" s="492">
        <v>2</v>
      </c>
      <c r="ES19" s="492">
        <v>8</v>
      </c>
      <c r="ET19" s="492">
        <v>6</v>
      </c>
      <c r="EU19" s="493">
        <v>14</v>
      </c>
      <c r="EV19" s="493">
        <v>6</v>
      </c>
      <c r="EW19" s="493">
        <v>10</v>
      </c>
      <c r="EX19" s="493">
        <v>8</v>
      </c>
      <c r="EY19" s="199"/>
      <c r="EZ19" s="491"/>
      <c r="FA19" s="492">
        <v>6</v>
      </c>
      <c r="FB19" s="492"/>
      <c r="FC19" s="492"/>
      <c r="FD19" s="493">
        <v>5</v>
      </c>
      <c r="FE19" s="493">
        <v>1</v>
      </c>
      <c r="FF19" s="493">
        <v>1</v>
      </c>
      <c r="FG19" s="493"/>
      <c r="FH19" s="199"/>
      <c r="FI19" s="491">
        <v>151</v>
      </c>
      <c r="FJ19" s="492">
        <v>90</v>
      </c>
      <c r="FK19" s="492">
        <v>101</v>
      </c>
      <c r="FL19" s="492">
        <v>59</v>
      </c>
      <c r="FM19" s="493">
        <v>64</v>
      </c>
      <c r="FN19" s="493">
        <v>50</v>
      </c>
      <c r="FO19" s="493">
        <v>43</v>
      </c>
      <c r="FP19" s="493">
        <v>50</v>
      </c>
      <c r="FQ19" s="199"/>
      <c r="FR19" s="491">
        <v>2</v>
      </c>
      <c r="FS19" s="492">
        <v>3</v>
      </c>
      <c r="FT19" s="492">
        <v>4</v>
      </c>
      <c r="FU19" s="492">
        <v>2</v>
      </c>
      <c r="FV19" s="493">
        <v>1</v>
      </c>
      <c r="FW19" s="493">
        <v>1</v>
      </c>
      <c r="FX19" s="493">
        <v>1</v>
      </c>
      <c r="FY19" s="493">
        <v>1</v>
      </c>
      <c r="FZ19" s="199"/>
      <c r="GA19" s="491">
        <v>15</v>
      </c>
      <c r="GB19" s="492">
        <v>11</v>
      </c>
      <c r="GC19" s="492">
        <v>13</v>
      </c>
      <c r="GD19" s="492">
        <v>5</v>
      </c>
      <c r="GE19" s="493">
        <v>4</v>
      </c>
      <c r="GF19" s="493">
        <v>8</v>
      </c>
      <c r="GG19" s="493">
        <v>12</v>
      </c>
      <c r="GH19" s="493">
        <v>9</v>
      </c>
      <c r="GI19" s="199"/>
      <c r="GJ19" s="491">
        <v>1136</v>
      </c>
      <c r="GK19" s="492">
        <v>1193</v>
      </c>
      <c r="GL19" s="492">
        <v>1268</v>
      </c>
      <c r="GM19" s="492">
        <v>976</v>
      </c>
      <c r="GN19" s="493">
        <v>1106</v>
      </c>
      <c r="GO19" s="493">
        <v>690</v>
      </c>
      <c r="GP19" s="493">
        <v>552</v>
      </c>
      <c r="GQ19" s="493">
        <v>422</v>
      </c>
      <c r="GR19" s="199"/>
      <c r="GS19" s="491">
        <v>519</v>
      </c>
      <c r="GT19" s="492">
        <v>489</v>
      </c>
      <c r="GU19" s="492">
        <v>465</v>
      </c>
      <c r="GV19" s="492">
        <v>305</v>
      </c>
      <c r="GW19" s="493">
        <v>173</v>
      </c>
      <c r="GX19" s="493">
        <v>154</v>
      </c>
      <c r="GY19" s="493">
        <v>107</v>
      </c>
      <c r="GZ19" s="493">
        <v>152</v>
      </c>
      <c r="HA19" s="199"/>
      <c r="HB19" s="491">
        <v>8</v>
      </c>
      <c r="HC19" s="492">
        <v>4</v>
      </c>
      <c r="HD19" s="492">
        <v>2</v>
      </c>
      <c r="HE19" s="492">
        <v>4</v>
      </c>
      <c r="HF19" s="493">
        <v>6</v>
      </c>
      <c r="HG19" s="493">
        <v>2</v>
      </c>
      <c r="HH19" s="493">
        <v>2</v>
      </c>
      <c r="HI19" s="493">
        <v>2</v>
      </c>
      <c r="HJ19" s="199"/>
      <c r="HK19" s="491">
        <v>2</v>
      </c>
      <c r="HL19" s="492">
        <v>7</v>
      </c>
      <c r="HM19" s="492">
        <v>1</v>
      </c>
      <c r="HN19" s="492">
        <v>1</v>
      </c>
      <c r="HO19" s="493"/>
      <c r="HP19" s="493"/>
      <c r="HQ19" s="493">
        <v>1</v>
      </c>
      <c r="HR19" s="493">
        <v>4</v>
      </c>
      <c r="HS19" s="199"/>
      <c r="HT19" s="491">
        <v>633</v>
      </c>
      <c r="HU19" s="492">
        <v>597</v>
      </c>
      <c r="HV19" s="492">
        <v>547</v>
      </c>
      <c r="HW19" s="492">
        <v>390</v>
      </c>
      <c r="HX19" s="493">
        <v>331</v>
      </c>
      <c r="HY19" s="493">
        <v>290</v>
      </c>
      <c r="HZ19" s="493">
        <v>265</v>
      </c>
      <c r="IA19" s="493">
        <v>295</v>
      </c>
      <c r="IB19" s="199"/>
      <c r="IC19" s="491">
        <v>1722</v>
      </c>
      <c r="ID19" s="492">
        <v>1762</v>
      </c>
      <c r="IE19" s="492">
        <v>2071</v>
      </c>
      <c r="IF19" s="492">
        <v>1485</v>
      </c>
      <c r="IG19" s="493">
        <v>1810</v>
      </c>
      <c r="IH19" s="493">
        <v>1212</v>
      </c>
      <c r="II19" s="493">
        <v>1129</v>
      </c>
      <c r="IJ19" s="493">
        <v>944</v>
      </c>
      <c r="IK19" s="199"/>
      <c r="IL19" s="491">
        <v>146</v>
      </c>
      <c r="IM19" s="492">
        <v>349</v>
      </c>
      <c r="IN19" s="492">
        <v>387</v>
      </c>
      <c r="IO19" s="492">
        <v>197</v>
      </c>
      <c r="IP19" s="493">
        <v>126</v>
      </c>
      <c r="IQ19" s="493">
        <v>162</v>
      </c>
      <c r="IR19" s="493">
        <v>135</v>
      </c>
      <c r="IS19" s="493">
        <v>69</v>
      </c>
      <c r="IT19" s="199"/>
      <c r="IU19" s="533">
        <v>2518.722209220688</v>
      </c>
      <c r="IV19" s="534">
        <v>2576.2870469200066</v>
      </c>
      <c r="IW19" s="534">
        <v>3035.0992892210743</v>
      </c>
      <c r="IX19" s="534">
        <v>2057.328105734196</v>
      </c>
      <c r="IY19" s="535">
        <v>2491.7743911672792</v>
      </c>
      <c r="IZ19" s="535">
        <v>1662.460221661363</v>
      </c>
      <c r="JA19" s="535">
        <v>1536.347059303813</v>
      </c>
      <c r="JB19" s="535">
        <v>1075.5015779339888</v>
      </c>
      <c r="JC19" s="536"/>
      <c r="JD19" s="537">
        <v>925.87175286683828</v>
      </c>
      <c r="JE19" s="538">
        <v>872.89634904156867</v>
      </c>
      <c r="JF19" s="538">
        <v>801.64138638528607</v>
      </c>
      <c r="JG19" s="538">
        <v>540.30839140494038</v>
      </c>
      <c r="JH19" s="538">
        <v>455.67807926871239</v>
      </c>
      <c r="JI19" s="539">
        <v>397.78338637111818</v>
      </c>
      <c r="JJ19" s="539">
        <v>360.6129058596195</v>
      </c>
      <c r="JK19" s="539">
        <v>336.09424310437151</v>
      </c>
      <c r="JL19" s="536"/>
      <c r="JM19" s="537">
        <v>1661.5960683360638</v>
      </c>
      <c r="JN19" s="538">
        <v>1744.330560145044</v>
      </c>
      <c r="JO19" s="538">
        <v>1858.283871913241</v>
      </c>
      <c r="JP19" s="538">
        <v>1352.1563846441584</v>
      </c>
      <c r="JQ19" s="538">
        <v>1522.5980533872987</v>
      </c>
      <c r="JR19" s="539">
        <v>946.45012619335023</v>
      </c>
      <c r="JS19" s="539">
        <v>751.16348692267923</v>
      </c>
      <c r="JT19" s="539">
        <v>480.78566301710094</v>
      </c>
      <c r="JU19" s="536"/>
      <c r="JV19" s="537">
        <v>759.12707699508542</v>
      </c>
      <c r="JW19" s="538">
        <v>714.98545172751597</v>
      </c>
      <c r="JX19" s="538">
        <v>681.46845460540771</v>
      </c>
      <c r="JY19" s="538">
        <v>422.54887020129951</v>
      </c>
      <c r="JZ19" s="538">
        <v>238.16407164195542</v>
      </c>
      <c r="KA19" s="539">
        <v>211.2366948315593</v>
      </c>
      <c r="KB19" s="539">
        <v>145.605965762186</v>
      </c>
      <c r="KC19" s="539">
        <v>173.17398288767617</v>
      </c>
      <c r="KD19" s="536"/>
    </row>
    <row r="20" spans="1:290" ht="15" customHeight="1" x14ac:dyDescent="0.2">
      <c r="A20" s="935"/>
      <c r="B20" s="490" t="s">
        <v>1140</v>
      </c>
      <c r="C20" s="491"/>
      <c r="D20" s="492">
        <v>1</v>
      </c>
      <c r="E20" s="492">
        <v>3</v>
      </c>
      <c r="F20" s="492">
        <v>2</v>
      </c>
      <c r="G20" s="493">
        <v>1</v>
      </c>
      <c r="H20" s="493">
        <v>1</v>
      </c>
      <c r="I20" s="493">
        <v>3</v>
      </c>
      <c r="J20" s="493">
        <v>1</v>
      </c>
      <c r="K20" s="199"/>
      <c r="L20" s="491"/>
      <c r="M20" s="492"/>
      <c r="N20" s="492">
        <v>2</v>
      </c>
      <c r="O20" s="492">
        <v>2</v>
      </c>
      <c r="P20" s="493">
        <v>1</v>
      </c>
      <c r="Q20" s="493">
        <v>1</v>
      </c>
      <c r="R20" s="493">
        <v>2</v>
      </c>
      <c r="S20" s="493"/>
      <c r="T20" s="199"/>
      <c r="U20" s="491"/>
      <c r="V20" s="492">
        <v>1</v>
      </c>
      <c r="W20" s="492">
        <v>1</v>
      </c>
      <c r="X20" s="492"/>
      <c r="Y20" s="493"/>
      <c r="Z20" s="493"/>
      <c r="AA20" s="493">
        <v>1</v>
      </c>
      <c r="AB20" s="493">
        <v>1</v>
      </c>
      <c r="AC20" s="199"/>
      <c r="AD20" s="491">
        <v>84</v>
      </c>
      <c r="AE20" s="492">
        <v>95</v>
      </c>
      <c r="AF20" s="492">
        <v>50</v>
      </c>
      <c r="AG20" s="492">
        <v>42</v>
      </c>
      <c r="AH20" s="493">
        <v>67</v>
      </c>
      <c r="AI20" s="493">
        <v>72</v>
      </c>
      <c r="AJ20" s="493">
        <v>54</v>
      </c>
      <c r="AK20" s="493">
        <v>62</v>
      </c>
      <c r="AL20" s="199"/>
      <c r="AM20" s="491">
        <v>63</v>
      </c>
      <c r="AN20" s="492">
        <v>58</v>
      </c>
      <c r="AO20" s="492">
        <v>33</v>
      </c>
      <c r="AP20" s="492">
        <v>31</v>
      </c>
      <c r="AQ20" s="493">
        <v>47</v>
      </c>
      <c r="AR20" s="493">
        <v>39</v>
      </c>
      <c r="AS20" s="493">
        <v>28</v>
      </c>
      <c r="AT20" s="493">
        <v>43</v>
      </c>
      <c r="AU20" s="199"/>
      <c r="AV20" s="491"/>
      <c r="AW20" s="492">
        <v>1</v>
      </c>
      <c r="AX20" s="492">
        <v>1</v>
      </c>
      <c r="AY20" s="492"/>
      <c r="AZ20" s="493"/>
      <c r="BA20" s="493"/>
      <c r="BB20" s="493"/>
      <c r="BC20" s="493">
        <v>1</v>
      </c>
      <c r="BD20" s="199"/>
      <c r="BE20" s="491">
        <v>5</v>
      </c>
      <c r="BF20" s="492">
        <v>15</v>
      </c>
      <c r="BG20" s="492">
        <v>3</v>
      </c>
      <c r="BH20" s="492">
        <v>4</v>
      </c>
      <c r="BI20" s="493">
        <v>8</v>
      </c>
      <c r="BJ20" s="493">
        <v>13</v>
      </c>
      <c r="BK20" s="493">
        <v>9</v>
      </c>
      <c r="BL20" s="493">
        <v>11</v>
      </c>
      <c r="BM20" s="199"/>
      <c r="BN20" s="491"/>
      <c r="BO20" s="492"/>
      <c r="BP20" s="492"/>
      <c r="BQ20" s="492"/>
      <c r="BR20" s="493"/>
      <c r="BS20" s="493"/>
      <c r="BT20" s="493"/>
      <c r="BU20" s="493">
        <v>1</v>
      </c>
      <c r="BV20" s="199"/>
      <c r="BW20" s="491">
        <v>47</v>
      </c>
      <c r="BX20" s="492">
        <v>66</v>
      </c>
      <c r="BY20" s="492">
        <v>56</v>
      </c>
      <c r="BZ20" s="492">
        <v>72</v>
      </c>
      <c r="CA20" s="493">
        <v>76</v>
      </c>
      <c r="CB20" s="493">
        <v>81</v>
      </c>
      <c r="CC20" s="493">
        <v>76</v>
      </c>
      <c r="CD20" s="493">
        <v>72</v>
      </c>
      <c r="CE20" s="199"/>
      <c r="CF20" s="491">
        <v>9</v>
      </c>
      <c r="CG20" s="492">
        <v>5</v>
      </c>
      <c r="CH20" s="492"/>
      <c r="CI20" s="492">
        <v>1</v>
      </c>
      <c r="CJ20" s="493">
        <v>4</v>
      </c>
      <c r="CK20" s="493">
        <v>6</v>
      </c>
      <c r="CL20" s="493">
        <v>6</v>
      </c>
      <c r="CM20" s="493">
        <v>3</v>
      </c>
      <c r="CN20" s="199"/>
      <c r="CO20" s="491">
        <v>6</v>
      </c>
      <c r="CP20" s="492">
        <v>2</v>
      </c>
      <c r="CQ20" s="492">
        <v>9</v>
      </c>
      <c r="CR20" s="492">
        <v>1</v>
      </c>
      <c r="CS20" s="493">
        <v>4</v>
      </c>
      <c r="CT20" s="493">
        <v>3</v>
      </c>
      <c r="CU20" s="493">
        <v>4</v>
      </c>
      <c r="CV20" s="493">
        <v>3</v>
      </c>
      <c r="CW20" s="199"/>
      <c r="CX20" s="491">
        <v>946</v>
      </c>
      <c r="CY20" s="492">
        <v>1217</v>
      </c>
      <c r="CZ20" s="492">
        <v>1222</v>
      </c>
      <c r="DA20" s="492">
        <v>1167</v>
      </c>
      <c r="DB20" s="493">
        <v>952</v>
      </c>
      <c r="DC20" s="493">
        <v>615</v>
      </c>
      <c r="DD20" s="493">
        <v>608</v>
      </c>
      <c r="DE20" s="493">
        <v>508</v>
      </c>
      <c r="DF20" s="199"/>
      <c r="DG20" s="491">
        <v>83</v>
      </c>
      <c r="DH20" s="492">
        <v>106</v>
      </c>
      <c r="DI20" s="492">
        <v>112</v>
      </c>
      <c r="DJ20" s="492">
        <v>53</v>
      </c>
      <c r="DK20" s="493">
        <v>83</v>
      </c>
      <c r="DL20" s="493">
        <v>56</v>
      </c>
      <c r="DM20" s="493">
        <v>44</v>
      </c>
      <c r="DN20" s="493">
        <v>36</v>
      </c>
      <c r="DO20" s="199"/>
      <c r="DP20" s="491">
        <v>64</v>
      </c>
      <c r="DQ20" s="492">
        <v>71</v>
      </c>
      <c r="DR20" s="492">
        <v>64</v>
      </c>
      <c r="DS20" s="492">
        <v>51</v>
      </c>
      <c r="DT20" s="493">
        <v>60</v>
      </c>
      <c r="DU20" s="493">
        <v>24</v>
      </c>
      <c r="DV20" s="493">
        <v>29</v>
      </c>
      <c r="DW20" s="493">
        <v>16</v>
      </c>
      <c r="DX20" s="199"/>
      <c r="DY20" s="491">
        <v>164</v>
      </c>
      <c r="DZ20" s="492">
        <v>289</v>
      </c>
      <c r="EA20" s="492">
        <v>282</v>
      </c>
      <c r="EB20" s="492">
        <v>345</v>
      </c>
      <c r="EC20" s="493">
        <v>215</v>
      </c>
      <c r="ED20" s="493">
        <v>112</v>
      </c>
      <c r="EE20" s="493">
        <v>96</v>
      </c>
      <c r="EF20" s="493">
        <v>137</v>
      </c>
      <c r="EG20" s="199"/>
      <c r="EH20" s="491">
        <v>21</v>
      </c>
      <c r="EI20" s="492">
        <v>21</v>
      </c>
      <c r="EJ20" s="492">
        <v>31</v>
      </c>
      <c r="EK20" s="492">
        <v>12</v>
      </c>
      <c r="EL20" s="493">
        <v>10</v>
      </c>
      <c r="EM20" s="493">
        <v>13</v>
      </c>
      <c r="EN20" s="493">
        <v>7</v>
      </c>
      <c r="EO20" s="493">
        <v>7</v>
      </c>
      <c r="EP20" s="199"/>
      <c r="EQ20" s="491">
        <v>6</v>
      </c>
      <c r="ER20" s="492">
        <v>19</v>
      </c>
      <c r="ES20" s="492">
        <v>26</v>
      </c>
      <c r="ET20" s="492">
        <v>19</v>
      </c>
      <c r="EU20" s="493">
        <v>22</v>
      </c>
      <c r="EV20" s="493">
        <v>15</v>
      </c>
      <c r="EW20" s="493">
        <v>5</v>
      </c>
      <c r="EX20" s="493">
        <v>11</v>
      </c>
      <c r="EY20" s="199"/>
      <c r="EZ20" s="491">
        <v>6</v>
      </c>
      <c r="FA20" s="492">
        <v>3</v>
      </c>
      <c r="FB20" s="492">
        <v>6</v>
      </c>
      <c r="FC20" s="492">
        <v>8</v>
      </c>
      <c r="FD20" s="493">
        <v>1</v>
      </c>
      <c r="FE20" s="493">
        <v>2</v>
      </c>
      <c r="FF20" s="493">
        <v>3</v>
      </c>
      <c r="FG20" s="493">
        <v>2</v>
      </c>
      <c r="FH20" s="199"/>
      <c r="FI20" s="491">
        <v>156</v>
      </c>
      <c r="FJ20" s="492">
        <v>113</v>
      </c>
      <c r="FK20" s="492">
        <v>86</v>
      </c>
      <c r="FL20" s="492">
        <v>60</v>
      </c>
      <c r="FM20" s="493">
        <v>77</v>
      </c>
      <c r="FN20" s="493">
        <v>36</v>
      </c>
      <c r="FO20" s="493">
        <v>58</v>
      </c>
      <c r="FP20" s="493">
        <v>60</v>
      </c>
      <c r="FQ20" s="199"/>
      <c r="FR20" s="491">
        <v>13</v>
      </c>
      <c r="FS20" s="492">
        <v>3</v>
      </c>
      <c r="FT20" s="492">
        <v>4</v>
      </c>
      <c r="FU20" s="492">
        <v>2</v>
      </c>
      <c r="FV20" s="493">
        <v>3</v>
      </c>
      <c r="FW20" s="493">
        <v>7</v>
      </c>
      <c r="FX20" s="493">
        <v>7</v>
      </c>
      <c r="FY20" s="493">
        <v>2</v>
      </c>
      <c r="FZ20" s="199"/>
      <c r="GA20" s="491">
        <v>19</v>
      </c>
      <c r="GB20" s="492">
        <v>27</v>
      </c>
      <c r="GC20" s="492">
        <v>21</v>
      </c>
      <c r="GD20" s="492">
        <v>11</v>
      </c>
      <c r="GE20" s="493">
        <v>6</v>
      </c>
      <c r="GF20" s="493">
        <v>11</v>
      </c>
      <c r="GG20" s="493">
        <v>10</v>
      </c>
      <c r="GH20" s="493">
        <v>5</v>
      </c>
      <c r="GI20" s="199"/>
      <c r="GJ20" s="491">
        <v>1318</v>
      </c>
      <c r="GK20" s="492">
        <v>1587</v>
      </c>
      <c r="GL20" s="492">
        <v>1517</v>
      </c>
      <c r="GM20" s="492">
        <v>1401</v>
      </c>
      <c r="GN20" s="493">
        <v>1231</v>
      </c>
      <c r="GO20" s="493">
        <v>875</v>
      </c>
      <c r="GP20" s="493">
        <v>850</v>
      </c>
      <c r="GQ20" s="493">
        <v>748</v>
      </c>
      <c r="GR20" s="199"/>
      <c r="GS20" s="491">
        <v>516</v>
      </c>
      <c r="GT20" s="492">
        <v>642</v>
      </c>
      <c r="GU20" s="492">
        <v>652</v>
      </c>
      <c r="GV20" s="492">
        <v>449</v>
      </c>
      <c r="GW20" s="493">
        <v>397</v>
      </c>
      <c r="GX20" s="493">
        <v>275</v>
      </c>
      <c r="GY20" s="493">
        <v>283</v>
      </c>
      <c r="GZ20" s="493">
        <v>191</v>
      </c>
      <c r="HA20" s="199"/>
      <c r="HB20" s="491">
        <v>10</v>
      </c>
      <c r="HC20" s="492">
        <v>10</v>
      </c>
      <c r="HD20" s="492">
        <v>7</v>
      </c>
      <c r="HE20" s="492">
        <v>10</v>
      </c>
      <c r="HF20" s="493">
        <v>1</v>
      </c>
      <c r="HG20" s="493">
        <v>9</v>
      </c>
      <c r="HH20" s="493">
        <v>3</v>
      </c>
      <c r="HI20" s="493">
        <v>6</v>
      </c>
      <c r="HJ20" s="199"/>
      <c r="HK20" s="491">
        <v>3</v>
      </c>
      <c r="HL20" s="492">
        <v>1</v>
      </c>
      <c r="HM20" s="492">
        <v>1</v>
      </c>
      <c r="HN20" s="492">
        <v>1</v>
      </c>
      <c r="HO20" s="493">
        <v>2</v>
      </c>
      <c r="HP20" s="493">
        <v>3</v>
      </c>
      <c r="HQ20" s="493"/>
      <c r="HR20" s="493">
        <v>1</v>
      </c>
      <c r="HS20" s="199"/>
      <c r="HT20" s="491">
        <v>667</v>
      </c>
      <c r="HU20" s="492">
        <v>741</v>
      </c>
      <c r="HV20" s="492">
        <v>739</v>
      </c>
      <c r="HW20" s="492">
        <v>539</v>
      </c>
      <c r="HX20" s="493">
        <v>513</v>
      </c>
      <c r="HY20" s="493">
        <v>381</v>
      </c>
      <c r="HZ20" s="493">
        <v>393</v>
      </c>
      <c r="IA20" s="493">
        <v>341</v>
      </c>
      <c r="IB20" s="199"/>
      <c r="IC20" s="491">
        <v>2250</v>
      </c>
      <c r="ID20" s="492">
        <v>2638</v>
      </c>
      <c r="IE20" s="492">
        <v>2291</v>
      </c>
      <c r="IF20" s="492">
        <v>2052</v>
      </c>
      <c r="IG20" s="493">
        <v>1852</v>
      </c>
      <c r="IH20" s="493">
        <v>1471</v>
      </c>
      <c r="II20" s="493">
        <v>1693</v>
      </c>
      <c r="IJ20" s="493">
        <v>1760</v>
      </c>
      <c r="IK20" s="199"/>
      <c r="IL20" s="491">
        <v>208</v>
      </c>
      <c r="IM20" s="492">
        <v>407</v>
      </c>
      <c r="IN20" s="492">
        <v>395</v>
      </c>
      <c r="IO20" s="492">
        <v>284</v>
      </c>
      <c r="IP20" s="493">
        <v>121</v>
      </c>
      <c r="IQ20" s="493">
        <v>145</v>
      </c>
      <c r="IR20" s="493">
        <v>122</v>
      </c>
      <c r="IS20" s="493">
        <v>149</v>
      </c>
      <c r="IT20" s="199"/>
      <c r="IU20" s="533">
        <v>2868.3613370388316</v>
      </c>
      <c r="IV20" s="534">
        <v>3356.2767974147255</v>
      </c>
      <c r="IW20" s="534">
        <v>2917.0964004227308</v>
      </c>
      <c r="IX20" s="534">
        <v>2357.1305496525188</v>
      </c>
      <c r="IY20" s="535">
        <v>2120.0604423279456</v>
      </c>
      <c r="IZ20" s="535">
        <v>1679.8182005047447</v>
      </c>
      <c r="JA20" s="535">
        <v>1928.399758522889</v>
      </c>
      <c r="JB20" s="535">
        <v>1729.6107393103177</v>
      </c>
      <c r="JC20" s="536"/>
      <c r="JD20" s="537">
        <v>850.30978302440019</v>
      </c>
      <c r="JE20" s="538">
        <v>942.7600860061832</v>
      </c>
      <c r="JF20" s="538">
        <v>940.95776512981149</v>
      </c>
      <c r="JG20" s="538">
        <v>619.148813968181</v>
      </c>
      <c r="JH20" s="538">
        <v>587.25216356060253</v>
      </c>
      <c r="JI20" s="539">
        <v>435.08547545364229</v>
      </c>
      <c r="JJ20" s="539">
        <v>447.64388960395473</v>
      </c>
      <c r="JK20" s="539">
        <v>335.11208074137403</v>
      </c>
      <c r="JL20" s="536"/>
      <c r="JM20" s="537">
        <v>1680.2223298743022</v>
      </c>
      <c r="JN20" s="538">
        <v>2019.109657883688</v>
      </c>
      <c r="JO20" s="538">
        <v>1931.5736531825764</v>
      </c>
      <c r="JP20" s="538">
        <v>1609.3274366779622</v>
      </c>
      <c r="JQ20" s="538">
        <v>1409.1762443335317</v>
      </c>
      <c r="JR20" s="539">
        <v>999.21204992634387</v>
      </c>
      <c r="JS20" s="539">
        <v>968.18652967776472</v>
      </c>
      <c r="JT20" s="539">
        <v>735.08456420688503</v>
      </c>
      <c r="JU20" s="536"/>
      <c r="JV20" s="537">
        <v>657.81086662757195</v>
      </c>
      <c r="JW20" s="538">
        <v>816.80428504179451</v>
      </c>
      <c r="JX20" s="538">
        <v>830.18195245553056</v>
      </c>
      <c r="JY20" s="538">
        <v>515.76589512377234</v>
      </c>
      <c r="JZ20" s="538">
        <v>454.46220065021294</v>
      </c>
      <c r="KA20" s="539">
        <v>314.03807283399374</v>
      </c>
      <c r="KB20" s="539">
        <v>322.34916223389104</v>
      </c>
      <c r="KC20" s="539">
        <v>187.70207455015381</v>
      </c>
      <c r="KD20" s="536"/>
    </row>
    <row r="21" spans="1:290" ht="15" customHeight="1" x14ac:dyDescent="0.2">
      <c r="A21" s="935"/>
      <c r="B21" s="490" t="s">
        <v>1141</v>
      </c>
      <c r="C21" s="491">
        <v>5</v>
      </c>
      <c r="D21" s="492">
        <v>2</v>
      </c>
      <c r="E21" s="492"/>
      <c r="F21" s="492">
        <v>4</v>
      </c>
      <c r="G21" s="493"/>
      <c r="H21" s="493"/>
      <c r="I21" s="493">
        <v>4</v>
      </c>
      <c r="J21" s="493">
        <v>2</v>
      </c>
      <c r="K21" s="199"/>
      <c r="L21" s="491">
        <v>3</v>
      </c>
      <c r="M21" s="492">
        <v>2</v>
      </c>
      <c r="N21" s="492"/>
      <c r="O21" s="492">
        <v>3</v>
      </c>
      <c r="P21" s="493"/>
      <c r="Q21" s="493"/>
      <c r="R21" s="493">
        <v>1</v>
      </c>
      <c r="S21" s="493">
        <v>2</v>
      </c>
      <c r="T21" s="199"/>
      <c r="U21" s="491">
        <v>2</v>
      </c>
      <c r="V21" s="492"/>
      <c r="W21" s="492"/>
      <c r="X21" s="492">
        <v>1</v>
      </c>
      <c r="Y21" s="493"/>
      <c r="Z21" s="493"/>
      <c r="AA21" s="493">
        <v>3</v>
      </c>
      <c r="AB21" s="493"/>
      <c r="AC21" s="199"/>
      <c r="AD21" s="491">
        <v>101</v>
      </c>
      <c r="AE21" s="492">
        <v>104</v>
      </c>
      <c r="AF21" s="492">
        <v>117</v>
      </c>
      <c r="AG21" s="492">
        <v>87</v>
      </c>
      <c r="AH21" s="493">
        <v>97</v>
      </c>
      <c r="AI21" s="493">
        <v>96</v>
      </c>
      <c r="AJ21" s="493">
        <v>80</v>
      </c>
      <c r="AK21" s="493">
        <v>97</v>
      </c>
      <c r="AL21" s="199"/>
      <c r="AM21" s="491">
        <v>59</v>
      </c>
      <c r="AN21" s="492">
        <v>70</v>
      </c>
      <c r="AO21" s="492">
        <v>55</v>
      </c>
      <c r="AP21" s="492">
        <v>58</v>
      </c>
      <c r="AQ21" s="493">
        <v>54</v>
      </c>
      <c r="AR21" s="493">
        <v>63</v>
      </c>
      <c r="AS21" s="493">
        <v>44</v>
      </c>
      <c r="AT21" s="493">
        <v>45</v>
      </c>
      <c r="AU21" s="199"/>
      <c r="AV21" s="491"/>
      <c r="AW21" s="492">
        <v>1</v>
      </c>
      <c r="AX21" s="492"/>
      <c r="AY21" s="492"/>
      <c r="AZ21" s="493"/>
      <c r="BA21" s="493"/>
      <c r="BB21" s="493">
        <v>1</v>
      </c>
      <c r="BC21" s="493"/>
      <c r="BD21" s="199"/>
      <c r="BE21" s="491">
        <v>4</v>
      </c>
      <c r="BF21" s="492">
        <v>5</v>
      </c>
      <c r="BG21" s="492">
        <v>8</v>
      </c>
      <c r="BH21" s="492">
        <v>4</v>
      </c>
      <c r="BI21" s="493">
        <v>5</v>
      </c>
      <c r="BJ21" s="493">
        <v>6</v>
      </c>
      <c r="BK21" s="493">
        <v>5</v>
      </c>
      <c r="BL21" s="493">
        <v>11</v>
      </c>
      <c r="BM21" s="199"/>
      <c r="BN21" s="491">
        <v>4</v>
      </c>
      <c r="BO21" s="492">
        <v>1</v>
      </c>
      <c r="BP21" s="492">
        <v>8</v>
      </c>
      <c r="BQ21" s="492"/>
      <c r="BR21" s="493">
        <v>1</v>
      </c>
      <c r="BS21" s="493">
        <v>3</v>
      </c>
      <c r="BT21" s="493"/>
      <c r="BU21" s="493">
        <v>1</v>
      </c>
      <c r="BV21" s="199"/>
      <c r="BW21" s="491">
        <v>86</v>
      </c>
      <c r="BX21" s="492">
        <v>70</v>
      </c>
      <c r="BY21" s="492">
        <v>93</v>
      </c>
      <c r="BZ21" s="492">
        <v>104</v>
      </c>
      <c r="CA21" s="493">
        <v>83</v>
      </c>
      <c r="CB21" s="493">
        <v>107</v>
      </c>
      <c r="CC21" s="493">
        <v>100</v>
      </c>
      <c r="CD21" s="493">
        <v>127</v>
      </c>
      <c r="CE21" s="199"/>
      <c r="CF21" s="491">
        <v>6</v>
      </c>
      <c r="CG21" s="492">
        <v>6</v>
      </c>
      <c r="CH21" s="492">
        <v>5</v>
      </c>
      <c r="CI21" s="492">
        <v>3</v>
      </c>
      <c r="CJ21" s="493">
        <v>2</v>
      </c>
      <c r="CK21" s="493">
        <v>6</v>
      </c>
      <c r="CL21" s="493"/>
      <c r="CM21" s="493">
        <v>3</v>
      </c>
      <c r="CN21" s="199"/>
      <c r="CO21" s="491">
        <v>4</v>
      </c>
      <c r="CP21" s="492">
        <v>7</v>
      </c>
      <c r="CQ21" s="492">
        <v>4</v>
      </c>
      <c r="CR21" s="492">
        <v>5</v>
      </c>
      <c r="CS21" s="493">
        <v>2</v>
      </c>
      <c r="CT21" s="493">
        <v>10</v>
      </c>
      <c r="CU21" s="493">
        <v>5</v>
      </c>
      <c r="CV21" s="493">
        <v>4</v>
      </c>
      <c r="CW21" s="199"/>
      <c r="CX21" s="491">
        <v>1799</v>
      </c>
      <c r="CY21" s="492">
        <v>1752</v>
      </c>
      <c r="CZ21" s="492">
        <v>2193</v>
      </c>
      <c r="DA21" s="492">
        <v>2217</v>
      </c>
      <c r="DB21" s="493">
        <v>1690</v>
      </c>
      <c r="DC21" s="493">
        <v>1259</v>
      </c>
      <c r="DD21" s="493">
        <v>931</v>
      </c>
      <c r="DE21" s="493">
        <v>973</v>
      </c>
      <c r="DF21" s="199"/>
      <c r="DG21" s="491">
        <v>127</v>
      </c>
      <c r="DH21" s="492">
        <v>132</v>
      </c>
      <c r="DI21" s="492">
        <v>141</v>
      </c>
      <c r="DJ21" s="492">
        <v>168</v>
      </c>
      <c r="DK21" s="493">
        <v>126</v>
      </c>
      <c r="DL21" s="493">
        <v>66</v>
      </c>
      <c r="DM21" s="493">
        <v>42</v>
      </c>
      <c r="DN21" s="493">
        <v>55</v>
      </c>
      <c r="DO21" s="199"/>
      <c r="DP21" s="491">
        <v>178</v>
      </c>
      <c r="DQ21" s="492">
        <v>141</v>
      </c>
      <c r="DR21" s="492">
        <v>234</v>
      </c>
      <c r="DS21" s="492">
        <v>186</v>
      </c>
      <c r="DT21" s="493">
        <v>123</v>
      </c>
      <c r="DU21" s="493">
        <v>108</v>
      </c>
      <c r="DV21" s="493">
        <v>107</v>
      </c>
      <c r="DW21" s="493">
        <v>73</v>
      </c>
      <c r="DX21" s="199"/>
      <c r="DY21" s="491">
        <v>374</v>
      </c>
      <c r="DZ21" s="492">
        <v>371</v>
      </c>
      <c r="EA21" s="492">
        <v>475</v>
      </c>
      <c r="EB21" s="492">
        <v>417</v>
      </c>
      <c r="EC21" s="493">
        <v>380</v>
      </c>
      <c r="ED21" s="493">
        <v>260</v>
      </c>
      <c r="EE21" s="493">
        <v>162</v>
      </c>
      <c r="EF21" s="493">
        <v>162</v>
      </c>
      <c r="EG21" s="199"/>
      <c r="EH21" s="491">
        <v>38</v>
      </c>
      <c r="EI21" s="492">
        <v>40</v>
      </c>
      <c r="EJ21" s="492">
        <v>44</v>
      </c>
      <c r="EK21" s="492">
        <v>33</v>
      </c>
      <c r="EL21" s="493">
        <v>28</v>
      </c>
      <c r="EM21" s="493">
        <v>25</v>
      </c>
      <c r="EN21" s="493">
        <v>9</v>
      </c>
      <c r="EO21" s="493">
        <v>11</v>
      </c>
      <c r="EP21" s="199"/>
      <c r="EQ21" s="491">
        <v>5</v>
      </c>
      <c r="ER21" s="492">
        <v>2</v>
      </c>
      <c r="ES21" s="492">
        <v>16</v>
      </c>
      <c r="ET21" s="492">
        <v>25</v>
      </c>
      <c r="EU21" s="493">
        <v>11</v>
      </c>
      <c r="EV21" s="493">
        <v>14</v>
      </c>
      <c r="EW21" s="493">
        <v>15</v>
      </c>
      <c r="EX21" s="493">
        <v>21</v>
      </c>
      <c r="EY21" s="199"/>
      <c r="EZ21" s="491">
        <v>2</v>
      </c>
      <c r="FA21" s="492">
        <v>3</v>
      </c>
      <c r="FB21" s="492">
        <v>3</v>
      </c>
      <c r="FC21" s="492">
        <v>2</v>
      </c>
      <c r="FD21" s="493">
        <v>7</v>
      </c>
      <c r="FE21" s="493"/>
      <c r="FF21" s="493">
        <v>4</v>
      </c>
      <c r="FG21" s="493">
        <v>1</v>
      </c>
      <c r="FH21" s="199"/>
      <c r="FI21" s="491">
        <v>236</v>
      </c>
      <c r="FJ21" s="492">
        <v>300</v>
      </c>
      <c r="FK21" s="492">
        <v>159</v>
      </c>
      <c r="FL21" s="492">
        <v>166</v>
      </c>
      <c r="FM21" s="493">
        <v>118</v>
      </c>
      <c r="FN21" s="493">
        <v>106</v>
      </c>
      <c r="FO21" s="493">
        <v>86</v>
      </c>
      <c r="FP21" s="493">
        <v>79</v>
      </c>
      <c r="FQ21" s="199"/>
      <c r="FR21" s="491">
        <v>6</v>
      </c>
      <c r="FS21" s="492">
        <v>6</v>
      </c>
      <c r="FT21" s="492">
        <v>8</v>
      </c>
      <c r="FU21" s="492">
        <v>3</v>
      </c>
      <c r="FV21" s="493">
        <v>27</v>
      </c>
      <c r="FW21" s="493"/>
      <c r="FX21" s="493">
        <v>6</v>
      </c>
      <c r="FY21" s="493">
        <v>1</v>
      </c>
      <c r="FZ21" s="199"/>
      <c r="GA21" s="491">
        <v>34</v>
      </c>
      <c r="GB21" s="492">
        <v>24</v>
      </c>
      <c r="GC21" s="492">
        <v>17</v>
      </c>
      <c r="GD21" s="492">
        <v>15</v>
      </c>
      <c r="GE21" s="493">
        <v>6</v>
      </c>
      <c r="GF21" s="493">
        <v>10</v>
      </c>
      <c r="GG21" s="493"/>
      <c r="GH21" s="493">
        <v>6</v>
      </c>
      <c r="GI21" s="199"/>
      <c r="GJ21" s="491">
        <v>2330</v>
      </c>
      <c r="GK21" s="492">
        <v>2322</v>
      </c>
      <c r="GL21" s="492">
        <v>2675</v>
      </c>
      <c r="GM21" s="492">
        <v>2668</v>
      </c>
      <c r="GN21" s="493">
        <v>2077</v>
      </c>
      <c r="GO21" s="493">
        <v>1642</v>
      </c>
      <c r="GP21" s="493">
        <v>1245</v>
      </c>
      <c r="GQ21" s="493">
        <v>1337</v>
      </c>
      <c r="GR21" s="199"/>
      <c r="GS21" s="491">
        <v>1173</v>
      </c>
      <c r="GT21" s="492">
        <v>1007</v>
      </c>
      <c r="GU21" s="492">
        <v>1230</v>
      </c>
      <c r="GV21" s="492">
        <v>1064</v>
      </c>
      <c r="GW21" s="493">
        <v>542</v>
      </c>
      <c r="GX21" s="493">
        <v>462</v>
      </c>
      <c r="GY21" s="493">
        <v>408</v>
      </c>
      <c r="GZ21" s="493">
        <v>341</v>
      </c>
      <c r="HA21" s="199"/>
      <c r="HB21" s="491">
        <v>11</v>
      </c>
      <c r="HC21" s="492">
        <v>7</v>
      </c>
      <c r="HD21" s="492">
        <v>5</v>
      </c>
      <c r="HE21" s="492">
        <v>10</v>
      </c>
      <c r="HF21" s="493">
        <v>9</v>
      </c>
      <c r="HG21" s="493">
        <v>14</v>
      </c>
      <c r="HH21" s="493">
        <v>11</v>
      </c>
      <c r="HI21" s="493">
        <v>12</v>
      </c>
      <c r="HJ21" s="199"/>
      <c r="HK21" s="491">
        <v>6</v>
      </c>
      <c r="HL21" s="492">
        <v>2</v>
      </c>
      <c r="HM21" s="492">
        <v>2</v>
      </c>
      <c r="HN21" s="492"/>
      <c r="HO21" s="493">
        <v>1</v>
      </c>
      <c r="HP21" s="493"/>
      <c r="HQ21" s="493">
        <v>1</v>
      </c>
      <c r="HR21" s="493"/>
      <c r="HS21" s="199"/>
      <c r="HT21" s="491">
        <v>1718</v>
      </c>
      <c r="HU21" s="492">
        <v>1311</v>
      </c>
      <c r="HV21" s="492">
        <v>1374</v>
      </c>
      <c r="HW21" s="492">
        <v>1254</v>
      </c>
      <c r="HX21" s="493">
        <v>724</v>
      </c>
      <c r="HY21" s="493">
        <v>615</v>
      </c>
      <c r="HZ21" s="493">
        <v>567</v>
      </c>
      <c r="IA21" s="493">
        <v>502</v>
      </c>
      <c r="IB21" s="199"/>
      <c r="IC21" s="491">
        <v>3648</v>
      </c>
      <c r="ID21" s="492">
        <v>3565</v>
      </c>
      <c r="IE21" s="492">
        <v>5140</v>
      </c>
      <c r="IF21" s="492">
        <v>3883</v>
      </c>
      <c r="IG21" s="493">
        <v>3108</v>
      </c>
      <c r="IH21" s="493">
        <v>3899</v>
      </c>
      <c r="II21" s="493">
        <v>2439</v>
      </c>
      <c r="IJ21" s="493">
        <v>2480</v>
      </c>
      <c r="IK21" s="199"/>
      <c r="IL21" s="491">
        <v>510</v>
      </c>
      <c r="IM21" s="492">
        <v>506</v>
      </c>
      <c r="IN21" s="492">
        <v>624</v>
      </c>
      <c r="IO21" s="492">
        <v>345</v>
      </c>
      <c r="IP21" s="493">
        <v>241</v>
      </c>
      <c r="IQ21" s="493">
        <v>306</v>
      </c>
      <c r="IR21" s="493">
        <v>188</v>
      </c>
      <c r="IS21" s="493">
        <v>192</v>
      </c>
      <c r="IT21" s="199"/>
      <c r="IU21" s="533">
        <v>3895.2718575150557</v>
      </c>
      <c r="IV21" s="534">
        <v>3790.8997139545522</v>
      </c>
      <c r="IW21" s="534">
        <v>5429.7877734700987</v>
      </c>
      <c r="IX21" s="534">
        <v>3847.9070873632468</v>
      </c>
      <c r="IY21" s="535">
        <v>3067.5997117956513</v>
      </c>
      <c r="IZ21" s="535">
        <v>3837.1074567230571</v>
      </c>
      <c r="JA21" s="535">
        <v>2397.3343293557964</v>
      </c>
      <c r="JB21" s="535">
        <v>4124.3285493339545</v>
      </c>
      <c r="JC21" s="536"/>
      <c r="JD21" s="537">
        <v>1834.4509460556103</v>
      </c>
      <c r="JE21" s="538">
        <v>1394.0727980348997</v>
      </c>
      <c r="JF21" s="538">
        <v>1451.4646694062094</v>
      </c>
      <c r="JG21" s="538">
        <v>1242.6668780719835</v>
      </c>
      <c r="JH21" s="538">
        <v>714.58886465252624</v>
      </c>
      <c r="JI21" s="539">
        <v>605.23751882141062</v>
      </c>
      <c r="JJ21" s="539">
        <v>557.31388468418879</v>
      </c>
      <c r="JK21" s="539">
        <v>834.84392409905047</v>
      </c>
      <c r="JL21" s="536"/>
      <c r="JM21" s="537">
        <v>2487.9340537308335</v>
      </c>
      <c r="JN21" s="538">
        <v>2469.1358024691358</v>
      </c>
      <c r="JO21" s="538">
        <v>2825.8136758818123</v>
      </c>
      <c r="JP21" s="538">
        <v>2643.887743776756</v>
      </c>
      <c r="JQ21" s="538">
        <v>2050.0014805017913</v>
      </c>
      <c r="JR21" s="539">
        <v>1615.9349689508233</v>
      </c>
      <c r="JS21" s="539">
        <v>1223.7315457351235</v>
      </c>
      <c r="JT21" s="539">
        <v>2223.4787380885068</v>
      </c>
      <c r="JU21" s="536"/>
      <c r="JV21" s="537">
        <v>1252.5092897108445</v>
      </c>
      <c r="JW21" s="538">
        <v>1070.8095405195606</v>
      </c>
      <c r="JX21" s="538">
        <v>1299.3461014335062</v>
      </c>
      <c r="JY21" s="538">
        <v>1054.3840177580466</v>
      </c>
      <c r="JZ21" s="538">
        <v>534.95464729512321</v>
      </c>
      <c r="KA21" s="539">
        <v>454.66623365120603</v>
      </c>
      <c r="KB21" s="539">
        <v>401.03009691560675</v>
      </c>
      <c r="KC21" s="539">
        <v>567.09517553341868</v>
      </c>
      <c r="KD21" s="536"/>
    </row>
    <row r="22" spans="1:290" ht="15" customHeight="1" x14ac:dyDescent="0.2">
      <c r="A22" s="935"/>
      <c r="B22" s="490" t="s">
        <v>1142</v>
      </c>
      <c r="C22" s="491">
        <v>2</v>
      </c>
      <c r="D22" s="492">
        <v>3</v>
      </c>
      <c r="E22" s="492"/>
      <c r="F22" s="492">
        <v>2</v>
      </c>
      <c r="G22" s="493">
        <v>2</v>
      </c>
      <c r="H22" s="493"/>
      <c r="I22" s="493">
        <v>1</v>
      </c>
      <c r="J22" s="493">
        <v>2</v>
      </c>
      <c r="K22" s="199"/>
      <c r="L22" s="491">
        <v>1</v>
      </c>
      <c r="M22" s="492"/>
      <c r="N22" s="492"/>
      <c r="O22" s="492"/>
      <c r="P22" s="493"/>
      <c r="Q22" s="493"/>
      <c r="R22" s="493"/>
      <c r="S22" s="493"/>
      <c r="T22" s="199"/>
      <c r="U22" s="491">
        <v>1</v>
      </c>
      <c r="V22" s="492">
        <v>3</v>
      </c>
      <c r="W22" s="492"/>
      <c r="X22" s="492">
        <v>2</v>
      </c>
      <c r="Y22" s="493">
        <v>2</v>
      </c>
      <c r="Z22" s="493"/>
      <c r="AA22" s="493">
        <v>1</v>
      </c>
      <c r="AB22" s="493">
        <v>2</v>
      </c>
      <c r="AC22" s="199"/>
      <c r="AD22" s="491">
        <v>91</v>
      </c>
      <c r="AE22" s="492">
        <v>108</v>
      </c>
      <c r="AF22" s="492">
        <v>110</v>
      </c>
      <c r="AG22" s="492">
        <v>90</v>
      </c>
      <c r="AH22" s="493">
        <v>45</v>
      </c>
      <c r="AI22" s="493">
        <v>79</v>
      </c>
      <c r="AJ22" s="493">
        <v>86</v>
      </c>
      <c r="AK22" s="493">
        <v>38</v>
      </c>
      <c r="AL22" s="199"/>
      <c r="AM22" s="491">
        <v>73</v>
      </c>
      <c r="AN22" s="492">
        <v>81</v>
      </c>
      <c r="AO22" s="492">
        <v>83</v>
      </c>
      <c r="AP22" s="492">
        <v>60</v>
      </c>
      <c r="AQ22" s="493">
        <v>27</v>
      </c>
      <c r="AR22" s="493">
        <v>37</v>
      </c>
      <c r="AS22" s="493">
        <v>47</v>
      </c>
      <c r="AT22" s="493">
        <v>15</v>
      </c>
      <c r="AU22" s="199"/>
      <c r="AV22" s="491"/>
      <c r="AW22" s="492"/>
      <c r="AX22" s="492"/>
      <c r="AY22" s="492"/>
      <c r="AZ22" s="493"/>
      <c r="BA22" s="493"/>
      <c r="BB22" s="493"/>
      <c r="BC22" s="493"/>
      <c r="BD22" s="199"/>
      <c r="BE22" s="491">
        <v>5</v>
      </c>
      <c r="BF22" s="492">
        <v>12</v>
      </c>
      <c r="BG22" s="492">
        <v>15</v>
      </c>
      <c r="BH22" s="492">
        <v>9</v>
      </c>
      <c r="BI22" s="493">
        <v>3</v>
      </c>
      <c r="BJ22" s="493">
        <v>6</v>
      </c>
      <c r="BK22" s="493">
        <v>6</v>
      </c>
      <c r="BL22" s="493">
        <v>5</v>
      </c>
      <c r="BM22" s="199"/>
      <c r="BN22" s="491"/>
      <c r="BO22" s="492"/>
      <c r="BP22" s="492"/>
      <c r="BQ22" s="492"/>
      <c r="BR22" s="493"/>
      <c r="BS22" s="493">
        <v>2</v>
      </c>
      <c r="BT22" s="493">
        <v>4</v>
      </c>
      <c r="BU22" s="493">
        <v>1</v>
      </c>
      <c r="BV22" s="199"/>
      <c r="BW22" s="491">
        <v>57</v>
      </c>
      <c r="BX22" s="492">
        <v>76</v>
      </c>
      <c r="BY22" s="492">
        <v>88</v>
      </c>
      <c r="BZ22" s="492">
        <v>97</v>
      </c>
      <c r="CA22" s="493">
        <v>76</v>
      </c>
      <c r="CB22" s="493">
        <v>106</v>
      </c>
      <c r="CC22" s="493">
        <v>101</v>
      </c>
      <c r="CD22" s="493">
        <v>83</v>
      </c>
      <c r="CE22" s="199"/>
      <c r="CF22" s="491">
        <v>6</v>
      </c>
      <c r="CG22" s="492">
        <v>10</v>
      </c>
      <c r="CH22" s="492">
        <v>8</v>
      </c>
      <c r="CI22" s="492">
        <v>5</v>
      </c>
      <c r="CJ22" s="493">
        <v>2</v>
      </c>
      <c r="CK22" s="493">
        <v>3</v>
      </c>
      <c r="CL22" s="493">
        <v>4</v>
      </c>
      <c r="CM22" s="493">
        <v>1</v>
      </c>
      <c r="CN22" s="199"/>
      <c r="CO22" s="491">
        <v>2</v>
      </c>
      <c r="CP22" s="492">
        <v>4</v>
      </c>
      <c r="CQ22" s="492">
        <v>5</v>
      </c>
      <c r="CR22" s="492">
        <v>6</v>
      </c>
      <c r="CS22" s="493"/>
      <c r="CT22" s="493">
        <v>4</v>
      </c>
      <c r="CU22" s="493">
        <v>2</v>
      </c>
      <c r="CV22" s="493">
        <v>3</v>
      </c>
      <c r="CW22" s="199"/>
      <c r="CX22" s="491">
        <v>1421</v>
      </c>
      <c r="CY22" s="492">
        <v>1427</v>
      </c>
      <c r="CZ22" s="492">
        <v>1330</v>
      </c>
      <c r="DA22" s="492">
        <v>1346</v>
      </c>
      <c r="DB22" s="493">
        <v>1011</v>
      </c>
      <c r="DC22" s="493">
        <v>969</v>
      </c>
      <c r="DD22" s="493">
        <v>655</v>
      </c>
      <c r="DE22" s="493">
        <v>703</v>
      </c>
      <c r="DF22" s="199"/>
      <c r="DG22" s="491">
        <v>147</v>
      </c>
      <c r="DH22" s="492">
        <v>100</v>
      </c>
      <c r="DI22" s="492">
        <v>133</v>
      </c>
      <c r="DJ22" s="492">
        <v>135</v>
      </c>
      <c r="DK22" s="493">
        <v>75</v>
      </c>
      <c r="DL22" s="493">
        <v>53</v>
      </c>
      <c r="DM22" s="493">
        <v>16</v>
      </c>
      <c r="DN22" s="493">
        <v>41</v>
      </c>
      <c r="DO22" s="199"/>
      <c r="DP22" s="491">
        <v>219</v>
      </c>
      <c r="DQ22" s="492">
        <v>161</v>
      </c>
      <c r="DR22" s="492">
        <v>91</v>
      </c>
      <c r="DS22" s="492">
        <v>117</v>
      </c>
      <c r="DT22" s="493">
        <v>62</v>
      </c>
      <c r="DU22" s="493">
        <v>35</v>
      </c>
      <c r="DV22" s="493">
        <v>26</v>
      </c>
      <c r="DW22" s="493">
        <v>28</v>
      </c>
      <c r="DX22" s="199"/>
      <c r="DY22" s="491">
        <v>218</v>
      </c>
      <c r="DZ22" s="492">
        <v>292</v>
      </c>
      <c r="EA22" s="492">
        <v>216</v>
      </c>
      <c r="EB22" s="492">
        <v>213</v>
      </c>
      <c r="EC22" s="493">
        <v>160</v>
      </c>
      <c r="ED22" s="493">
        <v>143</v>
      </c>
      <c r="EE22" s="493">
        <v>59</v>
      </c>
      <c r="EF22" s="493">
        <v>66</v>
      </c>
      <c r="EG22" s="199"/>
      <c r="EH22" s="491">
        <v>62</v>
      </c>
      <c r="EI22" s="492">
        <v>38</v>
      </c>
      <c r="EJ22" s="492">
        <v>60</v>
      </c>
      <c r="EK22" s="492">
        <v>25</v>
      </c>
      <c r="EL22" s="493">
        <v>32</v>
      </c>
      <c r="EM22" s="493">
        <v>22</v>
      </c>
      <c r="EN22" s="493">
        <v>15</v>
      </c>
      <c r="EO22" s="493">
        <v>5</v>
      </c>
      <c r="EP22" s="199"/>
      <c r="EQ22" s="491">
        <v>4</v>
      </c>
      <c r="ER22" s="492">
        <v>16</v>
      </c>
      <c r="ES22" s="492">
        <v>24</v>
      </c>
      <c r="ET22" s="492">
        <v>25</v>
      </c>
      <c r="EU22" s="493">
        <v>17</v>
      </c>
      <c r="EV22" s="493">
        <v>15</v>
      </c>
      <c r="EW22" s="493">
        <v>16</v>
      </c>
      <c r="EX22" s="493">
        <v>18</v>
      </c>
      <c r="EY22" s="199"/>
      <c r="EZ22" s="491">
        <v>4</v>
      </c>
      <c r="FA22" s="492">
        <v>4</v>
      </c>
      <c r="FB22" s="492">
        <v>5</v>
      </c>
      <c r="FC22" s="492">
        <v>5</v>
      </c>
      <c r="FD22" s="493"/>
      <c r="FE22" s="493">
        <v>3</v>
      </c>
      <c r="FF22" s="493">
        <v>1</v>
      </c>
      <c r="FG22" s="493">
        <v>2</v>
      </c>
      <c r="FH22" s="199"/>
      <c r="FI22" s="491">
        <v>127</v>
      </c>
      <c r="FJ22" s="492">
        <v>100</v>
      </c>
      <c r="FK22" s="492">
        <v>113</v>
      </c>
      <c r="FL22" s="492">
        <v>59</v>
      </c>
      <c r="FM22" s="493">
        <v>55</v>
      </c>
      <c r="FN22" s="493">
        <v>48</v>
      </c>
      <c r="FO22" s="493">
        <v>41</v>
      </c>
      <c r="FP22" s="493">
        <v>43</v>
      </c>
      <c r="FQ22" s="199"/>
      <c r="FR22" s="491">
        <v>5</v>
      </c>
      <c r="FS22" s="492">
        <v>4</v>
      </c>
      <c r="FT22" s="492">
        <v>7</v>
      </c>
      <c r="FU22" s="492">
        <v>4</v>
      </c>
      <c r="FV22" s="493">
        <v>1</v>
      </c>
      <c r="FW22" s="493">
        <v>2</v>
      </c>
      <c r="FX22" s="493">
        <v>3</v>
      </c>
      <c r="FY22" s="493">
        <v>1</v>
      </c>
      <c r="FZ22" s="199"/>
      <c r="GA22" s="491">
        <v>23</v>
      </c>
      <c r="GB22" s="492">
        <v>40</v>
      </c>
      <c r="GC22" s="492">
        <v>26</v>
      </c>
      <c r="GD22" s="492">
        <v>12</v>
      </c>
      <c r="GE22" s="493">
        <v>6</v>
      </c>
      <c r="GF22" s="493">
        <v>7</v>
      </c>
      <c r="GG22" s="493">
        <v>4</v>
      </c>
      <c r="GH22" s="493">
        <v>10</v>
      </c>
      <c r="GI22" s="199"/>
      <c r="GJ22" s="491">
        <v>1809</v>
      </c>
      <c r="GK22" s="492">
        <v>1842</v>
      </c>
      <c r="GL22" s="492">
        <v>1791</v>
      </c>
      <c r="GM22" s="492">
        <v>1685</v>
      </c>
      <c r="GN22" s="493">
        <v>1250</v>
      </c>
      <c r="GO22" s="493">
        <v>1266</v>
      </c>
      <c r="GP22" s="493">
        <v>939</v>
      </c>
      <c r="GQ22" s="493">
        <v>915</v>
      </c>
      <c r="GR22" s="199"/>
      <c r="GS22" s="491">
        <v>954</v>
      </c>
      <c r="GT22" s="492">
        <v>918</v>
      </c>
      <c r="GU22" s="492">
        <v>1002</v>
      </c>
      <c r="GV22" s="492">
        <v>760</v>
      </c>
      <c r="GW22" s="493">
        <v>245</v>
      </c>
      <c r="GX22" s="493">
        <v>276</v>
      </c>
      <c r="GY22" s="493">
        <v>218</v>
      </c>
      <c r="GZ22" s="493">
        <v>222</v>
      </c>
      <c r="HA22" s="199"/>
      <c r="HB22" s="491">
        <v>10</v>
      </c>
      <c r="HC22" s="492">
        <v>5</v>
      </c>
      <c r="HD22" s="492">
        <v>4</v>
      </c>
      <c r="HE22" s="492">
        <v>6</v>
      </c>
      <c r="HF22" s="493">
        <v>20</v>
      </c>
      <c r="HG22" s="493">
        <v>3</v>
      </c>
      <c r="HH22" s="493">
        <v>3</v>
      </c>
      <c r="HI22" s="493">
        <v>5</v>
      </c>
      <c r="HJ22" s="199"/>
      <c r="HK22" s="491">
        <v>1</v>
      </c>
      <c r="HL22" s="492">
        <v>2</v>
      </c>
      <c r="HM22" s="492">
        <v>1</v>
      </c>
      <c r="HN22" s="492">
        <v>1</v>
      </c>
      <c r="HO22" s="493"/>
      <c r="HP22" s="493">
        <v>1</v>
      </c>
      <c r="HQ22" s="493"/>
      <c r="HR22" s="493"/>
      <c r="HS22" s="199"/>
      <c r="HT22" s="491">
        <v>1065</v>
      </c>
      <c r="HU22" s="492">
        <v>1048</v>
      </c>
      <c r="HV22" s="492">
        <v>1090</v>
      </c>
      <c r="HW22" s="492">
        <v>883</v>
      </c>
      <c r="HX22" s="493">
        <v>360</v>
      </c>
      <c r="HY22" s="493">
        <v>391</v>
      </c>
      <c r="HZ22" s="493">
        <v>362</v>
      </c>
      <c r="IA22" s="493">
        <v>353</v>
      </c>
      <c r="IB22" s="199"/>
      <c r="IC22" s="491">
        <v>2538</v>
      </c>
      <c r="ID22" s="492">
        <v>2631</v>
      </c>
      <c r="IE22" s="492">
        <v>3119</v>
      </c>
      <c r="IF22" s="492">
        <v>2559</v>
      </c>
      <c r="IG22" s="493">
        <v>1811</v>
      </c>
      <c r="IH22" s="493">
        <v>1895</v>
      </c>
      <c r="II22" s="493">
        <v>1567</v>
      </c>
      <c r="IJ22" s="493">
        <v>1769</v>
      </c>
      <c r="IK22" s="199"/>
      <c r="IL22" s="491">
        <v>316</v>
      </c>
      <c r="IM22" s="492">
        <v>393</v>
      </c>
      <c r="IN22" s="492">
        <v>306</v>
      </c>
      <c r="IO22" s="492">
        <v>199</v>
      </c>
      <c r="IP22" s="493">
        <v>119</v>
      </c>
      <c r="IQ22" s="493">
        <v>165</v>
      </c>
      <c r="IR22" s="493">
        <v>67</v>
      </c>
      <c r="IS22" s="493">
        <v>86</v>
      </c>
      <c r="IT22" s="199"/>
      <c r="IU22" s="533">
        <v>4111.7195347179468</v>
      </c>
      <c r="IV22" s="534">
        <v>4241.4276732601438</v>
      </c>
      <c r="IW22" s="534">
        <v>5013.6633981674968</v>
      </c>
      <c r="IX22" s="534">
        <v>4216.0933175168047</v>
      </c>
      <c r="IY22" s="535">
        <v>2981.6589285126283</v>
      </c>
      <c r="IZ22" s="535">
        <v>3111.4540916852752</v>
      </c>
      <c r="JA22" s="535">
        <v>2580.2308540942845</v>
      </c>
      <c r="JB22" s="535">
        <v>2209.565206530021</v>
      </c>
      <c r="JC22" s="536"/>
      <c r="JD22" s="537">
        <v>1725.3669442374367</v>
      </c>
      <c r="JE22" s="538">
        <v>1689.4778417242992</v>
      </c>
      <c r="JF22" s="538">
        <v>1752.1298826555217</v>
      </c>
      <c r="JG22" s="538">
        <v>1454.7910900224067</v>
      </c>
      <c r="JH22" s="538">
        <v>592.7096710461326</v>
      </c>
      <c r="JI22" s="539">
        <v>641.99395770392744</v>
      </c>
      <c r="JJ22" s="539">
        <v>596.07119922280219</v>
      </c>
      <c r="JK22" s="539">
        <v>440.91380322504091</v>
      </c>
      <c r="JL22" s="536"/>
      <c r="JM22" s="537">
        <v>2930.6937109159835</v>
      </c>
      <c r="JN22" s="538">
        <v>2969.4830004352661</v>
      </c>
      <c r="JO22" s="538">
        <v>2878.9583668220544</v>
      </c>
      <c r="JP22" s="538">
        <v>2776.1302227494398</v>
      </c>
      <c r="JQ22" s="538">
        <v>2058.0196911324047</v>
      </c>
      <c r="JR22" s="539">
        <v>2078.6812032050439</v>
      </c>
      <c r="JS22" s="539">
        <v>1546.162585829313</v>
      </c>
      <c r="JT22" s="539">
        <v>1142.8785551017349</v>
      </c>
      <c r="JU22" s="536"/>
      <c r="JV22" s="537">
        <v>1545.5399669507176</v>
      </c>
      <c r="JW22" s="538">
        <v>1479.9052086859795</v>
      </c>
      <c r="JX22" s="538">
        <v>1610.673525156727</v>
      </c>
      <c r="JY22" s="538">
        <v>1252.1418215368392</v>
      </c>
      <c r="JZ22" s="538">
        <v>403.37185946195137</v>
      </c>
      <c r="KA22" s="539">
        <v>453.1722054380665</v>
      </c>
      <c r="KB22" s="539">
        <v>358.96000395185325</v>
      </c>
      <c r="KC22" s="539">
        <v>277.28856746730617</v>
      </c>
      <c r="KD22" s="536"/>
    </row>
    <row r="23" spans="1:290" ht="15" customHeight="1" x14ac:dyDescent="0.2">
      <c r="A23" s="935"/>
      <c r="B23" s="490" t="s">
        <v>1143</v>
      </c>
      <c r="C23" s="491">
        <v>12</v>
      </c>
      <c r="D23" s="492">
        <v>5</v>
      </c>
      <c r="E23" s="492">
        <v>1</v>
      </c>
      <c r="F23" s="492">
        <v>6</v>
      </c>
      <c r="G23" s="493">
        <v>4</v>
      </c>
      <c r="H23" s="493">
        <v>3</v>
      </c>
      <c r="I23" s="493">
        <v>1</v>
      </c>
      <c r="J23" s="493">
        <v>1</v>
      </c>
      <c r="K23" s="199"/>
      <c r="L23" s="491">
        <v>8</v>
      </c>
      <c r="M23" s="492">
        <v>2</v>
      </c>
      <c r="N23" s="492">
        <v>1</v>
      </c>
      <c r="O23" s="492">
        <v>3</v>
      </c>
      <c r="P23" s="493">
        <v>2</v>
      </c>
      <c r="Q23" s="493">
        <v>3</v>
      </c>
      <c r="R23" s="493">
        <v>1</v>
      </c>
      <c r="S23" s="493"/>
      <c r="T23" s="199"/>
      <c r="U23" s="491">
        <v>3</v>
      </c>
      <c r="V23" s="492">
        <v>2</v>
      </c>
      <c r="W23" s="492"/>
      <c r="X23" s="492">
        <v>3</v>
      </c>
      <c r="Y23" s="493">
        <v>2</v>
      </c>
      <c r="Z23" s="493"/>
      <c r="AA23" s="493"/>
      <c r="AB23" s="493">
        <v>1</v>
      </c>
      <c r="AC23" s="199"/>
      <c r="AD23" s="491">
        <v>116</v>
      </c>
      <c r="AE23" s="492">
        <v>64</v>
      </c>
      <c r="AF23" s="492">
        <v>58</v>
      </c>
      <c r="AG23" s="492">
        <v>61</v>
      </c>
      <c r="AH23" s="493">
        <v>43</v>
      </c>
      <c r="AI23" s="493">
        <v>65</v>
      </c>
      <c r="AJ23" s="493">
        <v>45</v>
      </c>
      <c r="AK23" s="493">
        <v>126</v>
      </c>
      <c r="AL23" s="199"/>
      <c r="AM23" s="491">
        <v>80</v>
      </c>
      <c r="AN23" s="492">
        <v>38</v>
      </c>
      <c r="AO23" s="492">
        <v>36</v>
      </c>
      <c r="AP23" s="492">
        <v>34</v>
      </c>
      <c r="AQ23" s="493">
        <v>27</v>
      </c>
      <c r="AR23" s="493">
        <v>48</v>
      </c>
      <c r="AS23" s="493">
        <v>27</v>
      </c>
      <c r="AT23" s="493">
        <v>40</v>
      </c>
      <c r="AU23" s="199"/>
      <c r="AV23" s="491"/>
      <c r="AW23" s="492"/>
      <c r="AX23" s="492"/>
      <c r="AY23" s="492"/>
      <c r="AZ23" s="493"/>
      <c r="BA23" s="493"/>
      <c r="BB23" s="493"/>
      <c r="BC23" s="493"/>
      <c r="BD23" s="199"/>
      <c r="BE23" s="491">
        <v>11</v>
      </c>
      <c r="BF23" s="492">
        <v>15</v>
      </c>
      <c r="BG23" s="492">
        <v>10</v>
      </c>
      <c r="BH23" s="492">
        <v>8</v>
      </c>
      <c r="BI23" s="493">
        <v>13</v>
      </c>
      <c r="BJ23" s="493">
        <v>12</v>
      </c>
      <c r="BK23" s="493">
        <v>20</v>
      </c>
      <c r="BL23" s="493">
        <v>31</v>
      </c>
      <c r="BM23" s="199"/>
      <c r="BN23" s="491"/>
      <c r="BO23" s="492"/>
      <c r="BP23" s="492"/>
      <c r="BQ23" s="492"/>
      <c r="BR23" s="493"/>
      <c r="BS23" s="493">
        <v>18</v>
      </c>
      <c r="BT23" s="493">
        <v>10</v>
      </c>
      <c r="BU23" s="493">
        <v>1</v>
      </c>
      <c r="BV23" s="199"/>
      <c r="BW23" s="491">
        <v>92</v>
      </c>
      <c r="BX23" s="492">
        <v>68</v>
      </c>
      <c r="BY23" s="492">
        <v>74</v>
      </c>
      <c r="BZ23" s="492">
        <v>87</v>
      </c>
      <c r="CA23" s="493">
        <v>82</v>
      </c>
      <c r="CB23" s="493">
        <v>65</v>
      </c>
      <c r="CC23" s="493">
        <v>48</v>
      </c>
      <c r="CD23" s="493">
        <v>65</v>
      </c>
      <c r="CE23" s="199"/>
      <c r="CF23" s="491">
        <v>6</v>
      </c>
      <c r="CG23" s="492">
        <v>2</v>
      </c>
      <c r="CH23" s="492">
        <v>6</v>
      </c>
      <c r="CI23" s="492">
        <v>5</v>
      </c>
      <c r="CJ23" s="493">
        <v>6</v>
      </c>
      <c r="CK23" s="493">
        <v>3</v>
      </c>
      <c r="CL23" s="493">
        <v>5</v>
      </c>
      <c r="CM23" s="493">
        <v>2</v>
      </c>
      <c r="CN23" s="199"/>
      <c r="CO23" s="491">
        <v>9</v>
      </c>
      <c r="CP23" s="492">
        <v>8</v>
      </c>
      <c r="CQ23" s="492">
        <v>8</v>
      </c>
      <c r="CR23" s="492">
        <v>3</v>
      </c>
      <c r="CS23" s="493">
        <v>3</v>
      </c>
      <c r="CT23" s="493">
        <v>3</v>
      </c>
      <c r="CU23" s="493">
        <v>9</v>
      </c>
      <c r="CV23" s="493">
        <v>4</v>
      </c>
      <c r="CW23" s="199"/>
      <c r="CX23" s="491">
        <v>3264</v>
      </c>
      <c r="CY23" s="492">
        <v>2408</v>
      </c>
      <c r="CZ23" s="492">
        <v>2363</v>
      </c>
      <c r="DA23" s="492">
        <v>2065</v>
      </c>
      <c r="DB23" s="493">
        <v>1742</v>
      </c>
      <c r="DC23" s="493">
        <v>1310</v>
      </c>
      <c r="DD23" s="493">
        <v>1127</v>
      </c>
      <c r="DE23" s="493">
        <v>833</v>
      </c>
      <c r="DF23" s="199"/>
      <c r="DG23" s="491">
        <v>200</v>
      </c>
      <c r="DH23" s="492">
        <v>154</v>
      </c>
      <c r="DI23" s="492">
        <v>189</v>
      </c>
      <c r="DJ23" s="492">
        <v>146</v>
      </c>
      <c r="DK23" s="493">
        <v>123</v>
      </c>
      <c r="DL23" s="493">
        <v>65</v>
      </c>
      <c r="DM23" s="493">
        <v>31</v>
      </c>
      <c r="DN23" s="493">
        <v>21</v>
      </c>
      <c r="DO23" s="199"/>
      <c r="DP23" s="491">
        <v>321</v>
      </c>
      <c r="DQ23" s="492">
        <v>275</v>
      </c>
      <c r="DR23" s="492">
        <v>206</v>
      </c>
      <c r="DS23" s="492">
        <v>150</v>
      </c>
      <c r="DT23" s="493">
        <v>130</v>
      </c>
      <c r="DU23" s="493">
        <v>124</v>
      </c>
      <c r="DV23" s="493">
        <v>109</v>
      </c>
      <c r="DW23" s="493">
        <v>87</v>
      </c>
      <c r="DX23" s="199"/>
      <c r="DY23" s="491">
        <v>518</v>
      </c>
      <c r="DZ23" s="492">
        <v>398</v>
      </c>
      <c r="EA23" s="492">
        <v>514</v>
      </c>
      <c r="EB23" s="492">
        <v>387</v>
      </c>
      <c r="EC23" s="493">
        <v>390</v>
      </c>
      <c r="ED23" s="493">
        <v>252</v>
      </c>
      <c r="EE23" s="493">
        <v>245</v>
      </c>
      <c r="EF23" s="493">
        <v>131</v>
      </c>
      <c r="EG23" s="199"/>
      <c r="EH23" s="491">
        <v>138</v>
      </c>
      <c r="EI23" s="492">
        <v>74</v>
      </c>
      <c r="EJ23" s="492">
        <v>77</v>
      </c>
      <c r="EK23" s="492">
        <v>37</v>
      </c>
      <c r="EL23" s="493">
        <v>32</v>
      </c>
      <c r="EM23" s="493">
        <v>42</v>
      </c>
      <c r="EN23" s="493">
        <v>22</v>
      </c>
      <c r="EO23" s="493">
        <v>8</v>
      </c>
      <c r="EP23" s="199"/>
      <c r="EQ23" s="491">
        <v>22</v>
      </c>
      <c r="ER23" s="492">
        <v>10</v>
      </c>
      <c r="ES23" s="492">
        <v>35</v>
      </c>
      <c r="ET23" s="492">
        <v>16</v>
      </c>
      <c r="EU23" s="493">
        <v>25</v>
      </c>
      <c r="EV23" s="493">
        <v>21</v>
      </c>
      <c r="EW23" s="493">
        <v>16</v>
      </c>
      <c r="EX23" s="493">
        <v>14</v>
      </c>
      <c r="EY23" s="199"/>
      <c r="EZ23" s="491">
        <v>5</v>
      </c>
      <c r="FA23" s="492">
        <v>1</v>
      </c>
      <c r="FB23" s="492">
        <v>2</v>
      </c>
      <c r="FC23" s="492">
        <v>3</v>
      </c>
      <c r="FD23" s="493">
        <v>5</v>
      </c>
      <c r="FE23" s="493">
        <v>4</v>
      </c>
      <c r="FF23" s="493"/>
      <c r="FG23" s="493">
        <v>4</v>
      </c>
      <c r="FH23" s="199"/>
      <c r="FI23" s="491">
        <v>410</v>
      </c>
      <c r="FJ23" s="492">
        <v>243</v>
      </c>
      <c r="FK23" s="492">
        <v>164</v>
      </c>
      <c r="FL23" s="492">
        <v>132</v>
      </c>
      <c r="FM23" s="493">
        <v>87</v>
      </c>
      <c r="FN23" s="493">
        <v>70</v>
      </c>
      <c r="FO23" s="493">
        <v>100</v>
      </c>
      <c r="FP23" s="493">
        <v>73</v>
      </c>
      <c r="FQ23" s="199"/>
      <c r="FR23" s="491">
        <v>10</v>
      </c>
      <c r="FS23" s="492">
        <v>4</v>
      </c>
      <c r="FT23" s="492">
        <v>5</v>
      </c>
      <c r="FU23" s="492">
        <v>13</v>
      </c>
      <c r="FV23" s="493">
        <v>9</v>
      </c>
      <c r="FW23" s="493">
        <v>7</v>
      </c>
      <c r="FX23" s="493">
        <v>3</v>
      </c>
      <c r="FY23" s="493">
        <v>2</v>
      </c>
      <c r="FZ23" s="199"/>
      <c r="GA23" s="491">
        <v>54</v>
      </c>
      <c r="GB23" s="492">
        <v>27</v>
      </c>
      <c r="GC23" s="492">
        <v>23</v>
      </c>
      <c r="GD23" s="492">
        <v>30</v>
      </c>
      <c r="GE23" s="493">
        <v>17</v>
      </c>
      <c r="GF23" s="493">
        <v>20</v>
      </c>
      <c r="GG23" s="493">
        <v>19</v>
      </c>
      <c r="GH23" s="493">
        <v>19</v>
      </c>
      <c r="GI23" s="199"/>
      <c r="GJ23" s="491">
        <v>4149</v>
      </c>
      <c r="GK23" s="492">
        <v>2929</v>
      </c>
      <c r="GL23" s="492">
        <v>2826</v>
      </c>
      <c r="GM23" s="492">
        <v>2466</v>
      </c>
      <c r="GN23" s="493">
        <v>2068</v>
      </c>
      <c r="GO23" s="493">
        <v>1643</v>
      </c>
      <c r="GP23" s="493">
        <v>1425</v>
      </c>
      <c r="GQ23" s="493">
        <v>1183</v>
      </c>
      <c r="GR23" s="199"/>
      <c r="GS23" s="491">
        <v>1885</v>
      </c>
      <c r="GT23" s="492">
        <v>1282</v>
      </c>
      <c r="GU23" s="492">
        <v>1254</v>
      </c>
      <c r="GV23" s="492">
        <v>956</v>
      </c>
      <c r="GW23" s="493">
        <v>524</v>
      </c>
      <c r="GX23" s="493">
        <v>378</v>
      </c>
      <c r="GY23" s="493">
        <v>366</v>
      </c>
      <c r="GZ23" s="493">
        <v>310</v>
      </c>
      <c r="HA23" s="199"/>
      <c r="HB23" s="491">
        <v>16</v>
      </c>
      <c r="HC23" s="492">
        <v>13</v>
      </c>
      <c r="HD23" s="492">
        <v>11</v>
      </c>
      <c r="HE23" s="492">
        <v>5</v>
      </c>
      <c r="HF23" s="493">
        <v>12</v>
      </c>
      <c r="HG23" s="493">
        <v>6</v>
      </c>
      <c r="HH23" s="493">
        <v>5</v>
      </c>
      <c r="HI23" s="493">
        <v>7</v>
      </c>
      <c r="HJ23" s="199"/>
      <c r="HK23" s="491">
        <v>14</v>
      </c>
      <c r="HL23" s="492">
        <v>7</v>
      </c>
      <c r="HM23" s="492">
        <v>3</v>
      </c>
      <c r="HN23" s="492">
        <v>1</v>
      </c>
      <c r="HO23" s="493">
        <v>1</v>
      </c>
      <c r="HP23" s="493">
        <v>1</v>
      </c>
      <c r="HQ23" s="493"/>
      <c r="HR23" s="493">
        <v>1</v>
      </c>
      <c r="HS23" s="199"/>
      <c r="HT23" s="491">
        <v>2142</v>
      </c>
      <c r="HU23" s="492">
        <v>1519</v>
      </c>
      <c r="HV23" s="492">
        <v>1392</v>
      </c>
      <c r="HW23" s="492">
        <v>1143</v>
      </c>
      <c r="HX23" s="493">
        <v>680</v>
      </c>
      <c r="HY23" s="493">
        <v>557</v>
      </c>
      <c r="HZ23" s="493">
        <v>555</v>
      </c>
      <c r="IA23" s="493">
        <v>502</v>
      </c>
      <c r="IB23" s="199"/>
      <c r="IC23" s="491">
        <v>5956</v>
      </c>
      <c r="ID23" s="492">
        <v>4375</v>
      </c>
      <c r="IE23" s="492">
        <v>4424</v>
      </c>
      <c r="IF23" s="492">
        <v>4464</v>
      </c>
      <c r="IG23" s="493">
        <v>2821</v>
      </c>
      <c r="IH23" s="493">
        <v>2531</v>
      </c>
      <c r="II23" s="493">
        <v>2365</v>
      </c>
      <c r="IJ23" s="493">
        <v>2146</v>
      </c>
      <c r="IK23" s="199"/>
      <c r="IL23" s="491">
        <v>724</v>
      </c>
      <c r="IM23" s="492">
        <v>537</v>
      </c>
      <c r="IN23" s="492">
        <v>647</v>
      </c>
      <c r="IO23" s="492">
        <v>378</v>
      </c>
      <c r="IP23" s="493">
        <v>200</v>
      </c>
      <c r="IQ23" s="493">
        <v>293</v>
      </c>
      <c r="IR23" s="493">
        <v>277</v>
      </c>
      <c r="IS23" s="493">
        <v>157</v>
      </c>
      <c r="IT23" s="199"/>
      <c r="IU23" s="533">
        <v>7122.9534664003741</v>
      </c>
      <c r="IV23" s="534">
        <v>5226.3143433957302</v>
      </c>
      <c r="IW23" s="534">
        <v>5274.8929878739464</v>
      </c>
      <c r="IX23" s="534">
        <v>5100.2570694087399</v>
      </c>
      <c r="IY23" s="535">
        <v>3212.0328832008745</v>
      </c>
      <c r="IZ23" s="535">
        <v>2853.9533625005638</v>
      </c>
      <c r="JA23" s="535">
        <v>2658.4384343877164</v>
      </c>
      <c r="JB23" s="535">
        <v>2429.9933192168764</v>
      </c>
      <c r="JC23" s="536"/>
      <c r="JD23" s="537">
        <v>2561.6800411399595</v>
      </c>
      <c r="JE23" s="538">
        <v>1814.5763400269975</v>
      </c>
      <c r="JF23" s="538">
        <v>1659.7312475408078</v>
      </c>
      <c r="JG23" s="538">
        <v>1305.9125964010282</v>
      </c>
      <c r="JH23" s="538">
        <v>774.2581923348439</v>
      </c>
      <c r="JI23" s="539">
        <v>628.0727075909972</v>
      </c>
      <c r="JJ23" s="539">
        <v>623.86187360895667</v>
      </c>
      <c r="JK23" s="539">
        <v>568.43273357263365</v>
      </c>
      <c r="JL23" s="536"/>
      <c r="JM23" s="537">
        <v>4961.9096595189976</v>
      </c>
      <c r="JN23" s="538">
        <v>3498.9427912699648</v>
      </c>
      <c r="JO23" s="538">
        <v>3369.5405930677603</v>
      </c>
      <c r="JP23" s="538">
        <v>2817.4807197943446</v>
      </c>
      <c r="JQ23" s="538">
        <v>2354.6557966889077</v>
      </c>
      <c r="JR23" s="539">
        <v>1852.6453475260473</v>
      </c>
      <c r="JS23" s="539">
        <v>1601.8075133202942</v>
      </c>
      <c r="JT23" s="539">
        <v>1339.5536331004496</v>
      </c>
      <c r="JU23" s="536"/>
      <c r="JV23" s="537">
        <v>2254.3262733654637</v>
      </c>
      <c r="JW23" s="538">
        <v>1531.4594258819034</v>
      </c>
      <c r="JX23" s="538">
        <v>1495.1889255863312</v>
      </c>
      <c r="JY23" s="538">
        <v>1092.2593544701515</v>
      </c>
      <c r="JZ23" s="538">
        <v>596.63425409332092</v>
      </c>
      <c r="KA23" s="539">
        <v>426.2324658337468</v>
      </c>
      <c r="KB23" s="539">
        <v>411.41161394752811</v>
      </c>
      <c r="KC23" s="539">
        <v>351.02419802294116</v>
      </c>
      <c r="KD23" s="536"/>
    </row>
    <row r="24" spans="1:290" ht="15" customHeight="1" x14ac:dyDescent="0.2">
      <c r="A24" s="935"/>
      <c r="B24" s="490" t="s">
        <v>1144</v>
      </c>
      <c r="C24" s="491">
        <v>3</v>
      </c>
      <c r="D24" s="492">
        <v>2</v>
      </c>
      <c r="E24" s="492">
        <v>3</v>
      </c>
      <c r="F24" s="492">
        <v>4</v>
      </c>
      <c r="G24" s="493">
        <v>2</v>
      </c>
      <c r="H24" s="493">
        <v>4</v>
      </c>
      <c r="I24" s="493">
        <v>2</v>
      </c>
      <c r="J24" s="493"/>
      <c r="K24" s="199"/>
      <c r="L24" s="491">
        <v>2</v>
      </c>
      <c r="M24" s="492">
        <v>1</v>
      </c>
      <c r="N24" s="492"/>
      <c r="O24" s="492">
        <v>2</v>
      </c>
      <c r="P24" s="493">
        <v>1</v>
      </c>
      <c r="Q24" s="493">
        <v>1</v>
      </c>
      <c r="R24" s="493">
        <v>1</v>
      </c>
      <c r="S24" s="493"/>
      <c r="T24" s="199"/>
      <c r="U24" s="491">
        <v>1</v>
      </c>
      <c r="V24" s="492">
        <v>1</v>
      </c>
      <c r="W24" s="492">
        <v>3</v>
      </c>
      <c r="X24" s="492">
        <v>2</v>
      </c>
      <c r="Y24" s="493">
        <v>1</v>
      </c>
      <c r="Z24" s="493">
        <v>2</v>
      </c>
      <c r="AA24" s="493">
        <v>1</v>
      </c>
      <c r="AB24" s="493"/>
      <c r="AC24" s="199"/>
      <c r="AD24" s="491">
        <v>72</v>
      </c>
      <c r="AE24" s="492">
        <v>53</v>
      </c>
      <c r="AF24" s="492">
        <v>49</v>
      </c>
      <c r="AG24" s="492">
        <v>58</v>
      </c>
      <c r="AH24" s="493">
        <v>74</v>
      </c>
      <c r="AI24" s="493">
        <v>55</v>
      </c>
      <c r="AJ24" s="493">
        <v>79</v>
      </c>
      <c r="AK24" s="493">
        <v>75</v>
      </c>
      <c r="AL24" s="199"/>
      <c r="AM24" s="491">
        <v>52</v>
      </c>
      <c r="AN24" s="492">
        <v>40</v>
      </c>
      <c r="AO24" s="492">
        <v>37</v>
      </c>
      <c r="AP24" s="492">
        <v>43</v>
      </c>
      <c r="AQ24" s="493">
        <v>44</v>
      </c>
      <c r="AR24" s="493">
        <v>23</v>
      </c>
      <c r="AS24" s="493">
        <v>36</v>
      </c>
      <c r="AT24" s="493">
        <v>36</v>
      </c>
      <c r="AU24" s="199"/>
      <c r="AV24" s="491"/>
      <c r="AW24" s="492"/>
      <c r="AX24" s="492"/>
      <c r="AY24" s="492"/>
      <c r="AZ24" s="493"/>
      <c r="BA24" s="493"/>
      <c r="BB24" s="493"/>
      <c r="BC24" s="493"/>
      <c r="BD24" s="199"/>
      <c r="BE24" s="491">
        <v>7</v>
      </c>
      <c r="BF24" s="492">
        <v>12</v>
      </c>
      <c r="BG24" s="492">
        <v>5</v>
      </c>
      <c r="BH24" s="492">
        <v>4</v>
      </c>
      <c r="BI24" s="493">
        <v>16</v>
      </c>
      <c r="BJ24" s="493">
        <v>10</v>
      </c>
      <c r="BK24" s="493">
        <v>3</v>
      </c>
      <c r="BL24" s="493">
        <v>12</v>
      </c>
      <c r="BM24" s="199"/>
      <c r="BN24" s="491"/>
      <c r="BO24" s="492"/>
      <c r="BP24" s="492"/>
      <c r="BQ24" s="492"/>
      <c r="BR24" s="493"/>
      <c r="BS24" s="493"/>
      <c r="BT24" s="493"/>
      <c r="BU24" s="493"/>
      <c r="BV24" s="199"/>
      <c r="BW24" s="491">
        <v>59</v>
      </c>
      <c r="BX24" s="492">
        <v>50</v>
      </c>
      <c r="BY24" s="492">
        <v>59</v>
      </c>
      <c r="BZ24" s="492">
        <v>61</v>
      </c>
      <c r="CA24" s="493">
        <v>48</v>
      </c>
      <c r="CB24" s="493">
        <v>45</v>
      </c>
      <c r="CC24" s="493">
        <v>70</v>
      </c>
      <c r="CD24" s="493">
        <v>55</v>
      </c>
      <c r="CE24" s="199"/>
      <c r="CF24" s="491">
        <v>3</v>
      </c>
      <c r="CG24" s="492">
        <v>6</v>
      </c>
      <c r="CH24" s="492">
        <v>7</v>
      </c>
      <c r="CI24" s="492"/>
      <c r="CJ24" s="493">
        <v>5</v>
      </c>
      <c r="CK24" s="493">
        <v>5</v>
      </c>
      <c r="CL24" s="493">
        <v>2</v>
      </c>
      <c r="CM24" s="493"/>
      <c r="CN24" s="199"/>
      <c r="CO24" s="491">
        <v>1</v>
      </c>
      <c r="CP24" s="492">
        <v>5</v>
      </c>
      <c r="CQ24" s="492">
        <v>5</v>
      </c>
      <c r="CR24" s="492">
        <v>3</v>
      </c>
      <c r="CS24" s="493">
        <v>4</v>
      </c>
      <c r="CT24" s="493">
        <v>7</v>
      </c>
      <c r="CU24" s="493">
        <v>8</v>
      </c>
      <c r="CV24" s="493">
        <v>11</v>
      </c>
      <c r="CW24" s="199"/>
      <c r="CX24" s="491">
        <v>1348</v>
      </c>
      <c r="CY24" s="492">
        <v>1498</v>
      </c>
      <c r="CZ24" s="492">
        <v>1328</v>
      </c>
      <c r="DA24" s="492">
        <v>1371</v>
      </c>
      <c r="DB24" s="493">
        <v>981</v>
      </c>
      <c r="DC24" s="493">
        <v>792</v>
      </c>
      <c r="DD24" s="493">
        <v>648</v>
      </c>
      <c r="DE24" s="493">
        <v>570</v>
      </c>
      <c r="DF24" s="199"/>
      <c r="DG24" s="491">
        <v>97</v>
      </c>
      <c r="DH24" s="492">
        <v>97</v>
      </c>
      <c r="DI24" s="492">
        <v>109</v>
      </c>
      <c r="DJ24" s="492">
        <v>108</v>
      </c>
      <c r="DK24" s="493">
        <v>60</v>
      </c>
      <c r="DL24" s="493">
        <v>25</v>
      </c>
      <c r="DM24" s="493">
        <v>18</v>
      </c>
      <c r="DN24" s="493">
        <v>20</v>
      </c>
      <c r="DO24" s="199"/>
      <c r="DP24" s="491">
        <v>87</v>
      </c>
      <c r="DQ24" s="492">
        <v>77</v>
      </c>
      <c r="DR24" s="492">
        <v>48</v>
      </c>
      <c r="DS24" s="492">
        <v>47</v>
      </c>
      <c r="DT24" s="493">
        <v>52</v>
      </c>
      <c r="DU24" s="493">
        <v>36</v>
      </c>
      <c r="DV24" s="493">
        <v>44</v>
      </c>
      <c r="DW24" s="493">
        <v>28</v>
      </c>
      <c r="DX24" s="199"/>
      <c r="DY24" s="491">
        <v>273</v>
      </c>
      <c r="DZ24" s="492">
        <v>283</v>
      </c>
      <c r="EA24" s="492">
        <v>240</v>
      </c>
      <c r="EB24" s="492">
        <v>285</v>
      </c>
      <c r="EC24" s="493">
        <v>174</v>
      </c>
      <c r="ED24" s="493">
        <v>172</v>
      </c>
      <c r="EE24" s="493">
        <v>168</v>
      </c>
      <c r="EF24" s="493">
        <v>139</v>
      </c>
      <c r="EG24" s="199"/>
      <c r="EH24" s="491">
        <v>43</v>
      </c>
      <c r="EI24" s="492">
        <v>85</v>
      </c>
      <c r="EJ24" s="492">
        <v>50</v>
      </c>
      <c r="EK24" s="492">
        <v>32</v>
      </c>
      <c r="EL24" s="493">
        <v>20</v>
      </c>
      <c r="EM24" s="493">
        <v>7</v>
      </c>
      <c r="EN24" s="493">
        <v>15</v>
      </c>
      <c r="EO24" s="493">
        <v>12</v>
      </c>
      <c r="EP24" s="199"/>
      <c r="EQ24" s="491">
        <v>5</v>
      </c>
      <c r="ER24" s="492">
        <v>19</v>
      </c>
      <c r="ES24" s="492">
        <v>25</v>
      </c>
      <c r="ET24" s="492">
        <v>31</v>
      </c>
      <c r="EU24" s="493">
        <v>32</v>
      </c>
      <c r="EV24" s="493">
        <v>25</v>
      </c>
      <c r="EW24" s="493">
        <v>18</v>
      </c>
      <c r="EX24" s="493">
        <v>17</v>
      </c>
      <c r="EY24" s="199"/>
      <c r="EZ24" s="491">
        <v>9</v>
      </c>
      <c r="FA24" s="492">
        <v>9</v>
      </c>
      <c r="FB24" s="492">
        <v>9</v>
      </c>
      <c r="FC24" s="492">
        <v>12</v>
      </c>
      <c r="FD24" s="493">
        <v>8</v>
      </c>
      <c r="FE24" s="493">
        <v>2</v>
      </c>
      <c r="FF24" s="493"/>
      <c r="FG24" s="493">
        <v>5</v>
      </c>
      <c r="FH24" s="199"/>
      <c r="FI24" s="491">
        <v>211</v>
      </c>
      <c r="FJ24" s="492">
        <v>159</v>
      </c>
      <c r="FK24" s="492">
        <v>130</v>
      </c>
      <c r="FL24" s="492">
        <v>152</v>
      </c>
      <c r="FM24" s="493">
        <v>121</v>
      </c>
      <c r="FN24" s="493">
        <v>105</v>
      </c>
      <c r="FO24" s="493">
        <v>92</v>
      </c>
      <c r="FP24" s="493">
        <v>91</v>
      </c>
      <c r="FQ24" s="199"/>
      <c r="FR24" s="491">
        <v>3</v>
      </c>
      <c r="FS24" s="492">
        <v>5</v>
      </c>
      <c r="FT24" s="492">
        <v>11</v>
      </c>
      <c r="FU24" s="492">
        <v>4</v>
      </c>
      <c r="FV24" s="493">
        <v>3</v>
      </c>
      <c r="FW24" s="493">
        <v>2</v>
      </c>
      <c r="FX24" s="493">
        <v>4</v>
      </c>
      <c r="FY24" s="493">
        <v>3</v>
      </c>
      <c r="FZ24" s="199"/>
      <c r="GA24" s="491">
        <v>24</v>
      </c>
      <c r="GB24" s="492">
        <v>19</v>
      </c>
      <c r="GC24" s="492">
        <v>16</v>
      </c>
      <c r="GD24" s="492">
        <v>15</v>
      </c>
      <c r="GE24" s="493">
        <v>17</v>
      </c>
      <c r="GF24" s="493">
        <v>5</v>
      </c>
      <c r="GG24" s="493">
        <v>9</v>
      </c>
      <c r="GH24" s="493">
        <v>4</v>
      </c>
      <c r="GI24" s="199"/>
      <c r="GJ24" s="491">
        <v>1788</v>
      </c>
      <c r="GK24" s="492">
        <v>1922</v>
      </c>
      <c r="GL24" s="492">
        <v>1697</v>
      </c>
      <c r="GM24" s="492">
        <v>1747</v>
      </c>
      <c r="GN24" s="493">
        <v>1331</v>
      </c>
      <c r="GO24" s="493">
        <v>1064</v>
      </c>
      <c r="GP24" s="493">
        <v>950</v>
      </c>
      <c r="GQ24" s="493">
        <v>855</v>
      </c>
      <c r="GR24" s="199"/>
      <c r="GS24" s="491">
        <v>700</v>
      </c>
      <c r="GT24" s="492">
        <v>803</v>
      </c>
      <c r="GU24" s="492">
        <v>669</v>
      </c>
      <c r="GV24" s="492">
        <v>563</v>
      </c>
      <c r="GW24" s="493">
        <v>330</v>
      </c>
      <c r="GX24" s="493">
        <v>254</v>
      </c>
      <c r="GY24" s="493">
        <v>270</v>
      </c>
      <c r="GZ24" s="493">
        <v>218</v>
      </c>
      <c r="HA24" s="199"/>
      <c r="HB24" s="491">
        <v>9</v>
      </c>
      <c r="HC24" s="492">
        <v>8</v>
      </c>
      <c r="HD24" s="492">
        <v>28</v>
      </c>
      <c r="HE24" s="492">
        <v>7</v>
      </c>
      <c r="HF24" s="493">
        <v>4</v>
      </c>
      <c r="HG24" s="493">
        <v>8</v>
      </c>
      <c r="HH24" s="493">
        <v>10</v>
      </c>
      <c r="HI24" s="493">
        <v>10</v>
      </c>
      <c r="HJ24" s="199"/>
      <c r="HK24" s="491">
        <v>2</v>
      </c>
      <c r="HL24" s="492">
        <v>3</v>
      </c>
      <c r="HM24" s="492">
        <v>1</v>
      </c>
      <c r="HN24" s="492"/>
      <c r="HO24" s="493">
        <v>2</v>
      </c>
      <c r="HP24" s="493">
        <v>1</v>
      </c>
      <c r="HQ24" s="493"/>
      <c r="HR24" s="493">
        <v>1</v>
      </c>
      <c r="HS24" s="199"/>
      <c r="HT24" s="491">
        <v>819</v>
      </c>
      <c r="HU24" s="492">
        <v>908</v>
      </c>
      <c r="HV24" s="492">
        <v>813</v>
      </c>
      <c r="HW24" s="492">
        <v>700</v>
      </c>
      <c r="HX24" s="493">
        <v>494</v>
      </c>
      <c r="HY24" s="493">
        <v>382</v>
      </c>
      <c r="HZ24" s="493">
        <v>388</v>
      </c>
      <c r="IA24" s="493">
        <v>402</v>
      </c>
      <c r="IB24" s="199"/>
      <c r="IC24" s="491">
        <v>2525</v>
      </c>
      <c r="ID24" s="492">
        <v>3018</v>
      </c>
      <c r="IE24" s="492">
        <v>2382</v>
      </c>
      <c r="IF24" s="492">
        <v>2640</v>
      </c>
      <c r="IG24" s="493">
        <v>2223</v>
      </c>
      <c r="IH24" s="493">
        <v>1764</v>
      </c>
      <c r="II24" s="493">
        <v>1801</v>
      </c>
      <c r="IJ24" s="493">
        <v>1761</v>
      </c>
      <c r="IK24" s="199"/>
      <c r="IL24" s="491">
        <v>373</v>
      </c>
      <c r="IM24" s="492">
        <v>407</v>
      </c>
      <c r="IN24" s="492">
        <v>367</v>
      </c>
      <c r="IO24" s="492">
        <v>239</v>
      </c>
      <c r="IP24" s="493">
        <v>107</v>
      </c>
      <c r="IQ24" s="493">
        <v>222</v>
      </c>
      <c r="IR24" s="493">
        <v>199</v>
      </c>
      <c r="IS24" s="493">
        <v>165</v>
      </c>
      <c r="IT24" s="199"/>
      <c r="IU24" s="533">
        <v>3295.2691680261014</v>
      </c>
      <c r="IV24" s="534">
        <v>3928.8689856279943</v>
      </c>
      <c r="IW24" s="534">
        <v>3094.4710039492829</v>
      </c>
      <c r="IX24" s="534">
        <v>3445.5755677368834</v>
      </c>
      <c r="IY24" s="535">
        <v>2905.7684012391669</v>
      </c>
      <c r="IZ24" s="535">
        <v>2296.1574507966261</v>
      </c>
      <c r="JA24" s="535">
        <v>2341.6676418197658</v>
      </c>
      <c r="JB24" s="535">
        <v>2301.9607843137255</v>
      </c>
      <c r="JC24" s="536"/>
      <c r="JD24" s="537">
        <v>1068.8417618270801</v>
      </c>
      <c r="JE24" s="538">
        <v>1182.0454072068319</v>
      </c>
      <c r="JF24" s="538">
        <v>1056.1733527333195</v>
      </c>
      <c r="JG24" s="538">
        <v>913.59958235447664</v>
      </c>
      <c r="JH24" s="538">
        <v>645.7263113864816</v>
      </c>
      <c r="JI24" s="539">
        <v>497.2404456940539</v>
      </c>
      <c r="JJ24" s="539">
        <v>504.47920323490786</v>
      </c>
      <c r="JK24" s="539">
        <v>525.49019607843138</v>
      </c>
      <c r="JL24" s="536"/>
      <c r="JM24" s="537">
        <v>2333.442088091354</v>
      </c>
      <c r="JN24" s="538">
        <v>2502.082899395959</v>
      </c>
      <c r="JO24" s="538">
        <v>2204.5832467262521</v>
      </c>
      <c r="JP24" s="538">
        <v>2280.0835291046724</v>
      </c>
      <c r="JQ24" s="538">
        <v>1739.8010535534552</v>
      </c>
      <c r="JR24" s="539">
        <v>1384.9838592106635</v>
      </c>
      <c r="JS24" s="539">
        <v>1235.193925446295</v>
      </c>
      <c r="JT24" s="539">
        <v>1117.6470588235295</v>
      </c>
      <c r="JU24" s="536"/>
      <c r="JV24" s="537">
        <v>913.53996737357261</v>
      </c>
      <c r="JW24" s="538">
        <v>1045.355134347011</v>
      </c>
      <c r="JX24" s="538">
        <v>869.10205778424449</v>
      </c>
      <c r="JY24" s="538">
        <v>734.79509266510047</v>
      </c>
      <c r="JZ24" s="538">
        <v>431.35563311242703</v>
      </c>
      <c r="KA24" s="539">
        <v>330.62584608976363</v>
      </c>
      <c r="KB24" s="539">
        <v>351.05511565315754</v>
      </c>
      <c r="KC24" s="539">
        <v>284.96732026143786</v>
      </c>
      <c r="KD24" s="536"/>
    </row>
    <row r="25" spans="1:290" ht="15" customHeight="1" thickBot="1" x14ac:dyDescent="0.25">
      <c r="A25" s="935"/>
      <c r="B25" s="494" t="s">
        <v>1145</v>
      </c>
      <c r="C25" s="495">
        <v>1</v>
      </c>
      <c r="D25" s="496">
        <v>1</v>
      </c>
      <c r="E25" s="496"/>
      <c r="F25" s="496">
        <v>1</v>
      </c>
      <c r="G25" s="497">
        <v>2</v>
      </c>
      <c r="H25" s="497"/>
      <c r="I25" s="497"/>
      <c r="J25" s="497"/>
      <c r="K25" s="498"/>
      <c r="L25" s="495">
        <v>1</v>
      </c>
      <c r="M25" s="496"/>
      <c r="N25" s="496"/>
      <c r="O25" s="496">
        <v>1</v>
      </c>
      <c r="P25" s="497">
        <v>1</v>
      </c>
      <c r="Q25" s="497"/>
      <c r="R25" s="497"/>
      <c r="S25" s="497"/>
      <c r="T25" s="498"/>
      <c r="U25" s="495"/>
      <c r="V25" s="496"/>
      <c r="W25" s="496"/>
      <c r="X25" s="496"/>
      <c r="Y25" s="497">
        <v>1</v>
      </c>
      <c r="Z25" s="497"/>
      <c r="AA25" s="497"/>
      <c r="AB25" s="497"/>
      <c r="AC25" s="498"/>
      <c r="AD25" s="495">
        <v>54</v>
      </c>
      <c r="AE25" s="496">
        <v>34</v>
      </c>
      <c r="AF25" s="496">
        <v>51</v>
      </c>
      <c r="AG25" s="496">
        <v>29</v>
      </c>
      <c r="AH25" s="497">
        <v>56</v>
      </c>
      <c r="AI25" s="497">
        <v>86</v>
      </c>
      <c r="AJ25" s="497">
        <v>59</v>
      </c>
      <c r="AK25" s="497">
        <v>49</v>
      </c>
      <c r="AL25" s="498"/>
      <c r="AM25" s="495">
        <v>49</v>
      </c>
      <c r="AN25" s="496">
        <v>29</v>
      </c>
      <c r="AO25" s="496">
        <v>32</v>
      </c>
      <c r="AP25" s="496">
        <v>23</v>
      </c>
      <c r="AQ25" s="497">
        <v>22</v>
      </c>
      <c r="AR25" s="497">
        <v>46</v>
      </c>
      <c r="AS25" s="497">
        <v>27</v>
      </c>
      <c r="AT25" s="497">
        <v>23</v>
      </c>
      <c r="AU25" s="498"/>
      <c r="AV25" s="495"/>
      <c r="AW25" s="496"/>
      <c r="AX25" s="496"/>
      <c r="AY25" s="496"/>
      <c r="AZ25" s="497"/>
      <c r="BA25" s="497"/>
      <c r="BB25" s="497"/>
      <c r="BC25" s="497"/>
      <c r="BD25" s="498"/>
      <c r="BE25" s="495">
        <v>4</v>
      </c>
      <c r="BF25" s="496">
        <v>4</v>
      </c>
      <c r="BG25" s="496">
        <v>4</v>
      </c>
      <c r="BH25" s="496">
        <v>4</v>
      </c>
      <c r="BI25" s="497">
        <v>6</v>
      </c>
      <c r="BJ25" s="497">
        <v>5</v>
      </c>
      <c r="BK25" s="497">
        <v>4</v>
      </c>
      <c r="BL25" s="497">
        <v>3</v>
      </c>
      <c r="BM25" s="498"/>
      <c r="BN25" s="495"/>
      <c r="BO25" s="496"/>
      <c r="BP25" s="496"/>
      <c r="BQ25" s="496"/>
      <c r="BR25" s="497"/>
      <c r="BS25" s="497">
        <v>2</v>
      </c>
      <c r="BT25" s="497"/>
      <c r="BU25" s="497">
        <v>2</v>
      </c>
      <c r="BV25" s="498"/>
      <c r="BW25" s="495">
        <v>59</v>
      </c>
      <c r="BX25" s="496">
        <v>42</v>
      </c>
      <c r="BY25" s="496">
        <v>57</v>
      </c>
      <c r="BZ25" s="496">
        <v>54</v>
      </c>
      <c r="CA25" s="497">
        <v>74</v>
      </c>
      <c r="CB25" s="497">
        <v>104</v>
      </c>
      <c r="CC25" s="497">
        <v>86</v>
      </c>
      <c r="CD25" s="497">
        <v>55</v>
      </c>
      <c r="CE25" s="498"/>
      <c r="CF25" s="495">
        <v>1</v>
      </c>
      <c r="CG25" s="496"/>
      <c r="CH25" s="496">
        <v>4</v>
      </c>
      <c r="CI25" s="496">
        <v>3</v>
      </c>
      <c r="CJ25" s="497">
        <v>2</v>
      </c>
      <c r="CK25" s="497">
        <v>4</v>
      </c>
      <c r="CL25" s="497">
        <v>5</v>
      </c>
      <c r="CM25" s="497">
        <v>3</v>
      </c>
      <c r="CN25" s="498"/>
      <c r="CO25" s="495">
        <v>1</v>
      </c>
      <c r="CP25" s="496"/>
      <c r="CQ25" s="496"/>
      <c r="CR25" s="496">
        <v>2</v>
      </c>
      <c r="CS25" s="497"/>
      <c r="CT25" s="497">
        <v>1</v>
      </c>
      <c r="CU25" s="497">
        <v>3</v>
      </c>
      <c r="CV25" s="497">
        <v>1</v>
      </c>
      <c r="CW25" s="498"/>
      <c r="CX25" s="495">
        <v>755</v>
      </c>
      <c r="CY25" s="496">
        <v>1089</v>
      </c>
      <c r="CZ25" s="496">
        <v>874</v>
      </c>
      <c r="DA25" s="496">
        <v>999</v>
      </c>
      <c r="DB25" s="497">
        <v>965</v>
      </c>
      <c r="DC25" s="497">
        <v>623</v>
      </c>
      <c r="DD25" s="497">
        <v>493</v>
      </c>
      <c r="DE25" s="497">
        <v>490</v>
      </c>
      <c r="DF25" s="498"/>
      <c r="DG25" s="495">
        <v>32</v>
      </c>
      <c r="DH25" s="496">
        <v>58</v>
      </c>
      <c r="DI25" s="496">
        <v>67</v>
      </c>
      <c r="DJ25" s="496">
        <v>72</v>
      </c>
      <c r="DK25" s="497">
        <v>38</v>
      </c>
      <c r="DL25" s="497">
        <v>28</v>
      </c>
      <c r="DM25" s="497">
        <v>16</v>
      </c>
      <c r="DN25" s="497">
        <v>28</v>
      </c>
      <c r="DO25" s="498"/>
      <c r="DP25" s="495">
        <v>44</v>
      </c>
      <c r="DQ25" s="496">
        <v>97</v>
      </c>
      <c r="DR25" s="496">
        <v>82</v>
      </c>
      <c r="DS25" s="496">
        <v>53</v>
      </c>
      <c r="DT25" s="497">
        <v>60</v>
      </c>
      <c r="DU25" s="497">
        <v>63</v>
      </c>
      <c r="DV25" s="497">
        <v>27</v>
      </c>
      <c r="DW25" s="497">
        <v>43</v>
      </c>
      <c r="DX25" s="498"/>
      <c r="DY25" s="495">
        <v>114</v>
      </c>
      <c r="DZ25" s="496">
        <v>260</v>
      </c>
      <c r="EA25" s="496">
        <v>183</v>
      </c>
      <c r="EB25" s="496">
        <v>206</v>
      </c>
      <c r="EC25" s="497">
        <v>314</v>
      </c>
      <c r="ED25" s="497">
        <v>178</v>
      </c>
      <c r="EE25" s="497">
        <v>179</v>
      </c>
      <c r="EF25" s="497">
        <v>132</v>
      </c>
      <c r="EG25" s="498"/>
      <c r="EH25" s="495">
        <v>22</v>
      </c>
      <c r="EI25" s="496">
        <v>20</v>
      </c>
      <c r="EJ25" s="496">
        <v>15</v>
      </c>
      <c r="EK25" s="496">
        <v>12</v>
      </c>
      <c r="EL25" s="497">
        <v>15</v>
      </c>
      <c r="EM25" s="497">
        <v>6</v>
      </c>
      <c r="EN25" s="497">
        <v>6</v>
      </c>
      <c r="EO25" s="497">
        <v>4</v>
      </c>
      <c r="EP25" s="498"/>
      <c r="EQ25" s="495">
        <v>4</v>
      </c>
      <c r="ER25" s="496">
        <v>9</v>
      </c>
      <c r="ES25" s="496">
        <v>14</v>
      </c>
      <c r="ET25" s="496">
        <v>22</v>
      </c>
      <c r="EU25" s="497">
        <v>32</v>
      </c>
      <c r="EV25" s="497">
        <v>22</v>
      </c>
      <c r="EW25" s="497">
        <v>15</v>
      </c>
      <c r="EX25" s="497">
        <v>13</v>
      </c>
      <c r="EY25" s="498"/>
      <c r="EZ25" s="495">
        <v>1</v>
      </c>
      <c r="FA25" s="496">
        <v>5</v>
      </c>
      <c r="FB25" s="496">
        <v>2</v>
      </c>
      <c r="FC25" s="496"/>
      <c r="FD25" s="497">
        <v>18</v>
      </c>
      <c r="FE25" s="497">
        <v>2</v>
      </c>
      <c r="FF25" s="497">
        <v>3</v>
      </c>
      <c r="FG25" s="497">
        <v>1</v>
      </c>
      <c r="FH25" s="498"/>
      <c r="FI25" s="495">
        <v>115</v>
      </c>
      <c r="FJ25" s="496">
        <v>106</v>
      </c>
      <c r="FK25" s="496">
        <v>87</v>
      </c>
      <c r="FL25" s="496">
        <v>104</v>
      </c>
      <c r="FM25" s="497">
        <v>69</v>
      </c>
      <c r="FN25" s="497">
        <v>61</v>
      </c>
      <c r="FO25" s="497">
        <v>53</v>
      </c>
      <c r="FP25" s="497">
        <v>45</v>
      </c>
      <c r="FQ25" s="498"/>
      <c r="FR25" s="495">
        <v>2</v>
      </c>
      <c r="FS25" s="496">
        <v>2</v>
      </c>
      <c r="FT25" s="496">
        <v>2</v>
      </c>
      <c r="FU25" s="496">
        <v>2</v>
      </c>
      <c r="FV25" s="497">
        <v>1</v>
      </c>
      <c r="FW25" s="497">
        <v>1</v>
      </c>
      <c r="FX25" s="497"/>
      <c r="FY25" s="497">
        <v>1</v>
      </c>
      <c r="FZ25" s="498"/>
      <c r="GA25" s="495">
        <v>10</v>
      </c>
      <c r="GB25" s="496">
        <v>11</v>
      </c>
      <c r="GC25" s="496">
        <v>12</v>
      </c>
      <c r="GD25" s="496">
        <v>14</v>
      </c>
      <c r="GE25" s="497">
        <v>8</v>
      </c>
      <c r="GF25" s="497">
        <v>4</v>
      </c>
      <c r="GG25" s="497">
        <v>3</v>
      </c>
      <c r="GH25" s="497">
        <v>1</v>
      </c>
      <c r="GI25" s="498"/>
      <c r="GJ25" s="495">
        <v>1029</v>
      </c>
      <c r="GK25" s="496">
        <v>1323</v>
      </c>
      <c r="GL25" s="496">
        <v>1122</v>
      </c>
      <c r="GM25" s="496">
        <v>1246</v>
      </c>
      <c r="GN25" s="497">
        <v>1248</v>
      </c>
      <c r="GO25" s="497">
        <v>921</v>
      </c>
      <c r="GP25" s="497">
        <v>730</v>
      </c>
      <c r="GQ25" s="497">
        <v>668</v>
      </c>
      <c r="GR25" s="498"/>
      <c r="GS25" s="495">
        <v>413</v>
      </c>
      <c r="GT25" s="496">
        <v>492</v>
      </c>
      <c r="GU25" s="496">
        <v>472</v>
      </c>
      <c r="GV25" s="496">
        <v>399</v>
      </c>
      <c r="GW25" s="497">
        <v>271</v>
      </c>
      <c r="GX25" s="497">
        <v>261</v>
      </c>
      <c r="GY25" s="497">
        <v>154</v>
      </c>
      <c r="GZ25" s="497">
        <v>156</v>
      </c>
      <c r="HA25" s="498"/>
      <c r="HB25" s="495">
        <v>2</v>
      </c>
      <c r="HC25" s="496">
        <v>5</v>
      </c>
      <c r="HD25" s="496">
        <v>2</v>
      </c>
      <c r="HE25" s="496">
        <v>6</v>
      </c>
      <c r="HF25" s="497">
        <v>3</v>
      </c>
      <c r="HG25" s="497">
        <v>1</v>
      </c>
      <c r="HH25" s="497"/>
      <c r="HI25" s="497">
        <v>3</v>
      </c>
      <c r="HJ25" s="498"/>
      <c r="HK25" s="495">
        <v>3</v>
      </c>
      <c r="HL25" s="496">
        <v>1</v>
      </c>
      <c r="HM25" s="496"/>
      <c r="HN25" s="496"/>
      <c r="HO25" s="497"/>
      <c r="HP25" s="497"/>
      <c r="HQ25" s="497"/>
      <c r="HR25" s="497">
        <v>2</v>
      </c>
      <c r="HS25" s="498"/>
      <c r="HT25" s="495">
        <v>482</v>
      </c>
      <c r="HU25" s="496">
        <v>562</v>
      </c>
      <c r="HV25" s="496">
        <v>559</v>
      </c>
      <c r="HW25" s="496">
        <v>482</v>
      </c>
      <c r="HX25" s="497">
        <v>409</v>
      </c>
      <c r="HY25" s="497">
        <v>408</v>
      </c>
      <c r="HZ25" s="497">
        <v>276</v>
      </c>
      <c r="IA25" s="497">
        <v>267</v>
      </c>
      <c r="IB25" s="498"/>
      <c r="IC25" s="495">
        <v>1443</v>
      </c>
      <c r="ID25" s="496">
        <v>1816</v>
      </c>
      <c r="IE25" s="496">
        <v>1734</v>
      </c>
      <c r="IF25" s="496">
        <v>1795</v>
      </c>
      <c r="IG25" s="497">
        <v>1820</v>
      </c>
      <c r="IH25" s="497">
        <v>1452</v>
      </c>
      <c r="II25" s="497">
        <v>1251</v>
      </c>
      <c r="IJ25" s="497">
        <v>1143</v>
      </c>
      <c r="IK25" s="498"/>
      <c r="IL25" s="495">
        <v>171</v>
      </c>
      <c r="IM25" s="496">
        <v>354</v>
      </c>
      <c r="IN25" s="496">
        <v>239</v>
      </c>
      <c r="IO25" s="496">
        <v>170</v>
      </c>
      <c r="IP25" s="497">
        <v>163</v>
      </c>
      <c r="IQ25" s="497">
        <v>206</v>
      </c>
      <c r="IR25" s="497">
        <v>228</v>
      </c>
      <c r="IS25" s="497">
        <v>158</v>
      </c>
      <c r="IT25" s="498"/>
      <c r="IU25" s="540">
        <v>2838.3721158952771</v>
      </c>
      <c r="IV25" s="541">
        <v>3560.9239578022666</v>
      </c>
      <c r="IW25" s="541">
        <v>3395.2732470482269</v>
      </c>
      <c r="IX25" s="541">
        <v>3313.8869401469556</v>
      </c>
      <c r="IY25" s="542">
        <v>3348.7892838742914</v>
      </c>
      <c r="IZ25" s="542">
        <v>2664.02465874064</v>
      </c>
      <c r="JA25" s="542">
        <v>2290.7472853454433</v>
      </c>
      <c r="JB25" s="542">
        <v>2096.6706411079517</v>
      </c>
      <c r="JC25" s="543"/>
      <c r="JD25" s="544">
        <v>948.09103247506835</v>
      </c>
      <c r="JE25" s="545">
        <v>1102.0040001568689</v>
      </c>
      <c r="JF25" s="545">
        <v>1094.5546396193536</v>
      </c>
      <c r="JG25" s="545">
        <v>889.85710593361148</v>
      </c>
      <c r="JH25" s="545">
        <v>752.55759181570625</v>
      </c>
      <c r="JI25" s="546">
        <v>748.5689123734038</v>
      </c>
      <c r="JJ25" s="546">
        <v>505.39268645510975</v>
      </c>
      <c r="JK25" s="546">
        <v>489.77345684673946</v>
      </c>
      <c r="JL25" s="543"/>
      <c r="JM25" s="544">
        <v>2024.0366647652393</v>
      </c>
      <c r="JN25" s="545">
        <v>2594.219381152202</v>
      </c>
      <c r="JO25" s="545">
        <v>2196.9415127959114</v>
      </c>
      <c r="JP25" s="545">
        <v>2300.3360041354354</v>
      </c>
      <c r="JQ25" s="545">
        <v>2296.3126517995142</v>
      </c>
      <c r="JR25" s="546">
        <v>1689.7842360193747</v>
      </c>
      <c r="JS25" s="546">
        <v>1336.7270330153267</v>
      </c>
      <c r="JT25" s="546">
        <v>1225.3508208749886</v>
      </c>
      <c r="JU25" s="543"/>
      <c r="JV25" s="544">
        <v>812.3684572867287</v>
      </c>
      <c r="JW25" s="545">
        <v>964.74371543982113</v>
      </c>
      <c r="JX25" s="545">
        <v>924.20355975015184</v>
      </c>
      <c r="JY25" s="545">
        <v>736.62445076247093</v>
      </c>
      <c r="JZ25" s="545">
        <v>498.63840435710608</v>
      </c>
      <c r="KA25" s="546">
        <v>478.86393659180976</v>
      </c>
      <c r="KB25" s="546">
        <v>281.99446997857575</v>
      </c>
      <c r="KC25" s="546">
        <v>286.15977253966798</v>
      </c>
      <c r="KD25" s="543"/>
    </row>
    <row r="26" spans="1:290" ht="15" customHeight="1" thickBot="1" x14ac:dyDescent="0.25">
      <c r="A26" s="936"/>
      <c r="B26" s="499" t="s">
        <v>786</v>
      </c>
      <c r="C26" s="500">
        <v>78</v>
      </c>
      <c r="D26" s="501">
        <v>90</v>
      </c>
      <c r="E26" s="501">
        <v>47</v>
      </c>
      <c r="F26" s="501">
        <v>52</v>
      </c>
      <c r="G26" s="502">
        <v>45</v>
      </c>
      <c r="H26" s="502">
        <v>33</v>
      </c>
      <c r="I26" s="502">
        <v>44</v>
      </c>
      <c r="J26" s="502">
        <v>34</v>
      </c>
      <c r="K26" s="503"/>
      <c r="L26" s="500">
        <v>32</v>
      </c>
      <c r="M26" s="501">
        <v>32</v>
      </c>
      <c r="N26" s="501">
        <v>25</v>
      </c>
      <c r="O26" s="501">
        <v>27</v>
      </c>
      <c r="P26" s="502">
        <v>27</v>
      </c>
      <c r="Q26" s="502">
        <v>19</v>
      </c>
      <c r="R26" s="502">
        <v>21</v>
      </c>
      <c r="S26" s="502">
        <v>15</v>
      </c>
      <c r="T26" s="503"/>
      <c r="U26" s="500">
        <v>36</v>
      </c>
      <c r="V26" s="501">
        <v>33</v>
      </c>
      <c r="W26" s="501">
        <v>18</v>
      </c>
      <c r="X26" s="501">
        <v>24</v>
      </c>
      <c r="Y26" s="502">
        <v>16</v>
      </c>
      <c r="Z26" s="502">
        <v>10</v>
      </c>
      <c r="AA26" s="502">
        <v>18</v>
      </c>
      <c r="AB26" s="502">
        <v>16</v>
      </c>
      <c r="AC26" s="503"/>
      <c r="AD26" s="500">
        <v>2014</v>
      </c>
      <c r="AE26" s="501">
        <v>1850</v>
      </c>
      <c r="AF26" s="501">
        <v>1933</v>
      </c>
      <c r="AG26" s="501">
        <v>1829</v>
      </c>
      <c r="AH26" s="502">
        <v>2022</v>
      </c>
      <c r="AI26" s="502">
        <v>2117</v>
      </c>
      <c r="AJ26" s="502">
        <v>2075</v>
      </c>
      <c r="AK26" s="502">
        <v>2048</v>
      </c>
      <c r="AL26" s="503"/>
      <c r="AM26" s="500">
        <v>1469</v>
      </c>
      <c r="AN26" s="501">
        <v>1331</v>
      </c>
      <c r="AO26" s="501">
        <v>1329</v>
      </c>
      <c r="AP26" s="501">
        <v>1288</v>
      </c>
      <c r="AQ26" s="502">
        <v>1267</v>
      </c>
      <c r="AR26" s="502">
        <v>1292</v>
      </c>
      <c r="AS26" s="502">
        <v>1237</v>
      </c>
      <c r="AT26" s="502">
        <v>1124</v>
      </c>
      <c r="AU26" s="503"/>
      <c r="AV26" s="500">
        <v>8</v>
      </c>
      <c r="AW26" s="501">
        <v>8</v>
      </c>
      <c r="AX26" s="501">
        <v>3</v>
      </c>
      <c r="AY26" s="501">
        <v>3</v>
      </c>
      <c r="AZ26" s="502">
        <v>4</v>
      </c>
      <c r="BA26" s="502">
        <v>1</v>
      </c>
      <c r="BB26" s="502">
        <v>6</v>
      </c>
      <c r="BC26" s="502">
        <v>3</v>
      </c>
      <c r="BD26" s="503"/>
      <c r="BE26" s="500">
        <v>193</v>
      </c>
      <c r="BF26" s="501">
        <v>219</v>
      </c>
      <c r="BG26" s="501">
        <v>150</v>
      </c>
      <c r="BH26" s="501">
        <v>127</v>
      </c>
      <c r="BI26" s="502">
        <v>167</v>
      </c>
      <c r="BJ26" s="502">
        <v>155</v>
      </c>
      <c r="BK26" s="502">
        <v>137</v>
      </c>
      <c r="BL26" s="502">
        <v>184</v>
      </c>
      <c r="BM26" s="503"/>
      <c r="BN26" s="500">
        <v>6</v>
      </c>
      <c r="BO26" s="501">
        <v>2</v>
      </c>
      <c r="BP26" s="501">
        <v>30</v>
      </c>
      <c r="BQ26" s="501">
        <v>2</v>
      </c>
      <c r="BR26" s="502">
        <v>5</v>
      </c>
      <c r="BS26" s="502">
        <v>55</v>
      </c>
      <c r="BT26" s="502">
        <v>49</v>
      </c>
      <c r="BU26" s="502">
        <v>28</v>
      </c>
      <c r="BV26" s="503"/>
      <c r="BW26" s="500">
        <v>1892</v>
      </c>
      <c r="BX26" s="501">
        <v>1746</v>
      </c>
      <c r="BY26" s="501">
        <v>2046</v>
      </c>
      <c r="BZ26" s="501">
        <v>2287</v>
      </c>
      <c r="CA26" s="502">
        <v>2463</v>
      </c>
      <c r="CB26" s="502">
        <v>2763</v>
      </c>
      <c r="CC26" s="502">
        <v>2664</v>
      </c>
      <c r="CD26" s="502">
        <v>2612</v>
      </c>
      <c r="CE26" s="503"/>
      <c r="CF26" s="500">
        <v>148</v>
      </c>
      <c r="CG26" s="501">
        <v>142</v>
      </c>
      <c r="CH26" s="501">
        <v>107</v>
      </c>
      <c r="CI26" s="501">
        <v>106</v>
      </c>
      <c r="CJ26" s="502">
        <v>115</v>
      </c>
      <c r="CK26" s="502">
        <v>95</v>
      </c>
      <c r="CL26" s="502">
        <v>108</v>
      </c>
      <c r="CM26" s="502">
        <v>77</v>
      </c>
      <c r="CN26" s="503"/>
      <c r="CO26" s="500">
        <v>126</v>
      </c>
      <c r="CP26" s="501">
        <v>121</v>
      </c>
      <c r="CQ26" s="501">
        <v>147</v>
      </c>
      <c r="CR26" s="501">
        <v>101</v>
      </c>
      <c r="CS26" s="502">
        <v>83</v>
      </c>
      <c r="CT26" s="502">
        <v>119</v>
      </c>
      <c r="CU26" s="502">
        <v>120</v>
      </c>
      <c r="CV26" s="502">
        <v>167</v>
      </c>
      <c r="CW26" s="503"/>
      <c r="CX26" s="500">
        <v>52684</v>
      </c>
      <c r="CY26" s="501">
        <v>53958</v>
      </c>
      <c r="CZ26" s="501">
        <v>51816</v>
      </c>
      <c r="DA26" s="501">
        <v>51359</v>
      </c>
      <c r="DB26" s="502">
        <v>43018</v>
      </c>
      <c r="DC26" s="502">
        <v>34417</v>
      </c>
      <c r="DD26" s="502">
        <v>29011</v>
      </c>
      <c r="DE26" s="502">
        <v>25552</v>
      </c>
      <c r="DF26" s="503"/>
      <c r="DG26" s="500">
        <v>3343</v>
      </c>
      <c r="DH26" s="501">
        <v>3659</v>
      </c>
      <c r="DI26" s="501">
        <v>4164</v>
      </c>
      <c r="DJ26" s="501">
        <v>3446</v>
      </c>
      <c r="DK26" s="502">
        <v>2902</v>
      </c>
      <c r="DL26" s="502">
        <v>1896</v>
      </c>
      <c r="DM26" s="502">
        <v>1195</v>
      </c>
      <c r="DN26" s="502">
        <v>998</v>
      </c>
      <c r="DO26" s="503"/>
      <c r="DP26" s="500">
        <v>6475</v>
      </c>
      <c r="DQ26" s="501">
        <v>5984</v>
      </c>
      <c r="DR26" s="501">
        <v>5504</v>
      </c>
      <c r="DS26" s="501">
        <v>4586</v>
      </c>
      <c r="DT26" s="502">
        <v>3715</v>
      </c>
      <c r="DU26" s="502">
        <v>2562</v>
      </c>
      <c r="DV26" s="502">
        <v>2096</v>
      </c>
      <c r="DW26" s="502">
        <v>1768</v>
      </c>
      <c r="DX26" s="503"/>
      <c r="DY26" s="500">
        <v>5577</v>
      </c>
      <c r="DZ26" s="501">
        <v>6877</v>
      </c>
      <c r="EA26" s="501">
        <v>6725</v>
      </c>
      <c r="EB26" s="501">
        <v>6826</v>
      </c>
      <c r="EC26" s="502">
        <v>6774</v>
      </c>
      <c r="ED26" s="502">
        <v>5064</v>
      </c>
      <c r="EE26" s="502">
        <v>3967</v>
      </c>
      <c r="EF26" s="502">
        <v>2994</v>
      </c>
      <c r="EG26" s="503"/>
      <c r="EH26" s="500">
        <v>1472</v>
      </c>
      <c r="EI26" s="501">
        <v>1548</v>
      </c>
      <c r="EJ26" s="501">
        <v>1446</v>
      </c>
      <c r="EK26" s="501">
        <v>914</v>
      </c>
      <c r="EL26" s="502">
        <v>828</v>
      </c>
      <c r="EM26" s="502">
        <v>615</v>
      </c>
      <c r="EN26" s="502">
        <v>465</v>
      </c>
      <c r="EO26" s="502">
        <v>270</v>
      </c>
      <c r="EP26" s="503"/>
      <c r="EQ26" s="500">
        <v>748</v>
      </c>
      <c r="ER26" s="501">
        <v>1104</v>
      </c>
      <c r="ES26" s="501">
        <v>1448</v>
      </c>
      <c r="ET26" s="501">
        <v>1467</v>
      </c>
      <c r="EU26" s="502">
        <v>1365</v>
      </c>
      <c r="EV26" s="502">
        <v>1229</v>
      </c>
      <c r="EW26" s="502">
        <v>981</v>
      </c>
      <c r="EX26" s="502">
        <v>763</v>
      </c>
      <c r="EY26" s="503"/>
      <c r="EZ26" s="500">
        <v>119</v>
      </c>
      <c r="FA26" s="501">
        <v>102</v>
      </c>
      <c r="FB26" s="501">
        <v>102</v>
      </c>
      <c r="FC26" s="501">
        <v>98</v>
      </c>
      <c r="FD26" s="502">
        <v>136</v>
      </c>
      <c r="FE26" s="502">
        <v>70</v>
      </c>
      <c r="FF26" s="502">
        <v>75</v>
      </c>
      <c r="FG26" s="502">
        <v>58</v>
      </c>
      <c r="FH26" s="503"/>
      <c r="FI26" s="500">
        <v>7411</v>
      </c>
      <c r="FJ26" s="501">
        <v>6009</v>
      </c>
      <c r="FK26" s="501">
        <v>4636</v>
      </c>
      <c r="FL26" s="501">
        <v>3744</v>
      </c>
      <c r="FM26" s="502">
        <v>3286</v>
      </c>
      <c r="FN26" s="502">
        <v>2573</v>
      </c>
      <c r="FO26" s="502">
        <v>2612</v>
      </c>
      <c r="FP26" s="502">
        <v>2433</v>
      </c>
      <c r="FQ26" s="503"/>
      <c r="FR26" s="500">
        <v>137</v>
      </c>
      <c r="FS26" s="501">
        <v>98</v>
      </c>
      <c r="FT26" s="501">
        <v>109</v>
      </c>
      <c r="FU26" s="501">
        <v>100</v>
      </c>
      <c r="FV26" s="502">
        <v>164</v>
      </c>
      <c r="FW26" s="502">
        <v>91</v>
      </c>
      <c r="FX26" s="502">
        <v>73</v>
      </c>
      <c r="FY26" s="502">
        <v>63</v>
      </c>
      <c r="FZ26" s="503"/>
      <c r="GA26" s="500">
        <v>896</v>
      </c>
      <c r="GB26" s="501">
        <v>723</v>
      </c>
      <c r="GC26" s="501">
        <v>517</v>
      </c>
      <c r="GD26" s="501">
        <v>385</v>
      </c>
      <c r="GE26" s="502">
        <v>359</v>
      </c>
      <c r="GF26" s="502">
        <v>235</v>
      </c>
      <c r="GG26" s="502">
        <v>141</v>
      </c>
      <c r="GH26" s="502">
        <v>146</v>
      </c>
      <c r="GI26" s="503"/>
      <c r="GJ26" s="500">
        <v>67924</v>
      </c>
      <c r="GK26" s="501">
        <v>67712</v>
      </c>
      <c r="GL26" s="501">
        <v>64534</v>
      </c>
      <c r="GM26" s="501">
        <v>62571</v>
      </c>
      <c r="GN26" s="502">
        <v>54056</v>
      </c>
      <c r="GO26" s="502">
        <v>44567</v>
      </c>
      <c r="GP26" s="502">
        <v>38555</v>
      </c>
      <c r="GQ26" s="502">
        <v>34435</v>
      </c>
      <c r="GR26" s="503"/>
      <c r="GS26" s="500">
        <v>35378</v>
      </c>
      <c r="GT26" s="501">
        <v>34706</v>
      </c>
      <c r="GU26" s="501">
        <v>34337</v>
      </c>
      <c r="GV26" s="501">
        <v>27947</v>
      </c>
      <c r="GW26" s="502">
        <v>17218</v>
      </c>
      <c r="GX26" s="502">
        <v>13050</v>
      </c>
      <c r="GY26" s="502">
        <v>11369</v>
      </c>
      <c r="GZ26" s="502">
        <v>9673</v>
      </c>
      <c r="HA26" s="503"/>
      <c r="HB26" s="500">
        <v>244</v>
      </c>
      <c r="HC26" s="501">
        <v>209</v>
      </c>
      <c r="HD26" s="501">
        <v>219</v>
      </c>
      <c r="HE26" s="501">
        <v>179</v>
      </c>
      <c r="HF26" s="502">
        <v>210</v>
      </c>
      <c r="HG26" s="502">
        <v>221</v>
      </c>
      <c r="HH26" s="502">
        <v>177</v>
      </c>
      <c r="HI26" s="502">
        <v>165</v>
      </c>
      <c r="HJ26" s="503"/>
      <c r="HK26" s="500">
        <v>87</v>
      </c>
      <c r="HL26" s="501">
        <v>86</v>
      </c>
      <c r="HM26" s="501">
        <v>41</v>
      </c>
      <c r="HN26" s="501">
        <v>24</v>
      </c>
      <c r="HO26" s="502">
        <v>31</v>
      </c>
      <c r="HP26" s="502">
        <v>21</v>
      </c>
      <c r="HQ26" s="502">
        <v>13</v>
      </c>
      <c r="HR26" s="502">
        <v>26</v>
      </c>
      <c r="HS26" s="503"/>
      <c r="HT26" s="500">
        <v>40456</v>
      </c>
      <c r="HU26" s="501">
        <v>38360</v>
      </c>
      <c r="HV26" s="501">
        <v>37260</v>
      </c>
      <c r="HW26" s="501">
        <v>35543</v>
      </c>
      <c r="HX26" s="502">
        <v>21245</v>
      </c>
      <c r="HY26" s="502">
        <v>16978</v>
      </c>
      <c r="HZ26" s="502">
        <v>15959</v>
      </c>
      <c r="IA26" s="502">
        <v>14641</v>
      </c>
      <c r="IB26" s="503"/>
      <c r="IC26" s="500">
        <v>106057</v>
      </c>
      <c r="ID26" s="501">
        <v>103949</v>
      </c>
      <c r="IE26" s="501">
        <v>113334</v>
      </c>
      <c r="IF26" s="501">
        <v>106627</v>
      </c>
      <c r="IG26" s="502">
        <v>90207</v>
      </c>
      <c r="IH26" s="502">
        <v>72709</v>
      </c>
      <c r="II26" s="502">
        <v>62934</v>
      </c>
      <c r="IJ26" s="502">
        <v>62870</v>
      </c>
      <c r="IK26" s="503"/>
      <c r="IL26" s="500">
        <v>8386</v>
      </c>
      <c r="IM26" s="501">
        <v>10743</v>
      </c>
      <c r="IN26" s="501">
        <v>10132</v>
      </c>
      <c r="IO26" s="501">
        <v>6545</v>
      </c>
      <c r="IP26" s="502">
        <v>4068</v>
      </c>
      <c r="IQ26" s="502">
        <v>6177</v>
      </c>
      <c r="IR26" s="502">
        <v>4889</v>
      </c>
      <c r="IS26" s="502">
        <v>3734</v>
      </c>
      <c r="IT26" s="503"/>
      <c r="IU26" s="547">
        <v>6160.5315191605732</v>
      </c>
      <c r="IV26" s="548">
        <v>5995.8412283661683</v>
      </c>
      <c r="IW26" s="548">
        <v>6513.294801674213</v>
      </c>
      <c r="IX26" s="548">
        <v>6143.1309705359936</v>
      </c>
      <c r="IY26" s="549">
        <v>5170.4481949256733</v>
      </c>
      <c r="IZ26" s="549">
        <v>4136.7919536554591</v>
      </c>
      <c r="JA26" s="549">
        <v>3577.0006598814261</v>
      </c>
      <c r="JB26" s="549">
        <v>3587.0289564010809</v>
      </c>
      <c r="JC26" s="550"/>
      <c r="JD26" s="551">
        <v>2349.9671227656841</v>
      </c>
      <c r="JE26" s="552">
        <v>2212.6280148931323</v>
      </c>
      <c r="JF26" s="552">
        <v>2141.3288537454005</v>
      </c>
      <c r="JG26" s="552">
        <v>2047.7487323638557</v>
      </c>
      <c r="JH26" s="552">
        <v>1217.7122828737895</v>
      </c>
      <c r="JI26" s="553">
        <v>965.96643866869817</v>
      </c>
      <c r="JJ26" s="553">
        <v>907.06698336428133</v>
      </c>
      <c r="JK26" s="553">
        <v>835.3378551084495</v>
      </c>
      <c r="JL26" s="550"/>
      <c r="JM26" s="551">
        <v>3945.5004658576313</v>
      </c>
      <c r="JN26" s="552">
        <v>3905.6691382805984</v>
      </c>
      <c r="JO26" s="552">
        <v>3708.7631843157719</v>
      </c>
      <c r="JP26" s="552">
        <v>3604.9204043760737</v>
      </c>
      <c r="JQ26" s="552">
        <v>3098.3598570499207</v>
      </c>
      <c r="JR26" s="553">
        <v>2535.647677709263</v>
      </c>
      <c r="JS26" s="553">
        <v>2191.3633400344547</v>
      </c>
      <c r="JT26" s="553">
        <v>1964.6785766450012</v>
      </c>
      <c r="JU26" s="550"/>
      <c r="JV26" s="551">
        <v>2055.0014057050712</v>
      </c>
      <c r="JW26" s="552">
        <v>2001.8630835474726</v>
      </c>
      <c r="JX26" s="552">
        <v>1973.3443062548524</v>
      </c>
      <c r="JY26" s="552">
        <v>1610.1182742979677</v>
      </c>
      <c r="JZ26" s="552">
        <v>986.89433214972507</v>
      </c>
      <c r="KA26" s="553">
        <v>742.48215482545129</v>
      </c>
      <c r="KB26" s="553">
        <v>646.18362891587901</v>
      </c>
      <c r="KC26" s="553">
        <v>551.89010808442265</v>
      </c>
      <c r="KD26" s="550"/>
    </row>
    <row r="27" spans="1:290" ht="15" customHeight="1" x14ac:dyDescent="0.2">
      <c r="A27" s="929" t="s">
        <v>544</v>
      </c>
      <c r="B27" s="504" t="s">
        <v>652</v>
      </c>
      <c r="C27" s="486">
        <v>11</v>
      </c>
      <c r="D27" s="487">
        <v>7</v>
      </c>
      <c r="E27" s="487">
        <v>4</v>
      </c>
      <c r="F27" s="487">
        <v>9</v>
      </c>
      <c r="G27" s="488">
        <v>6</v>
      </c>
      <c r="H27" s="488">
        <v>6</v>
      </c>
      <c r="I27" s="488">
        <v>4</v>
      </c>
      <c r="J27" s="488">
        <v>5</v>
      </c>
      <c r="K27" s="489"/>
      <c r="L27" s="486">
        <v>5</v>
      </c>
      <c r="M27" s="487">
        <v>6</v>
      </c>
      <c r="N27" s="487">
        <v>3</v>
      </c>
      <c r="O27" s="487">
        <v>8</v>
      </c>
      <c r="P27" s="488">
        <v>2</v>
      </c>
      <c r="Q27" s="488">
        <v>4</v>
      </c>
      <c r="R27" s="488">
        <v>1</v>
      </c>
      <c r="S27" s="488">
        <v>3</v>
      </c>
      <c r="T27" s="489"/>
      <c r="U27" s="486">
        <v>5</v>
      </c>
      <c r="V27" s="487">
        <v>1</v>
      </c>
      <c r="W27" s="487">
        <v>1</v>
      </c>
      <c r="X27" s="487">
        <v>1</v>
      </c>
      <c r="Y27" s="488">
        <v>4</v>
      </c>
      <c r="Z27" s="488">
        <v>1</v>
      </c>
      <c r="AA27" s="488">
        <v>3</v>
      </c>
      <c r="AB27" s="488">
        <v>2</v>
      </c>
      <c r="AC27" s="489"/>
      <c r="AD27" s="486">
        <v>270</v>
      </c>
      <c r="AE27" s="487">
        <v>234</v>
      </c>
      <c r="AF27" s="487">
        <v>247</v>
      </c>
      <c r="AG27" s="487">
        <v>219</v>
      </c>
      <c r="AH27" s="488">
        <v>175</v>
      </c>
      <c r="AI27" s="488">
        <v>199</v>
      </c>
      <c r="AJ27" s="488">
        <v>197</v>
      </c>
      <c r="AK27" s="488">
        <v>196</v>
      </c>
      <c r="AL27" s="489"/>
      <c r="AM27" s="486">
        <v>147</v>
      </c>
      <c r="AN27" s="487">
        <v>118</v>
      </c>
      <c r="AO27" s="487">
        <v>116</v>
      </c>
      <c r="AP27" s="487">
        <v>105</v>
      </c>
      <c r="AQ27" s="488">
        <v>106</v>
      </c>
      <c r="AR27" s="488">
        <v>101</v>
      </c>
      <c r="AS27" s="488">
        <v>100</v>
      </c>
      <c r="AT27" s="488">
        <v>97</v>
      </c>
      <c r="AU27" s="489"/>
      <c r="AV27" s="486">
        <v>1</v>
      </c>
      <c r="AW27" s="487"/>
      <c r="AX27" s="487"/>
      <c r="AY27" s="487">
        <v>1</v>
      </c>
      <c r="AZ27" s="488">
        <v>1</v>
      </c>
      <c r="BA27" s="488"/>
      <c r="BB27" s="488"/>
      <c r="BC27" s="488"/>
      <c r="BD27" s="489"/>
      <c r="BE27" s="486">
        <v>33</v>
      </c>
      <c r="BF27" s="487">
        <v>46</v>
      </c>
      <c r="BG27" s="487">
        <v>18</v>
      </c>
      <c r="BH27" s="487">
        <v>22</v>
      </c>
      <c r="BI27" s="488">
        <v>32</v>
      </c>
      <c r="BJ27" s="488">
        <v>20</v>
      </c>
      <c r="BK27" s="488">
        <v>14</v>
      </c>
      <c r="BL27" s="488">
        <v>15</v>
      </c>
      <c r="BM27" s="489"/>
      <c r="BN27" s="486"/>
      <c r="BO27" s="487"/>
      <c r="BP27" s="487"/>
      <c r="BQ27" s="487"/>
      <c r="BR27" s="488"/>
      <c r="BS27" s="488"/>
      <c r="BT27" s="488"/>
      <c r="BU27" s="488"/>
      <c r="BV27" s="489"/>
      <c r="BW27" s="486">
        <v>178</v>
      </c>
      <c r="BX27" s="487">
        <v>215</v>
      </c>
      <c r="BY27" s="487">
        <v>245</v>
      </c>
      <c r="BZ27" s="487">
        <v>226</v>
      </c>
      <c r="CA27" s="488">
        <v>158</v>
      </c>
      <c r="CB27" s="488">
        <v>198</v>
      </c>
      <c r="CC27" s="488">
        <v>281</v>
      </c>
      <c r="CD27" s="488">
        <v>248</v>
      </c>
      <c r="CE27" s="489"/>
      <c r="CF27" s="486">
        <v>17</v>
      </c>
      <c r="CG27" s="487">
        <v>17</v>
      </c>
      <c r="CH27" s="487">
        <v>16</v>
      </c>
      <c r="CI27" s="487">
        <v>18</v>
      </c>
      <c r="CJ27" s="488">
        <v>12</v>
      </c>
      <c r="CK27" s="488">
        <v>16</v>
      </c>
      <c r="CL27" s="488">
        <v>4</v>
      </c>
      <c r="CM27" s="488">
        <v>8</v>
      </c>
      <c r="CN27" s="489"/>
      <c r="CO27" s="486">
        <v>5</v>
      </c>
      <c r="CP27" s="487">
        <v>4</v>
      </c>
      <c r="CQ27" s="487">
        <v>5</v>
      </c>
      <c r="CR27" s="487">
        <v>7</v>
      </c>
      <c r="CS27" s="488">
        <v>3</v>
      </c>
      <c r="CT27" s="488">
        <v>2</v>
      </c>
      <c r="CU27" s="488">
        <v>7</v>
      </c>
      <c r="CV27" s="488">
        <v>3</v>
      </c>
      <c r="CW27" s="489"/>
      <c r="CX27" s="486">
        <v>3134</v>
      </c>
      <c r="CY27" s="487">
        <v>3054</v>
      </c>
      <c r="CZ27" s="487">
        <v>3183</v>
      </c>
      <c r="DA27" s="487">
        <v>3156</v>
      </c>
      <c r="DB27" s="488">
        <v>2759</v>
      </c>
      <c r="DC27" s="488">
        <v>1754</v>
      </c>
      <c r="DD27" s="488">
        <v>1473</v>
      </c>
      <c r="DE27" s="488">
        <v>1244</v>
      </c>
      <c r="DF27" s="489"/>
      <c r="DG27" s="486">
        <v>40</v>
      </c>
      <c r="DH27" s="487">
        <v>34</v>
      </c>
      <c r="DI27" s="487">
        <v>38</v>
      </c>
      <c r="DJ27" s="487">
        <v>18</v>
      </c>
      <c r="DK27" s="488">
        <v>7</v>
      </c>
      <c r="DL27" s="488">
        <v>4</v>
      </c>
      <c r="DM27" s="488">
        <v>7</v>
      </c>
      <c r="DN27" s="488">
        <v>14</v>
      </c>
      <c r="DO27" s="489"/>
      <c r="DP27" s="486">
        <v>335</v>
      </c>
      <c r="DQ27" s="487">
        <v>170</v>
      </c>
      <c r="DR27" s="487">
        <v>125</v>
      </c>
      <c r="DS27" s="487">
        <v>120</v>
      </c>
      <c r="DT27" s="488">
        <v>156</v>
      </c>
      <c r="DU27" s="488">
        <v>97</v>
      </c>
      <c r="DV27" s="488">
        <v>42</v>
      </c>
      <c r="DW27" s="488">
        <v>64</v>
      </c>
      <c r="DX27" s="489"/>
      <c r="DY27" s="486">
        <v>457</v>
      </c>
      <c r="DZ27" s="487">
        <v>483</v>
      </c>
      <c r="EA27" s="487">
        <v>667</v>
      </c>
      <c r="EB27" s="487">
        <v>642</v>
      </c>
      <c r="EC27" s="488">
        <v>776</v>
      </c>
      <c r="ED27" s="488">
        <v>462</v>
      </c>
      <c r="EE27" s="488">
        <v>307</v>
      </c>
      <c r="EF27" s="488">
        <v>319</v>
      </c>
      <c r="EG27" s="489"/>
      <c r="EH27" s="486">
        <v>53</v>
      </c>
      <c r="EI27" s="487">
        <v>48</v>
      </c>
      <c r="EJ27" s="487">
        <v>46</v>
      </c>
      <c r="EK27" s="487">
        <v>43</v>
      </c>
      <c r="EL27" s="488">
        <v>33</v>
      </c>
      <c r="EM27" s="488">
        <v>23</v>
      </c>
      <c r="EN27" s="488">
        <v>19</v>
      </c>
      <c r="EO27" s="488">
        <v>28</v>
      </c>
      <c r="EP27" s="489"/>
      <c r="EQ27" s="486">
        <v>8</v>
      </c>
      <c r="ER27" s="487">
        <v>10</v>
      </c>
      <c r="ES27" s="487">
        <v>7</v>
      </c>
      <c r="ET27" s="487">
        <v>15</v>
      </c>
      <c r="EU27" s="488">
        <v>17</v>
      </c>
      <c r="EV27" s="488">
        <v>29</v>
      </c>
      <c r="EW27" s="488">
        <v>18</v>
      </c>
      <c r="EX27" s="488">
        <v>15</v>
      </c>
      <c r="EY27" s="489"/>
      <c r="EZ27" s="486">
        <v>7</v>
      </c>
      <c r="FA27" s="487">
        <v>11</v>
      </c>
      <c r="FB27" s="487">
        <v>20</v>
      </c>
      <c r="FC27" s="487">
        <v>10</v>
      </c>
      <c r="FD27" s="488">
        <v>7</v>
      </c>
      <c r="FE27" s="488">
        <v>2</v>
      </c>
      <c r="FF27" s="488">
        <v>4</v>
      </c>
      <c r="FG27" s="488">
        <v>7</v>
      </c>
      <c r="FH27" s="489"/>
      <c r="FI27" s="486">
        <v>224</v>
      </c>
      <c r="FJ27" s="487">
        <v>295</v>
      </c>
      <c r="FK27" s="487">
        <v>256</v>
      </c>
      <c r="FL27" s="487">
        <v>142</v>
      </c>
      <c r="FM27" s="488">
        <v>140</v>
      </c>
      <c r="FN27" s="488">
        <v>130</v>
      </c>
      <c r="FO27" s="488">
        <v>126</v>
      </c>
      <c r="FP27" s="488">
        <v>126</v>
      </c>
      <c r="FQ27" s="489"/>
      <c r="FR27" s="486">
        <v>13</v>
      </c>
      <c r="FS27" s="487">
        <v>27</v>
      </c>
      <c r="FT27" s="487">
        <v>6</v>
      </c>
      <c r="FU27" s="487">
        <v>9</v>
      </c>
      <c r="FV27" s="488">
        <v>6</v>
      </c>
      <c r="FW27" s="488">
        <v>12</v>
      </c>
      <c r="FX27" s="488">
        <v>2</v>
      </c>
      <c r="FY27" s="488">
        <v>8</v>
      </c>
      <c r="FZ27" s="489"/>
      <c r="GA27" s="486">
        <v>40</v>
      </c>
      <c r="GB27" s="487">
        <v>39</v>
      </c>
      <c r="GC27" s="487">
        <v>21</v>
      </c>
      <c r="GD27" s="487">
        <v>19</v>
      </c>
      <c r="GE27" s="488">
        <v>21</v>
      </c>
      <c r="GF27" s="488">
        <v>20</v>
      </c>
      <c r="GG27" s="488">
        <v>33</v>
      </c>
      <c r="GH27" s="488">
        <v>20</v>
      </c>
      <c r="GI27" s="489"/>
      <c r="GJ27" s="486">
        <v>3993</v>
      </c>
      <c r="GK27" s="487">
        <v>4007</v>
      </c>
      <c r="GL27" s="487">
        <v>4074</v>
      </c>
      <c r="GM27" s="487">
        <v>3895</v>
      </c>
      <c r="GN27" s="488">
        <v>3369</v>
      </c>
      <c r="GO27" s="488">
        <v>2411</v>
      </c>
      <c r="GP27" s="488">
        <v>2182</v>
      </c>
      <c r="GQ27" s="488">
        <v>1923</v>
      </c>
      <c r="GR27" s="489"/>
      <c r="GS27" s="486">
        <v>1481</v>
      </c>
      <c r="GT27" s="487">
        <v>1283</v>
      </c>
      <c r="GU27" s="487">
        <v>1156</v>
      </c>
      <c r="GV27" s="487">
        <v>886</v>
      </c>
      <c r="GW27" s="488">
        <v>500</v>
      </c>
      <c r="GX27" s="488">
        <v>461</v>
      </c>
      <c r="GY27" s="488">
        <v>423</v>
      </c>
      <c r="GZ27" s="488">
        <v>425</v>
      </c>
      <c r="HA27" s="489"/>
      <c r="HB27" s="486">
        <v>10</v>
      </c>
      <c r="HC27" s="487">
        <v>3</v>
      </c>
      <c r="HD27" s="487">
        <v>11</v>
      </c>
      <c r="HE27" s="487">
        <v>8</v>
      </c>
      <c r="HF27" s="488">
        <v>8</v>
      </c>
      <c r="HG27" s="488">
        <v>5</v>
      </c>
      <c r="HH27" s="488">
        <v>4</v>
      </c>
      <c r="HI27" s="488">
        <v>11</v>
      </c>
      <c r="HJ27" s="489"/>
      <c r="HK27" s="486">
        <v>7</v>
      </c>
      <c r="HL27" s="487">
        <v>6</v>
      </c>
      <c r="HM27" s="487">
        <v>3</v>
      </c>
      <c r="HN27" s="487">
        <v>4</v>
      </c>
      <c r="HO27" s="488">
        <v>5</v>
      </c>
      <c r="HP27" s="488">
        <v>6</v>
      </c>
      <c r="HQ27" s="488">
        <v>1</v>
      </c>
      <c r="HR27" s="488">
        <v>8</v>
      </c>
      <c r="HS27" s="489"/>
      <c r="HT27" s="486">
        <v>2040</v>
      </c>
      <c r="HU27" s="487">
        <v>1774</v>
      </c>
      <c r="HV27" s="487">
        <v>1576</v>
      </c>
      <c r="HW27" s="487">
        <v>1278</v>
      </c>
      <c r="HX27" s="488">
        <v>909</v>
      </c>
      <c r="HY27" s="488">
        <v>822</v>
      </c>
      <c r="HZ27" s="488">
        <v>722</v>
      </c>
      <c r="IA27" s="488">
        <v>784</v>
      </c>
      <c r="IB27" s="489"/>
      <c r="IC27" s="486">
        <v>7579</v>
      </c>
      <c r="ID27" s="487">
        <v>8196</v>
      </c>
      <c r="IE27" s="487">
        <v>8204</v>
      </c>
      <c r="IF27" s="487">
        <v>6952</v>
      </c>
      <c r="IG27" s="488">
        <v>6459</v>
      </c>
      <c r="IH27" s="488">
        <v>4301</v>
      </c>
      <c r="II27" s="488">
        <v>4028</v>
      </c>
      <c r="IJ27" s="488">
        <v>3454</v>
      </c>
      <c r="IK27" s="489"/>
      <c r="IL27" s="486">
        <v>960</v>
      </c>
      <c r="IM27" s="487">
        <v>1024</v>
      </c>
      <c r="IN27" s="487">
        <v>1263</v>
      </c>
      <c r="IO27" s="487">
        <v>885</v>
      </c>
      <c r="IP27" s="488">
        <v>517</v>
      </c>
      <c r="IQ27" s="488">
        <v>630</v>
      </c>
      <c r="IR27" s="488">
        <v>577</v>
      </c>
      <c r="IS27" s="488">
        <v>461</v>
      </c>
      <c r="IT27" s="489"/>
      <c r="IU27" s="526">
        <v>4124.7829849300379</v>
      </c>
      <c r="IV27" s="527">
        <v>4459.0977345433175</v>
      </c>
      <c r="IW27" s="527">
        <v>4483.30509863927</v>
      </c>
      <c r="IX27" s="527">
        <v>4006.0159387803315</v>
      </c>
      <c r="IY27" s="528">
        <v>3745.7158266497327</v>
      </c>
      <c r="IZ27" s="528">
        <v>2483.2128093878791</v>
      </c>
      <c r="JA27" s="528">
        <v>2269.7944900569705</v>
      </c>
      <c r="JB27" s="528">
        <v>1953.4431273187945</v>
      </c>
      <c r="JC27" s="529"/>
      <c r="JD27" s="530">
        <v>1110.2463767327192</v>
      </c>
      <c r="JE27" s="531">
        <v>965.15853844312426</v>
      </c>
      <c r="JF27" s="531">
        <v>861.2492485928193</v>
      </c>
      <c r="JG27" s="531">
        <v>736.43388517854783</v>
      </c>
      <c r="JH27" s="531">
        <v>527.14904573844365</v>
      </c>
      <c r="JI27" s="532">
        <v>471.17615478197263</v>
      </c>
      <c r="JJ27" s="532">
        <v>406.84995576492867</v>
      </c>
      <c r="JK27" s="532">
        <v>443.39878744005063</v>
      </c>
      <c r="JL27" s="529"/>
      <c r="JM27" s="530">
        <v>2173.1440109283071</v>
      </c>
      <c r="JN27" s="531">
        <v>2180.0396074078908</v>
      </c>
      <c r="JO27" s="531">
        <v>2226.3511667304224</v>
      </c>
      <c r="JP27" s="531">
        <v>2244.4522556889233</v>
      </c>
      <c r="JQ27" s="531">
        <v>1953.7570243045286</v>
      </c>
      <c r="JR27" s="532">
        <v>1392.5380473870582</v>
      </c>
      <c r="JS27" s="532">
        <v>1229.5659327965018</v>
      </c>
      <c r="JT27" s="532">
        <v>1087.5712605194101</v>
      </c>
      <c r="JU27" s="529"/>
      <c r="JV27" s="530">
        <v>806.01709997115529</v>
      </c>
      <c r="JW27" s="531">
        <v>698.02615829905767</v>
      </c>
      <c r="JX27" s="531">
        <v>631.72850975463132</v>
      </c>
      <c r="JY27" s="531">
        <v>510.54806124271772</v>
      </c>
      <c r="JZ27" s="531">
        <v>289.96097125326929</v>
      </c>
      <c r="KA27" s="532">
        <v>263.85612444243429</v>
      </c>
      <c r="KB27" s="532">
        <v>238.36223170161333</v>
      </c>
      <c r="KC27" s="532">
        <v>240.36286308931318</v>
      </c>
      <c r="KD27" s="529"/>
    </row>
    <row r="28" spans="1:290" ht="15" customHeight="1" x14ac:dyDescent="0.2">
      <c r="A28" s="930"/>
      <c r="B28" s="359" t="s">
        <v>653</v>
      </c>
      <c r="C28" s="491"/>
      <c r="D28" s="492"/>
      <c r="E28" s="492"/>
      <c r="F28" s="492">
        <v>2</v>
      </c>
      <c r="G28" s="493"/>
      <c r="H28" s="493">
        <v>3</v>
      </c>
      <c r="I28" s="493">
        <v>1</v>
      </c>
      <c r="J28" s="493">
        <v>1</v>
      </c>
      <c r="K28" s="199"/>
      <c r="L28" s="491"/>
      <c r="M28" s="492"/>
      <c r="N28" s="492"/>
      <c r="O28" s="492">
        <v>1</v>
      </c>
      <c r="P28" s="493"/>
      <c r="Q28" s="493">
        <v>1</v>
      </c>
      <c r="R28" s="493"/>
      <c r="S28" s="493"/>
      <c r="T28" s="199"/>
      <c r="U28" s="491"/>
      <c r="V28" s="492"/>
      <c r="W28" s="492"/>
      <c r="X28" s="492">
        <v>1</v>
      </c>
      <c r="Y28" s="493"/>
      <c r="Z28" s="493">
        <v>1</v>
      </c>
      <c r="AA28" s="493">
        <v>1</v>
      </c>
      <c r="AB28" s="493">
        <v>1</v>
      </c>
      <c r="AC28" s="199"/>
      <c r="AD28" s="491">
        <v>95</v>
      </c>
      <c r="AE28" s="492">
        <v>80</v>
      </c>
      <c r="AF28" s="492">
        <v>53</v>
      </c>
      <c r="AG28" s="492">
        <v>73</v>
      </c>
      <c r="AH28" s="493">
        <v>70</v>
      </c>
      <c r="AI28" s="493">
        <v>74</v>
      </c>
      <c r="AJ28" s="493">
        <v>63</v>
      </c>
      <c r="AK28" s="493">
        <v>41</v>
      </c>
      <c r="AL28" s="199"/>
      <c r="AM28" s="491">
        <v>52</v>
      </c>
      <c r="AN28" s="492">
        <v>42</v>
      </c>
      <c r="AO28" s="492">
        <v>27</v>
      </c>
      <c r="AP28" s="492">
        <v>29</v>
      </c>
      <c r="AQ28" s="493">
        <v>35</v>
      </c>
      <c r="AR28" s="493">
        <v>31</v>
      </c>
      <c r="AS28" s="493">
        <v>30</v>
      </c>
      <c r="AT28" s="493">
        <v>15</v>
      </c>
      <c r="AU28" s="199"/>
      <c r="AV28" s="491"/>
      <c r="AW28" s="492">
        <v>1</v>
      </c>
      <c r="AX28" s="492"/>
      <c r="AY28" s="492"/>
      <c r="AZ28" s="493"/>
      <c r="BA28" s="493"/>
      <c r="BB28" s="493"/>
      <c r="BC28" s="493"/>
      <c r="BD28" s="199"/>
      <c r="BE28" s="491">
        <v>8</v>
      </c>
      <c r="BF28" s="492">
        <v>7</v>
      </c>
      <c r="BG28" s="492">
        <v>10</v>
      </c>
      <c r="BH28" s="492">
        <v>17</v>
      </c>
      <c r="BI28" s="493">
        <v>25</v>
      </c>
      <c r="BJ28" s="493">
        <v>9</v>
      </c>
      <c r="BK28" s="493">
        <v>9</v>
      </c>
      <c r="BL28" s="493">
        <v>17</v>
      </c>
      <c r="BM28" s="199"/>
      <c r="BN28" s="491"/>
      <c r="BO28" s="492"/>
      <c r="BP28" s="492"/>
      <c r="BQ28" s="492"/>
      <c r="BR28" s="493"/>
      <c r="BS28" s="493"/>
      <c r="BT28" s="493"/>
      <c r="BU28" s="493"/>
      <c r="BV28" s="199"/>
      <c r="BW28" s="491">
        <v>65</v>
      </c>
      <c r="BX28" s="492">
        <v>80</v>
      </c>
      <c r="BY28" s="492">
        <v>37</v>
      </c>
      <c r="BZ28" s="492">
        <v>79</v>
      </c>
      <c r="CA28" s="493">
        <v>60</v>
      </c>
      <c r="CB28" s="493">
        <v>58</v>
      </c>
      <c r="CC28" s="493">
        <v>49</v>
      </c>
      <c r="CD28" s="493">
        <v>51</v>
      </c>
      <c r="CE28" s="199"/>
      <c r="CF28" s="491">
        <v>2</v>
      </c>
      <c r="CG28" s="492">
        <v>6</v>
      </c>
      <c r="CH28" s="492">
        <v>3</v>
      </c>
      <c r="CI28" s="492">
        <v>2</v>
      </c>
      <c r="CJ28" s="493">
        <v>2</v>
      </c>
      <c r="CK28" s="493">
        <v>7</v>
      </c>
      <c r="CL28" s="493">
        <v>6</v>
      </c>
      <c r="CM28" s="493"/>
      <c r="CN28" s="199"/>
      <c r="CO28" s="491">
        <v>4</v>
      </c>
      <c r="CP28" s="492"/>
      <c r="CQ28" s="492"/>
      <c r="CR28" s="492">
        <v>3</v>
      </c>
      <c r="CS28" s="493">
        <v>7</v>
      </c>
      <c r="CT28" s="493"/>
      <c r="CU28" s="493"/>
      <c r="CV28" s="493">
        <v>4</v>
      </c>
      <c r="CW28" s="199"/>
      <c r="CX28" s="491">
        <v>777</v>
      </c>
      <c r="CY28" s="492">
        <v>871</v>
      </c>
      <c r="CZ28" s="492">
        <v>903</v>
      </c>
      <c r="DA28" s="492">
        <v>657</v>
      </c>
      <c r="DB28" s="493">
        <v>681</v>
      </c>
      <c r="DC28" s="493">
        <v>407</v>
      </c>
      <c r="DD28" s="493">
        <v>314</v>
      </c>
      <c r="DE28" s="493">
        <v>263</v>
      </c>
      <c r="DF28" s="199"/>
      <c r="DG28" s="491">
        <v>4</v>
      </c>
      <c r="DH28" s="492">
        <v>9</v>
      </c>
      <c r="DI28" s="492">
        <v>5</v>
      </c>
      <c r="DJ28" s="492"/>
      <c r="DK28" s="493">
        <v>3</v>
      </c>
      <c r="DL28" s="493"/>
      <c r="DM28" s="493">
        <v>1</v>
      </c>
      <c r="DN28" s="493">
        <v>1</v>
      </c>
      <c r="DO28" s="199"/>
      <c r="DP28" s="491">
        <v>46</v>
      </c>
      <c r="DQ28" s="492">
        <v>29</v>
      </c>
      <c r="DR28" s="492">
        <v>17</v>
      </c>
      <c r="DS28" s="492">
        <v>17</v>
      </c>
      <c r="DT28" s="493">
        <v>18</v>
      </c>
      <c r="DU28" s="493">
        <v>5</v>
      </c>
      <c r="DV28" s="493">
        <v>4</v>
      </c>
      <c r="DW28" s="493">
        <v>1</v>
      </c>
      <c r="DX28" s="199"/>
      <c r="DY28" s="491">
        <v>98</v>
      </c>
      <c r="DZ28" s="492">
        <v>87</v>
      </c>
      <c r="EA28" s="492">
        <v>106</v>
      </c>
      <c r="EB28" s="492">
        <v>99</v>
      </c>
      <c r="EC28" s="493">
        <v>91</v>
      </c>
      <c r="ED28" s="493">
        <v>120</v>
      </c>
      <c r="EE28" s="493">
        <v>68</v>
      </c>
      <c r="EF28" s="493">
        <v>61</v>
      </c>
      <c r="EG28" s="199"/>
      <c r="EH28" s="491">
        <v>12</v>
      </c>
      <c r="EI28" s="492">
        <v>9</v>
      </c>
      <c r="EJ28" s="492">
        <v>9</v>
      </c>
      <c r="EK28" s="492">
        <v>6</v>
      </c>
      <c r="EL28" s="493">
        <v>4</v>
      </c>
      <c r="EM28" s="493">
        <v>4</v>
      </c>
      <c r="EN28" s="493">
        <v>2</v>
      </c>
      <c r="EO28" s="493">
        <v>1</v>
      </c>
      <c r="EP28" s="199"/>
      <c r="EQ28" s="491">
        <v>1</v>
      </c>
      <c r="ER28" s="492">
        <v>2</v>
      </c>
      <c r="ES28" s="492">
        <v>5</v>
      </c>
      <c r="ET28" s="492"/>
      <c r="EU28" s="493">
        <v>5</v>
      </c>
      <c r="EV28" s="493">
        <v>2</v>
      </c>
      <c r="EW28" s="493">
        <v>2</v>
      </c>
      <c r="EX28" s="493">
        <v>2</v>
      </c>
      <c r="EY28" s="199"/>
      <c r="EZ28" s="491">
        <v>7</v>
      </c>
      <c r="FA28" s="492">
        <v>4</v>
      </c>
      <c r="FB28" s="492">
        <v>4</v>
      </c>
      <c r="FC28" s="492">
        <v>6</v>
      </c>
      <c r="FD28" s="493">
        <v>3</v>
      </c>
      <c r="FE28" s="493"/>
      <c r="FF28" s="493"/>
      <c r="FG28" s="493"/>
      <c r="FH28" s="199"/>
      <c r="FI28" s="491">
        <v>58</v>
      </c>
      <c r="FJ28" s="492">
        <v>63</v>
      </c>
      <c r="FK28" s="492">
        <v>42</v>
      </c>
      <c r="FL28" s="492">
        <v>19</v>
      </c>
      <c r="FM28" s="493">
        <v>19</v>
      </c>
      <c r="FN28" s="493">
        <v>27</v>
      </c>
      <c r="FO28" s="493">
        <v>22</v>
      </c>
      <c r="FP28" s="493">
        <v>23</v>
      </c>
      <c r="FQ28" s="199"/>
      <c r="FR28" s="491">
        <v>8</v>
      </c>
      <c r="FS28" s="492">
        <v>2</v>
      </c>
      <c r="FT28" s="492">
        <v>5</v>
      </c>
      <c r="FU28" s="492">
        <v>8</v>
      </c>
      <c r="FV28" s="493">
        <v>3</v>
      </c>
      <c r="FW28" s="493">
        <v>2</v>
      </c>
      <c r="FX28" s="493">
        <v>2</v>
      </c>
      <c r="FY28" s="493">
        <v>4</v>
      </c>
      <c r="FZ28" s="199"/>
      <c r="GA28" s="491">
        <v>11</v>
      </c>
      <c r="GB28" s="492">
        <v>11</v>
      </c>
      <c r="GC28" s="492">
        <v>5</v>
      </c>
      <c r="GD28" s="492">
        <v>9</v>
      </c>
      <c r="GE28" s="493">
        <v>11</v>
      </c>
      <c r="GF28" s="493">
        <v>4</v>
      </c>
      <c r="GG28" s="493">
        <v>10</v>
      </c>
      <c r="GH28" s="493">
        <v>5</v>
      </c>
      <c r="GI28" s="199"/>
      <c r="GJ28" s="491">
        <v>1048</v>
      </c>
      <c r="GK28" s="492">
        <v>1135</v>
      </c>
      <c r="GL28" s="492">
        <v>1076</v>
      </c>
      <c r="GM28" s="492">
        <v>881</v>
      </c>
      <c r="GN28" s="493">
        <v>890</v>
      </c>
      <c r="GO28" s="493">
        <v>597</v>
      </c>
      <c r="GP28" s="493">
        <v>480</v>
      </c>
      <c r="GQ28" s="493">
        <v>412</v>
      </c>
      <c r="GR28" s="199"/>
      <c r="GS28" s="491">
        <v>330</v>
      </c>
      <c r="GT28" s="492">
        <v>341</v>
      </c>
      <c r="GU28" s="492">
        <v>278</v>
      </c>
      <c r="GV28" s="492">
        <v>224</v>
      </c>
      <c r="GW28" s="493">
        <v>122</v>
      </c>
      <c r="GX28" s="493">
        <v>87</v>
      </c>
      <c r="GY28" s="493">
        <v>77</v>
      </c>
      <c r="GZ28" s="493">
        <v>83</v>
      </c>
      <c r="HA28" s="199"/>
      <c r="HB28" s="491">
        <v>2</v>
      </c>
      <c r="HC28" s="492">
        <v>4</v>
      </c>
      <c r="HD28" s="492">
        <v>2</v>
      </c>
      <c r="HE28" s="492"/>
      <c r="HF28" s="493">
        <v>1</v>
      </c>
      <c r="HG28" s="493">
        <v>1</v>
      </c>
      <c r="HH28" s="493"/>
      <c r="HI28" s="493"/>
      <c r="HJ28" s="199"/>
      <c r="HK28" s="491">
        <v>4</v>
      </c>
      <c r="HL28" s="492">
        <v>2</v>
      </c>
      <c r="HM28" s="492"/>
      <c r="HN28" s="492"/>
      <c r="HO28" s="493"/>
      <c r="HP28" s="493">
        <v>1</v>
      </c>
      <c r="HQ28" s="493"/>
      <c r="HR28" s="493">
        <v>1</v>
      </c>
      <c r="HS28" s="199"/>
      <c r="HT28" s="491">
        <v>471</v>
      </c>
      <c r="HU28" s="492">
        <v>453</v>
      </c>
      <c r="HV28" s="492">
        <v>356</v>
      </c>
      <c r="HW28" s="492">
        <v>302</v>
      </c>
      <c r="HX28" s="493">
        <v>221</v>
      </c>
      <c r="HY28" s="493">
        <v>180</v>
      </c>
      <c r="HZ28" s="493">
        <v>170</v>
      </c>
      <c r="IA28" s="493">
        <v>163</v>
      </c>
      <c r="IB28" s="199"/>
      <c r="IC28" s="491">
        <v>1974</v>
      </c>
      <c r="ID28" s="492">
        <v>2547</v>
      </c>
      <c r="IE28" s="492">
        <v>1826</v>
      </c>
      <c r="IF28" s="492">
        <v>1380</v>
      </c>
      <c r="IG28" s="493">
        <v>1359</v>
      </c>
      <c r="IH28" s="493">
        <v>1004</v>
      </c>
      <c r="II28" s="493">
        <v>854</v>
      </c>
      <c r="IJ28" s="493">
        <v>733</v>
      </c>
      <c r="IK28" s="199"/>
      <c r="IL28" s="491">
        <v>279</v>
      </c>
      <c r="IM28" s="492">
        <v>338</v>
      </c>
      <c r="IN28" s="492">
        <v>387</v>
      </c>
      <c r="IO28" s="492">
        <v>211</v>
      </c>
      <c r="IP28" s="493">
        <v>155</v>
      </c>
      <c r="IQ28" s="493">
        <v>208</v>
      </c>
      <c r="IR28" s="493">
        <v>125</v>
      </c>
      <c r="IS28" s="493">
        <v>101</v>
      </c>
      <c r="IT28" s="199"/>
      <c r="IU28" s="533">
        <v>3115.9237277434017</v>
      </c>
      <c r="IV28" s="534">
        <v>4072.267967063714</v>
      </c>
      <c r="IW28" s="534">
        <v>2943.0726581135968</v>
      </c>
      <c r="IX28" s="534">
        <v>2257.742584624446</v>
      </c>
      <c r="IY28" s="535">
        <v>2244.3519619500594</v>
      </c>
      <c r="IZ28" s="535">
        <v>1670.3512002874352</v>
      </c>
      <c r="JA28" s="535">
        <v>1486.5876373004683</v>
      </c>
      <c r="JB28" s="535">
        <v>1290.7883846655045</v>
      </c>
      <c r="JC28" s="536"/>
      <c r="JD28" s="537">
        <v>743.4650839752494</v>
      </c>
      <c r="JE28" s="538">
        <v>724.27851946598446</v>
      </c>
      <c r="JF28" s="538">
        <v>573.78634517439241</v>
      </c>
      <c r="JG28" s="538">
        <v>494.08569605549468</v>
      </c>
      <c r="JH28" s="538">
        <v>364.97555819791251</v>
      </c>
      <c r="JI28" s="539">
        <v>303.23987701711735</v>
      </c>
      <c r="JJ28" s="539">
        <v>295.9249395094609</v>
      </c>
      <c r="JK28" s="539">
        <v>287.03752619437546</v>
      </c>
      <c r="JL28" s="536"/>
      <c r="JM28" s="537">
        <v>1654.2492738982194</v>
      </c>
      <c r="JN28" s="538">
        <v>1814.6934207370693</v>
      </c>
      <c r="JO28" s="538">
        <v>1734.2531106956355</v>
      </c>
      <c r="JP28" s="538">
        <v>1441.3559543870556</v>
      </c>
      <c r="JQ28" s="538">
        <v>1469.8110714757565</v>
      </c>
      <c r="JR28" s="539">
        <v>988.33588281412426</v>
      </c>
      <c r="JS28" s="539">
        <v>835.55277037965436</v>
      </c>
      <c r="JT28" s="539">
        <v>725.51816436860554</v>
      </c>
      <c r="JU28" s="536"/>
      <c r="JV28" s="537">
        <v>520.89910342214921</v>
      </c>
      <c r="JW28" s="538">
        <v>545.20745063554239</v>
      </c>
      <c r="JX28" s="538">
        <v>448.0691122429244</v>
      </c>
      <c r="JY28" s="538">
        <v>366.47415866367817</v>
      </c>
      <c r="JZ28" s="538">
        <v>201.47971991015984</v>
      </c>
      <c r="KA28" s="539">
        <v>147.43457722817297</v>
      </c>
      <c r="KB28" s="539">
        <v>134.03659024840289</v>
      </c>
      <c r="KC28" s="539">
        <v>146.16021272474333</v>
      </c>
      <c r="KD28" s="536"/>
    </row>
    <row r="29" spans="1:290" ht="15" customHeight="1" x14ac:dyDescent="0.2">
      <c r="A29" s="930"/>
      <c r="B29" s="359" t="s">
        <v>654</v>
      </c>
      <c r="C29" s="491">
        <v>2</v>
      </c>
      <c r="D29" s="492">
        <v>1</v>
      </c>
      <c r="E29" s="492"/>
      <c r="F29" s="492">
        <v>1</v>
      </c>
      <c r="G29" s="493">
        <v>1</v>
      </c>
      <c r="H29" s="493"/>
      <c r="I29" s="493"/>
      <c r="J29" s="493"/>
      <c r="K29" s="199"/>
      <c r="L29" s="491"/>
      <c r="M29" s="492">
        <v>1</v>
      </c>
      <c r="N29" s="492"/>
      <c r="O29" s="492">
        <v>1</v>
      </c>
      <c r="P29" s="493">
        <v>1</v>
      </c>
      <c r="Q29" s="493"/>
      <c r="R29" s="493"/>
      <c r="S29" s="493"/>
      <c r="T29" s="199"/>
      <c r="U29" s="491">
        <v>2</v>
      </c>
      <c r="V29" s="492"/>
      <c r="W29" s="492"/>
      <c r="X29" s="492"/>
      <c r="Y29" s="493"/>
      <c r="Z29" s="493"/>
      <c r="AA29" s="493"/>
      <c r="AB29" s="493"/>
      <c r="AC29" s="199"/>
      <c r="AD29" s="491">
        <v>52</v>
      </c>
      <c r="AE29" s="492">
        <v>39</v>
      </c>
      <c r="AF29" s="492">
        <v>35</v>
      </c>
      <c r="AG29" s="492">
        <v>28</v>
      </c>
      <c r="AH29" s="493">
        <v>37</v>
      </c>
      <c r="AI29" s="493">
        <v>20</v>
      </c>
      <c r="AJ29" s="493">
        <v>19</v>
      </c>
      <c r="AK29" s="493">
        <v>12</v>
      </c>
      <c r="AL29" s="199"/>
      <c r="AM29" s="491">
        <v>25</v>
      </c>
      <c r="AN29" s="492">
        <v>25</v>
      </c>
      <c r="AO29" s="492">
        <v>18</v>
      </c>
      <c r="AP29" s="492">
        <v>13</v>
      </c>
      <c r="AQ29" s="493">
        <v>15</v>
      </c>
      <c r="AR29" s="493">
        <v>10</v>
      </c>
      <c r="AS29" s="493">
        <v>10</v>
      </c>
      <c r="AT29" s="493">
        <v>6</v>
      </c>
      <c r="AU29" s="199"/>
      <c r="AV29" s="491"/>
      <c r="AW29" s="492"/>
      <c r="AX29" s="492"/>
      <c r="AY29" s="492"/>
      <c r="AZ29" s="493"/>
      <c r="BA29" s="493"/>
      <c r="BB29" s="493"/>
      <c r="BC29" s="493"/>
      <c r="BD29" s="199"/>
      <c r="BE29" s="491">
        <v>18</v>
      </c>
      <c r="BF29" s="492">
        <v>3</v>
      </c>
      <c r="BG29" s="492"/>
      <c r="BH29" s="492">
        <v>1</v>
      </c>
      <c r="BI29" s="493">
        <v>1</v>
      </c>
      <c r="BJ29" s="493"/>
      <c r="BK29" s="493">
        <v>1</v>
      </c>
      <c r="BL29" s="493"/>
      <c r="BM29" s="199"/>
      <c r="BN29" s="491"/>
      <c r="BO29" s="492"/>
      <c r="BP29" s="492"/>
      <c r="BQ29" s="492"/>
      <c r="BR29" s="493">
        <v>2</v>
      </c>
      <c r="BS29" s="493">
        <v>1</v>
      </c>
      <c r="BT29" s="493"/>
      <c r="BU29" s="493"/>
      <c r="BV29" s="199"/>
      <c r="BW29" s="491">
        <v>31</v>
      </c>
      <c r="BX29" s="492">
        <v>20</v>
      </c>
      <c r="BY29" s="492">
        <v>14</v>
      </c>
      <c r="BZ29" s="492">
        <v>16</v>
      </c>
      <c r="CA29" s="493">
        <v>32</v>
      </c>
      <c r="CB29" s="493">
        <v>21</v>
      </c>
      <c r="CC29" s="493">
        <v>26</v>
      </c>
      <c r="CD29" s="493">
        <v>47</v>
      </c>
      <c r="CE29" s="199"/>
      <c r="CF29" s="491">
        <v>4</v>
      </c>
      <c r="CG29" s="492">
        <v>2</v>
      </c>
      <c r="CH29" s="492">
        <v>1</v>
      </c>
      <c r="CI29" s="492">
        <v>3</v>
      </c>
      <c r="CJ29" s="493">
        <v>1</v>
      </c>
      <c r="CK29" s="493">
        <v>2</v>
      </c>
      <c r="CL29" s="493">
        <v>2</v>
      </c>
      <c r="CM29" s="493">
        <v>4</v>
      </c>
      <c r="CN29" s="199"/>
      <c r="CO29" s="491">
        <v>4</v>
      </c>
      <c r="CP29" s="492">
        <v>12</v>
      </c>
      <c r="CQ29" s="492">
        <v>5</v>
      </c>
      <c r="CR29" s="492">
        <v>4</v>
      </c>
      <c r="CS29" s="493"/>
      <c r="CT29" s="493">
        <v>1</v>
      </c>
      <c r="CU29" s="493"/>
      <c r="CV29" s="493">
        <v>1</v>
      </c>
      <c r="CW29" s="199"/>
      <c r="CX29" s="491">
        <v>708</v>
      </c>
      <c r="CY29" s="492">
        <v>542</v>
      </c>
      <c r="CZ29" s="492">
        <v>528</v>
      </c>
      <c r="DA29" s="492">
        <v>456</v>
      </c>
      <c r="DB29" s="493">
        <v>418</v>
      </c>
      <c r="DC29" s="493">
        <v>250</v>
      </c>
      <c r="DD29" s="493">
        <v>162</v>
      </c>
      <c r="DE29" s="493">
        <v>173</v>
      </c>
      <c r="DF29" s="199"/>
      <c r="DG29" s="491">
        <v>2</v>
      </c>
      <c r="DH29" s="492"/>
      <c r="DI29" s="492">
        <v>1</v>
      </c>
      <c r="DJ29" s="492">
        <v>3</v>
      </c>
      <c r="DK29" s="493"/>
      <c r="DL29" s="493"/>
      <c r="DM29" s="493">
        <v>2</v>
      </c>
      <c r="DN29" s="493">
        <v>1</v>
      </c>
      <c r="DO29" s="199"/>
      <c r="DP29" s="491">
        <v>20</v>
      </c>
      <c r="DQ29" s="492">
        <v>4</v>
      </c>
      <c r="DR29" s="492">
        <v>22</v>
      </c>
      <c r="DS29" s="492">
        <v>18</v>
      </c>
      <c r="DT29" s="493">
        <v>15</v>
      </c>
      <c r="DU29" s="493">
        <v>4</v>
      </c>
      <c r="DV29" s="493">
        <v>9</v>
      </c>
      <c r="DW29" s="493">
        <v>3</v>
      </c>
      <c r="DX29" s="199"/>
      <c r="DY29" s="491">
        <v>132</v>
      </c>
      <c r="DZ29" s="492">
        <v>78</v>
      </c>
      <c r="EA29" s="492">
        <v>62</v>
      </c>
      <c r="EB29" s="492">
        <v>75</v>
      </c>
      <c r="EC29" s="493">
        <v>99</v>
      </c>
      <c r="ED29" s="493">
        <v>63</v>
      </c>
      <c r="EE29" s="493">
        <v>34</v>
      </c>
      <c r="EF29" s="493">
        <v>39</v>
      </c>
      <c r="EG29" s="199"/>
      <c r="EH29" s="491">
        <v>5</v>
      </c>
      <c r="EI29" s="492">
        <v>2</v>
      </c>
      <c r="EJ29" s="492">
        <v>1</v>
      </c>
      <c r="EK29" s="492">
        <v>3</v>
      </c>
      <c r="EL29" s="493">
        <v>3</v>
      </c>
      <c r="EM29" s="493">
        <v>2</v>
      </c>
      <c r="EN29" s="493">
        <v>1</v>
      </c>
      <c r="EO29" s="493"/>
      <c r="EP29" s="199"/>
      <c r="EQ29" s="491"/>
      <c r="ER29" s="492">
        <v>1</v>
      </c>
      <c r="ES29" s="492">
        <v>1</v>
      </c>
      <c r="ET29" s="492">
        <v>1</v>
      </c>
      <c r="EU29" s="493">
        <v>6</v>
      </c>
      <c r="EV29" s="493"/>
      <c r="EW29" s="493">
        <v>4</v>
      </c>
      <c r="EX29" s="493">
        <v>4</v>
      </c>
      <c r="EY29" s="199"/>
      <c r="EZ29" s="491">
        <v>1</v>
      </c>
      <c r="FA29" s="492">
        <v>1</v>
      </c>
      <c r="FB29" s="492">
        <v>3</v>
      </c>
      <c r="FC29" s="492">
        <v>3</v>
      </c>
      <c r="FD29" s="493"/>
      <c r="FE29" s="493"/>
      <c r="FF29" s="493"/>
      <c r="FG29" s="493"/>
      <c r="FH29" s="199"/>
      <c r="FI29" s="491">
        <v>33</v>
      </c>
      <c r="FJ29" s="492">
        <v>48</v>
      </c>
      <c r="FK29" s="492">
        <v>16</v>
      </c>
      <c r="FL29" s="492">
        <v>36</v>
      </c>
      <c r="FM29" s="493">
        <v>17</v>
      </c>
      <c r="FN29" s="493">
        <v>14</v>
      </c>
      <c r="FO29" s="493">
        <v>24</v>
      </c>
      <c r="FP29" s="493">
        <v>15</v>
      </c>
      <c r="FQ29" s="199"/>
      <c r="FR29" s="491">
        <v>3</v>
      </c>
      <c r="FS29" s="492">
        <v>4</v>
      </c>
      <c r="FT29" s="492">
        <v>1</v>
      </c>
      <c r="FU29" s="492"/>
      <c r="FV29" s="493"/>
      <c r="FW29" s="493">
        <v>2</v>
      </c>
      <c r="FX29" s="493">
        <v>1</v>
      </c>
      <c r="FY29" s="493"/>
      <c r="FZ29" s="199"/>
      <c r="GA29" s="491">
        <v>12</v>
      </c>
      <c r="GB29" s="492">
        <v>7</v>
      </c>
      <c r="GC29" s="492">
        <v>4</v>
      </c>
      <c r="GD29" s="492"/>
      <c r="GE29" s="493">
        <v>3</v>
      </c>
      <c r="GF29" s="493">
        <v>4</v>
      </c>
      <c r="GG29" s="493">
        <v>3</v>
      </c>
      <c r="GH29" s="493">
        <v>5</v>
      </c>
      <c r="GI29" s="199"/>
      <c r="GJ29" s="491">
        <v>873</v>
      </c>
      <c r="GK29" s="492">
        <v>682</v>
      </c>
      <c r="GL29" s="492">
        <v>609</v>
      </c>
      <c r="GM29" s="492">
        <v>552</v>
      </c>
      <c r="GN29" s="493">
        <v>521</v>
      </c>
      <c r="GO29" s="493">
        <v>317</v>
      </c>
      <c r="GP29" s="493">
        <v>243</v>
      </c>
      <c r="GQ29" s="493">
        <v>261</v>
      </c>
      <c r="GR29" s="199"/>
      <c r="GS29" s="491">
        <v>208</v>
      </c>
      <c r="GT29" s="492">
        <v>165</v>
      </c>
      <c r="GU29" s="492">
        <v>131</v>
      </c>
      <c r="GV29" s="492">
        <v>116</v>
      </c>
      <c r="GW29" s="493">
        <v>116</v>
      </c>
      <c r="GX29" s="493">
        <v>47</v>
      </c>
      <c r="GY29" s="493">
        <v>53</v>
      </c>
      <c r="GZ29" s="493">
        <v>63</v>
      </c>
      <c r="HA29" s="199"/>
      <c r="HB29" s="491"/>
      <c r="HC29" s="492">
        <v>3</v>
      </c>
      <c r="HD29" s="492">
        <v>1</v>
      </c>
      <c r="HE29" s="492">
        <v>2</v>
      </c>
      <c r="HF29" s="493">
        <v>2</v>
      </c>
      <c r="HG29" s="493"/>
      <c r="HH29" s="493">
        <v>1</v>
      </c>
      <c r="HI29" s="493"/>
      <c r="HJ29" s="199"/>
      <c r="HK29" s="491">
        <v>2</v>
      </c>
      <c r="HL29" s="492">
        <v>1</v>
      </c>
      <c r="HM29" s="492">
        <v>1</v>
      </c>
      <c r="HN29" s="492"/>
      <c r="HO29" s="493">
        <v>1</v>
      </c>
      <c r="HP29" s="493">
        <v>1</v>
      </c>
      <c r="HQ29" s="493"/>
      <c r="HR29" s="493">
        <v>1</v>
      </c>
      <c r="HS29" s="199"/>
      <c r="HT29" s="491">
        <v>304</v>
      </c>
      <c r="HU29" s="492">
        <v>240</v>
      </c>
      <c r="HV29" s="492">
        <v>200</v>
      </c>
      <c r="HW29" s="492">
        <v>183</v>
      </c>
      <c r="HX29" s="493">
        <v>203</v>
      </c>
      <c r="HY29" s="493">
        <v>92</v>
      </c>
      <c r="HZ29" s="493">
        <v>152</v>
      </c>
      <c r="IA29" s="493">
        <v>150</v>
      </c>
      <c r="IB29" s="199"/>
      <c r="IC29" s="491">
        <v>1628</v>
      </c>
      <c r="ID29" s="492">
        <v>1273</v>
      </c>
      <c r="IE29" s="492">
        <v>1091</v>
      </c>
      <c r="IF29" s="492">
        <v>894</v>
      </c>
      <c r="IG29" s="493">
        <v>1004</v>
      </c>
      <c r="IH29" s="493">
        <v>601</v>
      </c>
      <c r="II29" s="493">
        <v>710</v>
      </c>
      <c r="IJ29" s="493">
        <v>506</v>
      </c>
      <c r="IK29" s="199"/>
      <c r="IL29" s="491">
        <v>242</v>
      </c>
      <c r="IM29" s="492">
        <v>166</v>
      </c>
      <c r="IN29" s="492">
        <v>203</v>
      </c>
      <c r="IO29" s="492">
        <v>118</v>
      </c>
      <c r="IP29" s="493">
        <v>97</v>
      </c>
      <c r="IQ29" s="493">
        <v>96</v>
      </c>
      <c r="IR29" s="493">
        <v>47</v>
      </c>
      <c r="IS29" s="493">
        <v>56</v>
      </c>
      <c r="IT29" s="199"/>
      <c r="IU29" s="533">
        <v>3202.3919586128213</v>
      </c>
      <c r="IV29" s="534">
        <v>2534.0897780431969</v>
      </c>
      <c r="IW29" s="534">
        <v>2194.0232473957285</v>
      </c>
      <c r="IX29" s="534">
        <v>1837.4645455666544</v>
      </c>
      <c r="IY29" s="535">
        <v>2088.0994966931494</v>
      </c>
      <c r="IZ29" s="535">
        <v>1283.8695170878982</v>
      </c>
      <c r="JA29" s="535">
        <v>1566.3953052264656</v>
      </c>
      <c r="JB29" s="535">
        <v>1126.0208736675791</v>
      </c>
      <c r="JC29" s="536"/>
      <c r="JD29" s="537">
        <v>597.98965320534262</v>
      </c>
      <c r="JE29" s="538">
        <v>477.75455359808899</v>
      </c>
      <c r="JF29" s="538">
        <v>402.20407834935446</v>
      </c>
      <c r="JG29" s="538">
        <v>376.12529288444938</v>
      </c>
      <c r="JH29" s="538">
        <v>422.19541616405309</v>
      </c>
      <c r="JI29" s="539">
        <v>197.51838724429203</v>
      </c>
      <c r="JJ29" s="539">
        <v>335.34096675270808</v>
      </c>
      <c r="JK29" s="539">
        <v>333.80065424928233</v>
      </c>
      <c r="JL29" s="536"/>
      <c r="JM29" s="537">
        <v>1717.2531817377107</v>
      </c>
      <c r="JN29" s="538">
        <v>1357.619189807903</v>
      </c>
      <c r="JO29" s="538">
        <v>1224.7114185737844</v>
      </c>
      <c r="JP29" s="538">
        <v>1134.5418670612901</v>
      </c>
      <c r="JQ29" s="538">
        <v>1083.5655754752299</v>
      </c>
      <c r="JR29" s="539">
        <v>671.13818338058059</v>
      </c>
      <c r="JS29" s="539">
        <v>536.10430869018467</v>
      </c>
      <c r="JT29" s="539">
        <v>580.81313839375127</v>
      </c>
      <c r="JU29" s="536"/>
      <c r="JV29" s="537">
        <v>409.15081535102388</v>
      </c>
      <c r="JW29" s="538">
        <v>328.45625559868614</v>
      </c>
      <c r="JX29" s="538">
        <v>263.44367131882717</v>
      </c>
      <c r="JY29" s="538">
        <v>238.41821844041598</v>
      </c>
      <c r="JZ29" s="538">
        <v>241.25452352231602</v>
      </c>
      <c r="KA29" s="539">
        <v>100.44769844113029</v>
      </c>
      <c r="KB29" s="539">
        <v>116.92810024929953</v>
      </c>
      <c r="KC29" s="539">
        <v>140.19627478469857</v>
      </c>
      <c r="KD29" s="536"/>
    </row>
    <row r="30" spans="1:290" ht="15" customHeight="1" x14ac:dyDescent="0.2">
      <c r="A30" s="930"/>
      <c r="B30" s="359" t="s">
        <v>655</v>
      </c>
      <c r="C30" s="491">
        <v>1</v>
      </c>
      <c r="D30" s="492">
        <v>1</v>
      </c>
      <c r="E30" s="492"/>
      <c r="F30" s="492">
        <v>1</v>
      </c>
      <c r="G30" s="493"/>
      <c r="H30" s="493"/>
      <c r="I30" s="493">
        <v>1</v>
      </c>
      <c r="J30" s="493">
        <v>2</v>
      </c>
      <c r="K30" s="199"/>
      <c r="L30" s="491">
        <v>1</v>
      </c>
      <c r="M30" s="492"/>
      <c r="N30" s="492"/>
      <c r="O30" s="492"/>
      <c r="P30" s="493"/>
      <c r="Q30" s="493"/>
      <c r="R30" s="493"/>
      <c r="S30" s="493">
        <v>1</v>
      </c>
      <c r="T30" s="199"/>
      <c r="U30" s="491"/>
      <c r="V30" s="492">
        <v>1</v>
      </c>
      <c r="W30" s="492"/>
      <c r="X30" s="492"/>
      <c r="Y30" s="493"/>
      <c r="Z30" s="493"/>
      <c r="AA30" s="493">
        <v>1</v>
      </c>
      <c r="AB30" s="493"/>
      <c r="AC30" s="199"/>
      <c r="AD30" s="491">
        <v>91</v>
      </c>
      <c r="AE30" s="492">
        <v>74</v>
      </c>
      <c r="AF30" s="492">
        <v>68</v>
      </c>
      <c r="AG30" s="492">
        <v>82</v>
      </c>
      <c r="AH30" s="493">
        <v>65</v>
      </c>
      <c r="AI30" s="493">
        <v>50</v>
      </c>
      <c r="AJ30" s="493">
        <v>46</v>
      </c>
      <c r="AK30" s="493">
        <v>37</v>
      </c>
      <c r="AL30" s="199"/>
      <c r="AM30" s="491">
        <v>39</v>
      </c>
      <c r="AN30" s="492">
        <v>27</v>
      </c>
      <c r="AO30" s="492">
        <v>19</v>
      </c>
      <c r="AP30" s="492">
        <v>29</v>
      </c>
      <c r="AQ30" s="493">
        <v>31</v>
      </c>
      <c r="AR30" s="493">
        <v>24</v>
      </c>
      <c r="AS30" s="493">
        <v>23</v>
      </c>
      <c r="AT30" s="493">
        <v>16</v>
      </c>
      <c r="AU30" s="199"/>
      <c r="AV30" s="491"/>
      <c r="AW30" s="492"/>
      <c r="AX30" s="492"/>
      <c r="AY30" s="492"/>
      <c r="AZ30" s="493"/>
      <c r="BA30" s="493"/>
      <c r="BB30" s="493"/>
      <c r="BC30" s="493"/>
      <c r="BD30" s="199"/>
      <c r="BE30" s="491">
        <v>16</v>
      </c>
      <c r="BF30" s="492">
        <v>12</v>
      </c>
      <c r="BG30" s="492">
        <v>4</v>
      </c>
      <c r="BH30" s="492">
        <v>8</v>
      </c>
      <c r="BI30" s="493">
        <v>5</v>
      </c>
      <c r="BJ30" s="493">
        <v>9</v>
      </c>
      <c r="BK30" s="493">
        <v>12</v>
      </c>
      <c r="BL30" s="493">
        <v>5</v>
      </c>
      <c r="BM30" s="199"/>
      <c r="BN30" s="491"/>
      <c r="BO30" s="492">
        <v>1</v>
      </c>
      <c r="BP30" s="492"/>
      <c r="BQ30" s="492"/>
      <c r="BR30" s="493">
        <v>1</v>
      </c>
      <c r="BS30" s="493"/>
      <c r="BT30" s="493">
        <v>1</v>
      </c>
      <c r="BU30" s="493"/>
      <c r="BV30" s="199"/>
      <c r="BW30" s="491">
        <v>64</v>
      </c>
      <c r="BX30" s="492">
        <v>68</v>
      </c>
      <c r="BY30" s="492">
        <v>74</v>
      </c>
      <c r="BZ30" s="492">
        <v>66</v>
      </c>
      <c r="CA30" s="493">
        <v>47</v>
      </c>
      <c r="CB30" s="493">
        <v>25</v>
      </c>
      <c r="CC30" s="493">
        <v>49</v>
      </c>
      <c r="CD30" s="493">
        <v>56</v>
      </c>
      <c r="CE30" s="199"/>
      <c r="CF30" s="491">
        <v>2</v>
      </c>
      <c r="CG30" s="492">
        <v>14</v>
      </c>
      <c r="CH30" s="492">
        <v>6</v>
      </c>
      <c r="CI30" s="492">
        <v>4</v>
      </c>
      <c r="CJ30" s="493">
        <v>3</v>
      </c>
      <c r="CK30" s="493">
        <v>3</v>
      </c>
      <c r="CL30" s="493">
        <v>3</v>
      </c>
      <c r="CM30" s="493"/>
      <c r="CN30" s="199"/>
      <c r="CO30" s="491">
        <v>5</v>
      </c>
      <c r="CP30" s="492">
        <v>2</v>
      </c>
      <c r="CQ30" s="492">
        <v>1</v>
      </c>
      <c r="CR30" s="492">
        <v>2</v>
      </c>
      <c r="CS30" s="493">
        <v>2</v>
      </c>
      <c r="CT30" s="493">
        <v>2</v>
      </c>
      <c r="CU30" s="493">
        <v>10</v>
      </c>
      <c r="CV30" s="493">
        <v>2</v>
      </c>
      <c r="CW30" s="199"/>
      <c r="CX30" s="491">
        <v>883</v>
      </c>
      <c r="CY30" s="492">
        <v>862</v>
      </c>
      <c r="CZ30" s="492">
        <v>720</v>
      </c>
      <c r="DA30" s="492">
        <v>763</v>
      </c>
      <c r="DB30" s="493">
        <v>764</v>
      </c>
      <c r="DC30" s="493">
        <v>415</v>
      </c>
      <c r="DD30" s="493">
        <v>299</v>
      </c>
      <c r="DE30" s="493">
        <v>233</v>
      </c>
      <c r="DF30" s="199"/>
      <c r="DG30" s="491">
        <v>7</v>
      </c>
      <c r="DH30" s="492">
        <v>1</v>
      </c>
      <c r="DI30" s="492"/>
      <c r="DJ30" s="492">
        <v>7</v>
      </c>
      <c r="DK30" s="493"/>
      <c r="DL30" s="493">
        <v>3</v>
      </c>
      <c r="DM30" s="493">
        <v>2</v>
      </c>
      <c r="DN30" s="493"/>
      <c r="DO30" s="199"/>
      <c r="DP30" s="491">
        <v>9</v>
      </c>
      <c r="DQ30" s="492">
        <v>6</v>
      </c>
      <c r="DR30" s="492">
        <v>3</v>
      </c>
      <c r="DS30" s="492">
        <v>9</v>
      </c>
      <c r="DT30" s="493">
        <v>10</v>
      </c>
      <c r="DU30" s="493">
        <v>7</v>
      </c>
      <c r="DV30" s="493"/>
      <c r="DW30" s="493">
        <v>1</v>
      </c>
      <c r="DX30" s="199"/>
      <c r="DY30" s="491">
        <v>118</v>
      </c>
      <c r="DZ30" s="492">
        <v>105</v>
      </c>
      <c r="EA30" s="492">
        <v>113</v>
      </c>
      <c r="EB30" s="492">
        <v>114</v>
      </c>
      <c r="EC30" s="493">
        <v>157</v>
      </c>
      <c r="ED30" s="493">
        <v>93</v>
      </c>
      <c r="EE30" s="493">
        <v>75</v>
      </c>
      <c r="EF30" s="493">
        <v>38</v>
      </c>
      <c r="EG30" s="199"/>
      <c r="EH30" s="491">
        <v>9</v>
      </c>
      <c r="EI30" s="492">
        <v>14</v>
      </c>
      <c r="EJ30" s="492">
        <v>7</v>
      </c>
      <c r="EK30" s="492">
        <v>4</v>
      </c>
      <c r="EL30" s="493">
        <v>6</v>
      </c>
      <c r="EM30" s="493">
        <v>1</v>
      </c>
      <c r="EN30" s="493">
        <v>1</v>
      </c>
      <c r="EO30" s="493"/>
      <c r="EP30" s="199"/>
      <c r="EQ30" s="491">
        <v>2</v>
      </c>
      <c r="ER30" s="492">
        <v>1</v>
      </c>
      <c r="ES30" s="492">
        <v>2</v>
      </c>
      <c r="ET30" s="492"/>
      <c r="EU30" s="493">
        <v>5</v>
      </c>
      <c r="EV30" s="493">
        <v>2</v>
      </c>
      <c r="EW30" s="493"/>
      <c r="EX30" s="493">
        <v>1</v>
      </c>
      <c r="EY30" s="199"/>
      <c r="EZ30" s="491">
        <v>8</v>
      </c>
      <c r="FA30" s="492">
        <v>5</v>
      </c>
      <c r="FB30" s="492">
        <v>2</v>
      </c>
      <c r="FC30" s="492">
        <v>4</v>
      </c>
      <c r="FD30" s="493">
        <v>4</v>
      </c>
      <c r="FE30" s="493">
        <v>1</v>
      </c>
      <c r="FF30" s="493">
        <v>1</v>
      </c>
      <c r="FG30" s="493">
        <v>1</v>
      </c>
      <c r="FH30" s="199"/>
      <c r="FI30" s="491">
        <v>56</v>
      </c>
      <c r="FJ30" s="492">
        <v>58</v>
      </c>
      <c r="FK30" s="492">
        <v>35</v>
      </c>
      <c r="FL30" s="492">
        <v>25</v>
      </c>
      <c r="FM30" s="493">
        <v>21</v>
      </c>
      <c r="FN30" s="493">
        <v>24</v>
      </c>
      <c r="FO30" s="493">
        <v>17</v>
      </c>
      <c r="FP30" s="493">
        <v>7</v>
      </c>
      <c r="FQ30" s="199"/>
      <c r="FR30" s="491">
        <v>3</v>
      </c>
      <c r="FS30" s="492">
        <v>13</v>
      </c>
      <c r="FT30" s="492">
        <v>5</v>
      </c>
      <c r="FU30" s="492">
        <v>5</v>
      </c>
      <c r="FV30" s="493">
        <v>9</v>
      </c>
      <c r="FW30" s="493">
        <v>4</v>
      </c>
      <c r="FX30" s="493">
        <v>4</v>
      </c>
      <c r="FY30" s="493">
        <v>11</v>
      </c>
      <c r="FZ30" s="199"/>
      <c r="GA30" s="491">
        <v>4</v>
      </c>
      <c r="GB30" s="492">
        <v>6</v>
      </c>
      <c r="GC30" s="492">
        <v>12</v>
      </c>
      <c r="GD30" s="492">
        <v>4</v>
      </c>
      <c r="GE30" s="493">
        <v>3</v>
      </c>
      <c r="GF30" s="493">
        <v>7</v>
      </c>
      <c r="GG30" s="493">
        <v>1</v>
      </c>
      <c r="GH30" s="493"/>
      <c r="GI30" s="199"/>
      <c r="GJ30" s="491">
        <v>1144</v>
      </c>
      <c r="GK30" s="492">
        <v>1131</v>
      </c>
      <c r="GL30" s="492">
        <v>936</v>
      </c>
      <c r="GM30" s="492">
        <v>968</v>
      </c>
      <c r="GN30" s="493">
        <v>935</v>
      </c>
      <c r="GO30" s="493">
        <v>543</v>
      </c>
      <c r="GP30" s="493">
        <v>445</v>
      </c>
      <c r="GQ30" s="493">
        <v>355</v>
      </c>
      <c r="GR30" s="199"/>
      <c r="GS30" s="491">
        <v>389</v>
      </c>
      <c r="GT30" s="492">
        <v>358</v>
      </c>
      <c r="GU30" s="492">
        <v>292</v>
      </c>
      <c r="GV30" s="492">
        <v>224</v>
      </c>
      <c r="GW30" s="493">
        <v>158</v>
      </c>
      <c r="GX30" s="493">
        <v>70</v>
      </c>
      <c r="GY30" s="493">
        <v>61</v>
      </c>
      <c r="GZ30" s="493">
        <v>65</v>
      </c>
      <c r="HA30" s="199"/>
      <c r="HB30" s="491">
        <v>3</v>
      </c>
      <c r="HC30" s="492">
        <v>2</v>
      </c>
      <c r="HD30" s="492">
        <v>3</v>
      </c>
      <c r="HE30" s="492">
        <v>3</v>
      </c>
      <c r="HF30" s="493">
        <v>2</v>
      </c>
      <c r="HG30" s="493">
        <v>5</v>
      </c>
      <c r="HH30" s="493">
        <v>1</v>
      </c>
      <c r="HI30" s="493">
        <v>5</v>
      </c>
      <c r="HJ30" s="199"/>
      <c r="HK30" s="491">
        <v>1</v>
      </c>
      <c r="HL30" s="492">
        <v>2</v>
      </c>
      <c r="HM30" s="492"/>
      <c r="HN30" s="492">
        <v>1</v>
      </c>
      <c r="HO30" s="493">
        <v>2</v>
      </c>
      <c r="HP30" s="493"/>
      <c r="HQ30" s="493"/>
      <c r="HR30" s="493"/>
      <c r="HS30" s="199"/>
      <c r="HT30" s="491">
        <v>539</v>
      </c>
      <c r="HU30" s="492">
        <v>495</v>
      </c>
      <c r="HV30" s="492">
        <v>389</v>
      </c>
      <c r="HW30" s="492">
        <v>331</v>
      </c>
      <c r="HX30" s="493">
        <v>257</v>
      </c>
      <c r="HY30" s="493">
        <v>168</v>
      </c>
      <c r="HZ30" s="493">
        <v>199</v>
      </c>
      <c r="IA30" s="493">
        <v>232</v>
      </c>
      <c r="IB30" s="199"/>
      <c r="IC30" s="491">
        <v>2289</v>
      </c>
      <c r="ID30" s="492">
        <v>2121</v>
      </c>
      <c r="IE30" s="492">
        <v>1575</v>
      </c>
      <c r="IF30" s="492">
        <v>1581</v>
      </c>
      <c r="IG30" s="493">
        <v>1393</v>
      </c>
      <c r="IH30" s="493">
        <v>938</v>
      </c>
      <c r="II30" s="493">
        <v>901</v>
      </c>
      <c r="IJ30" s="493">
        <v>942</v>
      </c>
      <c r="IK30" s="199"/>
      <c r="IL30" s="491">
        <v>263</v>
      </c>
      <c r="IM30" s="492">
        <v>258</v>
      </c>
      <c r="IN30" s="492">
        <v>255</v>
      </c>
      <c r="IO30" s="492">
        <v>201</v>
      </c>
      <c r="IP30" s="493">
        <v>164</v>
      </c>
      <c r="IQ30" s="493">
        <v>151</v>
      </c>
      <c r="IR30" s="493">
        <v>117</v>
      </c>
      <c r="IS30" s="493">
        <v>70</v>
      </c>
      <c r="IT30" s="199"/>
      <c r="IU30" s="533">
        <v>4356.4318748453652</v>
      </c>
      <c r="IV30" s="534">
        <v>4069.2989524576956</v>
      </c>
      <c r="IW30" s="534">
        <v>3038.7806289793557</v>
      </c>
      <c r="IX30" s="534">
        <v>3057.3765736497071</v>
      </c>
      <c r="IY30" s="535">
        <v>2724.6943765281176</v>
      </c>
      <c r="IZ30" s="535">
        <v>1834.597716258183</v>
      </c>
      <c r="JA30" s="535">
        <v>1841.9331098209175</v>
      </c>
      <c r="JB30" s="535">
        <v>1943.0693069306931</v>
      </c>
      <c r="JC30" s="536"/>
      <c r="JD30" s="537">
        <v>1025.8264659421807</v>
      </c>
      <c r="JE30" s="538">
        <v>949.6949464717394</v>
      </c>
      <c r="JF30" s="538">
        <v>750.53058074474245</v>
      </c>
      <c r="JG30" s="538">
        <v>640.09591769642816</v>
      </c>
      <c r="JH30" s="538">
        <v>502.68948655256725</v>
      </c>
      <c r="JI30" s="539">
        <v>332.58799409429184</v>
      </c>
      <c r="JJ30" s="539">
        <v>406.81985444435355</v>
      </c>
      <c r="JK30" s="539">
        <v>478.54785478547853</v>
      </c>
      <c r="JL30" s="536"/>
      <c r="JM30" s="537">
        <v>2177.2643358772816</v>
      </c>
      <c r="JN30" s="538">
        <v>2169.9090595142166</v>
      </c>
      <c r="JO30" s="538">
        <v>1805.9039166505884</v>
      </c>
      <c r="JP30" s="538">
        <v>1871.9421399702192</v>
      </c>
      <c r="JQ30" s="538">
        <v>1828.8508557457214</v>
      </c>
      <c r="JR30" s="539">
        <v>1062.9880725760449</v>
      </c>
      <c r="JS30" s="539">
        <v>909.72279008913245</v>
      </c>
      <c r="JT30" s="539">
        <v>732.26072607260733</v>
      </c>
      <c r="JU30" s="536"/>
      <c r="JV30" s="537">
        <v>740.34600232190769</v>
      </c>
      <c r="JW30" s="538">
        <v>686.85008249875295</v>
      </c>
      <c r="JX30" s="538">
        <v>563.38028169014092</v>
      </c>
      <c r="JY30" s="538">
        <v>433.17669354682755</v>
      </c>
      <c r="JZ30" s="538">
        <v>309.04645476772612</v>
      </c>
      <c r="KA30" s="539">
        <v>137.18589716642236</v>
      </c>
      <c r="KB30" s="539">
        <v>124.7035734728923</v>
      </c>
      <c r="KC30" s="539">
        <v>134.07590759075907</v>
      </c>
      <c r="KD30" s="536"/>
    </row>
    <row r="31" spans="1:290" ht="15" customHeight="1" thickBot="1" x14ac:dyDescent="0.25">
      <c r="A31" s="930"/>
      <c r="B31" s="505" t="s">
        <v>656</v>
      </c>
      <c r="C31" s="491"/>
      <c r="D31" s="492">
        <v>2</v>
      </c>
      <c r="E31" s="492">
        <v>2</v>
      </c>
      <c r="F31" s="492"/>
      <c r="G31" s="493">
        <v>2</v>
      </c>
      <c r="H31" s="493">
        <v>2</v>
      </c>
      <c r="I31" s="493"/>
      <c r="J31" s="493"/>
      <c r="K31" s="199"/>
      <c r="L31" s="491"/>
      <c r="M31" s="492">
        <v>2</v>
      </c>
      <c r="N31" s="492">
        <v>1</v>
      </c>
      <c r="O31" s="492"/>
      <c r="P31" s="493">
        <v>1</v>
      </c>
      <c r="Q31" s="493">
        <v>1</v>
      </c>
      <c r="R31" s="493"/>
      <c r="S31" s="493"/>
      <c r="T31" s="199"/>
      <c r="U31" s="491"/>
      <c r="V31" s="492"/>
      <c r="W31" s="492">
        <v>1</v>
      </c>
      <c r="X31" s="492"/>
      <c r="Y31" s="493"/>
      <c r="Z31" s="493">
        <v>1</v>
      </c>
      <c r="AA31" s="493"/>
      <c r="AB31" s="493"/>
      <c r="AC31" s="199"/>
      <c r="AD31" s="491">
        <v>56</v>
      </c>
      <c r="AE31" s="492">
        <v>50</v>
      </c>
      <c r="AF31" s="492">
        <v>47</v>
      </c>
      <c r="AG31" s="492">
        <v>58</v>
      </c>
      <c r="AH31" s="493">
        <v>64</v>
      </c>
      <c r="AI31" s="493">
        <v>86</v>
      </c>
      <c r="AJ31" s="493">
        <v>69</v>
      </c>
      <c r="AK31" s="493">
        <v>42</v>
      </c>
      <c r="AL31" s="199"/>
      <c r="AM31" s="491">
        <v>39</v>
      </c>
      <c r="AN31" s="492">
        <v>26</v>
      </c>
      <c r="AO31" s="492">
        <v>28</v>
      </c>
      <c r="AP31" s="492">
        <v>29</v>
      </c>
      <c r="AQ31" s="493">
        <v>31</v>
      </c>
      <c r="AR31" s="493">
        <v>43</v>
      </c>
      <c r="AS31" s="493">
        <v>24</v>
      </c>
      <c r="AT31" s="493">
        <v>19</v>
      </c>
      <c r="AU31" s="199"/>
      <c r="AV31" s="491">
        <v>1</v>
      </c>
      <c r="AW31" s="492"/>
      <c r="AX31" s="492"/>
      <c r="AY31" s="492"/>
      <c r="AZ31" s="493"/>
      <c r="BA31" s="493"/>
      <c r="BB31" s="493"/>
      <c r="BC31" s="493"/>
      <c r="BD31" s="199"/>
      <c r="BE31" s="491">
        <v>10</v>
      </c>
      <c r="BF31" s="492">
        <v>23</v>
      </c>
      <c r="BG31" s="492">
        <v>16</v>
      </c>
      <c r="BH31" s="492">
        <v>2</v>
      </c>
      <c r="BI31" s="493">
        <v>4</v>
      </c>
      <c r="BJ31" s="493">
        <v>5</v>
      </c>
      <c r="BK31" s="493">
        <v>14</v>
      </c>
      <c r="BL31" s="493">
        <v>3</v>
      </c>
      <c r="BM31" s="199"/>
      <c r="BN31" s="491"/>
      <c r="BO31" s="492"/>
      <c r="BP31" s="492"/>
      <c r="BQ31" s="492"/>
      <c r="BR31" s="493"/>
      <c r="BS31" s="493"/>
      <c r="BT31" s="493"/>
      <c r="BU31" s="493"/>
      <c r="BV31" s="199"/>
      <c r="BW31" s="491">
        <v>60</v>
      </c>
      <c r="BX31" s="492">
        <v>64</v>
      </c>
      <c r="BY31" s="492">
        <v>66</v>
      </c>
      <c r="BZ31" s="492">
        <v>63</v>
      </c>
      <c r="CA31" s="493">
        <v>58</v>
      </c>
      <c r="CB31" s="493">
        <v>57</v>
      </c>
      <c r="CC31" s="493">
        <v>92</v>
      </c>
      <c r="CD31" s="493">
        <v>57</v>
      </c>
      <c r="CE31" s="199"/>
      <c r="CF31" s="491">
        <v>4</v>
      </c>
      <c r="CG31" s="492">
        <v>4</v>
      </c>
      <c r="CH31" s="492">
        <v>1</v>
      </c>
      <c r="CI31" s="492">
        <v>2</v>
      </c>
      <c r="CJ31" s="493">
        <v>1</v>
      </c>
      <c r="CK31" s="493"/>
      <c r="CL31" s="493">
        <v>1</v>
      </c>
      <c r="CM31" s="493">
        <v>1</v>
      </c>
      <c r="CN31" s="199"/>
      <c r="CO31" s="491">
        <v>2</v>
      </c>
      <c r="CP31" s="492">
        <v>1</v>
      </c>
      <c r="CQ31" s="492"/>
      <c r="CR31" s="492">
        <v>1</v>
      </c>
      <c r="CS31" s="493">
        <v>2</v>
      </c>
      <c r="CT31" s="493">
        <v>1</v>
      </c>
      <c r="CU31" s="493">
        <v>2</v>
      </c>
      <c r="CV31" s="493">
        <v>4</v>
      </c>
      <c r="CW31" s="199"/>
      <c r="CX31" s="491">
        <v>490</v>
      </c>
      <c r="CY31" s="492">
        <v>517</v>
      </c>
      <c r="CZ31" s="492">
        <v>605</v>
      </c>
      <c r="DA31" s="492">
        <v>485</v>
      </c>
      <c r="DB31" s="493">
        <v>515</v>
      </c>
      <c r="DC31" s="493">
        <v>387</v>
      </c>
      <c r="DD31" s="493">
        <v>201</v>
      </c>
      <c r="DE31" s="493">
        <v>236</v>
      </c>
      <c r="DF31" s="199"/>
      <c r="DG31" s="491">
        <v>1</v>
      </c>
      <c r="DH31" s="492">
        <v>1</v>
      </c>
      <c r="DI31" s="492">
        <v>2</v>
      </c>
      <c r="DJ31" s="492"/>
      <c r="DK31" s="493">
        <v>5</v>
      </c>
      <c r="DL31" s="493">
        <v>1</v>
      </c>
      <c r="DM31" s="493">
        <v>2</v>
      </c>
      <c r="DN31" s="493">
        <v>1</v>
      </c>
      <c r="DO31" s="199"/>
      <c r="DP31" s="491">
        <v>8</v>
      </c>
      <c r="DQ31" s="492">
        <v>7</v>
      </c>
      <c r="DR31" s="492">
        <v>4</v>
      </c>
      <c r="DS31" s="492">
        <v>7</v>
      </c>
      <c r="DT31" s="493">
        <v>7</v>
      </c>
      <c r="DU31" s="493">
        <v>5</v>
      </c>
      <c r="DV31" s="493">
        <v>3</v>
      </c>
      <c r="DW31" s="493">
        <v>7</v>
      </c>
      <c r="DX31" s="199"/>
      <c r="DY31" s="491">
        <v>54</v>
      </c>
      <c r="DZ31" s="492">
        <v>39</v>
      </c>
      <c r="EA31" s="492">
        <v>65</v>
      </c>
      <c r="EB31" s="492">
        <v>56</v>
      </c>
      <c r="EC31" s="493">
        <v>117</v>
      </c>
      <c r="ED31" s="493">
        <v>79</v>
      </c>
      <c r="EE31" s="493">
        <v>51</v>
      </c>
      <c r="EF31" s="493">
        <v>50</v>
      </c>
      <c r="EG31" s="199"/>
      <c r="EH31" s="491">
        <v>7</v>
      </c>
      <c r="EI31" s="492">
        <v>5</v>
      </c>
      <c r="EJ31" s="492">
        <v>6</v>
      </c>
      <c r="EK31" s="492">
        <v>8</v>
      </c>
      <c r="EL31" s="493">
        <v>3</v>
      </c>
      <c r="EM31" s="493">
        <v>3</v>
      </c>
      <c r="EN31" s="493">
        <v>1</v>
      </c>
      <c r="EO31" s="493"/>
      <c r="EP31" s="199"/>
      <c r="EQ31" s="491">
        <v>1</v>
      </c>
      <c r="ER31" s="492">
        <v>1</v>
      </c>
      <c r="ES31" s="492">
        <v>2</v>
      </c>
      <c r="ET31" s="492">
        <v>1</v>
      </c>
      <c r="EU31" s="493">
        <v>2</v>
      </c>
      <c r="EV31" s="493">
        <v>2</v>
      </c>
      <c r="EW31" s="493">
        <v>5</v>
      </c>
      <c r="EX31" s="493">
        <v>2</v>
      </c>
      <c r="EY31" s="199"/>
      <c r="EZ31" s="491">
        <v>5</v>
      </c>
      <c r="FA31" s="492">
        <v>6</v>
      </c>
      <c r="FB31" s="492">
        <v>1</v>
      </c>
      <c r="FC31" s="492">
        <v>1</v>
      </c>
      <c r="FD31" s="493">
        <v>1</v>
      </c>
      <c r="FE31" s="493"/>
      <c r="FF31" s="493">
        <v>2</v>
      </c>
      <c r="FG31" s="493">
        <v>1</v>
      </c>
      <c r="FH31" s="199"/>
      <c r="FI31" s="491">
        <v>40</v>
      </c>
      <c r="FJ31" s="492">
        <v>51</v>
      </c>
      <c r="FK31" s="492">
        <v>36</v>
      </c>
      <c r="FL31" s="492">
        <v>19</v>
      </c>
      <c r="FM31" s="493">
        <v>13</v>
      </c>
      <c r="FN31" s="493">
        <v>12</v>
      </c>
      <c r="FO31" s="493">
        <v>14</v>
      </c>
      <c r="FP31" s="493">
        <v>12</v>
      </c>
      <c r="FQ31" s="199"/>
      <c r="FR31" s="491">
        <v>8</v>
      </c>
      <c r="FS31" s="492">
        <v>14</v>
      </c>
      <c r="FT31" s="492">
        <v>1</v>
      </c>
      <c r="FU31" s="492">
        <v>2</v>
      </c>
      <c r="FV31" s="493">
        <v>1</v>
      </c>
      <c r="FW31" s="493">
        <v>1</v>
      </c>
      <c r="FX31" s="493"/>
      <c r="FY31" s="493">
        <v>6</v>
      </c>
      <c r="FZ31" s="199"/>
      <c r="GA31" s="491">
        <v>7</v>
      </c>
      <c r="GB31" s="492">
        <v>6</v>
      </c>
      <c r="GC31" s="492">
        <v>1</v>
      </c>
      <c r="GD31" s="492">
        <v>9</v>
      </c>
      <c r="GE31" s="493">
        <v>8</v>
      </c>
      <c r="GF31" s="493">
        <v>15</v>
      </c>
      <c r="GG31" s="493">
        <v>5</v>
      </c>
      <c r="GH31" s="493">
        <v>5</v>
      </c>
      <c r="GI31" s="199"/>
      <c r="GJ31" s="491">
        <v>690</v>
      </c>
      <c r="GK31" s="492">
        <v>744</v>
      </c>
      <c r="GL31" s="492">
        <v>784</v>
      </c>
      <c r="GM31" s="492">
        <v>651</v>
      </c>
      <c r="GN31" s="493">
        <v>674</v>
      </c>
      <c r="GO31" s="493">
        <v>571</v>
      </c>
      <c r="GP31" s="493">
        <v>406</v>
      </c>
      <c r="GQ31" s="493">
        <v>369</v>
      </c>
      <c r="GR31" s="199"/>
      <c r="GS31" s="491">
        <v>217</v>
      </c>
      <c r="GT31" s="492">
        <v>218</v>
      </c>
      <c r="GU31" s="492">
        <v>213</v>
      </c>
      <c r="GV31" s="492">
        <v>177</v>
      </c>
      <c r="GW31" s="493">
        <v>96</v>
      </c>
      <c r="GX31" s="493">
        <v>84</v>
      </c>
      <c r="GY31" s="493">
        <v>85</v>
      </c>
      <c r="GZ31" s="493">
        <v>92</v>
      </c>
      <c r="HA31" s="199"/>
      <c r="HB31" s="491">
        <v>1</v>
      </c>
      <c r="HC31" s="492">
        <v>3</v>
      </c>
      <c r="HD31" s="492">
        <v>3</v>
      </c>
      <c r="HE31" s="492"/>
      <c r="HF31" s="493">
        <v>1</v>
      </c>
      <c r="HG31" s="493">
        <v>1</v>
      </c>
      <c r="HH31" s="493">
        <v>3</v>
      </c>
      <c r="HI31" s="493">
        <v>4</v>
      </c>
      <c r="HJ31" s="199"/>
      <c r="HK31" s="491"/>
      <c r="HL31" s="492">
        <v>2</v>
      </c>
      <c r="HM31" s="492">
        <v>1</v>
      </c>
      <c r="HN31" s="492"/>
      <c r="HO31" s="493">
        <v>2</v>
      </c>
      <c r="HP31" s="493"/>
      <c r="HQ31" s="493">
        <v>2</v>
      </c>
      <c r="HR31" s="493"/>
      <c r="HS31" s="199"/>
      <c r="HT31" s="491">
        <v>336</v>
      </c>
      <c r="HU31" s="492">
        <v>293</v>
      </c>
      <c r="HV31" s="492">
        <v>275</v>
      </c>
      <c r="HW31" s="492">
        <v>252</v>
      </c>
      <c r="HX31" s="493">
        <v>203</v>
      </c>
      <c r="HY31" s="493">
        <v>171</v>
      </c>
      <c r="HZ31" s="493">
        <v>160</v>
      </c>
      <c r="IA31" s="493">
        <v>224</v>
      </c>
      <c r="IB31" s="199"/>
      <c r="IC31" s="491">
        <v>1261</v>
      </c>
      <c r="ID31" s="492">
        <v>1520</v>
      </c>
      <c r="IE31" s="492">
        <v>1279</v>
      </c>
      <c r="IF31" s="492">
        <v>942</v>
      </c>
      <c r="IG31" s="493">
        <v>1087</v>
      </c>
      <c r="IH31" s="493">
        <v>1207</v>
      </c>
      <c r="II31" s="493">
        <v>705</v>
      </c>
      <c r="IJ31" s="493">
        <v>687</v>
      </c>
      <c r="IK31" s="199"/>
      <c r="IL31" s="491">
        <v>146</v>
      </c>
      <c r="IM31" s="492">
        <v>127</v>
      </c>
      <c r="IN31" s="492">
        <v>201</v>
      </c>
      <c r="IO31" s="492">
        <v>142</v>
      </c>
      <c r="IP31" s="493">
        <v>114</v>
      </c>
      <c r="IQ31" s="493">
        <v>164</v>
      </c>
      <c r="IR31" s="493">
        <v>80</v>
      </c>
      <c r="IS31" s="493">
        <v>80</v>
      </c>
      <c r="IT31" s="199"/>
      <c r="IU31" s="533">
        <v>2913.3840075780331</v>
      </c>
      <c r="IV31" s="534">
        <v>3555.6387283913077</v>
      </c>
      <c r="IW31" s="534">
        <v>3022.4259753763263</v>
      </c>
      <c r="IX31" s="534">
        <v>2236.7327555502789</v>
      </c>
      <c r="IY31" s="535">
        <v>2601.2252321240549</v>
      </c>
      <c r="IZ31" s="535">
        <v>2977.9991025971681</v>
      </c>
      <c r="JA31" s="535">
        <v>1808.4342294274572</v>
      </c>
      <c r="JB31" s="535">
        <v>1774.9186172686404</v>
      </c>
      <c r="JC31" s="536"/>
      <c r="JD31" s="537">
        <v>776.28630178129981</v>
      </c>
      <c r="JE31" s="538">
        <v>685.396149617535</v>
      </c>
      <c r="JF31" s="538">
        <v>649.85703145308025</v>
      </c>
      <c r="JG31" s="538">
        <v>598.36162887332307</v>
      </c>
      <c r="JH31" s="538">
        <v>485.78539293577103</v>
      </c>
      <c r="JI31" s="539">
        <v>420.1554154903406</v>
      </c>
      <c r="JJ31" s="539">
        <v>410.42478965729532</v>
      </c>
      <c r="JK31" s="539">
        <v>578.72164522296282</v>
      </c>
      <c r="JL31" s="536"/>
      <c r="JM31" s="537">
        <v>1594.159369729455</v>
      </c>
      <c r="JN31" s="538">
        <v>1740.3915881073242</v>
      </c>
      <c r="JO31" s="538">
        <v>1852.6833187607817</v>
      </c>
      <c r="JP31" s="538">
        <v>1545.7675412560845</v>
      </c>
      <c r="JQ31" s="538">
        <v>1612.9032258064515</v>
      </c>
      <c r="JR31" s="539">
        <v>1405.1035968334895</v>
      </c>
      <c r="JS31" s="539">
        <v>1041.4529037553868</v>
      </c>
      <c r="JT31" s="539">
        <v>953.34056735389868</v>
      </c>
      <c r="JU31" s="536"/>
      <c r="JV31" s="537">
        <v>501.35156990042282</v>
      </c>
      <c r="JW31" s="538">
        <v>509.95344920349015</v>
      </c>
      <c r="JX31" s="538">
        <v>503.34380981638583</v>
      </c>
      <c r="JY31" s="538">
        <v>420.27781075626262</v>
      </c>
      <c r="JZ31" s="538">
        <v>229.73102326026608</v>
      </c>
      <c r="KA31" s="539">
        <v>207.71243434280848</v>
      </c>
      <c r="KB31" s="539">
        <v>218.03816950543811</v>
      </c>
      <c r="KC31" s="539">
        <v>237.68924714514546</v>
      </c>
      <c r="KD31" s="536"/>
    </row>
    <row r="32" spans="1:290" ht="15" customHeight="1" thickBot="1" x14ac:dyDescent="0.25">
      <c r="A32" s="931"/>
      <c r="B32" s="506" t="s">
        <v>785</v>
      </c>
      <c r="C32" s="500">
        <v>14</v>
      </c>
      <c r="D32" s="501">
        <v>11</v>
      </c>
      <c r="E32" s="501">
        <v>6</v>
      </c>
      <c r="F32" s="501">
        <v>13</v>
      </c>
      <c r="G32" s="502">
        <v>9</v>
      </c>
      <c r="H32" s="502">
        <v>11</v>
      </c>
      <c r="I32" s="502">
        <v>6</v>
      </c>
      <c r="J32" s="502">
        <v>8</v>
      </c>
      <c r="K32" s="503"/>
      <c r="L32" s="500">
        <v>6</v>
      </c>
      <c r="M32" s="501">
        <v>9</v>
      </c>
      <c r="N32" s="501">
        <v>4</v>
      </c>
      <c r="O32" s="501">
        <v>10</v>
      </c>
      <c r="P32" s="502">
        <v>4</v>
      </c>
      <c r="Q32" s="502">
        <v>6</v>
      </c>
      <c r="R32" s="502">
        <v>1</v>
      </c>
      <c r="S32" s="502">
        <v>4</v>
      </c>
      <c r="T32" s="503"/>
      <c r="U32" s="500">
        <v>7</v>
      </c>
      <c r="V32" s="501">
        <v>2</v>
      </c>
      <c r="W32" s="501">
        <v>2</v>
      </c>
      <c r="X32" s="501">
        <v>2</v>
      </c>
      <c r="Y32" s="502">
        <v>4</v>
      </c>
      <c r="Z32" s="502">
        <v>3</v>
      </c>
      <c r="AA32" s="502">
        <v>5</v>
      </c>
      <c r="AB32" s="502">
        <v>3</v>
      </c>
      <c r="AC32" s="503"/>
      <c r="AD32" s="500">
        <v>564</v>
      </c>
      <c r="AE32" s="501">
        <v>477</v>
      </c>
      <c r="AF32" s="501">
        <v>450</v>
      </c>
      <c r="AG32" s="501">
        <v>460</v>
      </c>
      <c r="AH32" s="502">
        <v>411</v>
      </c>
      <c r="AI32" s="502">
        <v>429</v>
      </c>
      <c r="AJ32" s="502">
        <v>394</v>
      </c>
      <c r="AK32" s="502">
        <v>328</v>
      </c>
      <c r="AL32" s="503"/>
      <c r="AM32" s="500">
        <v>302</v>
      </c>
      <c r="AN32" s="501">
        <v>238</v>
      </c>
      <c r="AO32" s="501">
        <v>208</v>
      </c>
      <c r="AP32" s="501">
        <v>205</v>
      </c>
      <c r="AQ32" s="502">
        <v>218</v>
      </c>
      <c r="AR32" s="502">
        <v>209</v>
      </c>
      <c r="AS32" s="502">
        <v>187</v>
      </c>
      <c r="AT32" s="502">
        <v>153</v>
      </c>
      <c r="AU32" s="503"/>
      <c r="AV32" s="500">
        <v>2</v>
      </c>
      <c r="AW32" s="501">
        <v>1</v>
      </c>
      <c r="AX32" s="501"/>
      <c r="AY32" s="501">
        <v>1</v>
      </c>
      <c r="AZ32" s="502">
        <v>1</v>
      </c>
      <c r="BA32" s="502"/>
      <c r="BB32" s="502"/>
      <c r="BC32" s="502"/>
      <c r="BD32" s="503"/>
      <c r="BE32" s="500">
        <v>85</v>
      </c>
      <c r="BF32" s="501">
        <v>91</v>
      </c>
      <c r="BG32" s="501">
        <v>48</v>
      </c>
      <c r="BH32" s="501">
        <v>50</v>
      </c>
      <c r="BI32" s="502">
        <v>67</v>
      </c>
      <c r="BJ32" s="502">
        <v>43</v>
      </c>
      <c r="BK32" s="502">
        <v>50</v>
      </c>
      <c r="BL32" s="502">
        <v>40</v>
      </c>
      <c r="BM32" s="503"/>
      <c r="BN32" s="500"/>
      <c r="BO32" s="501">
        <v>1</v>
      </c>
      <c r="BP32" s="501"/>
      <c r="BQ32" s="501"/>
      <c r="BR32" s="502">
        <v>3</v>
      </c>
      <c r="BS32" s="502">
        <v>1</v>
      </c>
      <c r="BT32" s="502">
        <v>1</v>
      </c>
      <c r="BU32" s="502"/>
      <c r="BV32" s="503"/>
      <c r="BW32" s="500">
        <v>398</v>
      </c>
      <c r="BX32" s="501">
        <v>447</v>
      </c>
      <c r="BY32" s="501">
        <v>436</v>
      </c>
      <c r="BZ32" s="501">
        <v>450</v>
      </c>
      <c r="CA32" s="502">
        <v>355</v>
      </c>
      <c r="CB32" s="502">
        <v>359</v>
      </c>
      <c r="CC32" s="502">
        <v>497</v>
      </c>
      <c r="CD32" s="502">
        <v>459</v>
      </c>
      <c r="CE32" s="503"/>
      <c r="CF32" s="500">
        <v>29</v>
      </c>
      <c r="CG32" s="501">
        <v>43</v>
      </c>
      <c r="CH32" s="501">
        <v>27</v>
      </c>
      <c r="CI32" s="501">
        <v>29</v>
      </c>
      <c r="CJ32" s="502">
        <v>19</v>
      </c>
      <c r="CK32" s="502">
        <v>28</v>
      </c>
      <c r="CL32" s="502">
        <v>16</v>
      </c>
      <c r="CM32" s="502">
        <v>13</v>
      </c>
      <c r="CN32" s="503"/>
      <c r="CO32" s="500">
        <v>20</v>
      </c>
      <c r="CP32" s="501">
        <v>19</v>
      </c>
      <c r="CQ32" s="501">
        <v>11</v>
      </c>
      <c r="CR32" s="501">
        <v>17</v>
      </c>
      <c r="CS32" s="502">
        <v>14</v>
      </c>
      <c r="CT32" s="502">
        <v>6</v>
      </c>
      <c r="CU32" s="502">
        <v>19</v>
      </c>
      <c r="CV32" s="502">
        <v>14</v>
      </c>
      <c r="CW32" s="503"/>
      <c r="CX32" s="500">
        <v>5992</v>
      </c>
      <c r="CY32" s="501">
        <v>5846</v>
      </c>
      <c r="CZ32" s="501">
        <v>5939</v>
      </c>
      <c r="DA32" s="501">
        <v>5517</v>
      </c>
      <c r="DB32" s="502">
        <v>5137</v>
      </c>
      <c r="DC32" s="502">
        <v>3213</v>
      </c>
      <c r="DD32" s="502">
        <v>2449</v>
      </c>
      <c r="DE32" s="502">
        <v>2149</v>
      </c>
      <c r="DF32" s="503"/>
      <c r="DG32" s="500">
        <v>54</v>
      </c>
      <c r="DH32" s="501">
        <v>45</v>
      </c>
      <c r="DI32" s="501">
        <v>46</v>
      </c>
      <c r="DJ32" s="501">
        <v>28</v>
      </c>
      <c r="DK32" s="502">
        <v>15</v>
      </c>
      <c r="DL32" s="502">
        <v>8</v>
      </c>
      <c r="DM32" s="502">
        <v>14</v>
      </c>
      <c r="DN32" s="502">
        <v>17</v>
      </c>
      <c r="DO32" s="503"/>
      <c r="DP32" s="500">
        <v>418</v>
      </c>
      <c r="DQ32" s="501">
        <v>216</v>
      </c>
      <c r="DR32" s="501">
        <v>171</v>
      </c>
      <c r="DS32" s="501">
        <v>171</v>
      </c>
      <c r="DT32" s="502">
        <v>206</v>
      </c>
      <c r="DU32" s="502">
        <v>118</v>
      </c>
      <c r="DV32" s="502">
        <v>58</v>
      </c>
      <c r="DW32" s="502">
        <v>76</v>
      </c>
      <c r="DX32" s="503"/>
      <c r="DY32" s="500">
        <v>859</v>
      </c>
      <c r="DZ32" s="501">
        <v>792</v>
      </c>
      <c r="EA32" s="501">
        <v>1013</v>
      </c>
      <c r="EB32" s="501">
        <v>986</v>
      </c>
      <c r="EC32" s="502">
        <v>1240</v>
      </c>
      <c r="ED32" s="502">
        <v>817</v>
      </c>
      <c r="EE32" s="502">
        <v>535</v>
      </c>
      <c r="EF32" s="502">
        <v>507</v>
      </c>
      <c r="EG32" s="503"/>
      <c r="EH32" s="500">
        <v>86</v>
      </c>
      <c r="EI32" s="501">
        <v>78</v>
      </c>
      <c r="EJ32" s="501">
        <v>69</v>
      </c>
      <c r="EK32" s="501">
        <v>64</v>
      </c>
      <c r="EL32" s="502">
        <v>49</v>
      </c>
      <c r="EM32" s="502">
        <v>33</v>
      </c>
      <c r="EN32" s="502">
        <v>24</v>
      </c>
      <c r="EO32" s="502">
        <v>29</v>
      </c>
      <c r="EP32" s="503"/>
      <c r="EQ32" s="500">
        <v>12</v>
      </c>
      <c r="ER32" s="501">
        <v>15</v>
      </c>
      <c r="ES32" s="501">
        <v>17</v>
      </c>
      <c r="ET32" s="501">
        <v>17</v>
      </c>
      <c r="EU32" s="502">
        <v>35</v>
      </c>
      <c r="EV32" s="502">
        <v>35</v>
      </c>
      <c r="EW32" s="502">
        <v>29</v>
      </c>
      <c r="EX32" s="502">
        <v>24</v>
      </c>
      <c r="EY32" s="503"/>
      <c r="EZ32" s="500">
        <v>28</v>
      </c>
      <c r="FA32" s="501">
        <v>27</v>
      </c>
      <c r="FB32" s="501">
        <v>30</v>
      </c>
      <c r="FC32" s="501">
        <v>24</v>
      </c>
      <c r="FD32" s="502">
        <v>15</v>
      </c>
      <c r="FE32" s="502">
        <v>3</v>
      </c>
      <c r="FF32" s="502">
        <v>7</v>
      </c>
      <c r="FG32" s="502">
        <v>9</v>
      </c>
      <c r="FH32" s="503"/>
      <c r="FI32" s="500">
        <v>411</v>
      </c>
      <c r="FJ32" s="501">
        <v>515</v>
      </c>
      <c r="FK32" s="501">
        <v>385</v>
      </c>
      <c r="FL32" s="501">
        <v>241</v>
      </c>
      <c r="FM32" s="502">
        <v>210</v>
      </c>
      <c r="FN32" s="502">
        <v>207</v>
      </c>
      <c r="FO32" s="502">
        <v>203</v>
      </c>
      <c r="FP32" s="502">
        <v>183</v>
      </c>
      <c r="FQ32" s="503"/>
      <c r="FR32" s="500">
        <v>35</v>
      </c>
      <c r="FS32" s="501">
        <v>60</v>
      </c>
      <c r="FT32" s="501">
        <v>18</v>
      </c>
      <c r="FU32" s="501">
        <v>24</v>
      </c>
      <c r="FV32" s="502">
        <v>19</v>
      </c>
      <c r="FW32" s="502">
        <v>21</v>
      </c>
      <c r="FX32" s="502">
        <v>9</v>
      </c>
      <c r="FY32" s="502">
        <v>29</v>
      </c>
      <c r="FZ32" s="503"/>
      <c r="GA32" s="500">
        <v>74</v>
      </c>
      <c r="GB32" s="501">
        <v>69</v>
      </c>
      <c r="GC32" s="501">
        <v>43</v>
      </c>
      <c r="GD32" s="501">
        <v>41</v>
      </c>
      <c r="GE32" s="502">
        <v>46</v>
      </c>
      <c r="GF32" s="502">
        <v>50</v>
      </c>
      <c r="GG32" s="502">
        <v>52</v>
      </c>
      <c r="GH32" s="502">
        <v>35</v>
      </c>
      <c r="GI32" s="503"/>
      <c r="GJ32" s="500">
        <v>7748</v>
      </c>
      <c r="GK32" s="501">
        <v>7699</v>
      </c>
      <c r="GL32" s="501">
        <v>7479</v>
      </c>
      <c r="GM32" s="501">
        <v>6947</v>
      </c>
      <c r="GN32" s="502">
        <v>6389</v>
      </c>
      <c r="GO32" s="502">
        <v>4439</v>
      </c>
      <c r="GP32" s="502">
        <v>3756</v>
      </c>
      <c r="GQ32" s="502">
        <v>3320</v>
      </c>
      <c r="GR32" s="503"/>
      <c r="GS32" s="500">
        <v>2625</v>
      </c>
      <c r="GT32" s="501">
        <v>2365</v>
      </c>
      <c r="GU32" s="501">
        <v>2070</v>
      </c>
      <c r="GV32" s="501">
        <v>1627</v>
      </c>
      <c r="GW32" s="502">
        <v>992</v>
      </c>
      <c r="GX32" s="502">
        <v>749</v>
      </c>
      <c r="GY32" s="502">
        <v>699</v>
      </c>
      <c r="GZ32" s="502">
        <v>728</v>
      </c>
      <c r="HA32" s="503"/>
      <c r="HB32" s="500">
        <v>16</v>
      </c>
      <c r="HC32" s="501">
        <v>15</v>
      </c>
      <c r="HD32" s="501">
        <v>20</v>
      </c>
      <c r="HE32" s="501">
        <v>13</v>
      </c>
      <c r="HF32" s="502">
        <v>14</v>
      </c>
      <c r="HG32" s="502">
        <v>12</v>
      </c>
      <c r="HH32" s="502">
        <v>9</v>
      </c>
      <c r="HI32" s="502">
        <v>20</v>
      </c>
      <c r="HJ32" s="503"/>
      <c r="HK32" s="500">
        <v>14</v>
      </c>
      <c r="HL32" s="501">
        <v>13</v>
      </c>
      <c r="HM32" s="501">
        <v>5</v>
      </c>
      <c r="HN32" s="501">
        <v>5</v>
      </c>
      <c r="HO32" s="502">
        <v>10</v>
      </c>
      <c r="HP32" s="502">
        <v>8</v>
      </c>
      <c r="HQ32" s="502">
        <v>3</v>
      </c>
      <c r="HR32" s="502">
        <v>10</v>
      </c>
      <c r="HS32" s="503"/>
      <c r="HT32" s="500">
        <v>3690</v>
      </c>
      <c r="HU32" s="501">
        <v>3255</v>
      </c>
      <c r="HV32" s="501">
        <v>2796</v>
      </c>
      <c r="HW32" s="501">
        <v>2346</v>
      </c>
      <c r="HX32" s="502">
        <v>1793</v>
      </c>
      <c r="HY32" s="502">
        <v>1433</v>
      </c>
      <c r="HZ32" s="502">
        <v>1403</v>
      </c>
      <c r="IA32" s="502">
        <v>1553</v>
      </c>
      <c r="IB32" s="503"/>
      <c r="IC32" s="500">
        <v>14731</v>
      </c>
      <c r="ID32" s="501">
        <v>15657</v>
      </c>
      <c r="IE32" s="501">
        <v>13975</v>
      </c>
      <c r="IF32" s="501">
        <v>11749</v>
      </c>
      <c r="IG32" s="502">
        <v>11302</v>
      </c>
      <c r="IH32" s="502">
        <v>8051</v>
      </c>
      <c r="II32" s="502">
        <v>7198</v>
      </c>
      <c r="IJ32" s="502">
        <v>6322</v>
      </c>
      <c r="IK32" s="503"/>
      <c r="IL32" s="500">
        <v>1890</v>
      </c>
      <c r="IM32" s="501">
        <v>1913</v>
      </c>
      <c r="IN32" s="501">
        <v>2309</v>
      </c>
      <c r="IO32" s="501">
        <v>1557</v>
      </c>
      <c r="IP32" s="502">
        <v>1047</v>
      </c>
      <c r="IQ32" s="502">
        <v>1249</v>
      </c>
      <c r="IR32" s="502">
        <v>946</v>
      </c>
      <c r="IS32" s="502">
        <v>768</v>
      </c>
      <c r="IT32" s="503"/>
      <c r="IU32" s="547">
        <v>3741.1303389391455</v>
      </c>
      <c r="IV32" s="548">
        <v>3999.6934513545621</v>
      </c>
      <c r="IW32" s="548">
        <v>3593.4040786100531</v>
      </c>
      <c r="IX32" s="548">
        <v>3115.2722316793142</v>
      </c>
      <c r="IY32" s="549">
        <v>3022.0544194404042</v>
      </c>
      <c r="IZ32" s="549">
        <v>2169.4376330468058</v>
      </c>
      <c r="JA32" s="549">
        <v>1955.2609776304887</v>
      </c>
      <c r="JB32" s="549">
        <v>1728.616505252566</v>
      </c>
      <c r="JC32" s="550"/>
      <c r="JD32" s="551">
        <v>937.12381716688935</v>
      </c>
      <c r="JE32" s="552">
        <v>831.51320075104411</v>
      </c>
      <c r="JF32" s="552">
        <v>718.93794660420099</v>
      </c>
      <c r="JG32" s="552">
        <v>622.04686828833701</v>
      </c>
      <c r="JH32" s="552">
        <v>479.43227517754769</v>
      </c>
      <c r="JI32" s="553">
        <v>386.13888065533126</v>
      </c>
      <c r="JJ32" s="553">
        <v>381.11019055509524</v>
      </c>
      <c r="JK32" s="553">
        <v>424.63483591541211</v>
      </c>
      <c r="JL32" s="550"/>
      <c r="JM32" s="551">
        <v>1967.7060529563844</v>
      </c>
      <c r="JN32" s="552">
        <v>1966.7650176904115</v>
      </c>
      <c r="JO32" s="552">
        <v>1923.0818679015806</v>
      </c>
      <c r="JP32" s="552">
        <v>1842.0117621479444</v>
      </c>
      <c r="JQ32" s="552">
        <v>1708.3618550526228</v>
      </c>
      <c r="JR32" s="553">
        <v>1196.1413058122928</v>
      </c>
      <c r="JS32" s="553">
        <v>1020.2778871881239</v>
      </c>
      <c r="JT32" s="553">
        <v>907.78342256224596</v>
      </c>
      <c r="JU32" s="550"/>
      <c r="JV32" s="551">
        <v>666.65312196831565</v>
      </c>
      <c r="JW32" s="552">
        <v>604.15628871773254</v>
      </c>
      <c r="JX32" s="552">
        <v>532.26092613401147</v>
      </c>
      <c r="JY32" s="552">
        <v>431.40249561173249</v>
      </c>
      <c r="JZ32" s="552">
        <v>265.25198938992042</v>
      </c>
      <c r="KA32" s="553">
        <v>201.82695157769933</v>
      </c>
      <c r="KB32" s="553">
        <v>189.87599657734256</v>
      </c>
      <c r="KC32" s="553">
        <v>199.05612398352866</v>
      </c>
      <c r="KD32" s="550"/>
    </row>
    <row r="33" spans="1:290" ht="15" customHeight="1" x14ac:dyDescent="0.2">
      <c r="A33" s="929" t="s">
        <v>543</v>
      </c>
      <c r="B33" s="504" t="s">
        <v>657</v>
      </c>
      <c r="C33" s="486">
        <v>10</v>
      </c>
      <c r="D33" s="487">
        <v>4</v>
      </c>
      <c r="E33" s="487">
        <v>4</v>
      </c>
      <c r="F33" s="487">
        <v>8</v>
      </c>
      <c r="G33" s="488">
        <v>4</v>
      </c>
      <c r="H33" s="488">
        <v>3</v>
      </c>
      <c r="I33" s="488">
        <v>6</v>
      </c>
      <c r="J33" s="488">
        <v>3</v>
      </c>
      <c r="K33" s="489"/>
      <c r="L33" s="486">
        <v>6</v>
      </c>
      <c r="M33" s="487"/>
      <c r="N33" s="487">
        <v>2</v>
      </c>
      <c r="O33" s="487">
        <v>6</v>
      </c>
      <c r="P33" s="488">
        <v>2</v>
      </c>
      <c r="Q33" s="488">
        <v>2</v>
      </c>
      <c r="R33" s="488">
        <v>2</v>
      </c>
      <c r="S33" s="488">
        <v>2</v>
      </c>
      <c r="T33" s="489"/>
      <c r="U33" s="486">
        <v>3</v>
      </c>
      <c r="V33" s="487">
        <v>3</v>
      </c>
      <c r="W33" s="487">
        <v>1</v>
      </c>
      <c r="X33" s="487">
        <v>2</v>
      </c>
      <c r="Y33" s="488">
        <v>2</v>
      </c>
      <c r="Z33" s="488">
        <v>1</v>
      </c>
      <c r="AA33" s="488">
        <v>2</v>
      </c>
      <c r="AB33" s="488">
        <v>1</v>
      </c>
      <c r="AC33" s="489"/>
      <c r="AD33" s="486">
        <v>224</v>
      </c>
      <c r="AE33" s="487">
        <v>241</v>
      </c>
      <c r="AF33" s="487">
        <v>212</v>
      </c>
      <c r="AG33" s="487">
        <v>226</v>
      </c>
      <c r="AH33" s="488">
        <v>243</v>
      </c>
      <c r="AI33" s="488">
        <v>193</v>
      </c>
      <c r="AJ33" s="488">
        <v>252</v>
      </c>
      <c r="AK33" s="488">
        <v>200</v>
      </c>
      <c r="AL33" s="489"/>
      <c r="AM33" s="486">
        <v>104</v>
      </c>
      <c r="AN33" s="487">
        <v>121</v>
      </c>
      <c r="AO33" s="487">
        <v>102</v>
      </c>
      <c r="AP33" s="487">
        <v>87</v>
      </c>
      <c r="AQ33" s="488">
        <v>115</v>
      </c>
      <c r="AR33" s="488">
        <v>81</v>
      </c>
      <c r="AS33" s="488">
        <v>104</v>
      </c>
      <c r="AT33" s="488">
        <v>73</v>
      </c>
      <c r="AU33" s="489"/>
      <c r="AV33" s="486"/>
      <c r="AW33" s="487"/>
      <c r="AX33" s="487"/>
      <c r="AY33" s="487"/>
      <c r="AZ33" s="488"/>
      <c r="BA33" s="488">
        <v>1</v>
      </c>
      <c r="BB33" s="488"/>
      <c r="BC33" s="488"/>
      <c r="BD33" s="489"/>
      <c r="BE33" s="486">
        <v>28</v>
      </c>
      <c r="BF33" s="487">
        <v>22</v>
      </c>
      <c r="BG33" s="487">
        <v>14</v>
      </c>
      <c r="BH33" s="487">
        <v>31</v>
      </c>
      <c r="BI33" s="488">
        <v>31</v>
      </c>
      <c r="BJ33" s="488">
        <v>22</v>
      </c>
      <c r="BK33" s="488">
        <v>21</v>
      </c>
      <c r="BL33" s="488">
        <v>20</v>
      </c>
      <c r="BM33" s="489"/>
      <c r="BN33" s="486"/>
      <c r="BO33" s="487">
        <v>3</v>
      </c>
      <c r="BP33" s="487">
        <v>1</v>
      </c>
      <c r="BQ33" s="487">
        <v>1</v>
      </c>
      <c r="BR33" s="488">
        <v>2</v>
      </c>
      <c r="BS33" s="488">
        <v>37</v>
      </c>
      <c r="BT33" s="488">
        <v>41</v>
      </c>
      <c r="BU33" s="488">
        <v>2</v>
      </c>
      <c r="BV33" s="489"/>
      <c r="BW33" s="486">
        <v>158</v>
      </c>
      <c r="BX33" s="487">
        <v>155</v>
      </c>
      <c r="BY33" s="487">
        <v>153</v>
      </c>
      <c r="BZ33" s="487">
        <v>205</v>
      </c>
      <c r="CA33" s="488">
        <v>249</v>
      </c>
      <c r="CB33" s="488">
        <v>213</v>
      </c>
      <c r="CC33" s="488">
        <v>250</v>
      </c>
      <c r="CD33" s="488">
        <v>196</v>
      </c>
      <c r="CE33" s="489"/>
      <c r="CF33" s="486">
        <v>17</v>
      </c>
      <c r="CG33" s="487">
        <v>15</v>
      </c>
      <c r="CH33" s="487">
        <v>10</v>
      </c>
      <c r="CI33" s="487">
        <v>6</v>
      </c>
      <c r="CJ33" s="488">
        <v>12</v>
      </c>
      <c r="CK33" s="488">
        <v>7</v>
      </c>
      <c r="CL33" s="488">
        <v>16</v>
      </c>
      <c r="CM33" s="488">
        <v>13</v>
      </c>
      <c r="CN33" s="489"/>
      <c r="CO33" s="486">
        <v>10</v>
      </c>
      <c r="CP33" s="487">
        <v>10</v>
      </c>
      <c r="CQ33" s="487">
        <v>7</v>
      </c>
      <c r="CR33" s="487">
        <v>5</v>
      </c>
      <c r="CS33" s="488">
        <v>4</v>
      </c>
      <c r="CT33" s="488">
        <v>5</v>
      </c>
      <c r="CU33" s="488">
        <v>6</v>
      </c>
      <c r="CV33" s="488">
        <v>3</v>
      </c>
      <c r="CW33" s="489"/>
      <c r="CX33" s="486">
        <v>3609</v>
      </c>
      <c r="CY33" s="487">
        <v>3022</v>
      </c>
      <c r="CZ33" s="487">
        <v>4301</v>
      </c>
      <c r="DA33" s="487">
        <v>3555</v>
      </c>
      <c r="DB33" s="488">
        <v>2803</v>
      </c>
      <c r="DC33" s="488">
        <v>2975</v>
      </c>
      <c r="DD33" s="488">
        <v>2441</v>
      </c>
      <c r="DE33" s="488">
        <v>1851</v>
      </c>
      <c r="DF33" s="489"/>
      <c r="DG33" s="486">
        <v>74</v>
      </c>
      <c r="DH33" s="487">
        <v>52</v>
      </c>
      <c r="DI33" s="487">
        <v>70</v>
      </c>
      <c r="DJ33" s="487">
        <v>84</v>
      </c>
      <c r="DK33" s="488">
        <v>29</v>
      </c>
      <c r="DL33" s="488">
        <v>26</v>
      </c>
      <c r="DM33" s="488">
        <v>17</v>
      </c>
      <c r="DN33" s="488">
        <v>9</v>
      </c>
      <c r="DO33" s="489"/>
      <c r="DP33" s="486">
        <v>343</v>
      </c>
      <c r="DQ33" s="487">
        <v>318</v>
      </c>
      <c r="DR33" s="487">
        <v>780</v>
      </c>
      <c r="DS33" s="487">
        <v>640</v>
      </c>
      <c r="DT33" s="488">
        <v>174</v>
      </c>
      <c r="DU33" s="488">
        <v>367</v>
      </c>
      <c r="DV33" s="488">
        <v>239</v>
      </c>
      <c r="DW33" s="488">
        <v>154</v>
      </c>
      <c r="DX33" s="489"/>
      <c r="DY33" s="486">
        <v>521</v>
      </c>
      <c r="DZ33" s="487">
        <v>339</v>
      </c>
      <c r="EA33" s="487">
        <v>448</v>
      </c>
      <c r="EB33" s="487">
        <v>442</v>
      </c>
      <c r="EC33" s="488">
        <v>521</v>
      </c>
      <c r="ED33" s="488">
        <v>642</v>
      </c>
      <c r="EE33" s="488">
        <v>526</v>
      </c>
      <c r="EF33" s="488">
        <v>355</v>
      </c>
      <c r="EG33" s="489"/>
      <c r="EH33" s="486">
        <v>43</v>
      </c>
      <c r="EI33" s="487">
        <v>27</v>
      </c>
      <c r="EJ33" s="487">
        <v>37</v>
      </c>
      <c r="EK33" s="487">
        <v>29</v>
      </c>
      <c r="EL33" s="488">
        <v>36</v>
      </c>
      <c r="EM33" s="488">
        <v>21</v>
      </c>
      <c r="EN33" s="488">
        <v>38</v>
      </c>
      <c r="EO33" s="488">
        <v>15</v>
      </c>
      <c r="EP33" s="489"/>
      <c r="EQ33" s="486">
        <v>20</v>
      </c>
      <c r="ER33" s="487">
        <v>5</v>
      </c>
      <c r="ES33" s="487">
        <v>10</v>
      </c>
      <c r="ET33" s="487">
        <v>15</v>
      </c>
      <c r="EU33" s="488">
        <v>14</v>
      </c>
      <c r="EV33" s="488">
        <v>4</v>
      </c>
      <c r="EW33" s="488">
        <v>14</v>
      </c>
      <c r="EX33" s="488">
        <v>20</v>
      </c>
      <c r="EY33" s="489"/>
      <c r="EZ33" s="486">
        <v>3</v>
      </c>
      <c r="FA33" s="487">
        <v>7</v>
      </c>
      <c r="FB33" s="487">
        <v>17</v>
      </c>
      <c r="FC33" s="487">
        <v>7</v>
      </c>
      <c r="FD33" s="488">
        <v>5</v>
      </c>
      <c r="FE33" s="488">
        <v>9</v>
      </c>
      <c r="FF33" s="488">
        <v>4</v>
      </c>
      <c r="FG33" s="488">
        <v>2</v>
      </c>
      <c r="FH33" s="489"/>
      <c r="FI33" s="486">
        <v>246</v>
      </c>
      <c r="FJ33" s="487">
        <v>197</v>
      </c>
      <c r="FK33" s="487">
        <v>170</v>
      </c>
      <c r="FL33" s="487">
        <v>115</v>
      </c>
      <c r="FM33" s="488">
        <v>134</v>
      </c>
      <c r="FN33" s="488">
        <v>98</v>
      </c>
      <c r="FO33" s="488">
        <v>105</v>
      </c>
      <c r="FP33" s="488">
        <v>90</v>
      </c>
      <c r="FQ33" s="489"/>
      <c r="FR33" s="486">
        <v>20</v>
      </c>
      <c r="FS33" s="487">
        <v>26</v>
      </c>
      <c r="FT33" s="487">
        <v>25</v>
      </c>
      <c r="FU33" s="487">
        <v>15</v>
      </c>
      <c r="FV33" s="488">
        <v>18</v>
      </c>
      <c r="FW33" s="488">
        <v>30</v>
      </c>
      <c r="FX33" s="488">
        <v>12</v>
      </c>
      <c r="FY33" s="488">
        <v>13</v>
      </c>
      <c r="FZ33" s="489"/>
      <c r="GA33" s="486">
        <v>15</v>
      </c>
      <c r="GB33" s="487">
        <v>21</v>
      </c>
      <c r="GC33" s="487">
        <v>19</v>
      </c>
      <c r="GD33" s="487">
        <v>13</v>
      </c>
      <c r="GE33" s="488">
        <v>15</v>
      </c>
      <c r="GF33" s="488">
        <v>15</v>
      </c>
      <c r="GG33" s="488">
        <v>20</v>
      </c>
      <c r="GH33" s="488">
        <v>16</v>
      </c>
      <c r="GI33" s="489"/>
      <c r="GJ33" s="486">
        <v>4403</v>
      </c>
      <c r="GK33" s="487">
        <v>3755</v>
      </c>
      <c r="GL33" s="487">
        <v>4980</v>
      </c>
      <c r="GM33" s="487">
        <v>4231</v>
      </c>
      <c r="GN33" s="488">
        <v>3570</v>
      </c>
      <c r="GO33" s="488">
        <v>3632</v>
      </c>
      <c r="GP33" s="488">
        <v>3226</v>
      </c>
      <c r="GQ33" s="488">
        <v>2444</v>
      </c>
      <c r="GR33" s="489"/>
      <c r="GS33" s="486">
        <v>1522</v>
      </c>
      <c r="GT33" s="487">
        <v>1264</v>
      </c>
      <c r="GU33" s="487">
        <v>2018</v>
      </c>
      <c r="GV33" s="487">
        <v>1682</v>
      </c>
      <c r="GW33" s="488">
        <v>914</v>
      </c>
      <c r="GX33" s="488">
        <v>1032</v>
      </c>
      <c r="GY33" s="488">
        <v>945</v>
      </c>
      <c r="GZ33" s="488">
        <v>634</v>
      </c>
      <c r="HA33" s="489"/>
      <c r="HB33" s="486">
        <v>16</v>
      </c>
      <c r="HC33" s="487">
        <v>16</v>
      </c>
      <c r="HD33" s="487">
        <v>14</v>
      </c>
      <c r="HE33" s="487">
        <v>12</v>
      </c>
      <c r="HF33" s="488">
        <v>14</v>
      </c>
      <c r="HG33" s="488">
        <v>8</v>
      </c>
      <c r="HH33" s="488">
        <v>26</v>
      </c>
      <c r="HI33" s="488">
        <v>9</v>
      </c>
      <c r="HJ33" s="489"/>
      <c r="HK33" s="486">
        <v>13</v>
      </c>
      <c r="HL33" s="487">
        <v>14</v>
      </c>
      <c r="HM33" s="487">
        <v>20</v>
      </c>
      <c r="HN33" s="487">
        <v>16</v>
      </c>
      <c r="HO33" s="488">
        <v>17</v>
      </c>
      <c r="HP33" s="488">
        <v>7</v>
      </c>
      <c r="HQ33" s="488">
        <v>9</v>
      </c>
      <c r="HR33" s="488">
        <v>9</v>
      </c>
      <c r="HS33" s="489"/>
      <c r="HT33" s="486">
        <v>1923</v>
      </c>
      <c r="HU33" s="487">
        <v>1592</v>
      </c>
      <c r="HV33" s="487">
        <v>2393</v>
      </c>
      <c r="HW33" s="487">
        <v>2111</v>
      </c>
      <c r="HX33" s="488">
        <v>1457</v>
      </c>
      <c r="HY33" s="488">
        <v>1633</v>
      </c>
      <c r="HZ33" s="488">
        <v>1645</v>
      </c>
      <c r="IA33" s="488">
        <v>1234</v>
      </c>
      <c r="IB33" s="489"/>
      <c r="IC33" s="486">
        <v>6984</v>
      </c>
      <c r="ID33" s="487">
        <v>7093</v>
      </c>
      <c r="IE33" s="487">
        <v>11284</v>
      </c>
      <c r="IF33" s="487">
        <v>6348</v>
      </c>
      <c r="IG33" s="488">
        <v>5390</v>
      </c>
      <c r="IH33" s="488">
        <v>5819</v>
      </c>
      <c r="II33" s="488">
        <v>5059</v>
      </c>
      <c r="IJ33" s="488">
        <v>4241</v>
      </c>
      <c r="IK33" s="489"/>
      <c r="IL33" s="486">
        <v>967</v>
      </c>
      <c r="IM33" s="487">
        <v>745</v>
      </c>
      <c r="IN33" s="487">
        <v>909</v>
      </c>
      <c r="IO33" s="487">
        <v>499</v>
      </c>
      <c r="IP33" s="488">
        <v>404</v>
      </c>
      <c r="IQ33" s="488">
        <v>796</v>
      </c>
      <c r="IR33" s="488">
        <v>681</v>
      </c>
      <c r="IS33" s="488">
        <v>475</v>
      </c>
      <c r="IT33" s="489"/>
      <c r="IU33" s="526">
        <v>4166.1447055244371</v>
      </c>
      <c r="IV33" s="527">
        <v>4211.6201050975269</v>
      </c>
      <c r="IW33" s="527">
        <v>6666.19405453944</v>
      </c>
      <c r="IX33" s="527">
        <v>3798.0590888966008</v>
      </c>
      <c r="IY33" s="528">
        <v>3225.4203817844532</v>
      </c>
      <c r="IZ33" s="528">
        <v>3380.6941193095372</v>
      </c>
      <c r="JA33" s="528">
        <v>2803.0030196415214</v>
      </c>
      <c r="JB33" s="528">
        <v>2360.2152632076891</v>
      </c>
      <c r="JC33" s="529"/>
      <c r="JD33" s="530">
        <v>1147.1214588664795</v>
      </c>
      <c r="JE33" s="531">
        <v>945.28397114271297</v>
      </c>
      <c r="JF33" s="531">
        <v>1413.701025568316</v>
      </c>
      <c r="JG33" s="531">
        <v>1263.0281563737749</v>
      </c>
      <c r="JH33" s="531">
        <v>871.88079707976783</v>
      </c>
      <c r="JI33" s="532">
        <v>945.03024197258082</v>
      </c>
      <c r="JJ33" s="532">
        <v>911.43308308169662</v>
      </c>
      <c r="JK33" s="532">
        <v>686.74973704274657</v>
      </c>
      <c r="JL33" s="529"/>
      <c r="JM33" s="530">
        <v>2626.5084677010445</v>
      </c>
      <c r="JN33" s="531">
        <v>2229.6113766588487</v>
      </c>
      <c r="JO33" s="531">
        <v>2942.0104919892246</v>
      </c>
      <c r="JP33" s="531">
        <v>2531.4410846127153</v>
      </c>
      <c r="JQ33" s="531">
        <v>2136.3173957273652</v>
      </c>
      <c r="JR33" s="532">
        <v>2107.4395655592743</v>
      </c>
      <c r="JS33" s="532">
        <v>1787.4061556362026</v>
      </c>
      <c r="JT33" s="532">
        <v>1360.1429151802856</v>
      </c>
      <c r="JU33" s="529"/>
      <c r="JV33" s="530">
        <v>907.91412397024533</v>
      </c>
      <c r="JW33" s="531">
        <v>750.52697206305845</v>
      </c>
      <c r="JX33" s="531">
        <v>1192.1640909305731</v>
      </c>
      <c r="JY33" s="531">
        <v>1006.3540308008951</v>
      </c>
      <c r="JZ33" s="531">
        <v>546.94512596493325</v>
      </c>
      <c r="KA33" s="532">
        <v>593.77510087968517</v>
      </c>
      <c r="KB33" s="532">
        <v>523.58921794054913</v>
      </c>
      <c r="KC33" s="532">
        <v>352.83576441256184</v>
      </c>
      <c r="KD33" s="529"/>
    </row>
    <row r="34" spans="1:290" ht="15" customHeight="1" x14ac:dyDescent="0.2">
      <c r="A34" s="930"/>
      <c r="B34" s="359" t="s">
        <v>658</v>
      </c>
      <c r="C34" s="491">
        <v>1</v>
      </c>
      <c r="D34" s="492">
        <v>2</v>
      </c>
      <c r="E34" s="492">
        <v>4</v>
      </c>
      <c r="F34" s="492"/>
      <c r="G34" s="493">
        <v>2</v>
      </c>
      <c r="H34" s="493">
        <v>2</v>
      </c>
      <c r="I34" s="493">
        <v>2</v>
      </c>
      <c r="J34" s="493">
        <v>1</v>
      </c>
      <c r="K34" s="199"/>
      <c r="L34" s="491"/>
      <c r="M34" s="492"/>
      <c r="N34" s="492">
        <v>2</v>
      </c>
      <c r="O34" s="492"/>
      <c r="P34" s="493">
        <v>1</v>
      </c>
      <c r="Q34" s="493">
        <v>1</v>
      </c>
      <c r="R34" s="493">
        <v>2</v>
      </c>
      <c r="S34" s="493">
        <v>1</v>
      </c>
      <c r="T34" s="199"/>
      <c r="U34" s="491">
        <v>1</v>
      </c>
      <c r="V34" s="492">
        <v>2</v>
      </c>
      <c r="W34" s="492">
        <v>2</v>
      </c>
      <c r="X34" s="492"/>
      <c r="Y34" s="493">
        <v>1</v>
      </c>
      <c r="Z34" s="493">
        <v>1</v>
      </c>
      <c r="AA34" s="493"/>
      <c r="AB34" s="493"/>
      <c r="AC34" s="199"/>
      <c r="AD34" s="491">
        <v>80</v>
      </c>
      <c r="AE34" s="492">
        <v>72</v>
      </c>
      <c r="AF34" s="492">
        <v>70</v>
      </c>
      <c r="AG34" s="492">
        <v>76</v>
      </c>
      <c r="AH34" s="493">
        <v>69</v>
      </c>
      <c r="AI34" s="493">
        <v>81</v>
      </c>
      <c r="AJ34" s="493">
        <v>51</v>
      </c>
      <c r="AK34" s="493">
        <v>50</v>
      </c>
      <c r="AL34" s="199"/>
      <c r="AM34" s="491">
        <v>58</v>
      </c>
      <c r="AN34" s="492">
        <v>45</v>
      </c>
      <c r="AO34" s="492">
        <v>47</v>
      </c>
      <c r="AP34" s="492">
        <v>44</v>
      </c>
      <c r="AQ34" s="493">
        <v>33</v>
      </c>
      <c r="AR34" s="493">
        <v>37</v>
      </c>
      <c r="AS34" s="493">
        <v>22</v>
      </c>
      <c r="AT34" s="493">
        <v>22</v>
      </c>
      <c r="AU34" s="199"/>
      <c r="AV34" s="491"/>
      <c r="AW34" s="492"/>
      <c r="AX34" s="492"/>
      <c r="AY34" s="492"/>
      <c r="AZ34" s="493"/>
      <c r="BA34" s="493"/>
      <c r="BB34" s="493"/>
      <c r="BC34" s="493"/>
      <c r="BD34" s="199"/>
      <c r="BE34" s="491">
        <v>13</v>
      </c>
      <c r="BF34" s="492">
        <v>12</v>
      </c>
      <c r="BG34" s="492">
        <v>24</v>
      </c>
      <c r="BH34" s="492">
        <v>18</v>
      </c>
      <c r="BI34" s="493">
        <v>7</v>
      </c>
      <c r="BJ34" s="493">
        <v>20</v>
      </c>
      <c r="BK34" s="493">
        <v>9</v>
      </c>
      <c r="BL34" s="493">
        <v>11</v>
      </c>
      <c r="BM34" s="199"/>
      <c r="BN34" s="491">
        <v>13</v>
      </c>
      <c r="BO34" s="492">
        <v>23</v>
      </c>
      <c r="BP34" s="492">
        <v>14</v>
      </c>
      <c r="BQ34" s="492">
        <v>22</v>
      </c>
      <c r="BR34" s="493">
        <v>28</v>
      </c>
      <c r="BS34" s="493">
        <v>20</v>
      </c>
      <c r="BT34" s="493">
        <v>24</v>
      </c>
      <c r="BU34" s="493">
        <v>14</v>
      </c>
      <c r="BV34" s="199"/>
      <c r="BW34" s="491">
        <v>43</v>
      </c>
      <c r="BX34" s="492">
        <v>65</v>
      </c>
      <c r="BY34" s="492">
        <v>77</v>
      </c>
      <c r="BZ34" s="492">
        <v>88</v>
      </c>
      <c r="CA34" s="493">
        <v>72</v>
      </c>
      <c r="CB34" s="493">
        <v>65</v>
      </c>
      <c r="CC34" s="493">
        <v>44</v>
      </c>
      <c r="CD34" s="493">
        <v>35</v>
      </c>
      <c r="CE34" s="199"/>
      <c r="CF34" s="491">
        <v>7</v>
      </c>
      <c r="CG34" s="492">
        <v>5</v>
      </c>
      <c r="CH34" s="492">
        <v>3</v>
      </c>
      <c r="CI34" s="492">
        <v>6</v>
      </c>
      <c r="CJ34" s="493">
        <v>5</v>
      </c>
      <c r="CK34" s="493">
        <v>5</v>
      </c>
      <c r="CL34" s="493">
        <v>2</v>
      </c>
      <c r="CM34" s="493">
        <v>3</v>
      </c>
      <c r="CN34" s="199"/>
      <c r="CO34" s="491">
        <v>1</v>
      </c>
      <c r="CP34" s="492">
        <v>5</v>
      </c>
      <c r="CQ34" s="492">
        <v>6</v>
      </c>
      <c r="CR34" s="492">
        <v>4</v>
      </c>
      <c r="CS34" s="493">
        <v>9</v>
      </c>
      <c r="CT34" s="493">
        <v>7</v>
      </c>
      <c r="CU34" s="493">
        <v>5</v>
      </c>
      <c r="CV34" s="493">
        <v>5</v>
      </c>
      <c r="CW34" s="199"/>
      <c r="CX34" s="491">
        <v>861</v>
      </c>
      <c r="CY34" s="492">
        <v>881</v>
      </c>
      <c r="CZ34" s="492">
        <v>1041</v>
      </c>
      <c r="DA34" s="492">
        <v>783</v>
      </c>
      <c r="DB34" s="493">
        <v>730</v>
      </c>
      <c r="DC34" s="493">
        <v>512</v>
      </c>
      <c r="DD34" s="493">
        <v>449</v>
      </c>
      <c r="DE34" s="493">
        <v>411</v>
      </c>
      <c r="DF34" s="199"/>
      <c r="DG34" s="491">
        <v>4</v>
      </c>
      <c r="DH34" s="492">
        <v>9</v>
      </c>
      <c r="DI34" s="492">
        <v>7</v>
      </c>
      <c r="DJ34" s="492">
        <v>6</v>
      </c>
      <c r="DK34" s="493">
        <v>6</v>
      </c>
      <c r="DL34" s="493">
        <v>2</v>
      </c>
      <c r="DM34" s="493"/>
      <c r="DN34" s="493"/>
      <c r="DO34" s="199"/>
      <c r="DP34" s="491">
        <v>44</v>
      </c>
      <c r="DQ34" s="492">
        <v>23</v>
      </c>
      <c r="DR34" s="492">
        <v>22</v>
      </c>
      <c r="DS34" s="492">
        <v>28</v>
      </c>
      <c r="DT34" s="493">
        <v>2</v>
      </c>
      <c r="DU34" s="493">
        <v>1</v>
      </c>
      <c r="DV34" s="493">
        <v>11</v>
      </c>
      <c r="DW34" s="493">
        <v>3</v>
      </c>
      <c r="DX34" s="199"/>
      <c r="DY34" s="491">
        <v>96</v>
      </c>
      <c r="DZ34" s="492">
        <v>80</v>
      </c>
      <c r="EA34" s="492">
        <v>85</v>
      </c>
      <c r="EB34" s="492">
        <v>105</v>
      </c>
      <c r="EC34" s="493">
        <v>101</v>
      </c>
      <c r="ED34" s="493">
        <v>99</v>
      </c>
      <c r="EE34" s="493">
        <v>80</v>
      </c>
      <c r="EF34" s="493">
        <v>52</v>
      </c>
      <c r="EG34" s="199"/>
      <c r="EH34" s="491">
        <v>10</v>
      </c>
      <c r="EI34" s="492">
        <v>10</v>
      </c>
      <c r="EJ34" s="492">
        <v>13</v>
      </c>
      <c r="EK34" s="492">
        <v>5</v>
      </c>
      <c r="EL34" s="493">
        <v>7</v>
      </c>
      <c r="EM34" s="493">
        <v>2</v>
      </c>
      <c r="EN34" s="493">
        <v>6</v>
      </c>
      <c r="EO34" s="493">
        <v>5</v>
      </c>
      <c r="EP34" s="199"/>
      <c r="EQ34" s="491">
        <v>1</v>
      </c>
      <c r="ER34" s="492">
        <v>2</v>
      </c>
      <c r="ES34" s="492">
        <v>5</v>
      </c>
      <c r="ET34" s="492">
        <v>1</v>
      </c>
      <c r="EU34" s="493"/>
      <c r="EV34" s="493">
        <v>2</v>
      </c>
      <c r="EW34" s="493">
        <v>5</v>
      </c>
      <c r="EX34" s="493">
        <v>3</v>
      </c>
      <c r="EY34" s="199"/>
      <c r="EZ34" s="491"/>
      <c r="FA34" s="492">
        <v>1</v>
      </c>
      <c r="FB34" s="492">
        <v>3</v>
      </c>
      <c r="FC34" s="492">
        <v>1</v>
      </c>
      <c r="FD34" s="493">
        <v>6</v>
      </c>
      <c r="FE34" s="493">
        <v>6</v>
      </c>
      <c r="FF34" s="493"/>
      <c r="FG34" s="493">
        <v>3</v>
      </c>
      <c r="FH34" s="199"/>
      <c r="FI34" s="491">
        <v>93</v>
      </c>
      <c r="FJ34" s="492">
        <v>81</v>
      </c>
      <c r="FK34" s="492">
        <v>57</v>
      </c>
      <c r="FL34" s="492">
        <v>41</v>
      </c>
      <c r="FM34" s="493">
        <v>39</v>
      </c>
      <c r="FN34" s="493">
        <v>24</v>
      </c>
      <c r="FO34" s="493">
        <v>18</v>
      </c>
      <c r="FP34" s="493">
        <v>27</v>
      </c>
      <c r="FQ34" s="199"/>
      <c r="FR34" s="491">
        <v>12</v>
      </c>
      <c r="FS34" s="492">
        <v>8</v>
      </c>
      <c r="FT34" s="492">
        <v>4</v>
      </c>
      <c r="FU34" s="492">
        <v>8</v>
      </c>
      <c r="FV34" s="493">
        <v>7</v>
      </c>
      <c r="FW34" s="493">
        <v>3</v>
      </c>
      <c r="FX34" s="493">
        <v>3</v>
      </c>
      <c r="FY34" s="493">
        <v>2</v>
      </c>
      <c r="FZ34" s="199"/>
      <c r="GA34" s="491">
        <v>3</v>
      </c>
      <c r="GB34" s="492">
        <v>10</v>
      </c>
      <c r="GC34" s="492">
        <v>5</v>
      </c>
      <c r="GD34" s="492">
        <v>11</v>
      </c>
      <c r="GE34" s="493">
        <v>5</v>
      </c>
      <c r="GF34" s="493">
        <v>6</v>
      </c>
      <c r="GG34" s="493">
        <v>8</v>
      </c>
      <c r="GH34" s="493">
        <v>10</v>
      </c>
      <c r="GI34" s="199"/>
      <c r="GJ34" s="491">
        <v>1138</v>
      </c>
      <c r="GK34" s="492">
        <v>1177</v>
      </c>
      <c r="GL34" s="492">
        <v>1326</v>
      </c>
      <c r="GM34" s="492">
        <v>1064</v>
      </c>
      <c r="GN34" s="493">
        <v>986</v>
      </c>
      <c r="GO34" s="493">
        <v>755</v>
      </c>
      <c r="GP34" s="493">
        <v>626</v>
      </c>
      <c r="GQ34" s="493">
        <v>580</v>
      </c>
      <c r="GR34" s="199"/>
      <c r="GS34" s="491">
        <v>296</v>
      </c>
      <c r="GT34" s="492">
        <v>349</v>
      </c>
      <c r="GU34" s="492">
        <v>468</v>
      </c>
      <c r="GV34" s="492">
        <v>303</v>
      </c>
      <c r="GW34" s="493">
        <v>166</v>
      </c>
      <c r="GX34" s="493">
        <v>155</v>
      </c>
      <c r="GY34" s="493">
        <v>129</v>
      </c>
      <c r="GZ34" s="493">
        <v>117</v>
      </c>
      <c r="HA34" s="199"/>
      <c r="HB34" s="491">
        <v>1</v>
      </c>
      <c r="HC34" s="492">
        <v>4</v>
      </c>
      <c r="HD34" s="492">
        <v>4</v>
      </c>
      <c r="HE34" s="492">
        <v>7</v>
      </c>
      <c r="HF34" s="493">
        <v>8</v>
      </c>
      <c r="HG34" s="493"/>
      <c r="HH34" s="493">
        <v>9</v>
      </c>
      <c r="HI34" s="493">
        <v>2</v>
      </c>
      <c r="HJ34" s="199"/>
      <c r="HK34" s="491">
        <v>3</v>
      </c>
      <c r="HL34" s="492">
        <v>5</v>
      </c>
      <c r="HM34" s="492">
        <v>3</v>
      </c>
      <c r="HN34" s="492">
        <v>2</v>
      </c>
      <c r="HO34" s="493">
        <v>3</v>
      </c>
      <c r="HP34" s="493"/>
      <c r="HQ34" s="493">
        <v>2</v>
      </c>
      <c r="HR34" s="493">
        <v>1</v>
      </c>
      <c r="HS34" s="199"/>
      <c r="HT34" s="491">
        <v>472</v>
      </c>
      <c r="HU34" s="492">
        <v>481</v>
      </c>
      <c r="HV34" s="492">
        <v>633</v>
      </c>
      <c r="HW34" s="492">
        <v>579</v>
      </c>
      <c r="HX34" s="493">
        <v>553</v>
      </c>
      <c r="HY34" s="493">
        <v>562</v>
      </c>
      <c r="HZ34" s="493">
        <v>493</v>
      </c>
      <c r="IA34" s="493">
        <v>450</v>
      </c>
      <c r="IB34" s="199"/>
      <c r="IC34" s="491">
        <v>2086</v>
      </c>
      <c r="ID34" s="492">
        <v>2426</v>
      </c>
      <c r="IE34" s="492">
        <v>2588</v>
      </c>
      <c r="IF34" s="492">
        <v>1899</v>
      </c>
      <c r="IG34" s="493">
        <v>2114</v>
      </c>
      <c r="IH34" s="493">
        <v>1791</v>
      </c>
      <c r="II34" s="493">
        <v>2302</v>
      </c>
      <c r="IJ34" s="493">
        <v>1603</v>
      </c>
      <c r="IK34" s="199"/>
      <c r="IL34" s="491">
        <v>218</v>
      </c>
      <c r="IM34" s="492">
        <v>179</v>
      </c>
      <c r="IN34" s="492">
        <v>155</v>
      </c>
      <c r="IO34" s="492">
        <v>112</v>
      </c>
      <c r="IP34" s="493">
        <v>100</v>
      </c>
      <c r="IQ34" s="493">
        <v>140</v>
      </c>
      <c r="IR34" s="493">
        <v>106</v>
      </c>
      <c r="IS34" s="493">
        <v>84</v>
      </c>
      <c r="IT34" s="199"/>
      <c r="IU34" s="533">
        <v>2302.2757874754429</v>
      </c>
      <c r="IV34" s="534">
        <v>2710.4025383489561</v>
      </c>
      <c r="IW34" s="534">
        <v>2924.0955415452063</v>
      </c>
      <c r="IX34" s="534">
        <v>2160.6799485714937</v>
      </c>
      <c r="IY34" s="535">
        <v>2424.0339410618049</v>
      </c>
      <c r="IZ34" s="535">
        <v>2076.8784258812993</v>
      </c>
      <c r="JA34" s="535">
        <v>2737.1525052911938</v>
      </c>
      <c r="JB34" s="535">
        <v>1926.289099583018</v>
      </c>
      <c r="JC34" s="536"/>
      <c r="JD34" s="537">
        <v>520.93680330220957</v>
      </c>
      <c r="JE34" s="538">
        <v>537.38813724066279</v>
      </c>
      <c r="JF34" s="538">
        <v>715.20574876279579</v>
      </c>
      <c r="JG34" s="538">
        <v>658.78551354549484</v>
      </c>
      <c r="JH34" s="538">
        <v>634.1015938539158</v>
      </c>
      <c r="JI34" s="539">
        <v>653.60552132638907</v>
      </c>
      <c r="JJ34" s="539">
        <v>586.19295617226703</v>
      </c>
      <c r="JK34" s="539">
        <v>540.75489383178922</v>
      </c>
      <c r="JL34" s="536"/>
      <c r="JM34" s="537">
        <v>1255.9874621989713</v>
      </c>
      <c r="JN34" s="538">
        <v>1314.9809512105198</v>
      </c>
      <c r="JO34" s="538">
        <v>1498.2035116263305</v>
      </c>
      <c r="JP34" s="538">
        <v>1210.6179385361079</v>
      </c>
      <c r="JQ34" s="538">
        <v>1130.6042884990254</v>
      </c>
      <c r="JR34" s="539">
        <v>869.52481664279298</v>
      </c>
      <c r="JS34" s="539">
        <v>744.33426077857837</v>
      </c>
      <c r="JT34" s="539">
        <v>696.97297427208377</v>
      </c>
      <c r="JU34" s="536"/>
      <c r="JV34" s="537">
        <v>326.68918173189411</v>
      </c>
      <c r="JW34" s="538">
        <v>389.91363803948292</v>
      </c>
      <c r="JX34" s="538">
        <v>528.77770998576364</v>
      </c>
      <c r="JY34" s="538">
        <v>344.75304076733153</v>
      </c>
      <c r="JZ34" s="538">
        <v>190.34514390551541</v>
      </c>
      <c r="KA34" s="539">
        <v>180.22444442873046</v>
      </c>
      <c r="KB34" s="539">
        <v>153.38517514446744</v>
      </c>
      <c r="KC34" s="539">
        <v>140.59627239626519</v>
      </c>
      <c r="KD34" s="536"/>
    </row>
    <row r="35" spans="1:290" ht="15" customHeight="1" x14ac:dyDescent="0.2">
      <c r="A35" s="930"/>
      <c r="B35" s="359" t="s">
        <v>659</v>
      </c>
      <c r="C35" s="491">
        <v>1</v>
      </c>
      <c r="D35" s="492"/>
      <c r="E35" s="492">
        <v>1</v>
      </c>
      <c r="F35" s="492">
        <v>1</v>
      </c>
      <c r="G35" s="493">
        <v>3</v>
      </c>
      <c r="H35" s="493">
        <v>1</v>
      </c>
      <c r="I35" s="493"/>
      <c r="J35" s="493"/>
      <c r="K35" s="199"/>
      <c r="L35" s="491">
        <v>1</v>
      </c>
      <c r="M35" s="492"/>
      <c r="N35" s="492">
        <v>1</v>
      </c>
      <c r="O35" s="492">
        <v>1</v>
      </c>
      <c r="P35" s="493">
        <v>2</v>
      </c>
      <c r="Q35" s="493"/>
      <c r="R35" s="493"/>
      <c r="S35" s="493"/>
      <c r="T35" s="199"/>
      <c r="U35" s="491"/>
      <c r="V35" s="492"/>
      <c r="W35" s="492"/>
      <c r="X35" s="492"/>
      <c r="Y35" s="493"/>
      <c r="Z35" s="493">
        <v>1</v>
      </c>
      <c r="AA35" s="493"/>
      <c r="AB35" s="493"/>
      <c r="AC35" s="199"/>
      <c r="AD35" s="491">
        <v>75</v>
      </c>
      <c r="AE35" s="492">
        <v>69</v>
      </c>
      <c r="AF35" s="492">
        <v>85</v>
      </c>
      <c r="AG35" s="492">
        <v>67</v>
      </c>
      <c r="AH35" s="493">
        <v>59</v>
      </c>
      <c r="AI35" s="493">
        <v>40</v>
      </c>
      <c r="AJ35" s="493">
        <v>54</v>
      </c>
      <c r="AK35" s="493">
        <v>23</v>
      </c>
      <c r="AL35" s="199"/>
      <c r="AM35" s="491">
        <v>33</v>
      </c>
      <c r="AN35" s="492">
        <v>30</v>
      </c>
      <c r="AO35" s="492">
        <v>30</v>
      </c>
      <c r="AP35" s="492">
        <v>20</v>
      </c>
      <c r="AQ35" s="493">
        <v>26</v>
      </c>
      <c r="AR35" s="493">
        <v>17</v>
      </c>
      <c r="AS35" s="493">
        <v>19</v>
      </c>
      <c r="AT35" s="493">
        <v>9</v>
      </c>
      <c r="AU35" s="199"/>
      <c r="AV35" s="491"/>
      <c r="AW35" s="492"/>
      <c r="AX35" s="492"/>
      <c r="AY35" s="492"/>
      <c r="AZ35" s="493"/>
      <c r="BA35" s="493"/>
      <c r="BB35" s="493"/>
      <c r="BC35" s="493"/>
      <c r="BD35" s="199"/>
      <c r="BE35" s="491">
        <v>3</v>
      </c>
      <c r="BF35" s="492">
        <v>24</v>
      </c>
      <c r="BG35" s="492">
        <v>7</v>
      </c>
      <c r="BH35" s="492">
        <v>21</v>
      </c>
      <c r="BI35" s="493">
        <v>8</v>
      </c>
      <c r="BJ35" s="493">
        <v>2</v>
      </c>
      <c r="BK35" s="493">
        <v>5</v>
      </c>
      <c r="BL35" s="493">
        <v>3</v>
      </c>
      <c r="BM35" s="199"/>
      <c r="BN35" s="491"/>
      <c r="BO35" s="492">
        <v>1</v>
      </c>
      <c r="BP35" s="492"/>
      <c r="BQ35" s="492">
        <v>2</v>
      </c>
      <c r="BR35" s="493">
        <v>1</v>
      </c>
      <c r="BS35" s="493"/>
      <c r="BT35" s="493">
        <v>1</v>
      </c>
      <c r="BU35" s="493"/>
      <c r="BV35" s="199"/>
      <c r="BW35" s="491">
        <v>37</v>
      </c>
      <c r="BX35" s="492">
        <v>48</v>
      </c>
      <c r="BY35" s="492">
        <v>52</v>
      </c>
      <c r="BZ35" s="492">
        <v>62</v>
      </c>
      <c r="CA35" s="493">
        <v>29</v>
      </c>
      <c r="CB35" s="493">
        <v>26</v>
      </c>
      <c r="CC35" s="493">
        <v>18</v>
      </c>
      <c r="CD35" s="493">
        <v>17</v>
      </c>
      <c r="CE35" s="199"/>
      <c r="CF35" s="491">
        <v>5</v>
      </c>
      <c r="CG35" s="492">
        <v>5</v>
      </c>
      <c r="CH35" s="492">
        <v>1</v>
      </c>
      <c r="CI35" s="492">
        <v>6</v>
      </c>
      <c r="CJ35" s="493">
        <v>5</v>
      </c>
      <c r="CK35" s="493"/>
      <c r="CL35" s="493">
        <v>2</v>
      </c>
      <c r="CM35" s="493"/>
      <c r="CN35" s="199"/>
      <c r="CO35" s="491">
        <v>8</v>
      </c>
      <c r="CP35" s="492">
        <v>4</v>
      </c>
      <c r="CQ35" s="492">
        <v>11</v>
      </c>
      <c r="CR35" s="492">
        <v>9</v>
      </c>
      <c r="CS35" s="493">
        <v>4</v>
      </c>
      <c r="CT35" s="493">
        <v>3</v>
      </c>
      <c r="CU35" s="493">
        <v>1</v>
      </c>
      <c r="CV35" s="493">
        <v>2</v>
      </c>
      <c r="CW35" s="199"/>
      <c r="CX35" s="491">
        <v>793</v>
      </c>
      <c r="CY35" s="492">
        <v>566</v>
      </c>
      <c r="CZ35" s="492">
        <v>606</v>
      </c>
      <c r="DA35" s="492">
        <v>583</v>
      </c>
      <c r="DB35" s="493">
        <v>509</v>
      </c>
      <c r="DC35" s="493">
        <v>398</v>
      </c>
      <c r="DD35" s="493">
        <v>278</v>
      </c>
      <c r="DE35" s="493">
        <v>282</v>
      </c>
      <c r="DF35" s="199"/>
      <c r="DG35" s="491">
        <v>2</v>
      </c>
      <c r="DH35" s="492">
        <v>3</v>
      </c>
      <c r="DI35" s="492">
        <v>4</v>
      </c>
      <c r="DJ35" s="492">
        <v>1</v>
      </c>
      <c r="DK35" s="493">
        <v>2</v>
      </c>
      <c r="DL35" s="493">
        <v>1</v>
      </c>
      <c r="DM35" s="493">
        <v>1</v>
      </c>
      <c r="DN35" s="493"/>
      <c r="DO35" s="199"/>
      <c r="DP35" s="491">
        <v>11</v>
      </c>
      <c r="DQ35" s="492">
        <v>25</v>
      </c>
      <c r="DR35" s="492">
        <v>23</v>
      </c>
      <c r="DS35" s="492">
        <v>8</v>
      </c>
      <c r="DT35" s="493">
        <v>7</v>
      </c>
      <c r="DU35" s="493">
        <v>3</v>
      </c>
      <c r="DV35" s="493">
        <v>3</v>
      </c>
      <c r="DW35" s="493">
        <v>3</v>
      </c>
      <c r="DX35" s="199"/>
      <c r="DY35" s="491">
        <v>85</v>
      </c>
      <c r="DZ35" s="492">
        <v>61</v>
      </c>
      <c r="EA35" s="492">
        <v>39</v>
      </c>
      <c r="EB35" s="492">
        <v>81</v>
      </c>
      <c r="EC35" s="493">
        <v>78</v>
      </c>
      <c r="ED35" s="493">
        <v>76</v>
      </c>
      <c r="EE35" s="493">
        <v>30</v>
      </c>
      <c r="EF35" s="493">
        <v>62</v>
      </c>
      <c r="EG35" s="199"/>
      <c r="EH35" s="491">
        <v>12</v>
      </c>
      <c r="EI35" s="492">
        <v>5</v>
      </c>
      <c r="EJ35" s="492">
        <v>6</v>
      </c>
      <c r="EK35" s="492">
        <v>13</v>
      </c>
      <c r="EL35" s="493">
        <v>6</v>
      </c>
      <c r="EM35" s="493">
        <v>1</v>
      </c>
      <c r="EN35" s="493">
        <v>1</v>
      </c>
      <c r="EO35" s="493">
        <v>9</v>
      </c>
      <c r="EP35" s="199"/>
      <c r="EQ35" s="491">
        <v>4</v>
      </c>
      <c r="ER35" s="492"/>
      <c r="ES35" s="492">
        <v>3</v>
      </c>
      <c r="ET35" s="492">
        <v>1</v>
      </c>
      <c r="EU35" s="493">
        <v>1</v>
      </c>
      <c r="EV35" s="493">
        <v>1</v>
      </c>
      <c r="EW35" s="493">
        <v>4</v>
      </c>
      <c r="EX35" s="493">
        <v>3</v>
      </c>
      <c r="EY35" s="199"/>
      <c r="EZ35" s="491">
        <v>4</v>
      </c>
      <c r="FA35" s="492">
        <v>1</v>
      </c>
      <c r="FB35" s="492">
        <v>3</v>
      </c>
      <c r="FC35" s="492">
        <v>14</v>
      </c>
      <c r="FD35" s="493">
        <v>4</v>
      </c>
      <c r="FE35" s="493">
        <v>4</v>
      </c>
      <c r="FF35" s="493">
        <v>6</v>
      </c>
      <c r="FG35" s="493">
        <v>2</v>
      </c>
      <c r="FH35" s="199"/>
      <c r="FI35" s="491">
        <v>62</v>
      </c>
      <c r="FJ35" s="492">
        <v>52</v>
      </c>
      <c r="FK35" s="492">
        <v>43</v>
      </c>
      <c r="FL35" s="492">
        <v>25</v>
      </c>
      <c r="FM35" s="493">
        <v>25</v>
      </c>
      <c r="FN35" s="493">
        <v>11</v>
      </c>
      <c r="FO35" s="493">
        <v>11</v>
      </c>
      <c r="FP35" s="493">
        <v>26</v>
      </c>
      <c r="FQ35" s="199"/>
      <c r="FR35" s="491">
        <v>12</v>
      </c>
      <c r="FS35" s="492">
        <v>5</v>
      </c>
      <c r="FT35" s="492">
        <v>5</v>
      </c>
      <c r="FU35" s="492">
        <v>3</v>
      </c>
      <c r="FV35" s="493">
        <v>3</v>
      </c>
      <c r="FW35" s="493">
        <v>5</v>
      </c>
      <c r="FX35" s="493">
        <v>2</v>
      </c>
      <c r="FY35" s="493">
        <v>3</v>
      </c>
      <c r="FZ35" s="199"/>
      <c r="GA35" s="491">
        <v>3</v>
      </c>
      <c r="GB35" s="492">
        <v>5</v>
      </c>
      <c r="GC35" s="492">
        <v>7</v>
      </c>
      <c r="GD35" s="492">
        <v>5</v>
      </c>
      <c r="GE35" s="493">
        <v>4</v>
      </c>
      <c r="GF35" s="493">
        <v>6</v>
      </c>
      <c r="GG35" s="493">
        <v>8</v>
      </c>
      <c r="GH35" s="493">
        <v>6</v>
      </c>
      <c r="GI35" s="199"/>
      <c r="GJ35" s="491">
        <v>1019</v>
      </c>
      <c r="GK35" s="492">
        <v>785</v>
      </c>
      <c r="GL35" s="492">
        <v>830</v>
      </c>
      <c r="GM35" s="492">
        <v>812</v>
      </c>
      <c r="GN35" s="493">
        <v>661</v>
      </c>
      <c r="GO35" s="493">
        <v>498</v>
      </c>
      <c r="GP35" s="493">
        <v>391</v>
      </c>
      <c r="GQ35" s="493">
        <v>376</v>
      </c>
      <c r="GR35" s="199"/>
      <c r="GS35" s="491">
        <v>268</v>
      </c>
      <c r="GT35" s="492">
        <v>247</v>
      </c>
      <c r="GU35" s="492">
        <v>224</v>
      </c>
      <c r="GV35" s="492">
        <v>160</v>
      </c>
      <c r="GW35" s="493">
        <v>84</v>
      </c>
      <c r="GX35" s="493">
        <v>96</v>
      </c>
      <c r="GY35" s="493">
        <v>78</v>
      </c>
      <c r="GZ35" s="493">
        <v>83</v>
      </c>
      <c r="HA35" s="199"/>
      <c r="HB35" s="491">
        <v>1</v>
      </c>
      <c r="HC35" s="492"/>
      <c r="HD35" s="492">
        <v>2</v>
      </c>
      <c r="HE35" s="492"/>
      <c r="HF35" s="493">
        <v>1</v>
      </c>
      <c r="HG35" s="493">
        <v>1</v>
      </c>
      <c r="HH35" s="493">
        <v>1</v>
      </c>
      <c r="HI35" s="493">
        <v>1</v>
      </c>
      <c r="HJ35" s="199"/>
      <c r="HK35" s="491">
        <v>1</v>
      </c>
      <c r="HL35" s="492">
        <v>1</v>
      </c>
      <c r="HM35" s="492"/>
      <c r="HN35" s="492"/>
      <c r="HO35" s="493"/>
      <c r="HP35" s="493"/>
      <c r="HQ35" s="493">
        <v>1</v>
      </c>
      <c r="HR35" s="493">
        <v>1</v>
      </c>
      <c r="HS35" s="199"/>
      <c r="HT35" s="491">
        <v>357</v>
      </c>
      <c r="HU35" s="492">
        <v>315</v>
      </c>
      <c r="HV35" s="492">
        <v>354</v>
      </c>
      <c r="HW35" s="492">
        <v>270</v>
      </c>
      <c r="HX35" s="493">
        <v>185</v>
      </c>
      <c r="HY35" s="493">
        <v>225</v>
      </c>
      <c r="HZ35" s="493">
        <v>205</v>
      </c>
      <c r="IA35" s="493">
        <v>216</v>
      </c>
      <c r="IB35" s="199"/>
      <c r="IC35" s="491">
        <v>1551</v>
      </c>
      <c r="ID35" s="492">
        <v>1378</v>
      </c>
      <c r="IE35" s="492">
        <v>1380</v>
      </c>
      <c r="IF35" s="492">
        <v>1299</v>
      </c>
      <c r="IG35" s="493">
        <v>1081</v>
      </c>
      <c r="IH35" s="493">
        <v>987</v>
      </c>
      <c r="II35" s="493">
        <v>768</v>
      </c>
      <c r="IJ35" s="493">
        <v>739</v>
      </c>
      <c r="IK35" s="199"/>
      <c r="IL35" s="491">
        <v>188</v>
      </c>
      <c r="IM35" s="492">
        <v>117</v>
      </c>
      <c r="IN35" s="492">
        <v>110</v>
      </c>
      <c r="IO35" s="492">
        <v>136</v>
      </c>
      <c r="IP35" s="493">
        <v>80</v>
      </c>
      <c r="IQ35" s="493">
        <v>133</v>
      </c>
      <c r="IR35" s="493">
        <v>61</v>
      </c>
      <c r="IS35" s="493">
        <v>91</v>
      </c>
      <c r="IT35" s="199"/>
      <c r="IU35" s="533">
        <v>2984.4140850490671</v>
      </c>
      <c r="IV35" s="534">
        <v>2699.5259177996318</v>
      </c>
      <c r="IW35" s="534">
        <v>2734.4059602124116</v>
      </c>
      <c r="IX35" s="534">
        <v>2545.661205612605</v>
      </c>
      <c r="IY35" s="535">
        <v>2145.3520679526873</v>
      </c>
      <c r="IZ35" s="535">
        <v>1989.1573792297306</v>
      </c>
      <c r="JA35" s="535">
        <v>1563.67708439377</v>
      </c>
      <c r="JB35" s="535">
        <v>1523.6799241252759</v>
      </c>
      <c r="JC35" s="536"/>
      <c r="JD35" s="537">
        <v>686.93477005964985</v>
      </c>
      <c r="JE35" s="538">
        <v>617.09046742154135</v>
      </c>
      <c r="JF35" s="538">
        <v>701.4345724023143</v>
      </c>
      <c r="JG35" s="538">
        <v>529.12126675550678</v>
      </c>
      <c r="JH35" s="538">
        <v>367.15090894657459</v>
      </c>
      <c r="JI35" s="539">
        <v>453.45532961164071</v>
      </c>
      <c r="JJ35" s="539">
        <v>417.38776341239952</v>
      </c>
      <c r="JK35" s="539">
        <v>445.35164223418076</v>
      </c>
      <c r="JL35" s="536"/>
      <c r="JM35" s="537">
        <v>1960.7465845680201</v>
      </c>
      <c r="JN35" s="538">
        <v>1537.8286251616189</v>
      </c>
      <c r="JO35" s="538">
        <v>1644.6064833161608</v>
      </c>
      <c r="JP35" s="538">
        <v>1591.283217057302</v>
      </c>
      <c r="JQ35" s="538">
        <v>1311.820274668572</v>
      </c>
      <c r="JR35" s="539">
        <v>1003.6477962070981</v>
      </c>
      <c r="JS35" s="539">
        <v>796.09080728901552</v>
      </c>
      <c r="JT35" s="539">
        <v>775.24174759283312</v>
      </c>
      <c r="JU35" s="536"/>
      <c r="JV35" s="537">
        <v>515.68212430248218</v>
      </c>
      <c r="JW35" s="538">
        <v>483.87728715276415</v>
      </c>
      <c r="JX35" s="538">
        <v>443.84560513592777</v>
      </c>
      <c r="JY35" s="538">
        <v>313.55334326252256</v>
      </c>
      <c r="JZ35" s="538">
        <v>166.70635865682306</v>
      </c>
      <c r="KA35" s="539">
        <v>193.47427396763339</v>
      </c>
      <c r="KB35" s="539">
        <v>158.81095388374226</v>
      </c>
      <c r="KC35" s="539">
        <v>171.13049215480095</v>
      </c>
      <c r="KD35" s="536"/>
    </row>
    <row r="36" spans="1:290" ht="15" customHeight="1" x14ac:dyDescent="0.2">
      <c r="A36" s="930"/>
      <c r="B36" s="359" t="s">
        <v>660</v>
      </c>
      <c r="C36" s="491"/>
      <c r="D36" s="492">
        <v>2</v>
      </c>
      <c r="E36" s="492">
        <v>4</v>
      </c>
      <c r="F36" s="492"/>
      <c r="G36" s="493">
        <v>2</v>
      </c>
      <c r="H36" s="493">
        <v>2</v>
      </c>
      <c r="I36" s="493">
        <v>2</v>
      </c>
      <c r="J36" s="493">
        <v>1</v>
      </c>
      <c r="K36" s="199"/>
      <c r="L36" s="491"/>
      <c r="M36" s="492">
        <v>1</v>
      </c>
      <c r="N36" s="492">
        <v>1</v>
      </c>
      <c r="O36" s="492"/>
      <c r="P36" s="493">
        <v>1</v>
      </c>
      <c r="Q36" s="493">
        <v>1</v>
      </c>
      <c r="R36" s="493">
        <v>2</v>
      </c>
      <c r="S36" s="493"/>
      <c r="T36" s="199"/>
      <c r="U36" s="491"/>
      <c r="V36" s="492">
        <v>1</v>
      </c>
      <c r="W36" s="492">
        <v>3</v>
      </c>
      <c r="X36" s="492"/>
      <c r="Y36" s="493">
        <v>1</v>
      </c>
      <c r="Z36" s="493">
        <v>1</v>
      </c>
      <c r="AA36" s="493"/>
      <c r="AB36" s="493">
        <v>1</v>
      </c>
      <c r="AC36" s="199"/>
      <c r="AD36" s="491">
        <v>70</v>
      </c>
      <c r="AE36" s="492">
        <v>71</v>
      </c>
      <c r="AF36" s="492">
        <v>94</v>
      </c>
      <c r="AG36" s="492">
        <v>104</v>
      </c>
      <c r="AH36" s="493">
        <v>82</v>
      </c>
      <c r="AI36" s="493">
        <v>108</v>
      </c>
      <c r="AJ36" s="493">
        <v>71</v>
      </c>
      <c r="AK36" s="493">
        <v>78</v>
      </c>
      <c r="AL36" s="199"/>
      <c r="AM36" s="491">
        <v>29</v>
      </c>
      <c r="AN36" s="492">
        <v>21</v>
      </c>
      <c r="AO36" s="492">
        <v>29</v>
      </c>
      <c r="AP36" s="492">
        <v>38</v>
      </c>
      <c r="AQ36" s="493">
        <v>31</v>
      </c>
      <c r="AR36" s="493">
        <v>36</v>
      </c>
      <c r="AS36" s="493">
        <v>23</v>
      </c>
      <c r="AT36" s="493">
        <v>35</v>
      </c>
      <c r="AU36" s="199"/>
      <c r="AV36" s="491"/>
      <c r="AW36" s="492"/>
      <c r="AX36" s="492"/>
      <c r="AY36" s="492"/>
      <c r="AZ36" s="493"/>
      <c r="BA36" s="493"/>
      <c r="BB36" s="493"/>
      <c r="BC36" s="493">
        <v>1</v>
      </c>
      <c r="BD36" s="199"/>
      <c r="BE36" s="491">
        <v>22</v>
      </c>
      <c r="BF36" s="492">
        <v>13</v>
      </c>
      <c r="BG36" s="492">
        <v>14</v>
      </c>
      <c r="BH36" s="492">
        <v>18</v>
      </c>
      <c r="BI36" s="493">
        <v>6</v>
      </c>
      <c r="BJ36" s="493">
        <v>22</v>
      </c>
      <c r="BK36" s="493">
        <v>14</v>
      </c>
      <c r="BL36" s="493">
        <v>12</v>
      </c>
      <c r="BM36" s="199"/>
      <c r="BN36" s="491"/>
      <c r="BO36" s="492"/>
      <c r="BP36" s="492">
        <v>2</v>
      </c>
      <c r="BQ36" s="492"/>
      <c r="BR36" s="493">
        <v>1</v>
      </c>
      <c r="BS36" s="493"/>
      <c r="BT36" s="493"/>
      <c r="BU36" s="493"/>
      <c r="BV36" s="199"/>
      <c r="BW36" s="491">
        <v>56</v>
      </c>
      <c r="BX36" s="492">
        <v>69</v>
      </c>
      <c r="BY36" s="492">
        <v>84</v>
      </c>
      <c r="BZ36" s="492">
        <v>103</v>
      </c>
      <c r="CA36" s="493">
        <v>81</v>
      </c>
      <c r="CB36" s="493">
        <v>96</v>
      </c>
      <c r="CC36" s="493">
        <v>52</v>
      </c>
      <c r="CD36" s="493">
        <v>79</v>
      </c>
      <c r="CE36" s="199"/>
      <c r="CF36" s="491">
        <v>2</v>
      </c>
      <c r="CG36" s="492">
        <v>3</v>
      </c>
      <c r="CH36" s="492">
        <v>4</v>
      </c>
      <c r="CI36" s="492">
        <v>1</v>
      </c>
      <c r="CJ36" s="493">
        <v>3</v>
      </c>
      <c r="CK36" s="493">
        <v>2</v>
      </c>
      <c r="CL36" s="493">
        <v>2</v>
      </c>
      <c r="CM36" s="493"/>
      <c r="CN36" s="199"/>
      <c r="CO36" s="491">
        <v>8</v>
      </c>
      <c r="CP36" s="492">
        <v>15</v>
      </c>
      <c r="CQ36" s="492">
        <v>6</v>
      </c>
      <c r="CR36" s="492">
        <v>2</v>
      </c>
      <c r="CS36" s="493"/>
      <c r="CT36" s="493">
        <v>1</v>
      </c>
      <c r="CU36" s="493">
        <v>5</v>
      </c>
      <c r="CV36" s="493">
        <v>1</v>
      </c>
      <c r="CW36" s="199"/>
      <c r="CX36" s="491">
        <v>472</v>
      </c>
      <c r="CY36" s="492">
        <v>378</v>
      </c>
      <c r="CZ36" s="492">
        <v>459</v>
      </c>
      <c r="DA36" s="492">
        <v>474</v>
      </c>
      <c r="DB36" s="493">
        <v>456</v>
      </c>
      <c r="DC36" s="493">
        <v>443</v>
      </c>
      <c r="DD36" s="493">
        <v>362</v>
      </c>
      <c r="DE36" s="493">
        <v>369</v>
      </c>
      <c r="DF36" s="199"/>
      <c r="DG36" s="491">
        <v>7</v>
      </c>
      <c r="DH36" s="492">
        <v>4</v>
      </c>
      <c r="DI36" s="492">
        <v>3</v>
      </c>
      <c r="DJ36" s="492">
        <v>1</v>
      </c>
      <c r="DK36" s="493">
        <v>9</v>
      </c>
      <c r="DL36" s="493">
        <v>4</v>
      </c>
      <c r="DM36" s="493">
        <v>1</v>
      </c>
      <c r="DN36" s="493">
        <v>7</v>
      </c>
      <c r="DO36" s="199"/>
      <c r="DP36" s="491">
        <v>28</v>
      </c>
      <c r="DQ36" s="492">
        <v>19</v>
      </c>
      <c r="DR36" s="492">
        <v>24</v>
      </c>
      <c r="DS36" s="492">
        <v>9</v>
      </c>
      <c r="DT36" s="493">
        <v>7</v>
      </c>
      <c r="DU36" s="493">
        <v>29</v>
      </c>
      <c r="DV36" s="493">
        <v>16</v>
      </c>
      <c r="DW36" s="493">
        <v>12</v>
      </c>
      <c r="DX36" s="199"/>
      <c r="DY36" s="491">
        <v>61</v>
      </c>
      <c r="DZ36" s="492">
        <v>40</v>
      </c>
      <c r="EA36" s="492">
        <v>70</v>
      </c>
      <c r="EB36" s="492">
        <v>58</v>
      </c>
      <c r="EC36" s="493">
        <v>98</v>
      </c>
      <c r="ED36" s="493">
        <v>90</v>
      </c>
      <c r="EE36" s="493">
        <v>67</v>
      </c>
      <c r="EF36" s="493">
        <v>87</v>
      </c>
      <c r="EG36" s="199"/>
      <c r="EH36" s="491">
        <v>7</v>
      </c>
      <c r="EI36" s="492">
        <v>6</v>
      </c>
      <c r="EJ36" s="492">
        <v>4</v>
      </c>
      <c r="EK36" s="492">
        <v>12</v>
      </c>
      <c r="EL36" s="493">
        <v>5</v>
      </c>
      <c r="EM36" s="493">
        <v>9</v>
      </c>
      <c r="EN36" s="493">
        <v>1</v>
      </c>
      <c r="EO36" s="493">
        <v>1</v>
      </c>
      <c r="EP36" s="199"/>
      <c r="EQ36" s="491"/>
      <c r="ER36" s="492">
        <v>1</v>
      </c>
      <c r="ES36" s="492">
        <v>1</v>
      </c>
      <c r="ET36" s="492">
        <v>2</v>
      </c>
      <c r="EU36" s="493">
        <v>1</v>
      </c>
      <c r="EV36" s="493"/>
      <c r="EW36" s="493"/>
      <c r="EX36" s="493">
        <v>2</v>
      </c>
      <c r="EY36" s="199"/>
      <c r="EZ36" s="491">
        <v>5</v>
      </c>
      <c r="FA36" s="492">
        <v>2</v>
      </c>
      <c r="FB36" s="492">
        <v>6</v>
      </c>
      <c r="FC36" s="492">
        <v>1</v>
      </c>
      <c r="FD36" s="493">
        <v>1</v>
      </c>
      <c r="FE36" s="493">
        <v>4</v>
      </c>
      <c r="FF36" s="493">
        <v>1</v>
      </c>
      <c r="FG36" s="493">
        <v>3</v>
      </c>
      <c r="FH36" s="199"/>
      <c r="FI36" s="491">
        <v>40</v>
      </c>
      <c r="FJ36" s="492">
        <v>27</v>
      </c>
      <c r="FK36" s="492">
        <v>28</v>
      </c>
      <c r="FL36" s="492">
        <v>27</v>
      </c>
      <c r="FM36" s="493">
        <v>29</v>
      </c>
      <c r="FN36" s="493">
        <v>22</v>
      </c>
      <c r="FO36" s="493">
        <v>27</v>
      </c>
      <c r="FP36" s="493">
        <v>27</v>
      </c>
      <c r="FQ36" s="199"/>
      <c r="FR36" s="491">
        <v>9</v>
      </c>
      <c r="FS36" s="492">
        <v>4</v>
      </c>
      <c r="FT36" s="492">
        <v>4</v>
      </c>
      <c r="FU36" s="492">
        <v>1</v>
      </c>
      <c r="FV36" s="493">
        <v>6</v>
      </c>
      <c r="FW36" s="493">
        <v>3</v>
      </c>
      <c r="FX36" s="493">
        <v>2</v>
      </c>
      <c r="FY36" s="493">
        <v>2</v>
      </c>
      <c r="FZ36" s="199"/>
      <c r="GA36" s="491">
        <v>6</v>
      </c>
      <c r="GB36" s="492">
        <v>6</v>
      </c>
      <c r="GC36" s="492">
        <v>7</v>
      </c>
      <c r="GD36" s="492">
        <v>2</v>
      </c>
      <c r="GE36" s="493">
        <v>1</v>
      </c>
      <c r="GF36" s="493">
        <v>5</v>
      </c>
      <c r="GG36" s="493">
        <v>7</v>
      </c>
      <c r="GH36" s="493">
        <v>5</v>
      </c>
      <c r="GI36" s="199"/>
      <c r="GJ36" s="491">
        <v>697</v>
      </c>
      <c r="GK36" s="492">
        <v>597</v>
      </c>
      <c r="GL36" s="492">
        <v>717</v>
      </c>
      <c r="GM36" s="492">
        <v>747</v>
      </c>
      <c r="GN36" s="493">
        <v>674</v>
      </c>
      <c r="GO36" s="493">
        <v>717</v>
      </c>
      <c r="GP36" s="493">
        <v>546</v>
      </c>
      <c r="GQ36" s="493">
        <v>580</v>
      </c>
      <c r="GR36" s="199"/>
      <c r="GS36" s="491">
        <v>210</v>
      </c>
      <c r="GT36" s="492">
        <v>161</v>
      </c>
      <c r="GU36" s="492">
        <v>202</v>
      </c>
      <c r="GV36" s="492">
        <v>237</v>
      </c>
      <c r="GW36" s="493">
        <v>134</v>
      </c>
      <c r="GX36" s="493">
        <v>132</v>
      </c>
      <c r="GY36" s="493">
        <v>129</v>
      </c>
      <c r="GZ36" s="493">
        <v>109</v>
      </c>
      <c r="HA36" s="199"/>
      <c r="HB36" s="491">
        <v>10</v>
      </c>
      <c r="HC36" s="492">
        <v>8</v>
      </c>
      <c r="HD36" s="492">
        <v>2</v>
      </c>
      <c r="HE36" s="492">
        <v>9</v>
      </c>
      <c r="HF36" s="493">
        <v>5</v>
      </c>
      <c r="HG36" s="493">
        <v>6</v>
      </c>
      <c r="HH36" s="493">
        <v>6</v>
      </c>
      <c r="HI36" s="493">
        <v>6</v>
      </c>
      <c r="HJ36" s="199"/>
      <c r="HK36" s="491">
        <v>7</v>
      </c>
      <c r="HL36" s="492">
        <v>7</v>
      </c>
      <c r="HM36" s="492">
        <v>1</v>
      </c>
      <c r="HN36" s="492">
        <v>3</v>
      </c>
      <c r="HO36" s="493">
        <v>1</v>
      </c>
      <c r="HP36" s="493">
        <v>2</v>
      </c>
      <c r="HQ36" s="493">
        <v>4</v>
      </c>
      <c r="HR36" s="493">
        <v>2</v>
      </c>
      <c r="HS36" s="199"/>
      <c r="HT36" s="491">
        <v>434</v>
      </c>
      <c r="HU36" s="492">
        <v>406</v>
      </c>
      <c r="HV36" s="492">
        <v>426</v>
      </c>
      <c r="HW36" s="492">
        <v>510</v>
      </c>
      <c r="HX36" s="493">
        <v>379</v>
      </c>
      <c r="HY36" s="493">
        <v>396</v>
      </c>
      <c r="HZ36" s="493">
        <v>384</v>
      </c>
      <c r="IA36" s="493">
        <v>443</v>
      </c>
      <c r="IB36" s="199"/>
      <c r="IC36" s="491">
        <v>1739</v>
      </c>
      <c r="ID36" s="492">
        <v>1346</v>
      </c>
      <c r="IE36" s="492">
        <v>1576</v>
      </c>
      <c r="IF36" s="492">
        <v>1414</v>
      </c>
      <c r="IG36" s="493">
        <v>1335</v>
      </c>
      <c r="IH36" s="493">
        <v>1358</v>
      </c>
      <c r="II36" s="493">
        <v>1479</v>
      </c>
      <c r="IJ36" s="493">
        <v>1232</v>
      </c>
      <c r="IK36" s="199"/>
      <c r="IL36" s="491">
        <v>129</v>
      </c>
      <c r="IM36" s="492">
        <v>109</v>
      </c>
      <c r="IN36" s="492">
        <v>157</v>
      </c>
      <c r="IO36" s="492">
        <v>91</v>
      </c>
      <c r="IP36" s="493">
        <v>94</v>
      </c>
      <c r="IQ36" s="493">
        <v>116</v>
      </c>
      <c r="IR36" s="493">
        <v>94</v>
      </c>
      <c r="IS36" s="493">
        <v>111</v>
      </c>
      <c r="IT36" s="199"/>
      <c r="IU36" s="533">
        <v>2856.0635921692287</v>
      </c>
      <c r="IV36" s="534">
        <v>2231.6913434914527</v>
      </c>
      <c r="IW36" s="534">
        <v>2623.1691078561917</v>
      </c>
      <c r="IX36" s="534">
        <v>2341.0596026490066</v>
      </c>
      <c r="IY36" s="535">
        <v>2227.1529144840015</v>
      </c>
      <c r="IZ36" s="535">
        <v>2331.5924861160647</v>
      </c>
      <c r="JA36" s="535">
        <v>2731.1506287740294</v>
      </c>
      <c r="JB36" s="535">
        <v>2291.9650996223468</v>
      </c>
      <c r="JC36" s="536"/>
      <c r="JD36" s="537">
        <v>712.78412823544875</v>
      </c>
      <c r="JE36" s="538">
        <v>673.15504120173091</v>
      </c>
      <c r="JF36" s="538">
        <v>709.05459387483359</v>
      </c>
      <c r="JG36" s="538">
        <v>844.37086092715231</v>
      </c>
      <c r="JH36" s="538">
        <v>632.27786860631943</v>
      </c>
      <c r="JI36" s="539">
        <v>686.0892537651398</v>
      </c>
      <c r="JJ36" s="539">
        <v>709.10198880948417</v>
      </c>
      <c r="JK36" s="539">
        <v>824.14004799732118</v>
      </c>
      <c r="JL36" s="536"/>
      <c r="JM36" s="537">
        <v>1144.7247405071607</v>
      </c>
      <c r="JN36" s="538">
        <v>989.83635368825958</v>
      </c>
      <c r="JO36" s="538">
        <v>1193.4087882822903</v>
      </c>
      <c r="JP36" s="538">
        <v>1236.7549668874171</v>
      </c>
      <c r="JQ36" s="538">
        <v>1124.4202729304996</v>
      </c>
      <c r="JR36" s="539">
        <v>1231.5446889619843</v>
      </c>
      <c r="JS36" s="539">
        <v>1008.2543903384855</v>
      </c>
      <c r="JT36" s="539">
        <v>1079.0095436533775</v>
      </c>
      <c r="JU36" s="536"/>
      <c r="JV36" s="537">
        <v>344.89554592037842</v>
      </c>
      <c r="JW36" s="538">
        <v>266.94079220068642</v>
      </c>
      <c r="JX36" s="538">
        <v>336.21837549933423</v>
      </c>
      <c r="JY36" s="538">
        <v>392.38410596026489</v>
      </c>
      <c r="JZ36" s="538">
        <v>223.54943111674618</v>
      </c>
      <c r="KA36" s="539">
        <v>227.90324318663147</v>
      </c>
      <c r="KB36" s="539">
        <v>238.21394936568612</v>
      </c>
      <c r="KC36" s="539">
        <v>202.77937975554852</v>
      </c>
      <c r="KD36" s="536"/>
    </row>
    <row r="37" spans="1:290" ht="15" customHeight="1" x14ac:dyDescent="0.2">
      <c r="A37" s="930"/>
      <c r="B37" s="359" t="s">
        <v>769</v>
      </c>
      <c r="C37" s="491"/>
      <c r="D37" s="492">
        <v>2</v>
      </c>
      <c r="E37" s="492">
        <v>1</v>
      </c>
      <c r="F37" s="492">
        <v>2</v>
      </c>
      <c r="G37" s="493">
        <v>1</v>
      </c>
      <c r="H37" s="493"/>
      <c r="I37" s="493"/>
      <c r="J37" s="493">
        <v>2</v>
      </c>
      <c r="K37" s="199"/>
      <c r="L37" s="491"/>
      <c r="M37" s="492"/>
      <c r="N37" s="492"/>
      <c r="O37" s="492">
        <v>1</v>
      </c>
      <c r="P37" s="493">
        <v>1</v>
      </c>
      <c r="Q37" s="493"/>
      <c r="R37" s="493"/>
      <c r="S37" s="493">
        <v>2</v>
      </c>
      <c r="T37" s="199"/>
      <c r="U37" s="491"/>
      <c r="V37" s="492">
        <v>2</v>
      </c>
      <c r="W37" s="492">
        <v>1</v>
      </c>
      <c r="X37" s="492">
        <v>1</v>
      </c>
      <c r="Y37" s="493"/>
      <c r="Z37" s="493"/>
      <c r="AA37" s="493"/>
      <c r="AB37" s="493"/>
      <c r="AC37" s="199"/>
      <c r="AD37" s="491">
        <v>50</v>
      </c>
      <c r="AE37" s="492">
        <v>42</v>
      </c>
      <c r="AF37" s="492">
        <v>58</v>
      </c>
      <c r="AG37" s="492">
        <v>58</v>
      </c>
      <c r="AH37" s="493">
        <v>37</v>
      </c>
      <c r="AI37" s="493">
        <v>44</v>
      </c>
      <c r="AJ37" s="493">
        <v>24</v>
      </c>
      <c r="AK37" s="493">
        <v>92</v>
      </c>
      <c r="AL37" s="199"/>
      <c r="AM37" s="491">
        <v>31</v>
      </c>
      <c r="AN37" s="492">
        <v>25</v>
      </c>
      <c r="AO37" s="492">
        <v>39</v>
      </c>
      <c r="AP37" s="492">
        <v>33</v>
      </c>
      <c r="AQ37" s="493">
        <v>15</v>
      </c>
      <c r="AR37" s="493">
        <v>23</v>
      </c>
      <c r="AS37" s="493">
        <v>11</v>
      </c>
      <c r="AT37" s="493">
        <v>80</v>
      </c>
      <c r="AU37" s="199"/>
      <c r="AV37" s="491"/>
      <c r="AW37" s="492"/>
      <c r="AX37" s="492"/>
      <c r="AY37" s="492"/>
      <c r="AZ37" s="493"/>
      <c r="BA37" s="493"/>
      <c r="BB37" s="493"/>
      <c r="BC37" s="493">
        <v>1</v>
      </c>
      <c r="BD37" s="199"/>
      <c r="BE37" s="491">
        <v>11</v>
      </c>
      <c r="BF37" s="492">
        <v>8</v>
      </c>
      <c r="BG37" s="492">
        <v>5</v>
      </c>
      <c r="BH37" s="492">
        <v>7</v>
      </c>
      <c r="BI37" s="493">
        <v>16</v>
      </c>
      <c r="BJ37" s="493">
        <v>13</v>
      </c>
      <c r="BK37" s="493">
        <v>9</v>
      </c>
      <c r="BL37" s="493">
        <v>16</v>
      </c>
      <c r="BM37" s="199"/>
      <c r="BN37" s="491"/>
      <c r="BO37" s="492"/>
      <c r="BP37" s="492"/>
      <c r="BQ37" s="492"/>
      <c r="BR37" s="493"/>
      <c r="BS37" s="493">
        <v>13</v>
      </c>
      <c r="BT37" s="493">
        <v>20</v>
      </c>
      <c r="BU37" s="493">
        <v>1</v>
      </c>
      <c r="BV37" s="199"/>
      <c r="BW37" s="491">
        <v>31</v>
      </c>
      <c r="BX37" s="492">
        <v>36</v>
      </c>
      <c r="BY37" s="492">
        <v>43</v>
      </c>
      <c r="BZ37" s="492">
        <v>41</v>
      </c>
      <c r="CA37" s="493">
        <v>30</v>
      </c>
      <c r="CB37" s="493">
        <v>39</v>
      </c>
      <c r="CC37" s="493">
        <v>33</v>
      </c>
      <c r="CD37" s="493">
        <v>31</v>
      </c>
      <c r="CE37" s="199"/>
      <c r="CF37" s="491">
        <v>1</v>
      </c>
      <c r="CG37" s="492">
        <v>2</v>
      </c>
      <c r="CH37" s="492"/>
      <c r="CI37" s="492">
        <v>5</v>
      </c>
      <c r="CJ37" s="493">
        <v>2</v>
      </c>
      <c r="CK37" s="493">
        <v>2</v>
      </c>
      <c r="CL37" s="493">
        <v>2</v>
      </c>
      <c r="CM37" s="493">
        <v>4</v>
      </c>
      <c r="CN37" s="199"/>
      <c r="CO37" s="491">
        <v>2</v>
      </c>
      <c r="CP37" s="492">
        <v>1</v>
      </c>
      <c r="CQ37" s="492"/>
      <c r="CR37" s="492">
        <v>1</v>
      </c>
      <c r="CS37" s="493"/>
      <c r="CT37" s="493">
        <v>1</v>
      </c>
      <c r="CU37" s="493"/>
      <c r="CV37" s="493">
        <v>6</v>
      </c>
      <c r="CW37" s="199"/>
      <c r="CX37" s="491">
        <v>518</v>
      </c>
      <c r="CY37" s="492">
        <v>403</v>
      </c>
      <c r="CZ37" s="492">
        <v>414</v>
      </c>
      <c r="DA37" s="492">
        <v>342</v>
      </c>
      <c r="DB37" s="493">
        <v>303</v>
      </c>
      <c r="DC37" s="493">
        <v>322</v>
      </c>
      <c r="DD37" s="493">
        <v>223</v>
      </c>
      <c r="DE37" s="493">
        <v>234</v>
      </c>
      <c r="DF37" s="199"/>
      <c r="DG37" s="491">
        <v>13</v>
      </c>
      <c r="DH37" s="492">
        <v>4</v>
      </c>
      <c r="DI37" s="492">
        <v>4</v>
      </c>
      <c r="DJ37" s="492">
        <v>6</v>
      </c>
      <c r="DK37" s="493">
        <v>5</v>
      </c>
      <c r="DL37" s="493">
        <v>6</v>
      </c>
      <c r="DM37" s="493">
        <v>1</v>
      </c>
      <c r="DN37" s="493">
        <v>1</v>
      </c>
      <c r="DO37" s="199"/>
      <c r="DP37" s="491">
        <v>36</v>
      </c>
      <c r="DQ37" s="492">
        <v>15</v>
      </c>
      <c r="DR37" s="492">
        <v>9</v>
      </c>
      <c r="DS37" s="492">
        <v>9</v>
      </c>
      <c r="DT37" s="493">
        <v>8</v>
      </c>
      <c r="DU37" s="493">
        <v>17</v>
      </c>
      <c r="DV37" s="493">
        <v>9</v>
      </c>
      <c r="DW37" s="493">
        <v>10</v>
      </c>
      <c r="DX37" s="199"/>
      <c r="DY37" s="491">
        <v>45</v>
      </c>
      <c r="DZ37" s="492">
        <v>52</v>
      </c>
      <c r="EA37" s="492">
        <v>73</v>
      </c>
      <c r="EB37" s="492">
        <v>45</v>
      </c>
      <c r="EC37" s="493">
        <v>52</v>
      </c>
      <c r="ED37" s="493">
        <v>66</v>
      </c>
      <c r="EE37" s="493">
        <v>44</v>
      </c>
      <c r="EF37" s="493">
        <v>19</v>
      </c>
      <c r="EG37" s="199"/>
      <c r="EH37" s="491">
        <v>7</v>
      </c>
      <c r="EI37" s="492">
        <v>4</v>
      </c>
      <c r="EJ37" s="492">
        <v>4</v>
      </c>
      <c r="EK37" s="492">
        <v>10</v>
      </c>
      <c r="EL37" s="493">
        <v>4</v>
      </c>
      <c r="EM37" s="493"/>
      <c r="EN37" s="493">
        <v>1</v>
      </c>
      <c r="EO37" s="493">
        <v>1</v>
      </c>
      <c r="EP37" s="199"/>
      <c r="EQ37" s="491"/>
      <c r="ER37" s="492"/>
      <c r="ES37" s="492"/>
      <c r="ET37" s="492"/>
      <c r="EU37" s="493">
        <v>2</v>
      </c>
      <c r="EV37" s="493">
        <v>1</v>
      </c>
      <c r="EW37" s="493">
        <v>3</v>
      </c>
      <c r="EX37" s="493"/>
      <c r="EY37" s="199"/>
      <c r="EZ37" s="491"/>
      <c r="FA37" s="492">
        <v>3</v>
      </c>
      <c r="FB37" s="492">
        <v>3</v>
      </c>
      <c r="FC37" s="492">
        <v>1</v>
      </c>
      <c r="FD37" s="493">
        <v>1</v>
      </c>
      <c r="FE37" s="493">
        <v>2</v>
      </c>
      <c r="FF37" s="493">
        <v>2</v>
      </c>
      <c r="FG37" s="493"/>
      <c r="FH37" s="199"/>
      <c r="FI37" s="491">
        <v>44</v>
      </c>
      <c r="FJ37" s="492">
        <v>38</v>
      </c>
      <c r="FK37" s="492">
        <v>22</v>
      </c>
      <c r="FL37" s="492">
        <v>12</v>
      </c>
      <c r="FM37" s="493">
        <v>18</v>
      </c>
      <c r="FN37" s="493">
        <v>8</v>
      </c>
      <c r="FO37" s="493">
        <v>12</v>
      </c>
      <c r="FP37" s="493">
        <v>9</v>
      </c>
      <c r="FQ37" s="199"/>
      <c r="FR37" s="491">
        <v>1</v>
      </c>
      <c r="FS37" s="492">
        <v>3</v>
      </c>
      <c r="FT37" s="492"/>
      <c r="FU37" s="492">
        <v>1</v>
      </c>
      <c r="FV37" s="493">
        <v>5</v>
      </c>
      <c r="FW37" s="493">
        <v>3</v>
      </c>
      <c r="FX37" s="493">
        <v>1</v>
      </c>
      <c r="FY37" s="493">
        <v>2</v>
      </c>
      <c r="FZ37" s="199"/>
      <c r="GA37" s="491">
        <v>3</v>
      </c>
      <c r="GB37" s="492">
        <v>1</v>
      </c>
      <c r="GC37" s="492"/>
      <c r="GD37" s="492">
        <v>3</v>
      </c>
      <c r="GE37" s="493">
        <v>4</v>
      </c>
      <c r="GF37" s="493">
        <v>6</v>
      </c>
      <c r="GG37" s="493">
        <v>2</v>
      </c>
      <c r="GH37" s="493">
        <v>1</v>
      </c>
      <c r="GI37" s="199"/>
      <c r="GJ37" s="491">
        <v>668</v>
      </c>
      <c r="GK37" s="492">
        <v>543</v>
      </c>
      <c r="GL37" s="492">
        <v>550</v>
      </c>
      <c r="GM37" s="492">
        <v>483</v>
      </c>
      <c r="GN37" s="493">
        <v>423</v>
      </c>
      <c r="GO37" s="493">
        <v>454</v>
      </c>
      <c r="GP37" s="493">
        <v>332</v>
      </c>
      <c r="GQ37" s="493">
        <v>399</v>
      </c>
      <c r="GR37" s="199"/>
      <c r="GS37" s="491">
        <v>204</v>
      </c>
      <c r="GT37" s="492">
        <v>174</v>
      </c>
      <c r="GU37" s="492">
        <v>195</v>
      </c>
      <c r="GV37" s="492">
        <v>156</v>
      </c>
      <c r="GW37" s="493">
        <v>107</v>
      </c>
      <c r="GX37" s="493">
        <v>90</v>
      </c>
      <c r="GY37" s="493">
        <v>83</v>
      </c>
      <c r="GZ37" s="493">
        <v>84</v>
      </c>
      <c r="HA37" s="199"/>
      <c r="HB37" s="491">
        <v>1</v>
      </c>
      <c r="HC37" s="492">
        <v>1</v>
      </c>
      <c r="HD37" s="492">
        <v>1</v>
      </c>
      <c r="HE37" s="492">
        <v>2</v>
      </c>
      <c r="HF37" s="493">
        <v>5</v>
      </c>
      <c r="HG37" s="493">
        <v>1</v>
      </c>
      <c r="HH37" s="493">
        <v>2</v>
      </c>
      <c r="HI37" s="493"/>
      <c r="HJ37" s="199"/>
      <c r="HK37" s="491"/>
      <c r="HL37" s="492"/>
      <c r="HM37" s="492"/>
      <c r="HN37" s="492">
        <v>1</v>
      </c>
      <c r="HO37" s="493">
        <v>1</v>
      </c>
      <c r="HP37" s="493"/>
      <c r="HQ37" s="493">
        <v>3</v>
      </c>
      <c r="HR37" s="493"/>
      <c r="HS37" s="199"/>
      <c r="HT37" s="491">
        <v>287</v>
      </c>
      <c r="HU37" s="492">
        <v>234</v>
      </c>
      <c r="HV37" s="492">
        <v>282</v>
      </c>
      <c r="HW37" s="492">
        <v>222</v>
      </c>
      <c r="HX37" s="493">
        <v>253</v>
      </c>
      <c r="HY37" s="493">
        <v>214</v>
      </c>
      <c r="HZ37" s="493">
        <v>230</v>
      </c>
      <c r="IA37" s="493">
        <v>237</v>
      </c>
      <c r="IB37" s="199"/>
      <c r="IC37" s="491">
        <v>1263</v>
      </c>
      <c r="ID37" s="492">
        <v>1012</v>
      </c>
      <c r="IE37" s="492">
        <v>1023</v>
      </c>
      <c r="IF37" s="492">
        <v>783</v>
      </c>
      <c r="IG37" s="493">
        <v>793</v>
      </c>
      <c r="IH37" s="493">
        <v>808</v>
      </c>
      <c r="II37" s="493">
        <v>688</v>
      </c>
      <c r="IJ37" s="493">
        <v>807</v>
      </c>
      <c r="IK37" s="199"/>
      <c r="IL37" s="491">
        <v>92</v>
      </c>
      <c r="IM37" s="492">
        <v>114</v>
      </c>
      <c r="IN37" s="492">
        <v>120</v>
      </c>
      <c r="IO37" s="492">
        <v>79</v>
      </c>
      <c r="IP37" s="493">
        <v>44</v>
      </c>
      <c r="IQ37" s="493">
        <v>98</v>
      </c>
      <c r="IR37" s="493">
        <v>58</v>
      </c>
      <c r="IS37" s="493">
        <v>33</v>
      </c>
      <c r="IT37" s="199"/>
      <c r="IU37" s="533">
        <v>2748.8192917927176</v>
      </c>
      <c r="IV37" s="534">
        <v>2229.3204097367552</v>
      </c>
      <c r="IW37" s="534">
        <v>2274.0408126972834</v>
      </c>
      <c r="IX37" s="534">
        <v>1754.1501444989581</v>
      </c>
      <c r="IY37" s="535">
        <v>1789.6637327916951</v>
      </c>
      <c r="IZ37" s="535">
        <v>1958.3973279838826</v>
      </c>
      <c r="JA37" s="535">
        <v>1901.3928808313065</v>
      </c>
      <c r="JB37" s="535">
        <v>2229.2817679558011</v>
      </c>
      <c r="JC37" s="536"/>
      <c r="JD37" s="537">
        <v>624.63272901386381</v>
      </c>
      <c r="JE37" s="538">
        <v>515.47527260711536</v>
      </c>
      <c r="JF37" s="538">
        <v>626.86169030364999</v>
      </c>
      <c r="JG37" s="538">
        <v>497.34525169702266</v>
      </c>
      <c r="JH37" s="538">
        <v>570.97720604829613</v>
      </c>
      <c r="JI37" s="539">
        <v>521.54498122850919</v>
      </c>
      <c r="JJ37" s="539">
        <v>635.64006190581472</v>
      </c>
      <c r="JK37" s="539">
        <v>654.69613259668517</v>
      </c>
      <c r="JL37" s="536"/>
      <c r="JM37" s="537">
        <v>1453.8489999347073</v>
      </c>
      <c r="JN37" s="538">
        <v>1196.1669787421522</v>
      </c>
      <c r="JO37" s="538">
        <v>1222.6025874716579</v>
      </c>
      <c r="JP37" s="538">
        <v>1082.0619665300087</v>
      </c>
      <c r="JQ37" s="538">
        <v>954.63777928232901</v>
      </c>
      <c r="JR37" s="539">
        <v>1117.483658525096</v>
      </c>
      <c r="JS37" s="539">
        <v>917.53261109882817</v>
      </c>
      <c r="JT37" s="539">
        <v>1102.2099447513813</v>
      </c>
      <c r="JU37" s="536"/>
      <c r="JV37" s="537">
        <v>443.98981435131782</v>
      </c>
      <c r="JW37" s="538">
        <v>383.30212578477807</v>
      </c>
      <c r="JX37" s="538">
        <v>433.4681901035878</v>
      </c>
      <c r="JY37" s="538">
        <v>349.48585254385375</v>
      </c>
      <c r="JZ37" s="538">
        <v>241.48047844730308</v>
      </c>
      <c r="KA37" s="539">
        <v>229.26269689879527</v>
      </c>
      <c r="KB37" s="539">
        <v>229.38315277470704</v>
      </c>
      <c r="KC37" s="539">
        <v>232.04419889502762</v>
      </c>
      <c r="KD37" s="536"/>
    </row>
    <row r="38" spans="1:290" ht="15" customHeight="1" x14ac:dyDescent="0.2">
      <c r="A38" s="930"/>
      <c r="B38" s="359" t="s">
        <v>661</v>
      </c>
      <c r="C38" s="491">
        <v>5</v>
      </c>
      <c r="D38" s="492">
        <v>2</v>
      </c>
      <c r="E38" s="492">
        <v>1</v>
      </c>
      <c r="F38" s="492">
        <v>1</v>
      </c>
      <c r="G38" s="493">
        <v>2</v>
      </c>
      <c r="H38" s="493">
        <v>3</v>
      </c>
      <c r="I38" s="493"/>
      <c r="J38" s="493">
        <v>3</v>
      </c>
      <c r="K38" s="199"/>
      <c r="L38" s="491">
        <v>4</v>
      </c>
      <c r="M38" s="492"/>
      <c r="N38" s="492"/>
      <c r="O38" s="492">
        <v>1</v>
      </c>
      <c r="P38" s="493">
        <v>1</v>
      </c>
      <c r="Q38" s="493">
        <v>2</v>
      </c>
      <c r="R38" s="493"/>
      <c r="S38" s="493">
        <v>3</v>
      </c>
      <c r="T38" s="199"/>
      <c r="U38" s="491">
        <v>1</v>
      </c>
      <c r="V38" s="492">
        <v>2</v>
      </c>
      <c r="W38" s="492">
        <v>1</v>
      </c>
      <c r="X38" s="492"/>
      <c r="Y38" s="493"/>
      <c r="Z38" s="493">
        <v>1</v>
      </c>
      <c r="AA38" s="493"/>
      <c r="AB38" s="493"/>
      <c r="AC38" s="199"/>
      <c r="AD38" s="491">
        <v>69</v>
      </c>
      <c r="AE38" s="492">
        <v>61</v>
      </c>
      <c r="AF38" s="492">
        <v>87</v>
      </c>
      <c r="AG38" s="492">
        <v>56</v>
      </c>
      <c r="AH38" s="493">
        <v>87</v>
      </c>
      <c r="AI38" s="493">
        <v>60</v>
      </c>
      <c r="AJ38" s="493">
        <v>69</v>
      </c>
      <c r="AK38" s="493">
        <v>45</v>
      </c>
      <c r="AL38" s="199"/>
      <c r="AM38" s="491">
        <v>45</v>
      </c>
      <c r="AN38" s="492">
        <v>38</v>
      </c>
      <c r="AO38" s="492">
        <v>54</v>
      </c>
      <c r="AP38" s="492">
        <v>38</v>
      </c>
      <c r="AQ38" s="493">
        <v>36</v>
      </c>
      <c r="AR38" s="493">
        <v>26</v>
      </c>
      <c r="AS38" s="493">
        <v>40</v>
      </c>
      <c r="AT38" s="493">
        <v>29</v>
      </c>
      <c r="AU38" s="199"/>
      <c r="AV38" s="491"/>
      <c r="AW38" s="492"/>
      <c r="AX38" s="492"/>
      <c r="AY38" s="492">
        <v>1</v>
      </c>
      <c r="AZ38" s="493"/>
      <c r="BA38" s="493"/>
      <c r="BB38" s="493"/>
      <c r="BC38" s="493">
        <v>1</v>
      </c>
      <c r="BD38" s="199"/>
      <c r="BE38" s="491">
        <v>13</v>
      </c>
      <c r="BF38" s="492">
        <v>30</v>
      </c>
      <c r="BG38" s="492">
        <v>29</v>
      </c>
      <c r="BH38" s="492">
        <v>55</v>
      </c>
      <c r="BI38" s="493">
        <v>20</v>
      </c>
      <c r="BJ38" s="493">
        <v>19</v>
      </c>
      <c r="BK38" s="493">
        <v>29</v>
      </c>
      <c r="BL38" s="493">
        <v>20</v>
      </c>
      <c r="BM38" s="199"/>
      <c r="BN38" s="491">
        <v>10</v>
      </c>
      <c r="BO38" s="492">
        <v>16</v>
      </c>
      <c r="BP38" s="492">
        <v>12</v>
      </c>
      <c r="BQ38" s="492">
        <v>25</v>
      </c>
      <c r="BR38" s="493">
        <v>17</v>
      </c>
      <c r="BS38" s="493">
        <v>27</v>
      </c>
      <c r="BT38" s="493">
        <v>8</v>
      </c>
      <c r="BU38" s="493">
        <v>5</v>
      </c>
      <c r="BV38" s="199"/>
      <c r="BW38" s="491">
        <v>44</v>
      </c>
      <c r="BX38" s="492">
        <v>29</v>
      </c>
      <c r="BY38" s="492">
        <v>59</v>
      </c>
      <c r="BZ38" s="492">
        <v>46</v>
      </c>
      <c r="CA38" s="493">
        <v>83</v>
      </c>
      <c r="CB38" s="493">
        <v>59</v>
      </c>
      <c r="CC38" s="493">
        <v>52</v>
      </c>
      <c r="CD38" s="493">
        <v>41</v>
      </c>
      <c r="CE38" s="199"/>
      <c r="CF38" s="491">
        <v>5</v>
      </c>
      <c r="CG38" s="492">
        <v>2</v>
      </c>
      <c r="CH38" s="492">
        <v>5</v>
      </c>
      <c r="CI38" s="492">
        <v>4</v>
      </c>
      <c r="CJ38" s="493">
        <v>6</v>
      </c>
      <c r="CK38" s="493">
        <v>7</v>
      </c>
      <c r="CL38" s="493">
        <v>2</v>
      </c>
      <c r="CM38" s="493">
        <v>4</v>
      </c>
      <c r="CN38" s="199"/>
      <c r="CO38" s="491">
        <v>4</v>
      </c>
      <c r="CP38" s="492">
        <v>3</v>
      </c>
      <c r="CQ38" s="492">
        <v>2</v>
      </c>
      <c r="CR38" s="492">
        <v>4</v>
      </c>
      <c r="CS38" s="493"/>
      <c r="CT38" s="493">
        <v>2</v>
      </c>
      <c r="CU38" s="493">
        <v>2</v>
      </c>
      <c r="CV38" s="493">
        <v>3</v>
      </c>
      <c r="CW38" s="199"/>
      <c r="CX38" s="491">
        <v>790</v>
      </c>
      <c r="CY38" s="492">
        <v>912</v>
      </c>
      <c r="CZ38" s="492">
        <v>899</v>
      </c>
      <c r="DA38" s="492">
        <v>878</v>
      </c>
      <c r="DB38" s="493">
        <v>785</v>
      </c>
      <c r="DC38" s="493">
        <v>880</v>
      </c>
      <c r="DD38" s="493">
        <v>604</v>
      </c>
      <c r="DE38" s="493">
        <v>785</v>
      </c>
      <c r="DF38" s="199"/>
      <c r="DG38" s="491">
        <v>8</v>
      </c>
      <c r="DH38" s="492">
        <v>6</v>
      </c>
      <c r="DI38" s="492">
        <v>8</v>
      </c>
      <c r="DJ38" s="492">
        <v>3</v>
      </c>
      <c r="DK38" s="493">
        <v>2</v>
      </c>
      <c r="DL38" s="493">
        <v>3</v>
      </c>
      <c r="DM38" s="493"/>
      <c r="DN38" s="493">
        <v>3</v>
      </c>
      <c r="DO38" s="199"/>
      <c r="DP38" s="491">
        <v>17</v>
      </c>
      <c r="DQ38" s="492">
        <v>55</v>
      </c>
      <c r="DR38" s="492">
        <v>16</v>
      </c>
      <c r="DS38" s="492">
        <v>20</v>
      </c>
      <c r="DT38" s="493">
        <v>12</v>
      </c>
      <c r="DU38" s="493">
        <v>30</v>
      </c>
      <c r="DV38" s="493">
        <v>18</v>
      </c>
      <c r="DW38" s="493">
        <v>18</v>
      </c>
      <c r="DX38" s="199"/>
      <c r="DY38" s="491">
        <v>74</v>
      </c>
      <c r="DZ38" s="492">
        <v>65</v>
      </c>
      <c r="EA38" s="492">
        <v>102</v>
      </c>
      <c r="EB38" s="492">
        <v>107</v>
      </c>
      <c r="EC38" s="493">
        <v>126</v>
      </c>
      <c r="ED38" s="493">
        <v>123</v>
      </c>
      <c r="EE38" s="493">
        <v>131</v>
      </c>
      <c r="EF38" s="493">
        <v>117</v>
      </c>
      <c r="EG38" s="199"/>
      <c r="EH38" s="491">
        <v>17</v>
      </c>
      <c r="EI38" s="492">
        <v>10</v>
      </c>
      <c r="EJ38" s="492">
        <v>11</v>
      </c>
      <c r="EK38" s="492">
        <v>7</v>
      </c>
      <c r="EL38" s="493">
        <v>11</v>
      </c>
      <c r="EM38" s="493">
        <v>6</v>
      </c>
      <c r="EN38" s="493">
        <v>7</v>
      </c>
      <c r="EO38" s="493">
        <v>7</v>
      </c>
      <c r="EP38" s="199"/>
      <c r="EQ38" s="491">
        <v>2</v>
      </c>
      <c r="ER38" s="492">
        <v>2</v>
      </c>
      <c r="ES38" s="492"/>
      <c r="ET38" s="492">
        <v>6</v>
      </c>
      <c r="EU38" s="493">
        <v>5</v>
      </c>
      <c r="EV38" s="493">
        <v>6</v>
      </c>
      <c r="EW38" s="493">
        <v>9</v>
      </c>
      <c r="EX38" s="493">
        <v>12</v>
      </c>
      <c r="EY38" s="199"/>
      <c r="EZ38" s="491">
        <v>9</v>
      </c>
      <c r="FA38" s="492">
        <v>2</v>
      </c>
      <c r="FB38" s="492">
        <v>6</v>
      </c>
      <c r="FC38" s="492">
        <v>1</v>
      </c>
      <c r="FD38" s="493">
        <v>3</v>
      </c>
      <c r="FE38" s="493">
        <v>3</v>
      </c>
      <c r="FF38" s="493">
        <v>4</v>
      </c>
      <c r="FG38" s="493">
        <v>2</v>
      </c>
      <c r="FH38" s="199"/>
      <c r="FI38" s="491">
        <v>63</v>
      </c>
      <c r="FJ38" s="492">
        <v>57</v>
      </c>
      <c r="FK38" s="492">
        <v>59</v>
      </c>
      <c r="FL38" s="492">
        <v>31</v>
      </c>
      <c r="FM38" s="493">
        <v>29</v>
      </c>
      <c r="FN38" s="493">
        <v>25</v>
      </c>
      <c r="FO38" s="493">
        <v>46</v>
      </c>
      <c r="FP38" s="493">
        <v>33</v>
      </c>
      <c r="FQ38" s="199"/>
      <c r="FR38" s="491">
        <v>12</v>
      </c>
      <c r="FS38" s="492">
        <v>13</v>
      </c>
      <c r="FT38" s="492">
        <v>16</v>
      </c>
      <c r="FU38" s="492">
        <v>13</v>
      </c>
      <c r="FV38" s="493">
        <v>5</v>
      </c>
      <c r="FW38" s="493">
        <v>6</v>
      </c>
      <c r="FX38" s="493">
        <v>4</v>
      </c>
      <c r="FY38" s="493">
        <v>7</v>
      </c>
      <c r="FZ38" s="199"/>
      <c r="GA38" s="491">
        <v>23</v>
      </c>
      <c r="GB38" s="492">
        <v>29</v>
      </c>
      <c r="GC38" s="492">
        <v>15</v>
      </c>
      <c r="GD38" s="492">
        <v>17</v>
      </c>
      <c r="GE38" s="493">
        <v>15</v>
      </c>
      <c r="GF38" s="493">
        <v>9</v>
      </c>
      <c r="GG38" s="493">
        <v>14</v>
      </c>
      <c r="GH38" s="493">
        <v>17</v>
      </c>
      <c r="GI38" s="199"/>
      <c r="GJ38" s="491">
        <v>1066</v>
      </c>
      <c r="GK38" s="492">
        <v>1168</v>
      </c>
      <c r="GL38" s="492">
        <v>1201</v>
      </c>
      <c r="GM38" s="492">
        <v>1144</v>
      </c>
      <c r="GN38" s="493">
        <v>1068</v>
      </c>
      <c r="GO38" s="493">
        <v>1112</v>
      </c>
      <c r="GP38" s="493">
        <v>850</v>
      </c>
      <c r="GQ38" s="493">
        <v>984</v>
      </c>
      <c r="GR38" s="199"/>
      <c r="GS38" s="491">
        <v>290</v>
      </c>
      <c r="GT38" s="492">
        <v>366</v>
      </c>
      <c r="GU38" s="492">
        <v>321</v>
      </c>
      <c r="GV38" s="492">
        <v>241</v>
      </c>
      <c r="GW38" s="493">
        <v>155</v>
      </c>
      <c r="GX38" s="493">
        <v>376</v>
      </c>
      <c r="GY38" s="493">
        <v>148</v>
      </c>
      <c r="GZ38" s="493">
        <v>208</v>
      </c>
      <c r="HA38" s="199"/>
      <c r="HB38" s="491">
        <v>5</v>
      </c>
      <c r="HC38" s="492">
        <v>4</v>
      </c>
      <c r="HD38" s="492">
        <v>3</v>
      </c>
      <c r="HE38" s="492">
        <v>2</v>
      </c>
      <c r="HF38" s="493">
        <v>4</v>
      </c>
      <c r="HG38" s="493">
        <v>4</v>
      </c>
      <c r="HH38" s="493">
        <v>6</v>
      </c>
      <c r="HI38" s="493">
        <v>3</v>
      </c>
      <c r="HJ38" s="199"/>
      <c r="HK38" s="491">
        <v>3</v>
      </c>
      <c r="HL38" s="492">
        <v>6</v>
      </c>
      <c r="HM38" s="492">
        <v>1</v>
      </c>
      <c r="HN38" s="492"/>
      <c r="HO38" s="493">
        <v>1</v>
      </c>
      <c r="HP38" s="493">
        <v>1</v>
      </c>
      <c r="HQ38" s="493">
        <v>4</v>
      </c>
      <c r="HR38" s="493">
        <v>4</v>
      </c>
      <c r="HS38" s="199"/>
      <c r="HT38" s="491">
        <v>563</v>
      </c>
      <c r="HU38" s="492">
        <v>557</v>
      </c>
      <c r="HV38" s="492">
        <v>551</v>
      </c>
      <c r="HW38" s="492">
        <v>486</v>
      </c>
      <c r="HX38" s="493">
        <v>473</v>
      </c>
      <c r="HY38" s="493">
        <v>724</v>
      </c>
      <c r="HZ38" s="493">
        <v>509</v>
      </c>
      <c r="IA38" s="493">
        <v>569</v>
      </c>
      <c r="IB38" s="199"/>
      <c r="IC38" s="491">
        <v>1999</v>
      </c>
      <c r="ID38" s="492">
        <v>2140</v>
      </c>
      <c r="IE38" s="492">
        <v>2439</v>
      </c>
      <c r="IF38" s="492">
        <v>2026</v>
      </c>
      <c r="IG38" s="493">
        <v>1904</v>
      </c>
      <c r="IH38" s="493">
        <v>2090</v>
      </c>
      <c r="II38" s="493">
        <v>2471</v>
      </c>
      <c r="IJ38" s="493">
        <v>1931</v>
      </c>
      <c r="IK38" s="199"/>
      <c r="IL38" s="491">
        <v>192</v>
      </c>
      <c r="IM38" s="492">
        <v>183</v>
      </c>
      <c r="IN38" s="492">
        <v>232</v>
      </c>
      <c r="IO38" s="492">
        <v>186</v>
      </c>
      <c r="IP38" s="493">
        <v>96</v>
      </c>
      <c r="IQ38" s="493">
        <v>166</v>
      </c>
      <c r="IR38" s="493">
        <v>156</v>
      </c>
      <c r="IS38" s="493">
        <v>174</v>
      </c>
      <c r="IT38" s="199"/>
      <c r="IU38" s="533">
        <v>2471.4405815736118</v>
      </c>
      <c r="IV38" s="534">
        <v>2672.1274629772993</v>
      </c>
      <c r="IW38" s="534">
        <v>3077.5248574168477</v>
      </c>
      <c r="IX38" s="534">
        <v>2566.7663305123401</v>
      </c>
      <c r="IY38" s="535">
        <v>2435.5923964489471</v>
      </c>
      <c r="IZ38" s="535">
        <v>2690.735454804807</v>
      </c>
      <c r="JA38" s="535">
        <v>3168.3549172970893</v>
      </c>
      <c r="JB38" s="535">
        <v>2494.9609798956017</v>
      </c>
      <c r="JC38" s="536"/>
      <c r="JD38" s="537">
        <v>696.05855298946642</v>
      </c>
      <c r="JE38" s="538">
        <v>695.50233498988587</v>
      </c>
      <c r="JF38" s="538">
        <v>695.25059304497051</v>
      </c>
      <c r="JG38" s="538">
        <v>615.71986013277251</v>
      </c>
      <c r="JH38" s="538">
        <v>605.060506050605</v>
      </c>
      <c r="JI38" s="539">
        <v>927.39940159726257</v>
      </c>
      <c r="JJ38" s="539">
        <v>652.64777535581482</v>
      </c>
      <c r="JK38" s="539">
        <v>735.1801126673214</v>
      </c>
      <c r="JL38" s="536"/>
      <c r="JM38" s="537">
        <v>1317.9367983779239</v>
      </c>
      <c r="JN38" s="538">
        <v>1458.4321854006942</v>
      </c>
      <c r="JO38" s="538">
        <v>1515.4191692323222</v>
      </c>
      <c r="JP38" s="538">
        <v>1449.3488065676786</v>
      </c>
      <c r="JQ38" s="538">
        <v>1366.1831299409012</v>
      </c>
      <c r="JR38" s="539">
        <v>1437.1431310022742</v>
      </c>
      <c r="JS38" s="539">
        <v>1089.8833183741506</v>
      </c>
      <c r="JT38" s="539">
        <v>1271.3835340327664</v>
      </c>
      <c r="JU38" s="536"/>
      <c r="JV38" s="537">
        <v>358.53815340487614</v>
      </c>
      <c r="JW38" s="538">
        <v>457.00871563069705</v>
      </c>
      <c r="JX38" s="538">
        <v>405.03709685559988</v>
      </c>
      <c r="JY38" s="538">
        <v>305.32610348147773</v>
      </c>
      <c r="JZ38" s="538">
        <v>198.27564151764014</v>
      </c>
      <c r="KA38" s="539">
        <v>480.67148864870001</v>
      </c>
      <c r="KB38" s="539">
        <v>189.76791896396975</v>
      </c>
      <c r="KC38" s="539">
        <v>268.74773890123521</v>
      </c>
      <c r="KD38" s="536"/>
    </row>
    <row r="39" spans="1:290" ht="15" customHeight="1" thickBot="1" x14ac:dyDescent="0.25">
      <c r="A39" s="930"/>
      <c r="B39" s="505" t="s">
        <v>662</v>
      </c>
      <c r="C39" s="495">
        <v>1</v>
      </c>
      <c r="D39" s="496"/>
      <c r="E39" s="496"/>
      <c r="F39" s="496">
        <v>1</v>
      </c>
      <c r="G39" s="497"/>
      <c r="H39" s="497"/>
      <c r="I39" s="497">
        <v>1</v>
      </c>
      <c r="J39" s="497">
        <v>2</v>
      </c>
      <c r="K39" s="498"/>
      <c r="L39" s="495"/>
      <c r="M39" s="496"/>
      <c r="N39" s="496"/>
      <c r="O39" s="496"/>
      <c r="P39" s="497"/>
      <c r="Q39" s="497"/>
      <c r="R39" s="497"/>
      <c r="S39" s="497">
        <v>1</v>
      </c>
      <c r="T39" s="498"/>
      <c r="U39" s="495">
        <v>1</v>
      </c>
      <c r="V39" s="496"/>
      <c r="W39" s="496"/>
      <c r="X39" s="496">
        <v>1</v>
      </c>
      <c r="Y39" s="497"/>
      <c r="Z39" s="497"/>
      <c r="AA39" s="497">
        <v>1</v>
      </c>
      <c r="AB39" s="497">
        <v>1</v>
      </c>
      <c r="AC39" s="498"/>
      <c r="AD39" s="495">
        <v>33</v>
      </c>
      <c r="AE39" s="496">
        <v>38</v>
      </c>
      <c r="AF39" s="496">
        <v>44</v>
      </c>
      <c r="AG39" s="496">
        <v>46</v>
      </c>
      <c r="AH39" s="497">
        <v>55</v>
      </c>
      <c r="AI39" s="497">
        <v>31</v>
      </c>
      <c r="AJ39" s="497">
        <v>57</v>
      </c>
      <c r="AK39" s="497">
        <v>37</v>
      </c>
      <c r="AL39" s="498"/>
      <c r="AM39" s="495">
        <v>7</v>
      </c>
      <c r="AN39" s="496">
        <v>17</v>
      </c>
      <c r="AO39" s="496">
        <v>19</v>
      </c>
      <c r="AP39" s="496">
        <v>13</v>
      </c>
      <c r="AQ39" s="497">
        <v>9</v>
      </c>
      <c r="AR39" s="497">
        <v>5</v>
      </c>
      <c r="AS39" s="497">
        <v>10</v>
      </c>
      <c r="AT39" s="497">
        <v>15</v>
      </c>
      <c r="AU39" s="498"/>
      <c r="AV39" s="495"/>
      <c r="AW39" s="496"/>
      <c r="AX39" s="496"/>
      <c r="AY39" s="496"/>
      <c r="AZ39" s="497"/>
      <c r="BA39" s="497"/>
      <c r="BB39" s="497"/>
      <c r="BC39" s="497">
        <v>1</v>
      </c>
      <c r="BD39" s="498"/>
      <c r="BE39" s="495">
        <v>11</v>
      </c>
      <c r="BF39" s="496">
        <v>1</v>
      </c>
      <c r="BG39" s="496">
        <v>6</v>
      </c>
      <c r="BH39" s="496">
        <v>3</v>
      </c>
      <c r="BI39" s="497">
        <v>4</v>
      </c>
      <c r="BJ39" s="497">
        <v>7</v>
      </c>
      <c r="BK39" s="497">
        <v>16</v>
      </c>
      <c r="BL39" s="497">
        <v>7</v>
      </c>
      <c r="BM39" s="498"/>
      <c r="BN39" s="495"/>
      <c r="BO39" s="496"/>
      <c r="BP39" s="496"/>
      <c r="BQ39" s="496"/>
      <c r="BR39" s="497"/>
      <c r="BS39" s="497">
        <v>1</v>
      </c>
      <c r="BT39" s="497"/>
      <c r="BU39" s="497"/>
      <c r="BV39" s="498"/>
      <c r="BW39" s="495">
        <v>40</v>
      </c>
      <c r="BX39" s="496">
        <v>32</v>
      </c>
      <c r="BY39" s="496">
        <v>41</v>
      </c>
      <c r="BZ39" s="496">
        <v>39</v>
      </c>
      <c r="CA39" s="497">
        <v>38</v>
      </c>
      <c r="CB39" s="497">
        <v>41</v>
      </c>
      <c r="CC39" s="497">
        <v>57</v>
      </c>
      <c r="CD39" s="497">
        <v>31</v>
      </c>
      <c r="CE39" s="498"/>
      <c r="CF39" s="495">
        <v>1</v>
      </c>
      <c r="CG39" s="496">
        <v>1</v>
      </c>
      <c r="CH39" s="496">
        <v>3</v>
      </c>
      <c r="CI39" s="496">
        <v>1</v>
      </c>
      <c r="CJ39" s="497"/>
      <c r="CK39" s="497">
        <v>1</v>
      </c>
      <c r="CL39" s="497">
        <v>6</v>
      </c>
      <c r="CM39" s="497"/>
      <c r="CN39" s="498"/>
      <c r="CO39" s="495">
        <v>2</v>
      </c>
      <c r="CP39" s="496"/>
      <c r="CQ39" s="496">
        <v>3</v>
      </c>
      <c r="CR39" s="496"/>
      <c r="CS39" s="497"/>
      <c r="CT39" s="497"/>
      <c r="CU39" s="497">
        <v>3</v>
      </c>
      <c r="CV39" s="497"/>
      <c r="CW39" s="498"/>
      <c r="CX39" s="495">
        <v>326</v>
      </c>
      <c r="CY39" s="496">
        <v>423</v>
      </c>
      <c r="CZ39" s="496">
        <v>334</v>
      </c>
      <c r="DA39" s="496">
        <v>307</v>
      </c>
      <c r="DB39" s="497">
        <v>293</v>
      </c>
      <c r="DC39" s="497">
        <v>259</v>
      </c>
      <c r="DD39" s="497">
        <v>208</v>
      </c>
      <c r="DE39" s="497">
        <v>192</v>
      </c>
      <c r="DF39" s="498"/>
      <c r="DG39" s="495">
        <v>3</v>
      </c>
      <c r="DH39" s="496">
        <v>1</v>
      </c>
      <c r="DI39" s="496">
        <v>1</v>
      </c>
      <c r="DJ39" s="496"/>
      <c r="DK39" s="497">
        <v>2</v>
      </c>
      <c r="DL39" s="497">
        <v>5</v>
      </c>
      <c r="DM39" s="497"/>
      <c r="DN39" s="497">
        <v>4</v>
      </c>
      <c r="DO39" s="498"/>
      <c r="DP39" s="495">
        <v>6</v>
      </c>
      <c r="DQ39" s="496">
        <v>9</v>
      </c>
      <c r="DR39" s="496">
        <v>8</v>
      </c>
      <c r="DS39" s="496">
        <v>6</v>
      </c>
      <c r="DT39" s="497">
        <v>14</v>
      </c>
      <c r="DU39" s="497">
        <v>10</v>
      </c>
      <c r="DV39" s="497">
        <v>6</v>
      </c>
      <c r="DW39" s="497">
        <v>4</v>
      </c>
      <c r="DX39" s="498"/>
      <c r="DY39" s="495">
        <v>40</v>
      </c>
      <c r="DZ39" s="496">
        <v>68</v>
      </c>
      <c r="EA39" s="496">
        <v>27</v>
      </c>
      <c r="EB39" s="496">
        <v>50</v>
      </c>
      <c r="EC39" s="497">
        <v>68</v>
      </c>
      <c r="ED39" s="497">
        <v>58</v>
      </c>
      <c r="EE39" s="497">
        <v>46</v>
      </c>
      <c r="EF39" s="497">
        <v>37</v>
      </c>
      <c r="EG39" s="498"/>
      <c r="EH39" s="495">
        <v>2</v>
      </c>
      <c r="EI39" s="496">
        <v>3</v>
      </c>
      <c r="EJ39" s="496">
        <v>5</v>
      </c>
      <c r="EK39" s="496">
        <v>4</v>
      </c>
      <c r="EL39" s="497">
        <v>3</v>
      </c>
      <c r="EM39" s="497">
        <v>2</v>
      </c>
      <c r="EN39" s="497">
        <v>1</v>
      </c>
      <c r="EO39" s="497"/>
      <c r="EP39" s="498"/>
      <c r="EQ39" s="495"/>
      <c r="ER39" s="496"/>
      <c r="ES39" s="496">
        <v>1</v>
      </c>
      <c r="ET39" s="496">
        <v>2</v>
      </c>
      <c r="EU39" s="497">
        <v>1</v>
      </c>
      <c r="EV39" s="497">
        <v>4</v>
      </c>
      <c r="EW39" s="497">
        <v>5</v>
      </c>
      <c r="EX39" s="497">
        <v>1</v>
      </c>
      <c r="EY39" s="498"/>
      <c r="EZ39" s="495">
        <v>3</v>
      </c>
      <c r="FA39" s="496">
        <v>6</v>
      </c>
      <c r="FB39" s="496">
        <v>4</v>
      </c>
      <c r="FC39" s="496">
        <v>2</v>
      </c>
      <c r="FD39" s="497">
        <v>3</v>
      </c>
      <c r="FE39" s="497"/>
      <c r="FF39" s="497"/>
      <c r="FG39" s="497"/>
      <c r="FH39" s="498"/>
      <c r="FI39" s="495">
        <v>34</v>
      </c>
      <c r="FJ39" s="496">
        <v>22</v>
      </c>
      <c r="FK39" s="496">
        <v>23</v>
      </c>
      <c r="FL39" s="496">
        <v>7</v>
      </c>
      <c r="FM39" s="497">
        <v>16</v>
      </c>
      <c r="FN39" s="497">
        <v>6</v>
      </c>
      <c r="FO39" s="497">
        <v>6</v>
      </c>
      <c r="FP39" s="497">
        <v>7</v>
      </c>
      <c r="FQ39" s="498"/>
      <c r="FR39" s="495">
        <v>13</v>
      </c>
      <c r="FS39" s="496"/>
      <c r="FT39" s="496">
        <v>1</v>
      </c>
      <c r="FU39" s="496">
        <v>4</v>
      </c>
      <c r="FV39" s="497">
        <v>4</v>
      </c>
      <c r="FW39" s="497">
        <v>2</v>
      </c>
      <c r="FX39" s="497">
        <v>3</v>
      </c>
      <c r="FY39" s="497"/>
      <c r="FZ39" s="498"/>
      <c r="GA39" s="495">
        <v>6</v>
      </c>
      <c r="GB39" s="496">
        <v>4</v>
      </c>
      <c r="GC39" s="496">
        <v>1</v>
      </c>
      <c r="GD39" s="496">
        <v>2</v>
      </c>
      <c r="GE39" s="497">
        <v>3</v>
      </c>
      <c r="GF39" s="497">
        <v>4</v>
      </c>
      <c r="GG39" s="497">
        <v>2</v>
      </c>
      <c r="GH39" s="497">
        <v>9</v>
      </c>
      <c r="GI39" s="498"/>
      <c r="GJ39" s="495">
        <v>472</v>
      </c>
      <c r="GK39" s="496">
        <v>530</v>
      </c>
      <c r="GL39" s="496">
        <v>466</v>
      </c>
      <c r="GM39" s="496">
        <v>418</v>
      </c>
      <c r="GN39" s="497">
        <v>420</v>
      </c>
      <c r="GO39" s="497">
        <v>358</v>
      </c>
      <c r="GP39" s="497">
        <v>365</v>
      </c>
      <c r="GQ39" s="497">
        <v>286</v>
      </c>
      <c r="GR39" s="498"/>
      <c r="GS39" s="495">
        <v>146</v>
      </c>
      <c r="GT39" s="496">
        <v>110</v>
      </c>
      <c r="GU39" s="496">
        <v>111</v>
      </c>
      <c r="GV39" s="496">
        <v>94</v>
      </c>
      <c r="GW39" s="497">
        <v>71</v>
      </c>
      <c r="GX39" s="497">
        <v>61</v>
      </c>
      <c r="GY39" s="497">
        <v>56</v>
      </c>
      <c r="GZ39" s="497">
        <v>58</v>
      </c>
      <c r="HA39" s="498"/>
      <c r="HB39" s="495">
        <v>2</v>
      </c>
      <c r="HC39" s="496">
        <v>1</v>
      </c>
      <c r="HD39" s="496">
        <v>2</v>
      </c>
      <c r="HE39" s="496"/>
      <c r="HF39" s="497">
        <v>3</v>
      </c>
      <c r="HG39" s="497">
        <v>3</v>
      </c>
      <c r="HH39" s="497">
        <v>2</v>
      </c>
      <c r="HI39" s="497"/>
      <c r="HJ39" s="498"/>
      <c r="HK39" s="495">
        <v>5</v>
      </c>
      <c r="HL39" s="496"/>
      <c r="HM39" s="496">
        <v>1</v>
      </c>
      <c r="HN39" s="496">
        <v>2</v>
      </c>
      <c r="HO39" s="497"/>
      <c r="HP39" s="497">
        <v>4</v>
      </c>
      <c r="HQ39" s="497">
        <v>1</v>
      </c>
      <c r="HR39" s="497"/>
      <c r="HS39" s="498"/>
      <c r="HT39" s="495">
        <v>197</v>
      </c>
      <c r="HU39" s="496">
        <v>172</v>
      </c>
      <c r="HV39" s="496">
        <v>184</v>
      </c>
      <c r="HW39" s="496">
        <v>181</v>
      </c>
      <c r="HX39" s="497">
        <v>156</v>
      </c>
      <c r="HY39" s="497">
        <v>147</v>
      </c>
      <c r="HZ39" s="497">
        <v>181</v>
      </c>
      <c r="IA39" s="497">
        <v>177</v>
      </c>
      <c r="IB39" s="498"/>
      <c r="IC39" s="495">
        <v>668</v>
      </c>
      <c r="ID39" s="496">
        <v>860</v>
      </c>
      <c r="IE39" s="496">
        <v>1071</v>
      </c>
      <c r="IF39" s="496">
        <v>889</v>
      </c>
      <c r="IG39" s="497">
        <v>763</v>
      </c>
      <c r="IH39" s="497">
        <v>615</v>
      </c>
      <c r="II39" s="497">
        <v>699</v>
      </c>
      <c r="IJ39" s="497">
        <v>558</v>
      </c>
      <c r="IK39" s="498"/>
      <c r="IL39" s="495">
        <v>126</v>
      </c>
      <c r="IM39" s="496">
        <v>159</v>
      </c>
      <c r="IN39" s="496">
        <v>104</v>
      </c>
      <c r="IO39" s="496">
        <v>80</v>
      </c>
      <c r="IP39" s="497">
        <v>45</v>
      </c>
      <c r="IQ39" s="497">
        <v>86</v>
      </c>
      <c r="IR39" s="497">
        <v>58</v>
      </c>
      <c r="IS39" s="497">
        <v>56</v>
      </c>
      <c r="IT39" s="498"/>
      <c r="IU39" s="540">
        <v>2191.1697172472609</v>
      </c>
      <c r="IV39" s="541">
        <v>2859.1376043086539</v>
      </c>
      <c r="IW39" s="541">
        <v>3600.2420330778536</v>
      </c>
      <c r="IX39" s="541">
        <v>2972.6476292382799</v>
      </c>
      <c r="IY39" s="542">
        <v>2564.0163989515427</v>
      </c>
      <c r="IZ39" s="542">
        <v>2085.3819809433385</v>
      </c>
      <c r="JA39" s="542">
        <v>2378.3599863899285</v>
      </c>
      <c r="JB39" s="542">
        <v>1906.8448211051498</v>
      </c>
      <c r="JC39" s="543"/>
      <c r="JD39" s="544">
        <v>646.19825493669225</v>
      </c>
      <c r="JE39" s="545">
        <v>571.8275208617307</v>
      </c>
      <c r="JF39" s="545">
        <v>618.528976737932</v>
      </c>
      <c r="JG39" s="545">
        <v>605.22971978867122</v>
      </c>
      <c r="JH39" s="545">
        <v>524.22877881578063</v>
      </c>
      <c r="JI39" s="546">
        <v>498.45715642060293</v>
      </c>
      <c r="JJ39" s="546">
        <v>615.85573324259951</v>
      </c>
      <c r="JK39" s="546">
        <v>604.85937873765511</v>
      </c>
      <c r="JL39" s="543"/>
      <c r="JM39" s="544">
        <v>1548.2516564980647</v>
      </c>
      <c r="JN39" s="545">
        <v>1762.0266631204495</v>
      </c>
      <c r="JO39" s="545">
        <v>1566.4918649993278</v>
      </c>
      <c r="JP39" s="545">
        <v>1397.712833545108</v>
      </c>
      <c r="JQ39" s="545">
        <v>1411.3851737347941</v>
      </c>
      <c r="JR39" s="546">
        <v>1213.9296734596996</v>
      </c>
      <c r="JS39" s="546">
        <v>1241.9190200748553</v>
      </c>
      <c r="JT39" s="546">
        <v>977.34340293203024</v>
      </c>
      <c r="JU39" s="543"/>
      <c r="JV39" s="544">
        <v>478.90835137440138</v>
      </c>
      <c r="JW39" s="545">
        <v>365.70364706273483</v>
      </c>
      <c r="JX39" s="545">
        <v>373.13432835820896</v>
      </c>
      <c r="JY39" s="545">
        <v>314.31819701732093</v>
      </c>
      <c r="JZ39" s="545">
        <v>238.59130317897709</v>
      </c>
      <c r="KA39" s="546">
        <v>206.84276558950188</v>
      </c>
      <c r="KB39" s="546">
        <v>190.54100034025177</v>
      </c>
      <c r="KC39" s="546">
        <v>198.20250828691522</v>
      </c>
      <c r="KD39" s="543"/>
    </row>
    <row r="40" spans="1:290" ht="15" customHeight="1" thickBot="1" x14ac:dyDescent="0.25">
      <c r="A40" s="931"/>
      <c r="B40" s="507" t="s">
        <v>784</v>
      </c>
      <c r="C40" s="500">
        <v>18</v>
      </c>
      <c r="D40" s="501">
        <v>12</v>
      </c>
      <c r="E40" s="501">
        <v>15</v>
      </c>
      <c r="F40" s="501">
        <v>13</v>
      </c>
      <c r="G40" s="502">
        <v>14</v>
      </c>
      <c r="H40" s="502">
        <v>11</v>
      </c>
      <c r="I40" s="502">
        <v>11</v>
      </c>
      <c r="J40" s="502">
        <v>12</v>
      </c>
      <c r="K40" s="503"/>
      <c r="L40" s="500">
        <v>11</v>
      </c>
      <c r="M40" s="501">
        <v>1</v>
      </c>
      <c r="N40" s="501">
        <v>6</v>
      </c>
      <c r="O40" s="501">
        <v>9</v>
      </c>
      <c r="P40" s="502">
        <v>8</v>
      </c>
      <c r="Q40" s="502">
        <v>6</v>
      </c>
      <c r="R40" s="502">
        <v>6</v>
      </c>
      <c r="S40" s="502">
        <v>9</v>
      </c>
      <c r="T40" s="503"/>
      <c r="U40" s="500">
        <v>6</v>
      </c>
      <c r="V40" s="501">
        <v>10</v>
      </c>
      <c r="W40" s="501">
        <v>8</v>
      </c>
      <c r="X40" s="501">
        <v>4</v>
      </c>
      <c r="Y40" s="502">
        <v>4</v>
      </c>
      <c r="Z40" s="502">
        <v>5</v>
      </c>
      <c r="AA40" s="502">
        <v>3</v>
      </c>
      <c r="AB40" s="502">
        <v>3</v>
      </c>
      <c r="AC40" s="503"/>
      <c r="AD40" s="500">
        <v>601</v>
      </c>
      <c r="AE40" s="501">
        <v>594</v>
      </c>
      <c r="AF40" s="501">
        <v>650</v>
      </c>
      <c r="AG40" s="501">
        <v>633</v>
      </c>
      <c r="AH40" s="502">
        <v>632</v>
      </c>
      <c r="AI40" s="502">
        <v>557</v>
      </c>
      <c r="AJ40" s="502">
        <v>578</v>
      </c>
      <c r="AK40" s="502">
        <v>525</v>
      </c>
      <c r="AL40" s="503"/>
      <c r="AM40" s="500">
        <v>307</v>
      </c>
      <c r="AN40" s="501">
        <v>297</v>
      </c>
      <c r="AO40" s="501">
        <v>320</v>
      </c>
      <c r="AP40" s="501">
        <v>273</v>
      </c>
      <c r="AQ40" s="502">
        <v>265</v>
      </c>
      <c r="AR40" s="502">
        <v>225</v>
      </c>
      <c r="AS40" s="502">
        <v>229</v>
      </c>
      <c r="AT40" s="502">
        <v>263</v>
      </c>
      <c r="AU40" s="503"/>
      <c r="AV40" s="500"/>
      <c r="AW40" s="501"/>
      <c r="AX40" s="501"/>
      <c r="AY40" s="501">
        <v>1</v>
      </c>
      <c r="AZ40" s="502"/>
      <c r="BA40" s="502">
        <v>1</v>
      </c>
      <c r="BB40" s="502"/>
      <c r="BC40" s="502">
        <v>4</v>
      </c>
      <c r="BD40" s="503"/>
      <c r="BE40" s="500">
        <v>101</v>
      </c>
      <c r="BF40" s="501">
        <v>110</v>
      </c>
      <c r="BG40" s="501">
        <v>99</v>
      </c>
      <c r="BH40" s="501">
        <v>153</v>
      </c>
      <c r="BI40" s="502">
        <v>92</v>
      </c>
      <c r="BJ40" s="502">
        <v>105</v>
      </c>
      <c r="BK40" s="502">
        <v>103</v>
      </c>
      <c r="BL40" s="502">
        <v>89</v>
      </c>
      <c r="BM40" s="503"/>
      <c r="BN40" s="500">
        <v>23</v>
      </c>
      <c r="BO40" s="501">
        <v>43</v>
      </c>
      <c r="BP40" s="501">
        <v>29</v>
      </c>
      <c r="BQ40" s="501">
        <v>50</v>
      </c>
      <c r="BR40" s="502">
        <v>49</v>
      </c>
      <c r="BS40" s="502">
        <v>98</v>
      </c>
      <c r="BT40" s="502">
        <v>94</v>
      </c>
      <c r="BU40" s="502">
        <v>22</v>
      </c>
      <c r="BV40" s="503"/>
      <c r="BW40" s="500">
        <v>409</v>
      </c>
      <c r="BX40" s="501">
        <v>434</v>
      </c>
      <c r="BY40" s="501">
        <v>509</v>
      </c>
      <c r="BZ40" s="501">
        <v>584</v>
      </c>
      <c r="CA40" s="502">
        <v>582</v>
      </c>
      <c r="CB40" s="502">
        <v>539</v>
      </c>
      <c r="CC40" s="502">
        <v>506</v>
      </c>
      <c r="CD40" s="502">
        <v>430</v>
      </c>
      <c r="CE40" s="503"/>
      <c r="CF40" s="500">
        <v>38</v>
      </c>
      <c r="CG40" s="501">
        <v>33</v>
      </c>
      <c r="CH40" s="501">
        <v>26</v>
      </c>
      <c r="CI40" s="501">
        <v>29</v>
      </c>
      <c r="CJ40" s="502">
        <v>33</v>
      </c>
      <c r="CK40" s="502">
        <v>24</v>
      </c>
      <c r="CL40" s="502">
        <v>32</v>
      </c>
      <c r="CM40" s="502">
        <v>24</v>
      </c>
      <c r="CN40" s="503"/>
      <c r="CO40" s="500">
        <v>35</v>
      </c>
      <c r="CP40" s="501">
        <v>38</v>
      </c>
      <c r="CQ40" s="501">
        <v>35</v>
      </c>
      <c r="CR40" s="501">
        <v>25</v>
      </c>
      <c r="CS40" s="502">
        <v>17</v>
      </c>
      <c r="CT40" s="502">
        <v>19</v>
      </c>
      <c r="CU40" s="502">
        <v>22</v>
      </c>
      <c r="CV40" s="502">
        <v>20</v>
      </c>
      <c r="CW40" s="503"/>
      <c r="CX40" s="500">
        <v>7369</v>
      </c>
      <c r="CY40" s="501">
        <v>6585</v>
      </c>
      <c r="CZ40" s="501">
        <v>8054</v>
      </c>
      <c r="DA40" s="501">
        <v>6922</v>
      </c>
      <c r="DB40" s="502">
        <v>5879</v>
      </c>
      <c r="DC40" s="502">
        <v>5789</v>
      </c>
      <c r="DD40" s="502">
        <v>4565</v>
      </c>
      <c r="DE40" s="502">
        <v>4124</v>
      </c>
      <c r="DF40" s="503"/>
      <c r="DG40" s="500">
        <v>111</v>
      </c>
      <c r="DH40" s="501">
        <v>79</v>
      </c>
      <c r="DI40" s="501">
        <v>97</v>
      </c>
      <c r="DJ40" s="501">
        <v>101</v>
      </c>
      <c r="DK40" s="502">
        <v>55</v>
      </c>
      <c r="DL40" s="502">
        <v>47</v>
      </c>
      <c r="DM40" s="502">
        <v>20</v>
      </c>
      <c r="DN40" s="502">
        <v>24</v>
      </c>
      <c r="DO40" s="503"/>
      <c r="DP40" s="500">
        <v>485</v>
      </c>
      <c r="DQ40" s="501">
        <v>464</v>
      </c>
      <c r="DR40" s="501">
        <v>882</v>
      </c>
      <c r="DS40" s="501">
        <v>720</v>
      </c>
      <c r="DT40" s="502">
        <v>224</v>
      </c>
      <c r="DU40" s="502">
        <v>457</v>
      </c>
      <c r="DV40" s="502">
        <v>302</v>
      </c>
      <c r="DW40" s="502">
        <v>204</v>
      </c>
      <c r="DX40" s="503"/>
      <c r="DY40" s="500">
        <v>922</v>
      </c>
      <c r="DZ40" s="501">
        <v>705</v>
      </c>
      <c r="EA40" s="501">
        <v>844</v>
      </c>
      <c r="EB40" s="501">
        <v>888</v>
      </c>
      <c r="EC40" s="502">
        <v>1044</v>
      </c>
      <c r="ED40" s="502">
        <v>1154</v>
      </c>
      <c r="EE40" s="502">
        <v>924</v>
      </c>
      <c r="EF40" s="502">
        <v>729</v>
      </c>
      <c r="EG40" s="503"/>
      <c r="EH40" s="500">
        <v>98</v>
      </c>
      <c r="EI40" s="501">
        <v>65</v>
      </c>
      <c r="EJ40" s="501">
        <v>80</v>
      </c>
      <c r="EK40" s="501">
        <v>80</v>
      </c>
      <c r="EL40" s="502">
        <v>72</v>
      </c>
      <c r="EM40" s="502">
        <v>41</v>
      </c>
      <c r="EN40" s="502">
        <v>55</v>
      </c>
      <c r="EO40" s="502">
        <v>38</v>
      </c>
      <c r="EP40" s="503"/>
      <c r="EQ40" s="500">
        <v>27</v>
      </c>
      <c r="ER40" s="501">
        <v>10</v>
      </c>
      <c r="ES40" s="501">
        <v>20</v>
      </c>
      <c r="ET40" s="501">
        <v>27</v>
      </c>
      <c r="EU40" s="502">
        <v>24</v>
      </c>
      <c r="EV40" s="502">
        <v>18</v>
      </c>
      <c r="EW40" s="502">
        <v>40</v>
      </c>
      <c r="EX40" s="502">
        <v>41</v>
      </c>
      <c r="EY40" s="503"/>
      <c r="EZ40" s="500">
        <v>24</v>
      </c>
      <c r="FA40" s="501">
        <v>22</v>
      </c>
      <c r="FB40" s="501">
        <v>42</v>
      </c>
      <c r="FC40" s="501">
        <v>27</v>
      </c>
      <c r="FD40" s="502">
        <v>23</v>
      </c>
      <c r="FE40" s="502">
        <v>28</v>
      </c>
      <c r="FF40" s="502">
        <v>17</v>
      </c>
      <c r="FG40" s="502">
        <v>12</v>
      </c>
      <c r="FH40" s="503"/>
      <c r="FI40" s="500">
        <v>582</v>
      </c>
      <c r="FJ40" s="501">
        <v>474</v>
      </c>
      <c r="FK40" s="501">
        <v>402</v>
      </c>
      <c r="FL40" s="501">
        <v>258</v>
      </c>
      <c r="FM40" s="502">
        <v>290</v>
      </c>
      <c r="FN40" s="502">
        <v>194</v>
      </c>
      <c r="FO40" s="502">
        <v>225</v>
      </c>
      <c r="FP40" s="502">
        <v>219</v>
      </c>
      <c r="FQ40" s="503"/>
      <c r="FR40" s="500">
        <v>79</v>
      </c>
      <c r="FS40" s="501">
        <v>59</v>
      </c>
      <c r="FT40" s="501">
        <v>55</v>
      </c>
      <c r="FU40" s="501">
        <v>45</v>
      </c>
      <c r="FV40" s="502">
        <v>48</v>
      </c>
      <c r="FW40" s="502">
        <v>52</v>
      </c>
      <c r="FX40" s="502">
        <v>27</v>
      </c>
      <c r="FY40" s="502">
        <v>29</v>
      </c>
      <c r="FZ40" s="503"/>
      <c r="GA40" s="500">
        <v>59</v>
      </c>
      <c r="GB40" s="501">
        <v>76</v>
      </c>
      <c r="GC40" s="501">
        <v>54</v>
      </c>
      <c r="GD40" s="501">
        <v>53</v>
      </c>
      <c r="GE40" s="502">
        <v>47</v>
      </c>
      <c r="GF40" s="502">
        <v>51</v>
      </c>
      <c r="GG40" s="502">
        <v>61</v>
      </c>
      <c r="GH40" s="502">
        <v>64</v>
      </c>
      <c r="GI40" s="503"/>
      <c r="GJ40" s="500">
        <v>9463</v>
      </c>
      <c r="GK40" s="501">
        <v>8555</v>
      </c>
      <c r="GL40" s="501">
        <v>10070</v>
      </c>
      <c r="GM40" s="501">
        <v>8899</v>
      </c>
      <c r="GN40" s="502">
        <v>7802</v>
      </c>
      <c r="GO40" s="502">
        <v>7526</v>
      </c>
      <c r="GP40" s="502">
        <v>6336</v>
      </c>
      <c r="GQ40" s="502">
        <v>5649</v>
      </c>
      <c r="GR40" s="503"/>
      <c r="GS40" s="500">
        <v>2936</v>
      </c>
      <c r="GT40" s="501">
        <v>2671</v>
      </c>
      <c r="GU40" s="501">
        <v>3539</v>
      </c>
      <c r="GV40" s="501">
        <v>2873</v>
      </c>
      <c r="GW40" s="502">
        <v>1631</v>
      </c>
      <c r="GX40" s="502">
        <v>1942</v>
      </c>
      <c r="GY40" s="502">
        <v>1568</v>
      </c>
      <c r="GZ40" s="502">
        <v>1293</v>
      </c>
      <c r="HA40" s="503"/>
      <c r="HB40" s="500">
        <v>36</v>
      </c>
      <c r="HC40" s="501">
        <v>34</v>
      </c>
      <c r="HD40" s="501">
        <v>28</v>
      </c>
      <c r="HE40" s="501">
        <v>32</v>
      </c>
      <c r="HF40" s="502">
        <v>40</v>
      </c>
      <c r="HG40" s="502">
        <v>23</v>
      </c>
      <c r="HH40" s="502">
        <v>52</v>
      </c>
      <c r="HI40" s="502">
        <v>21</v>
      </c>
      <c r="HJ40" s="503"/>
      <c r="HK40" s="500">
        <v>32</v>
      </c>
      <c r="HL40" s="501">
        <v>33</v>
      </c>
      <c r="HM40" s="501">
        <v>26</v>
      </c>
      <c r="HN40" s="501">
        <v>24</v>
      </c>
      <c r="HO40" s="502">
        <v>23</v>
      </c>
      <c r="HP40" s="502">
        <v>14</v>
      </c>
      <c r="HQ40" s="502">
        <v>24</v>
      </c>
      <c r="HR40" s="502">
        <v>17</v>
      </c>
      <c r="HS40" s="503"/>
      <c r="HT40" s="500">
        <v>4233</v>
      </c>
      <c r="HU40" s="501">
        <v>3757</v>
      </c>
      <c r="HV40" s="501">
        <v>4823</v>
      </c>
      <c r="HW40" s="501">
        <v>4359</v>
      </c>
      <c r="HX40" s="502">
        <v>3456</v>
      </c>
      <c r="HY40" s="502">
        <v>3901</v>
      </c>
      <c r="HZ40" s="502">
        <v>3647</v>
      </c>
      <c r="IA40" s="502">
        <v>3326</v>
      </c>
      <c r="IB40" s="503"/>
      <c r="IC40" s="500">
        <v>16290</v>
      </c>
      <c r="ID40" s="501">
        <v>16255</v>
      </c>
      <c r="IE40" s="501">
        <v>21361</v>
      </c>
      <c r="IF40" s="501">
        <v>14658</v>
      </c>
      <c r="IG40" s="502">
        <v>13380</v>
      </c>
      <c r="IH40" s="502">
        <v>13468</v>
      </c>
      <c r="II40" s="502">
        <v>13466</v>
      </c>
      <c r="IJ40" s="502">
        <v>11111</v>
      </c>
      <c r="IK40" s="503"/>
      <c r="IL40" s="500">
        <v>1912</v>
      </c>
      <c r="IM40" s="501">
        <v>1606</v>
      </c>
      <c r="IN40" s="501">
        <v>1787</v>
      </c>
      <c r="IO40" s="501">
        <v>1183</v>
      </c>
      <c r="IP40" s="502">
        <v>863</v>
      </c>
      <c r="IQ40" s="502">
        <v>1535</v>
      </c>
      <c r="IR40" s="502">
        <v>1214</v>
      </c>
      <c r="IS40" s="502">
        <v>1024</v>
      </c>
      <c r="IT40" s="503"/>
      <c r="IU40" s="547">
        <v>3082.7867332301325</v>
      </c>
      <c r="IV40" s="548">
        <v>3097.1284636680443</v>
      </c>
      <c r="IW40" s="548">
        <v>4089.7011747767615</v>
      </c>
      <c r="IX40" s="548">
        <v>2819.2256649933643</v>
      </c>
      <c r="IY40" s="549">
        <v>2588.548478212083</v>
      </c>
      <c r="IZ40" s="549">
        <v>2621.8300248984306</v>
      </c>
      <c r="JA40" s="549">
        <v>2633.0660378280822</v>
      </c>
      <c r="JB40" s="549">
        <v>2187.1315329998797</v>
      </c>
      <c r="JC40" s="550"/>
      <c r="JD40" s="551">
        <v>801.07036474911899</v>
      </c>
      <c r="JE40" s="552">
        <v>715.83584361740031</v>
      </c>
      <c r="JF40" s="552">
        <v>923.39444623137126</v>
      </c>
      <c r="JG40" s="552">
        <v>838.38208989671682</v>
      </c>
      <c r="JH40" s="552">
        <v>668.61162486554247</v>
      </c>
      <c r="JI40" s="553">
        <v>759.41185975117151</v>
      </c>
      <c r="JJ40" s="553">
        <v>713.11390464570138</v>
      </c>
      <c r="JK40" s="553">
        <v>654.70250011318524</v>
      </c>
      <c r="JL40" s="550"/>
      <c r="JM40" s="551">
        <v>1790.8171182662213</v>
      </c>
      <c r="JN40" s="552">
        <v>1630.0174719581739</v>
      </c>
      <c r="JO40" s="552">
        <v>1927.9664261973687</v>
      </c>
      <c r="JP40" s="552">
        <v>1711.576558382859</v>
      </c>
      <c r="JQ40" s="552">
        <v>1509.4062202549082</v>
      </c>
      <c r="JR40" s="553">
        <v>1465.0945030728831</v>
      </c>
      <c r="JS40" s="553">
        <v>1238.9058677913804</v>
      </c>
      <c r="JT40" s="553">
        <v>1111.970662399093</v>
      </c>
      <c r="JU40" s="550"/>
      <c r="JV40" s="551">
        <v>555.62073964172305</v>
      </c>
      <c r="JW40" s="552">
        <v>508.91603361780045</v>
      </c>
      <c r="JX40" s="552">
        <v>677.56436765764522</v>
      </c>
      <c r="JY40" s="552">
        <v>552.57438501336719</v>
      </c>
      <c r="JZ40" s="552">
        <v>315.5398032857928</v>
      </c>
      <c r="KA40" s="553">
        <v>378.05122574641757</v>
      </c>
      <c r="KB40" s="553">
        <v>306.59791677665476</v>
      </c>
      <c r="KC40" s="553">
        <v>254.51904168561288</v>
      </c>
      <c r="KD40" s="550"/>
    </row>
    <row r="41" spans="1:290" ht="15" customHeight="1" x14ac:dyDescent="0.2">
      <c r="A41" s="937" t="s">
        <v>546</v>
      </c>
      <c r="B41" s="504" t="s">
        <v>663</v>
      </c>
      <c r="C41" s="486">
        <v>1</v>
      </c>
      <c r="D41" s="487">
        <v>1</v>
      </c>
      <c r="E41" s="487">
        <v>4</v>
      </c>
      <c r="F41" s="487">
        <v>1</v>
      </c>
      <c r="G41" s="488">
        <v>3</v>
      </c>
      <c r="H41" s="488"/>
      <c r="I41" s="488">
        <v>1</v>
      </c>
      <c r="J41" s="488"/>
      <c r="K41" s="489"/>
      <c r="L41" s="486">
        <v>1</v>
      </c>
      <c r="M41" s="487">
        <v>1</v>
      </c>
      <c r="N41" s="487">
        <v>1</v>
      </c>
      <c r="O41" s="487"/>
      <c r="P41" s="488">
        <v>2</v>
      </c>
      <c r="Q41" s="488"/>
      <c r="R41" s="488"/>
      <c r="S41" s="488"/>
      <c r="T41" s="489"/>
      <c r="U41" s="486"/>
      <c r="V41" s="487"/>
      <c r="W41" s="487">
        <v>2</v>
      </c>
      <c r="X41" s="487">
        <v>1</v>
      </c>
      <c r="Y41" s="488">
        <v>1</v>
      </c>
      <c r="Z41" s="488"/>
      <c r="AA41" s="488">
        <v>1</v>
      </c>
      <c r="AB41" s="488"/>
      <c r="AC41" s="489"/>
      <c r="AD41" s="486">
        <v>85</v>
      </c>
      <c r="AE41" s="487">
        <v>91</v>
      </c>
      <c r="AF41" s="487">
        <v>65</v>
      </c>
      <c r="AG41" s="487">
        <v>57</v>
      </c>
      <c r="AH41" s="488">
        <v>60</v>
      </c>
      <c r="AI41" s="488">
        <v>62</v>
      </c>
      <c r="AJ41" s="488">
        <v>45</v>
      </c>
      <c r="AK41" s="488">
        <v>40</v>
      </c>
      <c r="AL41" s="489"/>
      <c r="AM41" s="486">
        <v>25</v>
      </c>
      <c r="AN41" s="487">
        <v>33</v>
      </c>
      <c r="AO41" s="487">
        <v>28</v>
      </c>
      <c r="AP41" s="487">
        <v>26</v>
      </c>
      <c r="AQ41" s="488">
        <v>25</v>
      </c>
      <c r="AR41" s="488">
        <v>35</v>
      </c>
      <c r="AS41" s="488">
        <v>25</v>
      </c>
      <c r="AT41" s="488">
        <v>22</v>
      </c>
      <c r="AU41" s="489"/>
      <c r="AV41" s="486"/>
      <c r="AW41" s="487"/>
      <c r="AX41" s="487"/>
      <c r="AY41" s="487"/>
      <c r="AZ41" s="488"/>
      <c r="BA41" s="488"/>
      <c r="BB41" s="488"/>
      <c r="BC41" s="488">
        <v>1</v>
      </c>
      <c r="BD41" s="489"/>
      <c r="BE41" s="486">
        <v>2</v>
      </c>
      <c r="BF41" s="487">
        <v>4</v>
      </c>
      <c r="BG41" s="487">
        <v>5</v>
      </c>
      <c r="BH41" s="487">
        <v>1</v>
      </c>
      <c r="BI41" s="488">
        <v>7</v>
      </c>
      <c r="BJ41" s="488">
        <v>1</v>
      </c>
      <c r="BK41" s="488">
        <v>10</v>
      </c>
      <c r="BL41" s="488">
        <v>2</v>
      </c>
      <c r="BM41" s="489"/>
      <c r="BN41" s="486"/>
      <c r="BO41" s="487"/>
      <c r="BP41" s="487"/>
      <c r="BQ41" s="487"/>
      <c r="BR41" s="488">
        <v>1</v>
      </c>
      <c r="BS41" s="488"/>
      <c r="BT41" s="488"/>
      <c r="BU41" s="488"/>
      <c r="BV41" s="489"/>
      <c r="BW41" s="486">
        <v>86</v>
      </c>
      <c r="BX41" s="487">
        <v>88</v>
      </c>
      <c r="BY41" s="487">
        <v>83</v>
      </c>
      <c r="BZ41" s="487">
        <v>72</v>
      </c>
      <c r="CA41" s="488">
        <v>58</v>
      </c>
      <c r="CB41" s="488">
        <v>57</v>
      </c>
      <c r="CC41" s="488">
        <v>47</v>
      </c>
      <c r="CD41" s="488">
        <v>60</v>
      </c>
      <c r="CE41" s="489"/>
      <c r="CF41" s="486">
        <v>6</v>
      </c>
      <c r="CG41" s="487">
        <v>4</v>
      </c>
      <c r="CH41" s="487">
        <v>3</v>
      </c>
      <c r="CI41" s="487">
        <v>4</v>
      </c>
      <c r="CJ41" s="488">
        <v>3</v>
      </c>
      <c r="CK41" s="488">
        <v>3</v>
      </c>
      <c r="CL41" s="488">
        <v>1</v>
      </c>
      <c r="CM41" s="488">
        <v>1</v>
      </c>
      <c r="CN41" s="489"/>
      <c r="CO41" s="486"/>
      <c r="CP41" s="487">
        <v>3</v>
      </c>
      <c r="CQ41" s="487">
        <v>2</v>
      </c>
      <c r="CR41" s="487">
        <v>2</v>
      </c>
      <c r="CS41" s="488">
        <v>5</v>
      </c>
      <c r="CT41" s="488">
        <v>5</v>
      </c>
      <c r="CU41" s="488">
        <v>1</v>
      </c>
      <c r="CV41" s="488">
        <v>3</v>
      </c>
      <c r="CW41" s="489"/>
      <c r="CX41" s="486">
        <v>1167</v>
      </c>
      <c r="CY41" s="487">
        <v>1097</v>
      </c>
      <c r="CZ41" s="487">
        <v>1304</v>
      </c>
      <c r="DA41" s="487">
        <v>1075</v>
      </c>
      <c r="DB41" s="488">
        <v>924</v>
      </c>
      <c r="DC41" s="488">
        <v>734</v>
      </c>
      <c r="DD41" s="488">
        <v>694</v>
      </c>
      <c r="DE41" s="488">
        <v>547</v>
      </c>
      <c r="DF41" s="489"/>
      <c r="DG41" s="486">
        <v>4</v>
      </c>
      <c r="DH41" s="487">
        <v>5</v>
      </c>
      <c r="DI41" s="487">
        <v>4</v>
      </c>
      <c r="DJ41" s="487">
        <v>5</v>
      </c>
      <c r="DK41" s="488">
        <v>2</v>
      </c>
      <c r="DL41" s="488">
        <v>1</v>
      </c>
      <c r="DM41" s="488">
        <v>1</v>
      </c>
      <c r="DN41" s="488"/>
      <c r="DO41" s="489"/>
      <c r="DP41" s="486">
        <v>47</v>
      </c>
      <c r="DQ41" s="487">
        <v>27</v>
      </c>
      <c r="DR41" s="487">
        <v>34</v>
      </c>
      <c r="DS41" s="487">
        <v>20</v>
      </c>
      <c r="DT41" s="488">
        <v>16</v>
      </c>
      <c r="DU41" s="488">
        <v>34</v>
      </c>
      <c r="DV41" s="488">
        <v>18</v>
      </c>
      <c r="DW41" s="488">
        <v>7</v>
      </c>
      <c r="DX41" s="489"/>
      <c r="DY41" s="486">
        <v>114</v>
      </c>
      <c r="DZ41" s="487">
        <v>117</v>
      </c>
      <c r="EA41" s="487">
        <v>93</v>
      </c>
      <c r="EB41" s="487">
        <v>66</v>
      </c>
      <c r="EC41" s="488">
        <v>89</v>
      </c>
      <c r="ED41" s="488">
        <v>90</v>
      </c>
      <c r="EE41" s="488">
        <v>133</v>
      </c>
      <c r="EF41" s="488">
        <v>88</v>
      </c>
      <c r="EG41" s="489"/>
      <c r="EH41" s="486">
        <v>15</v>
      </c>
      <c r="EI41" s="487">
        <v>7</v>
      </c>
      <c r="EJ41" s="487">
        <v>11</v>
      </c>
      <c r="EK41" s="487">
        <v>14</v>
      </c>
      <c r="EL41" s="488">
        <v>4</v>
      </c>
      <c r="EM41" s="488">
        <v>7</v>
      </c>
      <c r="EN41" s="488">
        <v>5</v>
      </c>
      <c r="EO41" s="488">
        <v>1</v>
      </c>
      <c r="EP41" s="489"/>
      <c r="EQ41" s="486">
        <v>1</v>
      </c>
      <c r="ER41" s="487">
        <v>3</v>
      </c>
      <c r="ES41" s="487">
        <v>2</v>
      </c>
      <c r="ET41" s="487">
        <v>3</v>
      </c>
      <c r="EU41" s="488">
        <v>2</v>
      </c>
      <c r="EV41" s="488">
        <v>3</v>
      </c>
      <c r="EW41" s="488">
        <v>7</v>
      </c>
      <c r="EX41" s="488">
        <v>3</v>
      </c>
      <c r="EY41" s="489"/>
      <c r="EZ41" s="486">
        <v>4</v>
      </c>
      <c r="FA41" s="487">
        <v>2</v>
      </c>
      <c r="FB41" s="487">
        <v>7</v>
      </c>
      <c r="FC41" s="487">
        <v>6</v>
      </c>
      <c r="FD41" s="488">
        <v>2</v>
      </c>
      <c r="FE41" s="488">
        <v>4</v>
      </c>
      <c r="FF41" s="488">
        <v>1</v>
      </c>
      <c r="FG41" s="488">
        <v>1</v>
      </c>
      <c r="FH41" s="489"/>
      <c r="FI41" s="486">
        <v>94</v>
      </c>
      <c r="FJ41" s="487">
        <v>90</v>
      </c>
      <c r="FK41" s="487">
        <v>108</v>
      </c>
      <c r="FL41" s="487">
        <v>64</v>
      </c>
      <c r="FM41" s="488">
        <v>55</v>
      </c>
      <c r="FN41" s="488">
        <v>41</v>
      </c>
      <c r="FO41" s="488">
        <v>67</v>
      </c>
      <c r="FP41" s="488">
        <v>43</v>
      </c>
      <c r="FQ41" s="489"/>
      <c r="FR41" s="486">
        <v>4</v>
      </c>
      <c r="FS41" s="487">
        <v>22</v>
      </c>
      <c r="FT41" s="487">
        <v>3</v>
      </c>
      <c r="FU41" s="487">
        <v>3</v>
      </c>
      <c r="FV41" s="488">
        <v>5</v>
      </c>
      <c r="FW41" s="488">
        <v>99</v>
      </c>
      <c r="FX41" s="488">
        <v>3</v>
      </c>
      <c r="FY41" s="488"/>
      <c r="FZ41" s="489"/>
      <c r="GA41" s="486">
        <v>4</v>
      </c>
      <c r="GB41" s="487">
        <v>7</v>
      </c>
      <c r="GC41" s="487">
        <v>5</v>
      </c>
      <c r="GD41" s="487">
        <v>4</v>
      </c>
      <c r="GE41" s="488">
        <v>11</v>
      </c>
      <c r="GF41" s="488">
        <v>6</v>
      </c>
      <c r="GG41" s="488">
        <v>7</v>
      </c>
      <c r="GH41" s="488">
        <v>6</v>
      </c>
      <c r="GI41" s="489"/>
      <c r="GJ41" s="486">
        <v>1469</v>
      </c>
      <c r="GK41" s="487">
        <v>1419</v>
      </c>
      <c r="GL41" s="487">
        <v>1602</v>
      </c>
      <c r="GM41" s="487">
        <v>1306</v>
      </c>
      <c r="GN41" s="488">
        <v>1140</v>
      </c>
      <c r="GO41" s="488">
        <v>1022</v>
      </c>
      <c r="GP41" s="488">
        <v>889</v>
      </c>
      <c r="GQ41" s="488">
        <v>707</v>
      </c>
      <c r="GR41" s="489"/>
      <c r="GS41" s="486">
        <v>479</v>
      </c>
      <c r="GT41" s="487">
        <v>624</v>
      </c>
      <c r="GU41" s="487">
        <v>701</v>
      </c>
      <c r="GV41" s="487">
        <v>471</v>
      </c>
      <c r="GW41" s="488">
        <v>238</v>
      </c>
      <c r="GX41" s="488">
        <v>259</v>
      </c>
      <c r="GY41" s="488">
        <v>240</v>
      </c>
      <c r="GZ41" s="488">
        <v>144</v>
      </c>
      <c r="HA41" s="489"/>
      <c r="HB41" s="486">
        <v>4</v>
      </c>
      <c r="HC41" s="487">
        <v>2</v>
      </c>
      <c r="HD41" s="487">
        <v>4</v>
      </c>
      <c r="HE41" s="487">
        <v>6</v>
      </c>
      <c r="HF41" s="488">
        <v>5</v>
      </c>
      <c r="HG41" s="488">
        <v>4</v>
      </c>
      <c r="HH41" s="488">
        <v>1</v>
      </c>
      <c r="HI41" s="488">
        <v>5</v>
      </c>
      <c r="HJ41" s="489"/>
      <c r="HK41" s="486">
        <v>7</v>
      </c>
      <c r="HL41" s="487">
        <v>3</v>
      </c>
      <c r="HM41" s="487">
        <v>4</v>
      </c>
      <c r="HN41" s="487">
        <v>4</v>
      </c>
      <c r="HO41" s="488">
        <v>2</v>
      </c>
      <c r="HP41" s="488">
        <v>3</v>
      </c>
      <c r="HQ41" s="488">
        <v>2</v>
      </c>
      <c r="HR41" s="488">
        <v>2</v>
      </c>
      <c r="HS41" s="489"/>
      <c r="HT41" s="486">
        <v>639</v>
      </c>
      <c r="HU41" s="487">
        <v>795</v>
      </c>
      <c r="HV41" s="487">
        <v>837</v>
      </c>
      <c r="HW41" s="487">
        <v>614</v>
      </c>
      <c r="HX41" s="488">
        <v>443</v>
      </c>
      <c r="HY41" s="488">
        <v>458</v>
      </c>
      <c r="HZ41" s="488">
        <v>422</v>
      </c>
      <c r="IA41" s="488">
        <v>325</v>
      </c>
      <c r="IB41" s="489"/>
      <c r="IC41" s="486">
        <v>3096</v>
      </c>
      <c r="ID41" s="487">
        <v>2753</v>
      </c>
      <c r="IE41" s="487">
        <v>3119</v>
      </c>
      <c r="IF41" s="487">
        <v>2255</v>
      </c>
      <c r="IG41" s="488">
        <v>1989</v>
      </c>
      <c r="IH41" s="488">
        <v>1946</v>
      </c>
      <c r="II41" s="488">
        <v>2139</v>
      </c>
      <c r="IJ41" s="488">
        <v>1598</v>
      </c>
      <c r="IK41" s="489"/>
      <c r="IL41" s="486">
        <v>224</v>
      </c>
      <c r="IM41" s="487">
        <v>196</v>
      </c>
      <c r="IN41" s="487">
        <v>206</v>
      </c>
      <c r="IO41" s="487">
        <v>130</v>
      </c>
      <c r="IP41" s="488">
        <v>73</v>
      </c>
      <c r="IQ41" s="488">
        <v>110</v>
      </c>
      <c r="IR41" s="488">
        <v>166</v>
      </c>
      <c r="IS41" s="488">
        <v>111</v>
      </c>
      <c r="IT41" s="489"/>
      <c r="IU41" s="526">
        <v>3359.9947907057513</v>
      </c>
      <c r="IV41" s="527">
        <v>3015.0038330960465</v>
      </c>
      <c r="IW41" s="527">
        <v>3440.516242898902</v>
      </c>
      <c r="IX41" s="527">
        <v>2574.5535918162304</v>
      </c>
      <c r="IY41" s="528">
        <v>2292.7689594356261</v>
      </c>
      <c r="IZ41" s="528">
        <v>2306.3067399734418</v>
      </c>
      <c r="JA41" s="528">
        <v>2653.4181831714491</v>
      </c>
      <c r="JB41" s="528">
        <v>1996.9757938541131</v>
      </c>
      <c r="JC41" s="529"/>
      <c r="JD41" s="530">
        <v>693.48729691891947</v>
      </c>
      <c r="JE41" s="531">
        <v>870.6603876902858</v>
      </c>
      <c r="JF41" s="531">
        <v>923.2805691908884</v>
      </c>
      <c r="JG41" s="531">
        <v>701.00927067634836</v>
      </c>
      <c r="JH41" s="531">
        <v>510.65693767218818</v>
      </c>
      <c r="JI41" s="532">
        <v>542.82891696401907</v>
      </c>
      <c r="JJ41" s="532">
        <v>523.48876732040742</v>
      </c>
      <c r="JK41" s="532">
        <v>406.14338736081777</v>
      </c>
      <c r="JL41" s="529"/>
      <c r="JM41" s="530">
        <v>1594.2610941688463</v>
      </c>
      <c r="JN41" s="531">
        <v>1554.0466542547365</v>
      </c>
      <c r="JO41" s="531">
        <v>1767.1391539352492</v>
      </c>
      <c r="JP41" s="531">
        <v>1491.0718363246106</v>
      </c>
      <c r="JQ41" s="531">
        <v>1314.1058892692881</v>
      </c>
      <c r="JR41" s="532">
        <v>1216.2132589551213</v>
      </c>
      <c r="JS41" s="532">
        <v>1102.7997965588677</v>
      </c>
      <c r="JT41" s="532">
        <v>883.51807650491753</v>
      </c>
      <c r="JU41" s="529"/>
      <c r="JV41" s="530">
        <v>519.84415528037937</v>
      </c>
      <c r="JW41" s="531">
        <v>683.38626656445081</v>
      </c>
      <c r="JX41" s="531">
        <v>773.26126523633559</v>
      </c>
      <c r="JY41" s="531">
        <v>537.74489656117282</v>
      </c>
      <c r="JZ41" s="531">
        <v>274.34842249657061</v>
      </c>
      <c r="KA41" s="532">
        <v>307.77263647915515</v>
      </c>
      <c r="KB41" s="532">
        <v>297.71873022961557</v>
      </c>
      <c r="KC41" s="532">
        <v>179.95276239987004</v>
      </c>
      <c r="KD41" s="529"/>
    </row>
    <row r="42" spans="1:290" ht="15" customHeight="1" x14ac:dyDescent="0.2">
      <c r="A42" s="938"/>
      <c r="B42" s="359" t="s">
        <v>664</v>
      </c>
      <c r="C42" s="491"/>
      <c r="D42" s="492">
        <v>1</v>
      </c>
      <c r="E42" s="492">
        <v>1</v>
      </c>
      <c r="F42" s="492">
        <v>1</v>
      </c>
      <c r="G42" s="493">
        <v>1</v>
      </c>
      <c r="H42" s="493"/>
      <c r="I42" s="493"/>
      <c r="J42" s="493">
        <v>1</v>
      </c>
      <c r="K42" s="199"/>
      <c r="L42" s="491"/>
      <c r="M42" s="492">
        <v>1</v>
      </c>
      <c r="N42" s="492"/>
      <c r="O42" s="492"/>
      <c r="P42" s="493"/>
      <c r="Q42" s="493"/>
      <c r="R42" s="493"/>
      <c r="S42" s="493"/>
      <c r="T42" s="199"/>
      <c r="U42" s="491"/>
      <c r="V42" s="492"/>
      <c r="W42" s="492">
        <v>1</v>
      </c>
      <c r="X42" s="492">
        <v>1</v>
      </c>
      <c r="Y42" s="493">
        <v>1</v>
      </c>
      <c r="Z42" s="493"/>
      <c r="AA42" s="493"/>
      <c r="AB42" s="493">
        <v>1</v>
      </c>
      <c r="AC42" s="199"/>
      <c r="AD42" s="491">
        <v>16</v>
      </c>
      <c r="AE42" s="492">
        <v>22</v>
      </c>
      <c r="AF42" s="492">
        <v>20</v>
      </c>
      <c r="AG42" s="492">
        <v>10</v>
      </c>
      <c r="AH42" s="493">
        <v>12</v>
      </c>
      <c r="AI42" s="493">
        <v>29</v>
      </c>
      <c r="AJ42" s="493">
        <v>18</v>
      </c>
      <c r="AK42" s="493">
        <v>37</v>
      </c>
      <c r="AL42" s="199"/>
      <c r="AM42" s="491">
        <v>10</v>
      </c>
      <c r="AN42" s="492">
        <v>11</v>
      </c>
      <c r="AO42" s="492">
        <v>7</v>
      </c>
      <c r="AP42" s="492">
        <v>6</v>
      </c>
      <c r="AQ42" s="493">
        <v>8</v>
      </c>
      <c r="AR42" s="493">
        <v>9</v>
      </c>
      <c r="AS42" s="493">
        <v>5</v>
      </c>
      <c r="AT42" s="493">
        <v>3</v>
      </c>
      <c r="AU42" s="199"/>
      <c r="AV42" s="491"/>
      <c r="AW42" s="492"/>
      <c r="AX42" s="492"/>
      <c r="AY42" s="492"/>
      <c r="AZ42" s="493"/>
      <c r="BA42" s="493"/>
      <c r="BB42" s="493"/>
      <c r="BC42" s="493"/>
      <c r="BD42" s="199"/>
      <c r="BE42" s="491">
        <v>1</v>
      </c>
      <c r="BF42" s="492">
        <v>10</v>
      </c>
      <c r="BG42" s="492">
        <v>1</v>
      </c>
      <c r="BH42" s="492"/>
      <c r="BI42" s="493">
        <v>4</v>
      </c>
      <c r="BJ42" s="493"/>
      <c r="BK42" s="493">
        <v>5</v>
      </c>
      <c r="BL42" s="493">
        <v>6</v>
      </c>
      <c r="BM42" s="199"/>
      <c r="BN42" s="491"/>
      <c r="BO42" s="492"/>
      <c r="BP42" s="492"/>
      <c r="BQ42" s="492"/>
      <c r="BR42" s="493"/>
      <c r="BS42" s="493"/>
      <c r="BT42" s="493"/>
      <c r="BU42" s="493"/>
      <c r="BV42" s="199"/>
      <c r="BW42" s="491">
        <v>17</v>
      </c>
      <c r="BX42" s="492">
        <v>15</v>
      </c>
      <c r="BY42" s="492">
        <v>12</v>
      </c>
      <c r="BZ42" s="492">
        <v>15</v>
      </c>
      <c r="CA42" s="493">
        <v>9</v>
      </c>
      <c r="CB42" s="493">
        <v>7</v>
      </c>
      <c r="CC42" s="493">
        <v>3</v>
      </c>
      <c r="CD42" s="493">
        <v>13</v>
      </c>
      <c r="CE42" s="199"/>
      <c r="CF42" s="491"/>
      <c r="CG42" s="492"/>
      <c r="CH42" s="492">
        <v>1</v>
      </c>
      <c r="CI42" s="492">
        <v>1</v>
      </c>
      <c r="CJ42" s="493">
        <v>1</v>
      </c>
      <c r="CK42" s="493">
        <v>1</v>
      </c>
      <c r="CL42" s="493">
        <v>1</v>
      </c>
      <c r="CM42" s="493"/>
      <c r="CN42" s="199"/>
      <c r="CO42" s="491">
        <v>2</v>
      </c>
      <c r="CP42" s="492">
        <v>1</v>
      </c>
      <c r="CQ42" s="492"/>
      <c r="CR42" s="492"/>
      <c r="CS42" s="493"/>
      <c r="CT42" s="493"/>
      <c r="CU42" s="493"/>
      <c r="CV42" s="493">
        <v>1</v>
      </c>
      <c r="CW42" s="199"/>
      <c r="CX42" s="491">
        <v>239</v>
      </c>
      <c r="CY42" s="492">
        <v>333</v>
      </c>
      <c r="CZ42" s="492">
        <v>373</v>
      </c>
      <c r="DA42" s="492">
        <v>342</v>
      </c>
      <c r="DB42" s="493">
        <v>356</v>
      </c>
      <c r="DC42" s="493">
        <v>251</v>
      </c>
      <c r="DD42" s="493">
        <v>301</v>
      </c>
      <c r="DE42" s="493">
        <v>185</v>
      </c>
      <c r="DF42" s="199"/>
      <c r="DG42" s="491"/>
      <c r="DH42" s="492"/>
      <c r="DI42" s="492"/>
      <c r="DJ42" s="492"/>
      <c r="DK42" s="493">
        <v>3</v>
      </c>
      <c r="DL42" s="493"/>
      <c r="DM42" s="493"/>
      <c r="DN42" s="493"/>
      <c r="DO42" s="199"/>
      <c r="DP42" s="491">
        <v>5</v>
      </c>
      <c r="DQ42" s="492">
        <v>6</v>
      </c>
      <c r="DR42" s="492">
        <v>1</v>
      </c>
      <c r="DS42" s="492">
        <v>3</v>
      </c>
      <c r="DT42" s="493">
        <v>5</v>
      </c>
      <c r="DU42" s="493">
        <v>7</v>
      </c>
      <c r="DV42" s="493">
        <v>7</v>
      </c>
      <c r="DW42" s="493">
        <v>1</v>
      </c>
      <c r="DX42" s="199"/>
      <c r="DY42" s="491">
        <v>28</v>
      </c>
      <c r="DZ42" s="492">
        <v>18</v>
      </c>
      <c r="EA42" s="492">
        <v>25</v>
      </c>
      <c r="EB42" s="492">
        <v>20</v>
      </c>
      <c r="EC42" s="493">
        <v>40</v>
      </c>
      <c r="ED42" s="493">
        <v>28</v>
      </c>
      <c r="EE42" s="493">
        <v>67</v>
      </c>
      <c r="EF42" s="493">
        <v>17</v>
      </c>
      <c r="EG42" s="199"/>
      <c r="EH42" s="491">
        <v>4</v>
      </c>
      <c r="EI42" s="492">
        <v>2</v>
      </c>
      <c r="EJ42" s="492">
        <v>5</v>
      </c>
      <c r="EK42" s="492">
        <v>2</v>
      </c>
      <c r="EL42" s="493"/>
      <c r="EM42" s="493"/>
      <c r="EN42" s="493">
        <v>2</v>
      </c>
      <c r="EO42" s="493"/>
      <c r="EP42" s="199"/>
      <c r="EQ42" s="491"/>
      <c r="ER42" s="492"/>
      <c r="ES42" s="492"/>
      <c r="ET42" s="492"/>
      <c r="EU42" s="493"/>
      <c r="EV42" s="493"/>
      <c r="EW42" s="493"/>
      <c r="EX42" s="493">
        <v>2</v>
      </c>
      <c r="EY42" s="199"/>
      <c r="EZ42" s="491"/>
      <c r="FA42" s="492">
        <v>1</v>
      </c>
      <c r="FB42" s="492">
        <v>6</v>
      </c>
      <c r="FC42" s="492"/>
      <c r="FD42" s="493"/>
      <c r="FE42" s="493">
        <v>1</v>
      </c>
      <c r="FF42" s="493">
        <v>1</v>
      </c>
      <c r="FG42" s="493"/>
      <c r="FH42" s="199"/>
      <c r="FI42" s="491">
        <v>13</v>
      </c>
      <c r="FJ42" s="492">
        <v>18</v>
      </c>
      <c r="FK42" s="492">
        <v>10</v>
      </c>
      <c r="FL42" s="492">
        <v>12</v>
      </c>
      <c r="FM42" s="493">
        <v>5</v>
      </c>
      <c r="FN42" s="493">
        <v>3</v>
      </c>
      <c r="FO42" s="493">
        <v>2</v>
      </c>
      <c r="FP42" s="493">
        <v>5</v>
      </c>
      <c r="FQ42" s="199"/>
      <c r="FR42" s="491">
        <v>6</v>
      </c>
      <c r="FS42" s="492">
        <v>3</v>
      </c>
      <c r="FT42" s="492">
        <v>3</v>
      </c>
      <c r="FU42" s="492">
        <v>4</v>
      </c>
      <c r="FV42" s="493">
        <v>1</v>
      </c>
      <c r="FW42" s="493">
        <v>1</v>
      </c>
      <c r="FX42" s="493">
        <v>5</v>
      </c>
      <c r="FY42" s="493">
        <v>2</v>
      </c>
      <c r="FZ42" s="199"/>
      <c r="GA42" s="491">
        <v>5</v>
      </c>
      <c r="GB42" s="492">
        <v>4</v>
      </c>
      <c r="GC42" s="492">
        <v>2</v>
      </c>
      <c r="GD42" s="492">
        <v>1</v>
      </c>
      <c r="GE42" s="493">
        <v>3</v>
      </c>
      <c r="GF42" s="493">
        <v>3</v>
      </c>
      <c r="GG42" s="493">
        <v>12</v>
      </c>
      <c r="GH42" s="493">
        <v>2</v>
      </c>
      <c r="GI42" s="199"/>
      <c r="GJ42" s="491">
        <v>303</v>
      </c>
      <c r="GK42" s="492">
        <v>410</v>
      </c>
      <c r="GL42" s="492">
        <v>434</v>
      </c>
      <c r="GM42" s="492">
        <v>388</v>
      </c>
      <c r="GN42" s="493">
        <v>392</v>
      </c>
      <c r="GO42" s="493">
        <v>296</v>
      </c>
      <c r="GP42" s="493">
        <v>350</v>
      </c>
      <c r="GQ42" s="493">
        <v>254</v>
      </c>
      <c r="GR42" s="199"/>
      <c r="GS42" s="491">
        <v>82</v>
      </c>
      <c r="GT42" s="492">
        <v>159</v>
      </c>
      <c r="GU42" s="492">
        <v>129</v>
      </c>
      <c r="GV42" s="492">
        <v>110</v>
      </c>
      <c r="GW42" s="493">
        <v>94</v>
      </c>
      <c r="GX42" s="493">
        <v>94</v>
      </c>
      <c r="GY42" s="493">
        <v>92</v>
      </c>
      <c r="GZ42" s="493">
        <v>56</v>
      </c>
      <c r="HA42" s="199"/>
      <c r="HB42" s="491">
        <v>5</v>
      </c>
      <c r="HC42" s="492">
        <v>1</v>
      </c>
      <c r="HD42" s="492">
        <v>1</v>
      </c>
      <c r="HE42" s="492">
        <v>3</v>
      </c>
      <c r="HF42" s="493">
        <v>1</v>
      </c>
      <c r="HG42" s="493">
        <v>1</v>
      </c>
      <c r="HH42" s="493">
        <v>1</v>
      </c>
      <c r="HI42" s="493">
        <v>1</v>
      </c>
      <c r="HJ42" s="199"/>
      <c r="HK42" s="491"/>
      <c r="HL42" s="492">
        <v>1</v>
      </c>
      <c r="HM42" s="492">
        <v>2</v>
      </c>
      <c r="HN42" s="492"/>
      <c r="HO42" s="493">
        <v>1</v>
      </c>
      <c r="HP42" s="493">
        <v>1</v>
      </c>
      <c r="HQ42" s="493">
        <v>1</v>
      </c>
      <c r="HR42" s="493"/>
      <c r="HS42" s="199"/>
      <c r="HT42" s="491">
        <v>147</v>
      </c>
      <c r="HU42" s="492">
        <v>234</v>
      </c>
      <c r="HV42" s="492">
        <v>180</v>
      </c>
      <c r="HW42" s="492">
        <v>162</v>
      </c>
      <c r="HX42" s="493">
        <v>138</v>
      </c>
      <c r="HY42" s="493">
        <v>163</v>
      </c>
      <c r="HZ42" s="493">
        <v>162</v>
      </c>
      <c r="IA42" s="493">
        <v>148</v>
      </c>
      <c r="IB42" s="199"/>
      <c r="IC42" s="491">
        <v>595</v>
      </c>
      <c r="ID42" s="492">
        <v>789</v>
      </c>
      <c r="IE42" s="492">
        <v>705</v>
      </c>
      <c r="IF42" s="492">
        <v>589</v>
      </c>
      <c r="IG42" s="493">
        <v>584</v>
      </c>
      <c r="IH42" s="493">
        <v>523</v>
      </c>
      <c r="II42" s="493">
        <v>570</v>
      </c>
      <c r="IJ42" s="493">
        <v>492</v>
      </c>
      <c r="IK42" s="199"/>
      <c r="IL42" s="491">
        <v>49</v>
      </c>
      <c r="IM42" s="492">
        <v>35</v>
      </c>
      <c r="IN42" s="492">
        <v>74</v>
      </c>
      <c r="IO42" s="492">
        <v>46</v>
      </c>
      <c r="IP42" s="493">
        <v>42</v>
      </c>
      <c r="IQ42" s="493">
        <v>49</v>
      </c>
      <c r="IR42" s="493">
        <v>89</v>
      </c>
      <c r="IS42" s="493">
        <v>37</v>
      </c>
      <c r="IT42" s="199"/>
      <c r="IU42" s="533">
        <v>1540.8520005179334</v>
      </c>
      <c r="IV42" s="534">
        <v>2060.321190755973</v>
      </c>
      <c r="IW42" s="534">
        <v>1870.3738094606424</v>
      </c>
      <c r="IX42" s="534">
        <v>1564.5336945838978</v>
      </c>
      <c r="IY42" s="535">
        <v>1567.3644659151907</v>
      </c>
      <c r="IZ42" s="535">
        <v>1425.3066785309181</v>
      </c>
      <c r="JA42" s="535">
        <v>1594.6286193873268</v>
      </c>
      <c r="JB42" s="535">
        <v>1397.846407364264</v>
      </c>
      <c r="JC42" s="536"/>
      <c r="JD42" s="537">
        <v>380.68108248090124</v>
      </c>
      <c r="JE42" s="538">
        <v>611.04582843713274</v>
      </c>
      <c r="JF42" s="538">
        <v>477.54224922399385</v>
      </c>
      <c r="JG42" s="538">
        <v>430.31317236433182</v>
      </c>
      <c r="JH42" s="538">
        <v>370.37037037037038</v>
      </c>
      <c r="JI42" s="539">
        <v>438.20080785380026</v>
      </c>
      <c r="JJ42" s="539">
        <v>453.21023919429291</v>
      </c>
      <c r="JK42" s="539">
        <v>420.49038270307125</v>
      </c>
      <c r="JL42" s="536"/>
      <c r="JM42" s="537">
        <v>784.66917001165348</v>
      </c>
      <c r="JN42" s="538">
        <v>1070.635853244549</v>
      </c>
      <c r="JO42" s="538">
        <v>1151.4074231289628</v>
      </c>
      <c r="JP42" s="538">
        <v>1030.6266103540786</v>
      </c>
      <c r="JQ42" s="538">
        <v>1052.0665593129361</v>
      </c>
      <c r="JR42" s="539">
        <v>810.77920614342997</v>
      </c>
      <c r="JS42" s="539">
        <v>979.15792418520073</v>
      </c>
      <c r="JT42" s="539">
        <v>721.65241355797366</v>
      </c>
      <c r="JU42" s="536"/>
      <c r="JV42" s="537">
        <v>212.35271267642108</v>
      </c>
      <c r="JW42" s="538">
        <v>415.19780650215432</v>
      </c>
      <c r="JX42" s="538">
        <v>342.23861194386228</v>
      </c>
      <c r="JY42" s="538">
        <v>292.18795654368211</v>
      </c>
      <c r="JZ42" s="538">
        <v>252.28126677402039</v>
      </c>
      <c r="KA42" s="539">
        <v>257.2845546105475</v>
      </c>
      <c r="KB42" s="539">
        <v>257.37865435725274</v>
      </c>
      <c r="KC42" s="539">
        <v>159.10446913089183</v>
      </c>
      <c r="KD42" s="536"/>
    </row>
    <row r="43" spans="1:290" ht="15" customHeight="1" x14ac:dyDescent="0.2">
      <c r="A43" s="938"/>
      <c r="B43" s="359" t="s">
        <v>665</v>
      </c>
      <c r="C43" s="491"/>
      <c r="D43" s="492">
        <v>2</v>
      </c>
      <c r="E43" s="492">
        <v>1</v>
      </c>
      <c r="F43" s="492">
        <v>1</v>
      </c>
      <c r="G43" s="493">
        <v>1</v>
      </c>
      <c r="H43" s="493"/>
      <c r="I43" s="493">
        <v>1</v>
      </c>
      <c r="J43" s="493"/>
      <c r="K43" s="199"/>
      <c r="L43" s="491"/>
      <c r="M43" s="492">
        <v>1</v>
      </c>
      <c r="N43" s="492">
        <v>1</v>
      </c>
      <c r="O43" s="492">
        <v>1</v>
      </c>
      <c r="P43" s="493">
        <v>1</v>
      </c>
      <c r="Q43" s="493"/>
      <c r="R43" s="493">
        <v>1</v>
      </c>
      <c r="S43" s="493"/>
      <c r="T43" s="199"/>
      <c r="U43" s="491"/>
      <c r="V43" s="492">
        <v>1</v>
      </c>
      <c r="W43" s="492"/>
      <c r="X43" s="492"/>
      <c r="Y43" s="493"/>
      <c r="Z43" s="493"/>
      <c r="AA43" s="493"/>
      <c r="AB43" s="493"/>
      <c r="AC43" s="199"/>
      <c r="AD43" s="491">
        <v>39</v>
      </c>
      <c r="AE43" s="492">
        <v>35</v>
      </c>
      <c r="AF43" s="492">
        <v>62</v>
      </c>
      <c r="AG43" s="492">
        <v>57</v>
      </c>
      <c r="AH43" s="493">
        <v>69</v>
      </c>
      <c r="AI43" s="493">
        <v>100</v>
      </c>
      <c r="AJ43" s="493">
        <v>82</v>
      </c>
      <c r="AK43" s="493">
        <v>64</v>
      </c>
      <c r="AL43" s="199"/>
      <c r="AM43" s="491">
        <v>21</v>
      </c>
      <c r="AN43" s="492">
        <v>22</v>
      </c>
      <c r="AO43" s="492">
        <v>23</v>
      </c>
      <c r="AP43" s="492">
        <v>30</v>
      </c>
      <c r="AQ43" s="493">
        <v>18</v>
      </c>
      <c r="AR43" s="493">
        <v>26</v>
      </c>
      <c r="AS43" s="493">
        <v>16</v>
      </c>
      <c r="AT43" s="493">
        <v>22</v>
      </c>
      <c r="AU43" s="199"/>
      <c r="AV43" s="491"/>
      <c r="AW43" s="492"/>
      <c r="AX43" s="492"/>
      <c r="AY43" s="492"/>
      <c r="AZ43" s="493">
        <v>2</v>
      </c>
      <c r="BA43" s="493"/>
      <c r="BB43" s="493"/>
      <c r="BC43" s="493"/>
      <c r="BD43" s="199"/>
      <c r="BE43" s="491">
        <v>2</v>
      </c>
      <c r="BF43" s="492">
        <v>2</v>
      </c>
      <c r="BG43" s="492">
        <v>7</v>
      </c>
      <c r="BH43" s="492">
        <v>3</v>
      </c>
      <c r="BI43" s="493">
        <v>4</v>
      </c>
      <c r="BJ43" s="493">
        <v>4</v>
      </c>
      <c r="BK43" s="493"/>
      <c r="BL43" s="493"/>
      <c r="BM43" s="199"/>
      <c r="BN43" s="491">
        <v>1</v>
      </c>
      <c r="BO43" s="492">
        <v>3</v>
      </c>
      <c r="BP43" s="492">
        <v>3</v>
      </c>
      <c r="BQ43" s="492">
        <v>1</v>
      </c>
      <c r="BR43" s="493"/>
      <c r="BS43" s="493"/>
      <c r="BT43" s="493">
        <v>1</v>
      </c>
      <c r="BU43" s="493">
        <v>1</v>
      </c>
      <c r="BV43" s="199"/>
      <c r="BW43" s="491">
        <v>41</v>
      </c>
      <c r="BX43" s="492">
        <v>34</v>
      </c>
      <c r="BY43" s="492">
        <v>52</v>
      </c>
      <c r="BZ43" s="492">
        <v>39</v>
      </c>
      <c r="CA43" s="493">
        <v>47</v>
      </c>
      <c r="CB43" s="493">
        <v>43</v>
      </c>
      <c r="CC43" s="493">
        <v>29</v>
      </c>
      <c r="CD43" s="493">
        <v>28</v>
      </c>
      <c r="CE43" s="199"/>
      <c r="CF43" s="491">
        <v>4</v>
      </c>
      <c r="CG43" s="492">
        <v>3</v>
      </c>
      <c r="CH43" s="492">
        <v>8</v>
      </c>
      <c r="CI43" s="492">
        <v>5</v>
      </c>
      <c r="CJ43" s="493">
        <v>2</v>
      </c>
      <c r="CK43" s="493">
        <v>4</v>
      </c>
      <c r="CL43" s="493"/>
      <c r="CM43" s="493"/>
      <c r="CN43" s="199"/>
      <c r="CO43" s="491">
        <v>1</v>
      </c>
      <c r="CP43" s="492">
        <v>1</v>
      </c>
      <c r="CQ43" s="492">
        <v>1</v>
      </c>
      <c r="CR43" s="492">
        <v>1</v>
      </c>
      <c r="CS43" s="493"/>
      <c r="CT43" s="493">
        <v>6</v>
      </c>
      <c r="CU43" s="493">
        <v>1</v>
      </c>
      <c r="CV43" s="493">
        <v>1</v>
      </c>
      <c r="CW43" s="199"/>
      <c r="CX43" s="491">
        <v>541</v>
      </c>
      <c r="CY43" s="492">
        <v>460</v>
      </c>
      <c r="CZ43" s="492">
        <v>508</v>
      </c>
      <c r="DA43" s="492">
        <v>424</v>
      </c>
      <c r="DB43" s="493">
        <v>436</v>
      </c>
      <c r="DC43" s="493">
        <v>376</v>
      </c>
      <c r="DD43" s="493">
        <v>274</v>
      </c>
      <c r="DE43" s="493">
        <v>268</v>
      </c>
      <c r="DF43" s="199"/>
      <c r="DG43" s="491">
        <v>1</v>
      </c>
      <c r="DH43" s="492">
        <v>1</v>
      </c>
      <c r="DI43" s="492">
        <v>1</v>
      </c>
      <c r="DJ43" s="492"/>
      <c r="DK43" s="493"/>
      <c r="DL43" s="493">
        <v>1</v>
      </c>
      <c r="DM43" s="493"/>
      <c r="DN43" s="493"/>
      <c r="DO43" s="199"/>
      <c r="DP43" s="491">
        <v>11</v>
      </c>
      <c r="DQ43" s="492">
        <v>5</v>
      </c>
      <c r="DR43" s="492">
        <v>7</v>
      </c>
      <c r="DS43" s="492">
        <v>2</v>
      </c>
      <c r="DT43" s="493">
        <v>3</v>
      </c>
      <c r="DU43" s="493">
        <v>6</v>
      </c>
      <c r="DV43" s="493">
        <v>3</v>
      </c>
      <c r="DW43" s="493"/>
      <c r="DX43" s="199"/>
      <c r="DY43" s="491">
        <v>16</v>
      </c>
      <c r="DZ43" s="492">
        <v>23</v>
      </c>
      <c r="EA43" s="492">
        <v>31</v>
      </c>
      <c r="EB43" s="492">
        <v>37</v>
      </c>
      <c r="EC43" s="493">
        <v>36</v>
      </c>
      <c r="ED43" s="493">
        <v>41</v>
      </c>
      <c r="EE43" s="493">
        <v>51</v>
      </c>
      <c r="EF43" s="493">
        <v>43</v>
      </c>
      <c r="EG43" s="199"/>
      <c r="EH43" s="491">
        <v>8</v>
      </c>
      <c r="EI43" s="492">
        <v>7</v>
      </c>
      <c r="EJ43" s="492">
        <v>1</v>
      </c>
      <c r="EK43" s="492">
        <v>5</v>
      </c>
      <c r="EL43" s="493">
        <v>4</v>
      </c>
      <c r="EM43" s="493">
        <v>5</v>
      </c>
      <c r="EN43" s="493">
        <v>1</v>
      </c>
      <c r="EO43" s="493">
        <v>2</v>
      </c>
      <c r="EP43" s="199"/>
      <c r="EQ43" s="491"/>
      <c r="ER43" s="492">
        <v>1</v>
      </c>
      <c r="ES43" s="492"/>
      <c r="ET43" s="492"/>
      <c r="EU43" s="493">
        <v>2</v>
      </c>
      <c r="EV43" s="493">
        <v>1</v>
      </c>
      <c r="EW43" s="493"/>
      <c r="EX43" s="493">
        <v>2</v>
      </c>
      <c r="EY43" s="199"/>
      <c r="EZ43" s="491">
        <v>9</v>
      </c>
      <c r="FA43" s="492">
        <v>3</v>
      </c>
      <c r="FB43" s="492">
        <v>7</v>
      </c>
      <c r="FC43" s="492"/>
      <c r="FD43" s="493"/>
      <c r="FE43" s="493">
        <v>1</v>
      </c>
      <c r="FF43" s="493">
        <v>1</v>
      </c>
      <c r="FG43" s="493">
        <v>3</v>
      </c>
      <c r="FH43" s="199"/>
      <c r="FI43" s="491">
        <v>33</v>
      </c>
      <c r="FJ43" s="492">
        <v>55</v>
      </c>
      <c r="FK43" s="492">
        <v>36</v>
      </c>
      <c r="FL43" s="492">
        <v>23</v>
      </c>
      <c r="FM43" s="493">
        <v>32</v>
      </c>
      <c r="FN43" s="493">
        <v>21</v>
      </c>
      <c r="FO43" s="493">
        <v>48</v>
      </c>
      <c r="FP43" s="493">
        <v>24</v>
      </c>
      <c r="FQ43" s="199"/>
      <c r="FR43" s="491">
        <v>2</v>
      </c>
      <c r="FS43" s="492">
        <v>2</v>
      </c>
      <c r="FT43" s="492">
        <v>3</v>
      </c>
      <c r="FU43" s="492"/>
      <c r="FV43" s="493">
        <v>3</v>
      </c>
      <c r="FW43" s="493">
        <v>4</v>
      </c>
      <c r="FX43" s="493">
        <v>2</v>
      </c>
      <c r="FY43" s="493">
        <v>1</v>
      </c>
      <c r="FZ43" s="199"/>
      <c r="GA43" s="491">
        <v>8</v>
      </c>
      <c r="GB43" s="492">
        <v>1</v>
      </c>
      <c r="GC43" s="492"/>
      <c r="GD43" s="492">
        <v>3</v>
      </c>
      <c r="GE43" s="493">
        <v>5</v>
      </c>
      <c r="GF43" s="493">
        <v>5</v>
      </c>
      <c r="GG43" s="493">
        <v>2</v>
      </c>
      <c r="GH43" s="493">
        <v>2</v>
      </c>
      <c r="GI43" s="199"/>
      <c r="GJ43" s="491">
        <v>689</v>
      </c>
      <c r="GK43" s="492">
        <v>609</v>
      </c>
      <c r="GL43" s="492">
        <v>689</v>
      </c>
      <c r="GM43" s="492">
        <v>562</v>
      </c>
      <c r="GN43" s="493">
        <v>605</v>
      </c>
      <c r="GO43" s="493">
        <v>570</v>
      </c>
      <c r="GP43" s="493">
        <v>442</v>
      </c>
      <c r="GQ43" s="493">
        <v>396</v>
      </c>
      <c r="GR43" s="199"/>
      <c r="GS43" s="491">
        <v>267</v>
      </c>
      <c r="GT43" s="492">
        <v>251</v>
      </c>
      <c r="GU43" s="492">
        <v>273</v>
      </c>
      <c r="GV43" s="492">
        <v>145</v>
      </c>
      <c r="GW43" s="493">
        <v>129</v>
      </c>
      <c r="GX43" s="493">
        <v>125</v>
      </c>
      <c r="GY43" s="493">
        <v>120</v>
      </c>
      <c r="GZ43" s="493">
        <v>94</v>
      </c>
      <c r="HA43" s="199"/>
      <c r="HB43" s="491">
        <v>3</v>
      </c>
      <c r="HC43" s="492">
        <v>1</v>
      </c>
      <c r="HD43" s="492"/>
      <c r="HE43" s="492">
        <v>1</v>
      </c>
      <c r="HF43" s="493">
        <v>1</v>
      </c>
      <c r="HG43" s="493">
        <v>3</v>
      </c>
      <c r="HH43" s="493">
        <v>3</v>
      </c>
      <c r="HI43" s="493">
        <v>1</v>
      </c>
      <c r="HJ43" s="199"/>
      <c r="HK43" s="491">
        <v>1</v>
      </c>
      <c r="HL43" s="492"/>
      <c r="HM43" s="492"/>
      <c r="HN43" s="492"/>
      <c r="HO43" s="493"/>
      <c r="HP43" s="493"/>
      <c r="HQ43" s="493">
        <v>3</v>
      </c>
      <c r="HR43" s="493">
        <v>1</v>
      </c>
      <c r="HS43" s="199"/>
      <c r="HT43" s="491">
        <v>344</v>
      </c>
      <c r="HU43" s="492">
        <v>336</v>
      </c>
      <c r="HV43" s="492">
        <v>340</v>
      </c>
      <c r="HW43" s="492">
        <v>211</v>
      </c>
      <c r="HX43" s="493">
        <v>200</v>
      </c>
      <c r="HY43" s="493">
        <v>214</v>
      </c>
      <c r="HZ43" s="493">
        <v>193</v>
      </c>
      <c r="IA43" s="493">
        <v>165</v>
      </c>
      <c r="IB43" s="199"/>
      <c r="IC43" s="491">
        <v>1027</v>
      </c>
      <c r="ID43" s="492">
        <v>1101</v>
      </c>
      <c r="IE43" s="492">
        <v>1296</v>
      </c>
      <c r="IF43" s="492">
        <v>1272</v>
      </c>
      <c r="IG43" s="493">
        <v>964</v>
      </c>
      <c r="IH43" s="493">
        <v>947</v>
      </c>
      <c r="II43" s="493">
        <v>747</v>
      </c>
      <c r="IJ43" s="493">
        <v>706</v>
      </c>
      <c r="IK43" s="199"/>
      <c r="IL43" s="491">
        <v>42</v>
      </c>
      <c r="IM43" s="492">
        <v>50</v>
      </c>
      <c r="IN43" s="492">
        <v>51</v>
      </c>
      <c r="IO43" s="492">
        <v>54</v>
      </c>
      <c r="IP43" s="493">
        <v>26</v>
      </c>
      <c r="IQ43" s="493">
        <v>88</v>
      </c>
      <c r="IR43" s="493">
        <v>69</v>
      </c>
      <c r="IS43" s="493">
        <v>54</v>
      </c>
      <c r="IT43" s="199"/>
      <c r="IU43" s="533">
        <v>2384.8225896340327</v>
      </c>
      <c r="IV43" s="534">
        <v>2579.9648506151143</v>
      </c>
      <c r="IW43" s="534">
        <v>3066.4395229982965</v>
      </c>
      <c r="IX43" s="534">
        <v>3059.2366338776787</v>
      </c>
      <c r="IY43" s="535">
        <v>2344.4720073933554</v>
      </c>
      <c r="IZ43" s="535">
        <v>2319.5434393905994</v>
      </c>
      <c r="JA43" s="535">
        <v>1859.2264423316244</v>
      </c>
      <c r="JB43" s="535">
        <v>1778.4271247921808</v>
      </c>
      <c r="JC43" s="536"/>
      <c r="JD43" s="537">
        <v>798.81107189299655</v>
      </c>
      <c r="JE43" s="538">
        <v>787.34622144112484</v>
      </c>
      <c r="JF43" s="538">
        <v>804.46715881128148</v>
      </c>
      <c r="JG43" s="538">
        <v>507.46771206618723</v>
      </c>
      <c r="JH43" s="538">
        <v>486.40498078700324</v>
      </c>
      <c r="JI43" s="539">
        <v>524.16293139344066</v>
      </c>
      <c r="JJ43" s="539">
        <v>480.362387376176</v>
      </c>
      <c r="JK43" s="539">
        <v>415.6380674089375</v>
      </c>
      <c r="JL43" s="536"/>
      <c r="JM43" s="537">
        <v>1599.9442689949842</v>
      </c>
      <c r="JN43" s="538">
        <v>1427.0650263620387</v>
      </c>
      <c r="JO43" s="538">
        <v>1630.2290365322735</v>
      </c>
      <c r="JP43" s="538">
        <v>1351.6438586786599</v>
      </c>
      <c r="JQ43" s="538">
        <v>1471.3750668806847</v>
      </c>
      <c r="JR43" s="539">
        <v>1396.1349107208466</v>
      </c>
      <c r="JS43" s="539">
        <v>1100.1045348200507</v>
      </c>
      <c r="JT43" s="539">
        <v>997.53136178144985</v>
      </c>
      <c r="JU43" s="536"/>
      <c r="JV43" s="537">
        <v>620.00743080066877</v>
      </c>
      <c r="JW43" s="538">
        <v>588.16637375512596</v>
      </c>
      <c r="JX43" s="538">
        <v>645.93980692788182</v>
      </c>
      <c r="JY43" s="538">
        <v>348.7337357800813</v>
      </c>
      <c r="JZ43" s="538">
        <v>313.73121260761707</v>
      </c>
      <c r="KA43" s="539">
        <v>306.16993656158911</v>
      </c>
      <c r="KB43" s="539">
        <v>298.670914430783</v>
      </c>
      <c r="KC43" s="539">
        <v>236.78774749357652</v>
      </c>
      <c r="KD43" s="536"/>
    </row>
    <row r="44" spans="1:290" ht="15" customHeight="1" x14ac:dyDescent="0.2">
      <c r="A44" s="938"/>
      <c r="B44" s="359" t="s">
        <v>770</v>
      </c>
      <c r="C44" s="491"/>
      <c r="D44" s="492">
        <v>4</v>
      </c>
      <c r="E44" s="492">
        <v>1</v>
      </c>
      <c r="F44" s="492">
        <v>4</v>
      </c>
      <c r="G44" s="493">
        <v>2</v>
      </c>
      <c r="H44" s="493">
        <v>3</v>
      </c>
      <c r="I44" s="493">
        <v>2</v>
      </c>
      <c r="J44" s="493">
        <v>2</v>
      </c>
      <c r="K44" s="199"/>
      <c r="L44" s="491"/>
      <c r="M44" s="492">
        <v>3</v>
      </c>
      <c r="N44" s="492"/>
      <c r="O44" s="492">
        <v>3</v>
      </c>
      <c r="P44" s="493"/>
      <c r="Q44" s="493">
        <v>2</v>
      </c>
      <c r="R44" s="493"/>
      <c r="S44" s="493">
        <v>1</v>
      </c>
      <c r="T44" s="199"/>
      <c r="U44" s="491"/>
      <c r="V44" s="492"/>
      <c r="W44" s="492">
        <v>1</v>
      </c>
      <c r="X44" s="492">
        <v>1</v>
      </c>
      <c r="Y44" s="493">
        <v>2</v>
      </c>
      <c r="Z44" s="493">
        <v>1</v>
      </c>
      <c r="AA44" s="493">
        <v>2</v>
      </c>
      <c r="AB44" s="493">
        <v>1</v>
      </c>
      <c r="AC44" s="199"/>
      <c r="AD44" s="491">
        <v>51</v>
      </c>
      <c r="AE44" s="492">
        <v>78</v>
      </c>
      <c r="AF44" s="492">
        <v>76</v>
      </c>
      <c r="AG44" s="492">
        <v>55</v>
      </c>
      <c r="AH44" s="493">
        <v>83</v>
      </c>
      <c r="AI44" s="493">
        <v>74</v>
      </c>
      <c r="AJ44" s="493">
        <v>69</v>
      </c>
      <c r="AK44" s="493">
        <v>81</v>
      </c>
      <c r="AL44" s="199"/>
      <c r="AM44" s="491">
        <v>26</v>
      </c>
      <c r="AN44" s="492">
        <v>37</v>
      </c>
      <c r="AO44" s="492">
        <v>29</v>
      </c>
      <c r="AP44" s="492">
        <v>27</v>
      </c>
      <c r="AQ44" s="493">
        <v>23</v>
      </c>
      <c r="AR44" s="493">
        <v>27</v>
      </c>
      <c r="AS44" s="493">
        <v>22</v>
      </c>
      <c r="AT44" s="493">
        <v>17</v>
      </c>
      <c r="AU44" s="199"/>
      <c r="AV44" s="491"/>
      <c r="AW44" s="492"/>
      <c r="AX44" s="492"/>
      <c r="AY44" s="492"/>
      <c r="AZ44" s="493"/>
      <c r="BA44" s="493"/>
      <c r="BB44" s="493"/>
      <c r="BC44" s="493"/>
      <c r="BD44" s="199"/>
      <c r="BE44" s="491">
        <v>6</v>
      </c>
      <c r="BF44" s="492">
        <v>13</v>
      </c>
      <c r="BG44" s="492">
        <v>31</v>
      </c>
      <c r="BH44" s="492">
        <v>14</v>
      </c>
      <c r="BI44" s="493">
        <v>19</v>
      </c>
      <c r="BJ44" s="493">
        <v>14</v>
      </c>
      <c r="BK44" s="493">
        <v>5</v>
      </c>
      <c r="BL44" s="493"/>
      <c r="BM44" s="199"/>
      <c r="BN44" s="491">
        <v>2</v>
      </c>
      <c r="BO44" s="492">
        <v>1</v>
      </c>
      <c r="BP44" s="492">
        <v>13</v>
      </c>
      <c r="BQ44" s="492">
        <v>2</v>
      </c>
      <c r="BR44" s="493">
        <v>6</v>
      </c>
      <c r="BS44" s="493">
        <v>2</v>
      </c>
      <c r="BT44" s="493">
        <v>3</v>
      </c>
      <c r="BU44" s="493">
        <v>6</v>
      </c>
      <c r="BV44" s="199"/>
      <c r="BW44" s="491">
        <v>50</v>
      </c>
      <c r="BX44" s="492">
        <v>65</v>
      </c>
      <c r="BY44" s="492">
        <v>75</v>
      </c>
      <c r="BZ44" s="492">
        <v>74</v>
      </c>
      <c r="CA44" s="493">
        <v>89</v>
      </c>
      <c r="CB44" s="493">
        <v>67</v>
      </c>
      <c r="CC44" s="493">
        <v>75</v>
      </c>
      <c r="CD44" s="493">
        <v>70</v>
      </c>
      <c r="CE44" s="199"/>
      <c r="CF44" s="491">
        <v>3</v>
      </c>
      <c r="CG44" s="492">
        <v>5</v>
      </c>
      <c r="CH44" s="492">
        <v>3</v>
      </c>
      <c r="CI44" s="492">
        <v>6</v>
      </c>
      <c r="CJ44" s="493">
        <v>7</v>
      </c>
      <c r="CK44" s="493">
        <v>4</v>
      </c>
      <c r="CL44" s="493">
        <v>3</v>
      </c>
      <c r="CM44" s="493">
        <v>7</v>
      </c>
      <c r="CN44" s="199"/>
      <c r="CO44" s="491">
        <v>5</v>
      </c>
      <c r="CP44" s="492">
        <v>1</v>
      </c>
      <c r="CQ44" s="492"/>
      <c r="CR44" s="492">
        <v>5</v>
      </c>
      <c r="CS44" s="493"/>
      <c r="CT44" s="493"/>
      <c r="CU44" s="493"/>
      <c r="CV44" s="493"/>
      <c r="CW44" s="199"/>
      <c r="CX44" s="491">
        <v>371</v>
      </c>
      <c r="CY44" s="492">
        <v>496</v>
      </c>
      <c r="CZ44" s="492">
        <v>366</v>
      </c>
      <c r="DA44" s="492">
        <v>363</v>
      </c>
      <c r="DB44" s="493">
        <v>372</v>
      </c>
      <c r="DC44" s="493">
        <v>218</v>
      </c>
      <c r="DD44" s="493">
        <v>200</v>
      </c>
      <c r="DE44" s="493">
        <v>198</v>
      </c>
      <c r="DF44" s="199"/>
      <c r="DG44" s="491">
        <v>1</v>
      </c>
      <c r="DH44" s="492">
        <v>2</v>
      </c>
      <c r="DI44" s="492">
        <v>1</v>
      </c>
      <c r="DJ44" s="492">
        <v>2</v>
      </c>
      <c r="DK44" s="493">
        <v>2</v>
      </c>
      <c r="DL44" s="493"/>
      <c r="DM44" s="493"/>
      <c r="DN44" s="493">
        <v>1</v>
      </c>
      <c r="DO44" s="199"/>
      <c r="DP44" s="491">
        <v>2</v>
      </c>
      <c r="DQ44" s="492">
        <v>16</v>
      </c>
      <c r="DR44" s="492">
        <v>4</v>
      </c>
      <c r="DS44" s="492">
        <v>2</v>
      </c>
      <c r="DT44" s="493">
        <v>3</v>
      </c>
      <c r="DU44" s="493"/>
      <c r="DV44" s="493"/>
      <c r="DW44" s="493"/>
      <c r="DX44" s="199"/>
      <c r="DY44" s="491">
        <v>62</v>
      </c>
      <c r="DZ44" s="492">
        <v>60</v>
      </c>
      <c r="EA44" s="492">
        <v>54</v>
      </c>
      <c r="EB44" s="492">
        <v>44</v>
      </c>
      <c r="EC44" s="493">
        <v>85</v>
      </c>
      <c r="ED44" s="493">
        <v>61</v>
      </c>
      <c r="EE44" s="493">
        <v>54</v>
      </c>
      <c r="EF44" s="493">
        <v>43</v>
      </c>
      <c r="EG44" s="199"/>
      <c r="EH44" s="491">
        <v>3</v>
      </c>
      <c r="EI44" s="492">
        <v>12</v>
      </c>
      <c r="EJ44" s="492">
        <v>3</v>
      </c>
      <c r="EK44" s="492">
        <v>5</v>
      </c>
      <c r="EL44" s="493">
        <v>4</v>
      </c>
      <c r="EM44" s="493">
        <v>5</v>
      </c>
      <c r="EN44" s="493">
        <v>1</v>
      </c>
      <c r="EO44" s="493">
        <v>2</v>
      </c>
      <c r="EP44" s="199"/>
      <c r="EQ44" s="491">
        <v>2</v>
      </c>
      <c r="ER44" s="492">
        <v>1</v>
      </c>
      <c r="ES44" s="492">
        <v>3</v>
      </c>
      <c r="ET44" s="492"/>
      <c r="EU44" s="493">
        <v>1</v>
      </c>
      <c r="EV44" s="493">
        <v>2</v>
      </c>
      <c r="EW44" s="493">
        <v>2</v>
      </c>
      <c r="EX44" s="493">
        <v>1</v>
      </c>
      <c r="EY44" s="199"/>
      <c r="EZ44" s="491">
        <v>1</v>
      </c>
      <c r="FA44" s="492">
        <v>6</v>
      </c>
      <c r="FB44" s="492">
        <v>2</v>
      </c>
      <c r="FC44" s="492">
        <v>5</v>
      </c>
      <c r="FD44" s="493">
        <v>4</v>
      </c>
      <c r="FE44" s="493"/>
      <c r="FF44" s="493">
        <v>1</v>
      </c>
      <c r="FG44" s="493">
        <v>3</v>
      </c>
      <c r="FH44" s="199"/>
      <c r="FI44" s="491">
        <v>34</v>
      </c>
      <c r="FJ44" s="492">
        <v>25</v>
      </c>
      <c r="FK44" s="492">
        <v>15</v>
      </c>
      <c r="FL44" s="492">
        <v>10</v>
      </c>
      <c r="FM44" s="493">
        <v>12</v>
      </c>
      <c r="FN44" s="493">
        <v>14</v>
      </c>
      <c r="FO44" s="493">
        <v>11</v>
      </c>
      <c r="FP44" s="493">
        <v>6</v>
      </c>
      <c r="FQ44" s="199"/>
      <c r="FR44" s="491">
        <v>3</v>
      </c>
      <c r="FS44" s="492">
        <v>4</v>
      </c>
      <c r="FT44" s="492">
        <v>2</v>
      </c>
      <c r="FU44" s="492">
        <v>9</v>
      </c>
      <c r="FV44" s="493">
        <v>6</v>
      </c>
      <c r="FW44" s="493">
        <v>3</v>
      </c>
      <c r="FX44" s="493">
        <v>1</v>
      </c>
      <c r="FY44" s="493">
        <v>1</v>
      </c>
      <c r="FZ44" s="199"/>
      <c r="GA44" s="491">
        <v>9</v>
      </c>
      <c r="GB44" s="492">
        <v>2</v>
      </c>
      <c r="GC44" s="492">
        <v>4</v>
      </c>
      <c r="GD44" s="492"/>
      <c r="GE44" s="493">
        <v>1</v>
      </c>
      <c r="GF44" s="493"/>
      <c r="GG44" s="493">
        <v>4</v>
      </c>
      <c r="GH44" s="493">
        <v>1</v>
      </c>
      <c r="GI44" s="199"/>
      <c r="GJ44" s="491">
        <v>540</v>
      </c>
      <c r="GK44" s="492">
        <v>713</v>
      </c>
      <c r="GL44" s="492">
        <v>594</v>
      </c>
      <c r="GM44" s="492">
        <v>552</v>
      </c>
      <c r="GN44" s="493">
        <v>606</v>
      </c>
      <c r="GO44" s="493">
        <v>406</v>
      </c>
      <c r="GP44" s="493">
        <v>377</v>
      </c>
      <c r="GQ44" s="493">
        <v>378</v>
      </c>
      <c r="GR44" s="199"/>
      <c r="GS44" s="491">
        <v>129</v>
      </c>
      <c r="GT44" s="492">
        <v>157</v>
      </c>
      <c r="GU44" s="492">
        <v>146</v>
      </c>
      <c r="GV44" s="492">
        <v>128</v>
      </c>
      <c r="GW44" s="493">
        <v>104</v>
      </c>
      <c r="GX44" s="493">
        <v>80</v>
      </c>
      <c r="GY44" s="493">
        <v>97</v>
      </c>
      <c r="GZ44" s="493">
        <v>89</v>
      </c>
      <c r="HA44" s="199"/>
      <c r="HB44" s="491"/>
      <c r="HC44" s="492">
        <v>1</v>
      </c>
      <c r="HD44" s="492"/>
      <c r="HE44" s="492"/>
      <c r="HF44" s="493">
        <v>3</v>
      </c>
      <c r="HG44" s="493">
        <v>1</v>
      </c>
      <c r="HH44" s="493">
        <v>1</v>
      </c>
      <c r="HI44" s="493"/>
      <c r="HJ44" s="199"/>
      <c r="HK44" s="491"/>
      <c r="HL44" s="492">
        <v>1</v>
      </c>
      <c r="HM44" s="492"/>
      <c r="HN44" s="492"/>
      <c r="HO44" s="493"/>
      <c r="HP44" s="493">
        <v>1</v>
      </c>
      <c r="HQ44" s="493">
        <v>1</v>
      </c>
      <c r="HR44" s="493"/>
      <c r="HS44" s="199"/>
      <c r="HT44" s="491">
        <v>171</v>
      </c>
      <c r="HU44" s="492">
        <v>205</v>
      </c>
      <c r="HV44" s="492">
        <v>198</v>
      </c>
      <c r="HW44" s="492">
        <v>189</v>
      </c>
      <c r="HX44" s="493">
        <v>172</v>
      </c>
      <c r="HY44" s="493">
        <v>124</v>
      </c>
      <c r="HZ44" s="493">
        <v>177</v>
      </c>
      <c r="IA44" s="493">
        <v>159</v>
      </c>
      <c r="IB44" s="199"/>
      <c r="IC44" s="491">
        <v>980</v>
      </c>
      <c r="ID44" s="492">
        <v>1132</v>
      </c>
      <c r="IE44" s="492">
        <v>982</v>
      </c>
      <c r="IF44" s="492">
        <v>910</v>
      </c>
      <c r="IG44" s="493">
        <v>1001</v>
      </c>
      <c r="IH44" s="493">
        <v>714</v>
      </c>
      <c r="II44" s="493">
        <v>685</v>
      </c>
      <c r="IJ44" s="493">
        <v>699</v>
      </c>
      <c r="IK44" s="199"/>
      <c r="IL44" s="491">
        <v>104</v>
      </c>
      <c r="IM44" s="492">
        <v>144</v>
      </c>
      <c r="IN44" s="492">
        <v>79</v>
      </c>
      <c r="IO44" s="492">
        <v>43</v>
      </c>
      <c r="IP44" s="493">
        <v>66</v>
      </c>
      <c r="IQ44" s="493">
        <v>73</v>
      </c>
      <c r="IR44" s="493">
        <v>64</v>
      </c>
      <c r="IS44" s="493">
        <v>54</v>
      </c>
      <c r="IT44" s="199"/>
      <c r="IU44" s="533">
        <v>2466.587802975007</v>
      </c>
      <c r="IV44" s="534">
        <v>2915.4218605130318</v>
      </c>
      <c r="IW44" s="534">
        <v>2565.5763402654406</v>
      </c>
      <c r="IX44" s="534">
        <v>2240.9377462568955</v>
      </c>
      <c r="IY44" s="535">
        <v>2490.9172348579109</v>
      </c>
      <c r="IZ44" s="535">
        <v>1800.2571795970853</v>
      </c>
      <c r="JA44" s="535">
        <v>1754.9702807952449</v>
      </c>
      <c r="JB44" s="535">
        <v>1826.5914079648792</v>
      </c>
      <c r="JC44" s="536"/>
      <c r="JD44" s="537">
        <v>430.394402355843</v>
      </c>
      <c r="JE44" s="538">
        <v>527.96950654167097</v>
      </c>
      <c r="JF44" s="538">
        <v>517.29543316961019</v>
      </c>
      <c r="JG44" s="538">
        <v>465.42553191489361</v>
      </c>
      <c r="JH44" s="538">
        <v>428.00975464091977</v>
      </c>
      <c r="JI44" s="539">
        <v>312.64970626055822</v>
      </c>
      <c r="JJ44" s="539">
        <v>453.47407255585159</v>
      </c>
      <c r="JK44" s="539">
        <v>415.49074945123863</v>
      </c>
      <c r="JL44" s="536"/>
      <c r="JM44" s="537">
        <v>1359.1402179658203</v>
      </c>
      <c r="JN44" s="538">
        <v>1836.3036983620066</v>
      </c>
      <c r="JO44" s="538">
        <v>1551.8862995088307</v>
      </c>
      <c r="JP44" s="538">
        <v>1359.338061465721</v>
      </c>
      <c r="JQ44" s="538">
        <v>1507.9878564674266</v>
      </c>
      <c r="JR44" s="539">
        <v>1023.6756511434406</v>
      </c>
      <c r="JS44" s="539">
        <v>965.87415453986466</v>
      </c>
      <c r="JT44" s="539">
        <v>987.77046095954847</v>
      </c>
      <c r="JU44" s="536"/>
      <c r="JV44" s="537">
        <v>324.68349651405703</v>
      </c>
      <c r="JW44" s="538">
        <v>404.34737818069436</v>
      </c>
      <c r="JX44" s="538">
        <v>381.44006688264187</v>
      </c>
      <c r="JY44" s="538">
        <v>315.20882584712376</v>
      </c>
      <c r="JZ44" s="538">
        <v>258.79659582939331</v>
      </c>
      <c r="KA44" s="539">
        <v>201.70948791003758</v>
      </c>
      <c r="KB44" s="539">
        <v>248.51403976224634</v>
      </c>
      <c r="KC44" s="539">
        <v>232.5702937179889</v>
      </c>
      <c r="KD44" s="536"/>
    </row>
    <row r="45" spans="1:290" ht="15" customHeight="1" x14ac:dyDescent="0.2">
      <c r="A45" s="938"/>
      <c r="B45" s="359" t="s">
        <v>771</v>
      </c>
      <c r="C45" s="491">
        <v>1</v>
      </c>
      <c r="D45" s="492"/>
      <c r="E45" s="492"/>
      <c r="F45" s="492">
        <v>3</v>
      </c>
      <c r="G45" s="493"/>
      <c r="H45" s="493"/>
      <c r="I45" s="493">
        <v>1</v>
      </c>
      <c r="J45" s="493">
        <v>1</v>
      </c>
      <c r="K45" s="199"/>
      <c r="L45" s="491">
        <v>1</v>
      </c>
      <c r="M45" s="492"/>
      <c r="N45" s="492"/>
      <c r="O45" s="492">
        <v>2</v>
      </c>
      <c r="P45" s="493"/>
      <c r="Q45" s="493"/>
      <c r="R45" s="493"/>
      <c r="S45" s="493">
        <v>1</v>
      </c>
      <c r="T45" s="199"/>
      <c r="U45" s="491"/>
      <c r="V45" s="492"/>
      <c r="W45" s="492"/>
      <c r="X45" s="492"/>
      <c r="Y45" s="493"/>
      <c r="Z45" s="493"/>
      <c r="AA45" s="493"/>
      <c r="AB45" s="493"/>
      <c r="AC45" s="199"/>
      <c r="AD45" s="491">
        <v>28</v>
      </c>
      <c r="AE45" s="492">
        <v>28</v>
      </c>
      <c r="AF45" s="492">
        <v>18</v>
      </c>
      <c r="AG45" s="492">
        <v>22</v>
      </c>
      <c r="AH45" s="493">
        <v>24</v>
      </c>
      <c r="AI45" s="493">
        <v>27</v>
      </c>
      <c r="AJ45" s="493">
        <v>18</v>
      </c>
      <c r="AK45" s="493">
        <v>28</v>
      </c>
      <c r="AL45" s="199"/>
      <c r="AM45" s="491">
        <v>17</v>
      </c>
      <c r="AN45" s="492">
        <v>19</v>
      </c>
      <c r="AO45" s="492">
        <v>12</v>
      </c>
      <c r="AP45" s="492">
        <v>18</v>
      </c>
      <c r="AQ45" s="493">
        <v>20</v>
      </c>
      <c r="AR45" s="493">
        <v>18</v>
      </c>
      <c r="AS45" s="493">
        <v>14</v>
      </c>
      <c r="AT45" s="493">
        <v>15</v>
      </c>
      <c r="AU45" s="199"/>
      <c r="AV45" s="491"/>
      <c r="AW45" s="492"/>
      <c r="AX45" s="492"/>
      <c r="AY45" s="492"/>
      <c r="AZ45" s="493">
        <v>1</v>
      </c>
      <c r="BA45" s="493"/>
      <c r="BB45" s="493"/>
      <c r="BC45" s="493"/>
      <c r="BD45" s="199"/>
      <c r="BE45" s="491">
        <v>3</v>
      </c>
      <c r="BF45" s="492">
        <v>1</v>
      </c>
      <c r="BG45" s="492">
        <v>2</v>
      </c>
      <c r="BH45" s="492">
        <v>6</v>
      </c>
      <c r="BI45" s="493">
        <v>1</v>
      </c>
      <c r="BJ45" s="493">
        <v>5</v>
      </c>
      <c r="BK45" s="493">
        <v>8</v>
      </c>
      <c r="BL45" s="493">
        <v>5</v>
      </c>
      <c r="BM45" s="199"/>
      <c r="BN45" s="491">
        <v>1</v>
      </c>
      <c r="BO45" s="492"/>
      <c r="BP45" s="492"/>
      <c r="BQ45" s="492"/>
      <c r="BR45" s="493"/>
      <c r="BS45" s="493"/>
      <c r="BT45" s="493"/>
      <c r="BU45" s="493"/>
      <c r="BV45" s="199"/>
      <c r="BW45" s="491">
        <v>5</v>
      </c>
      <c r="BX45" s="492">
        <v>15</v>
      </c>
      <c r="BY45" s="492">
        <v>8</v>
      </c>
      <c r="BZ45" s="492">
        <v>8</v>
      </c>
      <c r="CA45" s="493">
        <v>9</v>
      </c>
      <c r="CB45" s="493">
        <v>16</v>
      </c>
      <c r="CC45" s="493">
        <v>13</v>
      </c>
      <c r="CD45" s="493">
        <v>24</v>
      </c>
      <c r="CE45" s="199"/>
      <c r="CF45" s="491">
        <v>2</v>
      </c>
      <c r="CG45" s="492">
        <v>6</v>
      </c>
      <c r="CH45" s="492"/>
      <c r="CI45" s="492"/>
      <c r="CJ45" s="493">
        <v>1</v>
      </c>
      <c r="CK45" s="493">
        <v>2</v>
      </c>
      <c r="CL45" s="493"/>
      <c r="CM45" s="493">
        <v>6</v>
      </c>
      <c r="CN45" s="199"/>
      <c r="CO45" s="491">
        <v>2</v>
      </c>
      <c r="CP45" s="492"/>
      <c r="CQ45" s="492">
        <v>1</v>
      </c>
      <c r="CR45" s="492">
        <v>4</v>
      </c>
      <c r="CS45" s="493">
        <v>2</v>
      </c>
      <c r="CT45" s="493">
        <v>2</v>
      </c>
      <c r="CU45" s="493">
        <v>2</v>
      </c>
      <c r="CV45" s="493">
        <v>3</v>
      </c>
      <c r="CW45" s="199"/>
      <c r="CX45" s="491">
        <v>3012</v>
      </c>
      <c r="CY45" s="492">
        <v>397</v>
      </c>
      <c r="CZ45" s="492">
        <v>412</v>
      </c>
      <c r="DA45" s="492">
        <v>394</v>
      </c>
      <c r="DB45" s="493">
        <v>319</v>
      </c>
      <c r="DC45" s="493">
        <v>267</v>
      </c>
      <c r="DD45" s="493">
        <v>232</v>
      </c>
      <c r="DE45" s="493">
        <v>211</v>
      </c>
      <c r="DF45" s="199"/>
      <c r="DG45" s="491">
        <v>1</v>
      </c>
      <c r="DH45" s="492">
        <v>1</v>
      </c>
      <c r="DI45" s="492">
        <v>2</v>
      </c>
      <c r="DJ45" s="492">
        <v>1</v>
      </c>
      <c r="DK45" s="493">
        <v>1</v>
      </c>
      <c r="DL45" s="493"/>
      <c r="DM45" s="493"/>
      <c r="DN45" s="493"/>
      <c r="DO45" s="199"/>
      <c r="DP45" s="491">
        <v>33</v>
      </c>
      <c r="DQ45" s="492">
        <v>9</v>
      </c>
      <c r="DR45" s="492">
        <v>3</v>
      </c>
      <c r="DS45" s="492">
        <v>3</v>
      </c>
      <c r="DT45" s="493">
        <v>5</v>
      </c>
      <c r="DU45" s="493">
        <v>9</v>
      </c>
      <c r="DV45" s="493">
        <v>5</v>
      </c>
      <c r="DW45" s="493">
        <v>2</v>
      </c>
      <c r="DX45" s="199"/>
      <c r="DY45" s="491">
        <v>79</v>
      </c>
      <c r="DZ45" s="492">
        <v>57</v>
      </c>
      <c r="EA45" s="492">
        <v>54</v>
      </c>
      <c r="EB45" s="492">
        <v>52</v>
      </c>
      <c r="EC45" s="493">
        <v>39</v>
      </c>
      <c r="ED45" s="493">
        <v>37</v>
      </c>
      <c r="EE45" s="493">
        <v>38</v>
      </c>
      <c r="EF45" s="493">
        <v>35</v>
      </c>
      <c r="EG45" s="199"/>
      <c r="EH45" s="491">
        <v>7</v>
      </c>
      <c r="EI45" s="492">
        <v>8</v>
      </c>
      <c r="EJ45" s="492">
        <v>3</v>
      </c>
      <c r="EK45" s="492">
        <v>3</v>
      </c>
      <c r="EL45" s="493">
        <v>3</v>
      </c>
      <c r="EM45" s="493">
        <v>6</v>
      </c>
      <c r="EN45" s="493">
        <v>1</v>
      </c>
      <c r="EO45" s="493">
        <v>7</v>
      </c>
      <c r="EP45" s="199"/>
      <c r="EQ45" s="491">
        <v>2</v>
      </c>
      <c r="ER45" s="492">
        <v>2</v>
      </c>
      <c r="ES45" s="492">
        <v>1</v>
      </c>
      <c r="ET45" s="492"/>
      <c r="EU45" s="493">
        <v>2</v>
      </c>
      <c r="EV45" s="493"/>
      <c r="EW45" s="493">
        <v>2</v>
      </c>
      <c r="EX45" s="493">
        <v>3</v>
      </c>
      <c r="EY45" s="199"/>
      <c r="EZ45" s="491">
        <v>7</v>
      </c>
      <c r="FA45" s="492">
        <v>7</v>
      </c>
      <c r="FB45" s="492">
        <v>20</v>
      </c>
      <c r="FC45" s="492">
        <v>6</v>
      </c>
      <c r="FD45" s="493">
        <v>1</v>
      </c>
      <c r="FE45" s="493">
        <v>1</v>
      </c>
      <c r="FF45" s="493">
        <v>2</v>
      </c>
      <c r="FG45" s="493">
        <v>1</v>
      </c>
      <c r="FH45" s="199"/>
      <c r="FI45" s="491">
        <v>36</v>
      </c>
      <c r="FJ45" s="492">
        <v>28</v>
      </c>
      <c r="FK45" s="492">
        <v>21</v>
      </c>
      <c r="FL45" s="492">
        <v>21</v>
      </c>
      <c r="FM45" s="493">
        <v>17</v>
      </c>
      <c r="FN45" s="493">
        <v>18</v>
      </c>
      <c r="FO45" s="493">
        <v>18</v>
      </c>
      <c r="FP45" s="493">
        <v>14</v>
      </c>
      <c r="FQ45" s="199"/>
      <c r="FR45" s="491">
        <v>1</v>
      </c>
      <c r="FS45" s="492">
        <v>3</v>
      </c>
      <c r="FT45" s="492">
        <v>1</v>
      </c>
      <c r="FU45" s="492">
        <v>1</v>
      </c>
      <c r="FV45" s="493"/>
      <c r="FW45" s="493"/>
      <c r="FX45" s="493"/>
      <c r="FY45" s="493">
        <v>1</v>
      </c>
      <c r="FZ45" s="199"/>
      <c r="GA45" s="491">
        <v>10</v>
      </c>
      <c r="GB45" s="492">
        <v>3</v>
      </c>
      <c r="GC45" s="492">
        <v>2</v>
      </c>
      <c r="GD45" s="492">
        <v>2</v>
      </c>
      <c r="GE45" s="493">
        <v>6</v>
      </c>
      <c r="GF45" s="493"/>
      <c r="GG45" s="493">
        <v>2</v>
      </c>
      <c r="GH45" s="493">
        <v>6</v>
      </c>
      <c r="GI45" s="199"/>
      <c r="GJ45" s="491">
        <v>3117</v>
      </c>
      <c r="GK45" s="492">
        <v>498</v>
      </c>
      <c r="GL45" s="492">
        <v>489</v>
      </c>
      <c r="GM45" s="492">
        <v>470</v>
      </c>
      <c r="GN45" s="493">
        <v>385</v>
      </c>
      <c r="GO45" s="493">
        <v>344</v>
      </c>
      <c r="GP45" s="493">
        <v>299</v>
      </c>
      <c r="GQ45" s="493">
        <v>310</v>
      </c>
      <c r="GR45" s="199"/>
      <c r="GS45" s="491">
        <v>2523</v>
      </c>
      <c r="GT45" s="492">
        <v>139</v>
      </c>
      <c r="GU45" s="492">
        <v>138</v>
      </c>
      <c r="GV45" s="492">
        <v>114</v>
      </c>
      <c r="GW45" s="493">
        <v>70</v>
      </c>
      <c r="GX45" s="493">
        <v>45</v>
      </c>
      <c r="GY45" s="493">
        <v>43</v>
      </c>
      <c r="GZ45" s="493">
        <v>60</v>
      </c>
      <c r="HA45" s="199"/>
      <c r="HB45" s="491">
        <v>2</v>
      </c>
      <c r="HC45" s="492">
        <v>1</v>
      </c>
      <c r="HD45" s="492">
        <v>4</v>
      </c>
      <c r="HE45" s="492">
        <v>1</v>
      </c>
      <c r="HF45" s="493">
        <v>1</v>
      </c>
      <c r="HG45" s="493">
        <v>3</v>
      </c>
      <c r="HH45" s="493"/>
      <c r="HI45" s="493">
        <v>1</v>
      </c>
      <c r="HJ45" s="199"/>
      <c r="HK45" s="491"/>
      <c r="HL45" s="492"/>
      <c r="HM45" s="492">
        <v>1</v>
      </c>
      <c r="HN45" s="492"/>
      <c r="HO45" s="493"/>
      <c r="HP45" s="493"/>
      <c r="HQ45" s="493">
        <v>1</v>
      </c>
      <c r="HR45" s="493">
        <v>1</v>
      </c>
      <c r="HS45" s="199"/>
      <c r="HT45" s="491">
        <v>2633</v>
      </c>
      <c r="HU45" s="492">
        <v>216</v>
      </c>
      <c r="HV45" s="492">
        <v>211</v>
      </c>
      <c r="HW45" s="492">
        <v>207</v>
      </c>
      <c r="HX45" s="493">
        <v>161</v>
      </c>
      <c r="HY45" s="493">
        <v>152</v>
      </c>
      <c r="HZ45" s="493">
        <v>140</v>
      </c>
      <c r="IA45" s="493">
        <v>143</v>
      </c>
      <c r="IB45" s="199"/>
      <c r="IC45" s="491">
        <v>3754</v>
      </c>
      <c r="ID45" s="492">
        <v>969</v>
      </c>
      <c r="IE45" s="492">
        <v>952</v>
      </c>
      <c r="IF45" s="492">
        <v>905</v>
      </c>
      <c r="IG45" s="493">
        <v>881</v>
      </c>
      <c r="IH45" s="493">
        <v>748</v>
      </c>
      <c r="II45" s="493">
        <v>632</v>
      </c>
      <c r="IJ45" s="493">
        <v>617</v>
      </c>
      <c r="IK45" s="199"/>
      <c r="IL45" s="491">
        <v>162</v>
      </c>
      <c r="IM45" s="492">
        <v>100</v>
      </c>
      <c r="IN45" s="492">
        <v>84</v>
      </c>
      <c r="IO45" s="492">
        <v>70</v>
      </c>
      <c r="IP45" s="493">
        <v>34</v>
      </c>
      <c r="IQ45" s="493">
        <v>47</v>
      </c>
      <c r="IR45" s="493">
        <v>54</v>
      </c>
      <c r="IS45" s="493">
        <v>43</v>
      </c>
      <c r="IT45" s="199"/>
      <c r="IU45" s="533">
        <v>7194.8788715118062</v>
      </c>
      <c r="IV45" s="534">
        <v>1879.0722928948185</v>
      </c>
      <c r="IW45" s="534">
        <v>1872.7254844103472</v>
      </c>
      <c r="IX45" s="534">
        <v>1760.9744707347447</v>
      </c>
      <c r="IY45" s="535">
        <v>1731.0828601182875</v>
      </c>
      <c r="IZ45" s="535">
        <v>1487.2549409472304</v>
      </c>
      <c r="JA45" s="535">
        <v>1271.6553652991006</v>
      </c>
      <c r="JB45" s="535">
        <v>1258.7726456667212</v>
      </c>
      <c r="JC45" s="536"/>
      <c r="JD45" s="537">
        <v>5046.3814780742105</v>
      </c>
      <c r="JE45" s="538">
        <v>418.86441203847346</v>
      </c>
      <c r="JF45" s="538">
        <v>415.06835841447827</v>
      </c>
      <c r="JG45" s="538">
        <v>402.78642590286421</v>
      </c>
      <c r="JH45" s="538">
        <v>316.34998919301279</v>
      </c>
      <c r="JI45" s="539">
        <v>302.22292917644251</v>
      </c>
      <c r="JJ45" s="539">
        <v>281.69580876878808</v>
      </c>
      <c r="JK45" s="539">
        <v>291.74147217235185</v>
      </c>
      <c r="JL45" s="536"/>
      <c r="JM45" s="537">
        <v>5974.0110395584179</v>
      </c>
      <c r="JN45" s="538">
        <v>965.71517219981376</v>
      </c>
      <c r="JO45" s="538">
        <v>961.93567424018886</v>
      </c>
      <c r="JP45" s="538">
        <v>914.53922789539229</v>
      </c>
      <c r="JQ45" s="538">
        <v>756.48910459198714</v>
      </c>
      <c r="JR45" s="539">
        <v>683.97820813615931</v>
      </c>
      <c r="JS45" s="539">
        <v>601.62176301334023</v>
      </c>
      <c r="JT45" s="539">
        <v>632.44654806593769</v>
      </c>
      <c r="JU45" s="536"/>
      <c r="JV45" s="537">
        <v>4835.5565777368911</v>
      </c>
      <c r="JW45" s="538">
        <v>269.54700589512873</v>
      </c>
      <c r="JX45" s="538">
        <v>271.46650929477721</v>
      </c>
      <c r="JY45" s="538">
        <v>221.82440846824412</v>
      </c>
      <c r="JZ45" s="538">
        <v>137.54347356217949</v>
      </c>
      <c r="KA45" s="539">
        <v>89.473893506183643</v>
      </c>
      <c r="KB45" s="539">
        <v>86.520855550413486</v>
      </c>
      <c r="KC45" s="539">
        <v>122.4090093030847</v>
      </c>
      <c r="KD45" s="536"/>
    </row>
    <row r="46" spans="1:290" ht="15" customHeight="1" x14ac:dyDescent="0.2">
      <c r="A46" s="938"/>
      <c r="B46" s="359" t="s">
        <v>666</v>
      </c>
      <c r="C46" s="491">
        <v>2</v>
      </c>
      <c r="D46" s="492">
        <v>3</v>
      </c>
      <c r="E46" s="492">
        <v>1</v>
      </c>
      <c r="F46" s="492">
        <v>1</v>
      </c>
      <c r="G46" s="493">
        <v>1</v>
      </c>
      <c r="H46" s="493">
        <v>1</v>
      </c>
      <c r="I46" s="493"/>
      <c r="J46" s="493"/>
      <c r="K46" s="199"/>
      <c r="L46" s="491">
        <v>1</v>
      </c>
      <c r="M46" s="492">
        <v>3</v>
      </c>
      <c r="N46" s="492"/>
      <c r="O46" s="492">
        <v>1</v>
      </c>
      <c r="P46" s="493"/>
      <c r="Q46" s="493">
        <v>1</v>
      </c>
      <c r="R46" s="493"/>
      <c r="S46" s="493"/>
      <c r="T46" s="199"/>
      <c r="U46" s="491"/>
      <c r="V46" s="492"/>
      <c r="W46" s="492">
        <v>1</v>
      </c>
      <c r="X46" s="492"/>
      <c r="Y46" s="493">
        <v>1</v>
      </c>
      <c r="Z46" s="493"/>
      <c r="AA46" s="493"/>
      <c r="AB46" s="493"/>
      <c r="AC46" s="199"/>
      <c r="AD46" s="491">
        <v>23</v>
      </c>
      <c r="AE46" s="492">
        <v>21</v>
      </c>
      <c r="AF46" s="492">
        <v>30</v>
      </c>
      <c r="AG46" s="492">
        <v>28</v>
      </c>
      <c r="AH46" s="493">
        <v>38</v>
      </c>
      <c r="AI46" s="493">
        <v>54</v>
      </c>
      <c r="AJ46" s="493">
        <v>63</v>
      </c>
      <c r="AK46" s="493">
        <v>82</v>
      </c>
      <c r="AL46" s="199"/>
      <c r="AM46" s="491">
        <v>14</v>
      </c>
      <c r="AN46" s="492">
        <v>8</v>
      </c>
      <c r="AO46" s="492">
        <v>16</v>
      </c>
      <c r="AP46" s="492">
        <v>17</v>
      </c>
      <c r="AQ46" s="493">
        <v>18</v>
      </c>
      <c r="AR46" s="493">
        <v>16</v>
      </c>
      <c r="AS46" s="493">
        <v>20</v>
      </c>
      <c r="AT46" s="493">
        <v>12</v>
      </c>
      <c r="AU46" s="199"/>
      <c r="AV46" s="491">
        <v>1</v>
      </c>
      <c r="AW46" s="492"/>
      <c r="AX46" s="492"/>
      <c r="AY46" s="492"/>
      <c r="AZ46" s="493"/>
      <c r="BA46" s="493"/>
      <c r="BB46" s="493"/>
      <c r="BC46" s="493"/>
      <c r="BD46" s="199"/>
      <c r="BE46" s="491">
        <v>4</v>
      </c>
      <c r="BF46" s="492">
        <v>1</v>
      </c>
      <c r="BG46" s="492">
        <v>2</v>
      </c>
      <c r="BH46" s="492">
        <v>6</v>
      </c>
      <c r="BI46" s="493">
        <v>5</v>
      </c>
      <c r="BJ46" s="493">
        <v>8</v>
      </c>
      <c r="BK46" s="493">
        <v>5</v>
      </c>
      <c r="BL46" s="493">
        <v>15</v>
      </c>
      <c r="BM46" s="199"/>
      <c r="BN46" s="491"/>
      <c r="BO46" s="492"/>
      <c r="BP46" s="492"/>
      <c r="BQ46" s="492"/>
      <c r="BR46" s="493"/>
      <c r="BS46" s="493"/>
      <c r="BT46" s="493"/>
      <c r="BU46" s="493"/>
      <c r="BV46" s="199"/>
      <c r="BW46" s="491">
        <v>10</v>
      </c>
      <c r="BX46" s="492">
        <v>5</v>
      </c>
      <c r="BY46" s="492">
        <v>5</v>
      </c>
      <c r="BZ46" s="492">
        <v>8</v>
      </c>
      <c r="CA46" s="493">
        <v>14</v>
      </c>
      <c r="CB46" s="493">
        <v>7</v>
      </c>
      <c r="CC46" s="493">
        <v>16</v>
      </c>
      <c r="CD46" s="493">
        <v>8</v>
      </c>
      <c r="CE46" s="199"/>
      <c r="CF46" s="491">
        <v>1</v>
      </c>
      <c r="CG46" s="492">
        <v>2</v>
      </c>
      <c r="CH46" s="492">
        <v>1</v>
      </c>
      <c r="CI46" s="492">
        <v>3</v>
      </c>
      <c r="CJ46" s="493">
        <v>1</v>
      </c>
      <c r="CK46" s="493">
        <v>2</v>
      </c>
      <c r="CL46" s="493"/>
      <c r="CM46" s="493"/>
      <c r="CN46" s="199"/>
      <c r="CO46" s="491">
        <v>5</v>
      </c>
      <c r="CP46" s="492">
        <v>1</v>
      </c>
      <c r="CQ46" s="492">
        <v>4</v>
      </c>
      <c r="CR46" s="492"/>
      <c r="CS46" s="493"/>
      <c r="CT46" s="493"/>
      <c r="CU46" s="493">
        <v>1</v>
      </c>
      <c r="CV46" s="493"/>
      <c r="CW46" s="199"/>
      <c r="CX46" s="491">
        <v>597</v>
      </c>
      <c r="CY46" s="492">
        <v>602</v>
      </c>
      <c r="CZ46" s="492">
        <v>579</v>
      </c>
      <c r="DA46" s="492">
        <v>562</v>
      </c>
      <c r="DB46" s="493">
        <v>486</v>
      </c>
      <c r="DC46" s="493">
        <v>306</v>
      </c>
      <c r="DD46" s="493">
        <v>256</v>
      </c>
      <c r="DE46" s="493">
        <v>214</v>
      </c>
      <c r="DF46" s="199"/>
      <c r="DG46" s="491">
        <v>2</v>
      </c>
      <c r="DH46" s="492">
        <v>3</v>
      </c>
      <c r="DI46" s="492">
        <v>2</v>
      </c>
      <c r="DJ46" s="492">
        <v>1</v>
      </c>
      <c r="DK46" s="493"/>
      <c r="DL46" s="493"/>
      <c r="DM46" s="493"/>
      <c r="DN46" s="493">
        <v>2</v>
      </c>
      <c r="DO46" s="199"/>
      <c r="DP46" s="491">
        <v>16</v>
      </c>
      <c r="DQ46" s="492">
        <v>25</v>
      </c>
      <c r="DR46" s="492">
        <v>11</v>
      </c>
      <c r="DS46" s="492">
        <v>4</v>
      </c>
      <c r="DT46" s="493">
        <v>11</v>
      </c>
      <c r="DU46" s="493">
        <v>7</v>
      </c>
      <c r="DV46" s="493">
        <v>2</v>
      </c>
      <c r="DW46" s="493">
        <v>2</v>
      </c>
      <c r="DX46" s="199"/>
      <c r="DY46" s="491">
        <v>66</v>
      </c>
      <c r="DZ46" s="492">
        <v>51</v>
      </c>
      <c r="EA46" s="492">
        <v>36</v>
      </c>
      <c r="EB46" s="492">
        <v>75</v>
      </c>
      <c r="EC46" s="493">
        <v>38</v>
      </c>
      <c r="ED46" s="493">
        <v>40</v>
      </c>
      <c r="EE46" s="493">
        <v>62</v>
      </c>
      <c r="EF46" s="493">
        <v>40</v>
      </c>
      <c r="EG46" s="199"/>
      <c r="EH46" s="491">
        <v>8</v>
      </c>
      <c r="EI46" s="492">
        <v>8</v>
      </c>
      <c r="EJ46" s="492">
        <v>11</v>
      </c>
      <c r="EK46" s="492">
        <v>2</v>
      </c>
      <c r="EL46" s="493">
        <v>3</v>
      </c>
      <c r="EM46" s="493">
        <v>3</v>
      </c>
      <c r="EN46" s="493">
        <v>2</v>
      </c>
      <c r="EO46" s="493"/>
      <c r="EP46" s="199"/>
      <c r="EQ46" s="491">
        <v>1</v>
      </c>
      <c r="ER46" s="492"/>
      <c r="ES46" s="492">
        <v>1</v>
      </c>
      <c r="ET46" s="492">
        <v>3</v>
      </c>
      <c r="EU46" s="493"/>
      <c r="EV46" s="493"/>
      <c r="EW46" s="493">
        <v>2</v>
      </c>
      <c r="EX46" s="493">
        <v>2</v>
      </c>
      <c r="EY46" s="199"/>
      <c r="EZ46" s="491">
        <v>8</v>
      </c>
      <c r="FA46" s="492">
        <v>5</v>
      </c>
      <c r="FB46" s="492">
        <v>7</v>
      </c>
      <c r="FC46" s="492">
        <v>2</v>
      </c>
      <c r="FD46" s="493">
        <v>1</v>
      </c>
      <c r="FE46" s="493">
        <v>3</v>
      </c>
      <c r="FF46" s="493"/>
      <c r="FG46" s="493">
        <v>1</v>
      </c>
      <c r="FH46" s="199"/>
      <c r="FI46" s="491">
        <v>17</v>
      </c>
      <c r="FJ46" s="492">
        <v>21</v>
      </c>
      <c r="FK46" s="492">
        <v>9</v>
      </c>
      <c r="FL46" s="492">
        <v>15</v>
      </c>
      <c r="FM46" s="493">
        <v>20</v>
      </c>
      <c r="FN46" s="493">
        <v>5</v>
      </c>
      <c r="FO46" s="493">
        <v>7</v>
      </c>
      <c r="FP46" s="493">
        <v>9</v>
      </c>
      <c r="FQ46" s="199"/>
      <c r="FR46" s="491">
        <v>3</v>
      </c>
      <c r="FS46" s="492">
        <v>1</v>
      </c>
      <c r="FT46" s="492">
        <v>3</v>
      </c>
      <c r="FU46" s="492">
        <v>2</v>
      </c>
      <c r="FV46" s="493">
        <v>1</v>
      </c>
      <c r="FW46" s="493"/>
      <c r="FX46" s="493">
        <v>3</v>
      </c>
      <c r="FY46" s="493">
        <v>1</v>
      </c>
      <c r="FZ46" s="199"/>
      <c r="GA46" s="491">
        <v>5</v>
      </c>
      <c r="GB46" s="492">
        <v>4</v>
      </c>
      <c r="GC46" s="492">
        <v>4</v>
      </c>
      <c r="GD46" s="492">
        <v>8</v>
      </c>
      <c r="GE46" s="493">
        <v>2</v>
      </c>
      <c r="GF46" s="493">
        <v>2</v>
      </c>
      <c r="GG46" s="493">
        <v>5</v>
      </c>
      <c r="GH46" s="493">
        <v>7</v>
      </c>
      <c r="GI46" s="199"/>
      <c r="GJ46" s="491">
        <v>684</v>
      </c>
      <c r="GK46" s="492">
        <v>674</v>
      </c>
      <c r="GL46" s="492">
        <v>657</v>
      </c>
      <c r="GM46" s="492">
        <v>640</v>
      </c>
      <c r="GN46" s="493">
        <v>572</v>
      </c>
      <c r="GO46" s="493">
        <v>391</v>
      </c>
      <c r="GP46" s="493">
        <v>360</v>
      </c>
      <c r="GQ46" s="493">
        <v>339</v>
      </c>
      <c r="GR46" s="199"/>
      <c r="GS46" s="491">
        <v>159</v>
      </c>
      <c r="GT46" s="492">
        <v>152</v>
      </c>
      <c r="GU46" s="492">
        <v>129</v>
      </c>
      <c r="GV46" s="492">
        <v>96</v>
      </c>
      <c r="GW46" s="493">
        <v>60</v>
      </c>
      <c r="GX46" s="493">
        <v>61</v>
      </c>
      <c r="GY46" s="493">
        <v>46</v>
      </c>
      <c r="GZ46" s="493">
        <v>37</v>
      </c>
      <c r="HA46" s="199"/>
      <c r="HB46" s="491">
        <v>3</v>
      </c>
      <c r="HC46" s="492">
        <v>1</v>
      </c>
      <c r="HD46" s="492">
        <v>3</v>
      </c>
      <c r="HE46" s="492"/>
      <c r="HF46" s="493">
        <v>1</v>
      </c>
      <c r="HG46" s="493">
        <v>7</v>
      </c>
      <c r="HH46" s="493"/>
      <c r="HI46" s="493"/>
      <c r="HJ46" s="199"/>
      <c r="HK46" s="491">
        <v>4</v>
      </c>
      <c r="HL46" s="492">
        <v>2</v>
      </c>
      <c r="HM46" s="492">
        <v>2</v>
      </c>
      <c r="HN46" s="492"/>
      <c r="HO46" s="493">
        <v>4</v>
      </c>
      <c r="HP46" s="493">
        <v>5</v>
      </c>
      <c r="HQ46" s="493">
        <v>1</v>
      </c>
      <c r="HR46" s="493"/>
      <c r="HS46" s="199"/>
      <c r="HT46" s="491">
        <v>242</v>
      </c>
      <c r="HU46" s="492">
        <v>220</v>
      </c>
      <c r="HV46" s="492">
        <v>214</v>
      </c>
      <c r="HW46" s="492">
        <v>186</v>
      </c>
      <c r="HX46" s="493">
        <v>159</v>
      </c>
      <c r="HY46" s="493">
        <v>167</v>
      </c>
      <c r="HZ46" s="493">
        <v>157</v>
      </c>
      <c r="IA46" s="493">
        <v>154</v>
      </c>
      <c r="IB46" s="199"/>
      <c r="IC46" s="491">
        <v>1068</v>
      </c>
      <c r="ID46" s="492">
        <v>1475</v>
      </c>
      <c r="IE46" s="492">
        <v>7631</v>
      </c>
      <c r="IF46" s="492">
        <v>1127</v>
      </c>
      <c r="IG46" s="493">
        <v>930</v>
      </c>
      <c r="IH46" s="493">
        <v>753</v>
      </c>
      <c r="II46" s="493">
        <v>716</v>
      </c>
      <c r="IJ46" s="493">
        <v>630</v>
      </c>
      <c r="IK46" s="199"/>
      <c r="IL46" s="491">
        <v>142</v>
      </c>
      <c r="IM46" s="492">
        <v>132</v>
      </c>
      <c r="IN46" s="492">
        <v>93</v>
      </c>
      <c r="IO46" s="492">
        <v>86</v>
      </c>
      <c r="IP46" s="493">
        <v>39</v>
      </c>
      <c r="IQ46" s="493">
        <v>51</v>
      </c>
      <c r="IR46" s="493">
        <v>85</v>
      </c>
      <c r="IS46" s="493">
        <v>56</v>
      </c>
      <c r="IT46" s="199"/>
      <c r="IU46" s="533">
        <v>2223.3787863016551</v>
      </c>
      <c r="IV46" s="534">
        <v>3125.1324208652914</v>
      </c>
      <c r="IW46" s="534">
        <v>16361.141484959584</v>
      </c>
      <c r="IX46" s="534">
        <v>2398.5868130932618</v>
      </c>
      <c r="IY46" s="535">
        <v>2008.422416585682</v>
      </c>
      <c r="IZ46" s="535">
        <v>1612.9879222087445</v>
      </c>
      <c r="JA46" s="535">
        <v>1422.3564234490157</v>
      </c>
      <c r="JB46" s="535">
        <v>1271.1607917515789</v>
      </c>
      <c r="JC46" s="536"/>
      <c r="JD46" s="537">
        <v>503.79931300093682</v>
      </c>
      <c r="JE46" s="538">
        <v>466.12144582397553</v>
      </c>
      <c r="JF46" s="538">
        <v>458.82378165133684</v>
      </c>
      <c r="JG46" s="538">
        <v>395.86259736942924</v>
      </c>
      <c r="JH46" s="538">
        <v>343.37544541626175</v>
      </c>
      <c r="JI46" s="539">
        <v>360.0057479977645</v>
      </c>
      <c r="JJ46" s="539">
        <v>311.88541687359702</v>
      </c>
      <c r="JK46" s="539">
        <v>310.72819353927486</v>
      </c>
      <c r="JL46" s="536"/>
      <c r="JM46" s="537">
        <v>1423.9616945976893</v>
      </c>
      <c r="JN46" s="538">
        <v>1428.0266112970889</v>
      </c>
      <c r="JO46" s="538">
        <v>1408.6318903968611</v>
      </c>
      <c r="JP46" s="538">
        <v>1362.1078619163154</v>
      </c>
      <c r="JQ46" s="538">
        <v>1235.2877659000108</v>
      </c>
      <c r="JR46" s="539">
        <v>824.55218183391639</v>
      </c>
      <c r="JS46" s="539">
        <v>715.15127435984027</v>
      </c>
      <c r="JT46" s="539">
        <v>684.00556889489724</v>
      </c>
      <c r="JU46" s="536"/>
      <c r="JV46" s="537">
        <v>331.00863953367337</v>
      </c>
      <c r="JW46" s="538">
        <v>322.04754438747403</v>
      </c>
      <c r="JX46" s="538">
        <v>276.58069080851612</v>
      </c>
      <c r="JY46" s="538">
        <v>204.31617928744731</v>
      </c>
      <c r="JZ46" s="538">
        <v>129.5756397797214</v>
      </c>
      <c r="KA46" s="539">
        <v>128.54064759546608</v>
      </c>
      <c r="KB46" s="539">
        <v>91.380440612646254</v>
      </c>
      <c r="KC46" s="539">
        <v>74.655475071124471</v>
      </c>
      <c r="KD46" s="536"/>
    </row>
    <row r="47" spans="1:290" ht="15" customHeight="1" x14ac:dyDescent="0.2">
      <c r="A47" s="938"/>
      <c r="B47" s="359" t="s">
        <v>772</v>
      </c>
      <c r="C47" s="491"/>
      <c r="D47" s="492"/>
      <c r="E47" s="492"/>
      <c r="F47" s="492"/>
      <c r="G47" s="493">
        <v>1</v>
      </c>
      <c r="H47" s="493"/>
      <c r="I47" s="493"/>
      <c r="J47" s="493"/>
      <c r="K47" s="199"/>
      <c r="L47" s="491"/>
      <c r="M47" s="492"/>
      <c r="N47" s="492"/>
      <c r="O47" s="492"/>
      <c r="P47" s="493"/>
      <c r="Q47" s="493"/>
      <c r="R47" s="493"/>
      <c r="S47" s="493"/>
      <c r="T47" s="199"/>
      <c r="U47" s="491"/>
      <c r="V47" s="492"/>
      <c r="W47" s="492"/>
      <c r="X47" s="492"/>
      <c r="Y47" s="493">
        <v>1</v>
      </c>
      <c r="Z47" s="493"/>
      <c r="AA47" s="493"/>
      <c r="AB47" s="493"/>
      <c r="AC47" s="199"/>
      <c r="AD47" s="491">
        <v>48</v>
      </c>
      <c r="AE47" s="492">
        <v>39</v>
      </c>
      <c r="AF47" s="492">
        <v>47</v>
      </c>
      <c r="AG47" s="492">
        <v>26</v>
      </c>
      <c r="AH47" s="493">
        <v>60</v>
      </c>
      <c r="AI47" s="493">
        <v>62</v>
      </c>
      <c r="AJ47" s="493">
        <v>32</v>
      </c>
      <c r="AK47" s="493">
        <v>45</v>
      </c>
      <c r="AL47" s="199"/>
      <c r="AM47" s="491">
        <v>21</v>
      </c>
      <c r="AN47" s="492">
        <v>19</v>
      </c>
      <c r="AO47" s="492">
        <v>20</v>
      </c>
      <c r="AP47" s="492">
        <v>16</v>
      </c>
      <c r="AQ47" s="493">
        <v>21</v>
      </c>
      <c r="AR47" s="493">
        <v>20</v>
      </c>
      <c r="AS47" s="493">
        <v>12</v>
      </c>
      <c r="AT47" s="493">
        <v>18</v>
      </c>
      <c r="AU47" s="199"/>
      <c r="AV47" s="491"/>
      <c r="AW47" s="492"/>
      <c r="AX47" s="492"/>
      <c r="AY47" s="492"/>
      <c r="AZ47" s="493"/>
      <c r="BA47" s="493"/>
      <c r="BB47" s="493"/>
      <c r="BC47" s="493"/>
      <c r="BD47" s="199"/>
      <c r="BE47" s="491">
        <v>1</v>
      </c>
      <c r="BF47" s="492"/>
      <c r="BG47" s="492">
        <v>4</v>
      </c>
      <c r="BH47" s="492">
        <v>8</v>
      </c>
      <c r="BI47" s="493"/>
      <c r="BJ47" s="493">
        <v>4</v>
      </c>
      <c r="BK47" s="493">
        <v>7</v>
      </c>
      <c r="BL47" s="493">
        <v>3</v>
      </c>
      <c r="BM47" s="199"/>
      <c r="BN47" s="491"/>
      <c r="BO47" s="492"/>
      <c r="BP47" s="492"/>
      <c r="BQ47" s="492"/>
      <c r="BR47" s="493"/>
      <c r="BS47" s="493"/>
      <c r="BT47" s="493"/>
      <c r="BU47" s="493"/>
      <c r="BV47" s="199"/>
      <c r="BW47" s="491">
        <v>16</v>
      </c>
      <c r="BX47" s="492">
        <v>12</v>
      </c>
      <c r="BY47" s="492">
        <v>19</v>
      </c>
      <c r="BZ47" s="492">
        <v>14</v>
      </c>
      <c r="CA47" s="493">
        <v>32</v>
      </c>
      <c r="CB47" s="493">
        <v>23</v>
      </c>
      <c r="CC47" s="493">
        <v>51</v>
      </c>
      <c r="CD47" s="493">
        <v>55</v>
      </c>
      <c r="CE47" s="199"/>
      <c r="CF47" s="491">
        <v>1</v>
      </c>
      <c r="CG47" s="492">
        <v>3</v>
      </c>
      <c r="CH47" s="492">
        <v>2</v>
      </c>
      <c r="CI47" s="492"/>
      <c r="CJ47" s="493">
        <v>2</v>
      </c>
      <c r="CK47" s="493">
        <v>1</v>
      </c>
      <c r="CL47" s="493"/>
      <c r="CM47" s="493">
        <v>2</v>
      </c>
      <c r="CN47" s="199"/>
      <c r="CO47" s="491">
        <v>4</v>
      </c>
      <c r="CP47" s="492">
        <v>1</v>
      </c>
      <c r="CQ47" s="492">
        <v>2</v>
      </c>
      <c r="CR47" s="492"/>
      <c r="CS47" s="493"/>
      <c r="CT47" s="493">
        <v>2</v>
      </c>
      <c r="CU47" s="493">
        <v>1</v>
      </c>
      <c r="CV47" s="493">
        <v>1</v>
      </c>
      <c r="CW47" s="199"/>
      <c r="CX47" s="491">
        <v>403</v>
      </c>
      <c r="CY47" s="492">
        <v>370</v>
      </c>
      <c r="CZ47" s="492">
        <v>384</v>
      </c>
      <c r="DA47" s="492">
        <v>310</v>
      </c>
      <c r="DB47" s="493">
        <v>260</v>
      </c>
      <c r="DC47" s="493">
        <v>197</v>
      </c>
      <c r="DD47" s="493">
        <v>179</v>
      </c>
      <c r="DE47" s="493">
        <v>175</v>
      </c>
      <c r="DF47" s="199"/>
      <c r="DG47" s="491"/>
      <c r="DH47" s="492"/>
      <c r="DI47" s="492">
        <v>2</v>
      </c>
      <c r="DJ47" s="492"/>
      <c r="DK47" s="493"/>
      <c r="DL47" s="493"/>
      <c r="DM47" s="493"/>
      <c r="DN47" s="493"/>
      <c r="DO47" s="199"/>
      <c r="DP47" s="491">
        <v>2</v>
      </c>
      <c r="DQ47" s="492">
        <v>1</v>
      </c>
      <c r="DR47" s="492">
        <v>1</v>
      </c>
      <c r="DS47" s="492">
        <v>1</v>
      </c>
      <c r="DT47" s="493">
        <v>2</v>
      </c>
      <c r="DU47" s="493">
        <v>1</v>
      </c>
      <c r="DV47" s="493">
        <v>3</v>
      </c>
      <c r="DW47" s="493">
        <v>3</v>
      </c>
      <c r="DX47" s="199"/>
      <c r="DY47" s="491">
        <v>12</v>
      </c>
      <c r="DZ47" s="492">
        <v>11</v>
      </c>
      <c r="EA47" s="492">
        <v>9</v>
      </c>
      <c r="EB47" s="492">
        <v>19</v>
      </c>
      <c r="EC47" s="493">
        <v>33</v>
      </c>
      <c r="ED47" s="493">
        <v>37</v>
      </c>
      <c r="EE47" s="493">
        <v>39</v>
      </c>
      <c r="EF47" s="493">
        <v>33</v>
      </c>
      <c r="EG47" s="199"/>
      <c r="EH47" s="491">
        <v>6</v>
      </c>
      <c r="EI47" s="492">
        <v>1</v>
      </c>
      <c r="EJ47" s="492">
        <v>1</v>
      </c>
      <c r="EK47" s="492"/>
      <c r="EL47" s="493"/>
      <c r="EM47" s="493">
        <v>1</v>
      </c>
      <c r="EN47" s="493">
        <v>3</v>
      </c>
      <c r="EO47" s="493">
        <v>3</v>
      </c>
      <c r="EP47" s="199"/>
      <c r="EQ47" s="491"/>
      <c r="ER47" s="492">
        <v>1</v>
      </c>
      <c r="ES47" s="492">
        <v>1</v>
      </c>
      <c r="ET47" s="492"/>
      <c r="EU47" s="493"/>
      <c r="EV47" s="493"/>
      <c r="EW47" s="493"/>
      <c r="EX47" s="493"/>
      <c r="EY47" s="199"/>
      <c r="EZ47" s="491">
        <v>2</v>
      </c>
      <c r="FA47" s="492">
        <v>1</v>
      </c>
      <c r="FB47" s="492">
        <v>2</v>
      </c>
      <c r="FC47" s="492"/>
      <c r="FD47" s="493"/>
      <c r="FE47" s="493">
        <v>5</v>
      </c>
      <c r="FF47" s="493"/>
      <c r="FG47" s="493">
        <v>1</v>
      </c>
      <c r="FH47" s="199"/>
      <c r="FI47" s="491">
        <v>19</v>
      </c>
      <c r="FJ47" s="492">
        <v>27</v>
      </c>
      <c r="FK47" s="492">
        <v>14</v>
      </c>
      <c r="FL47" s="492">
        <v>15</v>
      </c>
      <c r="FM47" s="493">
        <v>2</v>
      </c>
      <c r="FN47" s="493">
        <v>10</v>
      </c>
      <c r="FO47" s="493">
        <v>12</v>
      </c>
      <c r="FP47" s="493">
        <v>7</v>
      </c>
      <c r="FQ47" s="199"/>
      <c r="FR47" s="491">
        <v>6</v>
      </c>
      <c r="FS47" s="492">
        <v>3</v>
      </c>
      <c r="FT47" s="492">
        <v>1</v>
      </c>
      <c r="FU47" s="492">
        <v>4</v>
      </c>
      <c r="FV47" s="493">
        <v>2</v>
      </c>
      <c r="FW47" s="493">
        <v>1</v>
      </c>
      <c r="FX47" s="493">
        <v>1</v>
      </c>
      <c r="FY47" s="493">
        <v>1</v>
      </c>
      <c r="FZ47" s="199"/>
      <c r="GA47" s="491">
        <v>2</v>
      </c>
      <c r="GB47" s="492">
        <v>3</v>
      </c>
      <c r="GC47" s="492"/>
      <c r="GD47" s="492">
        <v>1</v>
      </c>
      <c r="GE47" s="493">
        <v>2</v>
      </c>
      <c r="GF47" s="493">
        <v>1</v>
      </c>
      <c r="GG47" s="493">
        <v>1</v>
      </c>
      <c r="GH47" s="493">
        <v>5</v>
      </c>
      <c r="GI47" s="199"/>
      <c r="GJ47" s="491">
        <v>508</v>
      </c>
      <c r="GK47" s="492">
        <v>461</v>
      </c>
      <c r="GL47" s="492">
        <v>477</v>
      </c>
      <c r="GM47" s="492">
        <v>378</v>
      </c>
      <c r="GN47" s="493">
        <v>361</v>
      </c>
      <c r="GO47" s="493">
        <v>307</v>
      </c>
      <c r="GP47" s="493">
        <v>287</v>
      </c>
      <c r="GQ47" s="493">
        <v>298</v>
      </c>
      <c r="GR47" s="199"/>
      <c r="GS47" s="491">
        <v>120</v>
      </c>
      <c r="GT47" s="492">
        <v>140</v>
      </c>
      <c r="GU47" s="492">
        <v>113</v>
      </c>
      <c r="GV47" s="492">
        <v>70</v>
      </c>
      <c r="GW47" s="493">
        <v>30</v>
      </c>
      <c r="GX47" s="493">
        <v>38</v>
      </c>
      <c r="GY47" s="493">
        <v>38</v>
      </c>
      <c r="GZ47" s="493">
        <v>77</v>
      </c>
      <c r="HA47" s="199"/>
      <c r="HB47" s="491"/>
      <c r="HC47" s="492">
        <v>3</v>
      </c>
      <c r="HD47" s="492">
        <v>3</v>
      </c>
      <c r="HE47" s="492">
        <v>1</v>
      </c>
      <c r="HF47" s="493">
        <v>2</v>
      </c>
      <c r="HG47" s="493"/>
      <c r="HH47" s="493"/>
      <c r="HI47" s="493"/>
      <c r="HJ47" s="199"/>
      <c r="HK47" s="491">
        <v>3</v>
      </c>
      <c r="HL47" s="492"/>
      <c r="HM47" s="492">
        <v>1</v>
      </c>
      <c r="HN47" s="492"/>
      <c r="HO47" s="493"/>
      <c r="HP47" s="493"/>
      <c r="HQ47" s="493"/>
      <c r="HR47" s="493"/>
      <c r="HS47" s="199"/>
      <c r="HT47" s="491">
        <v>177</v>
      </c>
      <c r="HU47" s="492">
        <v>201</v>
      </c>
      <c r="HV47" s="492">
        <v>183</v>
      </c>
      <c r="HW47" s="492">
        <v>114</v>
      </c>
      <c r="HX47" s="493">
        <v>71</v>
      </c>
      <c r="HY47" s="493">
        <v>92</v>
      </c>
      <c r="HZ47" s="493">
        <v>101</v>
      </c>
      <c r="IA47" s="493">
        <v>162</v>
      </c>
      <c r="IB47" s="199"/>
      <c r="IC47" s="491">
        <v>837</v>
      </c>
      <c r="ID47" s="492">
        <v>806</v>
      </c>
      <c r="IE47" s="492">
        <v>752</v>
      </c>
      <c r="IF47" s="492">
        <v>635</v>
      </c>
      <c r="IG47" s="493">
        <v>569</v>
      </c>
      <c r="IH47" s="493">
        <v>506</v>
      </c>
      <c r="II47" s="493">
        <v>551</v>
      </c>
      <c r="IJ47" s="493">
        <v>549</v>
      </c>
      <c r="IK47" s="199"/>
      <c r="IL47" s="491">
        <v>31</v>
      </c>
      <c r="IM47" s="492">
        <v>28</v>
      </c>
      <c r="IN47" s="492">
        <v>31</v>
      </c>
      <c r="IO47" s="492">
        <v>31</v>
      </c>
      <c r="IP47" s="493">
        <v>30</v>
      </c>
      <c r="IQ47" s="493">
        <v>44</v>
      </c>
      <c r="IR47" s="493">
        <v>45</v>
      </c>
      <c r="IS47" s="493">
        <v>38</v>
      </c>
      <c r="IT47" s="199"/>
      <c r="IU47" s="533">
        <v>2575.9394331086696</v>
      </c>
      <c r="IV47" s="534">
        <v>2525.7748111936321</v>
      </c>
      <c r="IW47" s="534">
        <v>2382.7629911280101</v>
      </c>
      <c r="IX47" s="534">
        <v>1939.997555908591</v>
      </c>
      <c r="IY47" s="535">
        <v>1759.9208190281774</v>
      </c>
      <c r="IZ47" s="535">
        <v>1615.4250719005395</v>
      </c>
      <c r="JA47" s="535">
        <v>1899.8034686066958</v>
      </c>
      <c r="JB47" s="535">
        <v>1928.0747348458242</v>
      </c>
      <c r="JC47" s="536"/>
      <c r="JD47" s="537">
        <v>544.73271166097311</v>
      </c>
      <c r="JE47" s="538">
        <v>629.87684497508701</v>
      </c>
      <c r="JF47" s="538">
        <v>579.84790874524708</v>
      </c>
      <c r="JG47" s="538">
        <v>348.2830257851644</v>
      </c>
      <c r="JH47" s="538">
        <v>219.60347653954409</v>
      </c>
      <c r="JI47" s="539">
        <v>292.01035524941949</v>
      </c>
      <c r="JJ47" s="539">
        <v>348.23983725821466</v>
      </c>
      <c r="JK47" s="539">
        <v>568.94008569221046</v>
      </c>
      <c r="JL47" s="536"/>
      <c r="JM47" s="537">
        <v>1563.4136583264087</v>
      </c>
      <c r="JN47" s="538">
        <v>1444.6429131020652</v>
      </c>
      <c r="JO47" s="538">
        <v>1511.406844106464</v>
      </c>
      <c r="JP47" s="538">
        <v>1154.8331907613344</v>
      </c>
      <c r="JQ47" s="538">
        <v>1116.5754229686677</v>
      </c>
      <c r="JR47" s="539">
        <v>967.14580748509411</v>
      </c>
      <c r="JS47" s="539">
        <v>989.55280488225355</v>
      </c>
      <c r="JT47" s="539">
        <v>1046.5687996066586</v>
      </c>
      <c r="JU47" s="536"/>
      <c r="JV47" s="537">
        <v>369.31031299049027</v>
      </c>
      <c r="JW47" s="538">
        <v>438.72019052991129</v>
      </c>
      <c r="JX47" s="538">
        <v>358.04816223067172</v>
      </c>
      <c r="JY47" s="538">
        <v>213.85799828913602</v>
      </c>
      <c r="JZ47" s="538">
        <v>92.790201354736936</v>
      </c>
      <c r="KA47" s="539">
        <v>116.96024340294312</v>
      </c>
      <c r="KB47" s="539">
        <v>131.02092886942731</v>
      </c>
      <c r="KC47" s="539">
        <v>270.42213949568026</v>
      </c>
      <c r="KD47" s="536"/>
    </row>
    <row r="48" spans="1:290" ht="15" customHeight="1" thickBot="1" x14ac:dyDescent="0.25">
      <c r="A48" s="938"/>
      <c r="B48" s="505" t="s">
        <v>667</v>
      </c>
      <c r="C48" s="491"/>
      <c r="D48" s="492">
        <v>1</v>
      </c>
      <c r="E48" s="492"/>
      <c r="F48" s="492"/>
      <c r="G48" s="493"/>
      <c r="H48" s="493"/>
      <c r="I48" s="493">
        <v>1</v>
      </c>
      <c r="J48" s="493">
        <v>1</v>
      </c>
      <c r="K48" s="199"/>
      <c r="L48" s="491"/>
      <c r="M48" s="492">
        <v>1</v>
      </c>
      <c r="N48" s="492"/>
      <c r="O48" s="492"/>
      <c r="P48" s="493"/>
      <c r="Q48" s="493"/>
      <c r="R48" s="493">
        <v>1</v>
      </c>
      <c r="S48" s="493"/>
      <c r="T48" s="199"/>
      <c r="U48" s="491"/>
      <c r="V48" s="492"/>
      <c r="W48" s="492"/>
      <c r="X48" s="492"/>
      <c r="Y48" s="493"/>
      <c r="Z48" s="493"/>
      <c r="AA48" s="493"/>
      <c r="AB48" s="493"/>
      <c r="AC48" s="199"/>
      <c r="AD48" s="491">
        <v>16</v>
      </c>
      <c r="AE48" s="492">
        <v>22</v>
      </c>
      <c r="AF48" s="492">
        <v>24</v>
      </c>
      <c r="AG48" s="492">
        <v>34</v>
      </c>
      <c r="AH48" s="493">
        <v>45</v>
      </c>
      <c r="AI48" s="493">
        <v>43</v>
      </c>
      <c r="AJ48" s="493">
        <v>42</v>
      </c>
      <c r="AK48" s="493">
        <v>53</v>
      </c>
      <c r="AL48" s="199"/>
      <c r="AM48" s="491">
        <v>5</v>
      </c>
      <c r="AN48" s="492">
        <v>12</v>
      </c>
      <c r="AO48" s="492">
        <v>9</v>
      </c>
      <c r="AP48" s="492">
        <v>18</v>
      </c>
      <c r="AQ48" s="493">
        <v>11</v>
      </c>
      <c r="AR48" s="493">
        <v>9</v>
      </c>
      <c r="AS48" s="493">
        <v>6</v>
      </c>
      <c r="AT48" s="493">
        <v>10</v>
      </c>
      <c r="AU48" s="199"/>
      <c r="AV48" s="491"/>
      <c r="AW48" s="492"/>
      <c r="AX48" s="492"/>
      <c r="AY48" s="492"/>
      <c r="AZ48" s="493"/>
      <c r="BA48" s="493">
        <v>1</v>
      </c>
      <c r="BB48" s="493"/>
      <c r="BC48" s="493"/>
      <c r="BD48" s="199"/>
      <c r="BE48" s="491">
        <v>5</v>
      </c>
      <c r="BF48" s="492">
        <v>6</v>
      </c>
      <c r="BG48" s="492">
        <v>2</v>
      </c>
      <c r="BH48" s="492">
        <v>3</v>
      </c>
      <c r="BI48" s="493">
        <v>2</v>
      </c>
      <c r="BJ48" s="493">
        <v>6</v>
      </c>
      <c r="BK48" s="493">
        <v>2</v>
      </c>
      <c r="BL48" s="493">
        <v>3</v>
      </c>
      <c r="BM48" s="199"/>
      <c r="BN48" s="491"/>
      <c r="BO48" s="492">
        <v>1</v>
      </c>
      <c r="BP48" s="492"/>
      <c r="BQ48" s="492">
        <v>1</v>
      </c>
      <c r="BR48" s="493">
        <v>4</v>
      </c>
      <c r="BS48" s="493">
        <v>2</v>
      </c>
      <c r="BT48" s="493">
        <v>2</v>
      </c>
      <c r="BU48" s="493"/>
      <c r="BV48" s="199"/>
      <c r="BW48" s="491">
        <v>17</v>
      </c>
      <c r="BX48" s="492">
        <v>15</v>
      </c>
      <c r="BY48" s="492">
        <v>16</v>
      </c>
      <c r="BZ48" s="492">
        <v>32</v>
      </c>
      <c r="CA48" s="493">
        <v>45</v>
      </c>
      <c r="CB48" s="493">
        <v>31</v>
      </c>
      <c r="CC48" s="493">
        <v>29</v>
      </c>
      <c r="CD48" s="493">
        <v>23</v>
      </c>
      <c r="CE48" s="199"/>
      <c r="CF48" s="491"/>
      <c r="CG48" s="492">
        <v>3</v>
      </c>
      <c r="CH48" s="492">
        <v>1</v>
      </c>
      <c r="CI48" s="492">
        <v>3</v>
      </c>
      <c r="CJ48" s="493">
        <v>3</v>
      </c>
      <c r="CK48" s="493"/>
      <c r="CL48" s="493"/>
      <c r="CM48" s="493">
        <v>1</v>
      </c>
      <c r="CN48" s="199"/>
      <c r="CO48" s="491"/>
      <c r="CP48" s="492"/>
      <c r="CQ48" s="492"/>
      <c r="CR48" s="492"/>
      <c r="CS48" s="493"/>
      <c r="CT48" s="493"/>
      <c r="CU48" s="493">
        <v>2</v>
      </c>
      <c r="CV48" s="493">
        <v>1</v>
      </c>
      <c r="CW48" s="199"/>
      <c r="CX48" s="491">
        <v>328</v>
      </c>
      <c r="CY48" s="492">
        <v>307</v>
      </c>
      <c r="CZ48" s="492">
        <v>336</v>
      </c>
      <c r="DA48" s="492">
        <v>210</v>
      </c>
      <c r="DB48" s="493">
        <v>261</v>
      </c>
      <c r="DC48" s="493">
        <v>169</v>
      </c>
      <c r="DD48" s="493">
        <v>132</v>
      </c>
      <c r="DE48" s="493">
        <v>126</v>
      </c>
      <c r="DF48" s="199"/>
      <c r="DG48" s="491"/>
      <c r="DH48" s="492">
        <v>2</v>
      </c>
      <c r="DI48" s="492"/>
      <c r="DJ48" s="492"/>
      <c r="DK48" s="493"/>
      <c r="DL48" s="493"/>
      <c r="DM48" s="493">
        <v>1</v>
      </c>
      <c r="DN48" s="493"/>
      <c r="DO48" s="199"/>
      <c r="DP48" s="491">
        <v>1</v>
      </c>
      <c r="DQ48" s="492">
        <v>1</v>
      </c>
      <c r="DR48" s="492">
        <v>1</v>
      </c>
      <c r="DS48" s="492">
        <v>1</v>
      </c>
      <c r="DT48" s="493">
        <v>1</v>
      </c>
      <c r="DU48" s="493"/>
      <c r="DV48" s="493"/>
      <c r="DW48" s="493"/>
      <c r="DX48" s="199"/>
      <c r="DY48" s="491">
        <v>45</v>
      </c>
      <c r="DZ48" s="492">
        <v>45</v>
      </c>
      <c r="EA48" s="492">
        <v>47</v>
      </c>
      <c r="EB48" s="492">
        <v>18</v>
      </c>
      <c r="EC48" s="493">
        <v>41</v>
      </c>
      <c r="ED48" s="493">
        <v>27</v>
      </c>
      <c r="EE48" s="493">
        <v>23</v>
      </c>
      <c r="EF48" s="493">
        <v>36</v>
      </c>
      <c r="EG48" s="199"/>
      <c r="EH48" s="491">
        <v>4</v>
      </c>
      <c r="EI48" s="492">
        <v>2</v>
      </c>
      <c r="EJ48" s="492"/>
      <c r="EK48" s="492">
        <v>1</v>
      </c>
      <c r="EL48" s="493"/>
      <c r="EM48" s="493">
        <v>1</v>
      </c>
      <c r="EN48" s="493">
        <v>1</v>
      </c>
      <c r="EO48" s="493">
        <v>1</v>
      </c>
      <c r="EP48" s="199"/>
      <c r="EQ48" s="491"/>
      <c r="ER48" s="492">
        <v>1</v>
      </c>
      <c r="ES48" s="492"/>
      <c r="ET48" s="492"/>
      <c r="EU48" s="493">
        <v>2</v>
      </c>
      <c r="EV48" s="493"/>
      <c r="EW48" s="493"/>
      <c r="EX48" s="493">
        <v>1</v>
      </c>
      <c r="EY48" s="199"/>
      <c r="EZ48" s="491">
        <v>2</v>
      </c>
      <c r="FA48" s="492">
        <v>1</v>
      </c>
      <c r="FB48" s="492"/>
      <c r="FC48" s="492"/>
      <c r="FD48" s="493"/>
      <c r="FE48" s="493">
        <v>2</v>
      </c>
      <c r="FF48" s="493"/>
      <c r="FG48" s="493">
        <v>1</v>
      </c>
      <c r="FH48" s="199"/>
      <c r="FI48" s="491">
        <v>22</v>
      </c>
      <c r="FJ48" s="492">
        <v>20</v>
      </c>
      <c r="FK48" s="492">
        <v>13</v>
      </c>
      <c r="FL48" s="492">
        <v>3</v>
      </c>
      <c r="FM48" s="493">
        <v>5</v>
      </c>
      <c r="FN48" s="493">
        <v>10</v>
      </c>
      <c r="FO48" s="493">
        <v>7</v>
      </c>
      <c r="FP48" s="493">
        <v>10</v>
      </c>
      <c r="FQ48" s="199"/>
      <c r="FR48" s="491">
        <v>3</v>
      </c>
      <c r="FS48" s="492">
        <v>3</v>
      </c>
      <c r="FT48" s="492">
        <v>2</v>
      </c>
      <c r="FU48" s="492">
        <v>2</v>
      </c>
      <c r="FV48" s="493"/>
      <c r="FW48" s="493"/>
      <c r="FX48" s="493"/>
      <c r="FY48" s="493">
        <v>2</v>
      </c>
      <c r="FZ48" s="199"/>
      <c r="GA48" s="491">
        <v>1</v>
      </c>
      <c r="GB48" s="492">
        <v>4</v>
      </c>
      <c r="GC48" s="492">
        <v>3</v>
      </c>
      <c r="GD48" s="492">
        <v>1</v>
      </c>
      <c r="GE48" s="493">
        <v>3</v>
      </c>
      <c r="GF48" s="493">
        <v>2</v>
      </c>
      <c r="GG48" s="493">
        <v>4</v>
      </c>
      <c r="GH48" s="493">
        <v>2</v>
      </c>
      <c r="GI48" s="199"/>
      <c r="GJ48" s="491">
        <v>398</v>
      </c>
      <c r="GK48" s="492">
        <v>386</v>
      </c>
      <c r="GL48" s="492">
        <v>397</v>
      </c>
      <c r="GM48" s="492">
        <v>290</v>
      </c>
      <c r="GN48" s="493">
        <v>370</v>
      </c>
      <c r="GO48" s="493">
        <v>266</v>
      </c>
      <c r="GP48" s="493">
        <v>222</v>
      </c>
      <c r="GQ48" s="493">
        <v>225</v>
      </c>
      <c r="GR48" s="199"/>
      <c r="GS48" s="491">
        <v>138</v>
      </c>
      <c r="GT48" s="492">
        <v>107</v>
      </c>
      <c r="GU48" s="492">
        <v>108</v>
      </c>
      <c r="GV48" s="492">
        <v>80</v>
      </c>
      <c r="GW48" s="493">
        <v>81</v>
      </c>
      <c r="GX48" s="493">
        <v>55</v>
      </c>
      <c r="GY48" s="493">
        <v>46</v>
      </c>
      <c r="GZ48" s="493">
        <v>41</v>
      </c>
      <c r="HA48" s="199"/>
      <c r="HB48" s="491"/>
      <c r="HC48" s="492"/>
      <c r="HD48" s="492">
        <v>5</v>
      </c>
      <c r="HE48" s="492">
        <v>1</v>
      </c>
      <c r="HF48" s="493">
        <v>2</v>
      </c>
      <c r="HG48" s="493">
        <v>1</v>
      </c>
      <c r="HH48" s="493">
        <v>1</v>
      </c>
      <c r="HI48" s="493"/>
      <c r="HJ48" s="199"/>
      <c r="HK48" s="491"/>
      <c r="HL48" s="492"/>
      <c r="HM48" s="492">
        <v>1</v>
      </c>
      <c r="HN48" s="492"/>
      <c r="HO48" s="493"/>
      <c r="HP48" s="493"/>
      <c r="HQ48" s="493"/>
      <c r="HR48" s="493"/>
      <c r="HS48" s="199"/>
      <c r="HT48" s="491">
        <v>166</v>
      </c>
      <c r="HU48" s="492">
        <v>127</v>
      </c>
      <c r="HV48" s="492">
        <v>134</v>
      </c>
      <c r="HW48" s="492">
        <v>95</v>
      </c>
      <c r="HX48" s="493">
        <v>104</v>
      </c>
      <c r="HY48" s="493">
        <v>81</v>
      </c>
      <c r="HZ48" s="493">
        <v>76</v>
      </c>
      <c r="IA48" s="493">
        <v>72</v>
      </c>
      <c r="IB48" s="199"/>
      <c r="IC48" s="491">
        <v>742</v>
      </c>
      <c r="ID48" s="492">
        <v>606</v>
      </c>
      <c r="IE48" s="492">
        <v>592</v>
      </c>
      <c r="IF48" s="492">
        <v>511</v>
      </c>
      <c r="IG48" s="493">
        <v>572</v>
      </c>
      <c r="IH48" s="493">
        <v>421</v>
      </c>
      <c r="II48" s="493">
        <v>395</v>
      </c>
      <c r="IJ48" s="493">
        <v>359</v>
      </c>
      <c r="IK48" s="199"/>
      <c r="IL48" s="491">
        <v>71</v>
      </c>
      <c r="IM48" s="492">
        <v>66</v>
      </c>
      <c r="IN48" s="492">
        <v>67</v>
      </c>
      <c r="IO48" s="492">
        <v>21</v>
      </c>
      <c r="IP48" s="493">
        <v>30</v>
      </c>
      <c r="IQ48" s="493">
        <v>31</v>
      </c>
      <c r="IR48" s="493">
        <v>31</v>
      </c>
      <c r="IS48" s="493">
        <v>39</v>
      </c>
      <c r="IT48" s="199"/>
      <c r="IU48" s="533">
        <v>3655.3524804177546</v>
      </c>
      <c r="IV48" s="534">
        <v>3027.4266873157812</v>
      </c>
      <c r="IW48" s="534">
        <v>2987.4848607186113</v>
      </c>
      <c r="IX48" s="534">
        <v>2478.0563503224867</v>
      </c>
      <c r="IY48" s="535">
        <v>2810.1203635470401</v>
      </c>
      <c r="IZ48" s="535">
        <v>2041.4428116926592</v>
      </c>
      <c r="JA48" s="535">
        <v>1759.5438549601317</v>
      </c>
      <c r="JB48" s="535">
        <v>1616.898617303968</v>
      </c>
      <c r="JC48" s="536"/>
      <c r="JD48" s="537">
        <v>817.77427459480759</v>
      </c>
      <c r="JE48" s="538">
        <v>634.46070839786182</v>
      </c>
      <c r="JF48" s="538">
        <v>676.22123536536139</v>
      </c>
      <c r="JG48" s="538">
        <v>460.69540759420011</v>
      </c>
      <c r="JH48" s="538">
        <v>510.93097519037087</v>
      </c>
      <c r="JI48" s="539">
        <v>391.39807779064529</v>
      </c>
      <c r="JJ48" s="539">
        <v>338.54514677713928</v>
      </c>
      <c r="JK48" s="539">
        <v>324.28050263477905</v>
      </c>
      <c r="JL48" s="536"/>
      <c r="JM48" s="537">
        <v>1960.687718606828</v>
      </c>
      <c r="JN48" s="538">
        <v>1928.3608932407453</v>
      </c>
      <c r="JO48" s="538">
        <v>2003.4315704481228</v>
      </c>
      <c r="JP48" s="538">
        <v>1406.3333494980845</v>
      </c>
      <c r="JQ48" s="538">
        <v>1817.7352001965121</v>
      </c>
      <c r="JR48" s="539">
        <v>1303.7637048032018</v>
      </c>
      <c r="JS48" s="539">
        <v>988.9081919016437</v>
      </c>
      <c r="JT48" s="539">
        <v>1013.3765707336846</v>
      </c>
      <c r="JU48" s="536"/>
      <c r="JV48" s="537">
        <v>679.83644514508103</v>
      </c>
      <c r="JW48" s="538">
        <v>534.54563620922215</v>
      </c>
      <c r="JX48" s="538">
        <v>545.01412999596289</v>
      </c>
      <c r="JY48" s="538">
        <v>387.95402744774748</v>
      </c>
      <c r="JZ48" s="538">
        <v>397.936624907885</v>
      </c>
      <c r="KA48" s="539">
        <v>267.00959603510393</v>
      </c>
      <c r="KB48" s="539">
        <v>204.90890462826852</v>
      </c>
      <c r="KC48" s="539">
        <v>184.65973066702699</v>
      </c>
      <c r="KD48" s="536"/>
    </row>
    <row r="49" spans="1:290" ht="15" customHeight="1" thickBot="1" x14ac:dyDescent="0.25">
      <c r="A49" s="931"/>
      <c r="B49" s="196" t="s">
        <v>783</v>
      </c>
      <c r="C49" s="500">
        <v>4</v>
      </c>
      <c r="D49" s="501">
        <v>12</v>
      </c>
      <c r="E49" s="501">
        <v>8</v>
      </c>
      <c r="F49" s="501">
        <v>11</v>
      </c>
      <c r="G49" s="502">
        <v>9</v>
      </c>
      <c r="H49" s="502">
        <v>4</v>
      </c>
      <c r="I49" s="502">
        <v>6</v>
      </c>
      <c r="J49" s="502">
        <v>5</v>
      </c>
      <c r="K49" s="503"/>
      <c r="L49" s="500">
        <v>3</v>
      </c>
      <c r="M49" s="501">
        <v>10</v>
      </c>
      <c r="N49" s="501">
        <v>2</v>
      </c>
      <c r="O49" s="501">
        <v>7</v>
      </c>
      <c r="P49" s="502">
        <v>3</v>
      </c>
      <c r="Q49" s="502">
        <v>3</v>
      </c>
      <c r="R49" s="502">
        <v>2</v>
      </c>
      <c r="S49" s="502">
        <v>2</v>
      </c>
      <c r="T49" s="503"/>
      <c r="U49" s="500"/>
      <c r="V49" s="501">
        <v>1</v>
      </c>
      <c r="W49" s="501">
        <v>5</v>
      </c>
      <c r="X49" s="501">
        <v>3</v>
      </c>
      <c r="Y49" s="502">
        <v>6</v>
      </c>
      <c r="Z49" s="502">
        <v>1</v>
      </c>
      <c r="AA49" s="502">
        <v>3</v>
      </c>
      <c r="AB49" s="502">
        <v>2</v>
      </c>
      <c r="AC49" s="503"/>
      <c r="AD49" s="500">
        <v>306</v>
      </c>
      <c r="AE49" s="501">
        <v>336</v>
      </c>
      <c r="AF49" s="501">
        <v>342</v>
      </c>
      <c r="AG49" s="501">
        <v>289</v>
      </c>
      <c r="AH49" s="502">
        <v>391</v>
      </c>
      <c r="AI49" s="502">
        <v>451</v>
      </c>
      <c r="AJ49" s="502">
        <v>369</v>
      </c>
      <c r="AK49" s="502">
        <v>430</v>
      </c>
      <c r="AL49" s="503"/>
      <c r="AM49" s="500">
        <v>139</v>
      </c>
      <c r="AN49" s="501">
        <v>161</v>
      </c>
      <c r="AO49" s="501">
        <v>144</v>
      </c>
      <c r="AP49" s="501">
        <v>158</v>
      </c>
      <c r="AQ49" s="502">
        <v>144</v>
      </c>
      <c r="AR49" s="502">
        <v>160</v>
      </c>
      <c r="AS49" s="502">
        <v>120</v>
      </c>
      <c r="AT49" s="502">
        <v>119</v>
      </c>
      <c r="AU49" s="503"/>
      <c r="AV49" s="500">
        <v>1</v>
      </c>
      <c r="AW49" s="501"/>
      <c r="AX49" s="501"/>
      <c r="AY49" s="501"/>
      <c r="AZ49" s="502">
        <v>3</v>
      </c>
      <c r="BA49" s="502">
        <v>1</v>
      </c>
      <c r="BB49" s="502"/>
      <c r="BC49" s="502">
        <v>1</v>
      </c>
      <c r="BD49" s="503"/>
      <c r="BE49" s="500">
        <v>24</v>
      </c>
      <c r="BF49" s="501">
        <v>37</v>
      </c>
      <c r="BG49" s="501">
        <v>54</v>
      </c>
      <c r="BH49" s="501">
        <v>41</v>
      </c>
      <c r="BI49" s="502">
        <v>42</v>
      </c>
      <c r="BJ49" s="502">
        <v>42</v>
      </c>
      <c r="BK49" s="502">
        <v>42</v>
      </c>
      <c r="BL49" s="502">
        <v>34</v>
      </c>
      <c r="BM49" s="503"/>
      <c r="BN49" s="500">
        <v>4</v>
      </c>
      <c r="BO49" s="501">
        <v>5</v>
      </c>
      <c r="BP49" s="501">
        <v>16</v>
      </c>
      <c r="BQ49" s="501">
        <v>4</v>
      </c>
      <c r="BR49" s="502">
        <v>11</v>
      </c>
      <c r="BS49" s="502">
        <v>4</v>
      </c>
      <c r="BT49" s="502">
        <v>6</v>
      </c>
      <c r="BU49" s="502">
        <v>7</v>
      </c>
      <c r="BV49" s="503"/>
      <c r="BW49" s="500">
        <v>242</v>
      </c>
      <c r="BX49" s="501">
        <v>249</v>
      </c>
      <c r="BY49" s="501">
        <v>270</v>
      </c>
      <c r="BZ49" s="501">
        <v>262</v>
      </c>
      <c r="CA49" s="502">
        <v>303</v>
      </c>
      <c r="CB49" s="502">
        <v>251</v>
      </c>
      <c r="CC49" s="502">
        <v>263</v>
      </c>
      <c r="CD49" s="502">
        <v>281</v>
      </c>
      <c r="CE49" s="503"/>
      <c r="CF49" s="500">
        <v>17</v>
      </c>
      <c r="CG49" s="501">
        <v>26</v>
      </c>
      <c r="CH49" s="501">
        <v>19</v>
      </c>
      <c r="CI49" s="501">
        <v>22</v>
      </c>
      <c r="CJ49" s="502">
        <v>20</v>
      </c>
      <c r="CK49" s="502">
        <v>17</v>
      </c>
      <c r="CL49" s="502">
        <v>5</v>
      </c>
      <c r="CM49" s="502">
        <v>17</v>
      </c>
      <c r="CN49" s="503"/>
      <c r="CO49" s="500">
        <v>19</v>
      </c>
      <c r="CP49" s="501">
        <v>8</v>
      </c>
      <c r="CQ49" s="501">
        <v>10</v>
      </c>
      <c r="CR49" s="501">
        <v>12</v>
      </c>
      <c r="CS49" s="502">
        <v>7</v>
      </c>
      <c r="CT49" s="502">
        <v>15</v>
      </c>
      <c r="CU49" s="502">
        <v>8</v>
      </c>
      <c r="CV49" s="502">
        <v>10</v>
      </c>
      <c r="CW49" s="503"/>
      <c r="CX49" s="500">
        <v>6658</v>
      </c>
      <c r="CY49" s="501">
        <v>4062</v>
      </c>
      <c r="CZ49" s="501">
        <v>4262</v>
      </c>
      <c r="DA49" s="501">
        <v>3680</v>
      </c>
      <c r="DB49" s="502">
        <v>3414</v>
      </c>
      <c r="DC49" s="502">
        <v>2518</v>
      </c>
      <c r="DD49" s="502">
        <v>2268</v>
      </c>
      <c r="DE49" s="502">
        <v>1924</v>
      </c>
      <c r="DF49" s="503"/>
      <c r="DG49" s="500">
        <v>9</v>
      </c>
      <c r="DH49" s="501">
        <v>14</v>
      </c>
      <c r="DI49" s="501">
        <v>12</v>
      </c>
      <c r="DJ49" s="501">
        <v>9</v>
      </c>
      <c r="DK49" s="502">
        <v>8</v>
      </c>
      <c r="DL49" s="502">
        <v>2</v>
      </c>
      <c r="DM49" s="502">
        <v>2</v>
      </c>
      <c r="DN49" s="502">
        <v>3</v>
      </c>
      <c r="DO49" s="503"/>
      <c r="DP49" s="500">
        <v>117</v>
      </c>
      <c r="DQ49" s="501">
        <v>90</v>
      </c>
      <c r="DR49" s="501">
        <v>62</v>
      </c>
      <c r="DS49" s="501">
        <v>36</v>
      </c>
      <c r="DT49" s="502">
        <v>46</v>
      </c>
      <c r="DU49" s="502">
        <v>64</v>
      </c>
      <c r="DV49" s="502">
        <v>38</v>
      </c>
      <c r="DW49" s="502">
        <v>15</v>
      </c>
      <c r="DX49" s="503"/>
      <c r="DY49" s="500">
        <v>422</v>
      </c>
      <c r="DZ49" s="501">
        <v>382</v>
      </c>
      <c r="EA49" s="501">
        <v>349</v>
      </c>
      <c r="EB49" s="501">
        <v>331</v>
      </c>
      <c r="EC49" s="502">
        <v>401</v>
      </c>
      <c r="ED49" s="502">
        <v>361</v>
      </c>
      <c r="EE49" s="502">
        <v>467</v>
      </c>
      <c r="EF49" s="502">
        <v>335</v>
      </c>
      <c r="EG49" s="503"/>
      <c r="EH49" s="500">
        <v>55</v>
      </c>
      <c r="EI49" s="501">
        <v>47</v>
      </c>
      <c r="EJ49" s="501">
        <v>35</v>
      </c>
      <c r="EK49" s="501">
        <v>32</v>
      </c>
      <c r="EL49" s="502">
        <v>18</v>
      </c>
      <c r="EM49" s="502">
        <v>28</v>
      </c>
      <c r="EN49" s="502">
        <v>16</v>
      </c>
      <c r="EO49" s="502">
        <v>16</v>
      </c>
      <c r="EP49" s="503"/>
      <c r="EQ49" s="500">
        <v>6</v>
      </c>
      <c r="ER49" s="501">
        <v>9</v>
      </c>
      <c r="ES49" s="501">
        <v>8</v>
      </c>
      <c r="ET49" s="501">
        <v>6</v>
      </c>
      <c r="EU49" s="502">
        <v>9</v>
      </c>
      <c r="EV49" s="502">
        <v>6</v>
      </c>
      <c r="EW49" s="502">
        <v>13</v>
      </c>
      <c r="EX49" s="502">
        <v>14</v>
      </c>
      <c r="EY49" s="503"/>
      <c r="EZ49" s="500">
        <v>33</v>
      </c>
      <c r="FA49" s="501">
        <v>26</v>
      </c>
      <c r="FB49" s="501">
        <v>51</v>
      </c>
      <c r="FC49" s="501">
        <v>19</v>
      </c>
      <c r="FD49" s="502">
        <v>8</v>
      </c>
      <c r="FE49" s="502">
        <v>17</v>
      </c>
      <c r="FF49" s="502">
        <v>6</v>
      </c>
      <c r="FG49" s="502">
        <v>11</v>
      </c>
      <c r="FH49" s="503"/>
      <c r="FI49" s="500">
        <v>268</v>
      </c>
      <c r="FJ49" s="501">
        <v>284</v>
      </c>
      <c r="FK49" s="501">
        <v>226</v>
      </c>
      <c r="FL49" s="501">
        <v>163</v>
      </c>
      <c r="FM49" s="502">
        <v>148</v>
      </c>
      <c r="FN49" s="502">
        <v>122</v>
      </c>
      <c r="FO49" s="502">
        <v>172</v>
      </c>
      <c r="FP49" s="502">
        <v>118</v>
      </c>
      <c r="FQ49" s="503"/>
      <c r="FR49" s="500">
        <v>28</v>
      </c>
      <c r="FS49" s="501">
        <v>41</v>
      </c>
      <c r="FT49" s="501">
        <v>18</v>
      </c>
      <c r="FU49" s="501">
        <v>25</v>
      </c>
      <c r="FV49" s="502">
        <v>18</v>
      </c>
      <c r="FW49" s="502">
        <v>108</v>
      </c>
      <c r="FX49" s="502">
        <v>15</v>
      </c>
      <c r="FY49" s="502">
        <v>9</v>
      </c>
      <c r="FZ49" s="503"/>
      <c r="GA49" s="500">
        <v>44</v>
      </c>
      <c r="GB49" s="501">
        <v>28</v>
      </c>
      <c r="GC49" s="501">
        <v>20</v>
      </c>
      <c r="GD49" s="501">
        <v>20</v>
      </c>
      <c r="GE49" s="502">
        <v>33</v>
      </c>
      <c r="GF49" s="502">
        <v>19</v>
      </c>
      <c r="GG49" s="502">
        <v>37</v>
      </c>
      <c r="GH49" s="502">
        <v>31</v>
      </c>
      <c r="GI49" s="503"/>
      <c r="GJ49" s="500">
        <v>7708</v>
      </c>
      <c r="GK49" s="501">
        <v>5170</v>
      </c>
      <c r="GL49" s="501">
        <v>5339</v>
      </c>
      <c r="GM49" s="501">
        <v>4586</v>
      </c>
      <c r="GN49" s="502">
        <v>4431</v>
      </c>
      <c r="GO49" s="502">
        <v>3602</v>
      </c>
      <c r="GP49" s="502">
        <v>3226</v>
      </c>
      <c r="GQ49" s="502">
        <v>2907</v>
      </c>
      <c r="GR49" s="503"/>
      <c r="GS49" s="500">
        <v>3897</v>
      </c>
      <c r="GT49" s="501">
        <v>1729</v>
      </c>
      <c r="GU49" s="501">
        <v>1737</v>
      </c>
      <c r="GV49" s="501">
        <v>1214</v>
      </c>
      <c r="GW49" s="502">
        <v>806</v>
      </c>
      <c r="GX49" s="502">
        <v>757</v>
      </c>
      <c r="GY49" s="502">
        <v>722</v>
      </c>
      <c r="GZ49" s="502">
        <v>598</v>
      </c>
      <c r="HA49" s="503"/>
      <c r="HB49" s="500">
        <v>17</v>
      </c>
      <c r="HC49" s="501">
        <v>10</v>
      </c>
      <c r="HD49" s="501">
        <v>20</v>
      </c>
      <c r="HE49" s="501">
        <v>13</v>
      </c>
      <c r="HF49" s="502">
        <v>16</v>
      </c>
      <c r="HG49" s="502">
        <v>20</v>
      </c>
      <c r="HH49" s="502">
        <v>7</v>
      </c>
      <c r="HI49" s="502">
        <v>8</v>
      </c>
      <c r="HJ49" s="503"/>
      <c r="HK49" s="500">
        <v>15</v>
      </c>
      <c r="HL49" s="501">
        <v>7</v>
      </c>
      <c r="HM49" s="501">
        <v>11</v>
      </c>
      <c r="HN49" s="501">
        <v>4</v>
      </c>
      <c r="HO49" s="502">
        <v>7</v>
      </c>
      <c r="HP49" s="502">
        <v>10</v>
      </c>
      <c r="HQ49" s="502">
        <v>9</v>
      </c>
      <c r="HR49" s="502">
        <v>4</v>
      </c>
      <c r="HS49" s="503"/>
      <c r="HT49" s="500">
        <v>4519</v>
      </c>
      <c r="HU49" s="501">
        <v>2334</v>
      </c>
      <c r="HV49" s="501">
        <v>2297</v>
      </c>
      <c r="HW49" s="501">
        <v>1778</v>
      </c>
      <c r="HX49" s="502">
        <v>1448</v>
      </c>
      <c r="HY49" s="502">
        <v>1451</v>
      </c>
      <c r="HZ49" s="502">
        <v>1428</v>
      </c>
      <c r="IA49" s="502">
        <v>1328</v>
      </c>
      <c r="IB49" s="503"/>
      <c r="IC49" s="500">
        <v>12099</v>
      </c>
      <c r="ID49" s="501">
        <v>9631</v>
      </c>
      <c r="IE49" s="501">
        <v>16029</v>
      </c>
      <c r="IF49" s="501">
        <v>8204</v>
      </c>
      <c r="IG49" s="502">
        <v>7490</v>
      </c>
      <c r="IH49" s="502">
        <v>6558</v>
      </c>
      <c r="II49" s="502">
        <v>6435</v>
      </c>
      <c r="IJ49" s="502">
        <v>5650</v>
      </c>
      <c r="IK49" s="503"/>
      <c r="IL49" s="500">
        <v>825</v>
      </c>
      <c r="IM49" s="501">
        <v>751</v>
      </c>
      <c r="IN49" s="501">
        <v>685</v>
      </c>
      <c r="IO49" s="501">
        <v>481</v>
      </c>
      <c r="IP49" s="502">
        <v>340</v>
      </c>
      <c r="IQ49" s="502">
        <v>493</v>
      </c>
      <c r="IR49" s="502">
        <v>603</v>
      </c>
      <c r="IS49" s="502">
        <v>432</v>
      </c>
      <c r="IT49" s="503"/>
      <c r="IU49" s="547">
        <v>3300.7234910900379</v>
      </c>
      <c r="IV49" s="548">
        <v>2661.9532230335931</v>
      </c>
      <c r="IW49" s="548">
        <v>4480.6283893330346</v>
      </c>
      <c r="IX49" s="548">
        <v>2284.2632527084556</v>
      </c>
      <c r="IY49" s="549">
        <v>2108.6771077621279</v>
      </c>
      <c r="IZ49" s="549">
        <v>1867.5885951222847</v>
      </c>
      <c r="JA49" s="549">
        <v>1854.1569420673202</v>
      </c>
      <c r="JB49" s="549">
        <v>1649.9337106279092</v>
      </c>
      <c r="JC49" s="550"/>
      <c r="JD49" s="551">
        <v>1232.8266349480025</v>
      </c>
      <c r="JE49" s="552">
        <v>645.1042282795562</v>
      </c>
      <c r="JF49" s="552">
        <v>642.08643148655449</v>
      </c>
      <c r="JG49" s="552">
        <v>495.05364009210558</v>
      </c>
      <c r="JH49" s="552">
        <v>407.65880534573574</v>
      </c>
      <c r="JI49" s="553">
        <v>413.21607982958756</v>
      </c>
      <c r="JJ49" s="553">
        <v>411.45860346109293</v>
      </c>
      <c r="JK49" s="553">
        <v>387.80742791395812</v>
      </c>
      <c r="JL49" s="550"/>
      <c r="JM49" s="551">
        <v>2102.8164864304499</v>
      </c>
      <c r="JN49" s="552">
        <v>1428.9583805506879</v>
      </c>
      <c r="JO49" s="552">
        <v>1492.4246659585174</v>
      </c>
      <c r="JP49" s="552">
        <v>1276.8931346807628</v>
      </c>
      <c r="JQ49" s="552">
        <v>1247.4697282368475</v>
      </c>
      <c r="JR49" s="553">
        <v>1025.7783043047375</v>
      </c>
      <c r="JS49" s="553">
        <v>929.52762938759508</v>
      </c>
      <c r="JT49" s="553">
        <v>848.91279589297926</v>
      </c>
      <c r="JU49" s="550"/>
      <c r="JV49" s="551">
        <v>1063.1390565152392</v>
      </c>
      <c r="JW49" s="552">
        <v>477.88569438532676</v>
      </c>
      <c r="JX49" s="552">
        <v>485.54816347067708</v>
      </c>
      <c r="JY49" s="552">
        <v>338.01750229011031</v>
      </c>
      <c r="JZ49" s="552">
        <v>226.91505325183911</v>
      </c>
      <c r="KA49" s="553">
        <v>215.5786164238441</v>
      </c>
      <c r="KB49" s="553">
        <v>208.03439194601478</v>
      </c>
      <c r="KC49" s="553">
        <v>174.63015202752032</v>
      </c>
      <c r="KD49" s="550"/>
    </row>
    <row r="50" spans="1:290" ht="15" customHeight="1" x14ac:dyDescent="0.2">
      <c r="A50" s="929" t="s">
        <v>547</v>
      </c>
      <c r="B50" s="490" t="s">
        <v>668</v>
      </c>
      <c r="C50" s="486">
        <v>8</v>
      </c>
      <c r="D50" s="487">
        <v>12</v>
      </c>
      <c r="E50" s="487">
        <v>1</v>
      </c>
      <c r="F50" s="487">
        <v>5</v>
      </c>
      <c r="G50" s="488">
        <v>9</v>
      </c>
      <c r="H50" s="488">
        <v>2</v>
      </c>
      <c r="I50" s="488">
        <v>3</v>
      </c>
      <c r="J50" s="488">
        <v>5</v>
      </c>
      <c r="K50" s="489"/>
      <c r="L50" s="486">
        <v>3</v>
      </c>
      <c r="M50" s="487">
        <v>3</v>
      </c>
      <c r="N50" s="487"/>
      <c r="O50" s="487">
        <v>4</v>
      </c>
      <c r="P50" s="488">
        <v>3</v>
      </c>
      <c r="Q50" s="488"/>
      <c r="R50" s="488">
        <v>2</v>
      </c>
      <c r="S50" s="488">
        <v>3</v>
      </c>
      <c r="T50" s="489"/>
      <c r="U50" s="486">
        <v>4</v>
      </c>
      <c r="V50" s="487">
        <v>5</v>
      </c>
      <c r="W50" s="487">
        <v>1</v>
      </c>
      <c r="X50" s="487">
        <v>1</v>
      </c>
      <c r="Y50" s="488">
        <v>4</v>
      </c>
      <c r="Z50" s="488">
        <v>2</v>
      </c>
      <c r="AA50" s="488">
        <v>1</v>
      </c>
      <c r="AB50" s="488">
        <v>2</v>
      </c>
      <c r="AC50" s="489"/>
      <c r="AD50" s="486">
        <v>321</v>
      </c>
      <c r="AE50" s="487">
        <v>279</v>
      </c>
      <c r="AF50" s="487">
        <v>316</v>
      </c>
      <c r="AG50" s="487">
        <v>325</v>
      </c>
      <c r="AH50" s="488">
        <v>280</v>
      </c>
      <c r="AI50" s="488">
        <v>333</v>
      </c>
      <c r="AJ50" s="488">
        <v>219</v>
      </c>
      <c r="AK50" s="488">
        <v>247</v>
      </c>
      <c r="AL50" s="489"/>
      <c r="AM50" s="486">
        <v>159</v>
      </c>
      <c r="AN50" s="487">
        <v>119</v>
      </c>
      <c r="AO50" s="487">
        <v>138</v>
      </c>
      <c r="AP50" s="487">
        <v>150</v>
      </c>
      <c r="AQ50" s="488">
        <v>115</v>
      </c>
      <c r="AR50" s="488">
        <v>136</v>
      </c>
      <c r="AS50" s="488">
        <v>93</v>
      </c>
      <c r="AT50" s="488">
        <v>112</v>
      </c>
      <c r="AU50" s="489"/>
      <c r="AV50" s="486">
        <v>1</v>
      </c>
      <c r="AW50" s="487"/>
      <c r="AX50" s="487"/>
      <c r="AY50" s="487"/>
      <c r="AZ50" s="488">
        <v>2</v>
      </c>
      <c r="BA50" s="488">
        <v>1</v>
      </c>
      <c r="BB50" s="488">
        <v>3</v>
      </c>
      <c r="BC50" s="488">
        <v>1</v>
      </c>
      <c r="BD50" s="489"/>
      <c r="BE50" s="486">
        <v>103</v>
      </c>
      <c r="BF50" s="487">
        <v>61</v>
      </c>
      <c r="BG50" s="487">
        <v>64</v>
      </c>
      <c r="BH50" s="487">
        <v>44</v>
      </c>
      <c r="BI50" s="488">
        <v>30</v>
      </c>
      <c r="BJ50" s="488">
        <v>59</v>
      </c>
      <c r="BK50" s="488">
        <v>61</v>
      </c>
      <c r="BL50" s="488">
        <v>41</v>
      </c>
      <c r="BM50" s="489"/>
      <c r="BN50" s="486"/>
      <c r="BO50" s="487"/>
      <c r="BP50" s="487"/>
      <c r="BQ50" s="487"/>
      <c r="BR50" s="488">
        <v>1</v>
      </c>
      <c r="BS50" s="488"/>
      <c r="BT50" s="488"/>
      <c r="BU50" s="488"/>
      <c r="BV50" s="489"/>
      <c r="BW50" s="486">
        <v>363</v>
      </c>
      <c r="BX50" s="487">
        <v>360</v>
      </c>
      <c r="BY50" s="487">
        <v>410</v>
      </c>
      <c r="BZ50" s="487">
        <v>404</v>
      </c>
      <c r="CA50" s="488">
        <v>481</v>
      </c>
      <c r="CB50" s="488">
        <v>557</v>
      </c>
      <c r="CC50" s="488">
        <v>459</v>
      </c>
      <c r="CD50" s="488">
        <v>427</v>
      </c>
      <c r="CE50" s="489"/>
      <c r="CF50" s="486">
        <v>18</v>
      </c>
      <c r="CG50" s="487">
        <v>14</v>
      </c>
      <c r="CH50" s="487">
        <v>20</v>
      </c>
      <c r="CI50" s="487">
        <v>18</v>
      </c>
      <c r="CJ50" s="488">
        <v>12</v>
      </c>
      <c r="CK50" s="488">
        <v>15</v>
      </c>
      <c r="CL50" s="488">
        <v>8</v>
      </c>
      <c r="CM50" s="488">
        <v>5</v>
      </c>
      <c r="CN50" s="489"/>
      <c r="CO50" s="486">
        <v>57</v>
      </c>
      <c r="CP50" s="487">
        <v>42</v>
      </c>
      <c r="CQ50" s="487">
        <v>10</v>
      </c>
      <c r="CR50" s="487">
        <v>8</v>
      </c>
      <c r="CS50" s="488">
        <v>5</v>
      </c>
      <c r="CT50" s="488">
        <v>3</v>
      </c>
      <c r="CU50" s="488">
        <v>14</v>
      </c>
      <c r="CV50" s="488">
        <v>32</v>
      </c>
      <c r="CW50" s="489"/>
      <c r="CX50" s="486">
        <v>4699</v>
      </c>
      <c r="CY50" s="487">
        <v>4949</v>
      </c>
      <c r="CZ50" s="487">
        <v>5456</v>
      </c>
      <c r="DA50" s="487">
        <v>4932</v>
      </c>
      <c r="DB50" s="488">
        <v>4836</v>
      </c>
      <c r="DC50" s="488">
        <v>3390</v>
      </c>
      <c r="DD50" s="488">
        <v>2754</v>
      </c>
      <c r="DE50" s="488">
        <v>2544</v>
      </c>
      <c r="DF50" s="489"/>
      <c r="DG50" s="486">
        <v>26</v>
      </c>
      <c r="DH50" s="487">
        <v>16</v>
      </c>
      <c r="DI50" s="487">
        <v>24</v>
      </c>
      <c r="DJ50" s="487">
        <v>10</v>
      </c>
      <c r="DK50" s="488">
        <v>19</v>
      </c>
      <c r="DL50" s="488">
        <v>12</v>
      </c>
      <c r="DM50" s="488">
        <v>11</v>
      </c>
      <c r="DN50" s="488">
        <v>10</v>
      </c>
      <c r="DO50" s="489"/>
      <c r="DP50" s="486">
        <v>154</v>
      </c>
      <c r="DQ50" s="487">
        <v>163</v>
      </c>
      <c r="DR50" s="487">
        <v>126</v>
      </c>
      <c r="DS50" s="487">
        <v>111</v>
      </c>
      <c r="DT50" s="488">
        <v>147</v>
      </c>
      <c r="DU50" s="488">
        <v>88</v>
      </c>
      <c r="DV50" s="488">
        <v>65</v>
      </c>
      <c r="DW50" s="488">
        <v>50</v>
      </c>
      <c r="DX50" s="489"/>
      <c r="DY50" s="486">
        <v>610</v>
      </c>
      <c r="DZ50" s="487">
        <v>458</v>
      </c>
      <c r="EA50" s="487">
        <v>522</v>
      </c>
      <c r="EB50" s="487">
        <v>736</v>
      </c>
      <c r="EC50" s="488">
        <v>1038</v>
      </c>
      <c r="ED50" s="488">
        <v>620</v>
      </c>
      <c r="EE50" s="488">
        <v>474</v>
      </c>
      <c r="EF50" s="488">
        <v>519</v>
      </c>
      <c r="EG50" s="489"/>
      <c r="EH50" s="486">
        <v>96</v>
      </c>
      <c r="EI50" s="487">
        <v>80</v>
      </c>
      <c r="EJ50" s="487">
        <v>113</v>
      </c>
      <c r="EK50" s="487">
        <v>98</v>
      </c>
      <c r="EL50" s="488">
        <v>107</v>
      </c>
      <c r="EM50" s="488">
        <v>75</v>
      </c>
      <c r="EN50" s="488">
        <v>49</v>
      </c>
      <c r="EO50" s="488">
        <v>39</v>
      </c>
      <c r="EP50" s="489"/>
      <c r="EQ50" s="486">
        <v>10</v>
      </c>
      <c r="ER50" s="487">
        <v>12</v>
      </c>
      <c r="ES50" s="487">
        <v>13</v>
      </c>
      <c r="ET50" s="487">
        <v>16</v>
      </c>
      <c r="EU50" s="488">
        <v>28</v>
      </c>
      <c r="EV50" s="488">
        <v>58</v>
      </c>
      <c r="EW50" s="488">
        <v>55</v>
      </c>
      <c r="EX50" s="488">
        <v>70</v>
      </c>
      <c r="EY50" s="489"/>
      <c r="EZ50" s="486">
        <v>16</v>
      </c>
      <c r="FA50" s="487">
        <v>9</v>
      </c>
      <c r="FB50" s="487">
        <v>33</v>
      </c>
      <c r="FC50" s="487">
        <v>13</v>
      </c>
      <c r="FD50" s="488">
        <v>11</v>
      </c>
      <c r="FE50" s="488">
        <v>11</v>
      </c>
      <c r="FF50" s="488">
        <v>10</v>
      </c>
      <c r="FG50" s="488">
        <v>5</v>
      </c>
      <c r="FH50" s="489"/>
      <c r="FI50" s="486">
        <v>283</v>
      </c>
      <c r="FJ50" s="487">
        <v>335</v>
      </c>
      <c r="FK50" s="487">
        <v>282</v>
      </c>
      <c r="FL50" s="487">
        <v>221</v>
      </c>
      <c r="FM50" s="488">
        <v>207</v>
      </c>
      <c r="FN50" s="488">
        <v>175</v>
      </c>
      <c r="FO50" s="488">
        <v>188</v>
      </c>
      <c r="FP50" s="488">
        <v>158</v>
      </c>
      <c r="FQ50" s="489"/>
      <c r="FR50" s="486">
        <v>32</v>
      </c>
      <c r="FS50" s="487">
        <v>13</v>
      </c>
      <c r="FT50" s="487">
        <v>15</v>
      </c>
      <c r="FU50" s="487">
        <v>14</v>
      </c>
      <c r="FV50" s="488">
        <v>17</v>
      </c>
      <c r="FW50" s="488">
        <v>12</v>
      </c>
      <c r="FX50" s="488">
        <v>2</v>
      </c>
      <c r="FY50" s="488">
        <v>9</v>
      </c>
      <c r="FZ50" s="489"/>
      <c r="GA50" s="486">
        <v>38</v>
      </c>
      <c r="GB50" s="487">
        <v>22</v>
      </c>
      <c r="GC50" s="487">
        <v>43</v>
      </c>
      <c r="GD50" s="487">
        <v>26</v>
      </c>
      <c r="GE50" s="488">
        <v>15</v>
      </c>
      <c r="GF50" s="488">
        <v>21</v>
      </c>
      <c r="GG50" s="488">
        <v>25</v>
      </c>
      <c r="GH50" s="488">
        <v>31</v>
      </c>
      <c r="GI50" s="489"/>
      <c r="GJ50" s="486">
        <v>6044</v>
      </c>
      <c r="GK50" s="487">
        <v>6188</v>
      </c>
      <c r="GL50" s="487">
        <v>6776</v>
      </c>
      <c r="GM50" s="487">
        <v>6124</v>
      </c>
      <c r="GN50" s="488">
        <v>6039</v>
      </c>
      <c r="GO50" s="488">
        <v>4711</v>
      </c>
      <c r="GP50" s="488">
        <v>3847</v>
      </c>
      <c r="GQ50" s="488">
        <v>3613</v>
      </c>
      <c r="GR50" s="489"/>
      <c r="GS50" s="486">
        <v>1713</v>
      </c>
      <c r="GT50" s="487">
        <v>1619</v>
      </c>
      <c r="GU50" s="487">
        <v>1668</v>
      </c>
      <c r="GV50" s="487">
        <v>1383</v>
      </c>
      <c r="GW50" s="488">
        <v>1004</v>
      </c>
      <c r="GX50" s="488">
        <v>935</v>
      </c>
      <c r="GY50" s="488">
        <v>793</v>
      </c>
      <c r="GZ50" s="488">
        <v>775</v>
      </c>
      <c r="HA50" s="489"/>
      <c r="HB50" s="486">
        <v>17</v>
      </c>
      <c r="HC50" s="487">
        <v>22</v>
      </c>
      <c r="HD50" s="487">
        <v>20</v>
      </c>
      <c r="HE50" s="487">
        <v>12</v>
      </c>
      <c r="HF50" s="488">
        <v>21</v>
      </c>
      <c r="HG50" s="488">
        <v>8</v>
      </c>
      <c r="HH50" s="488">
        <v>11</v>
      </c>
      <c r="HI50" s="488">
        <v>11</v>
      </c>
      <c r="HJ50" s="489"/>
      <c r="HK50" s="486">
        <v>10</v>
      </c>
      <c r="HL50" s="487">
        <v>9</v>
      </c>
      <c r="HM50" s="487">
        <v>2</v>
      </c>
      <c r="HN50" s="487">
        <v>3</v>
      </c>
      <c r="HO50" s="488">
        <v>5</v>
      </c>
      <c r="HP50" s="488">
        <v>9</v>
      </c>
      <c r="HQ50" s="488">
        <v>5</v>
      </c>
      <c r="HR50" s="488">
        <v>8</v>
      </c>
      <c r="HS50" s="489"/>
      <c r="HT50" s="486">
        <v>2232</v>
      </c>
      <c r="HU50" s="487">
        <v>2072</v>
      </c>
      <c r="HV50" s="487">
        <v>2066</v>
      </c>
      <c r="HW50" s="487">
        <v>1790</v>
      </c>
      <c r="HX50" s="488">
        <v>1458</v>
      </c>
      <c r="HY50" s="488">
        <v>1378</v>
      </c>
      <c r="HZ50" s="488">
        <v>1245</v>
      </c>
      <c r="IA50" s="488">
        <v>1214</v>
      </c>
      <c r="IB50" s="489"/>
      <c r="IC50" s="486">
        <v>9614</v>
      </c>
      <c r="ID50" s="487">
        <v>9455</v>
      </c>
      <c r="IE50" s="487">
        <v>12986</v>
      </c>
      <c r="IF50" s="487">
        <v>11182</v>
      </c>
      <c r="IG50" s="488">
        <v>8664</v>
      </c>
      <c r="IH50" s="488">
        <v>7183</v>
      </c>
      <c r="II50" s="488">
        <v>6246</v>
      </c>
      <c r="IJ50" s="488">
        <v>6124</v>
      </c>
      <c r="IK50" s="489"/>
      <c r="IL50" s="486">
        <v>1680</v>
      </c>
      <c r="IM50" s="487">
        <v>1851</v>
      </c>
      <c r="IN50" s="487">
        <v>2025</v>
      </c>
      <c r="IO50" s="487">
        <v>1377</v>
      </c>
      <c r="IP50" s="488">
        <v>954</v>
      </c>
      <c r="IQ50" s="488">
        <v>1235</v>
      </c>
      <c r="IR50" s="488">
        <v>1136</v>
      </c>
      <c r="IS50" s="488">
        <v>967</v>
      </c>
      <c r="IT50" s="489"/>
      <c r="IU50" s="526">
        <v>3893.3480201187367</v>
      </c>
      <c r="IV50" s="527">
        <v>3857.2629139775295</v>
      </c>
      <c r="IW50" s="527">
        <v>5337.3337991409962</v>
      </c>
      <c r="IX50" s="527">
        <v>4678.8372783912364</v>
      </c>
      <c r="IY50" s="528">
        <v>3663.1771212095587</v>
      </c>
      <c r="IZ50" s="528">
        <v>3044.6819452516675</v>
      </c>
      <c r="JA50" s="528">
        <v>2621.7149860855184</v>
      </c>
      <c r="JB50" s="528">
        <v>2585.7009554933479</v>
      </c>
      <c r="JC50" s="529"/>
      <c r="JD50" s="530">
        <v>903.88524868993329</v>
      </c>
      <c r="JE50" s="531">
        <v>845.2933641207236</v>
      </c>
      <c r="JF50" s="531">
        <v>849.1399683524794</v>
      </c>
      <c r="JG50" s="531">
        <v>748.98217924524351</v>
      </c>
      <c r="JH50" s="531">
        <v>616.44878147778581</v>
      </c>
      <c r="JI50" s="532">
        <v>584.2677881067184</v>
      </c>
      <c r="JJ50" s="532">
        <v>522.58007647718068</v>
      </c>
      <c r="JK50" s="532">
        <v>512.58016981857031</v>
      </c>
      <c r="JL50" s="529"/>
      <c r="JM50" s="530">
        <v>2447.6175820259664</v>
      </c>
      <c r="JN50" s="531">
        <v>2524.4572090632419</v>
      </c>
      <c r="JO50" s="531">
        <v>2784.981812950823</v>
      </c>
      <c r="JP50" s="531">
        <v>2562.4395897753475</v>
      </c>
      <c r="JQ50" s="531">
        <v>2553.3156319234217</v>
      </c>
      <c r="JR50" s="532">
        <v>1995.7413755784705</v>
      </c>
      <c r="JS50" s="532">
        <v>1614.7514491628226</v>
      </c>
      <c r="JT50" s="532">
        <v>1525.4960078702588</v>
      </c>
      <c r="JU50" s="529"/>
      <c r="JV50" s="530">
        <v>693.70763037896768</v>
      </c>
      <c r="JW50" s="531">
        <v>660.48743074877007</v>
      </c>
      <c r="JX50" s="531">
        <v>685.55927745011411</v>
      </c>
      <c r="JY50" s="531">
        <v>578.68287927160441</v>
      </c>
      <c r="JZ50" s="531">
        <v>424.49559437839304</v>
      </c>
      <c r="KA50" s="532">
        <v>395.83208438602117</v>
      </c>
      <c r="KB50" s="532">
        <v>332.8562254187986</v>
      </c>
      <c r="KC50" s="532">
        <v>327.22374926638543</v>
      </c>
      <c r="KD50" s="529"/>
    </row>
    <row r="51" spans="1:290" ht="15" customHeight="1" x14ac:dyDescent="0.2">
      <c r="A51" s="930"/>
      <c r="B51" s="490" t="s">
        <v>669</v>
      </c>
      <c r="C51" s="491"/>
      <c r="D51" s="492">
        <v>2</v>
      </c>
      <c r="E51" s="492"/>
      <c r="F51" s="492">
        <v>1</v>
      </c>
      <c r="G51" s="493">
        <v>1</v>
      </c>
      <c r="H51" s="493">
        <v>1</v>
      </c>
      <c r="I51" s="493"/>
      <c r="J51" s="493">
        <v>2</v>
      </c>
      <c r="K51" s="199"/>
      <c r="L51" s="491"/>
      <c r="M51" s="492">
        <v>1</v>
      </c>
      <c r="N51" s="492"/>
      <c r="O51" s="492"/>
      <c r="P51" s="493"/>
      <c r="Q51" s="493">
        <v>1</v>
      </c>
      <c r="R51" s="493"/>
      <c r="S51" s="493">
        <v>1</v>
      </c>
      <c r="T51" s="199"/>
      <c r="U51" s="491"/>
      <c r="V51" s="492"/>
      <c r="W51" s="492"/>
      <c r="X51" s="492"/>
      <c r="Y51" s="493"/>
      <c r="Z51" s="493"/>
      <c r="AA51" s="493"/>
      <c r="AB51" s="493">
        <v>1</v>
      </c>
      <c r="AC51" s="199"/>
      <c r="AD51" s="491">
        <v>46</v>
      </c>
      <c r="AE51" s="492">
        <v>41</v>
      </c>
      <c r="AF51" s="492">
        <v>36</v>
      </c>
      <c r="AG51" s="492">
        <v>45</v>
      </c>
      <c r="AH51" s="493">
        <v>28</v>
      </c>
      <c r="AI51" s="493">
        <v>37</v>
      </c>
      <c r="AJ51" s="493">
        <v>23</v>
      </c>
      <c r="AK51" s="493">
        <v>18</v>
      </c>
      <c r="AL51" s="199"/>
      <c r="AM51" s="491">
        <v>25</v>
      </c>
      <c r="AN51" s="492">
        <v>14</v>
      </c>
      <c r="AO51" s="492">
        <v>16</v>
      </c>
      <c r="AP51" s="492">
        <v>15</v>
      </c>
      <c r="AQ51" s="493">
        <v>10</v>
      </c>
      <c r="AR51" s="493">
        <v>19</v>
      </c>
      <c r="AS51" s="493">
        <v>9</v>
      </c>
      <c r="AT51" s="493">
        <v>10</v>
      </c>
      <c r="AU51" s="199"/>
      <c r="AV51" s="491"/>
      <c r="AW51" s="492">
        <v>1</v>
      </c>
      <c r="AX51" s="492"/>
      <c r="AY51" s="492"/>
      <c r="AZ51" s="493"/>
      <c r="BA51" s="493"/>
      <c r="BB51" s="493">
        <v>1</v>
      </c>
      <c r="BC51" s="493">
        <v>1</v>
      </c>
      <c r="BD51" s="199"/>
      <c r="BE51" s="491">
        <v>53</v>
      </c>
      <c r="BF51" s="492">
        <v>18</v>
      </c>
      <c r="BG51" s="492">
        <v>33</v>
      </c>
      <c r="BH51" s="492">
        <v>11</v>
      </c>
      <c r="BI51" s="493">
        <v>7</v>
      </c>
      <c r="BJ51" s="493">
        <v>11</v>
      </c>
      <c r="BK51" s="493">
        <v>6</v>
      </c>
      <c r="BL51" s="493">
        <v>4</v>
      </c>
      <c r="BM51" s="199"/>
      <c r="BN51" s="491"/>
      <c r="BO51" s="492"/>
      <c r="BP51" s="492"/>
      <c r="BQ51" s="492"/>
      <c r="BR51" s="493"/>
      <c r="BS51" s="493"/>
      <c r="BT51" s="493"/>
      <c r="BU51" s="493"/>
      <c r="BV51" s="199"/>
      <c r="BW51" s="491">
        <v>64</v>
      </c>
      <c r="BX51" s="492">
        <v>54</v>
      </c>
      <c r="BY51" s="492">
        <v>69</v>
      </c>
      <c r="BZ51" s="492">
        <v>64</v>
      </c>
      <c r="CA51" s="493">
        <v>79</v>
      </c>
      <c r="CB51" s="493">
        <v>61</v>
      </c>
      <c r="CC51" s="493">
        <v>41</v>
      </c>
      <c r="CD51" s="493">
        <v>25</v>
      </c>
      <c r="CE51" s="199"/>
      <c r="CF51" s="491"/>
      <c r="CG51" s="492">
        <v>1</v>
      </c>
      <c r="CH51" s="492">
        <v>1</v>
      </c>
      <c r="CI51" s="492">
        <v>3</v>
      </c>
      <c r="CJ51" s="493"/>
      <c r="CK51" s="493"/>
      <c r="CL51" s="493">
        <v>2</v>
      </c>
      <c r="CM51" s="493"/>
      <c r="CN51" s="199"/>
      <c r="CO51" s="491">
        <v>1</v>
      </c>
      <c r="CP51" s="492"/>
      <c r="CQ51" s="492"/>
      <c r="CR51" s="492"/>
      <c r="CS51" s="493"/>
      <c r="CT51" s="493"/>
      <c r="CU51" s="493">
        <v>3</v>
      </c>
      <c r="CV51" s="493">
        <v>1</v>
      </c>
      <c r="CW51" s="199"/>
      <c r="CX51" s="491">
        <v>329</v>
      </c>
      <c r="CY51" s="492">
        <v>450</v>
      </c>
      <c r="CZ51" s="492">
        <v>434</v>
      </c>
      <c r="DA51" s="492">
        <v>357</v>
      </c>
      <c r="DB51" s="493">
        <v>318</v>
      </c>
      <c r="DC51" s="493">
        <v>250</v>
      </c>
      <c r="DD51" s="493">
        <v>206</v>
      </c>
      <c r="DE51" s="493">
        <v>206</v>
      </c>
      <c r="DF51" s="199"/>
      <c r="DG51" s="491"/>
      <c r="DH51" s="492">
        <v>1</v>
      </c>
      <c r="DI51" s="492"/>
      <c r="DJ51" s="492"/>
      <c r="DK51" s="493"/>
      <c r="DL51" s="493"/>
      <c r="DM51" s="493"/>
      <c r="DN51" s="493"/>
      <c r="DO51" s="199"/>
      <c r="DP51" s="491"/>
      <c r="DQ51" s="492">
        <v>4</v>
      </c>
      <c r="DR51" s="492">
        <v>2</v>
      </c>
      <c r="DS51" s="492">
        <v>2</v>
      </c>
      <c r="DT51" s="493">
        <v>8</v>
      </c>
      <c r="DU51" s="493">
        <v>3</v>
      </c>
      <c r="DV51" s="493">
        <v>1</v>
      </c>
      <c r="DW51" s="493">
        <v>4</v>
      </c>
      <c r="DX51" s="199"/>
      <c r="DY51" s="491">
        <v>34</v>
      </c>
      <c r="DZ51" s="492">
        <v>61</v>
      </c>
      <c r="EA51" s="492">
        <v>56</v>
      </c>
      <c r="EB51" s="492">
        <v>63</v>
      </c>
      <c r="EC51" s="493">
        <v>77</v>
      </c>
      <c r="ED51" s="493">
        <v>49</v>
      </c>
      <c r="EE51" s="493">
        <v>33</v>
      </c>
      <c r="EF51" s="493">
        <v>29</v>
      </c>
      <c r="EG51" s="199"/>
      <c r="EH51" s="491">
        <v>3</v>
      </c>
      <c r="EI51" s="492">
        <v>2</v>
      </c>
      <c r="EJ51" s="492">
        <v>10</v>
      </c>
      <c r="EK51" s="492">
        <v>2</v>
      </c>
      <c r="EL51" s="493">
        <v>4</v>
      </c>
      <c r="EM51" s="493"/>
      <c r="EN51" s="493">
        <v>2</v>
      </c>
      <c r="EO51" s="493"/>
      <c r="EP51" s="199"/>
      <c r="EQ51" s="491">
        <v>1</v>
      </c>
      <c r="ER51" s="492"/>
      <c r="ES51" s="492">
        <v>3</v>
      </c>
      <c r="ET51" s="492">
        <v>4</v>
      </c>
      <c r="EU51" s="493">
        <v>4</v>
      </c>
      <c r="EV51" s="493">
        <v>2</v>
      </c>
      <c r="EW51" s="493">
        <v>1</v>
      </c>
      <c r="EX51" s="493"/>
      <c r="EY51" s="199"/>
      <c r="EZ51" s="491"/>
      <c r="FA51" s="492">
        <v>1</v>
      </c>
      <c r="FB51" s="492">
        <v>5</v>
      </c>
      <c r="FC51" s="492"/>
      <c r="FD51" s="493">
        <v>1</v>
      </c>
      <c r="FE51" s="493"/>
      <c r="FF51" s="493"/>
      <c r="FG51" s="493">
        <v>1</v>
      </c>
      <c r="FH51" s="199"/>
      <c r="FI51" s="491">
        <v>24</v>
      </c>
      <c r="FJ51" s="492">
        <v>32</v>
      </c>
      <c r="FK51" s="492">
        <v>25</v>
      </c>
      <c r="FL51" s="492">
        <v>10</v>
      </c>
      <c r="FM51" s="493">
        <v>9</v>
      </c>
      <c r="FN51" s="493">
        <v>20</v>
      </c>
      <c r="FO51" s="493">
        <v>9</v>
      </c>
      <c r="FP51" s="493">
        <v>4</v>
      </c>
      <c r="FQ51" s="199"/>
      <c r="FR51" s="491">
        <v>1</v>
      </c>
      <c r="FS51" s="492">
        <v>5</v>
      </c>
      <c r="FT51" s="492">
        <v>2</v>
      </c>
      <c r="FU51" s="492">
        <v>8</v>
      </c>
      <c r="FV51" s="493">
        <v>1</v>
      </c>
      <c r="FW51" s="493">
        <v>2</v>
      </c>
      <c r="FX51" s="493">
        <v>1</v>
      </c>
      <c r="FY51" s="493"/>
      <c r="FZ51" s="199"/>
      <c r="GA51" s="491"/>
      <c r="GB51" s="492">
        <v>1</v>
      </c>
      <c r="GC51" s="492">
        <v>2</v>
      </c>
      <c r="GD51" s="492">
        <v>2</v>
      </c>
      <c r="GE51" s="493">
        <v>2</v>
      </c>
      <c r="GF51" s="493">
        <v>2</v>
      </c>
      <c r="GG51" s="493">
        <v>2</v>
      </c>
      <c r="GH51" s="493">
        <v>1</v>
      </c>
      <c r="GI51" s="199"/>
      <c r="GJ51" s="491">
        <v>522</v>
      </c>
      <c r="GK51" s="492">
        <v>607</v>
      </c>
      <c r="GL51" s="492">
        <v>620</v>
      </c>
      <c r="GM51" s="492">
        <v>507</v>
      </c>
      <c r="GN51" s="493">
        <v>454</v>
      </c>
      <c r="GO51" s="493">
        <v>386</v>
      </c>
      <c r="GP51" s="493">
        <v>296</v>
      </c>
      <c r="GQ51" s="493">
        <v>262</v>
      </c>
      <c r="GR51" s="199"/>
      <c r="GS51" s="491">
        <v>165</v>
      </c>
      <c r="GT51" s="492">
        <v>199</v>
      </c>
      <c r="GU51" s="492">
        <v>225</v>
      </c>
      <c r="GV51" s="492">
        <v>140</v>
      </c>
      <c r="GW51" s="493">
        <v>47</v>
      </c>
      <c r="GX51" s="493">
        <v>24</v>
      </c>
      <c r="GY51" s="493">
        <v>17</v>
      </c>
      <c r="GZ51" s="493">
        <v>23</v>
      </c>
      <c r="HA51" s="199"/>
      <c r="HB51" s="491"/>
      <c r="HC51" s="492">
        <v>1</v>
      </c>
      <c r="HD51" s="492"/>
      <c r="HE51" s="492"/>
      <c r="HF51" s="493">
        <v>1</v>
      </c>
      <c r="HG51" s="493"/>
      <c r="HH51" s="493">
        <v>2</v>
      </c>
      <c r="HI51" s="493"/>
      <c r="HJ51" s="199"/>
      <c r="HK51" s="491"/>
      <c r="HL51" s="492"/>
      <c r="HM51" s="492"/>
      <c r="HN51" s="492"/>
      <c r="HO51" s="493"/>
      <c r="HP51" s="493">
        <v>1</v>
      </c>
      <c r="HQ51" s="493">
        <v>1</v>
      </c>
      <c r="HR51" s="493">
        <v>1</v>
      </c>
      <c r="HS51" s="199"/>
      <c r="HT51" s="491">
        <v>272</v>
      </c>
      <c r="HU51" s="492">
        <v>269</v>
      </c>
      <c r="HV51" s="492">
        <v>289</v>
      </c>
      <c r="HW51" s="492">
        <v>191</v>
      </c>
      <c r="HX51" s="493">
        <v>102</v>
      </c>
      <c r="HY51" s="493">
        <v>79</v>
      </c>
      <c r="HZ51" s="493">
        <v>91</v>
      </c>
      <c r="IA51" s="493">
        <v>70</v>
      </c>
      <c r="IB51" s="199"/>
      <c r="IC51" s="491">
        <v>3121</v>
      </c>
      <c r="ID51" s="492">
        <v>863</v>
      </c>
      <c r="IE51" s="492">
        <v>893</v>
      </c>
      <c r="IF51" s="492">
        <v>699</v>
      </c>
      <c r="IG51" s="493">
        <v>643</v>
      </c>
      <c r="IH51" s="493">
        <v>623</v>
      </c>
      <c r="II51" s="493">
        <v>555</v>
      </c>
      <c r="IJ51" s="493">
        <v>434</v>
      </c>
      <c r="IK51" s="199"/>
      <c r="IL51" s="491">
        <v>124</v>
      </c>
      <c r="IM51" s="492">
        <v>138</v>
      </c>
      <c r="IN51" s="492">
        <v>128</v>
      </c>
      <c r="IO51" s="492">
        <v>106</v>
      </c>
      <c r="IP51" s="493">
        <v>78</v>
      </c>
      <c r="IQ51" s="493">
        <v>71</v>
      </c>
      <c r="IR51" s="493">
        <v>59</v>
      </c>
      <c r="IS51" s="493">
        <v>46</v>
      </c>
      <c r="IT51" s="199"/>
      <c r="IU51" s="533">
        <v>9086.4096890648652</v>
      </c>
      <c r="IV51" s="534">
        <v>2537.1905685894044</v>
      </c>
      <c r="IW51" s="534">
        <v>2642.4027222961977</v>
      </c>
      <c r="IX51" s="534">
        <v>2006.0842612788431</v>
      </c>
      <c r="IY51" s="535">
        <v>1857.5225329327479</v>
      </c>
      <c r="IZ51" s="535">
        <v>1815.4005248408473</v>
      </c>
      <c r="JA51" s="535">
        <v>1669.1729323308271</v>
      </c>
      <c r="JB51" s="535">
        <v>1313.6786027787027</v>
      </c>
      <c r="JC51" s="536"/>
      <c r="JD51" s="537">
        <v>791.894724583673</v>
      </c>
      <c r="JE51" s="538">
        <v>790.85082613041686</v>
      </c>
      <c r="JF51" s="538">
        <v>855.15608817872476</v>
      </c>
      <c r="JG51" s="538">
        <v>548.15750200895422</v>
      </c>
      <c r="JH51" s="538">
        <v>294.6614282412757</v>
      </c>
      <c r="JI51" s="539">
        <v>232.06159674388846</v>
      </c>
      <c r="JJ51" s="539">
        <v>273.68421052631578</v>
      </c>
      <c r="JK51" s="539">
        <v>211.88364560946818</v>
      </c>
      <c r="JL51" s="536"/>
      <c r="JM51" s="537">
        <v>1519.7391405613137</v>
      </c>
      <c r="JN51" s="538">
        <v>1784.5592991121302</v>
      </c>
      <c r="JO51" s="538">
        <v>1834.5909158159488</v>
      </c>
      <c r="JP51" s="538">
        <v>1455.0568247043966</v>
      </c>
      <c r="JQ51" s="538">
        <v>1311.5322394268546</v>
      </c>
      <c r="JR51" s="539">
        <v>1125.8968187252028</v>
      </c>
      <c r="JS51" s="539">
        <v>890.22556390977445</v>
      </c>
      <c r="JT51" s="539">
        <v>793.05021642400948</v>
      </c>
      <c r="JU51" s="536"/>
      <c r="JV51" s="537">
        <v>480.37731454524277</v>
      </c>
      <c r="JW51" s="538">
        <v>585.05321338272472</v>
      </c>
      <c r="JX51" s="538">
        <v>665.77896138482026</v>
      </c>
      <c r="JY51" s="538">
        <v>401.79083916886691</v>
      </c>
      <c r="JZ51" s="538">
        <v>135.775363993529</v>
      </c>
      <c r="KA51" s="539">
        <v>70.495442346622738</v>
      </c>
      <c r="KB51" s="539">
        <v>51.127819548872175</v>
      </c>
      <c r="KC51" s="539">
        <v>69.618912128825258</v>
      </c>
      <c r="KD51" s="536"/>
    </row>
    <row r="52" spans="1:290" ht="15" customHeight="1" x14ac:dyDescent="0.2">
      <c r="A52" s="930"/>
      <c r="B52" s="490" t="s">
        <v>670</v>
      </c>
      <c r="C52" s="491">
        <v>2</v>
      </c>
      <c r="D52" s="492">
        <v>1</v>
      </c>
      <c r="E52" s="492">
        <v>2</v>
      </c>
      <c r="F52" s="492">
        <v>3</v>
      </c>
      <c r="G52" s="493">
        <v>4</v>
      </c>
      <c r="H52" s="493">
        <v>3</v>
      </c>
      <c r="I52" s="493">
        <v>4</v>
      </c>
      <c r="J52" s="493">
        <v>1</v>
      </c>
      <c r="K52" s="199"/>
      <c r="L52" s="491">
        <v>1</v>
      </c>
      <c r="M52" s="492">
        <v>1</v>
      </c>
      <c r="N52" s="492"/>
      <c r="O52" s="492">
        <v>1</v>
      </c>
      <c r="P52" s="493">
        <v>2</v>
      </c>
      <c r="Q52" s="493">
        <v>2</v>
      </c>
      <c r="R52" s="493"/>
      <c r="S52" s="493"/>
      <c r="T52" s="199"/>
      <c r="U52" s="491">
        <v>1</v>
      </c>
      <c r="V52" s="492"/>
      <c r="W52" s="492">
        <v>2</v>
      </c>
      <c r="X52" s="492">
        <v>2</v>
      </c>
      <c r="Y52" s="493">
        <v>2</v>
      </c>
      <c r="Z52" s="493">
        <v>1</v>
      </c>
      <c r="AA52" s="493">
        <v>2</v>
      </c>
      <c r="AB52" s="493">
        <v>1</v>
      </c>
      <c r="AC52" s="199"/>
      <c r="AD52" s="491">
        <v>109</v>
      </c>
      <c r="AE52" s="492">
        <v>87</v>
      </c>
      <c r="AF52" s="492">
        <v>57</v>
      </c>
      <c r="AG52" s="492">
        <v>112</v>
      </c>
      <c r="AH52" s="493">
        <v>78</v>
      </c>
      <c r="AI52" s="493">
        <v>81</v>
      </c>
      <c r="AJ52" s="493">
        <v>91</v>
      </c>
      <c r="AK52" s="493">
        <v>86</v>
      </c>
      <c r="AL52" s="199"/>
      <c r="AM52" s="491">
        <v>31</v>
      </c>
      <c r="AN52" s="492">
        <v>24</v>
      </c>
      <c r="AO52" s="492">
        <v>17</v>
      </c>
      <c r="AP52" s="492">
        <v>27</v>
      </c>
      <c r="AQ52" s="493">
        <v>19</v>
      </c>
      <c r="AR52" s="493">
        <v>21</v>
      </c>
      <c r="AS52" s="493">
        <v>24</v>
      </c>
      <c r="AT52" s="493">
        <v>22</v>
      </c>
      <c r="AU52" s="199"/>
      <c r="AV52" s="491"/>
      <c r="AW52" s="492"/>
      <c r="AX52" s="492"/>
      <c r="AY52" s="492"/>
      <c r="AZ52" s="493"/>
      <c r="BA52" s="493"/>
      <c r="BB52" s="493"/>
      <c r="BC52" s="493"/>
      <c r="BD52" s="199"/>
      <c r="BE52" s="491">
        <v>10</v>
      </c>
      <c r="BF52" s="492">
        <v>46</v>
      </c>
      <c r="BG52" s="492">
        <v>26</v>
      </c>
      <c r="BH52" s="492">
        <v>16</v>
      </c>
      <c r="BI52" s="493">
        <v>31</v>
      </c>
      <c r="BJ52" s="493">
        <v>28</v>
      </c>
      <c r="BK52" s="493">
        <v>24</v>
      </c>
      <c r="BL52" s="493">
        <v>12</v>
      </c>
      <c r="BM52" s="199"/>
      <c r="BN52" s="491"/>
      <c r="BO52" s="492"/>
      <c r="BP52" s="492"/>
      <c r="BQ52" s="492"/>
      <c r="BR52" s="493"/>
      <c r="BS52" s="493"/>
      <c r="BT52" s="493"/>
      <c r="BU52" s="493"/>
      <c r="BV52" s="199"/>
      <c r="BW52" s="491">
        <v>118</v>
      </c>
      <c r="BX52" s="492">
        <v>135</v>
      </c>
      <c r="BY52" s="492">
        <v>102</v>
      </c>
      <c r="BZ52" s="492">
        <v>162</v>
      </c>
      <c r="CA52" s="493">
        <v>123</v>
      </c>
      <c r="CB52" s="493">
        <v>117</v>
      </c>
      <c r="CC52" s="493">
        <v>94</v>
      </c>
      <c r="CD52" s="493">
        <v>86</v>
      </c>
      <c r="CE52" s="199"/>
      <c r="CF52" s="491">
        <v>3</v>
      </c>
      <c r="CG52" s="492">
        <v>3</v>
      </c>
      <c r="CH52" s="492">
        <v>3</v>
      </c>
      <c r="CI52" s="492">
        <v>2</v>
      </c>
      <c r="CJ52" s="493">
        <v>1</v>
      </c>
      <c r="CK52" s="493">
        <v>2</v>
      </c>
      <c r="CL52" s="493">
        <v>3</v>
      </c>
      <c r="CM52" s="493">
        <v>2</v>
      </c>
      <c r="CN52" s="199"/>
      <c r="CO52" s="491"/>
      <c r="CP52" s="492"/>
      <c r="CQ52" s="492">
        <v>2</v>
      </c>
      <c r="CR52" s="492"/>
      <c r="CS52" s="493"/>
      <c r="CT52" s="493"/>
      <c r="CU52" s="493">
        <v>2</v>
      </c>
      <c r="CV52" s="493">
        <v>5</v>
      </c>
      <c r="CW52" s="199"/>
      <c r="CX52" s="491">
        <v>818</v>
      </c>
      <c r="CY52" s="492">
        <v>928</v>
      </c>
      <c r="CZ52" s="492">
        <v>935</v>
      </c>
      <c r="DA52" s="492">
        <v>817</v>
      </c>
      <c r="DB52" s="493">
        <v>673</v>
      </c>
      <c r="DC52" s="493">
        <v>601</v>
      </c>
      <c r="DD52" s="493">
        <v>658</v>
      </c>
      <c r="DE52" s="493">
        <v>557</v>
      </c>
      <c r="DF52" s="199"/>
      <c r="DG52" s="491">
        <v>3</v>
      </c>
      <c r="DH52" s="492">
        <v>1</v>
      </c>
      <c r="DI52" s="492"/>
      <c r="DJ52" s="492">
        <v>1</v>
      </c>
      <c r="DK52" s="493"/>
      <c r="DL52" s="493">
        <v>1</v>
      </c>
      <c r="DM52" s="493"/>
      <c r="DN52" s="493">
        <v>1</v>
      </c>
      <c r="DO52" s="199"/>
      <c r="DP52" s="491">
        <v>8</v>
      </c>
      <c r="DQ52" s="492">
        <v>5</v>
      </c>
      <c r="DR52" s="492">
        <v>2</v>
      </c>
      <c r="DS52" s="492">
        <v>1</v>
      </c>
      <c r="DT52" s="493">
        <v>4</v>
      </c>
      <c r="DU52" s="493"/>
      <c r="DV52" s="493">
        <v>4</v>
      </c>
      <c r="DW52" s="493">
        <v>2</v>
      </c>
      <c r="DX52" s="199"/>
      <c r="DY52" s="491">
        <v>105</v>
      </c>
      <c r="DZ52" s="492">
        <v>126</v>
      </c>
      <c r="EA52" s="492">
        <v>184</v>
      </c>
      <c r="EB52" s="492">
        <v>162</v>
      </c>
      <c r="EC52" s="493">
        <v>150</v>
      </c>
      <c r="ED52" s="493">
        <v>180</v>
      </c>
      <c r="EE52" s="493">
        <v>201</v>
      </c>
      <c r="EF52" s="493">
        <v>141</v>
      </c>
      <c r="EG52" s="199"/>
      <c r="EH52" s="491">
        <v>7</v>
      </c>
      <c r="EI52" s="492">
        <v>9</v>
      </c>
      <c r="EJ52" s="492">
        <v>11</v>
      </c>
      <c r="EK52" s="492">
        <v>11</v>
      </c>
      <c r="EL52" s="493">
        <v>6</v>
      </c>
      <c r="EM52" s="493">
        <v>7</v>
      </c>
      <c r="EN52" s="493">
        <v>4</v>
      </c>
      <c r="EO52" s="493">
        <v>8</v>
      </c>
      <c r="EP52" s="199"/>
      <c r="EQ52" s="491">
        <v>2</v>
      </c>
      <c r="ER52" s="492"/>
      <c r="ES52" s="492">
        <v>3</v>
      </c>
      <c r="ET52" s="492">
        <v>2</v>
      </c>
      <c r="EU52" s="493">
        <v>1</v>
      </c>
      <c r="EV52" s="493">
        <v>2</v>
      </c>
      <c r="EW52" s="493">
        <v>3</v>
      </c>
      <c r="EX52" s="493">
        <v>2</v>
      </c>
      <c r="EY52" s="199"/>
      <c r="EZ52" s="491">
        <v>13</v>
      </c>
      <c r="FA52" s="492">
        <v>1</v>
      </c>
      <c r="FB52" s="492">
        <v>7</v>
      </c>
      <c r="FC52" s="492">
        <v>3</v>
      </c>
      <c r="FD52" s="493">
        <v>4</v>
      </c>
      <c r="FE52" s="493">
        <v>2</v>
      </c>
      <c r="FF52" s="493">
        <v>1</v>
      </c>
      <c r="FG52" s="493">
        <v>1</v>
      </c>
      <c r="FH52" s="199"/>
      <c r="FI52" s="491">
        <v>75</v>
      </c>
      <c r="FJ52" s="492">
        <v>54</v>
      </c>
      <c r="FK52" s="492">
        <v>38</v>
      </c>
      <c r="FL52" s="492">
        <v>29</v>
      </c>
      <c r="FM52" s="493">
        <v>22</v>
      </c>
      <c r="FN52" s="493">
        <v>93</v>
      </c>
      <c r="FO52" s="493">
        <v>26</v>
      </c>
      <c r="FP52" s="493">
        <v>24</v>
      </c>
      <c r="FQ52" s="199"/>
      <c r="FR52" s="491">
        <v>6</v>
      </c>
      <c r="FS52" s="492">
        <v>6</v>
      </c>
      <c r="FT52" s="492">
        <v>6</v>
      </c>
      <c r="FU52" s="492">
        <v>2</v>
      </c>
      <c r="FV52" s="493">
        <v>4</v>
      </c>
      <c r="FW52" s="493">
        <v>4</v>
      </c>
      <c r="FX52" s="493">
        <v>15</v>
      </c>
      <c r="FY52" s="493">
        <v>2</v>
      </c>
      <c r="FZ52" s="199"/>
      <c r="GA52" s="491">
        <v>4</v>
      </c>
      <c r="GB52" s="492">
        <v>2</v>
      </c>
      <c r="GC52" s="492">
        <v>3</v>
      </c>
      <c r="GD52" s="492">
        <v>4</v>
      </c>
      <c r="GE52" s="493">
        <v>4</v>
      </c>
      <c r="GF52" s="493">
        <v>3</v>
      </c>
      <c r="GG52" s="493">
        <v>5</v>
      </c>
      <c r="GH52" s="493">
        <v>7</v>
      </c>
      <c r="GI52" s="199"/>
      <c r="GJ52" s="491">
        <v>1167</v>
      </c>
      <c r="GK52" s="492">
        <v>1272</v>
      </c>
      <c r="GL52" s="492">
        <v>1195</v>
      </c>
      <c r="GM52" s="492">
        <v>1163</v>
      </c>
      <c r="GN52" s="493">
        <v>951</v>
      </c>
      <c r="GO52" s="493">
        <v>943</v>
      </c>
      <c r="GP52" s="493">
        <v>930</v>
      </c>
      <c r="GQ52" s="493">
        <v>793</v>
      </c>
      <c r="GR52" s="199"/>
      <c r="GS52" s="491">
        <v>323</v>
      </c>
      <c r="GT52" s="492">
        <v>331</v>
      </c>
      <c r="GU52" s="492">
        <v>253</v>
      </c>
      <c r="GV52" s="492">
        <v>278</v>
      </c>
      <c r="GW52" s="493">
        <v>177</v>
      </c>
      <c r="GX52" s="493">
        <v>144</v>
      </c>
      <c r="GY52" s="493">
        <v>139</v>
      </c>
      <c r="GZ52" s="493">
        <v>155</v>
      </c>
      <c r="HA52" s="199"/>
      <c r="HB52" s="491">
        <v>1</v>
      </c>
      <c r="HC52" s="492">
        <v>1</v>
      </c>
      <c r="HD52" s="492">
        <v>3</v>
      </c>
      <c r="HE52" s="492">
        <v>3</v>
      </c>
      <c r="HF52" s="493"/>
      <c r="HG52" s="493"/>
      <c r="HH52" s="493"/>
      <c r="HI52" s="493">
        <v>2</v>
      </c>
      <c r="HJ52" s="199"/>
      <c r="HK52" s="491"/>
      <c r="HL52" s="492">
        <v>1</v>
      </c>
      <c r="HM52" s="492"/>
      <c r="HN52" s="492">
        <v>2</v>
      </c>
      <c r="HO52" s="493"/>
      <c r="HP52" s="493"/>
      <c r="HQ52" s="493"/>
      <c r="HR52" s="493">
        <v>1</v>
      </c>
      <c r="HS52" s="199"/>
      <c r="HT52" s="491">
        <v>619</v>
      </c>
      <c r="HU52" s="492">
        <v>420</v>
      </c>
      <c r="HV52" s="492">
        <v>321</v>
      </c>
      <c r="HW52" s="492">
        <v>360</v>
      </c>
      <c r="HX52" s="493">
        <v>285</v>
      </c>
      <c r="HY52" s="493">
        <v>258</v>
      </c>
      <c r="HZ52" s="493">
        <v>224</v>
      </c>
      <c r="IA52" s="493">
        <v>251</v>
      </c>
      <c r="IB52" s="199"/>
      <c r="IC52" s="491">
        <v>2711</v>
      </c>
      <c r="ID52" s="492">
        <v>1842</v>
      </c>
      <c r="IE52" s="492">
        <v>1610</v>
      </c>
      <c r="IF52" s="492">
        <v>1613</v>
      </c>
      <c r="IG52" s="493">
        <v>1409</v>
      </c>
      <c r="IH52" s="493">
        <v>1490</v>
      </c>
      <c r="II52" s="493">
        <v>1302</v>
      </c>
      <c r="IJ52" s="493">
        <v>1136</v>
      </c>
      <c r="IK52" s="199"/>
      <c r="IL52" s="491">
        <v>176</v>
      </c>
      <c r="IM52" s="492">
        <v>194</v>
      </c>
      <c r="IN52" s="492">
        <v>307</v>
      </c>
      <c r="IO52" s="492">
        <v>209</v>
      </c>
      <c r="IP52" s="493">
        <v>116</v>
      </c>
      <c r="IQ52" s="493">
        <v>249</v>
      </c>
      <c r="IR52" s="493">
        <v>274</v>
      </c>
      <c r="IS52" s="493">
        <v>178</v>
      </c>
      <c r="IT52" s="199"/>
      <c r="IU52" s="533">
        <v>5113.8400015090638</v>
      </c>
      <c r="IV52" s="534">
        <v>3513.1887623734051</v>
      </c>
      <c r="IW52" s="534">
        <v>3102.8368794326243</v>
      </c>
      <c r="IX52" s="534">
        <v>3046.4426690841788</v>
      </c>
      <c r="IY52" s="535">
        <v>2687.6490224129711</v>
      </c>
      <c r="IZ52" s="535">
        <v>2829.6700871159737</v>
      </c>
      <c r="JA52" s="535">
        <v>2368.9525299758011</v>
      </c>
      <c r="JB52" s="535">
        <v>2081.8824909284167</v>
      </c>
      <c r="JC52" s="536"/>
      <c r="JD52" s="537">
        <v>1167.6381264972742</v>
      </c>
      <c r="JE52" s="538">
        <v>801.05281226755164</v>
      </c>
      <c r="JF52" s="538">
        <v>618.64014801110079</v>
      </c>
      <c r="JG52" s="538">
        <v>679.92520822709503</v>
      </c>
      <c r="JH52" s="538">
        <v>543.6337625178827</v>
      </c>
      <c r="JI52" s="539">
        <v>489.14103787967758</v>
      </c>
      <c r="JJ52" s="539">
        <v>407.5617255872346</v>
      </c>
      <c r="JK52" s="539">
        <v>459.993402485064</v>
      </c>
      <c r="JL52" s="536"/>
      <c r="JM52" s="537">
        <v>2201.3468394544734</v>
      </c>
      <c r="JN52" s="538">
        <v>2426.0456600102993</v>
      </c>
      <c r="JO52" s="538">
        <v>2303.037311131668</v>
      </c>
      <c r="JP52" s="538">
        <v>2196.5361588003097</v>
      </c>
      <c r="JQ52" s="538">
        <v>1814.0200286123033</v>
      </c>
      <c r="JR52" s="539">
        <v>1769.6746950267234</v>
      </c>
      <c r="JS52" s="539">
        <v>1692.1089499827149</v>
      </c>
      <c r="JT52" s="539">
        <v>1453.2859289667558</v>
      </c>
      <c r="JU52" s="536"/>
      <c r="JV52" s="537">
        <v>609.28451511893309</v>
      </c>
      <c r="JW52" s="538">
        <v>631.30590681085619</v>
      </c>
      <c r="JX52" s="538">
        <v>487.58865248226954</v>
      </c>
      <c r="JY52" s="538">
        <v>525.05335524203451</v>
      </c>
      <c r="JZ52" s="538">
        <v>337.62517882689554</v>
      </c>
      <c r="KA52" s="539">
        <v>268.90915660830854</v>
      </c>
      <c r="KB52" s="539">
        <v>252.90660650279287</v>
      </c>
      <c r="KC52" s="539">
        <v>284.05967085731044</v>
      </c>
      <c r="KD52" s="536"/>
    </row>
    <row r="53" spans="1:290" ht="15" customHeight="1" x14ac:dyDescent="0.2">
      <c r="A53" s="930"/>
      <c r="B53" s="490" t="s">
        <v>671</v>
      </c>
      <c r="C53" s="491">
        <v>4</v>
      </c>
      <c r="D53" s="492">
        <v>3</v>
      </c>
      <c r="E53" s="492">
        <v>2</v>
      </c>
      <c r="F53" s="492">
        <v>3</v>
      </c>
      <c r="G53" s="493">
        <v>4</v>
      </c>
      <c r="H53" s="493"/>
      <c r="I53" s="493">
        <v>1</v>
      </c>
      <c r="J53" s="493"/>
      <c r="K53" s="199"/>
      <c r="L53" s="491">
        <v>1</v>
      </c>
      <c r="M53" s="492">
        <v>3</v>
      </c>
      <c r="N53" s="492">
        <v>1</v>
      </c>
      <c r="O53" s="492">
        <v>1</v>
      </c>
      <c r="P53" s="493">
        <v>3</v>
      </c>
      <c r="Q53" s="493"/>
      <c r="R53" s="493"/>
      <c r="S53" s="493"/>
      <c r="T53" s="199"/>
      <c r="U53" s="491">
        <v>3</v>
      </c>
      <c r="V53" s="492"/>
      <c r="W53" s="492">
        <v>1</v>
      </c>
      <c r="X53" s="492">
        <v>2</v>
      </c>
      <c r="Y53" s="493">
        <v>1</v>
      </c>
      <c r="Z53" s="493"/>
      <c r="AA53" s="493">
        <v>1</v>
      </c>
      <c r="AB53" s="493"/>
      <c r="AC53" s="199"/>
      <c r="AD53" s="491">
        <v>125</v>
      </c>
      <c r="AE53" s="492">
        <v>86</v>
      </c>
      <c r="AF53" s="492">
        <v>111</v>
      </c>
      <c r="AG53" s="492">
        <v>101</v>
      </c>
      <c r="AH53" s="493">
        <v>97</v>
      </c>
      <c r="AI53" s="493">
        <v>83</v>
      </c>
      <c r="AJ53" s="493">
        <v>83</v>
      </c>
      <c r="AK53" s="493">
        <v>55</v>
      </c>
      <c r="AL53" s="199"/>
      <c r="AM53" s="491">
        <v>47</v>
      </c>
      <c r="AN53" s="492">
        <v>32</v>
      </c>
      <c r="AO53" s="492">
        <v>31</v>
      </c>
      <c r="AP53" s="492">
        <v>46</v>
      </c>
      <c r="AQ53" s="493">
        <v>37</v>
      </c>
      <c r="AR53" s="493">
        <v>31</v>
      </c>
      <c r="AS53" s="493">
        <v>37</v>
      </c>
      <c r="AT53" s="493">
        <v>21</v>
      </c>
      <c r="AU53" s="199"/>
      <c r="AV53" s="491"/>
      <c r="AW53" s="492"/>
      <c r="AX53" s="492">
        <v>1</v>
      </c>
      <c r="AY53" s="492"/>
      <c r="AZ53" s="493">
        <v>2</v>
      </c>
      <c r="BA53" s="493"/>
      <c r="BB53" s="493"/>
      <c r="BC53" s="493"/>
      <c r="BD53" s="199"/>
      <c r="BE53" s="491">
        <v>26</v>
      </c>
      <c r="BF53" s="492">
        <v>22</v>
      </c>
      <c r="BG53" s="492">
        <v>20</v>
      </c>
      <c r="BH53" s="492">
        <v>5</v>
      </c>
      <c r="BI53" s="493">
        <v>13</v>
      </c>
      <c r="BJ53" s="493">
        <v>15</v>
      </c>
      <c r="BK53" s="493">
        <v>17</v>
      </c>
      <c r="BL53" s="493">
        <v>8</v>
      </c>
      <c r="BM53" s="199"/>
      <c r="BN53" s="491"/>
      <c r="BO53" s="492"/>
      <c r="BP53" s="492"/>
      <c r="BQ53" s="492"/>
      <c r="BR53" s="493"/>
      <c r="BS53" s="493"/>
      <c r="BT53" s="493"/>
      <c r="BU53" s="493"/>
      <c r="BV53" s="199"/>
      <c r="BW53" s="491">
        <v>166</v>
      </c>
      <c r="BX53" s="492">
        <v>163</v>
      </c>
      <c r="BY53" s="492">
        <v>193</v>
      </c>
      <c r="BZ53" s="492">
        <v>210</v>
      </c>
      <c r="CA53" s="493">
        <v>167</v>
      </c>
      <c r="CB53" s="493">
        <v>158</v>
      </c>
      <c r="CC53" s="493">
        <v>131</v>
      </c>
      <c r="CD53" s="493">
        <v>121</v>
      </c>
      <c r="CE53" s="199"/>
      <c r="CF53" s="491">
        <v>7</v>
      </c>
      <c r="CG53" s="492">
        <v>12</v>
      </c>
      <c r="CH53" s="492">
        <v>5</v>
      </c>
      <c r="CI53" s="492">
        <v>2</v>
      </c>
      <c r="CJ53" s="493">
        <v>5</v>
      </c>
      <c r="CK53" s="493">
        <v>3</v>
      </c>
      <c r="CL53" s="493">
        <v>1</v>
      </c>
      <c r="CM53" s="493">
        <v>2</v>
      </c>
      <c r="CN53" s="199"/>
      <c r="CO53" s="491">
        <v>1</v>
      </c>
      <c r="CP53" s="492"/>
      <c r="CQ53" s="492">
        <v>2</v>
      </c>
      <c r="CR53" s="492">
        <v>3</v>
      </c>
      <c r="CS53" s="493">
        <v>1</v>
      </c>
      <c r="CT53" s="493">
        <v>6</v>
      </c>
      <c r="CU53" s="493">
        <v>1</v>
      </c>
      <c r="CV53" s="493">
        <v>8</v>
      </c>
      <c r="CW53" s="199"/>
      <c r="CX53" s="491">
        <v>961</v>
      </c>
      <c r="CY53" s="492">
        <v>1179</v>
      </c>
      <c r="CZ53" s="492">
        <v>1104</v>
      </c>
      <c r="DA53" s="492">
        <v>1096</v>
      </c>
      <c r="DB53" s="493">
        <v>870</v>
      </c>
      <c r="DC53" s="493">
        <v>541</v>
      </c>
      <c r="DD53" s="493">
        <v>504</v>
      </c>
      <c r="DE53" s="493">
        <v>440</v>
      </c>
      <c r="DF53" s="199"/>
      <c r="DG53" s="491">
        <v>3</v>
      </c>
      <c r="DH53" s="492">
        <v>12</v>
      </c>
      <c r="DI53" s="492">
        <v>4</v>
      </c>
      <c r="DJ53" s="492">
        <v>2</v>
      </c>
      <c r="DK53" s="493">
        <v>1</v>
      </c>
      <c r="DL53" s="493"/>
      <c r="DM53" s="493"/>
      <c r="DN53" s="493">
        <v>2</v>
      </c>
      <c r="DO53" s="199"/>
      <c r="DP53" s="491">
        <v>20</v>
      </c>
      <c r="DQ53" s="492">
        <v>18</v>
      </c>
      <c r="DR53" s="492">
        <v>27</v>
      </c>
      <c r="DS53" s="492">
        <v>38</v>
      </c>
      <c r="DT53" s="493">
        <v>6</v>
      </c>
      <c r="DU53" s="493">
        <v>14</v>
      </c>
      <c r="DV53" s="493">
        <v>7</v>
      </c>
      <c r="DW53" s="493">
        <v>6</v>
      </c>
      <c r="DX53" s="199"/>
      <c r="DY53" s="491">
        <v>135</v>
      </c>
      <c r="DZ53" s="492">
        <v>114</v>
      </c>
      <c r="EA53" s="492">
        <v>156</v>
      </c>
      <c r="EB53" s="492">
        <v>126</v>
      </c>
      <c r="EC53" s="493">
        <v>143</v>
      </c>
      <c r="ED53" s="493">
        <v>115</v>
      </c>
      <c r="EE53" s="493">
        <v>92</v>
      </c>
      <c r="EF53" s="493">
        <v>80</v>
      </c>
      <c r="EG53" s="199"/>
      <c r="EH53" s="491">
        <v>27</v>
      </c>
      <c r="EI53" s="492">
        <v>16</v>
      </c>
      <c r="EJ53" s="492">
        <v>27</v>
      </c>
      <c r="EK53" s="492">
        <v>29</v>
      </c>
      <c r="EL53" s="493">
        <v>24</v>
      </c>
      <c r="EM53" s="493">
        <v>14</v>
      </c>
      <c r="EN53" s="493">
        <v>10</v>
      </c>
      <c r="EO53" s="493">
        <v>6</v>
      </c>
      <c r="EP53" s="199"/>
      <c r="EQ53" s="491">
        <v>1</v>
      </c>
      <c r="ER53" s="492">
        <v>6</v>
      </c>
      <c r="ES53" s="492">
        <v>9</v>
      </c>
      <c r="ET53" s="492">
        <v>11</v>
      </c>
      <c r="EU53" s="493">
        <v>2</v>
      </c>
      <c r="EV53" s="493">
        <v>4</v>
      </c>
      <c r="EW53" s="493">
        <v>12</v>
      </c>
      <c r="EX53" s="493">
        <v>6</v>
      </c>
      <c r="EY53" s="199"/>
      <c r="EZ53" s="491">
        <v>9</v>
      </c>
      <c r="FA53" s="492">
        <v>9</v>
      </c>
      <c r="FB53" s="492">
        <v>12</v>
      </c>
      <c r="FC53" s="492">
        <v>4</v>
      </c>
      <c r="FD53" s="493">
        <v>3</v>
      </c>
      <c r="FE53" s="493">
        <v>5</v>
      </c>
      <c r="FF53" s="493">
        <v>1</v>
      </c>
      <c r="FG53" s="493"/>
      <c r="FH53" s="199"/>
      <c r="FI53" s="491">
        <v>56</v>
      </c>
      <c r="FJ53" s="492">
        <v>61</v>
      </c>
      <c r="FK53" s="492">
        <v>61</v>
      </c>
      <c r="FL53" s="492">
        <v>41</v>
      </c>
      <c r="FM53" s="493">
        <v>48</v>
      </c>
      <c r="FN53" s="493">
        <v>53</v>
      </c>
      <c r="FO53" s="493">
        <v>36</v>
      </c>
      <c r="FP53" s="493">
        <v>47</v>
      </c>
      <c r="FQ53" s="199"/>
      <c r="FR53" s="491">
        <v>6</v>
      </c>
      <c r="FS53" s="492">
        <v>9</v>
      </c>
      <c r="FT53" s="492">
        <v>6</v>
      </c>
      <c r="FU53" s="492">
        <v>6</v>
      </c>
      <c r="FV53" s="493">
        <v>5</v>
      </c>
      <c r="FW53" s="493">
        <v>2</v>
      </c>
      <c r="FX53" s="493">
        <v>2</v>
      </c>
      <c r="FY53" s="493">
        <v>3</v>
      </c>
      <c r="FZ53" s="199"/>
      <c r="GA53" s="491">
        <v>8</v>
      </c>
      <c r="GB53" s="492">
        <v>6</v>
      </c>
      <c r="GC53" s="492">
        <v>5</v>
      </c>
      <c r="GD53" s="492">
        <v>5</v>
      </c>
      <c r="GE53" s="493">
        <v>4</v>
      </c>
      <c r="GF53" s="493">
        <v>4</v>
      </c>
      <c r="GG53" s="493">
        <v>14</v>
      </c>
      <c r="GH53" s="493">
        <v>7</v>
      </c>
      <c r="GI53" s="199"/>
      <c r="GJ53" s="491">
        <v>1397</v>
      </c>
      <c r="GK53" s="492">
        <v>1572</v>
      </c>
      <c r="GL53" s="492">
        <v>1557</v>
      </c>
      <c r="GM53" s="492">
        <v>1516</v>
      </c>
      <c r="GN53" s="493">
        <v>1243</v>
      </c>
      <c r="GO53" s="493">
        <v>888</v>
      </c>
      <c r="GP53" s="493">
        <v>813</v>
      </c>
      <c r="GQ53" s="493">
        <v>703</v>
      </c>
      <c r="GR53" s="199"/>
      <c r="GS53" s="491">
        <v>430</v>
      </c>
      <c r="GT53" s="492">
        <v>736</v>
      </c>
      <c r="GU53" s="492">
        <v>484</v>
      </c>
      <c r="GV53" s="492">
        <v>376</v>
      </c>
      <c r="GW53" s="493">
        <v>260</v>
      </c>
      <c r="GX53" s="493">
        <v>227</v>
      </c>
      <c r="GY53" s="493">
        <v>188</v>
      </c>
      <c r="GZ53" s="493">
        <v>166</v>
      </c>
      <c r="HA53" s="199"/>
      <c r="HB53" s="491">
        <v>7</v>
      </c>
      <c r="HC53" s="492">
        <v>8</v>
      </c>
      <c r="HD53" s="492">
        <v>5</v>
      </c>
      <c r="HE53" s="492">
        <v>5</v>
      </c>
      <c r="HF53" s="493">
        <v>3</v>
      </c>
      <c r="HG53" s="493">
        <v>5</v>
      </c>
      <c r="HH53" s="493">
        <v>2</v>
      </c>
      <c r="HI53" s="493">
        <v>2</v>
      </c>
      <c r="HJ53" s="199"/>
      <c r="HK53" s="491">
        <v>1</v>
      </c>
      <c r="HL53" s="492"/>
      <c r="HM53" s="492">
        <v>2</v>
      </c>
      <c r="HN53" s="492"/>
      <c r="HO53" s="493">
        <v>1</v>
      </c>
      <c r="HP53" s="493"/>
      <c r="HQ53" s="493"/>
      <c r="HR53" s="493">
        <v>2</v>
      </c>
      <c r="HS53" s="199"/>
      <c r="HT53" s="491">
        <v>543</v>
      </c>
      <c r="HU53" s="492">
        <v>827</v>
      </c>
      <c r="HV53" s="492">
        <v>590</v>
      </c>
      <c r="HW53" s="492">
        <v>493</v>
      </c>
      <c r="HX53" s="493">
        <v>381</v>
      </c>
      <c r="HY53" s="493">
        <v>423</v>
      </c>
      <c r="HZ53" s="493">
        <v>365</v>
      </c>
      <c r="IA53" s="493">
        <v>317</v>
      </c>
      <c r="IB53" s="199"/>
      <c r="IC53" s="491">
        <v>2129</v>
      </c>
      <c r="ID53" s="492">
        <v>2470</v>
      </c>
      <c r="IE53" s="492">
        <v>2295</v>
      </c>
      <c r="IF53" s="492">
        <v>2128</v>
      </c>
      <c r="IG53" s="493">
        <v>1782</v>
      </c>
      <c r="IH53" s="493">
        <v>1577</v>
      </c>
      <c r="II53" s="493">
        <v>1351</v>
      </c>
      <c r="IJ53" s="493">
        <v>1177</v>
      </c>
      <c r="IK53" s="199"/>
      <c r="IL53" s="491">
        <v>359</v>
      </c>
      <c r="IM53" s="492">
        <v>298</v>
      </c>
      <c r="IN53" s="492">
        <v>432</v>
      </c>
      <c r="IO53" s="492">
        <v>298</v>
      </c>
      <c r="IP53" s="493">
        <v>167</v>
      </c>
      <c r="IQ53" s="493">
        <v>167</v>
      </c>
      <c r="IR53" s="493">
        <v>174</v>
      </c>
      <c r="IS53" s="493">
        <v>147</v>
      </c>
      <c r="IT53" s="199"/>
      <c r="IU53" s="533">
        <v>2765.2223607647547</v>
      </c>
      <c r="IV53" s="534">
        <v>3254.62499341169</v>
      </c>
      <c r="IW53" s="534">
        <v>3058.613428579044</v>
      </c>
      <c r="IX53" s="534">
        <v>2831.5192804108897</v>
      </c>
      <c r="IY53" s="535">
        <v>2399.4829397032286</v>
      </c>
      <c r="IZ53" s="535">
        <v>2253.9225598534458</v>
      </c>
      <c r="JA53" s="535">
        <v>2134.7196106625374</v>
      </c>
      <c r="JB53" s="535">
        <v>1886.6714755149474</v>
      </c>
      <c r="JC53" s="536"/>
      <c r="JD53" s="537">
        <v>705.26807980049875</v>
      </c>
      <c r="JE53" s="538">
        <v>1089.7064249196226</v>
      </c>
      <c r="JF53" s="538">
        <v>786.31020603992852</v>
      </c>
      <c r="JG53" s="538">
        <v>655.9863746440642</v>
      </c>
      <c r="JH53" s="538">
        <v>513.02076320254218</v>
      </c>
      <c r="JI53" s="539">
        <v>611.09964363530958</v>
      </c>
      <c r="JJ53" s="539">
        <v>576.73771864679952</v>
      </c>
      <c r="JK53" s="539">
        <v>508.13496834174879</v>
      </c>
      <c r="JL53" s="536"/>
      <c r="JM53" s="537">
        <v>1814.4742310889444</v>
      </c>
      <c r="JN53" s="538">
        <v>2071.3645707057399</v>
      </c>
      <c r="JO53" s="538">
        <v>2075.0593064477439</v>
      </c>
      <c r="JP53" s="538">
        <v>2017.1913670596377</v>
      </c>
      <c r="JQ53" s="538">
        <v>1673.7134085584253</v>
      </c>
      <c r="JR53" s="539">
        <v>1264.5284884474456</v>
      </c>
      <c r="JS53" s="539">
        <v>1284.6240144105425</v>
      </c>
      <c r="JT53" s="539">
        <v>1126.8734471427426</v>
      </c>
      <c r="JU53" s="536"/>
      <c r="JV53" s="537">
        <v>558.4995843724023</v>
      </c>
      <c r="JW53" s="538">
        <v>969.79918832024453</v>
      </c>
      <c r="JX53" s="538">
        <v>645.04091478529733</v>
      </c>
      <c r="JY53" s="538">
        <v>500.30603826808948</v>
      </c>
      <c r="JZ53" s="538">
        <v>350.09290927207604</v>
      </c>
      <c r="KA53" s="539">
        <v>326.60323978853688</v>
      </c>
      <c r="KB53" s="539">
        <v>297.0594276865707</v>
      </c>
      <c r="KC53" s="539">
        <v>266.08960487296628</v>
      </c>
      <c r="KD53" s="536"/>
    </row>
    <row r="54" spans="1:290" ht="15" customHeight="1" x14ac:dyDescent="0.2">
      <c r="A54" s="930"/>
      <c r="B54" s="490" t="s">
        <v>672</v>
      </c>
      <c r="C54" s="491">
        <v>1</v>
      </c>
      <c r="D54" s="492">
        <v>1</v>
      </c>
      <c r="E54" s="492">
        <v>5</v>
      </c>
      <c r="F54" s="492">
        <v>1</v>
      </c>
      <c r="G54" s="493">
        <v>1</v>
      </c>
      <c r="H54" s="493">
        <v>1</v>
      </c>
      <c r="I54" s="493">
        <v>1</v>
      </c>
      <c r="J54" s="493">
        <v>1</v>
      </c>
      <c r="K54" s="199"/>
      <c r="L54" s="491">
        <v>1</v>
      </c>
      <c r="M54" s="492"/>
      <c r="N54" s="492">
        <v>2</v>
      </c>
      <c r="O54" s="492"/>
      <c r="P54" s="493"/>
      <c r="Q54" s="493"/>
      <c r="R54" s="493"/>
      <c r="S54" s="493"/>
      <c r="T54" s="199"/>
      <c r="U54" s="491"/>
      <c r="V54" s="492"/>
      <c r="W54" s="492">
        <v>3</v>
      </c>
      <c r="X54" s="492">
        <v>1</v>
      </c>
      <c r="Y54" s="493">
        <v>1</v>
      </c>
      <c r="Z54" s="493"/>
      <c r="AA54" s="493">
        <v>1</v>
      </c>
      <c r="AB54" s="493">
        <v>1</v>
      </c>
      <c r="AC54" s="199"/>
      <c r="AD54" s="491">
        <v>56</v>
      </c>
      <c r="AE54" s="492">
        <v>40</v>
      </c>
      <c r="AF54" s="492">
        <v>45</v>
      </c>
      <c r="AG54" s="492">
        <v>51</v>
      </c>
      <c r="AH54" s="493">
        <v>53</v>
      </c>
      <c r="AI54" s="493">
        <v>54</v>
      </c>
      <c r="AJ54" s="493">
        <v>51</v>
      </c>
      <c r="AK54" s="493">
        <v>50</v>
      </c>
      <c r="AL54" s="199"/>
      <c r="AM54" s="491">
        <v>34</v>
      </c>
      <c r="AN54" s="492">
        <v>18</v>
      </c>
      <c r="AO54" s="492">
        <v>17</v>
      </c>
      <c r="AP54" s="492">
        <v>24</v>
      </c>
      <c r="AQ54" s="493">
        <v>28</v>
      </c>
      <c r="AR54" s="493">
        <v>20</v>
      </c>
      <c r="AS54" s="493">
        <v>22</v>
      </c>
      <c r="AT54" s="493">
        <v>19</v>
      </c>
      <c r="AU54" s="199"/>
      <c r="AV54" s="491"/>
      <c r="AW54" s="492"/>
      <c r="AX54" s="492"/>
      <c r="AY54" s="492">
        <v>1</v>
      </c>
      <c r="AZ54" s="493"/>
      <c r="BA54" s="493"/>
      <c r="BB54" s="493"/>
      <c r="BC54" s="493">
        <v>1</v>
      </c>
      <c r="BD54" s="199"/>
      <c r="BE54" s="491">
        <v>14</v>
      </c>
      <c r="BF54" s="492">
        <v>15</v>
      </c>
      <c r="BG54" s="492">
        <v>15</v>
      </c>
      <c r="BH54" s="492">
        <v>13</v>
      </c>
      <c r="BI54" s="493">
        <v>17</v>
      </c>
      <c r="BJ54" s="493">
        <v>7</v>
      </c>
      <c r="BK54" s="493">
        <v>23</v>
      </c>
      <c r="BL54" s="493">
        <v>12</v>
      </c>
      <c r="BM54" s="199"/>
      <c r="BN54" s="491"/>
      <c r="BO54" s="492"/>
      <c r="BP54" s="492"/>
      <c r="BQ54" s="492"/>
      <c r="BR54" s="493"/>
      <c r="BS54" s="493"/>
      <c r="BT54" s="493"/>
      <c r="BU54" s="493"/>
      <c r="BV54" s="199"/>
      <c r="BW54" s="491">
        <v>58</v>
      </c>
      <c r="BX54" s="492">
        <v>67</v>
      </c>
      <c r="BY54" s="492">
        <v>90</v>
      </c>
      <c r="BZ54" s="492">
        <v>139</v>
      </c>
      <c r="CA54" s="493">
        <v>149</v>
      </c>
      <c r="CB54" s="493">
        <v>160</v>
      </c>
      <c r="CC54" s="493">
        <v>139</v>
      </c>
      <c r="CD54" s="493">
        <v>131</v>
      </c>
      <c r="CE54" s="199"/>
      <c r="CF54" s="491"/>
      <c r="CG54" s="492">
        <v>4</v>
      </c>
      <c r="CH54" s="492">
        <v>5</v>
      </c>
      <c r="CI54" s="492">
        <v>2</v>
      </c>
      <c r="CJ54" s="493">
        <v>4</v>
      </c>
      <c r="CK54" s="493">
        <v>10</v>
      </c>
      <c r="CL54" s="493">
        <v>7</v>
      </c>
      <c r="CM54" s="493">
        <v>5</v>
      </c>
      <c r="CN54" s="199"/>
      <c r="CO54" s="491">
        <v>9</v>
      </c>
      <c r="CP54" s="492">
        <v>2</v>
      </c>
      <c r="CQ54" s="492"/>
      <c r="CR54" s="492">
        <v>3</v>
      </c>
      <c r="CS54" s="493">
        <v>1</v>
      </c>
      <c r="CT54" s="493"/>
      <c r="CU54" s="493">
        <v>4</v>
      </c>
      <c r="CV54" s="493">
        <v>3</v>
      </c>
      <c r="CW54" s="199"/>
      <c r="CX54" s="491">
        <v>518</v>
      </c>
      <c r="CY54" s="492">
        <v>495</v>
      </c>
      <c r="CZ54" s="492">
        <v>614</v>
      </c>
      <c r="DA54" s="492">
        <v>718</v>
      </c>
      <c r="DB54" s="493">
        <v>599</v>
      </c>
      <c r="DC54" s="493">
        <v>404</v>
      </c>
      <c r="DD54" s="493">
        <v>378</v>
      </c>
      <c r="DE54" s="493">
        <v>421</v>
      </c>
      <c r="DF54" s="199"/>
      <c r="DG54" s="491"/>
      <c r="DH54" s="492">
        <v>2</v>
      </c>
      <c r="DI54" s="492">
        <v>1</v>
      </c>
      <c r="DJ54" s="492">
        <v>2</v>
      </c>
      <c r="DK54" s="493">
        <v>3</v>
      </c>
      <c r="DL54" s="493"/>
      <c r="DM54" s="493"/>
      <c r="DN54" s="493"/>
      <c r="DO54" s="199"/>
      <c r="DP54" s="491">
        <v>14</v>
      </c>
      <c r="DQ54" s="492">
        <v>5</v>
      </c>
      <c r="DR54" s="492">
        <v>7</v>
      </c>
      <c r="DS54" s="492">
        <v>7</v>
      </c>
      <c r="DT54" s="493">
        <v>4</v>
      </c>
      <c r="DU54" s="493">
        <v>9</v>
      </c>
      <c r="DV54" s="493">
        <v>4</v>
      </c>
      <c r="DW54" s="493">
        <v>6</v>
      </c>
      <c r="DX54" s="199"/>
      <c r="DY54" s="491">
        <v>63</v>
      </c>
      <c r="DZ54" s="492">
        <v>56</v>
      </c>
      <c r="EA54" s="492">
        <v>68</v>
      </c>
      <c r="EB54" s="492">
        <v>79</v>
      </c>
      <c r="EC54" s="493">
        <v>151</v>
      </c>
      <c r="ED54" s="493">
        <v>100</v>
      </c>
      <c r="EE54" s="493">
        <v>101</v>
      </c>
      <c r="EF54" s="493">
        <v>56</v>
      </c>
      <c r="EG54" s="199"/>
      <c r="EH54" s="491">
        <v>4</v>
      </c>
      <c r="EI54" s="492">
        <v>6</v>
      </c>
      <c r="EJ54" s="492">
        <v>8</v>
      </c>
      <c r="EK54" s="492">
        <v>3</v>
      </c>
      <c r="EL54" s="493">
        <v>8</v>
      </c>
      <c r="EM54" s="493">
        <v>3</v>
      </c>
      <c r="EN54" s="493">
        <v>6</v>
      </c>
      <c r="EO54" s="493">
        <v>5</v>
      </c>
      <c r="EP54" s="199"/>
      <c r="EQ54" s="491">
        <v>3</v>
      </c>
      <c r="ER54" s="492">
        <v>2</v>
      </c>
      <c r="ES54" s="492">
        <v>7</v>
      </c>
      <c r="ET54" s="492">
        <v>1</v>
      </c>
      <c r="EU54" s="493">
        <v>5</v>
      </c>
      <c r="EV54" s="493">
        <v>3</v>
      </c>
      <c r="EW54" s="493">
        <v>3</v>
      </c>
      <c r="EX54" s="493">
        <v>3</v>
      </c>
      <c r="EY54" s="199"/>
      <c r="EZ54" s="491">
        <v>1</v>
      </c>
      <c r="FA54" s="492">
        <v>2</v>
      </c>
      <c r="FB54" s="492">
        <v>1</v>
      </c>
      <c r="FC54" s="492">
        <v>1</v>
      </c>
      <c r="FD54" s="493">
        <v>2</v>
      </c>
      <c r="FE54" s="493">
        <v>2</v>
      </c>
      <c r="FF54" s="493">
        <v>1</v>
      </c>
      <c r="FG54" s="493">
        <v>1</v>
      </c>
      <c r="FH54" s="199"/>
      <c r="FI54" s="491">
        <v>25</v>
      </c>
      <c r="FJ54" s="492">
        <v>24</v>
      </c>
      <c r="FK54" s="492">
        <v>34</v>
      </c>
      <c r="FL54" s="492">
        <v>24</v>
      </c>
      <c r="FM54" s="493">
        <v>25</v>
      </c>
      <c r="FN54" s="493">
        <v>24</v>
      </c>
      <c r="FO54" s="493">
        <v>13</v>
      </c>
      <c r="FP54" s="493">
        <v>22</v>
      </c>
      <c r="FQ54" s="199"/>
      <c r="FR54" s="491">
        <v>5</v>
      </c>
      <c r="FS54" s="492">
        <v>4</v>
      </c>
      <c r="FT54" s="492">
        <v>6</v>
      </c>
      <c r="FU54" s="492">
        <v>7</v>
      </c>
      <c r="FV54" s="493">
        <v>1</v>
      </c>
      <c r="FW54" s="493">
        <v>2</v>
      </c>
      <c r="FX54" s="493">
        <v>2</v>
      </c>
      <c r="FY54" s="493"/>
      <c r="FZ54" s="199"/>
      <c r="GA54" s="491">
        <v>5</v>
      </c>
      <c r="GB54" s="492">
        <v>6</v>
      </c>
      <c r="GC54" s="492">
        <v>5</v>
      </c>
      <c r="GD54" s="492">
        <v>5</v>
      </c>
      <c r="GE54" s="493">
        <v>6</v>
      </c>
      <c r="GF54" s="493">
        <v>9</v>
      </c>
      <c r="GG54" s="493">
        <v>5</v>
      </c>
      <c r="GH54" s="493">
        <v>10</v>
      </c>
      <c r="GI54" s="199"/>
      <c r="GJ54" s="491">
        <v>699</v>
      </c>
      <c r="GK54" s="492">
        <v>668</v>
      </c>
      <c r="GL54" s="492">
        <v>835</v>
      </c>
      <c r="GM54" s="492">
        <v>968</v>
      </c>
      <c r="GN54" s="493">
        <v>871</v>
      </c>
      <c r="GO54" s="493">
        <v>679</v>
      </c>
      <c r="GP54" s="493">
        <v>633</v>
      </c>
      <c r="GQ54" s="493">
        <v>664</v>
      </c>
      <c r="GR54" s="199"/>
      <c r="GS54" s="491">
        <v>180</v>
      </c>
      <c r="GT54" s="492">
        <v>154</v>
      </c>
      <c r="GU54" s="492">
        <v>211</v>
      </c>
      <c r="GV54" s="492">
        <v>208</v>
      </c>
      <c r="GW54" s="493">
        <v>205</v>
      </c>
      <c r="GX54" s="493">
        <v>219</v>
      </c>
      <c r="GY54" s="493">
        <v>162</v>
      </c>
      <c r="GZ54" s="493">
        <v>170</v>
      </c>
      <c r="HA54" s="199"/>
      <c r="HB54" s="491">
        <v>1</v>
      </c>
      <c r="HC54" s="492">
        <v>1</v>
      </c>
      <c r="HD54" s="492">
        <v>4</v>
      </c>
      <c r="HE54" s="492">
        <v>1</v>
      </c>
      <c r="HF54" s="493">
        <v>1</v>
      </c>
      <c r="HG54" s="493"/>
      <c r="HH54" s="493">
        <v>2</v>
      </c>
      <c r="HI54" s="493">
        <v>4</v>
      </c>
      <c r="HJ54" s="199"/>
      <c r="HK54" s="491"/>
      <c r="HL54" s="492">
        <v>1</v>
      </c>
      <c r="HM54" s="492"/>
      <c r="HN54" s="492"/>
      <c r="HO54" s="493"/>
      <c r="HP54" s="493"/>
      <c r="HQ54" s="493">
        <v>1</v>
      </c>
      <c r="HR54" s="493">
        <v>1</v>
      </c>
      <c r="HS54" s="199"/>
      <c r="HT54" s="491">
        <v>276</v>
      </c>
      <c r="HU54" s="492">
        <v>249</v>
      </c>
      <c r="HV54" s="492">
        <v>258</v>
      </c>
      <c r="HW54" s="492">
        <v>292</v>
      </c>
      <c r="HX54" s="493">
        <v>290</v>
      </c>
      <c r="HY54" s="493">
        <v>357</v>
      </c>
      <c r="HZ54" s="493">
        <v>279</v>
      </c>
      <c r="IA54" s="493">
        <v>303</v>
      </c>
      <c r="IB54" s="199"/>
      <c r="IC54" s="491">
        <v>1239</v>
      </c>
      <c r="ID54" s="492">
        <v>1093</v>
      </c>
      <c r="IE54" s="492">
        <v>1265</v>
      </c>
      <c r="IF54" s="492">
        <v>1467</v>
      </c>
      <c r="IG54" s="493">
        <v>1265</v>
      </c>
      <c r="IH54" s="493">
        <v>1392</v>
      </c>
      <c r="II54" s="493">
        <v>1047</v>
      </c>
      <c r="IJ54" s="493">
        <v>1092</v>
      </c>
      <c r="IK54" s="199"/>
      <c r="IL54" s="491">
        <v>126</v>
      </c>
      <c r="IM54" s="492">
        <v>89</v>
      </c>
      <c r="IN54" s="492">
        <v>118</v>
      </c>
      <c r="IO54" s="492">
        <v>92</v>
      </c>
      <c r="IP54" s="493">
        <v>122</v>
      </c>
      <c r="IQ54" s="493">
        <v>132</v>
      </c>
      <c r="IR54" s="493">
        <v>121</v>
      </c>
      <c r="IS54" s="493">
        <v>78</v>
      </c>
      <c r="IT54" s="199"/>
      <c r="IU54" s="533">
        <v>2607.2683655646979</v>
      </c>
      <c r="IV54" s="534">
        <v>2320.8408535937997</v>
      </c>
      <c r="IW54" s="534">
        <v>2701.7214130109778</v>
      </c>
      <c r="IX54" s="534">
        <v>3098.9247766112508</v>
      </c>
      <c r="IY54" s="535">
        <v>2703.1069703833496</v>
      </c>
      <c r="IZ54" s="535">
        <v>3003.7458632801831</v>
      </c>
      <c r="JA54" s="535">
        <v>2331.2774153325463</v>
      </c>
      <c r="JB54" s="535">
        <v>2461.8991793669402</v>
      </c>
      <c r="JC54" s="536"/>
      <c r="JD54" s="537">
        <v>580.79585867300773</v>
      </c>
      <c r="JE54" s="538">
        <v>528.7185476165198</v>
      </c>
      <c r="JF54" s="538">
        <v>551.02302336508478</v>
      </c>
      <c r="JG54" s="538">
        <v>616.82756289739962</v>
      </c>
      <c r="JH54" s="538">
        <v>619.68460190606436</v>
      </c>
      <c r="JI54" s="539">
        <v>770.68611531070269</v>
      </c>
      <c r="JJ54" s="539">
        <v>621.22865222328608</v>
      </c>
      <c r="JK54" s="539">
        <v>683.10938768148617</v>
      </c>
      <c r="JL54" s="536"/>
      <c r="JM54" s="537">
        <v>1470.9286420740304</v>
      </c>
      <c r="JN54" s="538">
        <v>1418.4095976218282</v>
      </c>
      <c r="JO54" s="538">
        <v>1783.3497074025029</v>
      </c>
      <c r="JP54" s="538">
        <v>2044.8256194680919</v>
      </c>
      <c r="JQ54" s="538">
        <v>1861.1906491730415</v>
      </c>
      <c r="JR54" s="539">
        <v>1459.2134070446118</v>
      </c>
      <c r="JS54" s="539">
        <v>1409.454253968961</v>
      </c>
      <c r="JT54" s="539">
        <v>1496.9789881864913</v>
      </c>
      <c r="JU54" s="536"/>
      <c r="JV54" s="537">
        <v>378.77990783022244</v>
      </c>
      <c r="JW54" s="538">
        <v>326.99861981102026</v>
      </c>
      <c r="JX54" s="538">
        <v>450.64286019392597</v>
      </c>
      <c r="JY54" s="538">
        <v>439.38401740636687</v>
      </c>
      <c r="JZ54" s="538">
        <v>438.052908243942</v>
      </c>
      <c r="KA54" s="539">
        <v>473.83294363149525</v>
      </c>
      <c r="KB54" s="539">
        <v>360.71341096835965</v>
      </c>
      <c r="KC54" s="539">
        <v>383.26269275858959</v>
      </c>
      <c r="KD54" s="536"/>
    </row>
    <row r="55" spans="1:290" ht="15" customHeight="1" x14ac:dyDescent="0.2">
      <c r="A55" s="930"/>
      <c r="B55" s="490" t="s">
        <v>673</v>
      </c>
      <c r="C55" s="491"/>
      <c r="D55" s="492">
        <v>3</v>
      </c>
      <c r="E55" s="492">
        <v>2</v>
      </c>
      <c r="F55" s="492"/>
      <c r="G55" s="493"/>
      <c r="H55" s="493">
        <v>1</v>
      </c>
      <c r="I55" s="493">
        <v>1</v>
      </c>
      <c r="J55" s="493">
        <v>1</v>
      </c>
      <c r="K55" s="199"/>
      <c r="L55" s="491"/>
      <c r="M55" s="492">
        <v>2</v>
      </c>
      <c r="N55" s="492">
        <v>2</v>
      </c>
      <c r="O55" s="492"/>
      <c r="P55" s="493"/>
      <c r="Q55" s="493">
        <v>1</v>
      </c>
      <c r="R55" s="493">
        <v>1</v>
      </c>
      <c r="S55" s="493">
        <v>1</v>
      </c>
      <c r="T55" s="199"/>
      <c r="U55" s="491"/>
      <c r="V55" s="492">
        <v>1</v>
      </c>
      <c r="W55" s="492"/>
      <c r="X55" s="492"/>
      <c r="Y55" s="493"/>
      <c r="Z55" s="493"/>
      <c r="AA55" s="493"/>
      <c r="AB55" s="493"/>
      <c r="AC55" s="199"/>
      <c r="AD55" s="491">
        <v>84</v>
      </c>
      <c r="AE55" s="492">
        <v>83</v>
      </c>
      <c r="AF55" s="492">
        <v>62</v>
      </c>
      <c r="AG55" s="492">
        <v>73</v>
      </c>
      <c r="AH55" s="493">
        <v>63</v>
      </c>
      <c r="AI55" s="493">
        <v>64</v>
      </c>
      <c r="AJ55" s="493">
        <v>78</v>
      </c>
      <c r="AK55" s="493">
        <v>41</v>
      </c>
      <c r="AL55" s="199"/>
      <c r="AM55" s="491">
        <v>33</v>
      </c>
      <c r="AN55" s="492">
        <v>29</v>
      </c>
      <c r="AO55" s="492">
        <v>30</v>
      </c>
      <c r="AP55" s="492">
        <v>35</v>
      </c>
      <c r="AQ55" s="493">
        <v>25</v>
      </c>
      <c r="AR55" s="493">
        <v>24</v>
      </c>
      <c r="AS55" s="493">
        <v>31</v>
      </c>
      <c r="AT55" s="493">
        <v>19</v>
      </c>
      <c r="AU55" s="199"/>
      <c r="AV55" s="491"/>
      <c r="AW55" s="492">
        <v>1</v>
      </c>
      <c r="AX55" s="492"/>
      <c r="AY55" s="492"/>
      <c r="AZ55" s="493"/>
      <c r="BA55" s="493"/>
      <c r="BB55" s="493">
        <v>1</v>
      </c>
      <c r="BC55" s="493"/>
      <c r="BD55" s="199"/>
      <c r="BE55" s="491">
        <v>11</v>
      </c>
      <c r="BF55" s="492">
        <v>7</v>
      </c>
      <c r="BG55" s="492">
        <v>12</v>
      </c>
      <c r="BH55" s="492">
        <v>20</v>
      </c>
      <c r="BI55" s="493">
        <v>19</v>
      </c>
      <c r="BJ55" s="493">
        <v>10</v>
      </c>
      <c r="BK55" s="493">
        <v>3</v>
      </c>
      <c r="BL55" s="493">
        <v>8</v>
      </c>
      <c r="BM55" s="199"/>
      <c r="BN55" s="491"/>
      <c r="BO55" s="492"/>
      <c r="BP55" s="492"/>
      <c r="BQ55" s="492"/>
      <c r="BR55" s="493"/>
      <c r="BS55" s="493">
        <v>1</v>
      </c>
      <c r="BT55" s="493"/>
      <c r="BU55" s="493"/>
      <c r="BV55" s="199"/>
      <c r="BW55" s="491">
        <v>73</v>
      </c>
      <c r="BX55" s="492">
        <v>96</v>
      </c>
      <c r="BY55" s="492">
        <v>90</v>
      </c>
      <c r="BZ55" s="492">
        <v>73</v>
      </c>
      <c r="CA55" s="493">
        <v>76</v>
      </c>
      <c r="CB55" s="493">
        <v>104</v>
      </c>
      <c r="CC55" s="493">
        <v>76</v>
      </c>
      <c r="CD55" s="493">
        <v>47</v>
      </c>
      <c r="CE55" s="199"/>
      <c r="CF55" s="491">
        <v>8</v>
      </c>
      <c r="CG55" s="492">
        <v>3</v>
      </c>
      <c r="CH55" s="492">
        <v>8</v>
      </c>
      <c r="CI55" s="492">
        <v>2</v>
      </c>
      <c r="CJ55" s="493">
        <v>2</v>
      </c>
      <c r="CK55" s="493">
        <v>3</v>
      </c>
      <c r="CL55" s="493">
        <v>2</v>
      </c>
      <c r="CM55" s="493"/>
      <c r="CN55" s="199"/>
      <c r="CO55" s="491">
        <v>3</v>
      </c>
      <c r="CP55" s="492">
        <v>3</v>
      </c>
      <c r="CQ55" s="492">
        <v>3</v>
      </c>
      <c r="CR55" s="492"/>
      <c r="CS55" s="493">
        <v>1</v>
      </c>
      <c r="CT55" s="493">
        <v>1</v>
      </c>
      <c r="CU55" s="493">
        <v>2</v>
      </c>
      <c r="CV55" s="493">
        <v>2</v>
      </c>
      <c r="CW55" s="199"/>
      <c r="CX55" s="491">
        <v>808</v>
      </c>
      <c r="CY55" s="492">
        <v>631</v>
      </c>
      <c r="CZ55" s="492">
        <v>736</v>
      </c>
      <c r="DA55" s="492">
        <v>676</v>
      </c>
      <c r="DB55" s="493">
        <v>469</v>
      </c>
      <c r="DC55" s="493">
        <v>370</v>
      </c>
      <c r="DD55" s="493">
        <v>342</v>
      </c>
      <c r="DE55" s="493">
        <v>357</v>
      </c>
      <c r="DF55" s="199"/>
      <c r="DG55" s="491">
        <v>2</v>
      </c>
      <c r="DH55" s="492">
        <v>3</v>
      </c>
      <c r="DI55" s="492">
        <v>1</v>
      </c>
      <c r="DJ55" s="492">
        <v>4</v>
      </c>
      <c r="DK55" s="493">
        <v>2</v>
      </c>
      <c r="DL55" s="493"/>
      <c r="DM55" s="493"/>
      <c r="DN55" s="493"/>
      <c r="DO55" s="199"/>
      <c r="DP55" s="491">
        <v>21</v>
      </c>
      <c r="DQ55" s="492">
        <v>5</v>
      </c>
      <c r="DR55" s="492">
        <v>14</v>
      </c>
      <c r="DS55" s="492">
        <v>15</v>
      </c>
      <c r="DT55" s="493">
        <v>4</v>
      </c>
      <c r="DU55" s="493">
        <v>8</v>
      </c>
      <c r="DV55" s="493">
        <v>5</v>
      </c>
      <c r="DW55" s="493">
        <v>5</v>
      </c>
      <c r="DX55" s="199"/>
      <c r="DY55" s="491">
        <v>188</v>
      </c>
      <c r="DZ55" s="492">
        <v>94</v>
      </c>
      <c r="EA55" s="492">
        <v>130</v>
      </c>
      <c r="EB55" s="492">
        <v>117</v>
      </c>
      <c r="EC55" s="493">
        <v>98</v>
      </c>
      <c r="ED55" s="493">
        <v>103</v>
      </c>
      <c r="EE55" s="493">
        <v>96</v>
      </c>
      <c r="EF55" s="493">
        <v>68</v>
      </c>
      <c r="EG55" s="199"/>
      <c r="EH55" s="491">
        <v>11</v>
      </c>
      <c r="EI55" s="492">
        <v>6</v>
      </c>
      <c r="EJ55" s="492">
        <v>17</v>
      </c>
      <c r="EK55" s="492">
        <v>11</v>
      </c>
      <c r="EL55" s="493">
        <v>2</v>
      </c>
      <c r="EM55" s="493">
        <v>6</v>
      </c>
      <c r="EN55" s="493">
        <v>4</v>
      </c>
      <c r="EO55" s="493">
        <v>2</v>
      </c>
      <c r="EP55" s="199"/>
      <c r="EQ55" s="491">
        <v>3</v>
      </c>
      <c r="ER55" s="492">
        <v>2</v>
      </c>
      <c r="ES55" s="492">
        <v>4</v>
      </c>
      <c r="ET55" s="492">
        <v>2</v>
      </c>
      <c r="EU55" s="493">
        <v>1</v>
      </c>
      <c r="EV55" s="493">
        <v>4</v>
      </c>
      <c r="EW55" s="493">
        <v>3</v>
      </c>
      <c r="EX55" s="493">
        <v>3</v>
      </c>
      <c r="EY55" s="199"/>
      <c r="EZ55" s="491">
        <v>8</v>
      </c>
      <c r="FA55" s="492">
        <v>2</v>
      </c>
      <c r="FB55" s="492">
        <v>5</v>
      </c>
      <c r="FC55" s="492">
        <v>2</v>
      </c>
      <c r="FD55" s="493">
        <v>3</v>
      </c>
      <c r="FE55" s="493">
        <v>1</v>
      </c>
      <c r="FF55" s="493">
        <v>2</v>
      </c>
      <c r="FG55" s="493">
        <v>1</v>
      </c>
      <c r="FH55" s="199"/>
      <c r="FI55" s="491">
        <v>47</v>
      </c>
      <c r="FJ55" s="492">
        <v>43</v>
      </c>
      <c r="FK55" s="492">
        <v>26</v>
      </c>
      <c r="FL55" s="492">
        <v>15</v>
      </c>
      <c r="FM55" s="493">
        <v>23</v>
      </c>
      <c r="FN55" s="493">
        <v>7</v>
      </c>
      <c r="FO55" s="493">
        <v>10</v>
      </c>
      <c r="FP55" s="493">
        <v>13</v>
      </c>
      <c r="FQ55" s="199"/>
      <c r="FR55" s="491">
        <v>1</v>
      </c>
      <c r="FS55" s="492">
        <v>3</v>
      </c>
      <c r="FT55" s="492">
        <v>7</v>
      </c>
      <c r="FU55" s="492">
        <v>1</v>
      </c>
      <c r="FV55" s="493">
        <v>2</v>
      </c>
      <c r="FW55" s="493"/>
      <c r="FX55" s="493">
        <v>1</v>
      </c>
      <c r="FY55" s="493">
        <v>2</v>
      </c>
      <c r="FZ55" s="199"/>
      <c r="GA55" s="491">
        <v>4</v>
      </c>
      <c r="GB55" s="492">
        <v>2</v>
      </c>
      <c r="GC55" s="492">
        <v>3</v>
      </c>
      <c r="GD55" s="492">
        <v>4</v>
      </c>
      <c r="GE55" s="493">
        <v>2</v>
      </c>
      <c r="GF55" s="493">
        <v>1</v>
      </c>
      <c r="GG55" s="493">
        <v>6</v>
      </c>
      <c r="GH55" s="493">
        <v>1</v>
      </c>
      <c r="GI55" s="199"/>
      <c r="GJ55" s="491">
        <v>1061</v>
      </c>
      <c r="GK55" s="492">
        <v>884</v>
      </c>
      <c r="GL55" s="492">
        <v>975</v>
      </c>
      <c r="GM55" s="492">
        <v>879</v>
      </c>
      <c r="GN55" s="493">
        <v>663</v>
      </c>
      <c r="GO55" s="493">
        <v>573</v>
      </c>
      <c r="GP55" s="493">
        <v>530</v>
      </c>
      <c r="GQ55" s="493">
        <v>478</v>
      </c>
      <c r="GR55" s="199"/>
      <c r="GS55" s="491">
        <v>279</v>
      </c>
      <c r="GT55" s="492">
        <v>272</v>
      </c>
      <c r="GU55" s="492">
        <v>243</v>
      </c>
      <c r="GV55" s="492">
        <v>252</v>
      </c>
      <c r="GW55" s="493">
        <v>94</v>
      </c>
      <c r="GX55" s="493">
        <v>135</v>
      </c>
      <c r="GY55" s="493">
        <v>121</v>
      </c>
      <c r="GZ55" s="493">
        <v>81</v>
      </c>
      <c r="HA55" s="199"/>
      <c r="HB55" s="491"/>
      <c r="HC55" s="492">
        <v>3</v>
      </c>
      <c r="HD55" s="492"/>
      <c r="HE55" s="492"/>
      <c r="HF55" s="493">
        <v>2</v>
      </c>
      <c r="HG55" s="493">
        <v>2</v>
      </c>
      <c r="HH55" s="493">
        <v>1</v>
      </c>
      <c r="HI55" s="493"/>
      <c r="HJ55" s="199"/>
      <c r="HK55" s="491">
        <v>3</v>
      </c>
      <c r="HL55" s="492">
        <v>3</v>
      </c>
      <c r="HM55" s="492"/>
      <c r="HN55" s="492"/>
      <c r="HO55" s="493">
        <v>1</v>
      </c>
      <c r="HP55" s="493">
        <v>1</v>
      </c>
      <c r="HQ55" s="493"/>
      <c r="HR55" s="493">
        <v>1</v>
      </c>
      <c r="HS55" s="199"/>
      <c r="HT55" s="491">
        <v>359</v>
      </c>
      <c r="HU55" s="492">
        <v>377</v>
      </c>
      <c r="HV55" s="492">
        <v>312</v>
      </c>
      <c r="HW55" s="492">
        <v>330</v>
      </c>
      <c r="HX55" s="493">
        <v>209</v>
      </c>
      <c r="HY55" s="493">
        <v>243</v>
      </c>
      <c r="HZ55" s="493">
        <v>234</v>
      </c>
      <c r="IA55" s="493">
        <v>192</v>
      </c>
      <c r="IB55" s="199"/>
      <c r="IC55" s="491">
        <v>1706</v>
      </c>
      <c r="ID55" s="492">
        <v>1589</v>
      </c>
      <c r="IE55" s="492">
        <v>3266</v>
      </c>
      <c r="IF55" s="492">
        <v>1253</v>
      </c>
      <c r="IG55" s="493">
        <v>1080</v>
      </c>
      <c r="IH55" s="493">
        <v>3171</v>
      </c>
      <c r="II55" s="493">
        <v>921</v>
      </c>
      <c r="IJ55" s="493">
        <v>762</v>
      </c>
      <c r="IK55" s="199"/>
      <c r="IL55" s="491">
        <v>260</v>
      </c>
      <c r="IM55" s="492">
        <v>130</v>
      </c>
      <c r="IN55" s="492">
        <v>228</v>
      </c>
      <c r="IO55" s="492">
        <v>129</v>
      </c>
      <c r="IP55" s="493">
        <v>79</v>
      </c>
      <c r="IQ55" s="493">
        <v>122</v>
      </c>
      <c r="IR55" s="493">
        <v>117</v>
      </c>
      <c r="IS55" s="493">
        <v>80</v>
      </c>
      <c r="IT55" s="199"/>
      <c r="IU55" s="533">
        <v>3972.0605355064026</v>
      </c>
      <c r="IV55" s="534">
        <v>3756.1459909228442</v>
      </c>
      <c r="IW55" s="534">
        <v>7800.8933049896104</v>
      </c>
      <c r="IX55" s="534">
        <v>2952.2642665284388</v>
      </c>
      <c r="IY55" s="535">
        <v>2564.3460917466045</v>
      </c>
      <c r="IZ55" s="535">
        <v>7640.5956339453533</v>
      </c>
      <c r="JA55" s="535">
        <v>2241.5849295397575</v>
      </c>
      <c r="JB55" s="535">
        <v>1875.8308305844123</v>
      </c>
      <c r="JC55" s="536"/>
      <c r="JD55" s="537">
        <v>835.85564610011636</v>
      </c>
      <c r="JE55" s="538">
        <v>891.16868381240545</v>
      </c>
      <c r="JF55" s="538">
        <v>745.21699667996268</v>
      </c>
      <c r="JG55" s="538">
        <v>777.53169030677157</v>
      </c>
      <c r="JH55" s="538">
        <v>496.24845664355587</v>
      </c>
      <c r="JI55" s="539">
        <v>585.51395113488502</v>
      </c>
      <c r="JJ55" s="539">
        <v>569.52320685374934</v>
      </c>
      <c r="JK55" s="539">
        <v>472.6502880212692</v>
      </c>
      <c r="JL55" s="536"/>
      <c r="JM55" s="537">
        <v>2470.3143189755533</v>
      </c>
      <c r="JN55" s="538">
        <v>2089.6369137670195</v>
      </c>
      <c r="JO55" s="538">
        <v>2328.8031146248836</v>
      </c>
      <c r="JP55" s="538">
        <v>2071.0616841807641</v>
      </c>
      <c r="JQ55" s="538">
        <v>1574.2235729888878</v>
      </c>
      <c r="JR55" s="539">
        <v>1380.6563539106551</v>
      </c>
      <c r="JS55" s="539">
        <v>1289.9457249251589</v>
      </c>
      <c r="JT55" s="539">
        <v>1176.7022795529515</v>
      </c>
      <c r="JU55" s="536"/>
      <c r="JV55" s="537">
        <v>649.59254947613499</v>
      </c>
      <c r="JW55" s="538">
        <v>642.96520423600612</v>
      </c>
      <c r="JX55" s="538">
        <v>580.40939164497104</v>
      </c>
      <c r="JY55" s="538">
        <v>593.75147259789833</v>
      </c>
      <c r="JZ55" s="538">
        <v>223.1930857631304</v>
      </c>
      <c r="KA55" s="539">
        <v>325.2855284082695</v>
      </c>
      <c r="KB55" s="539">
        <v>294.49704286027207</v>
      </c>
      <c r="KC55" s="539">
        <v>199.39934025897296</v>
      </c>
      <c r="KD55" s="536"/>
    </row>
    <row r="56" spans="1:290" ht="15" customHeight="1" x14ac:dyDescent="0.2">
      <c r="A56" s="930"/>
      <c r="B56" s="490" t="s">
        <v>674</v>
      </c>
      <c r="C56" s="491">
        <v>5</v>
      </c>
      <c r="D56" s="492">
        <v>4</v>
      </c>
      <c r="E56" s="492">
        <v>1</v>
      </c>
      <c r="F56" s="492">
        <v>1</v>
      </c>
      <c r="G56" s="493">
        <v>5</v>
      </c>
      <c r="H56" s="493">
        <v>3</v>
      </c>
      <c r="I56" s="493">
        <v>5</v>
      </c>
      <c r="J56" s="493">
        <v>2</v>
      </c>
      <c r="K56" s="199"/>
      <c r="L56" s="491">
        <v>2</v>
      </c>
      <c r="M56" s="492">
        <v>2</v>
      </c>
      <c r="N56" s="492"/>
      <c r="O56" s="492"/>
      <c r="P56" s="493">
        <v>2</v>
      </c>
      <c r="Q56" s="493">
        <v>3</v>
      </c>
      <c r="R56" s="493">
        <v>3</v>
      </c>
      <c r="S56" s="493">
        <v>2</v>
      </c>
      <c r="T56" s="199"/>
      <c r="U56" s="491">
        <v>3</v>
      </c>
      <c r="V56" s="492">
        <v>2</v>
      </c>
      <c r="W56" s="492">
        <v>1</v>
      </c>
      <c r="X56" s="492">
        <v>1</v>
      </c>
      <c r="Y56" s="493">
        <v>3</v>
      </c>
      <c r="Z56" s="493"/>
      <c r="AA56" s="493">
        <v>2</v>
      </c>
      <c r="AB56" s="493"/>
      <c r="AC56" s="199"/>
      <c r="AD56" s="491">
        <v>142</v>
      </c>
      <c r="AE56" s="492">
        <v>136</v>
      </c>
      <c r="AF56" s="492">
        <v>116</v>
      </c>
      <c r="AG56" s="492">
        <v>129</v>
      </c>
      <c r="AH56" s="493">
        <v>141</v>
      </c>
      <c r="AI56" s="493">
        <v>106</v>
      </c>
      <c r="AJ56" s="493">
        <v>113</v>
      </c>
      <c r="AK56" s="493">
        <v>103</v>
      </c>
      <c r="AL56" s="199"/>
      <c r="AM56" s="491">
        <v>50</v>
      </c>
      <c r="AN56" s="492">
        <v>49</v>
      </c>
      <c r="AO56" s="492">
        <v>35</v>
      </c>
      <c r="AP56" s="492">
        <v>42</v>
      </c>
      <c r="AQ56" s="493">
        <v>41</v>
      </c>
      <c r="AR56" s="493">
        <v>28</v>
      </c>
      <c r="AS56" s="493">
        <v>39</v>
      </c>
      <c r="AT56" s="493">
        <v>47</v>
      </c>
      <c r="AU56" s="199"/>
      <c r="AV56" s="491"/>
      <c r="AW56" s="492">
        <v>1</v>
      </c>
      <c r="AX56" s="492"/>
      <c r="AY56" s="492"/>
      <c r="AZ56" s="493"/>
      <c r="BA56" s="493">
        <v>1</v>
      </c>
      <c r="BB56" s="493"/>
      <c r="BC56" s="493"/>
      <c r="BD56" s="199"/>
      <c r="BE56" s="491">
        <v>29</v>
      </c>
      <c r="BF56" s="492">
        <v>20</v>
      </c>
      <c r="BG56" s="492">
        <v>10</v>
      </c>
      <c r="BH56" s="492">
        <v>36</v>
      </c>
      <c r="BI56" s="493">
        <v>15</v>
      </c>
      <c r="BJ56" s="493">
        <v>16</v>
      </c>
      <c r="BK56" s="493">
        <v>28</v>
      </c>
      <c r="BL56" s="493">
        <v>21</v>
      </c>
      <c r="BM56" s="199"/>
      <c r="BN56" s="491"/>
      <c r="BO56" s="492"/>
      <c r="BP56" s="492"/>
      <c r="BQ56" s="492"/>
      <c r="BR56" s="493"/>
      <c r="BS56" s="493"/>
      <c r="BT56" s="493"/>
      <c r="BU56" s="493"/>
      <c r="BV56" s="199"/>
      <c r="BW56" s="491">
        <v>171</v>
      </c>
      <c r="BX56" s="492">
        <v>204</v>
      </c>
      <c r="BY56" s="492">
        <v>196</v>
      </c>
      <c r="BZ56" s="492">
        <v>264</v>
      </c>
      <c r="CA56" s="493">
        <v>226</v>
      </c>
      <c r="CB56" s="493">
        <v>227</v>
      </c>
      <c r="CC56" s="493">
        <v>172</v>
      </c>
      <c r="CD56" s="493">
        <v>174</v>
      </c>
      <c r="CE56" s="199"/>
      <c r="CF56" s="491">
        <v>8</v>
      </c>
      <c r="CG56" s="492">
        <v>10</v>
      </c>
      <c r="CH56" s="492">
        <v>13</v>
      </c>
      <c r="CI56" s="492">
        <v>9</v>
      </c>
      <c r="CJ56" s="493">
        <v>13</v>
      </c>
      <c r="CK56" s="493">
        <v>6</v>
      </c>
      <c r="CL56" s="493">
        <v>2</v>
      </c>
      <c r="CM56" s="493">
        <v>7</v>
      </c>
      <c r="CN56" s="199"/>
      <c r="CO56" s="491">
        <v>2</v>
      </c>
      <c r="CP56" s="492">
        <v>8</v>
      </c>
      <c r="CQ56" s="492">
        <v>2</v>
      </c>
      <c r="CR56" s="492">
        <v>9</v>
      </c>
      <c r="CS56" s="493">
        <v>6</v>
      </c>
      <c r="CT56" s="493">
        <v>10</v>
      </c>
      <c r="CU56" s="493">
        <v>7</v>
      </c>
      <c r="CV56" s="493">
        <v>7</v>
      </c>
      <c r="CW56" s="199"/>
      <c r="CX56" s="491">
        <v>1129</v>
      </c>
      <c r="CY56" s="492">
        <v>1091</v>
      </c>
      <c r="CZ56" s="492">
        <v>1310</v>
      </c>
      <c r="DA56" s="492">
        <v>1138</v>
      </c>
      <c r="DB56" s="493">
        <v>1043</v>
      </c>
      <c r="DC56" s="493">
        <v>793</v>
      </c>
      <c r="DD56" s="493">
        <v>784</v>
      </c>
      <c r="DE56" s="493">
        <v>853</v>
      </c>
      <c r="DF56" s="199"/>
      <c r="DG56" s="491">
        <v>2</v>
      </c>
      <c r="DH56" s="492">
        <v>4</v>
      </c>
      <c r="DI56" s="492">
        <v>1</v>
      </c>
      <c r="DJ56" s="492">
        <v>3</v>
      </c>
      <c r="DK56" s="493">
        <v>2</v>
      </c>
      <c r="DL56" s="493">
        <v>1</v>
      </c>
      <c r="DM56" s="493">
        <v>9</v>
      </c>
      <c r="DN56" s="493">
        <v>1</v>
      </c>
      <c r="DO56" s="199"/>
      <c r="DP56" s="491">
        <v>15</v>
      </c>
      <c r="DQ56" s="492">
        <v>7</v>
      </c>
      <c r="DR56" s="492">
        <v>6</v>
      </c>
      <c r="DS56" s="492">
        <v>7</v>
      </c>
      <c r="DT56" s="493">
        <v>2</v>
      </c>
      <c r="DU56" s="493">
        <v>1</v>
      </c>
      <c r="DV56" s="493">
        <v>10</v>
      </c>
      <c r="DW56" s="493">
        <v>9</v>
      </c>
      <c r="DX56" s="199"/>
      <c r="DY56" s="491">
        <v>84</v>
      </c>
      <c r="DZ56" s="492">
        <v>100</v>
      </c>
      <c r="EA56" s="492">
        <v>174</v>
      </c>
      <c r="EB56" s="492">
        <v>178</v>
      </c>
      <c r="EC56" s="493">
        <v>199</v>
      </c>
      <c r="ED56" s="493">
        <v>154</v>
      </c>
      <c r="EE56" s="493">
        <v>214</v>
      </c>
      <c r="EF56" s="493">
        <v>176</v>
      </c>
      <c r="EG56" s="199"/>
      <c r="EH56" s="491">
        <v>36</v>
      </c>
      <c r="EI56" s="492">
        <v>26</v>
      </c>
      <c r="EJ56" s="492">
        <v>33</v>
      </c>
      <c r="EK56" s="492">
        <v>31</v>
      </c>
      <c r="EL56" s="493">
        <v>23</v>
      </c>
      <c r="EM56" s="493">
        <v>15</v>
      </c>
      <c r="EN56" s="493">
        <v>16</v>
      </c>
      <c r="EO56" s="493">
        <v>24</v>
      </c>
      <c r="EP56" s="199"/>
      <c r="EQ56" s="491">
        <v>1</v>
      </c>
      <c r="ER56" s="492">
        <v>1</v>
      </c>
      <c r="ES56" s="492">
        <v>2</v>
      </c>
      <c r="ET56" s="492">
        <v>3</v>
      </c>
      <c r="EU56" s="493">
        <v>8</v>
      </c>
      <c r="EV56" s="493">
        <v>4</v>
      </c>
      <c r="EW56" s="493">
        <v>4</v>
      </c>
      <c r="EX56" s="493">
        <v>13</v>
      </c>
      <c r="EY56" s="199"/>
      <c r="EZ56" s="491">
        <v>6</v>
      </c>
      <c r="FA56" s="492">
        <v>14</v>
      </c>
      <c r="FB56" s="492">
        <v>60</v>
      </c>
      <c r="FC56" s="492">
        <v>50</v>
      </c>
      <c r="FD56" s="493">
        <v>34</v>
      </c>
      <c r="FE56" s="493">
        <v>14</v>
      </c>
      <c r="FF56" s="493">
        <v>42</v>
      </c>
      <c r="FG56" s="493">
        <v>11</v>
      </c>
      <c r="FH56" s="199"/>
      <c r="FI56" s="491">
        <v>72</v>
      </c>
      <c r="FJ56" s="492">
        <v>71</v>
      </c>
      <c r="FK56" s="492">
        <v>64</v>
      </c>
      <c r="FL56" s="492">
        <v>37</v>
      </c>
      <c r="FM56" s="493">
        <v>25</v>
      </c>
      <c r="FN56" s="493">
        <v>27</v>
      </c>
      <c r="FO56" s="493">
        <v>35</v>
      </c>
      <c r="FP56" s="493">
        <v>27</v>
      </c>
      <c r="FQ56" s="199"/>
      <c r="FR56" s="491">
        <v>9</v>
      </c>
      <c r="FS56" s="492">
        <v>1</v>
      </c>
      <c r="FT56" s="492">
        <v>3</v>
      </c>
      <c r="FU56" s="492">
        <v>4</v>
      </c>
      <c r="FV56" s="493">
        <v>5</v>
      </c>
      <c r="FW56" s="493">
        <v>2</v>
      </c>
      <c r="FX56" s="493">
        <v>2</v>
      </c>
      <c r="FY56" s="493">
        <v>3</v>
      </c>
      <c r="FZ56" s="199"/>
      <c r="GA56" s="491">
        <v>1</v>
      </c>
      <c r="GB56" s="492">
        <v>1</v>
      </c>
      <c r="GC56" s="492">
        <v>1</v>
      </c>
      <c r="GD56" s="492">
        <v>1</v>
      </c>
      <c r="GE56" s="493">
        <v>1</v>
      </c>
      <c r="GF56" s="493">
        <v>10</v>
      </c>
      <c r="GG56" s="493">
        <v>7</v>
      </c>
      <c r="GH56" s="493">
        <v>7</v>
      </c>
      <c r="GI56" s="199"/>
      <c r="GJ56" s="491">
        <v>1611</v>
      </c>
      <c r="GK56" s="492">
        <v>1587</v>
      </c>
      <c r="GL56" s="492">
        <v>1811</v>
      </c>
      <c r="GM56" s="492">
        <v>1712</v>
      </c>
      <c r="GN56" s="493">
        <v>1545</v>
      </c>
      <c r="GO56" s="493">
        <v>1233</v>
      </c>
      <c r="GP56" s="493">
        <v>1217</v>
      </c>
      <c r="GQ56" s="493">
        <v>1252</v>
      </c>
      <c r="GR56" s="199"/>
      <c r="GS56" s="491">
        <v>493</v>
      </c>
      <c r="GT56" s="492">
        <v>474</v>
      </c>
      <c r="GU56" s="492">
        <v>480</v>
      </c>
      <c r="GV56" s="492">
        <v>461</v>
      </c>
      <c r="GW56" s="493">
        <v>271</v>
      </c>
      <c r="GX56" s="493">
        <v>251</v>
      </c>
      <c r="GY56" s="493">
        <v>235</v>
      </c>
      <c r="GZ56" s="493">
        <v>246</v>
      </c>
      <c r="HA56" s="199"/>
      <c r="HB56" s="491">
        <v>2</v>
      </c>
      <c r="HC56" s="492">
        <v>3</v>
      </c>
      <c r="HD56" s="492">
        <v>4</v>
      </c>
      <c r="HE56" s="492">
        <v>12</v>
      </c>
      <c r="HF56" s="493">
        <v>3</v>
      </c>
      <c r="HG56" s="493">
        <v>2</v>
      </c>
      <c r="HH56" s="493">
        <v>1</v>
      </c>
      <c r="HI56" s="493">
        <v>4</v>
      </c>
      <c r="HJ56" s="199"/>
      <c r="HK56" s="491">
        <v>1</v>
      </c>
      <c r="HL56" s="492"/>
      <c r="HM56" s="492"/>
      <c r="HN56" s="492">
        <v>4</v>
      </c>
      <c r="HO56" s="493">
        <v>1</v>
      </c>
      <c r="HP56" s="493"/>
      <c r="HQ56" s="493">
        <v>3</v>
      </c>
      <c r="HR56" s="493">
        <v>1</v>
      </c>
      <c r="HS56" s="199"/>
      <c r="HT56" s="491">
        <v>644</v>
      </c>
      <c r="HU56" s="492">
        <v>611</v>
      </c>
      <c r="HV56" s="492">
        <v>593</v>
      </c>
      <c r="HW56" s="492">
        <v>598</v>
      </c>
      <c r="HX56" s="493">
        <v>421</v>
      </c>
      <c r="HY56" s="493">
        <v>378</v>
      </c>
      <c r="HZ56" s="493">
        <v>416</v>
      </c>
      <c r="IA56" s="493">
        <v>397</v>
      </c>
      <c r="IB56" s="199"/>
      <c r="IC56" s="491">
        <v>2432</v>
      </c>
      <c r="ID56" s="492">
        <v>2380</v>
      </c>
      <c r="IE56" s="492">
        <v>2631</v>
      </c>
      <c r="IF56" s="492">
        <v>2964</v>
      </c>
      <c r="IG56" s="493">
        <v>2316</v>
      </c>
      <c r="IH56" s="493">
        <v>2063</v>
      </c>
      <c r="II56" s="493">
        <v>1999</v>
      </c>
      <c r="IJ56" s="493">
        <v>2078</v>
      </c>
      <c r="IK56" s="199"/>
      <c r="IL56" s="491">
        <v>122</v>
      </c>
      <c r="IM56" s="492">
        <v>161</v>
      </c>
      <c r="IN56" s="492">
        <v>263</v>
      </c>
      <c r="IO56" s="492">
        <v>248</v>
      </c>
      <c r="IP56" s="493">
        <v>136</v>
      </c>
      <c r="IQ56" s="493">
        <v>186</v>
      </c>
      <c r="IR56" s="493">
        <v>279</v>
      </c>
      <c r="IS56" s="493">
        <v>246</v>
      </c>
      <c r="IT56" s="199"/>
      <c r="IU56" s="533">
        <v>3581.1049593591706</v>
      </c>
      <c r="IV56" s="534">
        <v>3563.514403785111</v>
      </c>
      <c r="IW56" s="534">
        <v>3994.5949228713716</v>
      </c>
      <c r="IX56" s="534">
        <v>4361.1965334078841</v>
      </c>
      <c r="IY56" s="535">
        <v>3445.8645162250232</v>
      </c>
      <c r="IZ56" s="535">
        <v>3006.7054878721974</v>
      </c>
      <c r="JA56" s="535">
        <v>2810.1102114260011</v>
      </c>
      <c r="JB56" s="535">
        <v>2960.8309704629328</v>
      </c>
      <c r="JC56" s="536"/>
      <c r="JD56" s="537">
        <v>948.28601719872779</v>
      </c>
      <c r="JE56" s="538">
        <v>914.83500029945503</v>
      </c>
      <c r="JF56" s="538">
        <v>900.34009474067784</v>
      </c>
      <c r="JG56" s="538">
        <v>879.89052867001158</v>
      </c>
      <c r="JH56" s="538">
        <v>626.3855618871911</v>
      </c>
      <c r="JI56" s="539">
        <v>547.75424776727141</v>
      </c>
      <c r="JJ56" s="539">
        <v>584.79532163742692</v>
      </c>
      <c r="JK56" s="539">
        <v>565.66404969864493</v>
      </c>
      <c r="JL56" s="536"/>
      <c r="JM56" s="537">
        <v>2372.1875368123456</v>
      </c>
      <c r="JN56" s="538">
        <v>2376.175360843265</v>
      </c>
      <c r="JO56" s="538">
        <v>2749.605247175999</v>
      </c>
      <c r="JP56" s="538">
        <v>2519.0177008077926</v>
      </c>
      <c r="JQ56" s="538">
        <v>2298.7308625076253</v>
      </c>
      <c r="JR56" s="539">
        <v>1802.2188483565092</v>
      </c>
      <c r="JS56" s="539">
        <v>1710.8074673864146</v>
      </c>
      <c r="JT56" s="539">
        <v>1783.907783936281</v>
      </c>
      <c r="JU56" s="536"/>
      <c r="JV56" s="537">
        <v>725.93945105430555</v>
      </c>
      <c r="JW56" s="538">
        <v>709.70833083787511</v>
      </c>
      <c r="JX56" s="538">
        <v>728.77444430948628</v>
      </c>
      <c r="JY56" s="538">
        <v>678.31025705163108</v>
      </c>
      <c r="JZ56" s="538">
        <v>403.20780824567407</v>
      </c>
      <c r="KA56" s="539">
        <v>364.1656033984757</v>
      </c>
      <c r="KB56" s="539">
        <v>330.35312640575796</v>
      </c>
      <c r="KC56" s="539">
        <v>350.51223230696894</v>
      </c>
      <c r="KD56" s="536"/>
    </row>
    <row r="57" spans="1:290" ht="15" customHeight="1" x14ac:dyDescent="0.2">
      <c r="A57" s="930"/>
      <c r="B57" s="490" t="s">
        <v>675</v>
      </c>
      <c r="C57" s="491"/>
      <c r="D57" s="492">
        <v>1</v>
      </c>
      <c r="E57" s="492"/>
      <c r="F57" s="492">
        <v>1</v>
      </c>
      <c r="G57" s="493">
        <v>2</v>
      </c>
      <c r="H57" s="493">
        <v>2</v>
      </c>
      <c r="I57" s="493"/>
      <c r="J57" s="493"/>
      <c r="K57" s="199"/>
      <c r="L57" s="491"/>
      <c r="M57" s="492">
        <v>1</v>
      </c>
      <c r="N57" s="492"/>
      <c r="O57" s="492">
        <v>1</v>
      </c>
      <c r="P57" s="493">
        <v>1</v>
      </c>
      <c r="Q57" s="493"/>
      <c r="R57" s="493"/>
      <c r="S57" s="493"/>
      <c r="T57" s="199"/>
      <c r="U57" s="491"/>
      <c r="V57" s="492"/>
      <c r="W57" s="492"/>
      <c r="X57" s="492"/>
      <c r="Y57" s="493">
        <v>1</v>
      </c>
      <c r="Z57" s="493">
        <v>2</v>
      </c>
      <c r="AA57" s="493"/>
      <c r="AB57" s="493"/>
      <c r="AC57" s="199"/>
      <c r="AD57" s="491">
        <v>51</v>
      </c>
      <c r="AE57" s="492">
        <v>89</v>
      </c>
      <c r="AF57" s="492">
        <v>83</v>
      </c>
      <c r="AG57" s="492">
        <v>59</v>
      </c>
      <c r="AH57" s="493">
        <v>74</v>
      </c>
      <c r="AI57" s="493">
        <v>36</v>
      </c>
      <c r="AJ57" s="493">
        <v>43</v>
      </c>
      <c r="AK57" s="493">
        <v>43</v>
      </c>
      <c r="AL57" s="199"/>
      <c r="AM57" s="491">
        <v>21</v>
      </c>
      <c r="AN57" s="492">
        <v>22</v>
      </c>
      <c r="AO57" s="492">
        <v>23</v>
      </c>
      <c r="AP57" s="492">
        <v>19</v>
      </c>
      <c r="AQ57" s="493">
        <v>26</v>
      </c>
      <c r="AR57" s="493">
        <v>17</v>
      </c>
      <c r="AS57" s="493">
        <v>12</v>
      </c>
      <c r="AT57" s="493">
        <v>16</v>
      </c>
      <c r="AU57" s="199"/>
      <c r="AV57" s="491"/>
      <c r="AW57" s="492"/>
      <c r="AX57" s="492"/>
      <c r="AY57" s="492"/>
      <c r="AZ57" s="493"/>
      <c r="BA57" s="493"/>
      <c r="BB57" s="493">
        <v>1</v>
      </c>
      <c r="BC57" s="493"/>
      <c r="BD57" s="199"/>
      <c r="BE57" s="491">
        <v>23</v>
      </c>
      <c r="BF57" s="492">
        <v>9</v>
      </c>
      <c r="BG57" s="492">
        <v>4</v>
      </c>
      <c r="BH57" s="492">
        <v>6</v>
      </c>
      <c r="BI57" s="493">
        <v>12</v>
      </c>
      <c r="BJ57" s="493">
        <v>12</v>
      </c>
      <c r="BK57" s="493">
        <v>8</v>
      </c>
      <c r="BL57" s="493">
        <v>1</v>
      </c>
      <c r="BM57" s="199"/>
      <c r="BN57" s="491"/>
      <c r="BO57" s="492"/>
      <c r="BP57" s="492"/>
      <c r="BQ57" s="492"/>
      <c r="BR57" s="493"/>
      <c r="BS57" s="493">
        <v>1</v>
      </c>
      <c r="BT57" s="493"/>
      <c r="BU57" s="493">
        <v>1</v>
      </c>
      <c r="BV57" s="199"/>
      <c r="BW57" s="491">
        <v>73</v>
      </c>
      <c r="BX57" s="492">
        <v>108</v>
      </c>
      <c r="BY57" s="492">
        <v>119</v>
      </c>
      <c r="BZ57" s="492">
        <v>99</v>
      </c>
      <c r="CA57" s="493">
        <v>140</v>
      </c>
      <c r="CB57" s="493">
        <v>85</v>
      </c>
      <c r="CC57" s="493">
        <v>99</v>
      </c>
      <c r="CD57" s="493">
        <v>72</v>
      </c>
      <c r="CE57" s="199"/>
      <c r="CF57" s="491">
        <v>7</v>
      </c>
      <c r="CG57" s="492">
        <v>3</v>
      </c>
      <c r="CH57" s="492"/>
      <c r="CI57" s="492">
        <v>1</v>
      </c>
      <c r="CJ57" s="493"/>
      <c r="CK57" s="493"/>
      <c r="CL57" s="493">
        <v>2</v>
      </c>
      <c r="CM57" s="493">
        <v>1</v>
      </c>
      <c r="CN57" s="199"/>
      <c r="CO57" s="491">
        <v>9</v>
      </c>
      <c r="CP57" s="492">
        <v>6</v>
      </c>
      <c r="CQ57" s="492"/>
      <c r="CR57" s="492"/>
      <c r="CS57" s="493"/>
      <c r="CT57" s="493"/>
      <c r="CU57" s="493"/>
      <c r="CV57" s="493">
        <v>1</v>
      </c>
      <c r="CW57" s="199"/>
      <c r="CX57" s="491">
        <v>447</v>
      </c>
      <c r="CY57" s="492">
        <v>446</v>
      </c>
      <c r="CZ57" s="492">
        <v>541</v>
      </c>
      <c r="DA57" s="492">
        <v>414</v>
      </c>
      <c r="DB57" s="493">
        <v>414</v>
      </c>
      <c r="DC57" s="493">
        <v>216</v>
      </c>
      <c r="DD57" s="493">
        <v>235</v>
      </c>
      <c r="DE57" s="493">
        <v>227</v>
      </c>
      <c r="DF57" s="199"/>
      <c r="DG57" s="491"/>
      <c r="DH57" s="492"/>
      <c r="DI57" s="492"/>
      <c r="DJ57" s="492"/>
      <c r="DK57" s="493"/>
      <c r="DL57" s="493"/>
      <c r="DM57" s="493"/>
      <c r="DN57" s="493"/>
      <c r="DO57" s="199"/>
      <c r="DP57" s="491">
        <v>4</v>
      </c>
      <c r="DQ57" s="492">
        <v>3</v>
      </c>
      <c r="DR57" s="492">
        <v>1</v>
      </c>
      <c r="DS57" s="492">
        <v>2</v>
      </c>
      <c r="DT57" s="493">
        <v>4</v>
      </c>
      <c r="DU57" s="493">
        <v>1</v>
      </c>
      <c r="DV57" s="493">
        <v>1</v>
      </c>
      <c r="DW57" s="493">
        <v>3</v>
      </c>
      <c r="DX57" s="199"/>
      <c r="DY57" s="491">
        <v>65</v>
      </c>
      <c r="DZ57" s="492">
        <v>58</v>
      </c>
      <c r="EA57" s="492">
        <v>72</v>
      </c>
      <c r="EB57" s="492">
        <v>57</v>
      </c>
      <c r="EC57" s="493">
        <v>90</v>
      </c>
      <c r="ED57" s="493">
        <v>45</v>
      </c>
      <c r="EE57" s="493">
        <v>53</v>
      </c>
      <c r="EF57" s="493">
        <v>27</v>
      </c>
      <c r="EG57" s="199"/>
      <c r="EH57" s="491">
        <v>4</v>
      </c>
      <c r="EI57" s="492">
        <v>6</v>
      </c>
      <c r="EJ57" s="492">
        <v>2</v>
      </c>
      <c r="EK57" s="492">
        <v>2</v>
      </c>
      <c r="EL57" s="493">
        <v>4</v>
      </c>
      <c r="EM57" s="493">
        <v>1</v>
      </c>
      <c r="EN57" s="493">
        <v>2</v>
      </c>
      <c r="EO57" s="493"/>
      <c r="EP57" s="199"/>
      <c r="EQ57" s="491"/>
      <c r="ER57" s="492">
        <v>3</v>
      </c>
      <c r="ES57" s="492">
        <v>1</v>
      </c>
      <c r="ET57" s="492"/>
      <c r="EU57" s="493"/>
      <c r="EV57" s="493">
        <v>1</v>
      </c>
      <c r="EW57" s="493"/>
      <c r="EX57" s="493">
        <v>5</v>
      </c>
      <c r="EY57" s="199"/>
      <c r="EZ57" s="491">
        <v>15</v>
      </c>
      <c r="FA57" s="492">
        <v>4</v>
      </c>
      <c r="FB57" s="492">
        <v>6</v>
      </c>
      <c r="FC57" s="492">
        <v>1</v>
      </c>
      <c r="FD57" s="493">
        <v>1</v>
      </c>
      <c r="FE57" s="493"/>
      <c r="FF57" s="493">
        <v>1</v>
      </c>
      <c r="FG57" s="493"/>
      <c r="FH57" s="199"/>
      <c r="FI57" s="491">
        <v>44</v>
      </c>
      <c r="FJ57" s="492">
        <v>19</v>
      </c>
      <c r="FK57" s="492">
        <v>17</v>
      </c>
      <c r="FL57" s="492">
        <v>16</v>
      </c>
      <c r="FM57" s="493">
        <v>6</v>
      </c>
      <c r="FN57" s="493">
        <v>6</v>
      </c>
      <c r="FO57" s="493">
        <v>14</v>
      </c>
      <c r="FP57" s="493">
        <v>9</v>
      </c>
      <c r="FQ57" s="199"/>
      <c r="FR57" s="491">
        <v>4</v>
      </c>
      <c r="FS57" s="492">
        <v>3</v>
      </c>
      <c r="FT57" s="492">
        <v>1</v>
      </c>
      <c r="FU57" s="492">
        <v>1</v>
      </c>
      <c r="FV57" s="493">
        <v>3</v>
      </c>
      <c r="FW57" s="493">
        <v>1</v>
      </c>
      <c r="FX57" s="493"/>
      <c r="FY57" s="493">
        <v>5</v>
      </c>
      <c r="FZ57" s="199"/>
      <c r="GA57" s="491">
        <v>3</v>
      </c>
      <c r="GB57" s="492">
        <v>3</v>
      </c>
      <c r="GC57" s="492">
        <v>3</v>
      </c>
      <c r="GD57" s="492">
        <v>1</v>
      </c>
      <c r="GE57" s="493">
        <v>2</v>
      </c>
      <c r="GF57" s="493">
        <v>2</v>
      </c>
      <c r="GG57" s="493">
        <v>2</v>
      </c>
      <c r="GH57" s="493"/>
      <c r="GI57" s="199"/>
      <c r="GJ57" s="491">
        <v>680</v>
      </c>
      <c r="GK57" s="492">
        <v>700</v>
      </c>
      <c r="GL57" s="492">
        <v>777</v>
      </c>
      <c r="GM57" s="492">
        <v>601</v>
      </c>
      <c r="GN57" s="493">
        <v>658</v>
      </c>
      <c r="GO57" s="493">
        <v>363</v>
      </c>
      <c r="GP57" s="493">
        <v>406</v>
      </c>
      <c r="GQ57" s="493">
        <v>365</v>
      </c>
      <c r="GR57" s="199"/>
      <c r="GS57" s="491">
        <v>187</v>
      </c>
      <c r="GT57" s="492">
        <v>234</v>
      </c>
      <c r="GU57" s="492">
        <v>245</v>
      </c>
      <c r="GV57" s="492">
        <v>160</v>
      </c>
      <c r="GW57" s="493">
        <v>191</v>
      </c>
      <c r="GX57" s="493">
        <v>96</v>
      </c>
      <c r="GY57" s="493">
        <v>98</v>
      </c>
      <c r="GZ57" s="493">
        <v>83</v>
      </c>
      <c r="HA57" s="199"/>
      <c r="HB57" s="491">
        <v>2</v>
      </c>
      <c r="HC57" s="492"/>
      <c r="HD57" s="492">
        <v>1</v>
      </c>
      <c r="HE57" s="492"/>
      <c r="HF57" s="493">
        <v>1</v>
      </c>
      <c r="HG57" s="493"/>
      <c r="HH57" s="493">
        <v>1</v>
      </c>
      <c r="HI57" s="493"/>
      <c r="HJ57" s="199"/>
      <c r="HK57" s="491">
        <v>1</v>
      </c>
      <c r="HL57" s="492"/>
      <c r="HM57" s="492"/>
      <c r="HN57" s="492"/>
      <c r="HO57" s="493"/>
      <c r="HP57" s="493"/>
      <c r="HQ57" s="493"/>
      <c r="HR57" s="493"/>
      <c r="HS57" s="199"/>
      <c r="HT57" s="491">
        <v>278</v>
      </c>
      <c r="HU57" s="492">
        <v>277</v>
      </c>
      <c r="HV57" s="492">
        <v>282</v>
      </c>
      <c r="HW57" s="492">
        <v>209</v>
      </c>
      <c r="HX57" s="493">
        <v>247</v>
      </c>
      <c r="HY57" s="493">
        <v>152</v>
      </c>
      <c r="HZ57" s="493">
        <v>189</v>
      </c>
      <c r="IA57" s="493">
        <v>165</v>
      </c>
      <c r="IB57" s="199"/>
      <c r="IC57" s="491">
        <v>1013</v>
      </c>
      <c r="ID57" s="492">
        <v>1061</v>
      </c>
      <c r="IE57" s="492">
        <v>1122</v>
      </c>
      <c r="IF57" s="492">
        <v>863</v>
      </c>
      <c r="IG57" s="493">
        <v>989</v>
      </c>
      <c r="IH57" s="493">
        <v>610</v>
      </c>
      <c r="II57" s="493">
        <v>746</v>
      </c>
      <c r="IJ57" s="493">
        <v>618</v>
      </c>
      <c r="IK57" s="199"/>
      <c r="IL57" s="491">
        <v>159</v>
      </c>
      <c r="IM57" s="492">
        <v>100</v>
      </c>
      <c r="IN57" s="492">
        <v>164</v>
      </c>
      <c r="IO57" s="492">
        <v>85</v>
      </c>
      <c r="IP57" s="493">
        <v>81</v>
      </c>
      <c r="IQ57" s="493">
        <v>60</v>
      </c>
      <c r="IR57" s="493">
        <v>71</v>
      </c>
      <c r="IS57" s="493">
        <v>58</v>
      </c>
      <c r="IT57" s="199"/>
      <c r="IU57" s="533">
        <v>2599.5688770273046</v>
      </c>
      <c r="IV57" s="534">
        <v>2775.888231908325</v>
      </c>
      <c r="IW57" s="534">
        <v>2966.6058538906955</v>
      </c>
      <c r="IX57" s="534">
        <v>2214.6944850771165</v>
      </c>
      <c r="IY57" s="535">
        <v>2576.7286748996926</v>
      </c>
      <c r="IZ57" s="535">
        <v>1599.7901914503016</v>
      </c>
      <c r="JA57" s="535">
        <v>1981.1446023104502</v>
      </c>
      <c r="JB57" s="535">
        <v>1657.9032084987659</v>
      </c>
      <c r="JC57" s="536"/>
      <c r="JD57" s="537">
        <v>713.40587148429483</v>
      </c>
      <c r="JE57" s="538">
        <v>724.71351577625455</v>
      </c>
      <c r="JF57" s="538">
        <v>745.61751407947963</v>
      </c>
      <c r="JG57" s="538">
        <v>536.35127158878026</v>
      </c>
      <c r="JH57" s="538">
        <v>643.53082173935695</v>
      </c>
      <c r="JI57" s="539">
        <v>398.63624442696039</v>
      </c>
      <c r="JJ57" s="539">
        <v>501.92537511618639</v>
      </c>
      <c r="JK57" s="539">
        <v>442.64406052151514</v>
      </c>
      <c r="JL57" s="536"/>
      <c r="JM57" s="537">
        <v>1745.0215561486348</v>
      </c>
      <c r="JN57" s="538">
        <v>1831.4059965464917</v>
      </c>
      <c r="JO57" s="538">
        <v>2054.4142143253748</v>
      </c>
      <c r="JP57" s="538">
        <v>1542.3306900710859</v>
      </c>
      <c r="JQ57" s="538">
        <v>1714.3452660101088</v>
      </c>
      <c r="JR57" s="539">
        <v>952.00629425649095</v>
      </c>
      <c r="JS57" s="539">
        <v>1078.2100650644004</v>
      </c>
      <c r="JT57" s="539">
        <v>979.18231569910938</v>
      </c>
      <c r="JU57" s="536"/>
      <c r="JV57" s="537">
        <v>479.88092794087453</v>
      </c>
      <c r="JW57" s="538">
        <v>612.21286170268434</v>
      </c>
      <c r="JX57" s="538">
        <v>647.78826577827135</v>
      </c>
      <c r="JY57" s="538">
        <v>410.60384427849209</v>
      </c>
      <c r="JZ57" s="538">
        <v>497.62909697253923</v>
      </c>
      <c r="KA57" s="539">
        <v>251.77025963808023</v>
      </c>
      <c r="KB57" s="539">
        <v>260.25760191209667</v>
      </c>
      <c r="KC57" s="539">
        <v>222.66337589870156</v>
      </c>
      <c r="KD57" s="536"/>
    </row>
    <row r="58" spans="1:290" ht="15" customHeight="1" x14ac:dyDescent="0.2">
      <c r="A58" s="930"/>
      <c r="B58" s="490" t="s">
        <v>676</v>
      </c>
      <c r="C58" s="491">
        <v>1</v>
      </c>
      <c r="D58" s="492">
        <v>2</v>
      </c>
      <c r="E58" s="492">
        <v>1</v>
      </c>
      <c r="F58" s="492"/>
      <c r="G58" s="493"/>
      <c r="H58" s="493">
        <v>1</v>
      </c>
      <c r="I58" s="493">
        <v>2</v>
      </c>
      <c r="J58" s="493"/>
      <c r="K58" s="199"/>
      <c r="L58" s="491"/>
      <c r="M58" s="492">
        <v>1</v>
      </c>
      <c r="N58" s="492">
        <v>1</v>
      </c>
      <c r="O58" s="492"/>
      <c r="P58" s="493"/>
      <c r="Q58" s="493">
        <v>1</v>
      </c>
      <c r="R58" s="493">
        <v>1</v>
      </c>
      <c r="S58" s="493"/>
      <c r="T58" s="199"/>
      <c r="U58" s="491">
        <v>1</v>
      </c>
      <c r="V58" s="492"/>
      <c r="W58" s="492"/>
      <c r="X58" s="492"/>
      <c r="Y58" s="493"/>
      <c r="Z58" s="493"/>
      <c r="AA58" s="493">
        <v>1</v>
      </c>
      <c r="AB58" s="493"/>
      <c r="AC58" s="199"/>
      <c r="AD58" s="491">
        <v>89</v>
      </c>
      <c r="AE58" s="492">
        <v>87</v>
      </c>
      <c r="AF58" s="492">
        <v>99</v>
      </c>
      <c r="AG58" s="492">
        <v>63</v>
      </c>
      <c r="AH58" s="493">
        <v>94</v>
      </c>
      <c r="AI58" s="493">
        <v>79</v>
      </c>
      <c r="AJ58" s="493">
        <v>73</v>
      </c>
      <c r="AK58" s="493">
        <v>50</v>
      </c>
      <c r="AL58" s="199"/>
      <c r="AM58" s="491">
        <v>36</v>
      </c>
      <c r="AN58" s="492">
        <v>21</v>
      </c>
      <c r="AO58" s="492">
        <v>21</v>
      </c>
      <c r="AP58" s="492">
        <v>21</v>
      </c>
      <c r="AQ58" s="493">
        <v>19</v>
      </c>
      <c r="AR58" s="493">
        <v>18</v>
      </c>
      <c r="AS58" s="493">
        <v>19</v>
      </c>
      <c r="AT58" s="493">
        <v>15</v>
      </c>
      <c r="AU58" s="199"/>
      <c r="AV58" s="491">
        <v>2</v>
      </c>
      <c r="AW58" s="492">
        <v>1</v>
      </c>
      <c r="AX58" s="492"/>
      <c r="AY58" s="492"/>
      <c r="AZ58" s="493"/>
      <c r="BA58" s="493"/>
      <c r="BB58" s="493"/>
      <c r="BC58" s="493"/>
      <c r="BD58" s="199"/>
      <c r="BE58" s="491">
        <v>56</v>
      </c>
      <c r="BF58" s="492">
        <v>34</v>
      </c>
      <c r="BG58" s="492">
        <v>39</v>
      </c>
      <c r="BH58" s="492">
        <v>14</v>
      </c>
      <c r="BI58" s="493">
        <v>6</v>
      </c>
      <c r="BJ58" s="493">
        <v>14</v>
      </c>
      <c r="BK58" s="493">
        <v>9</v>
      </c>
      <c r="BL58" s="493">
        <v>19</v>
      </c>
      <c r="BM58" s="199"/>
      <c r="BN58" s="491"/>
      <c r="BO58" s="492"/>
      <c r="BP58" s="492"/>
      <c r="BQ58" s="492"/>
      <c r="BR58" s="493"/>
      <c r="BS58" s="493"/>
      <c r="BT58" s="493"/>
      <c r="BU58" s="493"/>
      <c r="BV58" s="199"/>
      <c r="BW58" s="491">
        <v>107</v>
      </c>
      <c r="BX58" s="492">
        <v>122</v>
      </c>
      <c r="BY58" s="492">
        <v>123</v>
      </c>
      <c r="BZ58" s="492">
        <v>113</v>
      </c>
      <c r="CA58" s="493">
        <v>133</v>
      </c>
      <c r="CB58" s="493">
        <v>143</v>
      </c>
      <c r="CC58" s="493">
        <v>123</v>
      </c>
      <c r="CD58" s="493">
        <v>112</v>
      </c>
      <c r="CE58" s="199"/>
      <c r="CF58" s="491">
        <v>10</v>
      </c>
      <c r="CG58" s="492">
        <v>4</v>
      </c>
      <c r="CH58" s="492">
        <v>4</v>
      </c>
      <c r="CI58" s="492">
        <v>4</v>
      </c>
      <c r="CJ58" s="493">
        <v>3</v>
      </c>
      <c r="CK58" s="493">
        <v>1</v>
      </c>
      <c r="CL58" s="493">
        <v>2</v>
      </c>
      <c r="CM58" s="493">
        <v>3</v>
      </c>
      <c r="CN58" s="199"/>
      <c r="CO58" s="491">
        <v>7</v>
      </c>
      <c r="CP58" s="492"/>
      <c r="CQ58" s="492"/>
      <c r="CR58" s="492"/>
      <c r="CS58" s="493">
        <v>1</v>
      </c>
      <c r="CT58" s="493"/>
      <c r="CU58" s="493">
        <v>1</v>
      </c>
      <c r="CV58" s="493"/>
      <c r="CW58" s="199"/>
      <c r="CX58" s="491">
        <v>529</v>
      </c>
      <c r="CY58" s="492">
        <v>595</v>
      </c>
      <c r="CZ58" s="492">
        <v>597</v>
      </c>
      <c r="DA58" s="492">
        <v>544</v>
      </c>
      <c r="DB58" s="493">
        <v>317</v>
      </c>
      <c r="DC58" s="493">
        <v>389</v>
      </c>
      <c r="DD58" s="493">
        <v>300</v>
      </c>
      <c r="DE58" s="493">
        <v>219</v>
      </c>
      <c r="DF58" s="199"/>
      <c r="DG58" s="491">
        <v>1</v>
      </c>
      <c r="DH58" s="492">
        <v>1</v>
      </c>
      <c r="DI58" s="492">
        <v>1</v>
      </c>
      <c r="DJ58" s="492">
        <v>2</v>
      </c>
      <c r="DK58" s="493">
        <v>1</v>
      </c>
      <c r="DL58" s="493">
        <v>2</v>
      </c>
      <c r="DM58" s="493">
        <v>1</v>
      </c>
      <c r="DN58" s="493"/>
      <c r="DO58" s="199"/>
      <c r="DP58" s="491">
        <v>3</v>
      </c>
      <c r="DQ58" s="492">
        <v>11</v>
      </c>
      <c r="DR58" s="492">
        <v>1</v>
      </c>
      <c r="DS58" s="492">
        <v>3</v>
      </c>
      <c r="DT58" s="493">
        <v>2</v>
      </c>
      <c r="DU58" s="493">
        <v>10</v>
      </c>
      <c r="DV58" s="493">
        <v>3</v>
      </c>
      <c r="DW58" s="493">
        <v>6</v>
      </c>
      <c r="DX58" s="199"/>
      <c r="DY58" s="491">
        <v>53</v>
      </c>
      <c r="DZ58" s="492">
        <v>99</v>
      </c>
      <c r="EA58" s="492">
        <v>89</v>
      </c>
      <c r="EB58" s="492">
        <v>57</v>
      </c>
      <c r="EC58" s="493">
        <v>63</v>
      </c>
      <c r="ED58" s="493">
        <v>69</v>
      </c>
      <c r="EE58" s="493">
        <v>80</v>
      </c>
      <c r="EF58" s="493">
        <v>41</v>
      </c>
      <c r="EG58" s="199"/>
      <c r="EH58" s="491">
        <v>13</v>
      </c>
      <c r="EI58" s="492">
        <v>13</v>
      </c>
      <c r="EJ58" s="492">
        <v>8</v>
      </c>
      <c r="EK58" s="492">
        <v>7</v>
      </c>
      <c r="EL58" s="493">
        <v>9</v>
      </c>
      <c r="EM58" s="493">
        <v>6</v>
      </c>
      <c r="EN58" s="493">
        <v>4</v>
      </c>
      <c r="EO58" s="493">
        <v>1</v>
      </c>
      <c r="EP58" s="199"/>
      <c r="EQ58" s="491">
        <v>1</v>
      </c>
      <c r="ER58" s="492">
        <v>4</v>
      </c>
      <c r="ES58" s="492">
        <v>3</v>
      </c>
      <c r="ET58" s="492">
        <v>6</v>
      </c>
      <c r="EU58" s="493">
        <v>3</v>
      </c>
      <c r="EV58" s="493">
        <v>4</v>
      </c>
      <c r="EW58" s="493">
        <v>3</v>
      </c>
      <c r="EX58" s="493">
        <v>2</v>
      </c>
      <c r="EY58" s="199"/>
      <c r="EZ58" s="491">
        <v>23</v>
      </c>
      <c r="FA58" s="492">
        <v>2</v>
      </c>
      <c r="FB58" s="492">
        <v>13</v>
      </c>
      <c r="FC58" s="492">
        <v>1</v>
      </c>
      <c r="FD58" s="493"/>
      <c r="FE58" s="493"/>
      <c r="FF58" s="493"/>
      <c r="FG58" s="493">
        <v>1</v>
      </c>
      <c r="FH58" s="199"/>
      <c r="FI58" s="491">
        <v>41</v>
      </c>
      <c r="FJ58" s="492">
        <v>40</v>
      </c>
      <c r="FK58" s="492">
        <v>30</v>
      </c>
      <c r="FL58" s="492">
        <v>19</v>
      </c>
      <c r="FM58" s="493">
        <v>17</v>
      </c>
      <c r="FN58" s="493">
        <v>21</v>
      </c>
      <c r="FO58" s="493">
        <v>17</v>
      </c>
      <c r="FP58" s="493">
        <v>26</v>
      </c>
      <c r="FQ58" s="199"/>
      <c r="FR58" s="491">
        <v>5</v>
      </c>
      <c r="FS58" s="492">
        <v>4</v>
      </c>
      <c r="FT58" s="492"/>
      <c r="FU58" s="492"/>
      <c r="FV58" s="493">
        <v>1</v>
      </c>
      <c r="FW58" s="493">
        <v>1</v>
      </c>
      <c r="FX58" s="493">
        <v>1</v>
      </c>
      <c r="FY58" s="493"/>
      <c r="FZ58" s="199"/>
      <c r="GA58" s="491">
        <v>3</v>
      </c>
      <c r="GB58" s="492">
        <v>4</v>
      </c>
      <c r="GC58" s="492">
        <v>1</v>
      </c>
      <c r="GD58" s="492">
        <v>1</v>
      </c>
      <c r="GE58" s="493">
        <v>5</v>
      </c>
      <c r="GF58" s="493">
        <v>2</v>
      </c>
      <c r="GG58" s="493">
        <v>9</v>
      </c>
      <c r="GH58" s="493">
        <v>7</v>
      </c>
      <c r="GI58" s="199"/>
      <c r="GJ58" s="491">
        <v>885</v>
      </c>
      <c r="GK58" s="492">
        <v>911</v>
      </c>
      <c r="GL58" s="492">
        <v>918</v>
      </c>
      <c r="GM58" s="492">
        <v>772</v>
      </c>
      <c r="GN58" s="493">
        <v>589</v>
      </c>
      <c r="GO58" s="493">
        <v>661</v>
      </c>
      <c r="GP58" s="493">
        <v>544</v>
      </c>
      <c r="GQ58" s="493">
        <v>440</v>
      </c>
      <c r="GR58" s="199"/>
      <c r="GS58" s="491">
        <v>236</v>
      </c>
      <c r="GT58" s="492">
        <v>293</v>
      </c>
      <c r="GU58" s="492">
        <v>282</v>
      </c>
      <c r="GV58" s="492">
        <v>207</v>
      </c>
      <c r="GW58" s="493">
        <v>161</v>
      </c>
      <c r="GX58" s="493">
        <v>186</v>
      </c>
      <c r="GY58" s="493">
        <v>148</v>
      </c>
      <c r="GZ58" s="493">
        <v>142</v>
      </c>
      <c r="HA58" s="199"/>
      <c r="HB58" s="491">
        <v>4</v>
      </c>
      <c r="HC58" s="492"/>
      <c r="HD58" s="492">
        <v>1</v>
      </c>
      <c r="HE58" s="492"/>
      <c r="HF58" s="493">
        <v>2</v>
      </c>
      <c r="HG58" s="493"/>
      <c r="HH58" s="493"/>
      <c r="HI58" s="493">
        <v>1</v>
      </c>
      <c r="HJ58" s="199"/>
      <c r="HK58" s="491">
        <v>3</v>
      </c>
      <c r="HL58" s="492"/>
      <c r="HM58" s="492"/>
      <c r="HN58" s="492">
        <v>1</v>
      </c>
      <c r="HO58" s="493"/>
      <c r="HP58" s="493"/>
      <c r="HQ58" s="493"/>
      <c r="HR58" s="493"/>
      <c r="HS58" s="199"/>
      <c r="HT58" s="491">
        <v>369</v>
      </c>
      <c r="HU58" s="492">
        <v>416</v>
      </c>
      <c r="HV58" s="492">
        <v>375</v>
      </c>
      <c r="HW58" s="492">
        <v>316</v>
      </c>
      <c r="HX58" s="493">
        <v>273</v>
      </c>
      <c r="HY58" s="493">
        <v>287</v>
      </c>
      <c r="HZ58" s="493">
        <v>269</v>
      </c>
      <c r="IA58" s="493">
        <v>243</v>
      </c>
      <c r="IB58" s="199"/>
      <c r="IC58" s="491">
        <v>1253</v>
      </c>
      <c r="ID58" s="492">
        <v>1302</v>
      </c>
      <c r="IE58" s="492">
        <v>1875</v>
      </c>
      <c r="IF58" s="492">
        <v>1143</v>
      </c>
      <c r="IG58" s="493">
        <v>1223</v>
      </c>
      <c r="IH58" s="493">
        <v>1080</v>
      </c>
      <c r="II58" s="493">
        <v>906</v>
      </c>
      <c r="IJ58" s="493">
        <v>798</v>
      </c>
      <c r="IK58" s="199"/>
      <c r="IL58" s="491">
        <v>106</v>
      </c>
      <c r="IM58" s="492">
        <v>155</v>
      </c>
      <c r="IN58" s="492">
        <v>148</v>
      </c>
      <c r="IO58" s="492">
        <v>73</v>
      </c>
      <c r="IP58" s="493">
        <v>51</v>
      </c>
      <c r="IQ58" s="493">
        <v>106</v>
      </c>
      <c r="IR58" s="493">
        <v>106</v>
      </c>
      <c r="IS58" s="493">
        <v>55</v>
      </c>
      <c r="IT58" s="199"/>
      <c r="IU58" s="533">
        <v>2121.9665023963148</v>
      </c>
      <c r="IV58" s="534">
        <v>2236.6138147836391</v>
      </c>
      <c r="IW58" s="534">
        <v>3254.1349207726616</v>
      </c>
      <c r="IX58" s="534">
        <v>1948.9820277597789</v>
      </c>
      <c r="IY58" s="535">
        <v>2105.8975462763669</v>
      </c>
      <c r="IZ58" s="535">
        <v>1894.0546748111035</v>
      </c>
      <c r="JA58" s="535">
        <v>1732.8105575212776</v>
      </c>
      <c r="JB58" s="535">
        <v>1545.2837861389207</v>
      </c>
      <c r="JC58" s="536"/>
      <c r="JD58" s="537">
        <v>624.90474013107757</v>
      </c>
      <c r="JE58" s="538">
        <v>714.61700994623197</v>
      </c>
      <c r="JF58" s="538">
        <v>650.8269841545324</v>
      </c>
      <c r="JG58" s="538">
        <v>538.82617740340345</v>
      </c>
      <c r="JH58" s="538">
        <v>470.08179078777448</v>
      </c>
      <c r="JI58" s="539">
        <v>508.64961657066027</v>
      </c>
      <c r="JJ58" s="539">
        <v>514.48790284020265</v>
      </c>
      <c r="JK58" s="539">
        <v>470.55634089192694</v>
      </c>
      <c r="JL58" s="536"/>
      <c r="JM58" s="537">
        <v>1498.7552710460805</v>
      </c>
      <c r="JN58" s="538">
        <v>1564.9425386082146</v>
      </c>
      <c r="JO58" s="538">
        <v>1593.2244572102954</v>
      </c>
      <c r="JP58" s="538">
        <v>1316.3728131500868</v>
      </c>
      <c r="JQ58" s="538">
        <v>1014.2057684029272</v>
      </c>
      <c r="JR58" s="539">
        <v>1180.3156740719824</v>
      </c>
      <c r="JS58" s="539">
        <v>1040.4513722865067</v>
      </c>
      <c r="JT58" s="539">
        <v>852.03617280842741</v>
      </c>
      <c r="JU58" s="536"/>
      <c r="JV58" s="537">
        <v>399.66807227895475</v>
      </c>
      <c r="JW58" s="538">
        <v>503.32399979386054</v>
      </c>
      <c r="JX58" s="538">
        <v>489.42189208420837</v>
      </c>
      <c r="JY58" s="538">
        <v>352.96524912184975</v>
      </c>
      <c r="JZ58" s="538">
        <v>277.22772277227722</v>
      </c>
      <c r="KA58" s="539">
        <v>333.57805860708902</v>
      </c>
      <c r="KB58" s="539">
        <v>283.06397628382899</v>
      </c>
      <c r="KC58" s="539">
        <v>274.97531031544702</v>
      </c>
      <c r="KD58" s="536"/>
    </row>
    <row r="59" spans="1:290" ht="15" customHeight="1" thickBot="1" x14ac:dyDescent="0.25">
      <c r="A59" s="930"/>
      <c r="B59" s="494" t="s">
        <v>677</v>
      </c>
      <c r="C59" s="495"/>
      <c r="D59" s="496"/>
      <c r="E59" s="496"/>
      <c r="F59" s="496">
        <v>3</v>
      </c>
      <c r="G59" s="497">
        <v>2</v>
      </c>
      <c r="H59" s="497"/>
      <c r="I59" s="497">
        <v>1</v>
      </c>
      <c r="J59" s="497"/>
      <c r="K59" s="498"/>
      <c r="L59" s="495"/>
      <c r="M59" s="496"/>
      <c r="N59" s="496"/>
      <c r="O59" s="496"/>
      <c r="P59" s="497">
        <v>1</v>
      </c>
      <c r="Q59" s="497"/>
      <c r="R59" s="497"/>
      <c r="S59" s="497"/>
      <c r="T59" s="498"/>
      <c r="U59" s="495"/>
      <c r="V59" s="496"/>
      <c r="W59" s="496"/>
      <c r="X59" s="496">
        <v>1</v>
      </c>
      <c r="Y59" s="497"/>
      <c r="Z59" s="497"/>
      <c r="AA59" s="497">
        <v>1</v>
      </c>
      <c r="AB59" s="497"/>
      <c r="AC59" s="498"/>
      <c r="AD59" s="495">
        <v>37</v>
      </c>
      <c r="AE59" s="496">
        <v>39</v>
      </c>
      <c r="AF59" s="496">
        <v>30</v>
      </c>
      <c r="AG59" s="496">
        <v>18</v>
      </c>
      <c r="AH59" s="497">
        <v>22</v>
      </c>
      <c r="AI59" s="497">
        <v>11</v>
      </c>
      <c r="AJ59" s="497">
        <v>18</v>
      </c>
      <c r="AK59" s="497">
        <v>24</v>
      </c>
      <c r="AL59" s="498"/>
      <c r="AM59" s="495">
        <v>12</v>
      </c>
      <c r="AN59" s="496">
        <v>13</v>
      </c>
      <c r="AO59" s="496">
        <v>7</v>
      </c>
      <c r="AP59" s="496">
        <v>5</v>
      </c>
      <c r="AQ59" s="497">
        <v>8</v>
      </c>
      <c r="AR59" s="497">
        <v>6</v>
      </c>
      <c r="AS59" s="497">
        <v>5</v>
      </c>
      <c r="AT59" s="497">
        <v>9</v>
      </c>
      <c r="AU59" s="498"/>
      <c r="AV59" s="495"/>
      <c r="AW59" s="496"/>
      <c r="AX59" s="496"/>
      <c r="AY59" s="496"/>
      <c r="AZ59" s="497"/>
      <c r="BA59" s="497"/>
      <c r="BB59" s="497"/>
      <c r="BC59" s="497"/>
      <c r="BD59" s="498"/>
      <c r="BE59" s="495">
        <v>6</v>
      </c>
      <c r="BF59" s="496">
        <v>4</v>
      </c>
      <c r="BG59" s="496">
        <v>9</v>
      </c>
      <c r="BH59" s="496">
        <v>2</v>
      </c>
      <c r="BI59" s="497">
        <v>2</v>
      </c>
      <c r="BJ59" s="497">
        <v>2</v>
      </c>
      <c r="BK59" s="497">
        <v>1</v>
      </c>
      <c r="BL59" s="497">
        <v>2</v>
      </c>
      <c r="BM59" s="498"/>
      <c r="BN59" s="495"/>
      <c r="BO59" s="496"/>
      <c r="BP59" s="496"/>
      <c r="BQ59" s="496"/>
      <c r="BR59" s="497"/>
      <c r="BS59" s="497"/>
      <c r="BT59" s="497"/>
      <c r="BU59" s="497"/>
      <c r="BV59" s="498"/>
      <c r="BW59" s="495">
        <v>42</v>
      </c>
      <c r="BX59" s="496">
        <v>36</v>
      </c>
      <c r="BY59" s="496">
        <v>75</v>
      </c>
      <c r="BZ59" s="496">
        <v>42</v>
      </c>
      <c r="CA59" s="497">
        <v>50</v>
      </c>
      <c r="CB59" s="497">
        <v>33</v>
      </c>
      <c r="CC59" s="497">
        <v>36</v>
      </c>
      <c r="CD59" s="497">
        <v>46</v>
      </c>
      <c r="CE59" s="498"/>
      <c r="CF59" s="495">
        <v>2</v>
      </c>
      <c r="CG59" s="496">
        <v>2</v>
      </c>
      <c r="CH59" s="496"/>
      <c r="CI59" s="496">
        <v>1</v>
      </c>
      <c r="CJ59" s="497">
        <v>1</v>
      </c>
      <c r="CK59" s="497">
        <v>2</v>
      </c>
      <c r="CL59" s="497">
        <v>1</v>
      </c>
      <c r="CM59" s="497"/>
      <c r="CN59" s="498"/>
      <c r="CO59" s="495">
        <v>1</v>
      </c>
      <c r="CP59" s="496">
        <v>2</v>
      </c>
      <c r="CQ59" s="496"/>
      <c r="CR59" s="496"/>
      <c r="CS59" s="497">
        <v>1</v>
      </c>
      <c r="CT59" s="497"/>
      <c r="CU59" s="497"/>
      <c r="CV59" s="497">
        <v>1</v>
      </c>
      <c r="CW59" s="498"/>
      <c r="CX59" s="495">
        <v>282</v>
      </c>
      <c r="CY59" s="496">
        <v>345</v>
      </c>
      <c r="CZ59" s="496">
        <v>313</v>
      </c>
      <c r="DA59" s="496">
        <v>242</v>
      </c>
      <c r="DB59" s="497">
        <v>142</v>
      </c>
      <c r="DC59" s="497">
        <v>167</v>
      </c>
      <c r="DD59" s="497">
        <v>154</v>
      </c>
      <c r="DE59" s="497">
        <v>117</v>
      </c>
      <c r="DF59" s="498"/>
      <c r="DG59" s="495"/>
      <c r="DH59" s="496"/>
      <c r="DI59" s="496"/>
      <c r="DJ59" s="496"/>
      <c r="DK59" s="497"/>
      <c r="DL59" s="497"/>
      <c r="DM59" s="497"/>
      <c r="DN59" s="497"/>
      <c r="DO59" s="498"/>
      <c r="DP59" s="495">
        <v>4</v>
      </c>
      <c r="DQ59" s="496">
        <v>3</v>
      </c>
      <c r="DR59" s="496">
        <v>2</v>
      </c>
      <c r="DS59" s="496">
        <v>2</v>
      </c>
      <c r="DT59" s="497">
        <v>2</v>
      </c>
      <c r="DU59" s="497">
        <v>2</v>
      </c>
      <c r="DV59" s="497">
        <v>1</v>
      </c>
      <c r="DW59" s="497">
        <v>1</v>
      </c>
      <c r="DX59" s="498"/>
      <c r="DY59" s="495">
        <v>43</v>
      </c>
      <c r="DZ59" s="496">
        <v>55</v>
      </c>
      <c r="EA59" s="496">
        <v>45</v>
      </c>
      <c r="EB59" s="496">
        <v>27</v>
      </c>
      <c r="EC59" s="497">
        <v>22</v>
      </c>
      <c r="ED59" s="497">
        <v>33</v>
      </c>
      <c r="EE59" s="497">
        <v>36</v>
      </c>
      <c r="EF59" s="497">
        <v>14</v>
      </c>
      <c r="EG59" s="498"/>
      <c r="EH59" s="495">
        <v>3</v>
      </c>
      <c r="EI59" s="496">
        <v>1</v>
      </c>
      <c r="EJ59" s="496">
        <v>4</v>
      </c>
      <c r="EK59" s="496">
        <v>2</v>
      </c>
      <c r="EL59" s="497">
        <v>13</v>
      </c>
      <c r="EM59" s="497">
        <v>3</v>
      </c>
      <c r="EN59" s="497">
        <v>1</v>
      </c>
      <c r="EO59" s="497"/>
      <c r="EP59" s="498"/>
      <c r="EQ59" s="495"/>
      <c r="ER59" s="496"/>
      <c r="ES59" s="496"/>
      <c r="ET59" s="496"/>
      <c r="EU59" s="497"/>
      <c r="EV59" s="497">
        <v>1</v>
      </c>
      <c r="EW59" s="497">
        <v>1</v>
      </c>
      <c r="EX59" s="497">
        <v>1</v>
      </c>
      <c r="EY59" s="498"/>
      <c r="EZ59" s="495">
        <v>1</v>
      </c>
      <c r="FA59" s="496">
        <v>3</v>
      </c>
      <c r="FB59" s="496"/>
      <c r="FC59" s="496">
        <v>1</v>
      </c>
      <c r="FD59" s="497">
        <v>4</v>
      </c>
      <c r="FE59" s="497">
        <v>1</v>
      </c>
      <c r="FF59" s="497"/>
      <c r="FG59" s="497"/>
      <c r="FH59" s="498"/>
      <c r="FI59" s="495">
        <v>13</v>
      </c>
      <c r="FJ59" s="496">
        <v>27</v>
      </c>
      <c r="FK59" s="496">
        <v>7</v>
      </c>
      <c r="FL59" s="496">
        <v>14</v>
      </c>
      <c r="FM59" s="497">
        <v>7</v>
      </c>
      <c r="FN59" s="497">
        <v>4</v>
      </c>
      <c r="FO59" s="497">
        <v>7</v>
      </c>
      <c r="FP59" s="497">
        <v>4</v>
      </c>
      <c r="FQ59" s="498"/>
      <c r="FR59" s="495">
        <v>3</v>
      </c>
      <c r="FS59" s="496">
        <v>4</v>
      </c>
      <c r="FT59" s="496"/>
      <c r="FU59" s="496">
        <v>2</v>
      </c>
      <c r="FV59" s="497">
        <v>2</v>
      </c>
      <c r="FW59" s="497"/>
      <c r="FX59" s="497">
        <v>1</v>
      </c>
      <c r="FY59" s="497"/>
      <c r="FZ59" s="498"/>
      <c r="GA59" s="495">
        <v>4</v>
      </c>
      <c r="GB59" s="496">
        <v>1</v>
      </c>
      <c r="GC59" s="496">
        <v>1</v>
      </c>
      <c r="GD59" s="496">
        <v>2</v>
      </c>
      <c r="GE59" s="497">
        <v>10</v>
      </c>
      <c r="GF59" s="497"/>
      <c r="GG59" s="497">
        <v>1</v>
      </c>
      <c r="GH59" s="497">
        <v>2</v>
      </c>
      <c r="GI59" s="498"/>
      <c r="GJ59" s="495">
        <v>394</v>
      </c>
      <c r="GK59" s="496">
        <v>464</v>
      </c>
      <c r="GL59" s="496">
        <v>439</v>
      </c>
      <c r="GM59" s="496">
        <v>329</v>
      </c>
      <c r="GN59" s="497">
        <v>256</v>
      </c>
      <c r="GO59" s="497">
        <v>224</v>
      </c>
      <c r="GP59" s="497">
        <v>222</v>
      </c>
      <c r="GQ59" s="497">
        <v>197</v>
      </c>
      <c r="GR59" s="498"/>
      <c r="GS59" s="495">
        <v>131</v>
      </c>
      <c r="GT59" s="496">
        <v>137</v>
      </c>
      <c r="GU59" s="496">
        <v>129</v>
      </c>
      <c r="GV59" s="496">
        <v>86</v>
      </c>
      <c r="GW59" s="497">
        <v>62</v>
      </c>
      <c r="GX59" s="497">
        <v>28</v>
      </c>
      <c r="GY59" s="497">
        <v>41</v>
      </c>
      <c r="GZ59" s="497">
        <v>50</v>
      </c>
      <c r="HA59" s="498"/>
      <c r="HB59" s="495"/>
      <c r="HC59" s="496">
        <v>2</v>
      </c>
      <c r="HD59" s="496"/>
      <c r="HE59" s="496"/>
      <c r="HF59" s="497"/>
      <c r="HG59" s="497"/>
      <c r="HH59" s="497"/>
      <c r="HI59" s="497"/>
      <c r="HJ59" s="498"/>
      <c r="HK59" s="495"/>
      <c r="HL59" s="496"/>
      <c r="HM59" s="496"/>
      <c r="HN59" s="496"/>
      <c r="HO59" s="497"/>
      <c r="HP59" s="497">
        <v>1</v>
      </c>
      <c r="HQ59" s="497"/>
      <c r="HR59" s="497"/>
      <c r="HS59" s="498"/>
      <c r="HT59" s="495">
        <v>189</v>
      </c>
      <c r="HU59" s="496">
        <v>193</v>
      </c>
      <c r="HV59" s="496">
        <v>172</v>
      </c>
      <c r="HW59" s="496">
        <v>131</v>
      </c>
      <c r="HX59" s="497">
        <v>107</v>
      </c>
      <c r="HY59" s="497">
        <v>73</v>
      </c>
      <c r="HZ59" s="497">
        <v>106</v>
      </c>
      <c r="IA59" s="497">
        <v>118</v>
      </c>
      <c r="IB59" s="498"/>
      <c r="IC59" s="495">
        <v>643</v>
      </c>
      <c r="ID59" s="496">
        <v>676</v>
      </c>
      <c r="IE59" s="496">
        <v>740</v>
      </c>
      <c r="IF59" s="496">
        <v>505</v>
      </c>
      <c r="IG59" s="497">
        <v>453</v>
      </c>
      <c r="IH59" s="497">
        <v>375</v>
      </c>
      <c r="II59" s="497">
        <v>397</v>
      </c>
      <c r="IJ59" s="497">
        <v>338</v>
      </c>
      <c r="IK59" s="498"/>
      <c r="IL59" s="495">
        <v>86</v>
      </c>
      <c r="IM59" s="496">
        <v>100</v>
      </c>
      <c r="IN59" s="496">
        <v>112</v>
      </c>
      <c r="IO59" s="496">
        <v>37</v>
      </c>
      <c r="IP59" s="497">
        <v>19</v>
      </c>
      <c r="IQ59" s="497">
        <v>44</v>
      </c>
      <c r="IR59" s="497">
        <v>60</v>
      </c>
      <c r="IS59" s="497">
        <v>22</v>
      </c>
      <c r="IT59" s="498"/>
      <c r="IU59" s="540">
        <v>2563.387019614097</v>
      </c>
      <c r="IV59" s="541">
        <v>2735.5131110391712</v>
      </c>
      <c r="IW59" s="541">
        <v>3052.049822651159</v>
      </c>
      <c r="IX59" s="541">
        <v>2015.404876880712</v>
      </c>
      <c r="IY59" s="542">
        <v>1841.9126616247866</v>
      </c>
      <c r="IZ59" s="542">
        <v>1560.4194407456725</v>
      </c>
      <c r="JA59" s="542">
        <v>1672.5648803505223</v>
      </c>
      <c r="JB59" s="542">
        <v>1438.6039582889978</v>
      </c>
      <c r="JC59" s="543"/>
      <c r="JD59" s="544">
        <v>753.46834635624305</v>
      </c>
      <c r="JE59" s="545">
        <v>780.99708643573979</v>
      </c>
      <c r="JF59" s="545">
        <v>709.39536418378282</v>
      </c>
      <c r="JG59" s="545">
        <v>522.80799776509559</v>
      </c>
      <c r="JH59" s="545">
        <v>435.06546312108645</v>
      </c>
      <c r="JI59" s="546">
        <v>303.76165113182424</v>
      </c>
      <c r="JJ59" s="546">
        <v>446.57903606336367</v>
      </c>
      <c r="JK59" s="546">
        <v>502.23451798254951</v>
      </c>
      <c r="JL59" s="543"/>
      <c r="JM59" s="544">
        <v>1570.7223728273004</v>
      </c>
      <c r="JN59" s="545">
        <v>1877.6303010683071</v>
      </c>
      <c r="JO59" s="545">
        <v>1810.607935329539</v>
      </c>
      <c r="JP59" s="545">
        <v>1313.0063455321865</v>
      </c>
      <c r="JQ59" s="545">
        <v>1040.9042855981133</v>
      </c>
      <c r="JR59" s="546">
        <v>932.09054593874839</v>
      </c>
      <c r="JS59" s="546">
        <v>935.28816986855406</v>
      </c>
      <c r="JT59" s="546">
        <v>838.47627154713769</v>
      </c>
      <c r="JU59" s="543"/>
      <c r="JV59" s="544">
        <v>522.24525594004149</v>
      </c>
      <c r="JW59" s="545">
        <v>554.38653285853024</v>
      </c>
      <c r="JX59" s="545">
        <v>532.0465231378372</v>
      </c>
      <c r="JY59" s="545">
        <v>343.21746418166583</v>
      </c>
      <c r="JZ59" s="545">
        <v>252.09400666829305</v>
      </c>
      <c r="KA59" s="546">
        <v>116.51131824234355</v>
      </c>
      <c r="KB59" s="546">
        <v>172.7334007414897</v>
      </c>
      <c r="KC59" s="546">
        <v>212.81123643328365</v>
      </c>
      <c r="KD59" s="543"/>
    </row>
    <row r="60" spans="1:290" ht="15" customHeight="1" thickBot="1" x14ac:dyDescent="0.25">
      <c r="A60" s="931"/>
      <c r="B60" s="508" t="s">
        <v>782</v>
      </c>
      <c r="C60" s="500">
        <v>21</v>
      </c>
      <c r="D60" s="501">
        <v>29</v>
      </c>
      <c r="E60" s="501">
        <v>14</v>
      </c>
      <c r="F60" s="501">
        <v>18</v>
      </c>
      <c r="G60" s="502">
        <v>28</v>
      </c>
      <c r="H60" s="502">
        <v>14</v>
      </c>
      <c r="I60" s="502">
        <v>18</v>
      </c>
      <c r="J60" s="502">
        <v>12</v>
      </c>
      <c r="K60" s="503"/>
      <c r="L60" s="500">
        <v>8</v>
      </c>
      <c r="M60" s="501">
        <v>14</v>
      </c>
      <c r="N60" s="501">
        <v>6</v>
      </c>
      <c r="O60" s="501">
        <v>7</v>
      </c>
      <c r="P60" s="502">
        <v>12</v>
      </c>
      <c r="Q60" s="502">
        <v>8</v>
      </c>
      <c r="R60" s="502">
        <v>7</v>
      </c>
      <c r="S60" s="502">
        <v>7</v>
      </c>
      <c r="T60" s="503"/>
      <c r="U60" s="500">
        <v>12</v>
      </c>
      <c r="V60" s="501">
        <v>8</v>
      </c>
      <c r="W60" s="501">
        <v>8</v>
      </c>
      <c r="X60" s="501">
        <v>8</v>
      </c>
      <c r="Y60" s="502">
        <v>12</v>
      </c>
      <c r="Z60" s="502">
        <v>5</v>
      </c>
      <c r="AA60" s="502">
        <v>9</v>
      </c>
      <c r="AB60" s="502">
        <v>5</v>
      </c>
      <c r="AC60" s="503"/>
      <c r="AD60" s="500">
        <v>1060</v>
      </c>
      <c r="AE60" s="501">
        <v>967</v>
      </c>
      <c r="AF60" s="501">
        <v>955</v>
      </c>
      <c r="AG60" s="501">
        <v>976</v>
      </c>
      <c r="AH60" s="502">
        <v>930</v>
      </c>
      <c r="AI60" s="502">
        <v>884</v>
      </c>
      <c r="AJ60" s="502">
        <v>792</v>
      </c>
      <c r="AK60" s="502">
        <v>717</v>
      </c>
      <c r="AL60" s="503"/>
      <c r="AM60" s="500">
        <v>448</v>
      </c>
      <c r="AN60" s="501">
        <v>341</v>
      </c>
      <c r="AO60" s="501">
        <v>335</v>
      </c>
      <c r="AP60" s="501">
        <v>384</v>
      </c>
      <c r="AQ60" s="502">
        <v>328</v>
      </c>
      <c r="AR60" s="502">
        <v>320</v>
      </c>
      <c r="AS60" s="502">
        <v>291</v>
      </c>
      <c r="AT60" s="502">
        <v>290</v>
      </c>
      <c r="AU60" s="503"/>
      <c r="AV60" s="500">
        <v>3</v>
      </c>
      <c r="AW60" s="501">
        <v>4</v>
      </c>
      <c r="AX60" s="501">
        <v>1</v>
      </c>
      <c r="AY60" s="501">
        <v>1</v>
      </c>
      <c r="AZ60" s="502">
        <v>4</v>
      </c>
      <c r="BA60" s="502">
        <v>2</v>
      </c>
      <c r="BB60" s="502">
        <v>6</v>
      </c>
      <c r="BC60" s="502">
        <v>3</v>
      </c>
      <c r="BD60" s="503"/>
      <c r="BE60" s="500">
        <v>331</v>
      </c>
      <c r="BF60" s="501">
        <v>236</v>
      </c>
      <c r="BG60" s="501">
        <v>232</v>
      </c>
      <c r="BH60" s="501">
        <v>167</v>
      </c>
      <c r="BI60" s="502">
        <v>152</v>
      </c>
      <c r="BJ60" s="502">
        <v>174</v>
      </c>
      <c r="BK60" s="502">
        <v>180</v>
      </c>
      <c r="BL60" s="502">
        <v>128</v>
      </c>
      <c r="BM60" s="503"/>
      <c r="BN60" s="500"/>
      <c r="BO60" s="501"/>
      <c r="BP60" s="501"/>
      <c r="BQ60" s="501"/>
      <c r="BR60" s="502">
        <v>1</v>
      </c>
      <c r="BS60" s="502">
        <v>2</v>
      </c>
      <c r="BT60" s="502"/>
      <c r="BU60" s="502">
        <v>1</v>
      </c>
      <c r="BV60" s="503"/>
      <c r="BW60" s="500">
        <v>1235</v>
      </c>
      <c r="BX60" s="501">
        <v>1345</v>
      </c>
      <c r="BY60" s="501">
        <v>1467</v>
      </c>
      <c r="BZ60" s="501">
        <v>1570</v>
      </c>
      <c r="CA60" s="502">
        <v>1624</v>
      </c>
      <c r="CB60" s="502">
        <v>1645</v>
      </c>
      <c r="CC60" s="502">
        <v>1370</v>
      </c>
      <c r="CD60" s="502">
        <v>1241</v>
      </c>
      <c r="CE60" s="503"/>
      <c r="CF60" s="500">
        <v>63</v>
      </c>
      <c r="CG60" s="501">
        <v>56</v>
      </c>
      <c r="CH60" s="501">
        <v>59</v>
      </c>
      <c r="CI60" s="501">
        <v>44</v>
      </c>
      <c r="CJ60" s="502">
        <v>41</v>
      </c>
      <c r="CK60" s="502">
        <v>42</v>
      </c>
      <c r="CL60" s="502">
        <v>30</v>
      </c>
      <c r="CM60" s="502">
        <v>25</v>
      </c>
      <c r="CN60" s="503"/>
      <c r="CO60" s="500">
        <v>90</v>
      </c>
      <c r="CP60" s="501">
        <v>63</v>
      </c>
      <c r="CQ60" s="501">
        <v>19</v>
      </c>
      <c r="CR60" s="501">
        <v>23</v>
      </c>
      <c r="CS60" s="502">
        <v>16</v>
      </c>
      <c r="CT60" s="502">
        <v>20</v>
      </c>
      <c r="CU60" s="502">
        <v>34</v>
      </c>
      <c r="CV60" s="502">
        <v>60</v>
      </c>
      <c r="CW60" s="503"/>
      <c r="CX60" s="500">
        <v>10520</v>
      </c>
      <c r="CY60" s="501">
        <v>11109</v>
      </c>
      <c r="CZ60" s="501">
        <v>12040</v>
      </c>
      <c r="DA60" s="501">
        <v>10934</v>
      </c>
      <c r="DB60" s="502">
        <v>9681</v>
      </c>
      <c r="DC60" s="502">
        <v>7121</v>
      </c>
      <c r="DD60" s="502">
        <v>6315</v>
      </c>
      <c r="DE60" s="502">
        <v>5941</v>
      </c>
      <c r="DF60" s="503"/>
      <c r="DG60" s="500">
        <v>37</v>
      </c>
      <c r="DH60" s="501">
        <v>40</v>
      </c>
      <c r="DI60" s="501">
        <v>32</v>
      </c>
      <c r="DJ60" s="501">
        <v>24</v>
      </c>
      <c r="DK60" s="502">
        <v>28</v>
      </c>
      <c r="DL60" s="502">
        <v>16</v>
      </c>
      <c r="DM60" s="502">
        <v>21</v>
      </c>
      <c r="DN60" s="502">
        <v>14</v>
      </c>
      <c r="DO60" s="503"/>
      <c r="DP60" s="500">
        <v>243</v>
      </c>
      <c r="DQ60" s="501">
        <v>224</v>
      </c>
      <c r="DR60" s="501">
        <v>188</v>
      </c>
      <c r="DS60" s="501">
        <v>188</v>
      </c>
      <c r="DT60" s="502">
        <v>183</v>
      </c>
      <c r="DU60" s="502">
        <v>136</v>
      </c>
      <c r="DV60" s="502">
        <v>101</v>
      </c>
      <c r="DW60" s="502">
        <v>92</v>
      </c>
      <c r="DX60" s="503"/>
      <c r="DY60" s="500">
        <v>1380</v>
      </c>
      <c r="DZ60" s="501">
        <v>1221</v>
      </c>
      <c r="EA60" s="501">
        <v>1496</v>
      </c>
      <c r="EB60" s="501">
        <v>1602</v>
      </c>
      <c r="EC60" s="502">
        <v>2031</v>
      </c>
      <c r="ED60" s="502">
        <v>1468</v>
      </c>
      <c r="EE60" s="502">
        <v>1380</v>
      </c>
      <c r="EF60" s="502">
        <v>1151</v>
      </c>
      <c r="EG60" s="503"/>
      <c r="EH60" s="500">
        <v>204</v>
      </c>
      <c r="EI60" s="501">
        <v>165</v>
      </c>
      <c r="EJ60" s="501">
        <v>233</v>
      </c>
      <c r="EK60" s="501">
        <v>196</v>
      </c>
      <c r="EL60" s="502">
        <v>200</v>
      </c>
      <c r="EM60" s="502">
        <v>130</v>
      </c>
      <c r="EN60" s="502">
        <v>98</v>
      </c>
      <c r="EO60" s="502">
        <v>85</v>
      </c>
      <c r="EP60" s="503"/>
      <c r="EQ60" s="500">
        <v>22</v>
      </c>
      <c r="ER60" s="501">
        <v>30</v>
      </c>
      <c r="ES60" s="501">
        <v>45</v>
      </c>
      <c r="ET60" s="501">
        <v>45</v>
      </c>
      <c r="EU60" s="502">
        <v>52</v>
      </c>
      <c r="EV60" s="502">
        <v>83</v>
      </c>
      <c r="EW60" s="502">
        <v>85</v>
      </c>
      <c r="EX60" s="502">
        <v>105</v>
      </c>
      <c r="EY60" s="503"/>
      <c r="EZ60" s="500">
        <v>92</v>
      </c>
      <c r="FA60" s="501">
        <v>47</v>
      </c>
      <c r="FB60" s="501">
        <v>142</v>
      </c>
      <c r="FC60" s="501">
        <v>76</v>
      </c>
      <c r="FD60" s="502">
        <v>63</v>
      </c>
      <c r="FE60" s="502">
        <v>36</v>
      </c>
      <c r="FF60" s="502">
        <v>58</v>
      </c>
      <c r="FG60" s="502">
        <v>21</v>
      </c>
      <c r="FH60" s="503"/>
      <c r="FI60" s="500">
        <v>680</v>
      </c>
      <c r="FJ60" s="501">
        <v>706</v>
      </c>
      <c r="FK60" s="501">
        <v>584</v>
      </c>
      <c r="FL60" s="501">
        <v>426</v>
      </c>
      <c r="FM60" s="502">
        <v>389</v>
      </c>
      <c r="FN60" s="502">
        <v>430</v>
      </c>
      <c r="FO60" s="502">
        <v>355</v>
      </c>
      <c r="FP60" s="502">
        <v>334</v>
      </c>
      <c r="FQ60" s="503"/>
      <c r="FR60" s="500">
        <v>72</v>
      </c>
      <c r="FS60" s="501">
        <v>52</v>
      </c>
      <c r="FT60" s="501">
        <v>46</v>
      </c>
      <c r="FU60" s="501">
        <v>45</v>
      </c>
      <c r="FV60" s="502">
        <v>41</v>
      </c>
      <c r="FW60" s="502">
        <v>26</v>
      </c>
      <c r="FX60" s="502">
        <v>27</v>
      </c>
      <c r="FY60" s="502">
        <v>24</v>
      </c>
      <c r="FZ60" s="503"/>
      <c r="GA60" s="500">
        <v>70</v>
      </c>
      <c r="GB60" s="501">
        <v>48</v>
      </c>
      <c r="GC60" s="501">
        <v>67</v>
      </c>
      <c r="GD60" s="501">
        <v>51</v>
      </c>
      <c r="GE60" s="502">
        <v>51</v>
      </c>
      <c r="GF60" s="502">
        <v>54</v>
      </c>
      <c r="GG60" s="502">
        <v>76</v>
      </c>
      <c r="GH60" s="502">
        <v>73</v>
      </c>
      <c r="GI60" s="503"/>
      <c r="GJ60" s="500">
        <v>14460</v>
      </c>
      <c r="GK60" s="501">
        <v>14853</v>
      </c>
      <c r="GL60" s="501">
        <v>15903</v>
      </c>
      <c r="GM60" s="501">
        <v>14571</v>
      </c>
      <c r="GN60" s="502">
        <v>13269</v>
      </c>
      <c r="GO60" s="502">
        <v>10661</v>
      </c>
      <c r="GP60" s="502">
        <v>9438</v>
      </c>
      <c r="GQ60" s="502">
        <v>8767</v>
      </c>
      <c r="GR60" s="503"/>
      <c r="GS60" s="500">
        <v>4137</v>
      </c>
      <c r="GT60" s="501">
        <v>4449</v>
      </c>
      <c r="GU60" s="501">
        <v>4220</v>
      </c>
      <c r="GV60" s="501">
        <v>3551</v>
      </c>
      <c r="GW60" s="502">
        <v>2472</v>
      </c>
      <c r="GX60" s="502">
        <v>2245</v>
      </c>
      <c r="GY60" s="502">
        <v>1942</v>
      </c>
      <c r="GZ60" s="502">
        <v>1891</v>
      </c>
      <c r="HA60" s="503"/>
      <c r="HB60" s="500">
        <v>34</v>
      </c>
      <c r="HC60" s="501">
        <v>41</v>
      </c>
      <c r="HD60" s="501">
        <v>38</v>
      </c>
      <c r="HE60" s="501">
        <v>33</v>
      </c>
      <c r="HF60" s="502">
        <v>34</v>
      </c>
      <c r="HG60" s="502">
        <v>17</v>
      </c>
      <c r="HH60" s="502">
        <v>20</v>
      </c>
      <c r="HI60" s="502">
        <v>24</v>
      </c>
      <c r="HJ60" s="503"/>
      <c r="HK60" s="500">
        <v>19</v>
      </c>
      <c r="HL60" s="501">
        <v>14</v>
      </c>
      <c r="HM60" s="501">
        <v>4</v>
      </c>
      <c r="HN60" s="501">
        <v>10</v>
      </c>
      <c r="HO60" s="502">
        <v>8</v>
      </c>
      <c r="HP60" s="502">
        <v>12</v>
      </c>
      <c r="HQ60" s="502">
        <v>10</v>
      </c>
      <c r="HR60" s="502">
        <v>15</v>
      </c>
      <c r="HS60" s="503"/>
      <c r="HT60" s="500">
        <v>5781</v>
      </c>
      <c r="HU60" s="501">
        <v>5711</v>
      </c>
      <c r="HV60" s="501">
        <v>5258</v>
      </c>
      <c r="HW60" s="501">
        <v>4710</v>
      </c>
      <c r="HX60" s="502">
        <v>3773</v>
      </c>
      <c r="HY60" s="502">
        <v>3628</v>
      </c>
      <c r="HZ60" s="502">
        <v>3418</v>
      </c>
      <c r="IA60" s="502">
        <v>3270</v>
      </c>
      <c r="IB60" s="503"/>
      <c r="IC60" s="500">
        <v>25861</v>
      </c>
      <c r="ID60" s="501">
        <v>22731</v>
      </c>
      <c r="IE60" s="501">
        <v>28683</v>
      </c>
      <c r="IF60" s="501">
        <v>23817</v>
      </c>
      <c r="IG60" s="502">
        <v>19824</v>
      </c>
      <c r="IH60" s="502">
        <v>19564</v>
      </c>
      <c r="II60" s="502">
        <v>15470</v>
      </c>
      <c r="IJ60" s="502">
        <v>14557</v>
      </c>
      <c r="IK60" s="503"/>
      <c r="IL60" s="500">
        <v>3198</v>
      </c>
      <c r="IM60" s="501">
        <v>3216</v>
      </c>
      <c r="IN60" s="501">
        <v>3925</v>
      </c>
      <c r="IO60" s="501">
        <v>2654</v>
      </c>
      <c r="IP60" s="502">
        <v>1803</v>
      </c>
      <c r="IQ60" s="502">
        <v>2372</v>
      </c>
      <c r="IR60" s="502">
        <v>2397</v>
      </c>
      <c r="IS60" s="502">
        <v>1877</v>
      </c>
      <c r="IT60" s="503"/>
      <c r="IU60" s="547">
        <v>3732.979584884471</v>
      </c>
      <c r="IV60" s="548">
        <v>3319.3972485115942</v>
      </c>
      <c r="IW60" s="548">
        <v>4228.903032903263</v>
      </c>
      <c r="IX60" s="548">
        <v>3490.4374587821503</v>
      </c>
      <c r="IY60" s="549">
        <v>2936.8932398418369</v>
      </c>
      <c r="IZ60" s="549">
        <v>2930.5236416145144</v>
      </c>
      <c r="JA60" s="549">
        <v>2341.9912830085277</v>
      </c>
      <c r="JB60" s="549">
        <v>2224.4736415842249</v>
      </c>
      <c r="JC60" s="550"/>
      <c r="JD60" s="551">
        <v>834.47488419694241</v>
      </c>
      <c r="JE60" s="552">
        <v>833.97464635298559</v>
      </c>
      <c r="JF60" s="552">
        <v>775.21779963760264</v>
      </c>
      <c r="JG60" s="552">
        <v>690.26159595515503</v>
      </c>
      <c r="JH60" s="552">
        <v>558.96379105746826</v>
      </c>
      <c r="JI60" s="553">
        <v>543.44406929960428</v>
      </c>
      <c r="JJ60" s="553">
        <v>517.44836492069476</v>
      </c>
      <c r="JK60" s="553">
        <v>499.69284934948246</v>
      </c>
      <c r="JL60" s="550"/>
      <c r="JM60" s="551">
        <v>2087.2698193198039</v>
      </c>
      <c r="JN60" s="552">
        <v>2168.9766104501655</v>
      </c>
      <c r="JO60" s="552">
        <v>2344.672626024495</v>
      </c>
      <c r="JP60" s="552">
        <v>2135.4143767861069</v>
      </c>
      <c r="JQ60" s="552">
        <v>1965.7806900454668</v>
      </c>
      <c r="JR60" s="553">
        <v>1596.9286722169463</v>
      </c>
      <c r="JS60" s="553">
        <v>1428.8114886253707</v>
      </c>
      <c r="JT60" s="553">
        <v>1339.6963945709213</v>
      </c>
      <c r="JU60" s="550"/>
      <c r="JV60" s="551">
        <v>597.16702922033403</v>
      </c>
      <c r="JW60" s="552">
        <v>649.68537937741769</v>
      </c>
      <c r="JX60" s="552">
        <v>622.17936752960884</v>
      </c>
      <c r="JY60" s="552">
        <v>520.40741554920498</v>
      </c>
      <c r="JZ60" s="552">
        <v>366.22276477446633</v>
      </c>
      <c r="KA60" s="553">
        <v>336.28223141610022</v>
      </c>
      <c r="KB60" s="553">
        <v>293.99787146752175</v>
      </c>
      <c r="KC60" s="553">
        <v>288.96610951678019</v>
      </c>
      <c r="KD60" s="550"/>
    </row>
    <row r="61" spans="1:290" ht="15" customHeight="1" x14ac:dyDescent="0.2">
      <c r="A61" s="929" t="s">
        <v>548</v>
      </c>
      <c r="B61" s="485" t="s">
        <v>678</v>
      </c>
      <c r="C61" s="486">
        <v>1</v>
      </c>
      <c r="D61" s="487">
        <v>1</v>
      </c>
      <c r="E61" s="487">
        <v>1</v>
      </c>
      <c r="F61" s="487">
        <v>5</v>
      </c>
      <c r="G61" s="488">
        <v>2</v>
      </c>
      <c r="H61" s="488">
        <v>3</v>
      </c>
      <c r="I61" s="488">
        <v>6</v>
      </c>
      <c r="J61" s="488">
        <v>2</v>
      </c>
      <c r="K61" s="489"/>
      <c r="L61" s="486">
        <v>1</v>
      </c>
      <c r="M61" s="487">
        <v>1</v>
      </c>
      <c r="N61" s="487">
        <v>1</v>
      </c>
      <c r="O61" s="487">
        <v>2</v>
      </c>
      <c r="P61" s="488">
        <v>1</v>
      </c>
      <c r="Q61" s="488">
        <v>1</v>
      </c>
      <c r="R61" s="488">
        <v>1</v>
      </c>
      <c r="S61" s="488">
        <v>1</v>
      </c>
      <c r="T61" s="489"/>
      <c r="U61" s="486"/>
      <c r="V61" s="487"/>
      <c r="W61" s="487"/>
      <c r="X61" s="487">
        <v>3</v>
      </c>
      <c r="Y61" s="488">
        <v>1</v>
      </c>
      <c r="Z61" s="488">
        <v>2</v>
      </c>
      <c r="AA61" s="488">
        <v>3</v>
      </c>
      <c r="AB61" s="488">
        <v>1</v>
      </c>
      <c r="AC61" s="489"/>
      <c r="AD61" s="486">
        <v>223</v>
      </c>
      <c r="AE61" s="487">
        <v>258</v>
      </c>
      <c r="AF61" s="487">
        <v>222</v>
      </c>
      <c r="AG61" s="487">
        <v>205</v>
      </c>
      <c r="AH61" s="488">
        <v>213</v>
      </c>
      <c r="AI61" s="488">
        <v>202</v>
      </c>
      <c r="AJ61" s="488">
        <v>153</v>
      </c>
      <c r="AK61" s="488">
        <v>167</v>
      </c>
      <c r="AL61" s="489"/>
      <c r="AM61" s="486">
        <v>132</v>
      </c>
      <c r="AN61" s="487">
        <v>146</v>
      </c>
      <c r="AO61" s="487">
        <v>119</v>
      </c>
      <c r="AP61" s="487">
        <v>118</v>
      </c>
      <c r="AQ61" s="488">
        <v>111</v>
      </c>
      <c r="AR61" s="488">
        <v>109</v>
      </c>
      <c r="AS61" s="488">
        <v>78</v>
      </c>
      <c r="AT61" s="488">
        <v>86</v>
      </c>
      <c r="AU61" s="489"/>
      <c r="AV61" s="486"/>
      <c r="AW61" s="487">
        <v>3</v>
      </c>
      <c r="AX61" s="487">
        <v>1</v>
      </c>
      <c r="AY61" s="487">
        <v>3</v>
      </c>
      <c r="AZ61" s="488">
        <v>1</v>
      </c>
      <c r="BA61" s="488"/>
      <c r="BB61" s="488">
        <v>1</v>
      </c>
      <c r="BC61" s="488">
        <v>1</v>
      </c>
      <c r="BD61" s="489"/>
      <c r="BE61" s="486">
        <v>22</v>
      </c>
      <c r="BF61" s="487">
        <v>55</v>
      </c>
      <c r="BG61" s="487">
        <v>41</v>
      </c>
      <c r="BH61" s="487">
        <v>43</v>
      </c>
      <c r="BI61" s="488">
        <v>28</v>
      </c>
      <c r="BJ61" s="488">
        <v>44</v>
      </c>
      <c r="BK61" s="488">
        <v>16</v>
      </c>
      <c r="BL61" s="488">
        <v>24</v>
      </c>
      <c r="BM61" s="489"/>
      <c r="BN61" s="486">
        <v>30</v>
      </c>
      <c r="BO61" s="487">
        <v>36</v>
      </c>
      <c r="BP61" s="487">
        <v>57</v>
      </c>
      <c r="BQ61" s="487">
        <v>67</v>
      </c>
      <c r="BR61" s="488">
        <v>119</v>
      </c>
      <c r="BS61" s="488">
        <v>176</v>
      </c>
      <c r="BT61" s="488">
        <v>69</v>
      </c>
      <c r="BU61" s="488">
        <v>41</v>
      </c>
      <c r="BV61" s="489"/>
      <c r="BW61" s="486">
        <v>244</v>
      </c>
      <c r="BX61" s="487">
        <v>321</v>
      </c>
      <c r="BY61" s="487">
        <v>340</v>
      </c>
      <c r="BZ61" s="487">
        <v>304</v>
      </c>
      <c r="CA61" s="488">
        <v>275</v>
      </c>
      <c r="CB61" s="488">
        <v>185</v>
      </c>
      <c r="CC61" s="488">
        <v>205</v>
      </c>
      <c r="CD61" s="488">
        <v>199</v>
      </c>
      <c r="CE61" s="489"/>
      <c r="CF61" s="486">
        <v>30</v>
      </c>
      <c r="CG61" s="487">
        <v>14</v>
      </c>
      <c r="CH61" s="487">
        <v>15</v>
      </c>
      <c r="CI61" s="487">
        <v>21</v>
      </c>
      <c r="CJ61" s="488">
        <v>17</v>
      </c>
      <c r="CK61" s="488">
        <v>15</v>
      </c>
      <c r="CL61" s="488">
        <v>4</v>
      </c>
      <c r="CM61" s="488">
        <v>10</v>
      </c>
      <c r="CN61" s="489"/>
      <c r="CO61" s="486">
        <v>19</v>
      </c>
      <c r="CP61" s="487">
        <v>13</v>
      </c>
      <c r="CQ61" s="487">
        <v>9</v>
      </c>
      <c r="CR61" s="487">
        <v>4</v>
      </c>
      <c r="CS61" s="488">
        <v>7</v>
      </c>
      <c r="CT61" s="488">
        <v>6</v>
      </c>
      <c r="CU61" s="488">
        <v>13</v>
      </c>
      <c r="CV61" s="488">
        <v>7</v>
      </c>
      <c r="CW61" s="489"/>
      <c r="CX61" s="486">
        <v>3870</v>
      </c>
      <c r="CY61" s="487">
        <v>3767</v>
      </c>
      <c r="CZ61" s="487">
        <v>3602</v>
      </c>
      <c r="DA61" s="487">
        <v>3392</v>
      </c>
      <c r="DB61" s="488">
        <v>2811</v>
      </c>
      <c r="DC61" s="488">
        <v>2260</v>
      </c>
      <c r="DD61" s="488">
        <v>1844</v>
      </c>
      <c r="DE61" s="488">
        <v>1671</v>
      </c>
      <c r="DF61" s="489"/>
      <c r="DG61" s="486">
        <v>53</v>
      </c>
      <c r="DH61" s="487">
        <v>25</v>
      </c>
      <c r="DI61" s="487">
        <v>37</v>
      </c>
      <c r="DJ61" s="487">
        <v>29</v>
      </c>
      <c r="DK61" s="488">
        <v>29</v>
      </c>
      <c r="DL61" s="488">
        <v>14</v>
      </c>
      <c r="DM61" s="488">
        <v>5</v>
      </c>
      <c r="DN61" s="488">
        <v>9</v>
      </c>
      <c r="DO61" s="489"/>
      <c r="DP61" s="486">
        <v>172</v>
      </c>
      <c r="DQ61" s="487">
        <v>205</v>
      </c>
      <c r="DR61" s="487">
        <v>100</v>
      </c>
      <c r="DS61" s="487">
        <v>139</v>
      </c>
      <c r="DT61" s="488">
        <v>135</v>
      </c>
      <c r="DU61" s="488">
        <v>69</v>
      </c>
      <c r="DV61" s="488">
        <v>81</v>
      </c>
      <c r="DW61" s="488">
        <v>24</v>
      </c>
      <c r="DX61" s="489"/>
      <c r="DY61" s="486">
        <v>319</v>
      </c>
      <c r="DZ61" s="487">
        <v>285</v>
      </c>
      <c r="EA61" s="487">
        <v>388</v>
      </c>
      <c r="EB61" s="487">
        <v>320</v>
      </c>
      <c r="EC61" s="488">
        <v>274</v>
      </c>
      <c r="ED61" s="488">
        <v>296</v>
      </c>
      <c r="EE61" s="488">
        <v>267</v>
      </c>
      <c r="EF61" s="488">
        <v>177</v>
      </c>
      <c r="EG61" s="489"/>
      <c r="EH61" s="486">
        <v>56</v>
      </c>
      <c r="EI61" s="487">
        <v>68</v>
      </c>
      <c r="EJ61" s="487">
        <v>84</v>
      </c>
      <c r="EK61" s="487">
        <v>45</v>
      </c>
      <c r="EL61" s="488">
        <v>26</v>
      </c>
      <c r="EM61" s="488">
        <v>31</v>
      </c>
      <c r="EN61" s="488">
        <v>41</v>
      </c>
      <c r="EO61" s="488">
        <v>21</v>
      </c>
      <c r="EP61" s="489"/>
      <c r="EQ61" s="486">
        <v>25</v>
      </c>
      <c r="ER61" s="487">
        <v>39</v>
      </c>
      <c r="ES61" s="487">
        <v>50</v>
      </c>
      <c r="ET61" s="487">
        <v>42</v>
      </c>
      <c r="EU61" s="488">
        <v>44</v>
      </c>
      <c r="EV61" s="488">
        <v>44</v>
      </c>
      <c r="EW61" s="488">
        <v>56</v>
      </c>
      <c r="EX61" s="488">
        <v>34</v>
      </c>
      <c r="EY61" s="489"/>
      <c r="EZ61" s="486">
        <v>12</v>
      </c>
      <c r="FA61" s="487">
        <v>16</v>
      </c>
      <c r="FB61" s="487">
        <v>18</v>
      </c>
      <c r="FC61" s="487">
        <v>11</v>
      </c>
      <c r="FD61" s="488">
        <v>8</v>
      </c>
      <c r="FE61" s="488">
        <v>4</v>
      </c>
      <c r="FF61" s="488">
        <v>6</v>
      </c>
      <c r="FG61" s="488">
        <v>6</v>
      </c>
      <c r="FH61" s="489"/>
      <c r="FI61" s="486">
        <v>477</v>
      </c>
      <c r="FJ61" s="487">
        <v>444</v>
      </c>
      <c r="FK61" s="487">
        <v>304</v>
      </c>
      <c r="FL61" s="487">
        <v>167</v>
      </c>
      <c r="FM61" s="488">
        <v>185</v>
      </c>
      <c r="FN61" s="488">
        <v>162</v>
      </c>
      <c r="FO61" s="488">
        <v>156</v>
      </c>
      <c r="FP61" s="488">
        <v>178</v>
      </c>
      <c r="FQ61" s="489"/>
      <c r="FR61" s="486">
        <v>30</v>
      </c>
      <c r="FS61" s="487">
        <v>22</v>
      </c>
      <c r="FT61" s="487">
        <v>15</v>
      </c>
      <c r="FU61" s="487">
        <v>20</v>
      </c>
      <c r="FV61" s="488">
        <v>21</v>
      </c>
      <c r="FW61" s="488">
        <v>15</v>
      </c>
      <c r="FX61" s="488">
        <v>5</v>
      </c>
      <c r="FY61" s="488">
        <v>6</v>
      </c>
      <c r="FZ61" s="489"/>
      <c r="GA61" s="486">
        <v>19</v>
      </c>
      <c r="GB61" s="487">
        <v>33</v>
      </c>
      <c r="GC61" s="487">
        <v>26</v>
      </c>
      <c r="GD61" s="487">
        <v>18</v>
      </c>
      <c r="GE61" s="488">
        <v>12</v>
      </c>
      <c r="GF61" s="488">
        <v>28</v>
      </c>
      <c r="GG61" s="488">
        <v>49</v>
      </c>
      <c r="GH61" s="488">
        <v>15</v>
      </c>
      <c r="GI61" s="489"/>
      <c r="GJ61" s="486">
        <v>5058</v>
      </c>
      <c r="GK61" s="487">
        <v>5087</v>
      </c>
      <c r="GL61" s="487">
        <v>4784</v>
      </c>
      <c r="GM61" s="487">
        <v>4344</v>
      </c>
      <c r="GN61" s="488">
        <v>3768</v>
      </c>
      <c r="GO61" s="488">
        <v>3175</v>
      </c>
      <c r="GP61" s="488">
        <v>2623</v>
      </c>
      <c r="GQ61" s="488">
        <v>2381</v>
      </c>
      <c r="GR61" s="489"/>
      <c r="GS61" s="486">
        <v>1764</v>
      </c>
      <c r="GT61" s="487">
        <v>1882</v>
      </c>
      <c r="GU61" s="487">
        <v>1800</v>
      </c>
      <c r="GV61" s="487">
        <v>1301</v>
      </c>
      <c r="GW61" s="488">
        <v>929</v>
      </c>
      <c r="GX61" s="488">
        <v>734</v>
      </c>
      <c r="GY61" s="488">
        <v>621</v>
      </c>
      <c r="GZ61" s="488">
        <v>416</v>
      </c>
      <c r="HA61" s="489"/>
      <c r="HB61" s="486">
        <v>25</v>
      </c>
      <c r="HC61" s="487">
        <v>15</v>
      </c>
      <c r="HD61" s="487">
        <v>7</v>
      </c>
      <c r="HE61" s="487">
        <v>14</v>
      </c>
      <c r="HF61" s="488">
        <v>12</v>
      </c>
      <c r="HG61" s="488">
        <v>8</v>
      </c>
      <c r="HH61" s="488">
        <v>15</v>
      </c>
      <c r="HI61" s="488">
        <v>4</v>
      </c>
      <c r="HJ61" s="489"/>
      <c r="HK61" s="486">
        <v>7</v>
      </c>
      <c r="HL61" s="487">
        <v>4</v>
      </c>
      <c r="HM61" s="487">
        <v>6</v>
      </c>
      <c r="HN61" s="487">
        <v>11</v>
      </c>
      <c r="HO61" s="488">
        <v>3</v>
      </c>
      <c r="HP61" s="488">
        <v>5</v>
      </c>
      <c r="HQ61" s="488">
        <v>7</v>
      </c>
      <c r="HR61" s="488"/>
      <c r="HS61" s="489"/>
      <c r="HT61" s="486">
        <v>2505</v>
      </c>
      <c r="HU61" s="487">
        <v>2398</v>
      </c>
      <c r="HV61" s="487">
        <v>2181</v>
      </c>
      <c r="HW61" s="487">
        <v>1780</v>
      </c>
      <c r="HX61" s="488">
        <v>1439</v>
      </c>
      <c r="HY61" s="488">
        <v>1254</v>
      </c>
      <c r="HZ61" s="488">
        <v>1127</v>
      </c>
      <c r="IA61" s="488">
        <v>884</v>
      </c>
      <c r="IB61" s="489"/>
      <c r="IC61" s="486">
        <v>12588</v>
      </c>
      <c r="ID61" s="487">
        <v>13927</v>
      </c>
      <c r="IE61" s="487">
        <v>11305</v>
      </c>
      <c r="IF61" s="487">
        <v>7657</v>
      </c>
      <c r="IG61" s="488">
        <v>6573</v>
      </c>
      <c r="IH61" s="488">
        <v>7241</v>
      </c>
      <c r="II61" s="488">
        <v>8739</v>
      </c>
      <c r="IJ61" s="488">
        <v>5188</v>
      </c>
      <c r="IK61" s="489"/>
      <c r="IL61" s="486">
        <v>658</v>
      </c>
      <c r="IM61" s="487">
        <v>668</v>
      </c>
      <c r="IN61" s="487">
        <v>704</v>
      </c>
      <c r="IO61" s="487">
        <v>361</v>
      </c>
      <c r="IP61" s="488">
        <v>311</v>
      </c>
      <c r="IQ61" s="488">
        <v>422</v>
      </c>
      <c r="IR61" s="488">
        <v>395</v>
      </c>
      <c r="IS61" s="488">
        <v>256</v>
      </c>
      <c r="IT61" s="489"/>
      <c r="IU61" s="526">
        <v>5358.1005729268645</v>
      </c>
      <c r="IV61" s="527">
        <v>5915.1818896132854</v>
      </c>
      <c r="IW61" s="527">
        <v>4809.635437717242</v>
      </c>
      <c r="IX61" s="527">
        <v>3398.1875149782977</v>
      </c>
      <c r="IY61" s="528">
        <v>2916.2396347712661</v>
      </c>
      <c r="IZ61" s="528">
        <v>3196.5915044045341</v>
      </c>
      <c r="JA61" s="528">
        <v>3844.5464103929012</v>
      </c>
      <c r="JB61" s="528">
        <v>2296.0120730935532</v>
      </c>
      <c r="JC61" s="529"/>
      <c r="JD61" s="530">
        <v>1066.2569061949314</v>
      </c>
      <c r="JE61" s="531">
        <v>1018.4968888700121</v>
      </c>
      <c r="JF61" s="531">
        <v>927.8916311067054</v>
      </c>
      <c r="JG61" s="531">
        <v>789.96653737251813</v>
      </c>
      <c r="JH61" s="531">
        <v>638.44041296757223</v>
      </c>
      <c r="JI61" s="532">
        <v>554.23509388125092</v>
      </c>
      <c r="JJ61" s="532">
        <v>495.80087018111908</v>
      </c>
      <c r="JK61" s="532">
        <v>391.22487906991159</v>
      </c>
      <c r="JL61" s="529"/>
      <c r="JM61" s="530">
        <v>2152.9450824486876</v>
      </c>
      <c r="JN61" s="531">
        <v>2160.5895219690374</v>
      </c>
      <c r="JO61" s="531">
        <v>2035.3202949172301</v>
      </c>
      <c r="JP61" s="531">
        <v>1927.8733923293362</v>
      </c>
      <c r="JQ61" s="531">
        <v>1671.7466824613009</v>
      </c>
      <c r="JR61" s="532">
        <v>1401.5974863746237</v>
      </c>
      <c r="JS61" s="532">
        <v>1153.935831841238</v>
      </c>
      <c r="JT61" s="532">
        <v>1053.7403134224653</v>
      </c>
      <c r="JU61" s="529"/>
      <c r="JV61" s="530">
        <v>750.84917466181992</v>
      </c>
      <c r="JW61" s="531">
        <v>799.33742487629797</v>
      </c>
      <c r="JX61" s="531">
        <v>765.79776982671694</v>
      </c>
      <c r="JY61" s="531">
        <v>577.38565456272249</v>
      </c>
      <c r="JZ61" s="531">
        <v>412.16896709303307</v>
      </c>
      <c r="KA61" s="532">
        <v>323.90676379293586</v>
      </c>
      <c r="KB61" s="532">
        <v>273.19639785490233</v>
      </c>
      <c r="KC61" s="532">
        <v>184.10582544466425</v>
      </c>
      <c r="KD61" s="529"/>
    </row>
    <row r="62" spans="1:290" ht="15" customHeight="1" x14ac:dyDescent="0.2">
      <c r="A62" s="930"/>
      <c r="B62" s="490" t="s">
        <v>679</v>
      </c>
      <c r="C62" s="491"/>
      <c r="D62" s="492">
        <v>5</v>
      </c>
      <c r="E62" s="492"/>
      <c r="F62" s="492">
        <v>1</v>
      </c>
      <c r="G62" s="493"/>
      <c r="H62" s="493">
        <v>1</v>
      </c>
      <c r="I62" s="493"/>
      <c r="J62" s="493"/>
      <c r="K62" s="199"/>
      <c r="L62" s="491"/>
      <c r="M62" s="492">
        <v>5</v>
      </c>
      <c r="N62" s="492"/>
      <c r="O62" s="492">
        <v>1</v>
      </c>
      <c r="P62" s="493"/>
      <c r="Q62" s="493"/>
      <c r="R62" s="493"/>
      <c r="S62" s="493"/>
      <c r="T62" s="199"/>
      <c r="U62" s="491"/>
      <c r="V62" s="492"/>
      <c r="W62" s="492"/>
      <c r="X62" s="492"/>
      <c r="Y62" s="493"/>
      <c r="Z62" s="493"/>
      <c r="AA62" s="493"/>
      <c r="AB62" s="493"/>
      <c r="AC62" s="199"/>
      <c r="AD62" s="491">
        <v>27</v>
      </c>
      <c r="AE62" s="492">
        <v>38</v>
      </c>
      <c r="AF62" s="492">
        <v>18</v>
      </c>
      <c r="AG62" s="492">
        <v>22</v>
      </c>
      <c r="AH62" s="493">
        <v>18</v>
      </c>
      <c r="AI62" s="493">
        <v>9</v>
      </c>
      <c r="AJ62" s="493">
        <v>11</v>
      </c>
      <c r="AK62" s="493">
        <v>6</v>
      </c>
      <c r="AL62" s="199"/>
      <c r="AM62" s="491">
        <v>6</v>
      </c>
      <c r="AN62" s="492">
        <v>14</v>
      </c>
      <c r="AO62" s="492">
        <v>9</v>
      </c>
      <c r="AP62" s="492">
        <v>9</v>
      </c>
      <c r="AQ62" s="493">
        <v>9</v>
      </c>
      <c r="AR62" s="493">
        <v>7</v>
      </c>
      <c r="AS62" s="493">
        <v>7</v>
      </c>
      <c r="AT62" s="493">
        <v>1</v>
      </c>
      <c r="AU62" s="199"/>
      <c r="AV62" s="491">
        <v>1</v>
      </c>
      <c r="AW62" s="492"/>
      <c r="AX62" s="492"/>
      <c r="AY62" s="492"/>
      <c r="AZ62" s="493"/>
      <c r="BA62" s="493"/>
      <c r="BB62" s="493"/>
      <c r="BC62" s="493"/>
      <c r="BD62" s="199"/>
      <c r="BE62" s="491">
        <v>33</v>
      </c>
      <c r="BF62" s="492">
        <v>3</v>
      </c>
      <c r="BG62" s="492">
        <v>11</v>
      </c>
      <c r="BH62" s="492">
        <v>2</v>
      </c>
      <c r="BI62" s="493">
        <v>1</v>
      </c>
      <c r="BJ62" s="493">
        <v>1</v>
      </c>
      <c r="BK62" s="493"/>
      <c r="BL62" s="493">
        <v>2</v>
      </c>
      <c r="BM62" s="199"/>
      <c r="BN62" s="491"/>
      <c r="BO62" s="492"/>
      <c r="BP62" s="492"/>
      <c r="BQ62" s="492"/>
      <c r="BR62" s="493"/>
      <c r="BS62" s="493"/>
      <c r="BT62" s="493"/>
      <c r="BU62" s="493"/>
      <c r="BV62" s="199"/>
      <c r="BW62" s="491">
        <v>34</v>
      </c>
      <c r="BX62" s="492">
        <v>25</v>
      </c>
      <c r="BY62" s="492">
        <v>21</v>
      </c>
      <c r="BZ62" s="492">
        <v>32</v>
      </c>
      <c r="CA62" s="493">
        <v>26</v>
      </c>
      <c r="CB62" s="493">
        <v>29</v>
      </c>
      <c r="CC62" s="493">
        <v>21</v>
      </c>
      <c r="CD62" s="493">
        <v>17</v>
      </c>
      <c r="CE62" s="199"/>
      <c r="CF62" s="491">
        <v>4</v>
      </c>
      <c r="CG62" s="492"/>
      <c r="CH62" s="492"/>
      <c r="CI62" s="492">
        <v>4</v>
      </c>
      <c r="CJ62" s="493">
        <v>1</v>
      </c>
      <c r="CK62" s="493"/>
      <c r="CL62" s="493"/>
      <c r="CM62" s="493"/>
      <c r="CN62" s="199"/>
      <c r="CO62" s="491">
        <v>3</v>
      </c>
      <c r="CP62" s="492">
        <v>1</v>
      </c>
      <c r="CQ62" s="492"/>
      <c r="CR62" s="492">
        <v>2</v>
      </c>
      <c r="CS62" s="493">
        <v>1</v>
      </c>
      <c r="CT62" s="493"/>
      <c r="CU62" s="493"/>
      <c r="CV62" s="493">
        <v>2</v>
      </c>
      <c r="CW62" s="199"/>
      <c r="CX62" s="491">
        <v>397</v>
      </c>
      <c r="CY62" s="492">
        <v>430</v>
      </c>
      <c r="CZ62" s="492">
        <v>436</v>
      </c>
      <c r="DA62" s="492">
        <v>367</v>
      </c>
      <c r="DB62" s="493">
        <v>294</v>
      </c>
      <c r="DC62" s="493">
        <v>180</v>
      </c>
      <c r="DD62" s="493">
        <v>141</v>
      </c>
      <c r="DE62" s="493">
        <v>130</v>
      </c>
      <c r="DF62" s="199"/>
      <c r="DG62" s="491"/>
      <c r="DH62" s="492"/>
      <c r="DI62" s="492">
        <v>2</v>
      </c>
      <c r="DJ62" s="492">
        <v>1</v>
      </c>
      <c r="DK62" s="493"/>
      <c r="DL62" s="493"/>
      <c r="DM62" s="493"/>
      <c r="DN62" s="493"/>
      <c r="DO62" s="199"/>
      <c r="DP62" s="491">
        <v>18</v>
      </c>
      <c r="DQ62" s="492">
        <v>17</v>
      </c>
      <c r="DR62" s="492">
        <v>12</v>
      </c>
      <c r="DS62" s="492">
        <v>4</v>
      </c>
      <c r="DT62" s="493">
        <v>6</v>
      </c>
      <c r="DU62" s="493">
        <v>4</v>
      </c>
      <c r="DV62" s="493"/>
      <c r="DW62" s="493">
        <v>4</v>
      </c>
      <c r="DX62" s="199"/>
      <c r="DY62" s="491">
        <v>34</v>
      </c>
      <c r="DZ62" s="492">
        <v>39</v>
      </c>
      <c r="EA62" s="492">
        <v>30</v>
      </c>
      <c r="EB62" s="492">
        <v>34</v>
      </c>
      <c r="EC62" s="493">
        <v>31</v>
      </c>
      <c r="ED62" s="493">
        <v>24</v>
      </c>
      <c r="EE62" s="493">
        <v>22</v>
      </c>
      <c r="EF62" s="493">
        <v>37</v>
      </c>
      <c r="EG62" s="199"/>
      <c r="EH62" s="491">
        <v>1</v>
      </c>
      <c r="EI62" s="492">
        <v>6</v>
      </c>
      <c r="EJ62" s="492">
        <v>4</v>
      </c>
      <c r="EK62" s="492">
        <v>2</v>
      </c>
      <c r="EL62" s="493">
        <v>3</v>
      </c>
      <c r="EM62" s="493">
        <v>1</v>
      </c>
      <c r="EN62" s="493">
        <v>1</v>
      </c>
      <c r="EO62" s="493"/>
      <c r="EP62" s="199"/>
      <c r="EQ62" s="491">
        <v>1</v>
      </c>
      <c r="ER62" s="492"/>
      <c r="ES62" s="492"/>
      <c r="ET62" s="492"/>
      <c r="EU62" s="493">
        <v>1</v>
      </c>
      <c r="EV62" s="493">
        <v>4</v>
      </c>
      <c r="EW62" s="493">
        <v>2</v>
      </c>
      <c r="EX62" s="493">
        <v>1</v>
      </c>
      <c r="EY62" s="199"/>
      <c r="EZ62" s="491">
        <v>1</v>
      </c>
      <c r="FA62" s="492">
        <v>1</v>
      </c>
      <c r="FB62" s="492">
        <v>5</v>
      </c>
      <c r="FC62" s="492">
        <v>1</v>
      </c>
      <c r="FD62" s="493"/>
      <c r="FE62" s="493"/>
      <c r="FF62" s="493"/>
      <c r="FG62" s="493"/>
      <c r="FH62" s="199"/>
      <c r="FI62" s="491">
        <v>20</v>
      </c>
      <c r="FJ62" s="492">
        <v>40</v>
      </c>
      <c r="FK62" s="492">
        <v>25</v>
      </c>
      <c r="FL62" s="492">
        <v>6</v>
      </c>
      <c r="FM62" s="493">
        <v>4</v>
      </c>
      <c r="FN62" s="493">
        <v>7</v>
      </c>
      <c r="FO62" s="493">
        <v>5</v>
      </c>
      <c r="FP62" s="493">
        <v>6</v>
      </c>
      <c r="FQ62" s="199"/>
      <c r="FR62" s="491">
        <v>1</v>
      </c>
      <c r="FS62" s="492"/>
      <c r="FT62" s="492">
        <v>2</v>
      </c>
      <c r="FU62" s="492">
        <v>2</v>
      </c>
      <c r="FV62" s="493"/>
      <c r="FW62" s="493">
        <v>1</v>
      </c>
      <c r="FX62" s="493"/>
      <c r="FY62" s="493"/>
      <c r="FZ62" s="199"/>
      <c r="GA62" s="491">
        <v>3</v>
      </c>
      <c r="GB62" s="492">
        <v>3</v>
      </c>
      <c r="GC62" s="492">
        <v>4</v>
      </c>
      <c r="GD62" s="492">
        <v>6</v>
      </c>
      <c r="GE62" s="493">
        <v>2</v>
      </c>
      <c r="GF62" s="493">
        <v>8</v>
      </c>
      <c r="GG62" s="493">
        <v>2</v>
      </c>
      <c r="GH62" s="493">
        <v>4</v>
      </c>
      <c r="GI62" s="199"/>
      <c r="GJ62" s="491">
        <v>525</v>
      </c>
      <c r="GK62" s="492">
        <v>552</v>
      </c>
      <c r="GL62" s="492">
        <v>526</v>
      </c>
      <c r="GM62" s="492">
        <v>447</v>
      </c>
      <c r="GN62" s="493">
        <v>351</v>
      </c>
      <c r="GO62" s="493">
        <v>241</v>
      </c>
      <c r="GP62" s="493">
        <v>183</v>
      </c>
      <c r="GQ62" s="493">
        <v>168</v>
      </c>
      <c r="GR62" s="199"/>
      <c r="GS62" s="491">
        <v>148</v>
      </c>
      <c r="GT62" s="492">
        <v>160</v>
      </c>
      <c r="GU62" s="492">
        <v>141</v>
      </c>
      <c r="GV62" s="492">
        <v>87</v>
      </c>
      <c r="GW62" s="493">
        <v>62</v>
      </c>
      <c r="GX62" s="493">
        <v>60</v>
      </c>
      <c r="GY62" s="493">
        <v>39</v>
      </c>
      <c r="GZ62" s="493">
        <v>40</v>
      </c>
      <c r="HA62" s="199"/>
      <c r="HB62" s="491"/>
      <c r="HC62" s="492">
        <v>1</v>
      </c>
      <c r="HD62" s="492">
        <v>1</v>
      </c>
      <c r="HE62" s="492">
        <v>1</v>
      </c>
      <c r="HF62" s="493"/>
      <c r="HG62" s="493"/>
      <c r="HH62" s="493">
        <v>2</v>
      </c>
      <c r="HI62" s="493"/>
      <c r="HJ62" s="199"/>
      <c r="HK62" s="491"/>
      <c r="HL62" s="492">
        <v>1</v>
      </c>
      <c r="HM62" s="492"/>
      <c r="HN62" s="492"/>
      <c r="HO62" s="493">
        <v>1</v>
      </c>
      <c r="HP62" s="493"/>
      <c r="HQ62" s="493">
        <v>1</v>
      </c>
      <c r="HR62" s="493">
        <v>2</v>
      </c>
      <c r="HS62" s="199"/>
      <c r="HT62" s="491">
        <v>228</v>
      </c>
      <c r="HU62" s="492">
        <v>218</v>
      </c>
      <c r="HV62" s="492">
        <v>186</v>
      </c>
      <c r="HW62" s="492">
        <v>152</v>
      </c>
      <c r="HX62" s="493">
        <v>129</v>
      </c>
      <c r="HY62" s="493">
        <v>150</v>
      </c>
      <c r="HZ62" s="493">
        <v>109</v>
      </c>
      <c r="IA62" s="493">
        <v>144</v>
      </c>
      <c r="IB62" s="199"/>
      <c r="IC62" s="491">
        <v>940</v>
      </c>
      <c r="ID62" s="492">
        <v>996</v>
      </c>
      <c r="IE62" s="492">
        <v>815</v>
      </c>
      <c r="IF62" s="492">
        <v>657</v>
      </c>
      <c r="IG62" s="493">
        <v>548</v>
      </c>
      <c r="IH62" s="493">
        <v>443</v>
      </c>
      <c r="II62" s="493">
        <v>382</v>
      </c>
      <c r="IJ62" s="493">
        <v>371</v>
      </c>
      <c r="IK62" s="199"/>
      <c r="IL62" s="491">
        <v>74</v>
      </c>
      <c r="IM62" s="492">
        <v>91</v>
      </c>
      <c r="IN62" s="492">
        <v>80</v>
      </c>
      <c r="IO62" s="492">
        <v>70</v>
      </c>
      <c r="IP62" s="493">
        <v>25</v>
      </c>
      <c r="IQ62" s="493">
        <v>36</v>
      </c>
      <c r="IR62" s="493">
        <v>30</v>
      </c>
      <c r="IS62" s="493">
        <v>45</v>
      </c>
      <c r="IT62" s="199"/>
      <c r="IU62" s="533">
        <v>4017.4373878109236</v>
      </c>
      <c r="IV62" s="534">
        <v>4318.980096266424</v>
      </c>
      <c r="IW62" s="534">
        <v>3600.9366853709189</v>
      </c>
      <c r="IX62" s="534">
        <v>2894.6556813675816</v>
      </c>
      <c r="IY62" s="535">
        <v>2457.7297394268285</v>
      </c>
      <c r="IZ62" s="535">
        <v>2004.7970312712132</v>
      </c>
      <c r="JA62" s="535">
        <v>1759.4767629312328</v>
      </c>
      <c r="JB62" s="535">
        <v>1724.1379310344828</v>
      </c>
      <c r="JC62" s="536"/>
      <c r="JD62" s="537">
        <v>974.4422600222241</v>
      </c>
      <c r="JE62" s="538">
        <v>945.31893673301238</v>
      </c>
      <c r="JF62" s="538">
        <v>821.80886316440603</v>
      </c>
      <c r="JG62" s="538">
        <v>669.69202978367184</v>
      </c>
      <c r="JH62" s="538">
        <v>578.55316858770232</v>
      </c>
      <c r="JI62" s="539">
        <v>678.82517988867266</v>
      </c>
      <c r="JJ62" s="539">
        <v>502.04965225001155</v>
      </c>
      <c r="JK62" s="539">
        <v>669.20717538804718</v>
      </c>
      <c r="JL62" s="536"/>
      <c r="JM62" s="537">
        <v>2243.7815197880159</v>
      </c>
      <c r="JN62" s="538">
        <v>2393.6516196175362</v>
      </c>
      <c r="JO62" s="538">
        <v>2324.0401184111697</v>
      </c>
      <c r="JP62" s="538">
        <v>1969.4232717980351</v>
      </c>
      <c r="JQ62" s="538">
        <v>1574.2028075525855</v>
      </c>
      <c r="JR62" s="539">
        <v>1090.6457890211341</v>
      </c>
      <c r="JS62" s="539">
        <v>842.89070056653304</v>
      </c>
      <c r="JT62" s="539">
        <v>780.74170461938843</v>
      </c>
      <c r="JU62" s="536"/>
      <c r="JV62" s="537">
        <v>632.53269510214557</v>
      </c>
      <c r="JW62" s="538">
        <v>693.81206365725677</v>
      </c>
      <c r="JX62" s="538">
        <v>622.98413820527549</v>
      </c>
      <c r="JY62" s="538">
        <v>383.31056967881216</v>
      </c>
      <c r="JZ62" s="538">
        <v>278.06431358478716</v>
      </c>
      <c r="KA62" s="539">
        <v>271.53007195546905</v>
      </c>
      <c r="KB62" s="539">
        <v>179.63244438303164</v>
      </c>
      <c r="KC62" s="539">
        <v>185.89088205223536</v>
      </c>
      <c r="KD62" s="536"/>
    </row>
    <row r="63" spans="1:290" ht="15" customHeight="1" x14ac:dyDescent="0.2">
      <c r="A63" s="930"/>
      <c r="B63" s="490" t="s">
        <v>680</v>
      </c>
      <c r="C63" s="491">
        <v>3</v>
      </c>
      <c r="D63" s="492"/>
      <c r="E63" s="492"/>
      <c r="F63" s="492">
        <v>2</v>
      </c>
      <c r="G63" s="493"/>
      <c r="H63" s="493"/>
      <c r="I63" s="493">
        <v>1</v>
      </c>
      <c r="J63" s="493">
        <v>1</v>
      </c>
      <c r="K63" s="199"/>
      <c r="L63" s="491">
        <v>2</v>
      </c>
      <c r="M63" s="492"/>
      <c r="N63" s="492"/>
      <c r="O63" s="492">
        <v>2</v>
      </c>
      <c r="P63" s="493"/>
      <c r="Q63" s="493"/>
      <c r="R63" s="493"/>
      <c r="S63" s="493"/>
      <c r="T63" s="199"/>
      <c r="U63" s="491">
        <v>1</v>
      </c>
      <c r="V63" s="492"/>
      <c r="W63" s="492"/>
      <c r="X63" s="492"/>
      <c r="Y63" s="493"/>
      <c r="Z63" s="493"/>
      <c r="AA63" s="493">
        <v>1</v>
      </c>
      <c r="AB63" s="493">
        <v>1</v>
      </c>
      <c r="AC63" s="199"/>
      <c r="AD63" s="491">
        <v>84</v>
      </c>
      <c r="AE63" s="492">
        <v>78</v>
      </c>
      <c r="AF63" s="492">
        <v>56</v>
      </c>
      <c r="AG63" s="492">
        <v>79</v>
      </c>
      <c r="AH63" s="493">
        <v>103</v>
      </c>
      <c r="AI63" s="493">
        <v>105</v>
      </c>
      <c r="AJ63" s="493">
        <v>87</v>
      </c>
      <c r="AK63" s="493">
        <v>99</v>
      </c>
      <c r="AL63" s="199"/>
      <c r="AM63" s="491">
        <v>40</v>
      </c>
      <c r="AN63" s="492">
        <v>22</v>
      </c>
      <c r="AO63" s="492">
        <v>11</v>
      </c>
      <c r="AP63" s="492">
        <v>19</v>
      </c>
      <c r="AQ63" s="493">
        <v>20</v>
      </c>
      <c r="AR63" s="493">
        <v>9</v>
      </c>
      <c r="AS63" s="493">
        <v>15</v>
      </c>
      <c r="AT63" s="493">
        <v>26</v>
      </c>
      <c r="AU63" s="199"/>
      <c r="AV63" s="491"/>
      <c r="AW63" s="492">
        <v>1</v>
      </c>
      <c r="AX63" s="492"/>
      <c r="AY63" s="492"/>
      <c r="AZ63" s="493"/>
      <c r="BA63" s="493"/>
      <c r="BB63" s="493"/>
      <c r="BC63" s="493"/>
      <c r="BD63" s="199"/>
      <c r="BE63" s="491">
        <v>10</v>
      </c>
      <c r="BF63" s="492">
        <v>6</v>
      </c>
      <c r="BG63" s="492">
        <v>10</v>
      </c>
      <c r="BH63" s="492">
        <v>11</v>
      </c>
      <c r="BI63" s="493">
        <v>9</v>
      </c>
      <c r="BJ63" s="493">
        <v>2</v>
      </c>
      <c r="BK63" s="493">
        <v>15</v>
      </c>
      <c r="BL63" s="493">
        <v>12</v>
      </c>
      <c r="BM63" s="199"/>
      <c r="BN63" s="491"/>
      <c r="BO63" s="492"/>
      <c r="BP63" s="492"/>
      <c r="BQ63" s="492"/>
      <c r="BR63" s="493">
        <v>2</v>
      </c>
      <c r="BS63" s="493"/>
      <c r="BT63" s="493"/>
      <c r="BU63" s="493"/>
      <c r="BV63" s="199"/>
      <c r="BW63" s="491">
        <v>92</v>
      </c>
      <c r="BX63" s="492">
        <v>110</v>
      </c>
      <c r="BY63" s="492">
        <v>98</v>
      </c>
      <c r="BZ63" s="492">
        <v>96</v>
      </c>
      <c r="CA63" s="493">
        <v>57</v>
      </c>
      <c r="CB63" s="493">
        <v>86</v>
      </c>
      <c r="CC63" s="493">
        <v>66</v>
      </c>
      <c r="CD63" s="493">
        <v>83</v>
      </c>
      <c r="CE63" s="199"/>
      <c r="CF63" s="491">
        <v>4</v>
      </c>
      <c r="CG63" s="492">
        <v>5</v>
      </c>
      <c r="CH63" s="492">
        <v>4</v>
      </c>
      <c r="CI63" s="492"/>
      <c r="CJ63" s="493">
        <v>3</v>
      </c>
      <c r="CK63" s="493">
        <v>6</v>
      </c>
      <c r="CL63" s="493">
        <v>3</v>
      </c>
      <c r="CM63" s="493">
        <v>2</v>
      </c>
      <c r="CN63" s="199"/>
      <c r="CO63" s="491">
        <v>3</v>
      </c>
      <c r="CP63" s="492">
        <v>3</v>
      </c>
      <c r="CQ63" s="492">
        <v>2</v>
      </c>
      <c r="CR63" s="492">
        <v>3</v>
      </c>
      <c r="CS63" s="493">
        <v>1</v>
      </c>
      <c r="CT63" s="493">
        <v>2</v>
      </c>
      <c r="CU63" s="493">
        <v>3</v>
      </c>
      <c r="CV63" s="493">
        <v>5</v>
      </c>
      <c r="CW63" s="199"/>
      <c r="CX63" s="491">
        <v>865</v>
      </c>
      <c r="CY63" s="492">
        <v>852</v>
      </c>
      <c r="CZ63" s="492">
        <v>844</v>
      </c>
      <c r="DA63" s="492">
        <v>740</v>
      </c>
      <c r="DB63" s="493">
        <v>747</v>
      </c>
      <c r="DC63" s="493">
        <v>393</v>
      </c>
      <c r="DD63" s="493">
        <v>362</v>
      </c>
      <c r="DE63" s="493">
        <v>308</v>
      </c>
      <c r="DF63" s="199"/>
      <c r="DG63" s="491">
        <v>3</v>
      </c>
      <c r="DH63" s="492">
        <v>3</v>
      </c>
      <c r="DI63" s="492">
        <v>2</v>
      </c>
      <c r="DJ63" s="492">
        <v>2</v>
      </c>
      <c r="DK63" s="493">
        <v>1</v>
      </c>
      <c r="DL63" s="493">
        <v>2</v>
      </c>
      <c r="DM63" s="493">
        <v>2</v>
      </c>
      <c r="DN63" s="493">
        <v>1</v>
      </c>
      <c r="DO63" s="199"/>
      <c r="DP63" s="491">
        <v>34</v>
      </c>
      <c r="DQ63" s="492">
        <v>30</v>
      </c>
      <c r="DR63" s="492">
        <v>14</v>
      </c>
      <c r="DS63" s="492">
        <v>9</v>
      </c>
      <c r="DT63" s="493">
        <v>17</v>
      </c>
      <c r="DU63" s="493">
        <v>3</v>
      </c>
      <c r="DV63" s="493">
        <v>1</v>
      </c>
      <c r="DW63" s="493">
        <v>1</v>
      </c>
      <c r="DX63" s="199"/>
      <c r="DY63" s="491">
        <v>32</v>
      </c>
      <c r="DZ63" s="492">
        <v>27</v>
      </c>
      <c r="EA63" s="492">
        <v>50</v>
      </c>
      <c r="EB63" s="492">
        <v>59</v>
      </c>
      <c r="EC63" s="493">
        <v>62</v>
      </c>
      <c r="ED63" s="493">
        <v>66</v>
      </c>
      <c r="EE63" s="493">
        <v>52</v>
      </c>
      <c r="EF63" s="493">
        <v>26</v>
      </c>
      <c r="EG63" s="199"/>
      <c r="EH63" s="491">
        <v>12</v>
      </c>
      <c r="EI63" s="492">
        <v>13</v>
      </c>
      <c r="EJ63" s="492">
        <v>7</v>
      </c>
      <c r="EK63" s="492">
        <v>7</v>
      </c>
      <c r="EL63" s="493">
        <v>5</v>
      </c>
      <c r="EM63" s="493">
        <v>6</v>
      </c>
      <c r="EN63" s="493">
        <v>1</v>
      </c>
      <c r="EO63" s="493">
        <v>1</v>
      </c>
      <c r="EP63" s="199"/>
      <c r="EQ63" s="491">
        <v>1</v>
      </c>
      <c r="ER63" s="492">
        <v>2</v>
      </c>
      <c r="ES63" s="492">
        <v>2</v>
      </c>
      <c r="ET63" s="492"/>
      <c r="EU63" s="493">
        <v>1</v>
      </c>
      <c r="EV63" s="493">
        <v>2</v>
      </c>
      <c r="EW63" s="493">
        <v>1</v>
      </c>
      <c r="EX63" s="493">
        <v>3</v>
      </c>
      <c r="EY63" s="199"/>
      <c r="EZ63" s="491">
        <v>7</v>
      </c>
      <c r="FA63" s="492">
        <v>3</v>
      </c>
      <c r="FB63" s="492"/>
      <c r="FC63" s="492">
        <v>1</v>
      </c>
      <c r="FD63" s="493">
        <v>2</v>
      </c>
      <c r="FE63" s="493">
        <v>2</v>
      </c>
      <c r="FF63" s="493"/>
      <c r="FG63" s="493">
        <v>2</v>
      </c>
      <c r="FH63" s="199"/>
      <c r="FI63" s="491">
        <v>52</v>
      </c>
      <c r="FJ63" s="492">
        <v>72</v>
      </c>
      <c r="FK63" s="492">
        <v>41</v>
      </c>
      <c r="FL63" s="492">
        <v>45</v>
      </c>
      <c r="FM63" s="493">
        <v>25</v>
      </c>
      <c r="FN63" s="493">
        <v>26</v>
      </c>
      <c r="FO63" s="493">
        <v>20</v>
      </c>
      <c r="FP63" s="493">
        <v>17</v>
      </c>
      <c r="FQ63" s="199"/>
      <c r="FR63" s="491">
        <v>6</v>
      </c>
      <c r="FS63" s="492">
        <v>11</v>
      </c>
      <c r="FT63" s="492">
        <v>5</v>
      </c>
      <c r="FU63" s="492">
        <v>3</v>
      </c>
      <c r="FV63" s="493">
        <v>2</v>
      </c>
      <c r="FW63" s="493">
        <v>4</v>
      </c>
      <c r="FX63" s="493">
        <v>1</v>
      </c>
      <c r="FY63" s="493">
        <v>2</v>
      </c>
      <c r="FZ63" s="199"/>
      <c r="GA63" s="491">
        <v>5</v>
      </c>
      <c r="GB63" s="492">
        <v>2</v>
      </c>
      <c r="GC63" s="492">
        <v>9</v>
      </c>
      <c r="GD63" s="492">
        <v>3</v>
      </c>
      <c r="GE63" s="493">
        <v>6</v>
      </c>
      <c r="GF63" s="493">
        <v>3</v>
      </c>
      <c r="GG63" s="493">
        <v>14</v>
      </c>
      <c r="GH63" s="493">
        <v>10</v>
      </c>
      <c r="GI63" s="199"/>
      <c r="GJ63" s="491">
        <v>1144</v>
      </c>
      <c r="GK63" s="492">
        <v>1157</v>
      </c>
      <c r="GL63" s="492">
        <v>1078</v>
      </c>
      <c r="GM63" s="492">
        <v>990</v>
      </c>
      <c r="GN63" s="493">
        <v>963</v>
      </c>
      <c r="GO63" s="493">
        <v>637</v>
      </c>
      <c r="GP63" s="493">
        <v>574</v>
      </c>
      <c r="GQ63" s="493">
        <v>545</v>
      </c>
      <c r="GR63" s="199"/>
      <c r="GS63" s="491">
        <v>424</v>
      </c>
      <c r="GT63" s="492">
        <v>474</v>
      </c>
      <c r="GU63" s="492">
        <v>388</v>
      </c>
      <c r="GV63" s="492">
        <v>299</v>
      </c>
      <c r="GW63" s="493">
        <v>197</v>
      </c>
      <c r="GX63" s="493">
        <v>174</v>
      </c>
      <c r="GY63" s="493">
        <v>134</v>
      </c>
      <c r="GZ63" s="493">
        <v>175</v>
      </c>
      <c r="HA63" s="199"/>
      <c r="HB63" s="491">
        <v>9</v>
      </c>
      <c r="HC63" s="492">
        <v>7</v>
      </c>
      <c r="HD63" s="492">
        <v>2</v>
      </c>
      <c r="HE63" s="492">
        <v>1</v>
      </c>
      <c r="HF63" s="493">
        <v>2</v>
      </c>
      <c r="HG63" s="493">
        <v>4</v>
      </c>
      <c r="HH63" s="493">
        <v>1</v>
      </c>
      <c r="HI63" s="493"/>
      <c r="HJ63" s="199"/>
      <c r="HK63" s="491">
        <v>3</v>
      </c>
      <c r="HL63" s="492">
        <v>2</v>
      </c>
      <c r="HM63" s="492"/>
      <c r="HN63" s="492"/>
      <c r="HO63" s="493">
        <v>1</v>
      </c>
      <c r="HP63" s="493">
        <v>1</v>
      </c>
      <c r="HQ63" s="493"/>
      <c r="HR63" s="493">
        <v>1</v>
      </c>
      <c r="HS63" s="199"/>
      <c r="HT63" s="491">
        <v>560</v>
      </c>
      <c r="HU63" s="492">
        <v>562</v>
      </c>
      <c r="HV63" s="492">
        <v>458</v>
      </c>
      <c r="HW63" s="492">
        <v>383</v>
      </c>
      <c r="HX63" s="493">
        <v>319</v>
      </c>
      <c r="HY63" s="493">
        <v>269</v>
      </c>
      <c r="HZ63" s="493">
        <v>240</v>
      </c>
      <c r="IA63" s="493">
        <v>274</v>
      </c>
      <c r="IB63" s="199"/>
      <c r="IC63" s="491">
        <v>2514</v>
      </c>
      <c r="ID63" s="492">
        <v>2270</v>
      </c>
      <c r="IE63" s="492">
        <v>2895</v>
      </c>
      <c r="IF63" s="492">
        <v>1548</v>
      </c>
      <c r="IG63" s="493">
        <v>1578</v>
      </c>
      <c r="IH63" s="493">
        <v>1154</v>
      </c>
      <c r="II63" s="493">
        <v>1436</v>
      </c>
      <c r="IJ63" s="493">
        <v>967</v>
      </c>
      <c r="IK63" s="199"/>
      <c r="IL63" s="491">
        <v>111</v>
      </c>
      <c r="IM63" s="492">
        <v>107</v>
      </c>
      <c r="IN63" s="492">
        <v>132</v>
      </c>
      <c r="IO63" s="492">
        <v>63</v>
      </c>
      <c r="IP63" s="493">
        <v>66</v>
      </c>
      <c r="IQ63" s="493">
        <v>87</v>
      </c>
      <c r="IR63" s="493">
        <v>86</v>
      </c>
      <c r="IS63" s="493">
        <v>45</v>
      </c>
      <c r="IT63" s="199"/>
      <c r="IU63" s="533">
        <v>4351.3630463003028</v>
      </c>
      <c r="IV63" s="534">
        <v>3947.6887760425725</v>
      </c>
      <c r="IW63" s="534">
        <v>5087.6946328775794</v>
      </c>
      <c r="IX63" s="534">
        <v>2756.2139448757212</v>
      </c>
      <c r="IY63" s="535">
        <v>2842.4750067549312</v>
      </c>
      <c r="IZ63" s="535">
        <v>2100.3203261502622</v>
      </c>
      <c r="JA63" s="535">
        <v>2640.1426706624256</v>
      </c>
      <c r="JB63" s="535">
        <v>1795.7955727232209</v>
      </c>
      <c r="JC63" s="536"/>
      <c r="JD63" s="537">
        <v>969.27736910428393</v>
      </c>
      <c r="JE63" s="538">
        <v>977.35730931098055</v>
      </c>
      <c r="JF63" s="538">
        <v>804.89262240343044</v>
      </c>
      <c r="JG63" s="538">
        <v>681.93148636137028</v>
      </c>
      <c r="JH63" s="538">
        <v>574.61947221471667</v>
      </c>
      <c r="JI63" s="539">
        <v>489.58940011648224</v>
      </c>
      <c r="JJ63" s="539">
        <v>441.24947141990407</v>
      </c>
      <c r="JK63" s="539">
        <v>508.8396969246769</v>
      </c>
      <c r="JL63" s="536"/>
      <c r="JM63" s="537">
        <v>1980.0951968844654</v>
      </c>
      <c r="JN63" s="538">
        <v>2012.1039268199365</v>
      </c>
      <c r="JO63" s="538">
        <v>1894.4852553513056</v>
      </c>
      <c r="JP63" s="538">
        <v>1762.6949647461008</v>
      </c>
      <c r="JQ63" s="538">
        <v>1734.6663064036748</v>
      </c>
      <c r="JR63" s="539">
        <v>1159.3622597553872</v>
      </c>
      <c r="JS63" s="539">
        <v>1055.3216524792704</v>
      </c>
      <c r="JT63" s="539">
        <v>1012.1081562917843</v>
      </c>
      <c r="JU63" s="536"/>
      <c r="JV63" s="537">
        <v>733.88143660752928</v>
      </c>
      <c r="JW63" s="538">
        <v>824.31915411637863</v>
      </c>
      <c r="JX63" s="538">
        <v>681.87409932867035</v>
      </c>
      <c r="JY63" s="538">
        <v>532.36948935261023</v>
      </c>
      <c r="JZ63" s="538">
        <v>354.85904710438621</v>
      </c>
      <c r="KA63" s="539">
        <v>316.68608037274316</v>
      </c>
      <c r="KB63" s="539">
        <v>246.36428820944641</v>
      </c>
      <c r="KC63" s="539">
        <v>324.98885752488491</v>
      </c>
      <c r="KD63" s="536"/>
    </row>
    <row r="64" spans="1:290" ht="15" customHeight="1" x14ac:dyDescent="0.2">
      <c r="A64" s="930"/>
      <c r="B64" s="490" t="s">
        <v>681</v>
      </c>
      <c r="C64" s="491"/>
      <c r="D64" s="492">
        <v>1</v>
      </c>
      <c r="E64" s="492"/>
      <c r="F64" s="492"/>
      <c r="G64" s="493">
        <v>1</v>
      </c>
      <c r="H64" s="493"/>
      <c r="I64" s="493"/>
      <c r="J64" s="493">
        <v>1</v>
      </c>
      <c r="K64" s="199"/>
      <c r="L64" s="491"/>
      <c r="M64" s="492">
        <v>1</v>
      </c>
      <c r="N64" s="492"/>
      <c r="O64" s="492"/>
      <c r="P64" s="493">
        <v>1</v>
      </c>
      <c r="Q64" s="493"/>
      <c r="R64" s="493"/>
      <c r="S64" s="493">
        <v>1</v>
      </c>
      <c r="T64" s="199"/>
      <c r="U64" s="491"/>
      <c r="V64" s="492"/>
      <c r="W64" s="492"/>
      <c r="X64" s="492"/>
      <c r="Y64" s="493"/>
      <c r="Z64" s="493"/>
      <c r="AA64" s="493"/>
      <c r="AB64" s="493"/>
      <c r="AC64" s="199"/>
      <c r="AD64" s="491">
        <v>62</v>
      </c>
      <c r="AE64" s="492">
        <v>60</v>
      </c>
      <c r="AF64" s="492">
        <v>54</v>
      </c>
      <c r="AG64" s="492">
        <v>60</v>
      </c>
      <c r="AH64" s="493">
        <v>51</v>
      </c>
      <c r="AI64" s="493">
        <v>60</v>
      </c>
      <c r="AJ64" s="493">
        <v>57</v>
      </c>
      <c r="AK64" s="493">
        <v>39</v>
      </c>
      <c r="AL64" s="199"/>
      <c r="AM64" s="491">
        <v>26</v>
      </c>
      <c r="AN64" s="492">
        <v>20</v>
      </c>
      <c r="AO64" s="492">
        <v>12</v>
      </c>
      <c r="AP64" s="492">
        <v>19</v>
      </c>
      <c r="AQ64" s="493">
        <v>16</v>
      </c>
      <c r="AR64" s="493">
        <v>28</v>
      </c>
      <c r="AS64" s="493">
        <v>30</v>
      </c>
      <c r="AT64" s="493">
        <v>15</v>
      </c>
      <c r="AU64" s="199"/>
      <c r="AV64" s="491"/>
      <c r="AW64" s="492"/>
      <c r="AX64" s="492"/>
      <c r="AY64" s="492">
        <v>1</v>
      </c>
      <c r="AZ64" s="493"/>
      <c r="BA64" s="493">
        <v>1</v>
      </c>
      <c r="BB64" s="493">
        <v>1</v>
      </c>
      <c r="BC64" s="493">
        <v>1</v>
      </c>
      <c r="BD64" s="199"/>
      <c r="BE64" s="491">
        <v>9</v>
      </c>
      <c r="BF64" s="492">
        <v>11</v>
      </c>
      <c r="BG64" s="492">
        <v>17</v>
      </c>
      <c r="BH64" s="492">
        <v>14</v>
      </c>
      <c r="BI64" s="493">
        <v>9</v>
      </c>
      <c r="BJ64" s="493">
        <v>12</v>
      </c>
      <c r="BK64" s="493">
        <v>15</v>
      </c>
      <c r="BL64" s="493">
        <v>15</v>
      </c>
      <c r="BM64" s="199"/>
      <c r="BN64" s="491">
        <v>8</v>
      </c>
      <c r="BO64" s="492">
        <v>6</v>
      </c>
      <c r="BP64" s="492">
        <v>4</v>
      </c>
      <c r="BQ64" s="492">
        <v>3</v>
      </c>
      <c r="BR64" s="493">
        <v>5</v>
      </c>
      <c r="BS64" s="493"/>
      <c r="BT64" s="493">
        <v>5</v>
      </c>
      <c r="BU64" s="493">
        <v>2</v>
      </c>
      <c r="BV64" s="199"/>
      <c r="BW64" s="491">
        <v>66</v>
      </c>
      <c r="BX64" s="492">
        <v>61</v>
      </c>
      <c r="BY64" s="492">
        <v>69</v>
      </c>
      <c r="BZ64" s="492">
        <v>52</v>
      </c>
      <c r="CA64" s="493">
        <v>55</v>
      </c>
      <c r="CB64" s="493">
        <v>55</v>
      </c>
      <c r="CC64" s="493">
        <v>51</v>
      </c>
      <c r="CD64" s="493">
        <v>47</v>
      </c>
      <c r="CE64" s="199"/>
      <c r="CF64" s="491">
        <v>9</v>
      </c>
      <c r="CG64" s="492">
        <v>5</v>
      </c>
      <c r="CH64" s="492">
        <v>3</v>
      </c>
      <c r="CI64" s="492">
        <v>2</v>
      </c>
      <c r="CJ64" s="493">
        <v>1</v>
      </c>
      <c r="CK64" s="493">
        <v>2</v>
      </c>
      <c r="CL64" s="493">
        <v>6</v>
      </c>
      <c r="CM64" s="493">
        <v>2</v>
      </c>
      <c r="CN64" s="199"/>
      <c r="CO64" s="491">
        <v>5</v>
      </c>
      <c r="CP64" s="492">
        <v>7</v>
      </c>
      <c r="CQ64" s="492"/>
      <c r="CR64" s="492"/>
      <c r="CS64" s="493">
        <v>2</v>
      </c>
      <c r="CT64" s="493">
        <v>1</v>
      </c>
      <c r="CU64" s="493"/>
      <c r="CV64" s="493">
        <v>1</v>
      </c>
      <c r="CW64" s="199"/>
      <c r="CX64" s="491">
        <v>740</v>
      </c>
      <c r="CY64" s="492">
        <v>601</v>
      </c>
      <c r="CZ64" s="492">
        <v>461</v>
      </c>
      <c r="DA64" s="492">
        <v>423</v>
      </c>
      <c r="DB64" s="493">
        <v>395</v>
      </c>
      <c r="DC64" s="493">
        <v>266</v>
      </c>
      <c r="DD64" s="493">
        <v>291</v>
      </c>
      <c r="DE64" s="493">
        <v>294</v>
      </c>
      <c r="DF64" s="199"/>
      <c r="DG64" s="491"/>
      <c r="DH64" s="492">
        <v>1</v>
      </c>
      <c r="DI64" s="492">
        <v>1</v>
      </c>
      <c r="DJ64" s="492"/>
      <c r="DK64" s="493"/>
      <c r="DL64" s="493"/>
      <c r="DM64" s="493">
        <v>1</v>
      </c>
      <c r="DN64" s="493"/>
      <c r="DO64" s="199"/>
      <c r="DP64" s="491">
        <v>19</v>
      </c>
      <c r="DQ64" s="492">
        <v>10</v>
      </c>
      <c r="DR64" s="492">
        <v>7</v>
      </c>
      <c r="DS64" s="492">
        <v>2</v>
      </c>
      <c r="DT64" s="493">
        <v>1</v>
      </c>
      <c r="DU64" s="493">
        <v>4</v>
      </c>
      <c r="DV64" s="493">
        <v>6</v>
      </c>
      <c r="DW64" s="493">
        <v>3</v>
      </c>
      <c r="DX64" s="199"/>
      <c r="DY64" s="491">
        <v>101</v>
      </c>
      <c r="DZ64" s="492">
        <v>89</v>
      </c>
      <c r="EA64" s="492">
        <v>55</v>
      </c>
      <c r="EB64" s="492">
        <v>47</v>
      </c>
      <c r="EC64" s="493">
        <v>43</v>
      </c>
      <c r="ED64" s="493">
        <v>28</v>
      </c>
      <c r="EE64" s="493">
        <v>66</v>
      </c>
      <c r="EF64" s="493">
        <v>51</v>
      </c>
      <c r="EG64" s="199"/>
      <c r="EH64" s="491">
        <v>8</v>
      </c>
      <c r="EI64" s="492">
        <v>14</v>
      </c>
      <c r="EJ64" s="492">
        <v>8</v>
      </c>
      <c r="EK64" s="492">
        <v>7</v>
      </c>
      <c r="EL64" s="493">
        <v>12</v>
      </c>
      <c r="EM64" s="493">
        <v>4</v>
      </c>
      <c r="EN64" s="493">
        <v>3</v>
      </c>
      <c r="EO64" s="493">
        <v>6</v>
      </c>
      <c r="EP64" s="199"/>
      <c r="EQ64" s="491"/>
      <c r="ER64" s="492">
        <v>1</v>
      </c>
      <c r="ES64" s="492">
        <v>1</v>
      </c>
      <c r="ET64" s="492">
        <v>1</v>
      </c>
      <c r="EU64" s="493">
        <v>1</v>
      </c>
      <c r="EV64" s="493">
        <v>1</v>
      </c>
      <c r="EW64" s="493">
        <v>2</v>
      </c>
      <c r="EX64" s="493">
        <v>6</v>
      </c>
      <c r="EY64" s="199"/>
      <c r="EZ64" s="491">
        <v>8</v>
      </c>
      <c r="FA64" s="492">
        <v>4</v>
      </c>
      <c r="FB64" s="492">
        <v>6</v>
      </c>
      <c r="FC64" s="492">
        <v>3</v>
      </c>
      <c r="FD64" s="493">
        <v>2</v>
      </c>
      <c r="FE64" s="493">
        <v>5</v>
      </c>
      <c r="FF64" s="493"/>
      <c r="FG64" s="493">
        <v>3</v>
      </c>
      <c r="FH64" s="199"/>
      <c r="FI64" s="491">
        <v>40</v>
      </c>
      <c r="FJ64" s="492">
        <v>77</v>
      </c>
      <c r="FK64" s="492">
        <v>20</v>
      </c>
      <c r="FL64" s="492">
        <v>21</v>
      </c>
      <c r="FM64" s="493">
        <v>16</v>
      </c>
      <c r="FN64" s="493">
        <v>5</v>
      </c>
      <c r="FO64" s="493">
        <v>13</v>
      </c>
      <c r="FP64" s="493">
        <v>17</v>
      </c>
      <c r="FQ64" s="199"/>
      <c r="FR64" s="491">
        <v>10</v>
      </c>
      <c r="FS64" s="492">
        <v>11</v>
      </c>
      <c r="FT64" s="492">
        <v>9</v>
      </c>
      <c r="FU64" s="492">
        <v>2</v>
      </c>
      <c r="FV64" s="493">
        <v>14</v>
      </c>
      <c r="FW64" s="493">
        <v>12</v>
      </c>
      <c r="FX64" s="493">
        <v>5</v>
      </c>
      <c r="FY64" s="493"/>
      <c r="FZ64" s="199"/>
      <c r="GA64" s="491">
        <v>8</v>
      </c>
      <c r="GB64" s="492">
        <v>7</v>
      </c>
      <c r="GC64" s="492">
        <v>5</v>
      </c>
      <c r="GD64" s="492">
        <v>2</v>
      </c>
      <c r="GE64" s="493">
        <v>3</v>
      </c>
      <c r="GF64" s="493">
        <v>2</v>
      </c>
      <c r="GG64" s="493">
        <v>4</v>
      </c>
      <c r="GH64" s="493"/>
      <c r="GI64" s="199"/>
      <c r="GJ64" s="491">
        <v>973</v>
      </c>
      <c r="GK64" s="492">
        <v>866</v>
      </c>
      <c r="GL64" s="492">
        <v>657</v>
      </c>
      <c r="GM64" s="492">
        <v>590</v>
      </c>
      <c r="GN64" s="493">
        <v>567</v>
      </c>
      <c r="GO64" s="493">
        <v>425</v>
      </c>
      <c r="GP64" s="493">
        <v>452</v>
      </c>
      <c r="GQ64" s="493">
        <v>433</v>
      </c>
      <c r="GR64" s="199"/>
      <c r="GS64" s="491">
        <v>343</v>
      </c>
      <c r="GT64" s="492">
        <v>287</v>
      </c>
      <c r="GU64" s="492">
        <v>215</v>
      </c>
      <c r="GV64" s="492">
        <v>191</v>
      </c>
      <c r="GW64" s="493">
        <v>145</v>
      </c>
      <c r="GX64" s="493">
        <v>135</v>
      </c>
      <c r="GY64" s="493">
        <v>138</v>
      </c>
      <c r="GZ64" s="493">
        <v>117</v>
      </c>
      <c r="HA64" s="199"/>
      <c r="HB64" s="491">
        <v>1</v>
      </c>
      <c r="HC64" s="492">
        <v>1</v>
      </c>
      <c r="HD64" s="492"/>
      <c r="HE64" s="492"/>
      <c r="HF64" s="493"/>
      <c r="HG64" s="493"/>
      <c r="HH64" s="493"/>
      <c r="HI64" s="493">
        <v>5</v>
      </c>
      <c r="HJ64" s="199"/>
      <c r="HK64" s="491">
        <v>1</v>
      </c>
      <c r="HL64" s="492"/>
      <c r="HM64" s="492"/>
      <c r="HN64" s="492"/>
      <c r="HO64" s="493">
        <v>1</v>
      </c>
      <c r="HP64" s="493"/>
      <c r="HQ64" s="493"/>
      <c r="HR64" s="493"/>
      <c r="HS64" s="199"/>
      <c r="HT64" s="491">
        <v>580</v>
      </c>
      <c r="HU64" s="492">
        <v>357</v>
      </c>
      <c r="HV64" s="492">
        <v>267</v>
      </c>
      <c r="HW64" s="492">
        <v>268</v>
      </c>
      <c r="HX64" s="493">
        <v>231</v>
      </c>
      <c r="HY64" s="493">
        <v>250</v>
      </c>
      <c r="HZ64" s="493">
        <v>207</v>
      </c>
      <c r="IA64" s="493">
        <v>210</v>
      </c>
      <c r="IB64" s="199"/>
      <c r="IC64" s="491">
        <v>2230</v>
      </c>
      <c r="ID64" s="492">
        <v>1642</v>
      </c>
      <c r="IE64" s="492">
        <v>1359</v>
      </c>
      <c r="IF64" s="492">
        <v>1062</v>
      </c>
      <c r="IG64" s="493">
        <v>1035</v>
      </c>
      <c r="IH64" s="493">
        <v>946</v>
      </c>
      <c r="II64" s="493">
        <v>878</v>
      </c>
      <c r="IJ64" s="493">
        <v>826</v>
      </c>
      <c r="IK64" s="199"/>
      <c r="IL64" s="491">
        <v>165</v>
      </c>
      <c r="IM64" s="492">
        <v>160</v>
      </c>
      <c r="IN64" s="492">
        <v>91</v>
      </c>
      <c r="IO64" s="492">
        <v>44</v>
      </c>
      <c r="IP64" s="493">
        <v>38</v>
      </c>
      <c r="IQ64" s="493">
        <v>44</v>
      </c>
      <c r="IR64" s="493">
        <v>87</v>
      </c>
      <c r="IS64" s="493">
        <v>65</v>
      </c>
      <c r="IT64" s="199"/>
      <c r="IU64" s="533">
        <v>4773.6273145670557</v>
      </c>
      <c r="IV64" s="534">
        <v>3568.2465175913253</v>
      </c>
      <c r="IW64" s="534">
        <v>2982.0942684104275</v>
      </c>
      <c r="IX64" s="534">
        <v>2323.5461427383716</v>
      </c>
      <c r="IY64" s="535">
        <v>2290.2790378615209</v>
      </c>
      <c r="IZ64" s="535">
        <v>2133.4934331288223</v>
      </c>
      <c r="JA64" s="535">
        <v>2029.5416194725042</v>
      </c>
      <c r="JB64" s="535">
        <v>1921.5111545350921</v>
      </c>
      <c r="JC64" s="536"/>
      <c r="JD64" s="537">
        <v>1241.5712297977095</v>
      </c>
      <c r="JE64" s="538">
        <v>775.80024773453295</v>
      </c>
      <c r="JF64" s="538">
        <v>585.88607039410158</v>
      </c>
      <c r="JG64" s="538">
        <v>586.35627707521996</v>
      </c>
      <c r="JH64" s="538">
        <v>511.16372729083224</v>
      </c>
      <c r="JI64" s="539">
        <v>560.41328359098907</v>
      </c>
      <c r="JJ64" s="539">
        <v>478.49101962506649</v>
      </c>
      <c r="JK64" s="539">
        <v>488.51978505129455</v>
      </c>
      <c r="JL64" s="536"/>
      <c r="JM64" s="537">
        <v>2082.8427699882263</v>
      </c>
      <c r="JN64" s="538">
        <v>1881.913205989091</v>
      </c>
      <c r="JO64" s="538">
        <v>1441.6747125427894</v>
      </c>
      <c r="JP64" s="538">
        <v>1290.8589681879841</v>
      </c>
      <c r="JQ64" s="538">
        <v>1254.6746033502245</v>
      </c>
      <c r="JR64" s="539">
        <v>958.57519139708711</v>
      </c>
      <c r="JS64" s="539">
        <v>1044.8209703890341</v>
      </c>
      <c r="JT64" s="539">
        <v>1007.281271081955</v>
      </c>
      <c r="JU64" s="536"/>
      <c r="JV64" s="537">
        <v>734.23953762174892</v>
      </c>
      <c r="JW64" s="538">
        <v>623.68255210031077</v>
      </c>
      <c r="JX64" s="538">
        <v>471.78091810760992</v>
      </c>
      <c r="JY64" s="538">
        <v>417.88824224390675</v>
      </c>
      <c r="JZ64" s="538">
        <v>320.86034829944015</v>
      </c>
      <c r="KA64" s="539">
        <v>304.65825204333032</v>
      </c>
      <c r="KB64" s="539">
        <v>318.99401308337764</v>
      </c>
      <c r="KC64" s="539">
        <v>272.17530881429269</v>
      </c>
      <c r="KD64" s="536"/>
    </row>
    <row r="65" spans="1:290" ht="15" customHeight="1" x14ac:dyDescent="0.2">
      <c r="A65" s="930"/>
      <c r="B65" s="490" t="s">
        <v>682</v>
      </c>
      <c r="C65" s="491"/>
      <c r="D65" s="492"/>
      <c r="E65" s="492">
        <v>1</v>
      </c>
      <c r="F65" s="492">
        <v>1</v>
      </c>
      <c r="G65" s="493"/>
      <c r="H65" s="493"/>
      <c r="I65" s="493"/>
      <c r="J65" s="493">
        <v>2</v>
      </c>
      <c r="K65" s="199"/>
      <c r="L65" s="491"/>
      <c r="M65" s="492"/>
      <c r="N65" s="492"/>
      <c r="O65" s="492">
        <v>1</v>
      </c>
      <c r="P65" s="493"/>
      <c r="Q65" s="493"/>
      <c r="R65" s="493"/>
      <c r="S65" s="493">
        <v>1</v>
      </c>
      <c r="T65" s="199"/>
      <c r="U65" s="491"/>
      <c r="V65" s="492"/>
      <c r="W65" s="492">
        <v>1</v>
      </c>
      <c r="X65" s="492"/>
      <c r="Y65" s="493"/>
      <c r="Z65" s="493"/>
      <c r="AA65" s="493"/>
      <c r="AB65" s="493">
        <v>1</v>
      </c>
      <c r="AC65" s="199"/>
      <c r="AD65" s="491">
        <v>44</v>
      </c>
      <c r="AE65" s="492">
        <v>41</v>
      </c>
      <c r="AF65" s="492">
        <v>56</v>
      </c>
      <c r="AG65" s="492">
        <v>53</v>
      </c>
      <c r="AH65" s="493">
        <v>41</v>
      </c>
      <c r="AI65" s="493">
        <v>55</v>
      </c>
      <c r="AJ65" s="493">
        <v>36</v>
      </c>
      <c r="AK65" s="493">
        <v>22</v>
      </c>
      <c r="AL65" s="199"/>
      <c r="AM65" s="491">
        <v>24</v>
      </c>
      <c r="AN65" s="492">
        <v>21</v>
      </c>
      <c r="AO65" s="492">
        <v>21</v>
      </c>
      <c r="AP65" s="492">
        <v>22</v>
      </c>
      <c r="AQ65" s="493">
        <v>11</v>
      </c>
      <c r="AR65" s="493">
        <v>13</v>
      </c>
      <c r="AS65" s="493">
        <v>18</v>
      </c>
      <c r="AT65" s="493">
        <v>14</v>
      </c>
      <c r="AU65" s="199"/>
      <c r="AV65" s="491"/>
      <c r="AW65" s="492"/>
      <c r="AX65" s="492">
        <v>1</v>
      </c>
      <c r="AY65" s="492"/>
      <c r="AZ65" s="493"/>
      <c r="BA65" s="493"/>
      <c r="BB65" s="493"/>
      <c r="BC65" s="493"/>
      <c r="BD65" s="199"/>
      <c r="BE65" s="491">
        <v>13</v>
      </c>
      <c r="BF65" s="492">
        <v>8</v>
      </c>
      <c r="BG65" s="492">
        <v>8</v>
      </c>
      <c r="BH65" s="492">
        <v>7</v>
      </c>
      <c r="BI65" s="493">
        <v>4</v>
      </c>
      <c r="BJ65" s="493">
        <v>4</v>
      </c>
      <c r="BK65" s="493">
        <v>10</v>
      </c>
      <c r="BL65" s="493">
        <v>7</v>
      </c>
      <c r="BM65" s="199"/>
      <c r="BN65" s="491"/>
      <c r="BO65" s="492"/>
      <c r="BP65" s="492"/>
      <c r="BQ65" s="492"/>
      <c r="BR65" s="493"/>
      <c r="BS65" s="493"/>
      <c r="BT65" s="493"/>
      <c r="BU65" s="493"/>
      <c r="BV65" s="199"/>
      <c r="BW65" s="491">
        <v>19</v>
      </c>
      <c r="BX65" s="492">
        <v>43</v>
      </c>
      <c r="BY65" s="492">
        <v>52</v>
      </c>
      <c r="BZ65" s="492">
        <v>56</v>
      </c>
      <c r="CA65" s="493">
        <v>44</v>
      </c>
      <c r="CB65" s="493">
        <v>55</v>
      </c>
      <c r="CC65" s="493">
        <v>39</v>
      </c>
      <c r="CD65" s="493">
        <v>23</v>
      </c>
      <c r="CE65" s="199"/>
      <c r="CF65" s="491">
        <v>2</v>
      </c>
      <c r="CG65" s="492">
        <v>3</v>
      </c>
      <c r="CH65" s="492">
        <v>2</v>
      </c>
      <c r="CI65" s="492">
        <v>4</v>
      </c>
      <c r="CJ65" s="493">
        <v>2</v>
      </c>
      <c r="CK65" s="493">
        <v>3</v>
      </c>
      <c r="CL65" s="493">
        <v>1</v>
      </c>
      <c r="CM65" s="493"/>
      <c r="CN65" s="199"/>
      <c r="CO65" s="491"/>
      <c r="CP65" s="492">
        <v>4</v>
      </c>
      <c r="CQ65" s="492">
        <v>1</v>
      </c>
      <c r="CR65" s="492"/>
      <c r="CS65" s="493">
        <v>2</v>
      </c>
      <c r="CT65" s="493">
        <v>3</v>
      </c>
      <c r="CU65" s="493">
        <v>4</v>
      </c>
      <c r="CV65" s="493">
        <v>7</v>
      </c>
      <c r="CW65" s="199"/>
      <c r="CX65" s="491">
        <v>749</v>
      </c>
      <c r="CY65" s="492">
        <v>645</v>
      </c>
      <c r="CZ65" s="492">
        <v>671</v>
      </c>
      <c r="DA65" s="492">
        <v>593</v>
      </c>
      <c r="DB65" s="493">
        <v>357</v>
      </c>
      <c r="DC65" s="493">
        <v>386</v>
      </c>
      <c r="DD65" s="493">
        <v>478</v>
      </c>
      <c r="DE65" s="493">
        <v>240</v>
      </c>
      <c r="DF65" s="199"/>
      <c r="DG65" s="491">
        <v>1</v>
      </c>
      <c r="DH65" s="492"/>
      <c r="DI65" s="492"/>
      <c r="DJ65" s="492">
        <v>1</v>
      </c>
      <c r="DK65" s="493"/>
      <c r="DL65" s="493"/>
      <c r="DM65" s="493">
        <v>2</v>
      </c>
      <c r="DN65" s="493"/>
      <c r="DO65" s="199"/>
      <c r="DP65" s="491">
        <v>30</v>
      </c>
      <c r="DQ65" s="492">
        <v>36</v>
      </c>
      <c r="DR65" s="492">
        <v>15</v>
      </c>
      <c r="DS65" s="492">
        <v>3</v>
      </c>
      <c r="DT65" s="493">
        <v>7</v>
      </c>
      <c r="DU65" s="493">
        <v>4</v>
      </c>
      <c r="DV65" s="493">
        <v>2</v>
      </c>
      <c r="DW65" s="493">
        <v>8</v>
      </c>
      <c r="DX65" s="199"/>
      <c r="DY65" s="491">
        <v>30</v>
      </c>
      <c r="DZ65" s="492">
        <v>28</v>
      </c>
      <c r="EA65" s="492">
        <v>37</v>
      </c>
      <c r="EB65" s="492">
        <v>32</v>
      </c>
      <c r="EC65" s="493">
        <v>29</v>
      </c>
      <c r="ED65" s="493">
        <v>62</v>
      </c>
      <c r="EE65" s="493">
        <v>84</v>
      </c>
      <c r="EF65" s="493">
        <v>48</v>
      </c>
      <c r="EG65" s="199"/>
      <c r="EH65" s="491">
        <v>5</v>
      </c>
      <c r="EI65" s="492">
        <v>11</v>
      </c>
      <c r="EJ65" s="492">
        <v>16</v>
      </c>
      <c r="EK65" s="492">
        <v>7</v>
      </c>
      <c r="EL65" s="493">
        <v>1</v>
      </c>
      <c r="EM65" s="493">
        <v>2</v>
      </c>
      <c r="EN65" s="493">
        <v>3</v>
      </c>
      <c r="EO65" s="493">
        <v>2</v>
      </c>
      <c r="EP65" s="199"/>
      <c r="EQ65" s="491">
        <v>7</v>
      </c>
      <c r="ER65" s="492">
        <v>3</v>
      </c>
      <c r="ES65" s="492">
        <v>1</v>
      </c>
      <c r="ET65" s="492">
        <v>4</v>
      </c>
      <c r="EU65" s="493">
        <v>3</v>
      </c>
      <c r="EV65" s="493">
        <v>7</v>
      </c>
      <c r="EW65" s="493">
        <v>16</v>
      </c>
      <c r="EX65" s="493">
        <v>3</v>
      </c>
      <c r="EY65" s="199"/>
      <c r="EZ65" s="491">
        <v>5</v>
      </c>
      <c r="FA65" s="492">
        <v>1</v>
      </c>
      <c r="FB65" s="492">
        <v>6</v>
      </c>
      <c r="FC65" s="492"/>
      <c r="FD65" s="493">
        <v>2</v>
      </c>
      <c r="FE65" s="493">
        <v>3</v>
      </c>
      <c r="FF65" s="493">
        <v>1</v>
      </c>
      <c r="FG65" s="493"/>
      <c r="FH65" s="199"/>
      <c r="FI65" s="491">
        <v>29</v>
      </c>
      <c r="FJ65" s="492">
        <v>27</v>
      </c>
      <c r="FK65" s="492">
        <v>23</v>
      </c>
      <c r="FL65" s="492">
        <v>11</v>
      </c>
      <c r="FM65" s="493">
        <v>13</v>
      </c>
      <c r="FN65" s="493">
        <v>8</v>
      </c>
      <c r="FO65" s="493">
        <v>23</v>
      </c>
      <c r="FP65" s="493">
        <v>14</v>
      </c>
      <c r="FQ65" s="199"/>
      <c r="FR65" s="491">
        <v>10</v>
      </c>
      <c r="FS65" s="492">
        <v>4</v>
      </c>
      <c r="FT65" s="492">
        <v>1</v>
      </c>
      <c r="FU65" s="492">
        <v>6</v>
      </c>
      <c r="FV65" s="493">
        <v>2</v>
      </c>
      <c r="FW65" s="493">
        <v>2</v>
      </c>
      <c r="FX65" s="493">
        <v>16</v>
      </c>
      <c r="FY65" s="493">
        <v>6</v>
      </c>
      <c r="FZ65" s="199"/>
      <c r="GA65" s="491">
        <v>6</v>
      </c>
      <c r="GB65" s="492">
        <v>4</v>
      </c>
      <c r="GC65" s="492">
        <v>3</v>
      </c>
      <c r="GD65" s="492">
        <v>6</v>
      </c>
      <c r="GE65" s="493">
        <v>2</v>
      </c>
      <c r="GF65" s="493">
        <v>4</v>
      </c>
      <c r="GG65" s="493">
        <v>4</v>
      </c>
      <c r="GH65" s="493">
        <v>3</v>
      </c>
      <c r="GI65" s="199"/>
      <c r="GJ65" s="491">
        <v>889</v>
      </c>
      <c r="GK65" s="492">
        <v>794</v>
      </c>
      <c r="GL65" s="492">
        <v>841</v>
      </c>
      <c r="GM65" s="492">
        <v>748</v>
      </c>
      <c r="GN65" s="493">
        <v>473</v>
      </c>
      <c r="GO65" s="493">
        <v>532</v>
      </c>
      <c r="GP65" s="493">
        <v>631</v>
      </c>
      <c r="GQ65" s="493">
        <v>329</v>
      </c>
      <c r="GR65" s="199"/>
      <c r="GS65" s="491">
        <v>303</v>
      </c>
      <c r="GT65" s="492">
        <v>230</v>
      </c>
      <c r="GU65" s="492">
        <v>246</v>
      </c>
      <c r="GV65" s="492">
        <v>238</v>
      </c>
      <c r="GW65" s="493">
        <v>133</v>
      </c>
      <c r="GX65" s="493">
        <v>138</v>
      </c>
      <c r="GY65" s="493">
        <v>157</v>
      </c>
      <c r="GZ65" s="493">
        <v>90</v>
      </c>
      <c r="HA65" s="199"/>
      <c r="HB65" s="491">
        <v>2</v>
      </c>
      <c r="HC65" s="492">
        <v>4</v>
      </c>
      <c r="HD65" s="492"/>
      <c r="HE65" s="492">
        <v>3</v>
      </c>
      <c r="HF65" s="493">
        <v>1</v>
      </c>
      <c r="HG65" s="493"/>
      <c r="HH65" s="493">
        <v>2</v>
      </c>
      <c r="HI65" s="493">
        <v>1</v>
      </c>
      <c r="HJ65" s="199"/>
      <c r="HK65" s="491"/>
      <c r="HL65" s="492">
        <v>2</v>
      </c>
      <c r="HM65" s="492"/>
      <c r="HN65" s="492"/>
      <c r="HO65" s="493"/>
      <c r="HP65" s="493">
        <v>1</v>
      </c>
      <c r="HQ65" s="493"/>
      <c r="HR65" s="493"/>
      <c r="HS65" s="199"/>
      <c r="HT65" s="491">
        <v>402</v>
      </c>
      <c r="HU65" s="492">
        <v>328</v>
      </c>
      <c r="HV65" s="492">
        <v>302</v>
      </c>
      <c r="HW65" s="492">
        <v>300</v>
      </c>
      <c r="HX65" s="493">
        <v>222</v>
      </c>
      <c r="HY65" s="493">
        <v>209</v>
      </c>
      <c r="HZ65" s="493">
        <v>236</v>
      </c>
      <c r="IA65" s="493">
        <v>153</v>
      </c>
      <c r="IB65" s="199"/>
      <c r="IC65" s="491">
        <v>1940</v>
      </c>
      <c r="ID65" s="492">
        <v>1666</v>
      </c>
      <c r="IE65" s="492">
        <v>1449</v>
      </c>
      <c r="IF65" s="492">
        <v>1098</v>
      </c>
      <c r="IG65" s="493">
        <v>797</v>
      </c>
      <c r="IH65" s="493">
        <v>882</v>
      </c>
      <c r="II65" s="493">
        <v>1026</v>
      </c>
      <c r="IJ65" s="493">
        <v>593</v>
      </c>
      <c r="IK65" s="199"/>
      <c r="IL65" s="491">
        <v>90</v>
      </c>
      <c r="IM65" s="492">
        <v>95</v>
      </c>
      <c r="IN65" s="492">
        <v>123</v>
      </c>
      <c r="IO65" s="492">
        <v>59</v>
      </c>
      <c r="IP65" s="493">
        <v>39</v>
      </c>
      <c r="IQ65" s="493">
        <v>80</v>
      </c>
      <c r="IR65" s="493">
        <v>144</v>
      </c>
      <c r="IS65" s="493">
        <v>69</v>
      </c>
      <c r="IT65" s="199"/>
      <c r="IU65" s="533">
        <v>4632.2827125119393</v>
      </c>
      <c r="IV65" s="534">
        <v>4012.4274463524484</v>
      </c>
      <c r="IW65" s="534">
        <v>3529.1538798772467</v>
      </c>
      <c r="IX65" s="534">
        <v>2661.8827123081774</v>
      </c>
      <c r="IY65" s="535">
        <v>1954.293560884704</v>
      </c>
      <c r="IZ65" s="535">
        <v>2188.9115004715341</v>
      </c>
      <c r="JA65" s="535">
        <v>2573.8153174623085</v>
      </c>
      <c r="JB65" s="535">
        <v>1509.2130713631275</v>
      </c>
      <c r="JC65" s="536"/>
      <c r="JD65" s="537">
        <v>959.88538681948421</v>
      </c>
      <c r="JE65" s="538">
        <v>789.96170612461174</v>
      </c>
      <c r="JF65" s="538">
        <v>735.54483900823232</v>
      </c>
      <c r="JG65" s="538">
        <v>727.29035855414679</v>
      </c>
      <c r="JH65" s="538">
        <v>544.35780491393268</v>
      </c>
      <c r="JI65" s="539">
        <v>518.68764580334539</v>
      </c>
      <c r="JJ65" s="539">
        <v>592.02769485487795</v>
      </c>
      <c r="JK65" s="539">
        <v>389.39224269571412</v>
      </c>
      <c r="JL65" s="536"/>
      <c r="JM65" s="537">
        <v>2122.7316141356255</v>
      </c>
      <c r="JN65" s="538">
        <v>1912.2853495821394</v>
      </c>
      <c r="JO65" s="538">
        <v>2048.3218861123287</v>
      </c>
      <c r="JP65" s="538">
        <v>1813.3772939950059</v>
      </c>
      <c r="JQ65" s="538">
        <v>1159.8254131724782</v>
      </c>
      <c r="JR65" s="539">
        <v>1320.2958256812431</v>
      </c>
      <c r="JS65" s="539">
        <v>1582.921506158593</v>
      </c>
      <c r="JT65" s="539">
        <v>837.32057416267946</v>
      </c>
      <c r="JU65" s="536"/>
      <c r="JV65" s="537">
        <v>723.49570200573066</v>
      </c>
      <c r="JW65" s="538">
        <v>553.93656222152651</v>
      </c>
      <c r="JX65" s="538">
        <v>599.15241852988459</v>
      </c>
      <c r="JY65" s="538">
        <v>576.98368445295648</v>
      </c>
      <c r="JZ65" s="538">
        <v>326.12427051150019</v>
      </c>
      <c r="KA65" s="539">
        <v>342.48275177445771</v>
      </c>
      <c r="KB65" s="539">
        <v>393.84893259413491</v>
      </c>
      <c r="KC65" s="539">
        <v>229.05426040924362</v>
      </c>
      <c r="KD65" s="536"/>
    </row>
    <row r="66" spans="1:290" ht="15" customHeight="1" thickBot="1" x14ac:dyDescent="0.25">
      <c r="A66" s="930"/>
      <c r="B66" s="494" t="s">
        <v>683</v>
      </c>
      <c r="C66" s="495"/>
      <c r="D66" s="496">
        <v>2</v>
      </c>
      <c r="E66" s="496">
        <v>2</v>
      </c>
      <c r="F66" s="496">
        <v>1</v>
      </c>
      <c r="G66" s="497">
        <v>1</v>
      </c>
      <c r="H66" s="497">
        <v>1</v>
      </c>
      <c r="I66" s="497">
        <v>4</v>
      </c>
      <c r="J66" s="497"/>
      <c r="K66" s="498"/>
      <c r="L66" s="495"/>
      <c r="M66" s="496">
        <v>1</v>
      </c>
      <c r="N66" s="496">
        <v>1</v>
      </c>
      <c r="O66" s="496">
        <v>1</v>
      </c>
      <c r="P66" s="497"/>
      <c r="Q66" s="497"/>
      <c r="R66" s="497"/>
      <c r="S66" s="497"/>
      <c r="T66" s="498"/>
      <c r="U66" s="495"/>
      <c r="V66" s="496"/>
      <c r="W66" s="496">
        <v>1</v>
      </c>
      <c r="X66" s="496"/>
      <c r="Y66" s="497"/>
      <c r="Z66" s="497">
        <v>1</v>
      </c>
      <c r="AA66" s="497">
        <v>3</v>
      </c>
      <c r="AB66" s="497"/>
      <c r="AC66" s="498"/>
      <c r="AD66" s="495">
        <v>17</v>
      </c>
      <c r="AE66" s="496">
        <v>11</v>
      </c>
      <c r="AF66" s="496">
        <v>11</v>
      </c>
      <c r="AG66" s="496">
        <v>20</v>
      </c>
      <c r="AH66" s="497">
        <v>16</v>
      </c>
      <c r="AI66" s="497">
        <v>12</v>
      </c>
      <c r="AJ66" s="497">
        <v>14</v>
      </c>
      <c r="AK66" s="497">
        <v>24</v>
      </c>
      <c r="AL66" s="498"/>
      <c r="AM66" s="495">
        <v>6</v>
      </c>
      <c r="AN66" s="496">
        <v>9</v>
      </c>
      <c r="AO66" s="496">
        <v>6</v>
      </c>
      <c r="AP66" s="496">
        <v>11</v>
      </c>
      <c r="AQ66" s="497">
        <v>8</v>
      </c>
      <c r="AR66" s="497">
        <v>6</v>
      </c>
      <c r="AS66" s="497">
        <v>5</v>
      </c>
      <c r="AT66" s="497">
        <v>14</v>
      </c>
      <c r="AU66" s="498"/>
      <c r="AV66" s="495"/>
      <c r="AW66" s="496"/>
      <c r="AX66" s="496"/>
      <c r="AY66" s="496"/>
      <c r="AZ66" s="497"/>
      <c r="BA66" s="497"/>
      <c r="BB66" s="497"/>
      <c r="BC66" s="497"/>
      <c r="BD66" s="498"/>
      <c r="BE66" s="495">
        <v>5</v>
      </c>
      <c r="BF66" s="496">
        <v>6</v>
      </c>
      <c r="BG66" s="496">
        <v>4</v>
      </c>
      <c r="BH66" s="496">
        <v>10</v>
      </c>
      <c r="BI66" s="497">
        <v>4</v>
      </c>
      <c r="BJ66" s="497">
        <v>8</v>
      </c>
      <c r="BK66" s="497">
        <v>5</v>
      </c>
      <c r="BL66" s="497"/>
      <c r="BM66" s="498"/>
      <c r="BN66" s="495">
        <v>1</v>
      </c>
      <c r="BO66" s="496"/>
      <c r="BP66" s="496">
        <v>1</v>
      </c>
      <c r="BQ66" s="496">
        <v>1</v>
      </c>
      <c r="BR66" s="497">
        <v>1</v>
      </c>
      <c r="BS66" s="497">
        <v>1</v>
      </c>
      <c r="BT66" s="497">
        <v>1</v>
      </c>
      <c r="BU66" s="497"/>
      <c r="BV66" s="498"/>
      <c r="BW66" s="495">
        <v>9</v>
      </c>
      <c r="BX66" s="496">
        <v>13</v>
      </c>
      <c r="BY66" s="496">
        <v>15</v>
      </c>
      <c r="BZ66" s="496">
        <v>17</v>
      </c>
      <c r="CA66" s="497">
        <v>11</v>
      </c>
      <c r="CB66" s="497">
        <v>14</v>
      </c>
      <c r="CC66" s="497">
        <v>17</v>
      </c>
      <c r="CD66" s="497">
        <v>14</v>
      </c>
      <c r="CE66" s="498"/>
      <c r="CF66" s="495"/>
      <c r="CG66" s="496">
        <v>2</v>
      </c>
      <c r="CH66" s="496">
        <v>1</v>
      </c>
      <c r="CI66" s="496"/>
      <c r="CJ66" s="497">
        <v>1</v>
      </c>
      <c r="CK66" s="497">
        <v>1</v>
      </c>
      <c r="CL66" s="497"/>
      <c r="CM66" s="497">
        <v>3</v>
      </c>
      <c r="CN66" s="498"/>
      <c r="CO66" s="495">
        <v>1</v>
      </c>
      <c r="CP66" s="496">
        <v>4</v>
      </c>
      <c r="CQ66" s="496"/>
      <c r="CR66" s="496">
        <v>1</v>
      </c>
      <c r="CS66" s="497">
        <v>1</v>
      </c>
      <c r="CT66" s="497"/>
      <c r="CU66" s="497"/>
      <c r="CV66" s="497"/>
      <c r="CW66" s="498"/>
      <c r="CX66" s="495">
        <v>231</v>
      </c>
      <c r="CY66" s="496">
        <v>219</v>
      </c>
      <c r="CZ66" s="496">
        <v>220</v>
      </c>
      <c r="DA66" s="496">
        <v>127</v>
      </c>
      <c r="DB66" s="497">
        <v>128</v>
      </c>
      <c r="DC66" s="497">
        <v>119</v>
      </c>
      <c r="DD66" s="497">
        <v>93</v>
      </c>
      <c r="DE66" s="497">
        <v>92</v>
      </c>
      <c r="DF66" s="498"/>
      <c r="DG66" s="495">
        <v>3</v>
      </c>
      <c r="DH66" s="496"/>
      <c r="DI66" s="496">
        <v>1</v>
      </c>
      <c r="DJ66" s="496"/>
      <c r="DK66" s="497"/>
      <c r="DL66" s="497"/>
      <c r="DM66" s="497"/>
      <c r="DN66" s="497"/>
      <c r="DO66" s="498"/>
      <c r="DP66" s="495">
        <v>5</v>
      </c>
      <c r="DQ66" s="496">
        <v>6</v>
      </c>
      <c r="DR66" s="496">
        <v>8</v>
      </c>
      <c r="DS66" s="496">
        <v>1</v>
      </c>
      <c r="DT66" s="497">
        <v>3</v>
      </c>
      <c r="DU66" s="497"/>
      <c r="DV66" s="497">
        <v>1</v>
      </c>
      <c r="DW66" s="497">
        <v>2</v>
      </c>
      <c r="DX66" s="498"/>
      <c r="DY66" s="495">
        <v>15</v>
      </c>
      <c r="DZ66" s="496">
        <v>23</v>
      </c>
      <c r="EA66" s="496">
        <v>16</v>
      </c>
      <c r="EB66" s="496">
        <v>26</v>
      </c>
      <c r="EC66" s="497">
        <v>23</v>
      </c>
      <c r="ED66" s="497">
        <v>29</v>
      </c>
      <c r="EE66" s="497">
        <v>14</v>
      </c>
      <c r="EF66" s="497">
        <v>18</v>
      </c>
      <c r="EG66" s="498"/>
      <c r="EH66" s="495">
        <v>4</v>
      </c>
      <c r="EI66" s="496">
        <v>1</v>
      </c>
      <c r="EJ66" s="496"/>
      <c r="EK66" s="496"/>
      <c r="EL66" s="497">
        <v>1</v>
      </c>
      <c r="EM66" s="497">
        <v>1</v>
      </c>
      <c r="EN66" s="497">
        <v>1</v>
      </c>
      <c r="EO66" s="497">
        <v>2</v>
      </c>
      <c r="EP66" s="498"/>
      <c r="EQ66" s="495"/>
      <c r="ER66" s="496"/>
      <c r="ES66" s="496"/>
      <c r="ET66" s="496">
        <v>2</v>
      </c>
      <c r="EU66" s="497"/>
      <c r="EV66" s="497">
        <v>2</v>
      </c>
      <c r="EW66" s="497">
        <v>4</v>
      </c>
      <c r="EX66" s="497">
        <v>1</v>
      </c>
      <c r="EY66" s="498"/>
      <c r="EZ66" s="495">
        <v>1</v>
      </c>
      <c r="FA66" s="496"/>
      <c r="FB66" s="496"/>
      <c r="FC66" s="496"/>
      <c r="FD66" s="497">
        <v>1</v>
      </c>
      <c r="FE66" s="497"/>
      <c r="FF66" s="497"/>
      <c r="FG66" s="497">
        <v>2</v>
      </c>
      <c r="FH66" s="498"/>
      <c r="FI66" s="495">
        <v>22</v>
      </c>
      <c r="FJ66" s="496">
        <v>12</v>
      </c>
      <c r="FK66" s="496">
        <v>10</v>
      </c>
      <c r="FL66" s="496">
        <v>4</v>
      </c>
      <c r="FM66" s="497">
        <v>14</v>
      </c>
      <c r="FN66" s="497">
        <v>7</v>
      </c>
      <c r="FO66" s="497">
        <v>6</v>
      </c>
      <c r="FP66" s="497">
        <v>10</v>
      </c>
      <c r="FQ66" s="498"/>
      <c r="FR66" s="495">
        <v>1</v>
      </c>
      <c r="FS66" s="496">
        <v>2</v>
      </c>
      <c r="FT66" s="496">
        <v>1</v>
      </c>
      <c r="FU66" s="496">
        <v>1</v>
      </c>
      <c r="FV66" s="497"/>
      <c r="FW66" s="497"/>
      <c r="FX66" s="497">
        <v>1</v>
      </c>
      <c r="FY66" s="497"/>
      <c r="FZ66" s="498"/>
      <c r="GA66" s="495">
        <v>5</v>
      </c>
      <c r="GB66" s="496">
        <v>5</v>
      </c>
      <c r="GC66" s="496">
        <v>3</v>
      </c>
      <c r="GD66" s="496">
        <v>1</v>
      </c>
      <c r="GE66" s="497">
        <v>1</v>
      </c>
      <c r="GF66" s="497"/>
      <c r="GG66" s="497">
        <v>3</v>
      </c>
      <c r="GH66" s="497">
        <v>4</v>
      </c>
      <c r="GI66" s="498"/>
      <c r="GJ66" s="495">
        <v>297</v>
      </c>
      <c r="GK66" s="496">
        <v>277</v>
      </c>
      <c r="GL66" s="496">
        <v>268</v>
      </c>
      <c r="GM66" s="496">
        <v>185</v>
      </c>
      <c r="GN66" s="497">
        <v>180</v>
      </c>
      <c r="GO66" s="497">
        <v>166</v>
      </c>
      <c r="GP66" s="497">
        <v>149</v>
      </c>
      <c r="GQ66" s="497">
        <v>152</v>
      </c>
      <c r="GR66" s="498"/>
      <c r="GS66" s="495">
        <v>82</v>
      </c>
      <c r="GT66" s="496">
        <v>86</v>
      </c>
      <c r="GU66" s="496">
        <v>81</v>
      </c>
      <c r="GV66" s="496">
        <v>44</v>
      </c>
      <c r="GW66" s="497">
        <v>30</v>
      </c>
      <c r="GX66" s="497">
        <v>24</v>
      </c>
      <c r="GY66" s="497">
        <v>29</v>
      </c>
      <c r="GZ66" s="497">
        <v>34</v>
      </c>
      <c r="HA66" s="498"/>
      <c r="HB66" s="495"/>
      <c r="HC66" s="496">
        <v>2</v>
      </c>
      <c r="HD66" s="496"/>
      <c r="HE66" s="496">
        <v>2</v>
      </c>
      <c r="HF66" s="497">
        <v>2</v>
      </c>
      <c r="HG66" s="497"/>
      <c r="HH66" s="497"/>
      <c r="HI66" s="497">
        <v>1</v>
      </c>
      <c r="HJ66" s="498"/>
      <c r="HK66" s="495"/>
      <c r="HL66" s="496"/>
      <c r="HM66" s="496"/>
      <c r="HN66" s="496"/>
      <c r="HO66" s="497"/>
      <c r="HP66" s="497"/>
      <c r="HQ66" s="497"/>
      <c r="HR66" s="497"/>
      <c r="HS66" s="498"/>
      <c r="HT66" s="495">
        <v>110</v>
      </c>
      <c r="HU66" s="496">
        <v>132</v>
      </c>
      <c r="HV66" s="496">
        <v>118</v>
      </c>
      <c r="HW66" s="496">
        <v>82</v>
      </c>
      <c r="HX66" s="497">
        <v>74</v>
      </c>
      <c r="HY66" s="497">
        <v>81</v>
      </c>
      <c r="HZ66" s="497">
        <v>84</v>
      </c>
      <c r="IA66" s="497">
        <v>112</v>
      </c>
      <c r="IB66" s="498"/>
      <c r="IC66" s="495">
        <v>570</v>
      </c>
      <c r="ID66" s="496">
        <v>486</v>
      </c>
      <c r="IE66" s="496">
        <v>472</v>
      </c>
      <c r="IF66" s="496">
        <v>367</v>
      </c>
      <c r="IG66" s="497">
        <v>330</v>
      </c>
      <c r="IH66" s="497">
        <v>322</v>
      </c>
      <c r="II66" s="497">
        <v>291</v>
      </c>
      <c r="IJ66" s="497">
        <v>301</v>
      </c>
      <c r="IK66" s="498"/>
      <c r="IL66" s="495">
        <v>24</v>
      </c>
      <c r="IM66" s="496">
        <v>48</v>
      </c>
      <c r="IN66" s="496">
        <v>39</v>
      </c>
      <c r="IO66" s="496">
        <v>23</v>
      </c>
      <c r="IP66" s="497">
        <v>22</v>
      </c>
      <c r="IQ66" s="497">
        <v>35</v>
      </c>
      <c r="IR66" s="497">
        <v>16</v>
      </c>
      <c r="IS66" s="497">
        <v>19</v>
      </c>
      <c r="IT66" s="498"/>
      <c r="IU66" s="540">
        <v>3074.7653468551084</v>
      </c>
      <c r="IV66" s="541">
        <v>2658.4978939882935</v>
      </c>
      <c r="IW66" s="541">
        <v>2600.264433671221</v>
      </c>
      <c r="IX66" s="541">
        <v>1991.4265559715666</v>
      </c>
      <c r="IY66" s="542">
        <v>1812.091592993246</v>
      </c>
      <c r="IZ66" s="542">
        <v>1782.2549399457575</v>
      </c>
      <c r="JA66" s="542">
        <v>1623.5215353715689</v>
      </c>
      <c r="JB66" s="542">
        <v>1684.6700621257066</v>
      </c>
      <c r="JC66" s="543"/>
      <c r="JD66" s="544">
        <v>593.3757686913367</v>
      </c>
      <c r="JE66" s="545">
        <v>722.06115639188226</v>
      </c>
      <c r="JF66" s="545">
        <v>650.06610841780525</v>
      </c>
      <c r="JG66" s="545">
        <v>444.95089261490045</v>
      </c>
      <c r="JH66" s="545">
        <v>406.34781176212181</v>
      </c>
      <c r="JI66" s="546">
        <v>448.331211601262</v>
      </c>
      <c r="JJ66" s="546">
        <v>468.64539165364874</v>
      </c>
      <c r="JK66" s="546">
        <v>626.85397660491412</v>
      </c>
      <c r="JL66" s="543"/>
      <c r="JM66" s="544">
        <v>1602.114575466609</v>
      </c>
      <c r="JN66" s="545">
        <v>1515.2343963678136</v>
      </c>
      <c r="JO66" s="545">
        <v>1476.4213309828117</v>
      </c>
      <c r="JP66" s="545">
        <v>1003.8526235823974</v>
      </c>
      <c r="JQ66" s="545">
        <v>988.41359617813407</v>
      </c>
      <c r="JR66" s="546">
        <v>918.80223612110478</v>
      </c>
      <c r="JS66" s="546">
        <v>831.28765900468636</v>
      </c>
      <c r="JT66" s="546">
        <v>850.73039682095475</v>
      </c>
      <c r="JU66" s="543"/>
      <c r="JV66" s="544">
        <v>442.33466393354195</v>
      </c>
      <c r="JW66" s="545">
        <v>470.43378370986267</v>
      </c>
      <c r="JX66" s="545">
        <v>446.23182018510357</v>
      </c>
      <c r="JY66" s="545">
        <v>238.7541375006783</v>
      </c>
      <c r="JZ66" s="545">
        <v>164.73559936302235</v>
      </c>
      <c r="KA66" s="546">
        <v>132.83887751148501</v>
      </c>
      <c r="KB66" s="546">
        <v>161.79424235661682</v>
      </c>
      <c r="KC66" s="546">
        <v>190.29495718363464</v>
      </c>
      <c r="KD66" s="543"/>
    </row>
    <row r="67" spans="1:290" ht="15" customHeight="1" thickBot="1" x14ac:dyDescent="0.25">
      <c r="A67" s="931"/>
      <c r="B67" s="508" t="s">
        <v>781</v>
      </c>
      <c r="C67" s="500">
        <v>4</v>
      </c>
      <c r="D67" s="501">
        <v>9</v>
      </c>
      <c r="E67" s="501">
        <v>4</v>
      </c>
      <c r="F67" s="501">
        <v>10</v>
      </c>
      <c r="G67" s="502">
        <v>4</v>
      </c>
      <c r="H67" s="502">
        <v>5</v>
      </c>
      <c r="I67" s="502">
        <v>11</v>
      </c>
      <c r="J67" s="502">
        <v>6</v>
      </c>
      <c r="K67" s="503"/>
      <c r="L67" s="500">
        <v>3</v>
      </c>
      <c r="M67" s="501">
        <v>8</v>
      </c>
      <c r="N67" s="501">
        <v>2</v>
      </c>
      <c r="O67" s="501">
        <v>7</v>
      </c>
      <c r="P67" s="502">
        <v>2</v>
      </c>
      <c r="Q67" s="502">
        <v>1</v>
      </c>
      <c r="R67" s="502">
        <v>1</v>
      </c>
      <c r="S67" s="502">
        <v>3</v>
      </c>
      <c r="T67" s="503"/>
      <c r="U67" s="500">
        <v>1</v>
      </c>
      <c r="V67" s="501"/>
      <c r="W67" s="501">
        <v>2</v>
      </c>
      <c r="X67" s="501">
        <v>3</v>
      </c>
      <c r="Y67" s="502">
        <v>1</v>
      </c>
      <c r="Z67" s="502">
        <v>3</v>
      </c>
      <c r="AA67" s="502">
        <v>7</v>
      </c>
      <c r="AB67" s="502">
        <v>3</v>
      </c>
      <c r="AC67" s="503"/>
      <c r="AD67" s="500">
        <v>457</v>
      </c>
      <c r="AE67" s="501">
        <v>486</v>
      </c>
      <c r="AF67" s="501">
        <v>417</v>
      </c>
      <c r="AG67" s="501">
        <v>439</v>
      </c>
      <c r="AH67" s="502">
        <v>442</v>
      </c>
      <c r="AI67" s="502">
        <v>443</v>
      </c>
      <c r="AJ67" s="502">
        <v>358</v>
      </c>
      <c r="AK67" s="502">
        <v>357</v>
      </c>
      <c r="AL67" s="503"/>
      <c r="AM67" s="500">
        <v>234</v>
      </c>
      <c r="AN67" s="501">
        <v>232</v>
      </c>
      <c r="AO67" s="501">
        <v>178</v>
      </c>
      <c r="AP67" s="501">
        <v>198</v>
      </c>
      <c r="AQ67" s="502">
        <v>175</v>
      </c>
      <c r="AR67" s="502">
        <v>172</v>
      </c>
      <c r="AS67" s="502">
        <v>153</v>
      </c>
      <c r="AT67" s="502">
        <v>156</v>
      </c>
      <c r="AU67" s="503"/>
      <c r="AV67" s="500">
        <v>1</v>
      </c>
      <c r="AW67" s="501">
        <v>4</v>
      </c>
      <c r="AX67" s="501">
        <v>2</v>
      </c>
      <c r="AY67" s="501">
        <v>4</v>
      </c>
      <c r="AZ67" s="502">
        <v>1</v>
      </c>
      <c r="BA67" s="502">
        <v>1</v>
      </c>
      <c r="BB67" s="502">
        <v>2</v>
      </c>
      <c r="BC67" s="502">
        <v>2</v>
      </c>
      <c r="BD67" s="503"/>
      <c r="BE67" s="500">
        <v>92</v>
      </c>
      <c r="BF67" s="501">
        <v>89</v>
      </c>
      <c r="BG67" s="501">
        <v>91</v>
      </c>
      <c r="BH67" s="501">
        <v>87</v>
      </c>
      <c r="BI67" s="502">
        <v>55</v>
      </c>
      <c r="BJ67" s="502">
        <v>71</v>
      </c>
      <c r="BK67" s="502">
        <v>61</v>
      </c>
      <c r="BL67" s="502">
        <v>60</v>
      </c>
      <c r="BM67" s="503"/>
      <c r="BN67" s="500">
        <v>39</v>
      </c>
      <c r="BO67" s="501">
        <v>42</v>
      </c>
      <c r="BP67" s="501">
        <v>62</v>
      </c>
      <c r="BQ67" s="501">
        <v>71</v>
      </c>
      <c r="BR67" s="502">
        <v>127</v>
      </c>
      <c r="BS67" s="502">
        <v>177</v>
      </c>
      <c r="BT67" s="502">
        <v>75</v>
      </c>
      <c r="BU67" s="502">
        <v>43</v>
      </c>
      <c r="BV67" s="503"/>
      <c r="BW67" s="500">
        <v>464</v>
      </c>
      <c r="BX67" s="501">
        <v>573</v>
      </c>
      <c r="BY67" s="501">
        <v>595</v>
      </c>
      <c r="BZ67" s="501">
        <v>557</v>
      </c>
      <c r="CA67" s="502">
        <v>468</v>
      </c>
      <c r="CB67" s="502">
        <v>424</v>
      </c>
      <c r="CC67" s="502">
        <v>399</v>
      </c>
      <c r="CD67" s="502">
        <v>383</v>
      </c>
      <c r="CE67" s="503"/>
      <c r="CF67" s="500">
        <v>49</v>
      </c>
      <c r="CG67" s="501">
        <v>29</v>
      </c>
      <c r="CH67" s="501">
        <v>25</v>
      </c>
      <c r="CI67" s="501">
        <v>31</v>
      </c>
      <c r="CJ67" s="502">
        <v>25</v>
      </c>
      <c r="CK67" s="502">
        <v>27</v>
      </c>
      <c r="CL67" s="502">
        <v>14</v>
      </c>
      <c r="CM67" s="502">
        <v>17</v>
      </c>
      <c r="CN67" s="503"/>
      <c r="CO67" s="500">
        <v>31</v>
      </c>
      <c r="CP67" s="501">
        <v>32</v>
      </c>
      <c r="CQ67" s="501">
        <v>12</v>
      </c>
      <c r="CR67" s="501">
        <v>10</v>
      </c>
      <c r="CS67" s="502">
        <v>14</v>
      </c>
      <c r="CT67" s="502">
        <v>12</v>
      </c>
      <c r="CU67" s="502">
        <v>20</v>
      </c>
      <c r="CV67" s="502">
        <v>22</v>
      </c>
      <c r="CW67" s="503"/>
      <c r="CX67" s="500">
        <v>6852</v>
      </c>
      <c r="CY67" s="501">
        <v>6514</v>
      </c>
      <c r="CZ67" s="501">
        <v>6234</v>
      </c>
      <c r="DA67" s="501">
        <v>5642</v>
      </c>
      <c r="DB67" s="502">
        <v>4732</v>
      </c>
      <c r="DC67" s="502">
        <v>3604</v>
      </c>
      <c r="DD67" s="502">
        <v>3209</v>
      </c>
      <c r="DE67" s="502">
        <v>2735</v>
      </c>
      <c r="DF67" s="503"/>
      <c r="DG67" s="500">
        <v>60</v>
      </c>
      <c r="DH67" s="501">
        <v>29</v>
      </c>
      <c r="DI67" s="501">
        <v>43</v>
      </c>
      <c r="DJ67" s="501">
        <v>33</v>
      </c>
      <c r="DK67" s="502">
        <v>30</v>
      </c>
      <c r="DL67" s="502">
        <v>16</v>
      </c>
      <c r="DM67" s="502">
        <v>10</v>
      </c>
      <c r="DN67" s="502">
        <v>10</v>
      </c>
      <c r="DO67" s="503"/>
      <c r="DP67" s="500">
        <v>278</v>
      </c>
      <c r="DQ67" s="501">
        <v>304</v>
      </c>
      <c r="DR67" s="501">
        <v>156</v>
      </c>
      <c r="DS67" s="501">
        <v>158</v>
      </c>
      <c r="DT67" s="502">
        <v>169</v>
      </c>
      <c r="DU67" s="502">
        <v>84</v>
      </c>
      <c r="DV67" s="502">
        <v>91</v>
      </c>
      <c r="DW67" s="502">
        <v>42</v>
      </c>
      <c r="DX67" s="503"/>
      <c r="DY67" s="500">
        <v>531</v>
      </c>
      <c r="DZ67" s="501">
        <v>491</v>
      </c>
      <c r="EA67" s="501">
        <v>576</v>
      </c>
      <c r="EB67" s="501">
        <v>518</v>
      </c>
      <c r="EC67" s="502">
        <v>462</v>
      </c>
      <c r="ED67" s="502">
        <v>505</v>
      </c>
      <c r="EE67" s="502">
        <v>505</v>
      </c>
      <c r="EF67" s="502">
        <v>357</v>
      </c>
      <c r="EG67" s="503"/>
      <c r="EH67" s="500">
        <v>86</v>
      </c>
      <c r="EI67" s="501">
        <v>113</v>
      </c>
      <c r="EJ67" s="501">
        <v>119</v>
      </c>
      <c r="EK67" s="501">
        <v>68</v>
      </c>
      <c r="EL67" s="502">
        <v>48</v>
      </c>
      <c r="EM67" s="502">
        <v>45</v>
      </c>
      <c r="EN67" s="502">
        <v>50</v>
      </c>
      <c r="EO67" s="502">
        <v>32</v>
      </c>
      <c r="EP67" s="503"/>
      <c r="EQ67" s="500">
        <v>34</v>
      </c>
      <c r="ER67" s="501">
        <v>45</v>
      </c>
      <c r="ES67" s="501">
        <v>54</v>
      </c>
      <c r="ET67" s="501">
        <v>49</v>
      </c>
      <c r="EU67" s="502">
        <v>50</v>
      </c>
      <c r="EV67" s="502">
        <v>60</v>
      </c>
      <c r="EW67" s="502">
        <v>81</v>
      </c>
      <c r="EX67" s="502">
        <v>48</v>
      </c>
      <c r="EY67" s="503"/>
      <c r="EZ67" s="500">
        <v>34</v>
      </c>
      <c r="FA67" s="501">
        <v>25</v>
      </c>
      <c r="FB67" s="501">
        <v>35</v>
      </c>
      <c r="FC67" s="501">
        <v>16</v>
      </c>
      <c r="FD67" s="502">
        <v>15</v>
      </c>
      <c r="FE67" s="502">
        <v>14</v>
      </c>
      <c r="FF67" s="502">
        <v>7</v>
      </c>
      <c r="FG67" s="502">
        <v>13</v>
      </c>
      <c r="FH67" s="503"/>
      <c r="FI67" s="500">
        <v>640</v>
      </c>
      <c r="FJ67" s="501">
        <v>672</v>
      </c>
      <c r="FK67" s="501">
        <v>423</v>
      </c>
      <c r="FL67" s="501">
        <v>254</v>
      </c>
      <c r="FM67" s="502">
        <v>257</v>
      </c>
      <c r="FN67" s="502">
        <v>215</v>
      </c>
      <c r="FO67" s="502">
        <v>223</v>
      </c>
      <c r="FP67" s="502">
        <v>242</v>
      </c>
      <c r="FQ67" s="503"/>
      <c r="FR67" s="500">
        <v>58</v>
      </c>
      <c r="FS67" s="501">
        <v>50</v>
      </c>
      <c r="FT67" s="501">
        <v>33</v>
      </c>
      <c r="FU67" s="501">
        <v>34</v>
      </c>
      <c r="FV67" s="502">
        <v>39</v>
      </c>
      <c r="FW67" s="502">
        <v>34</v>
      </c>
      <c r="FX67" s="502">
        <v>28</v>
      </c>
      <c r="FY67" s="502">
        <v>14</v>
      </c>
      <c r="FZ67" s="503"/>
      <c r="GA67" s="500">
        <v>46</v>
      </c>
      <c r="GB67" s="501">
        <v>54</v>
      </c>
      <c r="GC67" s="501">
        <v>50</v>
      </c>
      <c r="GD67" s="501">
        <v>36</v>
      </c>
      <c r="GE67" s="502">
        <v>26</v>
      </c>
      <c r="GF67" s="502">
        <v>45</v>
      </c>
      <c r="GG67" s="502">
        <v>76</v>
      </c>
      <c r="GH67" s="502">
        <v>36</v>
      </c>
      <c r="GI67" s="503"/>
      <c r="GJ67" s="500">
        <v>8886</v>
      </c>
      <c r="GK67" s="501">
        <v>8733</v>
      </c>
      <c r="GL67" s="501">
        <v>8154</v>
      </c>
      <c r="GM67" s="501">
        <v>7304</v>
      </c>
      <c r="GN67" s="502">
        <v>6302</v>
      </c>
      <c r="GO67" s="502">
        <v>5176</v>
      </c>
      <c r="GP67" s="502">
        <v>4612</v>
      </c>
      <c r="GQ67" s="502">
        <v>4008</v>
      </c>
      <c r="GR67" s="503"/>
      <c r="GS67" s="500">
        <v>3064</v>
      </c>
      <c r="GT67" s="501">
        <v>3119</v>
      </c>
      <c r="GU67" s="501">
        <v>2871</v>
      </c>
      <c r="GV67" s="501">
        <v>2160</v>
      </c>
      <c r="GW67" s="502">
        <v>1496</v>
      </c>
      <c r="GX67" s="502">
        <v>1265</v>
      </c>
      <c r="GY67" s="502">
        <v>1118</v>
      </c>
      <c r="GZ67" s="502">
        <v>872</v>
      </c>
      <c r="HA67" s="503"/>
      <c r="HB67" s="500">
        <v>37</v>
      </c>
      <c r="HC67" s="501">
        <v>30</v>
      </c>
      <c r="HD67" s="501">
        <v>10</v>
      </c>
      <c r="HE67" s="501">
        <v>21</v>
      </c>
      <c r="HF67" s="502">
        <v>17</v>
      </c>
      <c r="HG67" s="502">
        <v>12</v>
      </c>
      <c r="HH67" s="502">
        <v>20</v>
      </c>
      <c r="HI67" s="502">
        <v>11</v>
      </c>
      <c r="HJ67" s="503"/>
      <c r="HK67" s="500">
        <v>11</v>
      </c>
      <c r="HL67" s="501">
        <v>9</v>
      </c>
      <c r="HM67" s="501">
        <v>6</v>
      </c>
      <c r="HN67" s="501">
        <v>11</v>
      </c>
      <c r="HO67" s="502">
        <v>6</v>
      </c>
      <c r="HP67" s="502">
        <v>7</v>
      </c>
      <c r="HQ67" s="502">
        <v>8</v>
      </c>
      <c r="HR67" s="502">
        <v>3</v>
      </c>
      <c r="HS67" s="503"/>
      <c r="HT67" s="500">
        <v>4385</v>
      </c>
      <c r="HU67" s="501">
        <v>3995</v>
      </c>
      <c r="HV67" s="501">
        <v>3512</v>
      </c>
      <c r="HW67" s="501">
        <v>2965</v>
      </c>
      <c r="HX67" s="502">
        <v>2414</v>
      </c>
      <c r="HY67" s="502">
        <v>2213</v>
      </c>
      <c r="HZ67" s="502">
        <v>2003</v>
      </c>
      <c r="IA67" s="502">
        <v>1777</v>
      </c>
      <c r="IB67" s="503"/>
      <c r="IC67" s="500">
        <v>20782</v>
      </c>
      <c r="ID67" s="501">
        <v>20987</v>
      </c>
      <c r="IE67" s="501">
        <v>18295</v>
      </c>
      <c r="IF67" s="501">
        <v>12389</v>
      </c>
      <c r="IG67" s="502">
        <v>10861</v>
      </c>
      <c r="IH67" s="502">
        <v>10988</v>
      </c>
      <c r="II67" s="502">
        <v>12752</v>
      </c>
      <c r="IJ67" s="502">
        <v>8246</v>
      </c>
      <c r="IK67" s="503"/>
      <c r="IL67" s="500">
        <v>1122</v>
      </c>
      <c r="IM67" s="501">
        <v>1169</v>
      </c>
      <c r="IN67" s="501">
        <v>1169</v>
      </c>
      <c r="IO67" s="501">
        <v>620</v>
      </c>
      <c r="IP67" s="502">
        <v>501</v>
      </c>
      <c r="IQ67" s="502">
        <v>704</v>
      </c>
      <c r="IR67" s="502">
        <v>758</v>
      </c>
      <c r="IS67" s="502">
        <v>499</v>
      </c>
      <c r="IT67" s="503"/>
      <c r="IU67" s="547">
        <v>4910.2164256686519</v>
      </c>
      <c r="IV67" s="548">
        <v>4975.2623705926844</v>
      </c>
      <c r="IW67" s="548">
        <v>4362.5377355341161</v>
      </c>
      <c r="IX67" s="548">
        <v>3024.8723664517261</v>
      </c>
      <c r="IY67" s="549">
        <v>2666.0022730117898</v>
      </c>
      <c r="IZ67" s="549">
        <v>2705.0380965276154</v>
      </c>
      <c r="JA67" s="549">
        <v>3152.8535648854399</v>
      </c>
      <c r="JB67" s="549">
        <v>2053.9568434922744</v>
      </c>
      <c r="JC67" s="550"/>
      <c r="JD67" s="551">
        <v>1036.0551932709573</v>
      </c>
      <c r="JE67" s="552">
        <v>947.07071856471975</v>
      </c>
      <c r="JF67" s="552">
        <v>837.45463389974395</v>
      </c>
      <c r="JG67" s="552">
        <v>723.9282078076817</v>
      </c>
      <c r="JH67" s="552">
        <v>592.55404539641472</v>
      </c>
      <c r="JI67" s="553">
        <v>544.79880848340122</v>
      </c>
      <c r="JJ67" s="553">
        <v>495.22942992985691</v>
      </c>
      <c r="JK67" s="553">
        <v>442.62446166453697</v>
      </c>
      <c r="JL67" s="550"/>
      <c r="JM67" s="551">
        <v>2099.5180039693792</v>
      </c>
      <c r="JN67" s="552">
        <v>2070.2799963018015</v>
      </c>
      <c r="JO67" s="552">
        <v>1944.3636346294168</v>
      </c>
      <c r="JP67" s="552">
        <v>1783.3293861137629</v>
      </c>
      <c r="JQ67" s="552">
        <v>1546.9244383132584</v>
      </c>
      <c r="JR67" s="553">
        <v>1274.233453551778</v>
      </c>
      <c r="JS67" s="553">
        <v>1140.2886324695457</v>
      </c>
      <c r="JT67" s="553">
        <v>998.33361978135304</v>
      </c>
      <c r="JU67" s="550"/>
      <c r="JV67" s="551">
        <v>723.93913618750594</v>
      </c>
      <c r="JW67" s="552">
        <v>739.40264610847578</v>
      </c>
      <c r="JX67" s="552">
        <v>684.60485590152757</v>
      </c>
      <c r="JY67" s="552">
        <v>527.38108899311715</v>
      </c>
      <c r="JZ67" s="552">
        <v>367.21659151327111</v>
      </c>
      <c r="KA67" s="553">
        <v>311.41911103999212</v>
      </c>
      <c r="KB67" s="553">
        <v>276.41862339569644</v>
      </c>
      <c r="KC67" s="553">
        <v>217.2023244634081</v>
      </c>
      <c r="KD67" s="550"/>
    </row>
    <row r="68" spans="1:290" ht="15" customHeight="1" x14ac:dyDescent="0.2">
      <c r="A68" s="934" t="s">
        <v>549</v>
      </c>
      <c r="B68" s="485" t="s">
        <v>684</v>
      </c>
      <c r="C68" s="486">
        <v>5</v>
      </c>
      <c r="D68" s="487">
        <v>6</v>
      </c>
      <c r="E68" s="487">
        <v>3</v>
      </c>
      <c r="F68" s="487">
        <v>3</v>
      </c>
      <c r="G68" s="488">
        <v>3</v>
      </c>
      <c r="H68" s="488">
        <v>6</v>
      </c>
      <c r="I68" s="488">
        <v>3</v>
      </c>
      <c r="J68" s="488">
        <v>3</v>
      </c>
      <c r="K68" s="489"/>
      <c r="L68" s="486">
        <v>2</v>
      </c>
      <c r="M68" s="487">
        <v>3</v>
      </c>
      <c r="N68" s="487">
        <v>1</v>
      </c>
      <c r="O68" s="487">
        <v>1</v>
      </c>
      <c r="P68" s="488">
        <v>1</v>
      </c>
      <c r="Q68" s="488">
        <v>1</v>
      </c>
      <c r="R68" s="488">
        <v>2</v>
      </c>
      <c r="S68" s="488">
        <v>1</v>
      </c>
      <c r="T68" s="489"/>
      <c r="U68" s="486">
        <v>1</v>
      </c>
      <c r="V68" s="487">
        <v>3</v>
      </c>
      <c r="W68" s="487">
        <v>1</v>
      </c>
      <c r="X68" s="487">
        <v>2</v>
      </c>
      <c r="Y68" s="488">
        <v>2</v>
      </c>
      <c r="Z68" s="488">
        <v>2</v>
      </c>
      <c r="AA68" s="488">
        <v>1</v>
      </c>
      <c r="AB68" s="488">
        <v>1</v>
      </c>
      <c r="AC68" s="489"/>
      <c r="AD68" s="486">
        <v>241</v>
      </c>
      <c r="AE68" s="487">
        <v>184</v>
      </c>
      <c r="AF68" s="487">
        <v>177</v>
      </c>
      <c r="AG68" s="487">
        <v>163</v>
      </c>
      <c r="AH68" s="488">
        <v>164</v>
      </c>
      <c r="AI68" s="488">
        <v>155</v>
      </c>
      <c r="AJ68" s="488">
        <v>184</v>
      </c>
      <c r="AK68" s="488">
        <v>111</v>
      </c>
      <c r="AL68" s="489"/>
      <c r="AM68" s="486">
        <v>110</v>
      </c>
      <c r="AN68" s="487">
        <v>120</v>
      </c>
      <c r="AO68" s="487">
        <v>121</v>
      </c>
      <c r="AP68" s="487">
        <v>112</v>
      </c>
      <c r="AQ68" s="488">
        <v>109</v>
      </c>
      <c r="AR68" s="488">
        <v>118</v>
      </c>
      <c r="AS68" s="488">
        <v>123</v>
      </c>
      <c r="AT68" s="488">
        <v>67</v>
      </c>
      <c r="AU68" s="489"/>
      <c r="AV68" s="486"/>
      <c r="AW68" s="487"/>
      <c r="AX68" s="487"/>
      <c r="AY68" s="487"/>
      <c r="AZ68" s="488">
        <v>3</v>
      </c>
      <c r="BA68" s="488"/>
      <c r="BB68" s="488">
        <v>1</v>
      </c>
      <c r="BC68" s="488"/>
      <c r="BD68" s="489"/>
      <c r="BE68" s="486">
        <v>28</v>
      </c>
      <c r="BF68" s="487">
        <v>41</v>
      </c>
      <c r="BG68" s="487">
        <v>18</v>
      </c>
      <c r="BH68" s="487">
        <v>10</v>
      </c>
      <c r="BI68" s="488">
        <v>10</v>
      </c>
      <c r="BJ68" s="488">
        <v>22</v>
      </c>
      <c r="BK68" s="488">
        <v>7</v>
      </c>
      <c r="BL68" s="488">
        <v>12</v>
      </c>
      <c r="BM68" s="489"/>
      <c r="BN68" s="486"/>
      <c r="BO68" s="487"/>
      <c r="BP68" s="487"/>
      <c r="BQ68" s="487"/>
      <c r="BR68" s="488"/>
      <c r="BS68" s="488">
        <v>2</v>
      </c>
      <c r="BT68" s="488"/>
      <c r="BU68" s="488">
        <v>2</v>
      </c>
      <c r="BV68" s="489"/>
      <c r="BW68" s="486">
        <v>181</v>
      </c>
      <c r="BX68" s="487">
        <v>151</v>
      </c>
      <c r="BY68" s="487">
        <v>172</v>
      </c>
      <c r="BZ68" s="487">
        <v>110</v>
      </c>
      <c r="CA68" s="488">
        <v>70</v>
      </c>
      <c r="CB68" s="488">
        <v>90</v>
      </c>
      <c r="CC68" s="488">
        <v>112</v>
      </c>
      <c r="CD68" s="488">
        <v>82</v>
      </c>
      <c r="CE68" s="489"/>
      <c r="CF68" s="486">
        <v>17</v>
      </c>
      <c r="CG68" s="487">
        <v>12</v>
      </c>
      <c r="CH68" s="487">
        <v>8</v>
      </c>
      <c r="CI68" s="487">
        <v>8</v>
      </c>
      <c r="CJ68" s="488">
        <v>9</v>
      </c>
      <c r="CK68" s="488">
        <v>2</v>
      </c>
      <c r="CL68" s="488">
        <v>4</v>
      </c>
      <c r="CM68" s="488"/>
      <c r="CN68" s="489"/>
      <c r="CO68" s="486">
        <v>10</v>
      </c>
      <c r="CP68" s="487">
        <v>16</v>
      </c>
      <c r="CQ68" s="487">
        <v>6</v>
      </c>
      <c r="CR68" s="487">
        <v>13</v>
      </c>
      <c r="CS68" s="488">
        <v>18</v>
      </c>
      <c r="CT68" s="488">
        <v>13</v>
      </c>
      <c r="CU68" s="488">
        <v>8</v>
      </c>
      <c r="CV68" s="488">
        <v>5</v>
      </c>
      <c r="CW68" s="489"/>
      <c r="CX68" s="486">
        <v>3246</v>
      </c>
      <c r="CY68" s="487">
        <v>2864</v>
      </c>
      <c r="CZ68" s="487">
        <v>2760</v>
      </c>
      <c r="DA68" s="487">
        <v>2271</v>
      </c>
      <c r="DB68" s="488">
        <v>1845</v>
      </c>
      <c r="DC68" s="488">
        <v>1539</v>
      </c>
      <c r="DD68" s="488">
        <v>1131</v>
      </c>
      <c r="DE68" s="488">
        <v>823</v>
      </c>
      <c r="DF68" s="489"/>
      <c r="DG68" s="486">
        <v>59</v>
      </c>
      <c r="DH68" s="487">
        <v>47</v>
      </c>
      <c r="DI68" s="487">
        <v>46</v>
      </c>
      <c r="DJ68" s="487">
        <v>52</v>
      </c>
      <c r="DK68" s="488">
        <v>22</v>
      </c>
      <c r="DL68" s="488">
        <v>22</v>
      </c>
      <c r="DM68" s="488">
        <v>8</v>
      </c>
      <c r="DN68" s="488">
        <v>7</v>
      </c>
      <c r="DO68" s="489"/>
      <c r="DP68" s="486">
        <v>94</v>
      </c>
      <c r="DQ68" s="487">
        <v>52</v>
      </c>
      <c r="DR68" s="487">
        <v>57</v>
      </c>
      <c r="DS68" s="487">
        <v>61</v>
      </c>
      <c r="DT68" s="488">
        <v>38</v>
      </c>
      <c r="DU68" s="488">
        <v>45</v>
      </c>
      <c r="DV68" s="488">
        <v>28</v>
      </c>
      <c r="DW68" s="488">
        <v>6</v>
      </c>
      <c r="DX68" s="489"/>
      <c r="DY68" s="486">
        <v>266</v>
      </c>
      <c r="DZ68" s="487">
        <v>327</v>
      </c>
      <c r="EA68" s="487">
        <v>351</v>
      </c>
      <c r="EB68" s="487">
        <v>315</v>
      </c>
      <c r="EC68" s="488">
        <v>282</v>
      </c>
      <c r="ED68" s="488">
        <v>277</v>
      </c>
      <c r="EE68" s="488">
        <v>257</v>
      </c>
      <c r="EF68" s="488">
        <v>118</v>
      </c>
      <c r="EG68" s="489"/>
      <c r="EH68" s="486">
        <v>64</v>
      </c>
      <c r="EI68" s="487">
        <v>63</v>
      </c>
      <c r="EJ68" s="487">
        <v>43</v>
      </c>
      <c r="EK68" s="487">
        <v>34</v>
      </c>
      <c r="EL68" s="488">
        <v>16</v>
      </c>
      <c r="EM68" s="488">
        <v>16</v>
      </c>
      <c r="EN68" s="488">
        <v>5</v>
      </c>
      <c r="EO68" s="488">
        <v>5</v>
      </c>
      <c r="EP68" s="489"/>
      <c r="EQ68" s="486">
        <v>10</v>
      </c>
      <c r="ER68" s="487">
        <v>13</v>
      </c>
      <c r="ES68" s="487">
        <v>13</v>
      </c>
      <c r="ET68" s="487">
        <v>5</v>
      </c>
      <c r="EU68" s="488">
        <v>5</v>
      </c>
      <c r="EV68" s="488">
        <v>15</v>
      </c>
      <c r="EW68" s="488">
        <v>20</v>
      </c>
      <c r="EX68" s="488">
        <v>27</v>
      </c>
      <c r="EY68" s="489"/>
      <c r="EZ68" s="486">
        <v>17</v>
      </c>
      <c r="FA68" s="487">
        <v>33</v>
      </c>
      <c r="FB68" s="487">
        <v>10</v>
      </c>
      <c r="FC68" s="487">
        <v>10</v>
      </c>
      <c r="FD68" s="488">
        <v>6</v>
      </c>
      <c r="FE68" s="488">
        <v>3</v>
      </c>
      <c r="FF68" s="488">
        <v>2</v>
      </c>
      <c r="FG68" s="488">
        <v>4</v>
      </c>
      <c r="FH68" s="489"/>
      <c r="FI68" s="486">
        <v>304</v>
      </c>
      <c r="FJ68" s="487">
        <v>263</v>
      </c>
      <c r="FK68" s="487">
        <v>191</v>
      </c>
      <c r="FL68" s="487">
        <v>132</v>
      </c>
      <c r="FM68" s="488">
        <v>148</v>
      </c>
      <c r="FN68" s="488">
        <v>132</v>
      </c>
      <c r="FO68" s="488">
        <v>112</v>
      </c>
      <c r="FP68" s="488">
        <v>77</v>
      </c>
      <c r="FQ68" s="489"/>
      <c r="FR68" s="486">
        <v>13</v>
      </c>
      <c r="FS68" s="487">
        <v>8</v>
      </c>
      <c r="FT68" s="487">
        <v>10</v>
      </c>
      <c r="FU68" s="487">
        <v>17</v>
      </c>
      <c r="FV68" s="488">
        <v>18</v>
      </c>
      <c r="FW68" s="488">
        <v>11</v>
      </c>
      <c r="FX68" s="488">
        <v>2</v>
      </c>
      <c r="FY68" s="488">
        <v>2</v>
      </c>
      <c r="FZ68" s="489"/>
      <c r="GA68" s="486">
        <v>26</v>
      </c>
      <c r="GB68" s="487">
        <v>17</v>
      </c>
      <c r="GC68" s="487">
        <v>31</v>
      </c>
      <c r="GD68" s="487">
        <v>8</v>
      </c>
      <c r="GE68" s="488">
        <v>12</v>
      </c>
      <c r="GF68" s="488">
        <v>18</v>
      </c>
      <c r="GG68" s="488">
        <v>8</v>
      </c>
      <c r="GH68" s="488">
        <v>13</v>
      </c>
      <c r="GI68" s="489"/>
      <c r="GJ68" s="486">
        <v>4162</v>
      </c>
      <c r="GK68" s="487">
        <v>3671</v>
      </c>
      <c r="GL68" s="487">
        <v>3442</v>
      </c>
      <c r="GM68" s="487">
        <v>2784</v>
      </c>
      <c r="GN68" s="488">
        <v>2324</v>
      </c>
      <c r="GO68" s="488">
        <v>2024</v>
      </c>
      <c r="GP68" s="488">
        <v>1598</v>
      </c>
      <c r="GQ68" s="488">
        <v>1166</v>
      </c>
      <c r="GR68" s="489"/>
      <c r="GS68" s="486">
        <v>1658</v>
      </c>
      <c r="GT68" s="487">
        <v>1380</v>
      </c>
      <c r="GU68" s="487">
        <v>1253</v>
      </c>
      <c r="GV68" s="487">
        <v>852</v>
      </c>
      <c r="GW68" s="488">
        <v>421</v>
      </c>
      <c r="GX68" s="488">
        <v>293</v>
      </c>
      <c r="GY68" s="488">
        <v>213</v>
      </c>
      <c r="GZ68" s="488">
        <v>133</v>
      </c>
      <c r="HA68" s="489"/>
      <c r="HB68" s="486">
        <v>11</v>
      </c>
      <c r="HC68" s="487">
        <v>8</v>
      </c>
      <c r="HD68" s="487">
        <v>11</v>
      </c>
      <c r="HE68" s="487">
        <v>3</v>
      </c>
      <c r="HF68" s="488">
        <v>6</v>
      </c>
      <c r="HG68" s="488">
        <v>6</v>
      </c>
      <c r="HH68" s="488">
        <v>3</v>
      </c>
      <c r="HI68" s="488">
        <v>4</v>
      </c>
      <c r="HJ68" s="489"/>
      <c r="HK68" s="486">
        <v>4</v>
      </c>
      <c r="HL68" s="487">
        <v>1</v>
      </c>
      <c r="HM68" s="487">
        <v>3</v>
      </c>
      <c r="HN68" s="487">
        <v>2</v>
      </c>
      <c r="HO68" s="488">
        <v>1</v>
      </c>
      <c r="HP68" s="488">
        <v>4</v>
      </c>
      <c r="HQ68" s="488">
        <v>1</v>
      </c>
      <c r="HR68" s="488">
        <v>2</v>
      </c>
      <c r="HS68" s="489"/>
      <c r="HT68" s="486">
        <v>2057</v>
      </c>
      <c r="HU68" s="487">
        <v>1697</v>
      </c>
      <c r="HV68" s="487">
        <v>1524</v>
      </c>
      <c r="HW68" s="487">
        <v>1138</v>
      </c>
      <c r="HX68" s="488">
        <v>762</v>
      </c>
      <c r="HY68" s="488">
        <v>556</v>
      </c>
      <c r="HZ68" s="488">
        <v>487</v>
      </c>
      <c r="IA68" s="488">
        <v>425</v>
      </c>
      <c r="IB68" s="489"/>
      <c r="IC68" s="486">
        <v>8495</v>
      </c>
      <c r="ID68" s="487">
        <v>12816</v>
      </c>
      <c r="IE68" s="487">
        <v>19909</v>
      </c>
      <c r="IF68" s="487">
        <v>9852</v>
      </c>
      <c r="IG68" s="488">
        <v>4390</v>
      </c>
      <c r="IH68" s="488">
        <v>4042</v>
      </c>
      <c r="II68" s="488">
        <v>3087</v>
      </c>
      <c r="IJ68" s="488">
        <v>3431</v>
      </c>
      <c r="IK68" s="489"/>
      <c r="IL68" s="486">
        <v>370</v>
      </c>
      <c r="IM68" s="487">
        <v>517</v>
      </c>
      <c r="IN68" s="487">
        <v>579</v>
      </c>
      <c r="IO68" s="487">
        <v>376</v>
      </c>
      <c r="IP68" s="488">
        <v>167</v>
      </c>
      <c r="IQ68" s="488">
        <v>446</v>
      </c>
      <c r="IR68" s="488">
        <v>377</v>
      </c>
      <c r="IS68" s="488">
        <v>197</v>
      </c>
      <c r="IT68" s="489"/>
      <c r="IU68" s="526">
        <v>4930.1537372248367</v>
      </c>
      <c r="IV68" s="527">
        <v>7457.2760227861218</v>
      </c>
      <c r="IW68" s="527">
        <v>11632.554090295591</v>
      </c>
      <c r="IX68" s="527">
        <v>5840.9566552637971</v>
      </c>
      <c r="IY68" s="528">
        <v>2611.4009362972834</v>
      </c>
      <c r="IZ68" s="528">
        <v>2391.1750136567844</v>
      </c>
      <c r="JA68" s="528">
        <v>1791.4761252582464</v>
      </c>
      <c r="JB68" s="528">
        <v>1997.1128883921815</v>
      </c>
      <c r="JC68" s="529"/>
      <c r="JD68" s="530">
        <v>1193.7994393727474</v>
      </c>
      <c r="JE68" s="531">
        <v>987.43737598845564</v>
      </c>
      <c r="JF68" s="531">
        <v>890.45217909540804</v>
      </c>
      <c r="JG68" s="531">
        <v>674.68622347647192</v>
      </c>
      <c r="JH68" s="531">
        <v>453.27733791766053</v>
      </c>
      <c r="JI68" s="532">
        <v>330.03499112408758</v>
      </c>
      <c r="JJ68" s="532">
        <v>282.62030223542791</v>
      </c>
      <c r="JK68" s="532">
        <v>247.38355510541447</v>
      </c>
      <c r="JL68" s="529"/>
      <c r="JM68" s="530">
        <v>2415.4561335291078</v>
      </c>
      <c r="JN68" s="531">
        <v>2136.0533926067301</v>
      </c>
      <c r="JO68" s="531">
        <v>2011.1131236524898</v>
      </c>
      <c r="JP68" s="531">
        <v>1650.5504799283813</v>
      </c>
      <c r="JQ68" s="531">
        <v>1382.4363954339149</v>
      </c>
      <c r="JR68" s="532">
        <v>1201.9522422994712</v>
      </c>
      <c r="JS68" s="532">
        <v>927.36600199633244</v>
      </c>
      <c r="JT68" s="532">
        <v>678.70405941861952</v>
      </c>
      <c r="JU68" s="529"/>
      <c r="JV68" s="530">
        <v>962.23600898396455</v>
      </c>
      <c r="JW68" s="531">
        <v>802.98384140487269</v>
      </c>
      <c r="JX68" s="531">
        <v>732.11061706466296</v>
      </c>
      <c r="JY68" s="531">
        <v>505.12536239187529</v>
      </c>
      <c r="JZ68" s="531">
        <v>250.43275493875998</v>
      </c>
      <c r="KA68" s="532">
        <v>173.51531856620898</v>
      </c>
      <c r="KB68" s="532">
        <v>123.6101116553309</v>
      </c>
      <c r="KC68" s="532">
        <v>77.416500774165002</v>
      </c>
      <c r="KD68" s="529"/>
    </row>
    <row r="69" spans="1:290" ht="15" customHeight="1" x14ac:dyDescent="0.2">
      <c r="A69" s="935"/>
      <c r="B69" s="490" t="s">
        <v>685</v>
      </c>
      <c r="C69" s="491">
        <v>2</v>
      </c>
      <c r="D69" s="492">
        <v>1</v>
      </c>
      <c r="E69" s="492">
        <v>2</v>
      </c>
      <c r="F69" s="492"/>
      <c r="G69" s="493">
        <v>5</v>
      </c>
      <c r="H69" s="493"/>
      <c r="I69" s="493"/>
      <c r="J69" s="493"/>
      <c r="K69" s="199"/>
      <c r="L69" s="491"/>
      <c r="M69" s="492"/>
      <c r="N69" s="492">
        <v>1</v>
      </c>
      <c r="O69" s="492"/>
      <c r="P69" s="493">
        <v>3</v>
      </c>
      <c r="Q69" s="493"/>
      <c r="R69" s="493"/>
      <c r="S69" s="493"/>
      <c r="T69" s="199"/>
      <c r="U69" s="491">
        <v>2</v>
      </c>
      <c r="V69" s="492">
        <v>1</v>
      </c>
      <c r="W69" s="492">
        <v>1</v>
      </c>
      <c r="X69" s="492"/>
      <c r="Y69" s="493"/>
      <c r="Z69" s="493"/>
      <c r="AA69" s="493"/>
      <c r="AB69" s="493"/>
      <c r="AC69" s="199"/>
      <c r="AD69" s="491">
        <v>96</v>
      </c>
      <c r="AE69" s="492">
        <v>51</v>
      </c>
      <c r="AF69" s="492">
        <v>34</v>
      </c>
      <c r="AG69" s="492">
        <v>63</v>
      </c>
      <c r="AH69" s="493">
        <v>235</v>
      </c>
      <c r="AI69" s="493">
        <v>47</v>
      </c>
      <c r="AJ69" s="493">
        <v>25</v>
      </c>
      <c r="AK69" s="493">
        <v>35</v>
      </c>
      <c r="AL69" s="199"/>
      <c r="AM69" s="491">
        <v>32</v>
      </c>
      <c r="AN69" s="492">
        <v>42</v>
      </c>
      <c r="AO69" s="492">
        <v>23</v>
      </c>
      <c r="AP69" s="492">
        <v>27</v>
      </c>
      <c r="AQ69" s="493">
        <v>23</v>
      </c>
      <c r="AR69" s="493">
        <v>16</v>
      </c>
      <c r="AS69" s="493">
        <v>15</v>
      </c>
      <c r="AT69" s="493">
        <v>11</v>
      </c>
      <c r="AU69" s="199"/>
      <c r="AV69" s="491"/>
      <c r="AW69" s="492"/>
      <c r="AX69" s="492"/>
      <c r="AY69" s="492">
        <v>2</v>
      </c>
      <c r="AZ69" s="493"/>
      <c r="BA69" s="493"/>
      <c r="BB69" s="493"/>
      <c r="BC69" s="493">
        <v>1</v>
      </c>
      <c r="BD69" s="199"/>
      <c r="BE69" s="491">
        <v>2</v>
      </c>
      <c r="BF69" s="492">
        <v>4</v>
      </c>
      <c r="BG69" s="492">
        <v>2</v>
      </c>
      <c r="BH69" s="492">
        <v>1</v>
      </c>
      <c r="BI69" s="493"/>
      <c r="BJ69" s="493">
        <v>2</v>
      </c>
      <c r="BK69" s="493">
        <v>3</v>
      </c>
      <c r="BL69" s="493">
        <v>11</v>
      </c>
      <c r="BM69" s="199"/>
      <c r="BN69" s="491"/>
      <c r="BO69" s="492">
        <v>2</v>
      </c>
      <c r="BP69" s="492"/>
      <c r="BQ69" s="492"/>
      <c r="BR69" s="493"/>
      <c r="BS69" s="493">
        <v>21</v>
      </c>
      <c r="BT69" s="493">
        <v>3</v>
      </c>
      <c r="BU69" s="493">
        <v>8</v>
      </c>
      <c r="BV69" s="199"/>
      <c r="BW69" s="491">
        <v>18</v>
      </c>
      <c r="BX69" s="492">
        <v>13</v>
      </c>
      <c r="BY69" s="492">
        <v>22</v>
      </c>
      <c r="BZ69" s="492">
        <v>53</v>
      </c>
      <c r="CA69" s="493">
        <v>192</v>
      </c>
      <c r="CB69" s="493">
        <v>96</v>
      </c>
      <c r="CC69" s="493">
        <v>24</v>
      </c>
      <c r="CD69" s="493">
        <v>48</v>
      </c>
      <c r="CE69" s="199"/>
      <c r="CF69" s="491"/>
      <c r="CG69" s="492">
        <v>1</v>
      </c>
      <c r="CH69" s="492">
        <v>1</v>
      </c>
      <c r="CI69" s="492"/>
      <c r="CJ69" s="493"/>
      <c r="CK69" s="493">
        <v>1</v>
      </c>
      <c r="CL69" s="493">
        <v>2</v>
      </c>
      <c r="CM69" s="493">
        <v>1</v>
      </c>
      <c r="CN69" s="199"/>
      <c r="CO69" s="491">
        <v>1</v>
      </c>
      <c r="CP69" s="492">
        <v>1</v>
      </c>
      <c r="CQ69" s="492">
        <v>2</v>
      </c>
      <c r="CR69" s="492"/>
      <c r="CS69" s="493"/>
      <c r="CT69" s="493"/>
      <c r="CU69" s="493">
        <v>1</v>
      </c>
      <c r="CV69" s="493">
        <v>1</v>
      </c>
      <c r="CW69" s="199"/>
      <c r="CX69" s="491">
        <v>569</v>
      </c>
      <c r="CY69" s="492">
        <v>595</v>
      </c>
      <c r="CZ69" s="492">
        <v>599</v>
      </c>
      <c r="DA69" s="492">
        <v>657</v>
      </c>
      <c r="DB69" s="493">
        <v>413</v>
      </c>
      <c r="DC69" s="493">
        <v>384</v>
      </c>
      <c r="DD69" s="493">
        <v>236</v>
      </c>
      <c r="DE69" s="493">
        <v>276</v>
      </c>
      <c r="DF69" s="199"/>
      <c r="DG69" s="491">
        <v>4</v>
      </c>
      <c r="DH69" s="492">
        <v>8</v>
      </c>
      <c r="DI69" s="492">
        <v>5</v>
      </c>
      <c r="DJ69" s="492">
        <v>4</v>
      </c>
      <c r="DK69" s="493">
        <v>5</v>
      </c>
      <c r="DL69" s="493">
        <v>1</v>
      </c>
      <c r="DM69" s="493">
        <v>1</v>
      </c>
      <c r="DN69" s="493">
        <v>1</v>
      </c>
      <c r="DO69" s="199"/>
      <c r="DP69" s="491">
        <v>26</v>
      </c>
      <c r="DQ69" s="492">
        <v>18</v>
      </c>
      <c r="DR69" s="492">
        <v>17</v>
      </c>
      <c r="DS69" s="492">
        <v>28</v>
      </c>
      <c r="DT69" s="493">
        <v>13</v>
      </c>
      <c r="DU69" s="493">
        <v>6</v>
      </c>
      <c r="DV69" s="493">
        <v>5</v>
      </c>
      <c r="DW69" s="493">
        <v>5</v>
      </c>
      <c r="DX69" s="199"/>
      <c r="DY69" s="491">
        <v>136</v>
      </c>
      <c r="DZ69" s="492">
        <v>132</v>
      </c>
      <c r="EA69" s="492">
        <v>133</v>
      </c>
      <c r="EB69" s="492">
        <v>126</v>
      </c>
      <c r="EC69" s="493">
        <v>48</v>
      </c>
      <c r="ED69" s="493">
        <v>119</v>
      </c>
      <c r="EE69" s="493">
        <v>53</v>
      </c>
      <c r="EF69" s="493">
        <v>52</v>
      </c>
      <c r="EG69" s="199"/>
      <c r="EH69" s="491">
        <v>4</v>
      </c>
      <c r="EI69" s="492">
        <v>7</v>
      </c>
      <c r="EJ69" s="492">
        <v>2</v>
      </c>
      <c r="EK69" s="492">
        <v>1</v>
      </c>
      <c r="EL69" s="493">
        <v>7</v>
      </c>
      <c r="EM69" s="493">
        <v>1</v>
      </c>
      <c r="EN69" s="493">
        <v>3</v>
      </c>
      <c r="EO69" s="493">
        <v>8</v>
      </c>
      <c r="EP69" s="199"/>
      <c r="EQ69" s="491">
        <v>1</v>
      </c>
      <c r="ER69" s="492"/>
      <c r="ES69" s="492"/>
      <c r="ET69" s="492">
        <v>1</v>
      </c>
      <c r="EU69" s="493">
        <v>3</v>
      </c>
      <c r="EV69" s="493">
        <v>1</v>
      </c>
      <c r="EW69" s="493">
        <v>1</v>
      </c>
      <c r="EX69" s="493">
        <v>4</v>
      </c>
      <c r="EY69" s="199"/>
      <c r="EZ69" s="491"/>
      <c r="FA69" s="492">
        <v>1</v>
      </c>
      <c r="FB69" s="492">
        <v>2</v>
      </c>
      <c r="FC69" s="492"/>
      <c r="FD69" s="493"/>
      <c r="FE69" s="493">
        <v>1</v>
      </c>
      <c r="FF69" s="493"/>
      <c r="FG69" s="493"/>
      <c r="FH69" s="199"/>
      <c r="FI69" s="491">
        <v>52</v>
      </c>
      <c r="FJ69" s="492">
        <v>45</v>
      </c>
      <c r="FK69" s="492">
        <v>59</v>
      </c>
      <c r="FL69" s="492">
        <v>13</v>
      </c>
      <c r="FM69" s="493">
        <v>14</v>
      </c>
      <c r="FN69" s="493">
        <v>16</v>
      </c>
      <c r="FO69" s="493">
        <v>20</v>
      </c>
      <c r="FP69" s="493">
        <v>16</v>
      </c>
      <c r="FQ69" s="199"/>
      <c r="FR69" s="491">
        <v>9</v>
      </c>
      <c r="FS69" s="492">
        <v>1</v>
      </c>
      <c r="FT69" s="492">
        <v>3</v>
      </c>
      <c r="FU69" s="492"/>
      <c r="FV69" s="493">
        <v>1</v>
      </c>
      <c r="FW69" s="493"/>
      <c r="FX69" s="493"/>
      <c r="FY69" s="493"/>
      <c r="FZ69" s="199"/>
      <c r="GA69" s="491">
        <v>2</v>
      </c>
      <c r="GB69" s="492">
        <v>3</v>
      </c>
      <c r="GC69" s="492">
        <v>7</v>
      </c>
      <c r="GD69" s="492">
        <v>2</v>
      </c>
      <c r="GE69" s="493">
        <v>1</v>
      </c>
      <c r="GF69" s="493">
        <v>2</v>
      </c>
      <c r="GG69" s="493">
        <v>2</v>
      </c>
      <c r="GH69" s="493">
        <v>3</v>
      </c>
      <c r="GI69" s="199"/>
      <c r="GJ69" s="491">
        <v>756</v>
      </c>
      <c r="GK69" s="492">
        <v>725</v>
      </c>
      <c r="GL69" s="492">
        <v>735</v>
      </c>
      <c r="GM69" s="492">
        <v>791</v>
      </c>
      <c r="GN69" s="493">
        <v>871</v>
      </c>
      <c r="GO69" s="493">
        <v>572</v>
      </c>
      <c r="GP69" s="493">
        <v>320</v>
      </c>
      <c r="GQ69" s="493">
        <v>411</v>
      </c>
      <c r="GR69" s="199"/>
      <c r="GS69" s="491">
        <v>153</v>
      </c>
      <c r="GT69" s="492">
        <v>162</v>
      </c>
      <c r="GU69" s="492">
        <v>145</v>
      </c>
      <c r="GV69" s="492">
        <v>217</v>
      </c>
      <c r="GW69" s="493">
        <v>433</v>
      </c>
      <c r="GX69" s="493">
        <v>56</v>
      </c>
      <c r="GY69" s="493">
        <v>28</v>
      </c>
      <c r="GZ69" s="493">
        <v>60</v>
      </c>
      <c r="HA69" s="199"/>
      <c r="HB69" s="491">
        <v>1</v>
      </c>
      <c r="HC69" s="492">
        <v>2</v>
      </c>
      <c r="HD69" s="492">
        <v>1</v>
      </c>
      <c r="HE69" s="492">
        <v>2</v>
      </c>
      <c r="HF69" s="493">
        <v>2</v>
      </c>
      <c r="HG69" s="493"/>
      <c r="HH69" s="493">
        <v>2</v>
      </c>
      <c r="HI69" s="493"/>
      <c r="HJ69" s="199"/>
      <c r="HK69" s="491"/>
      <c r="HL69" s="492"/>
      <c r="HM69" s="492">
        <v>2</v>
      </c>
      <c r="HN69" s="492"/>
      <c r="HO69" s="493">
        <v>1</v>
      </c>
      <c r="HP69" s="493">
        <v>1</v>
      </c>
      <c r="HQ69" s="493"/>
      <c r="HR69" s="493"/>
      <c r="HS69" s="199"/>
      <c r="HT69" s="491">
        <v>224</v>
      </c>
      <c r="HU69" s="492">
        <v>235</v>
      </c>
      <c r="HV69" s="492">
        <v>216</v>
      </c>
      <c r="HW69" s="492">
        <v>284</v>
      </c>
      <c r="HX69" s="493">
        <v>526</v>
      </c>
      <c r="HY69" s="493">
        <v>142</v>
      </c>
      <c r="HZ69" s="493">
        <v>110</v>
      </c>
      <c r="IA69" s="493">
        <v>187</v>
      </c>
      <c r="IB69" s="199"/>
      <c r="IC69" s="491">
        <v>1049</v>
      </c>
      <c r="ID69" s="492">
        <v>1067</v>
      </c>
      <c r="IE69" s="492">
        <v>1273</v>
      </c>
      <c r="IF69" s="492">
        <v>1123</v>
      </c>
      <c r="IG69" s="493">
        <v>1180</v>
      </c>
      <c r="IH69" s="493">
        <v>842</v>
      </c>
      <c r="II69" s="493">
        <v>588</v>
      </c>
      <c r="IJ69" s="493">
        <v>744</v>
      </c>
      <c r="IK69" s="199"/>
      <c r="IL69" s="491">
        <v>222</v>
      </c>
      <c r="IM69" s="492">
        <v>253</v>
      </c>
      <c r="IN69" s="492">
        <v>213</v>
      </c>
      <c r="IO69" s="492">
        <v>174</v>
      </c>
      <c r="IP69" s="493">
        <v>62</v>
      </c>
      <c r="IQ69" s="493">
        <v>172</v>
      </c>
      <c r="IR69" s="493">
        <v>96</v>
      </c>
      <c r="IS69" s="493">
        <v>84</v>
      </c>
      <c r="IT69" s="199"/>
      <c r="IU69" s="533">
        <v>2758.5662818523679</v>
      </c>
      <c r="IV69" s="534">
        <v>2804.2786932639492</v>
      </c>
      <c r="IW69" s="534">
        <v>3336.478481941605</v>
      </c>
      <c r="IX69" s="534">
        <v>2963.9991554054054</v>
      </c>
      <c r="IY69" s="535">
        <v>3101.7532791840813</v>
      </c>
      <c r="IZ69" s="535">
        <v>2166.1977734348329</v>
      </c>
      <c r="JA69" s="535">
        <v>1643.6977608811114</v>
      </c>
      <c r="JB69" s="535">
        <v>2067.2409002500694</v>
      </c>
      <c r="JC69" s="536"/>
      <c r="JD69" s="537">
        <v>589.05514502853237</v>
      </c>
      <c r="JE69" s="538">
        <v>617.62464190911726</v>
      </c>
      <c r="JF69" s="538">
        <v>566.12674948891333</v>
      </c>
      <c r="JG69" s="538">
        <v>749.57770270270271</v>
      </c>
      <c r="JH69" s="538">
        <v>1382.6459532634126</v>
      </c>
      <c r="JI69" s="539">
        <v>381.71721894409211</v>
      </c>
      <c r="JJ69" s="539">
        <v>307.49447907639836</v>
      </c>
      <c r="JK69" s="539">
        <v>519.58877465962769</v>
      </c>
      <c r="JL69" s="536"/>
      <c r="JM69" s="537">
        <v>1988.0611144712966</v>
      </c>
      <c r="JN69" s="538">
        <v>1905.4377250387658</v>
      </c>
      <c r="JO69" s="538">
        <v>1926.4035225664413</v>
      </c>
      <c r="JP69" s="538">
        <v>2087.7322635135138</v>
      </c>
      <c r="JQ69" s="538">
        <v>2289.5144967536735</v>
      </c>
      <c r="JR69" s="539">
        <v>1458.4511867578849</v>
      </c>
      <c r="JS69" s="539">
        <v>894.52939367679528</v>
      </c>
      <c r="JT69" s="539">
        <v>1141.9838844123369</v>
      </c>
      <c r="JU69" s="536"/>
      <c r="JV69" s="537">
        <v>402.34570173823863</v>
      </c>
      <c r="JW69" s="538">
        <v>425.76677442245523</v>
      </c>
      <c r="JX69" s="538">
        <v>380.03879016616867</v>
      </c>
      <c r="JY69" s="538">
        <v>572.74070945945948</v>
      </c>
      <c r="JZ69" s="538">
        <v>1138.1857371921249</v>
      </c>
      <c r="KA69" s="539">
        <v>148.32499812632977</v>
      </c>
      <c r="KB69" s="539">
        <v>78.271321946719596</v>
      </c>
      <c r="KC69" s="539">
        <v>166.7129758266185</v>
      </c>
      <c r="KD69" s="536"/>
    </row>
    <row r="70" spans="1:290" ht="15" customHeight="1" x14ac:dyDescent="0.2">
      <c r="A70" s="935"/>
      <c r="B70" s="490" t="s">
        <v>0</v>
      </c>
      <c r="C70" s="491">
        <v>1</v>
      </c>
      <c r="D70" s="492">
        <v>6</v>
      </c>
      <c r="E70" s="492">
        <v>2</v>
      </c>
      <c r="F70" s="492">
        <v>4</v>
      </c>
      <c r="G70" s="493">
        <v>6</v>
      </c>
      <c r="H70" s="493">
        <v>2</v>
      </c>
      <c r="I70" s="493">
        <v>2</v>
      </c>
      <c r="J70" s="493">
        <v>2</v>
      </c>
      <c r="K70" s="199"/>
      <c r="L70" s="491"/>
      <c r="M70" s="492">
        <v>3</v>
      </c>
      <c r="N70" s="492">
        <v>1</v>
      </c>
      <c r="O70" s="492">
        <v>4</v>
      </c>
      <c r="P70" s="493">
        <v>3</v>
      </c>
      <c r="Q70" s="493">
        <v>1</v>
      </c>
      <c r="R70" s="493">
        <v>2</v>
      </c>
      <c r="S70" s="493">
        <v>2</v>
      </c>
      <c r="T70" s="199"/>
      <c r="U70" s="491">
        <v>1</v>
      </c>
      <c r="V70" s="492">
        <v>2</v>
      </c>
      <c r="W70" s="492">
        <v>1</v>
      </c>
      <c r="X70" s="492"/>
      <c r="Y70" s="493">
        <v>2</v>
      </c>
      <c r="Z70" s="493">
        <v>1</v>
      </c>
      <c r="AA70" s="493"/>
      <c r="AB70" s="493"/>
      <c r="AC70" s="199"/>
      <c r="AD70" s="491">
        <v>289</v>
      </c>
      <c r="AE70" s="492">
        <v>1423</v>
      </c>
      <c r="AF70" s="492">
        <v>1115</v>
      </c>
      <c r="AG70" s="492">
        <v>233</v>
      </c>
      <c r="AH70" s="493">
        <v>279</v>
      </c>
      <c r="AI70" s="493">
        <v>107</v>
      </c>
      <c r="AJ70" s="493">
        <v>136</v>
      </c>
      <c r="AK70" s="493">
        <v>121</v>
      </c>
      <c r="AL70" s="199"/>
      <c r="AM70" s="491">
        <v>82</v>
      </c>
      <c r="AN70" s="492">
        <v>57</v>
      </c>
      <c r="AO70" s="492">
        <v>75</v>
      </c>
      <c r="AP70" s="492">
        <v>151</v>
      </c>
      <c r="AQ70" s="493">
        <v>53</v>
      </c>
      <c r="AR70" s="493">
        <v>51</v>
      </c>
      <c r="AS70" s="493">
        <v>44</v>
      </c>
      <c r="AT70" s="493">
        <v>33</v>
      </c>
      <c r="AU70" s="199"/>
      <c r="AV70" s="491">
        <v>2</v>
      </c>
      <c r="AW70" s="492">
        <v>1</v>
      </c>
      <c r="AX70" s="492"/>
      <c r="AY70" s="492"/>
      <c r="AZ70" s="493"/>
      <c r="BA70" s="493"/>
      <c r="BB70" s="493"/>
      <c r="BC70" s="493"/>
      <c r="BD70" s="199"/>
      <c r="BE70" s="491">
        <v>18</v>
      </c>
      <c r="BF70" s="492">
        <v>5</v>
      </c>
      <c r="BG70" s="492">
        <v>8</v>
      </c>
      <c r="BH70" s="492">
        <v>9</v>
      </c>
      <c r="BI70" s="493">
        <v>5</v>
      </c>
      <c r="BJ70" s="493">
        <v>4</v>
      </c>
      <c r="BK70" s="493">
        <v>2</v>
      </c>
      <c r="BL70" s="493">
        <v>4</v>
      </c>
      <c r="BM70" s="199"/>
      <c r="BN70" s="491"/>
      <c r="BO70" s="492"/>
      <c r="BP70" s="492"/>
      <c r="BQ70" s="492"/>
      <c r="BR70" s="493"/>
      <c r="BS70" s="493"/>
      <c r="BT70" s="493"/>
      <c r="BU70" s="493"/>
      <c r="BV70" s="199"/>
      <c r="BW70" s="491">
        <v>1395</v>
      </c>
      <c r="BX70" s="492">
        <v>901</v>
      </c>
      <c r="BY70" s="492">
        <v>291</v>
      </c>
      <c r="BZ70" s="492">
        <v>77</v>
      </c>
      <c r="CA70" s="493">
        <v>253</v>
      </c>
      <c r="CB70" s="493">
        <v>35</v>
      </c>
      <c r="CC70" s="493">
        <v>34</v>
      </c>
      <c r="CD70" s="493">
        <v>30</v>
      </c>
      <c r="CE70" s="199"/>
      <c r="CF70" s="491">
        <v>5</v>
      </c>
      <c r="CG70" s="492">
        <v>3</v>
      </c>
      <c r="CH70" s="492">
        <v>6</v>
      </c>
      <c r="CI70" s="492">
        <v>4</v>
      </c>
      <c r="CJ70" s="493">
        <v>3</v>
      </c>
      <c r="CK70" s="493">
        <v>3</v>
      </c>
      <c r="CL70" s="493">
        <v>2</v>
      </c>
      <c r="CM70" s="493">
        <v>2</v>
      </c>
      <c r="CN70" s="199"/>
      <c r="CO70" s="491">
        <v>4</v>
      </c>
      <c r="CP70" s="492">
        <v>3</v>
      </c>
      <c r="CQ70" s="492">
        <v>4</v>
      </c>
      <c r="CR70" s="492">
        <v>4</v>
      </c>
      <c r="CS70" s="493">
        <v>21</v>
      </c>
      <c r="CT70" s="493">
        <v>8</v>
      </c>
      <c r="CU70" s="493">
        <v>3</v>
      </c>
      <c r="CV70" s="493">
        <v>6</v>
      </c>
      <c r="CW70" s="199"/>
      <c r="CX70" s="491">
        <v>2079</v>
      </c>
      <c r="CY70" s="492">
        <v>2356</v>
      </c>
      <c r="CZ70" s="492">
        <v>2043</v>
      </c>
      <c r="DA70" s="492">
        <v>2138</v>
      </c>
      <c r="DB70" s="493">
        <v>1665</v>
      </c>
      <c r="DC70" s="493">
        <v>1183</v>
      </c>
      <c r="DD70" s="493">
        <v>651</v>
      </c>
      <c r="DE70" s="493">
        <v>678</v>
      </c>
      <c r="DF70" s="199"/>
      <c r="DG70" s="491">
        <v>32</v>
      </c>
      <c r="DH70" s="492">
        <v>30</v>
      </c>
      <c r="DI70" s="492">
        <v>31</v>
      </c>
      <c r="DJ70" s="492">
        <v>23</v>
      </c>
      <c r="DK70" s="493">
        <v>14</v>
      </c>
      <c r="DL70" s="493">
        <v>7</v>
      </c>
      <c r="DM70" s="493">
        <v>7</v>
      </c>
      <c r="DN70" s="493">
        <v>8</v>
      </c>
      <c r="DO70" s="199"/>
      <c r="DP70" s="491">
        <v>62</v>
      </c>
      <c r="DQ70" s="492">
        <v>71</v>
      </c>
      <c r="DR70" s="492">
        <v>79</v>
      </c>
      <c r="DS70" s="492">
        <v>84</v>
      </c>
      <c r="DT70" s="493">
        <v>38</v>
      </c>
      <c r="DU70" s="493">
        <v>35</v>
      </c>
      <c r="DV70" s="493">
        <v>11</v>
      </c>
      <c r="DW70" s="493">
        <v>9</v>
      </c>
      <c r="DX70" s="199"/>
      <c r="DY70" s="491">
        <v>325</v>
      </c>
      <c r="DZ70" s="492">
        <v>282</v>
      </c>
      <c r="EA70" s="492">
        <v>314</v>
      </c>
      <c r="EB70" s="492">
        <v>361</v>
      </c>
      <c r="EC70" s="493">
        <v>354</v>
      </c>
      <c r="ED70" s="493">
        <v>350</v>
      </c>
      <c r="EE70" s="493">
        <v>148</v>
      </c>
      <c r="EF70" s="493">
        <v>155</v>
      </c>
      <c r="EG70" s="199"/>
      <c r="EH70" s="491">
        <v>64</v>
      </c>
      <c r="EI70" s="492">
        <v>32</v>
      </c>
      <c r="EJ70" s="492">
        <v>38</v>
      </c>
      <c r="EK70" s="492">
        <v>34</v>
      </c>
      <c r="EL70" s="493">
        <v>20</v>
      </c>
      <c r="EM70" s="493">
        <v>25</v>
      </c>
      <c r="EN70" s="493">
        <v>12</v>
      </c>
      <c r="EO70" s="493">
        <v>10</v>
      </c>
      <c r="EP70" s="199"/>
      <c r="EQ70" s="491">
        <v>3</v>
      </c>
      <c r="ER70" s="492">
        <v>17</v>
      </c>
      <c r="ES70" s="492">
        <v>14</v>
      </c>
      <c r="ET70" s="492">
        <v>8</v>
      </c>
      <c r="EU70" s="493">
        <v>9</v>
      </c>
      <c r="EV70" s="493">
        <v>5</v>
      </c>
      <c r="EW70" s="493">
        <v>11</v>
      </c>
      <c r="EX70" s="493">
        <v>11</v>
      </c>
      <c r="EY70" s="199"/>
      <c r="EZ70" s="491">
        <v>7</v>
      </c>
      <c r="FA70" s="492">
        <v>11</v>
      </c>
      <c r="FB70" s="492">
        <v>9</v>
      </c>
      <c r="FC70" s="492">
        <v>8</v>
      </c>
      <c r="FD70" s="493">
        <v>8</v>
      </c>
      <c r="FE70" s="493">
        <v>10</v>
      </c>
      <c r="FF70" s="493"/>
      <c r="FG70" s="493">
        <v>2</v>
      </c>
      <c r="FH70" s="199"/>
      <c r="FI70" s="491">
        <v>194</v>
      </c>
      <c r="FJ70" s="492">
        <v>283</v>
      </c>
      <c r="FK70" s="492">
        <v>208</v>
      </c>
      <c r="FL70" s="492">
        <v>188</v>
      </c>
      <c r="FM70" s="493">
        <v>121</v>
      </c>
      <c r="FN70" s="493">
        <v>86</v>
      </c>
      <c r="FO70" s="493">
        <v>88</v>
      </c>
      <c r="FP70" s="493">
        <v>86</v>
      </c>
      <c r="FQ70" s="199"/>
      <c r="FR70" s="491">
        <v>17</v>
      </c>
      <c r="FS70" s="492">
        <v>2</v>
      </c>
      <c r="FT70" s="492">
        <v>4</v>
      </c>
      <c r="FU70" s="492">
        <v>4</v>
      </c>
      <c r="FV70" s="493">
        <v>4</v>
      </c>
      <c r="FW70" s="493">
        <v>3</v>
      </c>
      <c r="FX70" s="493">
        <v>1</v>
      </c>
      <c r="FY70" s="493"/>
      <c r="FZ70" s="199"/>
      <c r="GA70" s="491">
        <v>27</v>
      </c>
      <c r="GB70" s="492">
        <v>15</v>
      </c>
      <c r="GC70" s="492">
        <v>13</v>
      </c>
      <c r="GD70" s="492">
        <v>10</v>
      </c>
      <c r="GE70" s="493">
        <v>9</v>
      </c>
      <c r="GF70" s="493">
        <v>6</v>
      </c>
      <c r="GG70" s="493">
        <v>11</v>
      </c>
      <c r="GH70" s="493">
        <v>11</v>
      </c>
      <c r="GI70" s="199"/>
      <c r="GJ70" s="491">
        <v>4103</v>
      </c>
      <c r="GK70" s="492">
        <v>5057</v>
      </c>
      <c r="GL70" s="492">
        <v>3755</v>
      </c>
      <c r="GM70" s="492">
        <v>2721</v>
      </c>
      <c r="GN70" s="493">
        <v>2403</v>
      </c>
      <c r="GO70" s="493">
        <v>1477</v>
      </c>
      <c r="GP70" s="493">
        <v>953</v>
      </c>
      <c r="GQ70" s="493">
        <v>963</v>
      </c>
      <c r="GR70" s="199"/>
      <c r="GS70" s="491">
        <v>683</v>
      </c>
      <c r="GT70" s="492">
        <v>881</v>
      </c>
      <c r="GU70" s="492">
        <v>651</v>
      </c>
      <c r="GV70" s="492">
        <v>525</v>
      </c>
      <c r="GW70" s="493">
        <v>263</v>
      </c>
      <c r="GX70" s="493">
        <v>160</v>
      </c>
      <c r="GY70" s="493">
        <v>174</v>
      </c>
      <c r="GZ70" s="493">
        <v>199</v>
      </c>
      <c r="HA70" s="199"/>
      <c r="HB70" s="491">
        <v>3</v>
      </c>
      <c r="HC70" s="492">
        <v>4</v>
      </c>
      <c r="HD70" s="492">
        <v>6</v>
      </c>
      <c r="HE70" s="492">
        <v>6</v>
      </c>
      <c r="HF70" s="493">
        <v>8</v>
      </c>
      <c r="HG70" s="493">
        <v>3</v>
      </c>
      <c r="HH70" s="493">
        <v>1</v>
      </c>
      <c r="HI70" s="493">
        <v>1</v>
      </c>
      <c r="HJ70" s="199"/>
      <c r="HK70" s="491">
        <v>1</v>
      </c>
      <c r="HL70" s="492">
        <v>3</v>
      </c>
      <c r="HM70" s="492"/>
      <c r="HN70" s="492">
        <v>1</v>
      </c>
      <c r="HO70" s="493">
        <v>3</v>
      </c>
      <c r="HP70" s="493"/>
      <c r="HQ70" s="493"/>
      <c r="HR70" s="493"/>
      <c r="HS70" s="199"/>
      <c r="HT70" s="491">
        <v>977</v>
      </c>
      <c r="HU70" s="492">
        <v>1032</v>
      </c>
      <c r="HV70" s="492">
        <v>776</v>
      </c>
      <c r="HW70" s="492">
        <v>798</v>
      </c>
      <c r="HX70" s="493">
        <v>484</v>
      </c>
      <c r="HY70" s="493">
        <v>360</v>
      </c>
      <c r="HZ70" s="493">
        <v>393</v>
      </c>
      <c r="IA70" s="493">
        <v>398</v>
      </c>
      <c r="IB70" s="199"/>
      <c r="IC70" s="491">
        <v>5404</v>
      </c>
      <c r="ID70" s="492">
        <v>7413</v>
      </c>
      <c r="IE70" s="492">
        <v>5909</v>
      </c>
      <c r="IF70" s="492">
        <v>3736</v>
      </c>
      <c r="IG70" s="493">
        <v>3665</v>
      </c>
      <c r="IH70" s="493">
        <v>2645</v>
      </c>
      <c r="II70" s="493">
        <v>2431</v>
      </c>
      <c r="IJ70" s="493">
        <v>1712</v>
      </c>
      <c r="IK70" s="199"/>
      <c r="IL70" s="491">
        <v>583</v>
      </c>
      <c r="IM70" s="492">
        <v>803</v>
      </c>
      <c r="IN70" s="492">
        <v>673</v>
      </c>
      <c r="IO70" s="492">
        <v>643</v>
      </c>
      <c r="IP70" s="493">
        <v>259</v>
      </c>
      <c r="IQ70" s="493">
        <v>438</v>
      </c>
      <c r="IR70" s="493">
        <v>234</v>
      </c>
      <c r="IS70" s="493">
        <v>255</v>
      </c>
      <c r="IT70" s="199"/>
      <c r="IU70" s="533">
        <v>5108.5230280571732</v>
      </c>
      <c r="IV70" s="534">
        <v>7045.0376818756349</v>
      </c>
      <c r="IW70" s="534">
        <v>5631.1049697431745</v>
      </c>
      <c r="IX70" s="534">
        <v>3616.5455020667355</v>
      </c>
      <c r="IY70" s="535">
        <v>3576.4820687972674</v>
      </c>
      <c r="IZ70" s="535">
        <v>2468.0002749935475</v>
      </c>
      <c r="JA70" s="535">
        <v>2706.5844262842638</v>
      </c>
      <c r="JB70" s="535">
        <v>1916.1033263195595</v>
      </c>
      <c r="JC70" s="536"/>
      <c r="JD70" s="537">
        <v>923.58012553883395</v>
      </c>
      <c r="JE70" s="538">
        <v>980.77416534407871</v>
      </c>
      <c r="JF70" s="538">
        <v>739.50540810978225</v>
      </c>
      <c r="JG70" s="538">
        <v>772.48482619091419</v>
      </c>
      <c r="JH70" s="538">
        <v>472.31031959014393</v>
      </c>
      <c r="JI70" s="539">
        <v>357.2311269712161</v>
      </c>
      <c r="JJ70" s="539">
        <v>437.55149301921659</v>
      </c>
      <c r="JK70" s="539">
        <v>445.44925459999104</v>
      </c>
      <c r="JL70" s="536"/>
      <c r="JM70" s="537">
        <v>3878.6583982454813</v>
      </c>
      <c r="JN70" s="538">
        <v>4805.9834826986498</v>
      </c>
      <c r="JO70" s="538">
        <v>3578.4056797064845</v>
      </c>
      <c r="JP70" s="538">
        <v>2633.9990126133803</v>
      </c>
      <c r="JQ70" s="538">
        <v>2344.9621858989999</v>
      </c>
      <c r="JR70" s="539">
        <v>1473.3448729440211</v>
      </c>
      <c r="JS70" s="539">
        <v>1061.0345365071589</v>
      </c>
      <c r="JT70" s="539">
        <v>1077.8081210547523</v>
      </c>
      <c r="JU70" s="536"/>
      <c r="JV70" s="537">
        <v>645.65529758753678</v>
      </c>
      <c r="JW70" s="538">
        <v>837.26941828307508</v>
      </c>
      <c r="JX70" s="538">
        <v>620.38404726735598</v>
      </c>
      <c r="JY70" s="538">
        <v>508.21370144139087</v>
      </c>
      <c r="JZ70" s="538">
        <v>256.64796291778481</v>
      </c>
      <c r="KA70" s="539">
        <v>161.44011490184238</v>
      </c>
      <c r="KB70" s="539">
        <v>193.72508851232493</v>
      </c>
      <c r="KC70" s="539">
        <v>222.72462729999552</v>
      </c>
      <c r="KD70" s="536"/>
    </row>
    <row r="71" spans="1:290" ht="15" customHeight="1" x14ac:dyDescent="0.2">
      <c r="A71" s="935"/>
      <c r="B71" s="490" t="s">
        <v>686</v>
      </c>
      <c r="C71" s="491"/>
      <c r="D71" s="492"/>
      <c r="E71" s="492">
        <v>1</v>
      </c>
      <c r="F71" s="492"/>
      <c r="G71" s="493"/>
      <c r="H71" s="493">
        <v>1</v>
      </c>
      <c r="I71" s="493"/>
      <c r="J71" s="493">
        <v>1</v>
      </c>
      <c r="K71" s="199"/>
      <c r="L71" s="491"/>
      <c r="M71" s="492"/>
      <c r="N71" s="492">
        <v>1</v>
      </c>
      <c r="O71" s="492"/>
      <c r="P71" s="493"/>
      <c r="Q71" s="493"/>
      <c r="R71" s="493"/>
      <c r="S71" s="493">
        <v>1</v>
      </c>
      <c r="T71" s="199"/>
      <c r="U71" s="491"/>
      <c r="V71" s="492"/>
      <c r="W71" s="492"/>
      <c r="X71" s="492"/>
      <c r="Y71" s="493"/>
      <c r="Z71" s="493">
        <v>1</v>
      </c>
      <c r="AA71" s="493"/>
      <c r="AB71" s="493"/>
      <c r="AC71" s="199"/>
      <c r="AD71" s="491">
        <v>16</v>
      </c>
      <c r="AE71" s="492">
        <v>23</v>
      </c>
      <c r="AF71" s="492">
        <v>29</v>
      </c>
      <c r="AG71" s="492">
        <v>24</v>
      </c>
      <c r="AH71" s="493">
        <v>25</v>
      </c>
      <c r="AI71" s="493">
        <v>13</v>
      </c>
      <c r="AJ71" s="493">
        <v>31</v>
      </c>
      <c r="AK71" s="493">
        <v>28</v>
      </c>
      <c r="AL71" s="199"/>
      <c r="AM71" s="491">
        <v>13</v>
      </c>
      <c r="AN71" s="492">
        <v>8</v>
      </c>
      <c r="AO71" s="492">
        <v>14</v>
      </c>
      <c r="AP71" s="492">
        <v>15</v>
      </c>
      <c r="AQ71" s="493">
        <v>13</v>
      </c>
      <c r="AR71" s="493">
        <v>11</v>
      </c>
      <c r="AS71" s="493">
        <v>10</v>
      </c>
      <c r="AT71" s="493">
        <v>5</v>
      </c>
      <c r="AU71" s="199"/>
      <c r="AV71" s="491"/>
      <c r="AW71" s="492"/>
      <c r="AX71" s="492"/>
      <c r="AY71" s="492"/>
      <c r="AZ71" s="493"/>
      <c r="BA71" s="493"/>
      <c r="BB71" s="493">
        <v>1</v>
      </c>
      <c r="BC71" s="493"/>
      <c r="BD71" s="199"/>
      <c r="BE71" s="491">
        <v>5</v>
      </c>
      <c r="BF71" s="492">
        <v>10</v>
      </c>
      <c r="BG71" s="492">
        <v>1</v>
      </c>
      <c r="BH71" s="492"/>
      <c r="BI71" s="493"/>
      <c r="BJ71" s="493">
        <v>10</v>
      </c>
      <c r="BK71" s="493">
        <v>1</v>
      </c>
      <c r="BL71" s="493">
        <v>2</v>
      </c>
      <c r="BM71" s="199"/>
      <c r="BN71" s="491"/>
      <c r="BO71" s="492"/>
      <c r="BP71" s="492"/>
      <c r="BQ71" s="492"/>
      <c r="BR71" s="493"/>
      <c r="BS71" s="493"/>
      <c r="BT71" s="493"/>
      <c r="BU71" s="493"/>
      <c r="BV71" s="199"/>
      <c r="BW71" s="491">
        <v>14</v>
      </c>
      <c r="BX71" s="492">
        <v>32</v>
      </c>
      <c r="BY71" s="492">
        <v>36</v>
      </c>
      <c r="BZ71" s="492">
        <v>12</v>
      </c>
      <c r="CA71" s="493">
        <v>17</v>
      </c>
      <c r="CB71" s="493">
        <v>7</v>
      </c>
      <c r="CC71" s="493">
        <v>10</v>
      </c>
      <c r="CD71" s="493">
        <v>10</v>
      </c>
      <c r="CE71" s="199"/>
      <c r="CF71" s="491">
        <v>2</v>
      </c>
      <c r="CG71" s="492">
        <v>1</v>
      </c>
      <c r="CH71" s="492">
        <v>1</v>
      </c>
      <c r="CI71" s="492"/>
      <c r="CJ71" s="493"/>
      <c r="CK71" s="493">
        <v>1</v>
      </c>
      <c r="CL71" s="493">
        <v>1</v>
      </c>
      <c r="CM71" s="493"/>
      <c r="CN71" s="199"/>
      <c r="CO71" s="491"/>
      <c r="CP71" s="492">
        <v>3</v>
      </c>
      <c r="CQ71" s="492"/>
      <c r="CR71" s="492"/>
      <c r="CS71" s="493"/>
      <c r="CT71" s="493">
        <v>2</v>
      </c>
      <c r="CU71" s="493"/>
      <c r="CV71" s="493">
        <v>4</v>
      </c>
      <c r="CW71" s="199"/>
      <c r="CX71" s="491">
        <v>249</v>
      </c>
      <c r="CY71" s="492">
        <v>202</v>
      </c>
      <c r="CZ71" s="492">
        <v>243</v>
      </c>
      <c r="DA71" s="492">
        <v>237</v>
      </c>
      <c r="DB71" s="493">
        <v>206</v>
      </c>
      <c r="DC71" s="493">
        <v>130</v>
      </c>
      <c r="DD71" s="493">
        <v>123</v>
      </c>
      <c r="DE71" s="493">
        <v>95</v>
      </c>
      <c r="DF71" s="199"/>
      <c r="DG71" s="491">
        <v>1</v>
      </c>
      <c r="DH71" s="492">
        <v>1</v>
      </c>
      <c r="DI71" s="492">
        <v>1</v>
      </c>
      <c r="DJ71" s="492">
        <v>2</v>
      </c>
      <c r="DK71" s="493">
        <v>1</v>
      </c>
      <c r="DL71" s="493">
        <v>4</v>
      </c>
      <c r="DM71" s="493"/>
      <c r="DN71" s="493"/>
      <c r="DO71" s="199"/>
      <c r="DP71" s="491">
        <v>11</v>
      </c>
      <c r="DQ71" s="492">
        <v>10</v>
      </c>
      <c r="DR71" s="492">
        <v>12</v>
      </c>
      <c r="DS71" s="492">
        <v>2</v>
      </c>
      <c r="DT71" s="493">
        <v>2</v>
      </c>
      <c r="DU71" s="493">
        <v>2</v>
      </c>
      <c r="DV71" s="493">
        <v>2</v>
      </c>
      <c r="DW71" s="493"/>
      <c r="DX71" s="199"/>
      <c r="DY71" s="491">
        <v>26</v>
      </c>
      <c r="DZ71" s="492">
        <v>24</v>
      </c>
      <c r="EA71" s="492">
        <v>24</v>
      </c>
      <c r="EB71" s="492">
        <v>24</v>
      </c>
      <c r="EC71" s="493">
        <v>57</v>
      </c>
      <c r="ED71" s="493">
        <v>19</v>
      </c>
      <c r="EE71" s="493">
        <v>25</v>
      </c>
      <c r="EF71" s="493">
        <v>18</v>
      </c>
      <c r="EG71" s="199"/>
      <c r="EH71" s="491">
        <v>4</v>
      </c>
      <c r="EI71" s="492">
        <v>4</v>
      </c>
      <c r="EJ71" s="492"/>
      <c r="EK71" s="492">
        <v>3</v>
      </c>
      <c r="EL71" s="493">
        <v>1</v>
      </c>
      <c r="EM71" s="493"/>
      <c r="EN71" s="493">
        <v>2</v>
      </c>
      <c r="EO71" s="493">
        <v>2</v>
      </c>
      <c r="EP71" s="199"/>
      <c r="EQ71" s="491">
        <v>1</v>
      </c>
      <c r="ER71" s="492"/>
      <c r="ES71" s="492">
        <v>1</v>
      </c>
      <c r="ET71" s="492">
        <v>2</v>
      </c>
      <c r="EU71" s="493"/>
      <c r="EV71" s="493"/>
      <c r="EW71" s="493">
        <v>17</v>
      </c>
      <c r="EX71" s="493">
        <v>2</v>
      </c>
      <c r="EY71" s="199"/>
      <c r="EZ71" s="491"/>
      <c r="FA71" s="492">
        <v>4</v>
      </c>
      <c r="FB71" s="492">
        <v>5</v>
      </c>
      <c r="FC71" s="492"/>
      <c r="FD71" s="493"/>
      <c r="FE71" s="493"/>
      <c r="FF71" s="493">
        <v>2</v>
      </c>
      <c r="FG71" s="493">
        <v>9</v>
      </c>
      <c r="FH71" s="199"/>
      <c r="FI71" s="491">
        <v>31</v>
      </c>
      <c r="FJ71" s="492">
        <v>33</v>
      </c>
      <c r="FK71" s="492">
        <v>12</v>
      </c>
      <c r="FL71" s="492">
        <v>8</v>
      </c>
      <c r="FM71" s="493">
        <v>29</v>
      </c>
      <c r="FN71" s="493">
        <v>5</v>
      </c>
      <c r="FO71" s="493">
        <v>11</v>
      </c>
      <c r="FP71" s="493">
        <v>11</v>
      </c>
      <c r="FQ71" s="199"/>
      <c r="FR71" s="491">
        <v>2</v>
      </c>
      <c r="FS71" s="492"/>
      <c r="FT71" s="492">
        <v>4</v>
      </c>
      <c r="FU71" s="492">
        <v>1</v>
      </c>
      <c r="FV71" s="493"/>
      <c r="FW71" s="493"/>
      <c r="FX71" s="493">
        <v>4</v>
      </c>
      <c r="FY71" s="493"/>
      <c r="FZ71" s="199"/>
      <c r="GA71" s="491">
        <v>2</v>
      </c>
      <c r="GB71" s="492">
        <v>1</v>
      </c>
      <c r="GC71" s="492">
        <v>6</v>
      </c>
      <c r="GD71" s="492">
        <v>3</v>
      </c>
      <c r="GE71" s="493">
        <v>4</v>
      </c>
      <c r="GF71" s="493">
        <v>4</v>
      </c>
      <c r="GG71" s="493">
        <v>3</v>
      </c>
      <c r="GH71" s="493">
        <v>7</v>
      </c>
      <c r="GI71" s="199"/>
      <c r="GJ71" s="491">
        <v>326</v>
      </c>
      <c r="GK71" s="492">
        <v>313</v>
      </c>
      <c r="GL71" s="492">
        <v>339</v>
      </c>
      <c r="GM71" s="492">
        <v>290</v>
      </c>
      <c r="GN71" s="493">
        <v>282</v>
      </c>
      <c r="GO71" s="493">
        <v>173</v>
      </c>
      <c r="GP71" s="493">
        <v>205</v>
      </c>
      <c r="GQ71" s="493">
        <v>171</v>
      </c>
      <c r="GR71" s="199"/>
      <c r="GS71" s="491">
        <v>71</v>
      </c>
      <c r="GT71" s="492">
        <v>106</v>
      </c>
      <c r="GU71" s="492">
        <v>104</v>
      </c>
      <c r="GV71" s="492">
        <v>73</v>
      </c>
      <c r="GW71" s="493">
        <v>36</v>
      </c>
      <c r="GX71" s="493">
        <v>29</v>
      </c>
      <c r="GY71" s="493">
        <v>44</v>
      </c>
      <c r="GZ71" s="493">
        <v>47</v>
      </c>
      <c r="HA71" s="199"/>
      <c r="HB71" s="491">
        <v>2</v>
      </c>
      <c r="HC71" s="492">
        <v>4</v>
      </c>
      <c r="HD71" s="492"/>
      <c r="HE71" s="492">
        <v>1</v>
      </c>
      <c r="HF71" s="493">
        <v>1</v>
      </c>
      <c r="HG71" s="493">
        <v>1</v>
      </c>
      <c r="HH71" s="493">
        <v>2</v>
      </c>
      <c r="HI71" s="493">
        <v>1</v>
      </c>
      <c r="HJ71" s="199"/>
      <c r="HK71" s="491"/>
      <c r="HL71" s="492">
        <v>2</v>
      </c>
      <c r="HM71" s="492"/>
      <c r="HN71" s="492">
        <v>1</v>
      </c>
      <c r="HO71" s="493">
        <v>1</v>
      </c>
      <c r="HP71" s="493">
        <v>2</v>
      </c>
      <c r="HQ71" s="493">
        <v>1</v>
      </c>
      <c r="HR71" s="493"/>
      <c r="HS71" s="199"/>
      <c r="HT71" s="491">
        <v>124</v>
      </c>
      <c r="HU71" s="492">
        <v>165</v>
      </c>
      <c r="HV71" s="492">
        <v>153</v>
      </c>
      <c r="HW71" s="492">
        <v>156</v>
      </c>
      <c r="HX71" s="493">
        <v>110</v>
      </c>
      <c r="HY71" s="493">
        <v>98</v>
      </c>
      <c r="HZ71" s="493">
        <v>141</v>
      </c>
      <c r="IA71" s="493">
        <v>132</v>
      </c>
      <c r="IB71" s="199"/>
      <c r="IC71" s="491">
        <v>694</v>
      </c>
      <c r="ID71" s="492">
        <v>624</v>
      </c>
      <c r="IE71" s="492">
        <v>626</v>
      </c>
      <c r="IF71" s="492">
        <v>526</v>
      </c>
      <c r="IG71" s="493">
        <v>491</v>
      </c>
      <c r="IH71" s="493">
        <v>394</v>
      </c>
      <c r="II71" s="493">
        <v>445</v>
      </c>
      <c r="IJ71" s="493">
        <v>381</v>
      </c>
      <c r="IK71" s="199"/>
      <c r="IL71" s="491">
        <v>94</v>
      </c>
      <c r="IM71" s="492">
        <v>73</v>
      </c>
      <c r="IN71" s="492">
        <v>77</v>
      </c>
      <c r="IO71" s="492">
        <v>79</v>
      </c>
      <c r="IP71" s="493">
        <v>47</v>
      </c>
      <c r="IQ71" s="493">
        <v>30</v>
      </c>
      <c r="IR71" s="493">
        <v>30</v>
      </c>
      <c r="IS71" s="493">
        <v>28</v>
      </c>
      <c r="IT71" s="199"/>
      <c r="IU71" s="533">
        <v>2003.9848690479628</v>
      </c>
      <c r="IV71" s="534">
        <v>1806.6533483887779</v>
      </c>
      <c r="IW71" s="534">
        <v>1811.0805728337914</v>
      </c>
      <c r="IX71" s="534">
        <v>1518.9580987033989</v>
      </c>
      <c r="IY71" s="535">
        <v>1426.2061753855985</v>
      </c>
      <c r="IZ71" s="535">
        <v>1156.7462172735472</v>
      </c>
      <c r="JA71" s="535">
        <v>1314.1962729984348</v>
      </c>
      <c r="JB71" s="535">
        <v>1124.8560715656461</v>
      </c>
      <c r="JC71" s="536"/>
      <c r="JD71" s="537">
        <v>358.06069706332477</v>
      </c>
      <c r="JE71" s="538">
        <v>477.72083731434032</v>
      </c>
      <c r="JF71" s="538">
        <v>442.64429336033561</v>
      </c>
      <c r="JG71" s="538">
        <v>450.48947414017147</v>
      </c>
      <c r="JH71" s="538">
        <v>319.51665843669213</v>
      </c>
      <c r="JI71" s="539">
        <v>287.6765468236315</v>
      </c>
      <c r="JJ71" s="539">
        <v>416.40825728714452</v>
      </c>
      <c r="JK71" s="539">
        <v>389.71391455817661</v>
      </c>
      <c r="JL71" s="536"/>
      <c r="JM71" s="537">
        <v>941.35312292454739</v>
      </c>
      <c r="JN71" s="538">
        <v>906.22195199629402</v>
      </c>
      <c r="JO71" s="538">
        <v>980.76088528858668</v>
      </c>
      <c r="JP71" s="538">
        <v>837.44838141442142</v>
      </c>
      <c r="JQ71" s="538">
        <v>819.12452435588341</v>
      </c>
      <c r="JR71" s="539">
        <v>507.82288742718094</v>
      </c>
      <c r="JS71" s="539">
        <v>605.4162605947846</v>
      </c>
      <c r="JT71" s="539">
        <v>504.85666204127426</v>
      </c>
      <c r="JU71" s="536"/>
      <c r="JV71" s="537">
        <v>205.01862493141985</v>
      </c>
      <c r="JW71" s="538">
        <v>306.89944700193985</v>
      </c>
      <c r="JX71" s="538">
        <v>300.88239548676404</v>
      </c>
      <c r="JY71" s="538">
        <v>210.80597187328539</v>
      </c>
      <c r="JZ71" s="538">
        <v>104.5690882156447</v>
      </c>
      <c r="KA71" s="539">
        <v>85.119790243010698</v>
      </c>
      <c r="KB71" s="539">
        <v>129.94300227400254</v>
      </c>
      <c r="KC71" s="539">
        <v>138.76177260783561</v>
      </c>
      <c r="KD71" s="536"/>
    </row>
    <row r="72" spans="1:290" ht="15" customHeight="1" x14ac:dyDescent="0.2">
      <c r="A72" s="935"/>
      <c r="B72" s="490" t="s">
        <v>687</v>
      </c>
      <c r="C72" s="491"/>
      <c r="D72" s="492"/>
      <c r="E72" s="492">
        <v>1</v>
      </c>
      <c r="F72" s="492"/>
      <c r="G72" s="493"/>
      <c r="H72" s="493"/>
      <c r="I72" s="493"/>
      <c r="J72" s="493"/>
      <c r="K72" s="199"/>
      <c r="L72" s="491"/>
      <c r="M72" s="492"/>
      <c r="N72" s="492">
        <v>1</v>
      </c>
      <c r="O72" s="492"/>
      <c r="P72" s="493"/>
      <c r="Q72" s="493"/>
      <c r="R72" s="493"/>
      <c r="S72" s="493"/>
      <c r="T72" s="199"/>
      <c r="U72" s="491"/>
      <c r="V72" s="492"/>
      <c r="W72" s="492"/>
      <c r="X72" s="492"/>
      <c r="Y72" s="493"/>
      <c r="Z72" s="493"/>
      <c r="AA72" s="493"/>
      <c r="AB72" s="493"/>
      <c r="AC72" s="199"/>
      <c r="AD72" s="491">
        <v>148</v>
      </c>
      <c r="AE72" s="492">
        <v>73</v>
      </c>
      <c r="AF72" s="492">
        <v>104</v>
      </c>
      <c r="AG72" s="492">
        <v>75</v>
      </c>
      <c r="AH72" s="493">
        <v>85</v>
      </c>
      <c r="AI72" s="493">
        <v>79</v>
      </c>
      <c r="AJ72" s="493">
        <v>79</v>
      </c>
      <c r="AK72" s="493">
        <v>47</v>
      </c>
      <c r="AL72" s="199"/>
      <c r="AM72" s="491">
        <v>21</v>
      </c>
      <c r="AN72" s="492">
        <v>15</v>
      </c>
      <c r="AO72" s="492">
        <v>13</v>
      </c>
      <c r="AP72" s="492">
        <v>20</v>
      </c>
      <c r="AQ72" s="493">
        <v>14</v>
      </c>
      <c r="AR72" s="493">
        <v>26</v>
      </c>
      <c r="AS72" s="493">
        <v>27</v>
      </c>
      <c r="AT72" s="493">
        <v>11</v>
      </c>
      <c r="AU72" s="199"/>
      <c r="AV72" s="491"/>
      <c r="AW72" s="492"/>
      <c r="AX72" s="492"/>
      <c r="AY72" s="492"/>
      <c r="AZ72" s="493"/>
      <c r="BA72" s="493"/>
      <c r="BB72" s="493"/>
      <c r="BC72" s="493"/>
      <c r="BD72" s="199"/>
      <c r="BE72" s="491">
        <v>5</v>
      </c>
      <c r="BF72" s="492"/>
      <c r="BG72" s="492">
        <v>15</v>
      </c>
      <c r="BH72" s="492">
        <v>15</v>
      </c>
      <c r="BI72" s="493">
        <v>7</v>
      </c>
      <c r="BJ72" s="493">
        <v>15</v>
      </c>
      <c r="BK72" s="493">
        <v>7</v>
      </c>
      <c r="BL72" s="493">
        <v>6</v>
      </c>
      <c r="BM72" s="199"/>
      <c r="BN72" s="491"/>
      <c r="BO72" s="492"/>
      <c r="BP72" s="492"/>
      <c r="BQ72" s="492"/>
      <c r="BR72" s="493"/>
      <c r="BS72" s="493"/>
      <c r="BT72" s="493"/>
      <c r="BU72" s="493"/>
      <c r="BV72" s="199"/>
      <c r="BW72" s="491">
        <v>274</v>
      </c>
      <c r="BX72" s="492">
        <v>56</v>
      </c>
      <c r="BY72" s="492">
        <v>53</v>
      </c>
      <c r="BZ72" s="492">
        <v>31</v>
      </c>
      <c r="CA72" s="493">
        <v>36</v>
      </c>
      <c r="CB72" s="493">
        <v>44</v>
      </c>
      <c r="CC72" s="493">
        <v>58</v>
      </c>
      <c r="CD72" s="493">
        <v>29</v>
      </c>
      <c r="CE72" s="199"/>
      <c r="CF72" s="491">
        <v>2</v>
      </c>
      <c r="CG72" s="492">
        <v>3</v>
      </c>
      <c r="CH72" s="492">
        <v>1</v>
      </c>
      <c r="CI72" s="492">
        <v>1</v>
      </c>
      <c r="CJ72" s="493">
        <v>2</v>
      </c>
      <c r="CK72" s="493">
        <v>1</v>
      </c>
      <c r="CL72" s="493"/>
      <c r="CM72" s="493"/>
      <c r="CN72" s="199"/>
      <c r="CO72" s="491"/>
      <c r="CP72" s="492"/>
      <c r="CQ72" s="492"/>
      <c r="CR72" s="492"/>
      <c r="CS72" s="493"/>
      <c r="CT72" s="493">
        <v>1</v>
      </c>
      <c r="CU72" s="493">
        <v>7</v>
      </c>
      <c r="CV72" s="493">
        <v>5</v>
      </c>
      <c r="CW72" s="199"/>
      <c r="CX72" s="491">
        <v>577</v>
      </c>
      <c r="CY72" s="492">
        <v>561</v>
      </c>
      <c r="CZ72" s="492">
        <v>585</v>
      </c>
      <c r="DA72" s="492">
        <v>693</v>
      </c>
      <c r="DB72" s="493">
        <v>514</v>
      </c>
      <c r="DC72" s="493">
        <v>328</v>
      </c>
      <c r="DD72" s="493">
        <v>243</v>
      </c>
      <c r="DE72" s="493">
        <v>175</v>
      </c>
      <c r="DF72" s="199"/>
      <c r="DG72" s="491"/>
      <c r="DH72" s="492"/>
      <c r="DI72" s="492">
        <v>4</v>
      </c>
      <c r="DJ72" s="492">
        <v>1</v>
      </c>
      <c r="DK72" s="493"/>
      <c r="DL72" s="493">
        <v>1</v>
      </c>
      <c r="DM72" s="493">
        <v>1</v>
      </c>
      <c r="DN72" s="493">
        <v>2</v>
      </c>
      <c r="DO72" s="199"/>
      <c r="DP72" s="491">
        <v>6</v>
      </c>
      <c r="DQ72" s="492">
        <v>11</v>
      </c>
      <c r="DR72" s="492">
        <v>10</v>
      </c>
      <c r="DS72" s="492">
        <v>5</v>
      </c>
      <c r="DT72" s="493">
        <v>6</v>
      </c>
      <c r="DU72" s="493">
        <v>5</v>
      </c>
      <c r="DV72" s="493">
        <v>2</v>
      </c>
      <c r="DW72" s="493"/>
      <c r="DX72" s="199"/>
      <c r="DY72" s="491">
        <v>118</v>
      </c>
      <c r="DZ72" s="492">
        <v>110</v>
      </c>
      <c r="EA72" s="492">
        <v>93</v>
      </c>
      <c r="EB72" s="492">
        <v>93</v>
      </c>
      <c r="EC72" s="493">
        <v>97</v>
      </c>
      <c r="ED72" s="493">
        <v>60</v>
      </c>
      <c r="EE72" s="493">
        <v>60</v>
      </c>
      <c r="EF72" s="493">
        <v>41</v>
      </c>
      <c r="EG72" s="199"/>
      <c r="EH72" s="491">
        <v>9</v>
      </c>
      <c r="EI72" s="492">
        <v>4</v>
      </c>
      <c r="EJ72" s="492">
        <v>6</v>
      </c>
      <c r="EK72" s="492">
        <v>3</v>
      </c>
      <c r="EL72" s="493">
        <v>2</v>
      </c>
      <c r="EM72" s="493">
        <v>2</v>
      </c>
      <c r="EN72" s="493">
        <v>1</v>
      </c>
      <c r="EO72" s="493">
        <v>1</v>
      </c>
      <c r="EP72" s="199"/>
      <c r="EQ72" s="491"/>
      <c r="ER72" s="492"/>
      <c r="ES72" s="492">
        <v>1</v>
      </c>
      <c r="ET72" s="492"/>
      <c r="EU72" s="493">
        <v>1</v>
      </c>
      <c r="EV72" s="493">
        <v>2</v>
      </c>
      <c r="EW72" s="493">
        <v>1</v>
      </c>
      <c r="EX72" s="493">
        <v>3</v>
      </c>
      <c r="EY72" s="199"/>
      <c r="EZ72" s="491">
        <v>6</v>
      </c>
      <c r="FA72" s="492">
        <v>1</v>
      </c>
      <c r="FB72" s="492">
        <v>1</v>
      </c>
      <c r="FC72" s="492">
        <v>2</v>
      </c>
      <c r="FD72" s="493">
        <v>2</v>
      </c>
      <c r="FE72" s="493">
        <v>2</v>
      </c>
      <c r="FF72" s="493"/>
      <c r="FG72" s="493">
        <v>2</v>
      </c>
      <c r="FH72" s="199"/>
      <c r="FI72" s="491">
        <v>38</v>
      </c>
      <c r="FJ72" s="492">
        <v>36</v>
      </c>
      <c r="FK72" s="492">
        <v>32</v>
      </c>
      <c r="FL72" s="492">
        <v>29</v>
      </c>
      <c r="FM72" s="493">
        <v>22</v>
      </c>
      <c r="FN72" s="493">
        <v>20</v>
      </c>
      <c r="FO72" s="493">
        <v>5</v>
      </c>
      <c r="FP72" s="493">
        <v>9</v>
      </c>
      <c r="FQ72" s="199"/>
      <c r="FR72" s="491">
        <v>2</v>
      </c>
      <c r="FS72" s="492">
        <v>7</v>
      </c>
      <c r="FT72" s="492">
        <v>1</v>
      </c>
      <c r="FU72" s="492"/>
      <c r="FV72" s="493">
        <v>2</v>
      </c>
      <c r="FW72" s="493"/>
      <c r="FX72" s="493">
        <v>1</v>
      </c>
      <c r="FY72" s="493">
        <v>2</v>
      </c>
      <c r="FZ72" s="199"/>
      <c r="GA72" s="491">
        <v>1</v>
      </c>
      <c r="GB72" s="492">
        <v>3</v>
      </c>
      <c r="GC72" s="492">
        <v>2</v>
      </c>
      <c r="GD72" s="492">
        <v>7</v>
      </c>
      <c r="GE72" s="493">
        <v>3</v>
      </c>
      <c r="GF72" s="493">
        <v>4</v>
      </c>
      <c r="GG72" s="493">
        <v>2</v>
      </c>
      <c r="GH72" s="493">
        <v>3</v>
      </c>
      <c r="GI72" s="199"/>
      <c r="GJ72" s="491">
        <v>1062</v>
      </c>
      <c r="GK72" s="492">
        <v>744</v>
      </c>
      <c r="GL72" s="492">
        <v>802</v>
      </c>
      <c r="GM72" s="492">
        <v>856</v>
      </c>
      <c r="GN72" s="493">
        <v>676</v>
      </c>
      <c r="GO72" s="493">
        <v>498</v>
      </c>
      <c r="GP72" s="493">
        <v>404</v>
      </c>
      <c r="GQ72" s="493">
        <v>282</v>
      </c>
      <c r="GR72" s="199"/>
      <c r="GS72" s="491">
        <v>157</v>
      </c>
      <c r="GT72" s="492">
        <v>194</v>
      </c>
      <c r="GU72" s="492">
        <v>131</v>
      </c>
      <c r="GV72" s="492">
        <v>142</v>
      </c>
      <c r="GW72" s="493">
        <v>51</v>
      </c>
      <c r="GX72" s="493">
        <v>49</v>
      </c>
      <c r="GY72" s="493">
        <v>69</v>
      </c>
      <c r="GZ72" s="493">
        <v>74</v>
      </c>
      <c r="HA72" s="199"/>
      <c r="HB72" s="491">
        <v>2</v>
      </c>
      <c r="HC72" s="492">
        <v>2</v>
      </c>
      <c r="HD72" s="492">
        <v>3</v>
      </c>
      <c r="HE72" s="492">
        <v>1</v>
      </c>
      <c r="HF72" s="493">
        <v>3</v>
      </c>
      <c r="HG72" s="493"/>
      <c r="HH72" s="493">
        <v>1</v>
      </c>
      <c r="HI72" s="493">
        <v>1</v>
      </c>
      <c r="HJ72" s="199"/>
      <c r="HK72" s="491"/>
      <c r="HL72" s="492">
        <v>2</v>
      </c>
      <c r="HM72" s="492">
        <v>1</v>
      </c>
      <c r="HN72" s="492">
        <v>1</v>
      </c>
      <c r="HO72" s="493">
        <v>1</v>
      </c>
      <c r="HP72" s="493"/>
      <c r="HQ72" s="493"/>
      <c r="HR72" s="493"/>
      <c r="HS72" s="199"/>
      <c r="HT72" s="491">
        <v>222</v>
      </c>
      <c r="HU72" s="492">
        <v>259</v>
      </c>
      <c r="HV72" s="492">
        <v>198</v>
      </c>
      <c r="HW72" s="492">
        <v>240</v>
      </c>
      <c r="HX72" s="493">
        <v>242</v>
      </c>
      <c r="HY72" s="493">
        <v>160</v>
      </c>
      <c r="HZ72" s="493">
        <v>175</v>
      </c>
      <c r="IA72" s="493">
        <v>175</v>
      </c>
      <c r="IB72" s="199"/>
      <c r="IC72" s="491">
        <v>1412</v>
      </c>
      <c r="ID72" s="492">
        <v>1075</v>
      </c>
      <c r="IE72" s="492">
        <v>1287</v>
      </c>
      <c r="IF72" s="492">
        <v>1164</v>
      </c>
      <c r="IG72" s="493">
        <v>1101</v>
      </c>
      <c r="IH72" s="493">
        <v>1177</v>
      </c>
      <c r="II72" s="493">
        <v>674</v>
      </c>
      <c r="IJ72" s="493">
        <v>721</v>
      </c>
      <c r="IK72" s="199"/>
      <c r="IL72" s="491">
        <v>212</v>
      </c>
      <c r="IM72" s="492">
        <v>205</v>
      </c>
      <c r="IN72" s="492">
        <v>200</v>
      </c>
      <c r="IO72" s="492">
        <v>118</v>
      </c>
      <c r="IP72" s="493">
        <v>98</v>
      </c>
      <c r="IQ72" s="493">
        <v>140</v>
      </c>
      <c r="IR72" s="493">
        <v>102</v>
      </c>
      <c r="IS72" s="493">
        <v>56</v>
      </c>
      <c r="IT72" s="199"/>
      <c r="IU72" s="533">
        <v>3831.2304978971647</v>
      </c>
      <c r="IV72" s="534">
        <v>2959.8017621145377</v>
      </c>
      <c r="IW72" s="534">
        <v>3566.776598398138</v>
      </c>
      <c r="IX72" s="534">
        <v>3203.4346103038311</v>
      </c>
      <c r="IY72" s="535">
        <v>3060.7989769536571</v>
      </c>
      <c r="IZ72" s="535">
        <v>3742.2337966865762</v>
      </c>
      <c r="JA72" s="535">
        <v>2443.9770831822466</v>
      </c>
      <c r="JB72" s="535">
        <v>2633.6937463471654</v>
      </c>
      <c r="JC72" s="536"/>
      <c r="JD72" s="537">
        <v>602.36060236060234</v>
      </c>
      <c r="JE72" s="538">
        <v>713.10572687224669</v>
      </c>
      <c r="JF72" s="538">
        <v>548.73486129202115</v>
      </c>
      <c r="JG72" s="538">
        <v>660.50198150594451</v>
      </c>
      <c r="JH72" s="538">
        <v>672.76417113786113</v>
      </c>
      <c r="JI72" s="539">
        <v>460.59103351822228</v>
      </c>
      <c r="JJ72" s="539">
        <v>634.56378272536085</v>
      </c>
      <c r="JK72" s="539">
        <v>639.24605493863237</v>
      </c>
      <c r="JL72" s="536"/>
      <c r="JM72" s="537">
        <v>2881.5628815628816</v>
      </c>
      <c r="JN72" s="538">
        <v>2048.4581497797358</v>
      </c>
      <c r="JO72" s="538">
        <v>2222.6533270515201</v>
      </c>
      <c r="JP72" s="538">
        <v>2355.7904007045354</v>
      </c>
      <c r="JQ72" s="538">
        <v>1879.2916516082398</v>
      </c>
      <c r="JR72" s="539">
        <v>1498.5518494340467</v>
      </c>
      <c r="JS72" s="539">
        <v>1464.9358184059759</v>
      </c>
      <c r="JT72" s="539">
        <v>1030.0993571011104</v>
      </c>
      <c r="JU72" s="536"/>
      <c r="JV72" s="537">
        <v>425.99375932709262</v>
      </c>
      <c r="JW72" s="538">
        <v>534.14096916299559</v>
      </c>
      <c r="JX72" s="538">
        <v>363.05185267300391</v>
      </c>
      <c r="JY72" s="538">
        <v>390.79700572435053</v>
      </c>
      <c r="JZ72" s="538">
        <v>141.78087904145005</v>
      </c>
      <c r="KA72" s="539">
        <v>145.88438798400628</v>
      </c>
      <c r="KB72" s="539">
        <v>250.19943433171369</v>
      </c>
      <c r="KC72" s="539">
        <v>270.30976037405026</v>
      </c>
      <c r="KD72" s="536"/>
    </row>
    <row r="73" spans="1:290" ht="15" customHeight="1" thickBot="1" x14ac:dyDescent="0.25">
      <c r="A73" s="935"/>
      <c r="B73" s="494" t="s">
        <v>688</v>
      </c>
      <c r="C73" s="495"/>
      <c r="D73" s="496">
        <v>1</v>
      </c>
      <c r="E73" s="496"/>
      <c r="F73" s="496">
        <v>2</v>
      </c>
      <c r="G73" s="497">
        <v>1</v>
      </c>
      <c r="H73" s="497"/>
      <c r="I73" s="497"/>
      <c r="J73" s="497"/>
      <c r="K73" s="498"/>
      <c r="L73" s="495"/>
      <c r="M73" s="496"/>
      <c r="N73" s="496"/>
      <c r="O73" s="496"/>
      <c r="P73" s="497">
        <v>1</v>
      </c>
      <c r="Q73" s="497"/>
      <c r="R73" s="497"/>
      <c r="S73" s="497"/>
      <c r="T73" s="498"/>
      <c r="U73" s="495"/>
      <c r="V73" s="496">
        <v>1</v>
      </c>
      <c r="W73" s="496"/>
      <c r="X73" s="496">
        <v>2</v>
      </c>
      <c r="Y73" s="497"/>
      <c r="Z73" s="497"/>
      <c r="AA73" s="497"/>
      <c r="AB73" s="497"/>
      <c r="AC73" s="498"/>
      <c r="AD73" s="495">
        <v>314</v>
      </c>
      <c r="AE73" s="496">
        <v>196</v>
      </c>
      <c r="AF73" s="496">
        <v>323</v>
      </c>
      <c r="AG73" s="496">
        <v>21</v>
      </c>
      <c r="AH73" s="497">
        <v>19</v>
      </c>
      <c r="AI73" s="497">
        <v>29</v>
      </c>
      <c r="AJ73" s="497">
        <v>43</v>
      </c>
      <c r="AK73" s="497">
        <v>40</v>
      </c>
      <c r="AL73" s="498"/>
      <c r="AM73" s="495">
        <v>26</v>
      </c>
      <c r="AN73" s="496">
        <v>23</v>
      </c>
      <c r="AO73" s="496">
        <v>21</v>
      </c>
      <c r="AP73" s="496">
        <v>17</v>
      </c>
      <c r="AQ73" s="497">
        <v>16</v>
      </c>
      <c r="AR73" s="497">
        <v>18</v>
      </c>
      <c r="AS73" s="497">
        <v>21</v>
      </c>
      <c r="AT73" s="497">
        <v>27</v>
      </c>
      <c r="AU73" s="498"/>
      <c r="AV73" s="495"/>
      <c r="AW73" s="496">
        <v>1</v>
      </c>
      <c r="AX73" s="496"/>
      <c r="AY73" s="496"/>
      <c r="AZ73" s="497"/>
      <c r="BA73" s="497"/>
      <c r="BB73" s="497"/>
      <c r="BC73" s="497"/>
      <c r="BD73" s="498"/>
      <c r="BE73" s="495">
        <v>3</v>
      </c>
      <c r="BF73" s="496">
        <v>1</v>
      </c>
      <c r="BG73" s="496">
        <v>2</v>
      </c>
      <c r="BH73" s="496"/>
      <c r="BI73" s="497"/>
      <c r="BJ73" s="497">
        <v>1</v>
      </c>
      <c r="BK73" s="497">
        <v>1</v>
      </c>
      <c r="BL73" s="497">
        <v>6</v>
      </c>
      <c r="BM73" s="498"/>
      <c r="BN73" s="495"/>
      <c r="BO73" s="496"/>
      <c r="BP73" s="496"/>
      <c r="BQ73" s="496"/>
      <c r="BR73" s="497"/>
      <c r="BS73" s="497">
        <v>1</v>
      </c>
      <c r="BT73" s="497"/>
      <c r="BU73" s="497"/>
      <c r="BV73" s="498"/>
      <c r="BW73" s="495">
        <v>234</v>
      </c>
      <c r="BX73" s="496">
        <v>176</v>
      </c>
      <c r="BY73" s="496">
        <v>300</v>
      </c>
      <c r="BZ73" s="496">
        <v>11</v>
      </c>
      <c r="CA73" s="497">
        <v>190</v>
      </c>
      <c r="CB73" s="497">
        <v>20</v>
      </c>
      <c r="CC73" s="497">
        <v>27</v>
      </c>
      <c r="CD73" s="497">
        <v>32</v>
      </c>
      <c r="CE73" s="498"/>
      <c r="CF73" s="495">
        <v>1</v>
      </c>
      <c r="CG73" s="496">
        <v>3</v>
      </c>
      <c r="CH73" s="496"/>
      <c r="CI73" s="496"/>
      <c r="CJ73" s="497"/>
      <c r="CK73" s="497"/>
      <c r="CL73" s="497">
        <v>2</v>
      </c>
      <c r="CM73" s="497">
        <v>1</v>
      </c>
      <c r="CN73" s="498"/>
      <c r="CO73" s="495">
        <v>1</v>
      </c>
      <c r="CP73" s="496">
        <v>1</v>
      </c>
      <c r="CQ73" s="496">
        <v>1</v>
      </c>
      <c r="CR73" s="496">
        <v>1</v>
      </c>
      <c r="CS73" s="497">
        <v>1</v>
      </c>
      <c r="CT73" s="497">
        <v>1</v>
      </c>
      <c r="CU73" s="497"/>
      <c r="CV73" s="497">
        <v>3</v>
      </c>
      <c r="CW73" s="498"/>
      <c r="CX73" s="495">
        <v>842</v>
      </c>
      <c r="CY73" s="496">
        <v>779</v>
      </c>
      <c r="CZ73" s="496">
        <v>837</v>
      </c>
      <c r="DA73" s="496">
        <v>662</v>
      </c>
      <c r="DB73" s="497">
        <v>644</v>
      </c>
      <c r="DC73" s="497">
        <v>581</v>
      </c>
      <c r="DD73" s="497">
        <v>594</v>
      </c>
      <c r="DE73" s="497">
        <v>537</v>
      </c>
      <c r="DF73" s="498"/>
      <c r="DG73" s="495">
        <v>17</v>
      </c>
      <c r="DH73" s="496">
        <v>16</v>
      </c>
      <c r="DI73" s="496">
        <v>22</v>
      </c>
      <c r="DJ73" s="496">
        <v>13</v>
      </c>
      <c r="DK73" s="497">
        <v>13</v>
      </c>
      <c r="DL73" s="497">
        <v>11</v>
      </c>
      <c r="DM73" s="497">
        <v>6</v>
      </c>
      <c r="DN73" s="497">
        <v>9</v>
      </c>
      <c r="DO73" s="498"/>
      <c r="DP73" s="495">
        <v>55</v>
      </c>
      <c r="DQ73" s="496">
        <v>41</v>
      </c>
      <c r="DR73" s="496">
        <v>51</v>
      </c>
      <c r="DS73" s="496">
        <v>40</v>
      </c>
      <c r="DT73" s="497">
        <v>27</v>
      </c>
      <c r="DU73" s="497">
        <v>16</v>
      </c>
      <c r="DV73" s="497">
        <v>26</v>
      </c>
      <c r="DW73" s="497">
        <v>19</v>
      </c>
      <c r="DX73" s="498"/>
      <c r="DY73" s="495">
        <v>18</v>
      </c>
      <c r="DZ73" s="496">
        <v>50</v>
      </c>
      <c r="EA73" s="496">
        <v>57</v>
      </c>
      <c r="EB73" s="496">
        <v>62</v>
      </c>
      <c r="EC73" s="497">
        <v>94</v>
      </c>
      <c r="ED73" s="497">
        <v>99</v>
      </c>
      <c r="EE73" s="497">
        <v>137</v>
      </c>
      <c r="EF73" s="497">
        <v>108</v>
      </c>
      <c r="EG73" s="498"/>
      <c r="EH73" s="495">
        <v>3</v>
      </c>
      <c r="EI73" s="496">
        <v>14</v>
      </c>
      <c r="EJ73" s="496">
        <v>5</v>
      </c>
      <c r="EK73" s="496">
        <v>4</v>
      </c>
      <c r="EL73" s="497">
        <v>1</v>
      </c>
      <c r="EM73" s="497"/>
      <c r="EN73" s="497">
        <v>3</v>
      </c>
      <c r="EO73" s="497">
        <v>1</v>
      </c>
      <c r="EP73" s="498"/>
      <c r="EQ73" s="495"/>
      <c r="ER73" s="496"/>
      <c r="ES73" s="496">
        <v>2</v>
      </c>
      <c r="ET73" s="496">
        <v>3</v>
      </c>
      <c r="EU73" s="497"/>
      <c r="EV73" s="497"/>
      <c r="EW73" s="497">
        <v>6</v>
      </c>
      <c r="EX73" s="497">
        <v>1</v>
      </c>
      <c r="EY73" s="498"/>
      <c r="EZ73" s="495"/>
      <c r="FA73" s="496">
        <v>3</v>
      </c>
      <c r="FB73" s="496">
        <v>2</v>
      </c>
      <c r="FC73" s="496">
        <v>1</v>
      </c>
      <c r="FD73" s="497"/>
      <c r="FE73" s="497">
        <v>2</v>
      </c>
      <c r="FF73" s="497"/>
      <c r="FG73" s="497">
        <v>1</v>
      </c>
      <c r="FH73" s="498"/>
      <c r="FI73" s="495">
        <v>66</v>
      </c>
      <c r="FJ73" s="496">
        <v>77</v>
      </c>
      <c r="FK73" s="496">
        <v>83</v>
      </c>
      <c r="FL73" s="496">
        <v>34</v>
      </c>
      <c r="FM73" s="497">
        <v>74</v>
      </c>
      <c r="FN73" s="497">
        <v>57</v>
      </c>
      <c r="FO73" s="497">
        <v>49</v>
      </c>
      <c r="FP73" s="497">
        <v>58</v>
      </c>
      <c r="FQ73" s="498"/>
      <c r="FR73" s="495">
        <v>2</v>
      </c>
      <c r="FS73" s="496"/>
      <c r="FT73" s="496">
        <v>5</v>
      </c>
      <c r="FU73" s="496">
        <v>7</v>
      </c>
      <c r="FV73" s="497">
        <v>1</v>
      </c>
      <c r="FW73" s="497"/>
      <c r="FX73" s="497">
        <v>2</v>
      </c>
      <c r="FY73" s="497">
        <v>1</v>
      </c>
      <c r="FZ73" s="498"/>
      <c r="GA73" s="495">
        <v>6</v>
      </c>
      <c r="GB73" s="496">
        <v>2</v>
      </c>
      <c r="GC73" s="496">
        <v>5</v>
      </c>
      <c r="GD73" s="496">
        <v>2</v>
      </c>
      <c r="GE73" s="497">
        <v>3</v>
      </c>
      <c r="GF73" s="497">
        <v>9</v>
      </c>
      <c r="GG73" s="497">
        <v>4</v>
      </c>
      <c r="GH73" s="497">
        <v>3</v>
      </c>
      <c r="GI73" s="498"/>
      <c r="GJ73" s="495">
        <v>1472</v>
      </c>
      <c r="GK73" s="496">
        <v>1253</v>
      </c>
      <c r="GL73" s="496">
        <v>1565</v>
      </c>
      <c r="GM73" s="496">
        <v>748</v>
      </c>
      <c r="GN73" s="497">
        <v>934</v>
      </c>
      <c r="GO73" s="497">
        <v>701</v>
      </c>
      <c r="GP73" s="497">
        <v>731</v>
      </c>
      <c r="GQ73" s="497">
        <v>684</v>
      </c>
      <c r="GR73" s="498"/>
      <c r="GS73" s="495">
        <v>314</v>
      </c>
      <c r="GT73" s="496">
        <v>285</v>
      </c>
      <c r="GU73" s="496">
        <v>306</v>
      </c>
      <c r="GV73" s="496">
        <v>188</v>
      </c>
      <c r="GW73" s="497">
        <v>88</v>
      </c>
      <c r="GX73" s="497">
        <v>102</v>
      </c>
      <c r="GY73" s="497">
        <v>123</v>
      </c>
      <c r="GZ73" s="497">
        <v>108</v>
      </c>
      <c r="HA73" s="498"/>
      <c r="HB73" s="495">
        <v>2</v>
      </c>
      <c r="HC73" s="496"/>
      <c r="HD73" s="496">
        <v>1</v>
      </c>
      <c r="HE73" s="496">
        <v>1</v>
      </c>
      <c r="HF73" s="497">
        <v>4</v>
      </c>
      <c r="HG73" s="497">
        <v>1</v>
      </c>
      <c r="HH73" s="497"/>
      <c r="HI73" s="497">
        <v>1</v>
      </c>
      <c r="HJ73" s="498"/>
      <c r="HK73" s="495">
        <v>4</v>
      </c>
      <c r="HL73" s="496"/>
      <c r="HM73" s="496"/>
      <c r="HN73" s="496">
        <v>1</v>
      </c>
      <c r="HO73" s="497"/>
      <c r="HP73" s="497">
        <v>1</v>
      </c>
      <c r="HQ73" s="497">
        <v>1</v>
      </c>
      <c r="HR73" s="497"/>
      <c r="HS73" s="498"/>
      <c r="HT73" s="495">
        <v>416</v>
      </c>
      <c r="HU73" s="496">
        <v>358</v>
      </c>
      <c r="HV73" s="496">
        <v>381</v>
      </c>
      <c r="HW73" s="496">
        <v>1199</v>
      </c>
      <c r="HX73" s="497">
        <v>207</v>
      </c>
      <c r="HY73" s="497">
        <v>219</v>
      </c>
      <c r="HZ73" s="497">
        <v>243</v>
      </c>
      <c r="IA73" s="497">
        <v>262</v>
      </c>
      <c r="IB73" s="498"/>
      <c r="IC73" s="495">
        <v>1845</v>
      </c>
      <c r="ID73" s="496">
        <v>2290</v>
      </c>
      <c r="IE73" s="496">
        <v>3202</v>
      </c>
      <c r="IF73" s="496">
        <v>2714</v>
      </c>
      <c r="IG73" s="497">
        <v>1322</v>
      </c>
      <c r="IH73" s="497">
        <v>1125</v>
      </c>
      <c r="II73" s="497">
        <v>1099</v>
      </c>
      <c r="IJ73" s="497">
        <v>1179</v>
      </c>
      <c r="IK73" s="498"/>
      <c r="IL73" s="495">
        <v>302</v>
      </c>
      <c r="IM73" s="496">
        <v>260</v>
      </c>
      <c r="IN73" s="496">
        <v>261</v>
      </c>
      <c r="IO73" s="496">
        <v>144</v>
      </c>
      <c r="IP73" s="497">
        <v>95</v>
      </c>
      <c r="IQ73" s="497">
        <v>148</v>
      </c>
      <c r="IR73" s="497">
        <v>194</v>
      </c>
      <c r="IS73" s="497">
        <v>172</v>
      </c>
      <c r="IT73" s="498"/>
      <c r="IU73" s="540">
        <v>4634.2811212699689</v>
      </c>
      <c r="IV73" s="541">
        <v>5706.4540244206337</v>
      </c>
      <c r="IW73" s="541">
        <v>7868.2884875291802</v>
      </c>
      <c r="IX73" s="541">
        <v>6741.3497603020442</v>
      </c>
      <c r="IY73" s="542">
        <v>3265.7296015414636</v>
      </c>
      <c r="IZ73" s="542">
        <v>2877.6304381718774</v>
      </c>
      <c r="JA73" s="542">
        <v>1858.2709118885377</v>
      </c>
      <c r="JB73" s="542">
        <v>2038.6637155899848</v>
      </c>
      <c r="JC73" s="543"/>
      <c r="JD73" s="544">
        <v>1044.9110820858032</v>
      </c>
      <c r="JE73" s="545">
        <v>892.1006728133566</v>
      </c>
      <c r="JF73" s="545">
        <v>936.23295245116105</v>
      </c>
      <c r="JG73" s="545">
        <v>2978.2160510693261</v>
      </c>
      <c r="JH73" s="545">
        <v>511.35100417479811</v>
      </c>
      <c r="JI73" s="546">
        <v>483.29241362685855</v>
      </c>
      <c r="JJ73" s="546">
        <v>410.88246732385312</v>
      </c>
      <c r="JK73" s="546">
        <v>453.03638124221885</v>
      </c>
      <c r="JL73" s="543"/>
      <c r="JM73" s="544">
        <v>3697.3776750728425</v>
      </c>
      <c r="JN73" s="545">
        <v>3122.3523548467479</v>
      </c>
      <c r="JO73" s="545">
        <v>3845.6812876274726</v>
      </c>
      <c r="JP73" s="545">
        <v>1857.9696465386621</v>
      </c>
      <c r="JQ73" s="545">
        <v>2307.2552555519874</v>
      </c>
      <c r="JR73" s="546">
        <v>1582.147759549508</v>
      </c>
      <c r="JS73" s="546">
        <v>1236.0291506738135</v>
      </c>
      <c r="JT73" s="546">
        <v>1182.7362014109835</v>
      </c>
      <c r="JU73" s="543"/>
      <c r="JV73" s="544">
        <v>788.70692253591881</v>
      </c>
      <c r="JW73" s="545">
        <v>710.19187640169446</v>
      </c>
      <c r="JX73" s="545">
        <v>751.93512716549947</v>
      </c>
      <c r="JY73" s="545">
        <v>466.97632827442311</v>
      </c>
      <c r="JZ73" s="545">
        <v>217.38593414194312</v>
      </c>
      <c r="KA73" s="546">
        <v>210.21007362734915</v>
      </c>
      <c r="KB73" s="546">
        <v>207.97754518861703</v>
      </c>
      <c r="KC73" s="546">
        <v>186.74782127541846</v>
      </c>
      <c r="KD73" s="543"/>
    </row>
    <row r="74" spans="1:290" ht="15" customHeight="1" thickBot="1" x14ac:dyDescent="0.25">
      <c r="A74" s="936"/>
      <c r="B74" s="508" t="s">
        <v>780</v>
      </c>
      <c r="C74" s="500">
        <v>8</v>
      </c>
      <c r="D74" s="501">
        <v>14</v>
      </c>
      <c r="E74" s="501">
        <v>9</v>
      </c>
      <c r="F74" s="501">
        <v>9</v>
      </c>
      <c r="G74" s="502">
        <v>15</v>
      </c>
      <c r="H74" s="502">
        <v>9</v>
      </c>
      <c r="I74" s="502">
        <v>5</v>
      </c>
      <c r="J74" s="502">
        <v>6</v>
      </c>
      <c r="K74" s="503"/>
      <c r="L74" s="500">
        <v>2</v>
      </c>
      <c r="M74" s="501">
        <v>6</v>
      </c>
      <c r="N74" s="501">
        <v>5</v>
      </c>
      <c r="O74" s="501">
        <v>5</v>
      </c>
      <c r="P74" s="502">
        <v>8</v>
      </c>
      <c r="Q74" s="502">
        <v>2</v>
      </c>
      <c r="R74" s="502">
        <v>4</v>
      </c>
      <c r="S74" s="502">
        <v>4</v>
      </c>
      <c r="T74" s="503"/>
      <c r="U74" s="500">
        <v>4</v>
      </c>
      <c r="V74" s="501">
        <v>7</v>
      </c>
      <c r="W74" s="501">
        <v>3</v>
      </c>
      <c r="X74" s="501">
        <v>4</v>
      </c>
      <c r="Y74" s="502">
        <v>4</v>
      </c>
      <c r="Z74" s="502">
        <v>4</v>
      </c>
      <c r="AA74" s="502">
        <v>1</v>
      </c>
      <c r="AB74" s="502">
        <v>1</v>
      </c>
      <c r="AC74" s="503"/>
      <c r="AD74" s="500">
        <v>1104</v>
      </c>
      <c r="AE74" s="501">
        <v>1950</v>
      </c>
      <c r="AF74" s="501">
        <v>1782</v>
      </c>
      <c r="AG74" s="501">
        <v>579</v>
      </c>
      <c r="AH74" s="502">
        <v>807</v>
      </c>
      <c r="AI74" s="502">
        <v>430</v>
      </c>
      <c r="AJ74" s="502">
        <v>498</v>
      </c>
      <c r="AK74" s="502">
        <v>382</v>
      </c>
      <c r="AL74" s="503"/>
      <c r="AM74" s="500">
        <v>284</v>
      </c>
      <c r="AN74" s="501">
        <v>265</v>
      </c>
      <c r="AO74" s="501">
        <v>267</v>
      </c>
      <c r="AP74" s="501">
        <v>342</v>
      </c>
      <c r="AQ74" s="502">
        <v>228</v>
      </c>
      <c r="AR74" s="502">
        <v>240</v>
      </c>
      <c r="AS74" s="502">
        <v>240</v>
      </c>
      <c r="AT74" s="502">
        <v>154</v>
      </c>
      <c r="AU74" s="503"/>
      <c r="AV74" s="500">
        <v>2</v>
      </c>
      <c r="AW74" s="501">
        <v>2</v>
      </c>
      <c r="AX74" s="501"/>
      <c r="AY74" s="501">
        <v>2</v>
      </c>
      <c r="AZ74" s="502">
        <v>3</v>
      </c>
      <c r="BA74" s="502"/>
      <c r="BB74" s="502">
        <v>2</v>
      </c>
      <c r="BC74" s="502">
        <v>1</v>
      </c>
      <c r="BD74" s="503"/>
      <c r="BE74" s="500">
        <v>61</v>
      </c>
      <c r="BF74" s="501">
        <v>61</v>
      </c>
      <c r="BG74" s="501">
        <v>46</v>
      </c>
      <c r="BH74" s="501">
        <v>35</v>
      </c>
      <c r="BI74" s="502">
        <v>22</v>
      </c>
      <c r="BJ74" s="502">
        <v>54</v>
      </c>
      <c r="BK74" s="502">
        <v>21</v>
      </c>
      <c r="BL74" s="502">
        <v>41</v>
      </c>
      <c r="BM74" s="503"/>
      <c r="BN74" s="500"/>
      <c r="BO74" s="501">
        <v>2</v>
      </c>
      <c r="BP74" s="501"/>
      <c r="BQ74" s="501"/>
      <c r="BR74" s="502"/>
      <c r="BS74" s="502">
        <v>24</v>
      </c>
      <c r="BT74" s="502">
        <v>3</v>
      </c>
      <c r="BU74" s="502">
        <v>10</v>
      </c>
      <c r="BV74" s="503"/>
      <c r="BW74" s="500">
        <v>2116</v>
      </c>
      <c r="BX74" s="501">
        <v>1329</v>
      </c>
      <c r="BY74" s="501">
        <v>874</v>
      </c>
      <c r="BZ74" s="501">
        <v>294</v>
      </c>
      <c r="CA74" s="502">
        <v>758</v>
      </c>
      <c r="CB74" s="502">
        <v>292</v>
      </c>
      <c r="CC74" s="502">
        <v>265</v>
      </c>
      <c r="CD74" s="502">
        <v>231</v>
      </c>
      <c r="CE74" s="503"/>
      <c r="CF74" s="500">
        <v>27</v>
      </c>
      <c r="CG74" s="501">
        <v>23</v>
      </c>
      <c r="CH74" s="501">
        <v>17</v>
      </c>
      <c r="CI74" s="501">
        <v>13</v>
      </c>
      <c r="CJ74" s="502">
        <v>14</v>
      </c>
      <c r="CK74" s="502">
        <v>8</v>
      </c>
      <c r="CL74" s="502">
        <v>11</v>
      </c>
      <c r="CM74" s="502">
        <v>4</v>
      </c>
      <c r="CN74" s="503"/>
      <c r="CO74" s="500">
        <v>16</v>
      </c>
      <c r="CP74" s="501">
        <v>24</v>
      </c>
      <c r="CQ74" s="501">
        <v>13</v>
      </c>
      <c r="CR74" s="501">
        <v>18</v>
      </c>
      <c r="CS74" s="502">
        <v>40</v>
      </c>
      <c r="CT74" s="502">
        <v>25</v>
      </c>
      <c r="CU74" s="502">
        <v>19</v>
      </c>
      <c r="CV74" s="502">
        <v>24</v>
      </c>
      <c r="CW74" s="503"/>
      <c r="CX74" s="500">
        <v>7562</v>
      </c>
      <c r="CY74" s="501">
        <v>7357</v>
      </c>
      <c r="CZ74" s="501">
        <v>7067</v>
      </c>
      <c r="DA74" s="501">
        <v>6658</v>
      </c>
      <c r="DB74" s="502">
        <v>5287</v>
      </c>
      <c r="DC74" s="502">
        <v>4145</v>
      </c>
      <c r="DD74" s="502">
        <v>2978</v>
      </c>
      <c r="DE74" s="502">
        <v>2584</v>
      </c>
      <c r="DF74" s="503"/>
      <c r="DG74" s="500">
        <v>113</v>
      </c>
      <c r="DH74" s="501">
        <v>102</v>
      </c>
      <c r="DI74" s="501">
        <v>109</v>
      </c>
      <c r="DJ74" s="501">
        <v>95</v>
      </c>
      <c r="DK74" s="502">
        <v>55</v>
      </c>
      <c r="DL74" s="502">
        <v>46</v>
      </c>
      <c r="DM74" s="502">
        <v>23</v>
      </c>
      <c r="DN74" s="502">
        <v>27</v>
      </c>
      <c r="DO74" s="503"/>
      <c r="DP74" s="500">
        <v>254</v>
      </c>
      <c r="DQ74" s="501">
        <v>203</v>
      </c>
      <c r="DR74" s="501">
        <v>226</v>
      </c>
      <c r="DS74" s="501">
        <v>220</v>
      </c>
      <c r="DT74" s="502">
        <v>124</v>
      </c>
      <c r="DU74" s="502">
        <v>109</v>
      </c>
      <c r="DV74" s="502">
        <v>74</v>
      </c>
      <c r="DW74" s="502">
        <v>39</v>
      </c>
      <c r="DX74" s="503"/>
      <c r="DY74" s="500">
        <v>889</v>
      </c>
      <c r="DZ74" s="501">
        <v>925</v>
      </c>
      <c r="EA74" s="501">
        <v>972</v>
      </c>
      <c r="EB74" s="501">
        <v>981</v>
      </c>
      <c r="EC74" s="502">
        <v>932</v>
      </c>
      <c r="ED74" s="502">
        <v>924</v>
      </c>
      <c r="EE74" s="502">
        <v>680</v>
      </c>
      <c r="EF74" s="502">
        <v>492</v>
      </c>
      <c r="EG74" s="503"/>
      <c r="EH74" s="500">
        <v>148</v>
      </c>
      <c r="EI74" s="501">
        <v>124</v>
      </c>
      <c r="EJ74" s="501">
        <v>94</v>
      </c>
      <c r="EK74" s="501">
        <v>79</v>
      </c>
      <c r="EL74" s="502">
        <v>47</v>
      </c>
      <c r="EM74" s="502">
        <v>44</v>
      </c>
      <c r="EN74" s="502">
        <v>26</v>
      </c>
      <c r="EO74" s="502">
        <v>27</v>
      </c>
      <c r="EP74" s="503"/>
      <c r="EQ74" s="500">
        <v>15</v>
      </c>
      <c r="ER74" s="501">
        <v>30</v>
      </c>
      <c r="ES74" s="501">
        <v>31</v>
      </c>
      <c r="ET74" s="501">
        <v>19</v>
      </c>
      <c r="EU74" s="502">
        <v>18</v>
      </c>
      <c r="EV74" s="502">
        <v>23</v>
      </c>
      <c r="EW74" s="502">
        <v>56</v>
      </c>
      <c r="EX74" s="502">
        <v>48</v>
      </c>
      <c r="EY74" s="503"/>
      <c r="EZ74" s="500">
        <v>30</v>
      </c>
      <c r="FA74" s="501">
        <v>53</v>
      </c>
      <c r="FB74" s="501">
        <v>29</v>
      </c>
      <c r="FC74" s="501">
        <v>21</v>
      </c>
      <c r="FD74" s="502">
        <v>16</v>
      </c>
      <c r="FE74" s="502">
        <v>18</v>
      </c>
      <c r="FF74" s="502">
        <v>4</v>
      </c>
      <c r="FG74" s="502">
        <v>18</v>
      </c>
      <c r="FH74" s="503"/>
      <c r="FI74" s="500">
        <v>685</v>
      </c>
      <c r="FJ74" s="501">
        <v>737</v>
      </c>
      <c r="FK74" s="501">
        <v>585</v>
      </c>
      <c r="FL74" s="501">
        <v>404</v>
      </c>
      <c r="FM74" s="502">
        <v>408</v>
      </c>
      <c r="FN74" s="502">
        <v>316</v>
      </c>
      <c r="FO74" s="502">
        <v>285</v>
      </c>
      <c r="FP74" s="502">
        <v>257</v>
      </c>
      <c r="FQ74" s="503"/>
      <c r="FR74" s="500">
        <v>45</v>
      </c>
      <c r="FS74" s="501">
        <v>18</v>
      </c>
      <c r="FT74" s="501">
        <v>27</v>
      </c>
      <c r="FU74" s="501">
        <v>29</v>
      </c>
      <c r="FV74" s="502">
        <v>26</v>
      </c>
      <c r="FW74" s="502">
        <v>14</v>
      </c>
      <c r="FX74" s="502">
        <v>10</v>
      </c>
      <c r="FY74" s="502">
        <v>5</v>
      </c>
      <c r="FZ74" s="503"/>
      <c r="GA74" s="500">
        <v>64</v>
      </c>
      <c r="GB74" s="501">
        <v>41</v>
      </c>
      <c r="GC74" s="501">
        <v>64</v>
      </c>
      <c r="GD74" s="501">
        <v>32</v>
      </c>
      <c r="GE74" s="502">
        <v>32</v>
      </c>
      <c r="GF74" s="502">
        <v>43</v>
      </c>
      <c r="GG74" s="502">
        <v>30</v>
      </c>
      <c r="GH74" s="502">
        <v>40</v>
      </c>
      <c r="GI74" s="503"/>
      <c r="GJ74" s="500">
        <v>11881</v>
      </c>
      <c r="GK74" s="501">
        <v>11763</v>
      </c>
      <c r="GL74" s="501">
        <v>10638</v>
      </c>
      <c r="GM74" s="501">
        <v>8190</v>
      </c>
      <c r="GN74" s="502">
        <v>7490</v>
      </c>
      <c r="GO74" s="502">
        <v>5445</v>
      </c>
      <c r="GP74" s="502">
        <v>4211</v>
      </c>
      <c r="GQ74" s="502">
        <v>3677</v>
      </c>
      <c r="GR74" s="503"/>
      <c r="GS74" s="500">
        <v>3036</v>
      </c>
      <c r="GT74" s="501">
        <v>3008</v>
      </c>
      <c r="GU74" s="501">
        <v>2590</v>
      </c>
      <c r="GV74" s="501">
        <v>1997</v>
      </c>
      <c r="GW74" s="502">
        <v>1292</v>
      </c>
      <c r="GX74" s="502">
        <v>689</v>
      </c>
      <c r="GY74" s="502">
        <v>651</v>
      </c>
      <c r="GZ74" s="502">
        <v>621</v>
      </c>
      <c r="HA74" s="503"/>
      <c r="HB74" s="500">
        <v>21</v>
      </c>
      <c r="HC74" s="501">
        <v>20</v>
      </c>
      <c r="HD74" s="501">
        <v>22</v>
      </c>
      <c r="HE74" s="501">
        <v>14</v>
      </c>
      <c r="HF74" s="502">
        <v>24</v>
      </c>
      <c r="HG74" s="502">
        <v>11</v>
      </c>
      <c r="HH74" s="502">
        <v>9</v>
      </c>
      <c r="HI74" s="502">
        <v>8</v>
      </c>
      <c r="HJ74" s="503"/>
      <c r="HK74" s="500">
        <v>9</v>
      </c>
      <c r="HL74" s="501">
        <v>8</v>
      </c>
      <c r="HM74" s="501">
        <v>6</v>
      </c>
      <c r="HN74" s="501">
        <v>6</v>
      </c>
      <c r="HO74" s="502">
        <v>7</v>
      </c>
      <c r="HP74" s="502">
        <v>8</v>
      </c>
      <c r="HQ74" s="502">
        <v>3</v>
      </c>
      <c r="HR74" s="502">
        <v>2</v>
      </c>
      <c r="HS74" s="503"/>
      <c r="HT74" s="500">
        <v>4020</v>
      </c>
      <c r="HU74" s="501">
        <v>3746</v>
      </c>
      <c r="HV74" s="501">
        <v>3248</v>
      </c>
      <c r="HW74" s="501">
        <v>3815</v>
      </c>
      <c r="HX74" s="502">
        <v>2331</v>
      </c>
      <c r="HY74" s="502">
        <v>1535</v>
      </c>
      <c r="HZ74" s="502">
        <v>1549</v>
      </c>
      <c r="IA74" s="502">
        <v>1579</v>
      </c>
      <c r="IB74" s="503"/>
      <c r="IC74" s="500">
        <v>18899</v>
      </c>
      <c r="ID74" s="501">
        <v>25285</v>
      </c>
      <c r="IE74" s="501">
        <v>32206</v>
      </c>
      <c r="IF74" s="501">
        <v>19115</v>
      </c>
      <c r="IG74" s="502">
        <v>12149</v>
      </c>
      <c r="IH74" s="502">
        <v>10225</v>
      </c>
      <c r="II74" s="502">
        <v>8324</v>
      </c>
      <c r="IJ74" s="502">
        <v>8168</v>
      </c>
      <c r="IK74" s="503"/>
      <c r="IL74" s="500">
        <v>1783</v>
      </c>
      <c r="IM74" s="501">
        <v>2111</v>
      </c>
      <c r="IN74" s="501">
        <v>2003</v>
      </c>
      <c r="IO74" s="501">
        <v>1534</v>
      </c>
      <c r="IP74" s="502">
        <v>728</v>
      </c>
      <c r="IQ74" s="502">
        <v>1374</v>
      </c>
      <c r="IR74" s="502">
        <v>1033</v>
      </c>
      <c r="IS74" s="502">
        <v>792</v>
      </c>
      <c r="IT74" s="503"/>
      <c r="IU74" s="547">
        <v>4421.687536264435</v>
      </c>
      <c r="IV74" s="548">
        <v>5933.7745236083729</v>
      </c>
      <c r="IW74" s="548">
        <v>7567.5370845972921</v>
      </c>
      <c r="IX74" s="548">
        <v>4539.452748369692</v>
      </c>
      <c r="IY74" s="549">
        <v>2896.025325025149</v>
      </c>
      <c r="IZ74" s="549">
        <v>2448.2163337331885</v>
      </c>
      <c r="JA74" s="549">
        <v>1989.0701503272503</v>
      </c>
      <c r="JB74" s="549">
        <v>1962.4472928654661</v>
      </c>
      <c r="JC74" s="550"/>
      <c r="JD74" s="551">
        <v>940.53568420461568</v>
      </c>
      <c r="JE74" s="552">
        <v>879.09509058481171</v>
      </c>
      <c r="JF74" s="552">
        <v>763.19196580674418</v>
      </c>
      <c r="JG74" s="552">
        <v>905.99070023700619</v>
      </c>
      <c r="JH74" s="552">
        <v>555.65355441876875</v>
      </c>
      <c r="JI74" s="553">
        <v>367.53174301031243</v>
      </c>
      <c r="JJ74" s="553">
        <v>370.14291961279565</v>
      </c>
      <c r="JK74" s="553">
        <v>379.37123842244995</v>
      </c>
      <c r="JL74" s="550"/>
      <c r="JM74" s="551">
        <v>2779.7274786156813</v>
      </c>
      <c r="JN74" s="552">
        <v>2760.4900028161082</v>
      </c>
      <c r="JO74" s="552">
        <v>2499.6416663337886</v>
      </c>
      <c r="JP74" s="552">
        <v>1944.9708610592611</v>
      </c>
      <c r="JQ74" s="552">
        <v>1785.4333430272748</v>
      </c>
      <c r="JR74" s="553">
        <v>1303.720091655473</v>
      </c>
      <c r="JS74" s="553">
        <v>1006.2439215555083</v>
      </c>
      <c r="JT74" s="553">
        <v>883.43764640870711</v>
      </c>
      <c r="JU74" s="550"/>
      <c r="JV74" s="551">
        <v>710.31500926497836</v>
      </c>
      <c r="JW74" s="552">
        <v>705.90444006383177</v>
      </c>
      <c r="JX74" s="552">
        <v>608.57980032003309</v>
      </c>
      <c r="JY74" s="552">
        <v>474.24991569418125</v>
      </c>
      <c r="JZ74" s="552">
        <v>307.9812922818744</v>
      </c>
      <c r="KA74" s="553">
        <v>164.97027422417281</v>
      </c>
      <c r="KB74" s="553">
        <v>155.560387777876</v>
      </c>
      <c r="KC74" s="553">
        <v>149.20173468039354</v>
      </c>
      <c r="KD74" s="550"/>
    </row>
    <row r="75" spans="1:290" ht="15" customHeight="1" x14ac:dyDescent="0.2">
      <c r="A75" s="929" t="s">
        <v>796</v>
      </c>
      <c r="B75" s="485" t="s">
        <v>689</v>
      </c>
      <c r="C75" s="486">
        <v>6</v>
      </c>
      <c r="D75" s="487">
        <v>3</v>
      </c>
      <c r="E75" s="487">
        <v>4</v>
      </c>
      <c r="F75" s="487">
        <v>3</v>
      </c>
      <c r="G75" s="488">
        <v>2</v>
      </c>
      <c r="H75" s="488">
        <v>6</v>
      </c>
      <c r="I75" s="488">
        <v>1</v>
      </c>
      <c r="J75" s="488">
        <v>5</v>
      </c>
      <c r="K75" s="489"/>
      <c r="L75" s="486">
        <v>2</v>
      </c>
      <c r="M75" s="487">
        <v>1</v>
      </c>
      <c r="N75" s="487">
        <v>2</v>
      </c>
      <c r="O75" s="487">
        <v>3</v>
      </c>
      <c r="P75" s="488">
        <v>2</v>
      </c>
      <c r="Q75" s="488">
        <v>3</v>
      </c>
      <c r="R75" s="488"/>
      <c r="S75" s="488">
        <v>4</v>
      </c>
      <c r="T75" s="489"/>
      <c r="U75" s="486">
        <v>4</v>
      </c>
      <c r="V75" s="487">
        <v>2</v>
      </c>
      <c r="W75" s="487">
        <v>2</v>
      </c>
      <c r="X75" s="487"/>
      <c r="Y75" s="488"/>
      <c r="Z75" s="488">
        <v>2</v>
      </c>
      <c r="AA75" s="488">
        <v>1</v>
      </c>
      <c r="AB75" s="488">
        <v>1</v>
      </c>
      <c r="AC75" s="489"/>
      <c r="AD75" s="486">
        <v>265</v>
      </c>
      <c r="AE75" s="487">
        <v>251</v>
      </c>
      <c r="AF75" s="487">
        <v>251</v>
      </c>
      <c r="AG75" s="487">
        <v>219</v>
      </c>
      <c r="AH75" s="488">
        <v>222</v>
      </c>
      <c r="AI75" s="488">
        <v>164</v>
      </c>
      <c r="AJ75" s="488">
        <v>207</v>
      </c>
      <c r="AK75" s="488">
        <v>244</v>
      </c>
      <c r="AL75" s="489"/>
      <c r="AM75" s="486">
        <v>169</v>
      </c>
      <c r="AN75" s="487">
        <v>141</v>
      </c>
      <c r="AO75" s="487">
        <v>170</v>
      </c>
      <c r="AP75" s="487">
        <v>125</v>
      </c>
      <c r="AQ75" s="488">
        <v>148</v>
      </c>
      <c r="AR75" s="488">
        <v>110</v>
      </c>
      <c r="AS75" s="488">
        <v>127</v>
      </c>
      <c r="AT75" s="488">
        <v>147</v>
      </c>
      <c r="AU75" s="489"/>
      <c r="AV75" s="486"/>
      <c r="AW75" s="487"/>
      <c r="AX75" s="487"/>
      <c r="AY75" s="487">
        <v>1</v>
      </c>
      <c r="AZ75" s="488"/>
      <c r="BA75" s="488"/>
      <c r="BB75" s="488"/>
      <c r="BC75" s="488"/>
      <c r="BD75" s="489"/>
      <c r="BE75" s="486">
        <v>63</v>
      </c>
      <c r="BF75" s="487">
        <v>45</v>
      </c>
      <c r="BG75" s="487">
        <v>32</v>
      </c>
      <c r="BH75" s="487">
        <v>27</v>
      </c>
      <c r="BI75" s="488">
        <v>13</v>
      </c>
      <c r="BJ75" s="488">
        <v>10</v>
      </c>
      <c r="BK75" s="488">
        <v>23</v>
      </c>
      <c r="BL75" s="488">
        <v>22</v>
      </c>
      <c r="BM75" s="489"/>
      <c r="BN75" s="486"/>
      <c r="BO75" s="487">
        <v>2</v>
      </c>
      <c r="BP75" s="487">
        <v>4</v>
      </c>
      <c r="BQ75" s="487">
        <v>1</v>
      </c>
      <c r="BR75" s="488">
        <v>2</v>
      </c>
      <c r="BS75" s="488">
        <v>13</v>
      </c>
      <c r="BT75" s="488">
        <v>6</v>
      </c>
      <c r="BU75" s="488">
        <v>2</v>
      </c>
      <c r="BV75" s="489"/>
      <c r="BW75" s="486">
        <v>131</v>
      </c>
      <c r="BX75" s="487">
        <v>132</v>
      </c>
      <c r="BY75" s="487">
        <v>124</v>
      </c>
      <c r="BZ75" s="487">
        <v>123</v>
      </c>
      <c r="CA75" s="488">
        <v>89</v>
      </c>
      <c r="CB75" s="488">
        <v>110</v>
      </c>
      <c r="CC75" s="488">
        <v>134</v>
      </c>
      <c r="CD75" s="488">
        <v>134</v>
      </c>
      <c r="CE75" s="489"/>
      <c r="CF75" s="486">
        <v>19</v>
      </c>
      <c r="CG75" s="487">
        <v>18</v>
      </c>
      <c r="CH75" s="487">
        <v>16</v>
      </c>
      <c r="CI75" s="487">
        <v>14</v>
      </c>
      <c r="CJ75" s="488">
        <v>4</v>
      </c>
      <c r="CK75" s="488">
        <v>10</v>
      </c>
      <c r="CL75" s="488">
        <v>10</v>
      </c>
      <c r="CM75" s="488">
        <v>13</v>
      </c>
      <c r="CN75" s="489"/>
      <c r="CO75" s="486">
        <v>13</v>
      </c>
      <c r="CP75" s="487">
        <v>18</v>
      </c>
      <c r="CQ75" s="487">
        <v>9</v>
      </c>
      <c r="CR75" s="487">
        <v>18</v>
      </c>
      <c r="CS75" s="488">
        <v>10</v>
      </c>
      <c r="CT75" s="488">
        <v>21</v>
      </c>
      <c r="CU75" s="488">
        <v>19</v>
      </c>
      <c r="CV75" s="488">
        <v>8</v>
      </c>
      <c r="CW75" s="489"/>
      <c r="CX75" s="486">
        <v>3723</v>
      </c>
      <c r="CY75" s="487">
        <v>3445</v>
      </c>
      <c r="CZ75" s="487">
        <v>3517</v>
      </c>
      <c r="DA75" s="487">
        <v>3063</v>
      </c>
      <c r="DB75" s="488">
        <v>3329</v>
      </c>
      <c r="DC75" s="488">
        <v>2194</v>
      </c>
      <c r="DD75" s="488">
        <v>1910</v>
      </c>
      <c r="DE75" s="488">
        <v>1455</v>
      </c>
      <c r="DF75" s="489"/>
      <c r="DG75" s="486">
        <v>56</v>
      </c>
      <c r="DH75" s="487">
        <v>28</v>
      </c>
      <c r="DI75" s="487">
        <v>49</v>
      </c>
      <c r="DJ75" s="487">
        <v>45</v>
      </c>
      <c r="DK75" s="488">
        <v>39</v>
      </c>
      <c r="DL75" s="488">
        <v>18</v>
      </c>
      <c r="DM75" s="488">
        <v>16</v>
      </c>
      <c r="DN75" s="488">
        <v>14</v>
      </c>
      <c r="DO75" s="489"/>
      <c r="DP75" s="486">
        <v>227</v>
      </c>
      <c r="DQ75" s="487">
        <v>213</v>
      </c>
      <c r="DR75" s="487">
        <v>224</v>
      </c>
      <c r="DS75" s="487">
        <v>167</v>
      </c>
      <c r="DT75" s="488">
        <v>250</v>
      </c>
      <c r="DU75" s="488">
        <v>111</v>
      </c>
      <c r="DV75" s="488">
        <v>95</v>
      </c>
      <c r="DW75" s="488">
        <v>64</v>
      </c>
      <c r="DX75" s="489"/>
      <c r="DY75" s="486">
        <v>318</v>
      </c>
      <c r="DZ75" s="487">
        <v>271</v>
      </c>
      <c r="EA75" s="487">
        <v>283</v>
      </c>
      <c r="EB75" s="487">
        <v>301</v>
      </c>
      <c r="EC75" s="488">
        <v>352</v>
      </c>
      <c r="ED75" s="488">
        <v>260</v>
      </c>
      <c r="EE75" s="488">
        <v>269</v>
      </c>
      <c r="EF75" s="488">
        <v>201</v>
      </c>
      <c r="EG75" s="489"/>
      <c r="EH75" s="486">
        <v>40</v>
      </c>
      <c r="EI75" s="487">
        <v>38</v>
      </c>
      <c r="EJ75" s="487">
        <v>50</v>
      </c>
      <c r="EK75" s="487">
        <v>38</v>
      </c>
      <c r="EL75" s="488">
        <v>34</v>
      </c>
      <c r="EM75" s="488">
        <v>37</v>
      </c>
      <c r="EN75" s="488">
        <v>13</v>
      </c>
      <c r="EO75" s="488">
        <v>16</v>
      </c>
      <c r="EP75" s="489"/>
      <c r="EQ75" s="486">
        <v>10</v>
      </c>
      <c r="ER75" s="487">
        <v>10</v>
      </c>
      <c r="ES75" s="487">
        <v>9</v>
      </c>
      <c r="ET75" s="487">
        <v>17</v>
      </c>
      <c r="EU75" s="488">
        <v>16</v>
      </c>
      <c r="EV75" s="488">
        <v>16</v>
      </c>
      <c r="EW75" s="488">
        <v>20</v>
      </c>
      <c r="EX75" s="488">
        <v>18</v>
      </c>
      <c r="EY75" s="489"/>
      <c r="EZ75" s="486">
        <v>10</v>
      </c>
      <c r="FA75" s="487">
        <v>14</v>
      </c>
      <c r="FB75" s="487">
        <v>20</v>
      </c>
      <c r="FC75" s="487">
        <v>7</v>
      </c>
      <c r="FD75" s="488">
        <v>3</v>
      </c>
      <c r="FE75" s="488">
        <v>4</v>
      </c>
      <c r="FF75" s="488">
        <v>2</v>
      </c>
      <c r="FG75" s="488">
        <v>6</v>
      </c>
      <c r="FH75" s="489"/>
      <c r="FI75" s="486">
        <v>323</v>
      </c>
      <c r="FJ75" s="487">
        <v>333</v>
      </c>
      <c r="FK75" s="487">
        <v>248</v>
      </c>
      <c r="FL75" s="487">
        <v>188</v>
      </c>
      <c r="FM75" s="488">
        <v>226</v>
      </c>
      <c r="FN75" s="488">
        <v>183</v>
      </c>
      <c r="FO75" s="488">
        <v>135</v>
      </c>
      <c r="FP75" s="488">
        <v>158</v>
      </c>
      <c r="FQ75" s="489"/>
      <c r="FR75" s="486">
        <v>35</v>
      </c>
      <c r="FS75" s="487">
        <v>18</v>
      </c>
      <c r="FT75" s="487">
        <v>20</v>
      </c>
      <c r="FU75" s="487">
        <v>19</v>
      </c>
      <c r="FV75" s="488">
        <v>35</v>
      </c>
      <c r="FW75" s="488">
        <v>13</v>
      </c>
      <c r="FX75" s="488">
        <v>10</v>
      </c>
      <c r="FY75" s="488">
        <v>5</v>
      </c>
      <c r="FZ75" s="489"/>
      <c r="GA75" s="486">
        <v>43</v>
      </c>
      <c r="GB75" s="487">
        <v>28</v>
      </c>
      <c r="GC75" s="487">
        <v>29</v>
      </c>
      <c r="GD75" s="487">
        <v>23</v>
      </c>
      <c r="GE75" s="488">
        <v>47</v>
      </c>
      <c r="GF75" s="488">
        <v>25</v>
      </c>
      <c r="GG75" s="488">
        <v>30</v>
      </c>
      <c r="GH75" s="488">
        <v>29</v>
      </c>
      <c r="GI75" s="489"/>
      <c r="GJ75" s="486">
        <v>4681</v>
      </c>
      <c r="GK75" s="487">
        <v>4355</v>
      </c>
      <c r="GL75" s="487">
        <v>4333</v>
      </c>
      <c r="GM75" s="487">
        <v>3760</v>
      </c>
      <c r="GN75" s="488">
        <v>4032</v>
      </c>
      <c r="GO75" s="488">
        <v>2806</v>
      </c>
      <c r="GP75" s="488">
        <v>2520</v>
      </c>
      <c r="GQ75" s="488">
        <v>2115</v>
      </c>
      <c r="GR75" s="489"/>
      <c r="GS75" s="486">
        <v>1594</v>
      </c>
      <c r="GT75" s="487">
        <v>1549</v>
      </c>
      <c r="GU75" s="487">
        <v>1507</v>
      </c>
      <c r="GV75" s="487">
        <v>1212</v>
      </c>
      <c r="GW75" s="488">
        <v>951</v>
      </c>
      <c r="GX75" s="488">
        <v>584</v>
      </c>
      <c r="GY75" s="488">
        <v>370</v>
      </c>
      <c r="GZ75" s="488">
        <v>301</v>
      </c>
      <c r="HA75" s="489"/>
      <c r="HB75" s="486">
        <v>20</v>
      </c>
      <c r="HC75" s="487">
        <v>13</v>
      </c>
      <c r="HD75" s="487">
        <v>16</v>
      </c>
      <c r="HE75" s="487">
        <v>19</v>
      </c>
      <c r="HF75" s="488">
        <v>12</v>
      </c>
      <c r="HG75" s="488">
        <v>7</v>
      </c>
      <c r="HH75" s="488">
        <v>13</v>
      </c>
      <c r="HI75" s="488">
        <v>16</v>
      </c>
      <c r="HJ75" s="489"/>
      <c r="HK75" s="486">
        <v>25</v>
      </c>
      <c r="HL75" s="487">
        <v>29</v>
      </c>
      <c r="HM75" s="487">
        <v>14</v>
      </c>
      <c r="HN75" s="487">
        <v>13</v>
      </c>
      <c r="HO75" s="488">
        <v>14</v>
      </c>
      <c r="HP75" s="488">
        <v>9</v>
      </c>
      <c r="HQ75" s="488">
        <v>9</v>
      </c>
      <c r="HR75" s="488">
        <v>6</v>
      </c>
      <c r="HS75" s="489"/>
      <c r="HT75" s="486">
        <v>2155</v>
      </c>
      <c r="HU75" s="487">
        <v>1981</v>
      </c>
      <c r="HV75" s="487">
        <v>1946</v>
      </c>
      <c r="HW75" s="487">
        <v>1701</v>
      </c>
      <c r="HX75" s="488">
        <v>1461</v>
      </c>
      <c r="HY75" s="488">
        <v>991</v>
      </c>
      <c r="HZ75" s="488">
        <v>862</v>
      </c>
      <c r="IA75" s="488">
        <v>761</v>
      </c>
      <c r="IB75" s="489"/>
      <c r="IC75" s="486">
        <v>9509</v>
      </c>
      <c r="ID75" s="487">
        <v>10435</v>
      </c>
      <c r="IE75" s="487">
        <v>9515</v>
      </c>
      <c r="IF75" s="487">
        <v>6519</v>
      </c>
      <c r="IG75" s="488">
        <v>6123</v>
      </c>
      <c r="IH75" s="488">
        <v>5760</v>
      </c>
      <c r="II75" s="488">
        <v>5120</v>
      </c>
      <c r="IJ75" s="488">
        <v>3902</v>
      </c>
      <c r="IK75" s="489"/>
      <c r="IL75" s="486">
        <v>664</v>
      </c>
      <c r="IM75" s="487">
        <v>545</v>
      </c>
      <c r="IN75" s="487">
        <v>620</v>
      </c>
      <c r="IO75" s="487">
        <v>405</v>
      </c>
      <c r="IP75" s="488">
        <v>290</v>
      </c>
      <c r="IQ75" s="488">
        <v>418</v>
      </c>
      <c r="IR75" s="488">
        <v>396</v>
      </c>
      <c r="IS75" s="488">
        <v>328</v>
      </c>
      <c r="IT75" s="489"/>
      <c r="IU75" s="526">
        <v>4399.3208325815303</v>
      </c>
      <c r="IV75" s="527">
        <v>4812.5481370111929</v>
      </c>
      <c r="IW75" s="527">
        <v>4374.0691024768767</v>
      </c>
      <c r="IX75" s="527">
        <v>3041.315990818669</v>
      </c>
      <c r="IY75" s="528">
        <v>2842.9879464368628</v>
      </c>
      <c r="IZ75" s="528">
        <v>2631.9362752184816</v>
      </c>
      <c r="JA75" s="528">
        <v>2292.1404652328852</v>
      </c>
      <c r="JB75" s="528">
        <v>1740.5035059860475</v>
      </c>
      <c r="JC75" s="529"/>
      <c r="JD75" s="530">
        <v>997.00666675919626</v>
      </c>
      <c r="JE75" s="531">
        <v>913.62317771146854</v>
      </c>
      <c r="JF75" s="531">
        <v>894.58102715922269</v>
      </c>
      <c r="JG75" s="531">
        <v>793.56933584638057</v>
      </c>
      <c r="JH75" s="531">
        <v>678.36116115372477</v>
      </c>
      <c r="JI75" s="532">
        <v>452.65789635340957</v>
      </c>
      <c r="JJ75" s="532">
        <v>385.90333613881774</v>
      </c>
      <c r="JK75" s="532">
        <v>339.447249629775</v>
      </c>
      <c r="JL75" s="529"/>
      <c r="JM75" s="530">
        <v>2165.6557805567509</v>
      </c>
      <c r="JN75" s="531">
        <v>2008.4951736160754</v>
      </c>
      <c r="JO75" s="531">
        <v>1991.8908482430172</v>
      </c>
      <c r="JP75" s="531">
        <v>1754.1567917591956</v>
      </c>
      <c r="JQ75" s="531">
        <v>1872.1096521367681</v>
      </c>
      <c r="JR75" s="532">
        <v>1284.1395758540746</v>
      </c>
      <c r="JS75" s="532">
        <v>1128.1628852318106</v>
      </c>
      <c r="JT75" s="532">
        <v>943.40464253216055</v>
      </c>
      <c r="JU75" s="529"/>
      <c r="JV75" s="530">
        <v>737.46107972814798</v>
      </c>
      <c r="JW75" s="531">
        <v>714.38783557549959</v>
      </c>
      <c r="JX75" s="531">
        <v>692.77163819575969</v>
      </c>
      <c r="JY75" s="531">
        <v>565.43564670535761</v>
      </c>
      <c r="JZ75" s="531">
        <v>441.56157717809191</v>
      </c>
      <c r="KA75" s="532">
        <v>267.43648449946085</v>
      </c>
      <c r="KB75" s="532">
        <v>165.64296330784521</v>
      </c>
      <c r="KC75" s="532">
        <v>134.26231555658643</v>
      </c>
      <c r="KD75" s="529"/>
    </row>
    <row r="76" spans="1:290" ht="15" customHeight="1" x14ac:dyDescent="0.2">
      <c r="A76" s="930"/>
      <c r="B76" s="490" t="s">
        <v>690</v>
      </c>
      <c r="C76" s="491">
        <v>2</v>
      </c>
      <c r="D76" s="492"/>
      <c r="E76" s="492"/>
      <c r="F76" s="492"/>
      <c r="G76" s="493"/>
      <c r="H76" s="493">
        <v>1</v>
      </c>
      <c r="I76" s="493"/>
      <c r="J76" s="493"/>
      <c r="K76" s="199"/>
      <c r="L76" s="491"/>
      <c r="M76" s="492"/>
      <c r="N76" s="492"/>
      <c r="O76" s="492"/>
      <c r="P76" s="493"/>
      <c r="Q76" s="493">
        <v>1</v>
      </c>
      <c r="R76" s="493"/>
      <c r="S76" s="493"/>
      <c r="T76" s="199"/>
      <c r="U76" s="491">
        <v>1</v>
      </c>
      <c r="V76" s="492"/>
      <c r="W76" s="492"/>
      <c r="X76" s="492"/>
      <c r="Y76" s="493"/>
      <c r="Z76" s="493"/>
      <c r="AA76" s="493"/>
      <c r="AB76" s="493"/>
      <c r="AC76" s="199"/>
      <c r="AD76" s="491">
        <v>32</v>
      </c>
      <c r="AE76" s="492">
        <v>34</v>
      </c>
      <c r="AF76" s="492">
        <v>44</v>
      </c>
      <c r="AG76" s="492">
        <v>30</v>
      </c>
      <c r="AH76" s="493">
        <v>42</v>
      </c>
      <c r="AI76" s="493">
        <v>48</v>
      </c>
      <c r="AJ76" s="493">
        <v>33</v>
      </c>
      <c r="AK76" s="493">
        <v>28</v>
      </c>
      <c r="AL76" s="199"/>
      <c r="AM76" s="491">
        <v>16</v>
      </c>
      <c r="AN76" s="492">
        <v>20</v>
      </c>
      <c r="AO76" s="492">
        <v>21</v>
      </c>
      <c r="AP76" s="492">
        <v>20</v>
      </c>
      <c r="AQ76" s="493">
        <v>15</v>
      </c>
      <c r="AR76" s="493">
        <v>22</v>
      </c>
      <c r="AS76" s="493">
        <v>13</v>
      </c>
      <c r="AT76" s="493">
        <v>10</v>
      </c>
      <c r="AU76" s="199"/>
      <c r="AV76" s="491"/>
      <c r="AW76" s="492"/>
      <c r="AX76" s="492"/>
      <c r="AY76" s="492"/>
      <c r="AZ76" s="493"/>
      <c r="BA76" s="493"/>
      <c r="BB76" s="493"/>
      <c r="BC76" s="493"/>
      <c r="BD76" s="199"/>
      <c r="BE76" s="491">
        <v>5</v>
      </c>
      <c r="BF76" s="492">
        <v>4</v>
      </c>
      <c r="BG76" s="492">
        <v>1</v>
      </c>
      <c r="BH76" s="492"/>
      <c r="BI76" s="493">
        <v>1</v>
      </c>
      <c r="BJ76" s="493">
        <v>5</v>
      </c>
      <c r="BK76" s="493">
        <v>5</v>
      </c>
      <c r="BL76" s="493">
        <v>12</v>
      </c>
      <c r="BM76" s="199"/>
      <c r="BN76" s="491"/>
      <c r="BO76" s="492"/>
      <c r="BP76" s="492"/>
      <c r="BQ76" s="492">
        <v>1</v>
      </c>
      <c r="BR76" s="493"/>
      <c r="BS76" s="493">
        <v>1</v>
      </c>
      <c r="BT76" s="493">
        <v>2</v>
      </c>
      <c r="BU76" s="493"/>
      <c r="BV76" s="199"/>
      <c r="BW76" s="491">
        <v>30</v>
      </c>
      <c r="BX76" s="492">
        <v>40</v>
      </c>
      <c r="BY76" s="492">
        <v>55</v>
      </c>
      <c r="BZ76" s="492">
        <v>25</v>
      </c>
      <c r="CA76" s="493">
        <v>38</v>
      </c>
      <c r="CB76" s="493">
        <v>24</v>
      </c>
      <c r="CC76" s="493">
        <v>27</v>
      </c>
      <c r="CD76" s="493">
        <v>24</v>
      </c>
      <c r="CE76" s="199"/>
      <c r="CF76" s="491">
        <v>1</v>
      </c>
      <c r="CG76" s="492">
        <v>1</v>
      </c>
      <c r="CH76" s="492">
        <v>1</v>
      </c>
      <c r="CI76" s="492">
        <v>1</v>
      </c>
      <c r="CJ76" s="493">
        <v>3</v>
      </c>
      <c r="CK76" s="493">
        <v>1</v>
      </c>
      <c r="CL76" s="493"/>
      <c r="CM76" s="493"/>
      <c r="CN76" s="199"/>
      <c r="CO76" s="491">
        <v>1</v>
      </c>
      <c r="CP76" s="492"/>
      <c r="CQ76" s="492">
        <v>3</v>
      </c>
      <c r="CR76" s="492">
        <v>5</v>
      </c>
      <c r="CS76" s="493">
        <v>3</v>
      </c>
      <c r="CT76" s="493">
        <v>1</v>
      </c>
      <c r="CU76" s="493"/>
      <c r="CV76" s="493">
        <v>2</v>
      </c>
      <c r="CW76" s="199"/>
      <c r="CX76" s="491">
        <v>183</v>
      </c>
      <c r="CY76" s="492">
        <v>210</v>
      </c>
      <c r="CZ76" s="492">
        <v>210</v>
      </c>
      <c r="DA76" s="492">
        <v>164</v>
      </c>
      <c r="DB76" s="493">
        <v>177</v>
      </c>
      <c r="DC76" s="493">
        <v>201</v>
      </c>
      <c r="DD76" s="493">
        <v>146</v>
      </c>
      <c r="DE76" s="493">
        <v>90</v>
      </c>
      <c r="DF76" s="199"/>
      <c r="DG76" s="491"/>
      <c r="DH76" s="492"/>
      <c r="DI76" s="492">
        <v>1</v>
      </c>
      <c r="DJ76" s="492"/>
      <c r="DK76" s="493"/>
      <c r="DL76" s="493"/>
      <c r="DM76" s="493"/>
      <c r="DN76" s="493"/>
      <c r="DO76" s="199"/>
      <c r="DP76" s="491">
        <v>4</v>
      </c>
      <c r="DQ76" s="492">
        <v>12</v>
      </c>
      <c r="DR76" s="492">
        <v>5</v>
      </c>
      <c r="DS76" s="492">
        <v>6</v>
      </c>
      <c r="DT76" s="493">
        <v>4</v>
      </c>
      <c r="DU76" s="493">
        <v>15</v>
      </c>
      <c r="DV76" s="493">
        <v>2</v>
      </c>
      <c r="DW76" s="493">
        <v>4</v>
      </c>
      <c r="DX76" s="199"/>
      <c r="DY76" s="491">
        <v>34</v>
      </c>
      <c r="DZ76" s="492">
        <v>44</v>
      </c>
      <c r="EA76" s="492">
        <v>26</v>
      </c>
      <c r="EB76" s="492">
        <v>40</v>
      </c>
      <c r="EC76" s="493">
        <v>14</v>
      </c>
      <c r="ED76" s="493">
        <v>28</v>
      </c>
      <c r="EE76" s="493">
        <v>31</v>
      </c>
      <c r="EF76" s="493">
        <v>16</v>
      </c>
      <c r="EG76" s="199"/>
      <c r="EH76" s="491"/>
      <c r="EI76" s="492">
        <v>1</v>
      </c>
      <c r="EJ76" s="492">
        <v>4</v>
      </c>
      <c r="EK76" s="492"/>
      <c r="EL76" s="493">
        <v>7</v>
      </c>
      <c r="EM76" s="493">
        <v>2</v>
      </c>
      <c r="EN76" s="493"/>
      <c r="EO76" s="493">
        <v>2</v>
      </c>
      <c r="EP76" s="199"/>
      <c r="EQ76" s="491"/>
      <c r="ER76" s="492"/>
      <c r="ES76" s="492"/>
      <c r="ET76" s="492"/>
      <c r="EU76" s="493"/>
      <c r="EV76" s="493"/>
      <c r="EW76" s="493"/>
      <c r="EX76" s="493"/>
      <c r="EY76" s="199"/>
      <c r="EZ76" s="491"/>
      <c r="FA76" s="492">
        <v>3</v>
      </c>
      <c r="FB76" s="492">
        <v>3</v>
      </c>
      <c r="FC76" s="492"/>
      <c r="FD76" s="493"/>
      <c r="FE76" s="493">
        <v>1</v>
      </c>
      <c r="FF76" s="493"/>
      <c r="FG76" s="493">
        <v>1</v>
      </c>
      <c r="FH76" s="199"/>
      <c r="FI76" s="491">
        <v>16</v>
      </c>
      <c r="FJ76" s="492">
        <v>19</v>
      </c>
      <c r="FK76" s="492">
        <v>26</v>
      </c>
      <c r="FL76" s="492">
        <v>15</v>
      </c>
      <c r="FM76" s="493">
        <v>9</v>
      </c>
      <c r="FN76" s="493">
        <v>6</v>
      </c>
      <c r="FO76" s="493">
        <v>7</v>
      </c>
      <c r="FP76" s="493">
        <v>10</v>
      </c>
      <c r="FQ76" s="199"/>
      <c r="FR76" s="491">
        <v>2</v>
      </c>
      <c r="FS76" s="492">
        <v>3</v>
      </c>
      <c r="FT76" s="492">
        <v>1</v>
      </c>
      <c r="FU76" s="492">
        <v>1</v>
      </c>
      <c r="FV76" s="493">
        <v>2</v>
      </c>
      <c r="FW76" s="493">
        <v>1</v>
      </c>
      <c r="FX76" s="493">
        <v>5</v>
      </c>
      <c r="FY76" s="493"/>
      <c r="FZ76" s="199"/>
      <c r="GA76" s="491">
        <v>2</v>
      </c>
      <c r="GB76" s="492">
        <v>3</v>
      </c>
      <c r="GC76" s="492">
        <v>2</v>
      </c>
      <c r="GD76" s="492">
        <v>2</v>
      </c>
      <c r="GE76" s="493"/>
      <c r="GF76" s="493">
        <v>3</v>
      </c>
      <c r="GG76" s="493">
        <v>4</v>
      </c>
      <c r="GH76" s="493">
        <v>1</v>
      </c>
      <c r="GI76" s="199"/>
      <c r="GJ76" s="491">
        <v>274</v>
      </c>
      <c r="GK76" s="492">
        <v>318</v>
      </c>
      <c r="GL76" s="492">
        <v>350</v>
      </c>
      <c r="GM76" s="492">
        <v>244</v>
      </c>
      <c r="GN76" s="493">
        <v>282</v>
      </c>
      <c r="GO76" s="493">
        <v>295</v>
      </c>
      <c r="GP76" s="493">
        <v>229</v>
      </c>
      <c r="GQ76" s="493">
        <v>170</v>
      </c>
      <c r="GR76" s="199"/>
      <c r="GS76" s="491">
        <v>101</v>
      </c>
      <c r="GT76" s="492">
        <v>118</v>
      </c>
      <c r="GU76" s="492">
        <v>128</v>
      </c>
      <c r="GV76" s="492">
        <v>62</v>
      </c>
      <c r="GW76" s="493">
        <v>69</v>
      </c>
      <c r="GX76" s="493">
        <v>48</v>
      </c>
      <c r="GY76" s="493">
        <v>46</v>
      </c>
      <c r="GZ76" s="493">
        <v>37</v>
      </c>
      <c r="HA76" s="199"/>
      <c r="HB76" s="491"/>
      <c r="HC76" s="492">
        <v>3</v>
      </c>
      <c r="HD76" s="492"/>
      <c r="HE76" s="492"/>
      <c r="HF76" s="493"/>
      <c r="HG76" s="493">
        <v>2</v>
      </c>
      <c r="HH76" s="493"/>
      <c r="HI76" s="493">
        <v>1</v>
      </c>
      <c r="HJ76" s="199"/>
      <c r="HK76" s="491"/>
      <c r="HL76" s="492"/>
      <c r="HM76" s="492">
        <v>1</v>
      </c>
      <c r="HN76" s="492">
        <v>1</v>
      </c>
      <c r="HO76" s="493">
        <v>2</v>
      </c>
      <c r="HP76" s="493">
        <v>1</v>
      </c>
      <c r="HQ76" s="493"/>
      <c r="HR76" s="493"/>
      <c r="HS76" s="199"/>
      <c r="HT76" s="491">
        <v>174</v>
      </c>
      <c r="HU76" s="492">
        <v>186</v>
      </c>
      <c r="HV76" s="492">
        <v>192</v>
      </c>
      <c r="HW76" s="492">
        <v>127</v>
      </c>
      <c r="HX76" s="493">
        <v>134</v>
      </c>
      <c r="HY76" s="493">
        <v>104</v>
      </c>
      <c r="HZ76" s="493">
        <v>96</v>
      </c>
      <c r="IA76" s="493">
        <v>92</v>
      </c>
      <c r="IB76" s="199"/>
      <c r="IC76" s="491">
        <v>520</v>
      </c>
      <c r="ID76" s="492">
        <v>609</v>
      </c>
      <c r="IE76" s="492">
        <v>671</v>
      </c>
      <c r="IF76" s="492">
        <v>460</v>
      </c>
      <c r="IG76" s="493">
        <v>510</v>
      </c>
      <c r="IH76" s="493">
        <v>477</v>
      </c>
      <c r="II76" s="493">
        <v>413</v>
      </c>
      <c r="IJ76" s="493">
        <v>378</v>
      </c>
      <c r="IK76" s="199"/>
      <c r="IL76" s="491">
        <v>55</v>
      </c>
      <c r="IM76" s="492">
        <v>67</v>
      </c>
      <c r="IN76" s="492">
        <v>56</v>
      </c>
      <c r="IO76" s="492">
        <v>50</v>
      </c>
      <c r="IP76" s="493">
        <v>11</v>
      </c>
      <c r="IQ76" s="493">
        <v>43</v>
      </c>
      <c r="IR76" s="493">
        <v>50</v>
      </c>
      <c r="IS76" s="493">
        <v>20</v>
      </c>
      <c r="IT76" s="199"/>
      <c r="IU76" s="533">
        <v>1438.4906913054303</v>
      </c>
      <c r="IV76" s="534">
        <v>1702.4012523411511</v>
      </c>
      <c r="IW76" s="534">
        <v>1879.9204325778164</v>
      </c>
      <c r="IX76" s="534">
        <v>1275.0505862460848</v>
      </c>
      <c r="IY76" s="535">
        <v>1423.4279494264424</v>
      </c>
      <c r="IZ76" s="535">
        <v>1363.1761234442461</v>
      </c>
      <c r="JA76" s="535">
        <v>1266.1332352310003</v>
      </c>
      <c r="JB76" s="535">
        <v>1158.017278353042</v>
      </c>
      <c r="JC76" s="536"/>
      <c r="JD76" s="537">
        <v>481.34111593681706</v>
      </c>
      <c r="JE76" s="538">
        <v>519.94521007463732</v>
      </c>
      <c r="JF76" s="538">
        <v>537.92060067800412</v>
      </c>
      <c r="JG76" s="538">
        <v>352.02483576794077</v>
      </c>
      <c r="JH76" s="538">
        <v>373.99871612381031</v>
      </c>
      <c r="JI76" s="539">
        <v>301.91095425029903</v>
      </c>
      <c r="JJ76" s="539">
        <v>294.30699898831972</v>
      </c>
      <c r="JK76" s="539">
        <v>281.84547515470865</v>
      </c>
      <c r="JL76" s="536"/>
      <c r="JM76" s="537">
        <v>757.97394118786144</v>
      </c>
      <c r="JN76" s="538">
        <v>888.93858496631537</v>
      </c>
      <c r="JO76" s="538">
        <v>980.58442831927823</v>
      </c>
      <c r="JP76" s="538">
        <v>676.33118053053192</v>
      </c>
      <c r="JQ76" s="538">
        <v>787.07192497697395</v>
      </c>
      <c r="JR76" s="539">
        <v>840.33138282069854</v>
      </c>
      <c r="JS76" s="539">
        <v>702.04482050338754</v>
      </c>
      <c r="JT76" s="539">
        <v>520.80142148152686</v>
      </c>
      <c r="JU76" s="536"/>
      <c r="JV76" s="537">
        <v>279.39915350355471</v>
      </c>
      <c r="JW76" s="538">
        <v>329.85771391831827</v>
      </c>
      <c r="JX76" s="538">
        <v>358.61373378533602</v>
      </c>
      <c r="JY76" s="538">
        <v>171.85464423316793</v>
      </c>
      <c r="JZ76" s="538">
        <v>192.58142845181277</v>
      </c>
      <c r="KA76" s="539">
        <v>138.87404365042201</v>
      </c>
      <c r="KB76" s="539">
        <v>141.02210368190319</v>
      </c>
      <c r="KC76" s="539">
        <v>113.35089761656762</v>
      </c>
      <c r="KD76" s="536"/>
    </row>
    <row r="77" spans="1:290" ht="15" customHeight="1" x14ac:dyDescent="0.2">
      <c r="A77" s="930"/>
      <c r="B77" s="490" t="s">
        <v>691</v>
      </c>
      <c r="C77" s="491"/>
      <c r="D77" s="492">
        <v>1</v>
      </c>
      <c r="E77" s="492"/>
      <c r="F77" s="492"/>
      <c r="G77" s="493"/>
      <c r="H77" s="493"/>
      <c r="I77" s="493">
        <v>1</v>
      </c>
      <c r="J77" s="493"/>
      <c r="K77" s="199"/>
      <c r="L77" s="491"/>
      <c r="M77" s="492"/>
      <c r="N77" s="492"/>
      <c r="O77" s="492"/>
      <c r="P77" s="493"/>
      <c r="Q77" s="493"/>
      <c r="R77" s="493"/>
      <c r="S77" s="493"/>
      <c r="T77" s="199"/>
      <c r="U77" s="491"/>
      <c r="V77" s="492">
        <v>1</v>
      </c>
      <c r="W77" s="492"/>
      <c r="X77" s="492"/>
      <c r="Y77" s="493"/>
      <c r="Z77" s="493"/>
      <c r="AA77" s="493"/>
      <c r="AB77" s="493"/>
      <c r="AC77" s="199"/>
      <c r="AD77" s="491">
        <v>22</v>
      </c>
      <c r="AE77" s="492">
        <v>28</v>
      </c>
      <c r="AF77" s="492">
        <v>28</v>
      </c>
      <c r="AG77" s="492">
        <v>18</v>
      </c>
      <c r="AH77" s="493">
        <v>17</v>
      </c>
      <c r="AI77" s="493">
        <v>17</v>
      </c>
      <c r="AJ77" s="493">
        <v>20</v>
      </c>
      <c r="AK77" s="493">
        <v>28</v>
      </c>
      <c r="AL77" s="199"/>
      <c r="AM77" s="491">
        <v>14</v>
      </c>
      <c r="AN77" s="492">
        <v>17</v>
      </c>
      <c r="AO77" s="492">
        <v>15</v>
      </c>
      <c r="AP77" s="492">
        <v>11</v>
      </c>
      <c r="AQ77" s="493">
        <v>12</v>
      </c>
      <c r="AR77" s="493">
        <v>14</v>
      </c>
      <c r="AS77" s="493">
        <v>13</v>
      </c>
      <c r="AT77" s="493">
        <v>13</v>
      </c>
      <c r="AU77" s="199"/>
      <c r="AV77" s="491"/>
      <c r="AW77" s="492"/>
      <c r="AX77" s="492"/>
      <c r="AY77" s="492"/>
      <c r="AZ77" s="493"/>
      <c r="BA77" s="493"/>
      <c r="BB77" s="493"/>
      <c r="BC77" s="493"/>
      <c r="BD77" s="199"/>
      <c r="BE77" s="491">
        <v>1</v>
      </c>
      <c r="BF77" s="492">
        <v>1</v>
      </c>
      <c r="BG77" s="492">
        <v>2</v>
      </c>
      <c r="BH77" s="492">
        <v>5</v>
      </c>
      <c r="BI77" s="493">
        <v>1</v>
      </c>
      <c r="BJ77" s="493"/>
      <c r="BK77" s="493">
        <v>12</v>
      </c>
      <c r="BL77" s="493"/>
      <c r="BM77" s="199"/>
      <c r="BN77" s="491">
        <v>1</v>
      </c>
      <c r="BO77" s="492"/>
      <c r="BP77" s="492"/>
      <c r="BQ77" s="492">
        <v>1</v>
      </c>
      <c r="BR77" s="493"/>
      <c r="BS77" s="493">
        <v>3</v>
      </c>
      <c r="BT77" s="493">
        <v>2</v>
      </c>
      <c r="BU77" s="493">
        <v>1</v>
      </c>
      <c r="BV77" s="199"/>
      <c r="BW77" s="491">
        <v>41</v>
      </c>
      <c r="BX77" s="492">
        <v>42</v>
      </c>
      <c r="BY77" s="492">
        <v>49</v>
      </c>
      <c r="BZ77" s="492">
        <v>36</v>
      </c>
      <c r="CA77" s="493">
        <v>25</v>
      </c>
      <c r="CB77" s="493">
        <v>11</v>
      </c>
      <c r="CC77" s="493">
        <v>14</v>
      </c>
      <c r="CD77" s="493">
        <v>20</v>
      </c>
      <c r="CE77" s="199"/>
      <c r="CF77" s="491">
        <v>5</v>
      </c>
      <c r="CG77" s="492">
        <v>2</v>
      </c>
      <c r="CH77" s="492">
        <v>1</v>
      </c>
      <c r="CI77" s="492">
        <v>2</v>
      </c>
      <c r="CJ77" s="493">
        <v>1</v>
      </c>
      <c r="CK77" s="493"/>
      <c r="CL77" s="493">
        <v>1</v>
      </c>
      <c r="CM77" s="493">
        <v>1</v>
      </c>
      <c r="CN77" s="199"/>
      <c r="CO77" s="491"/>
      <c r="CP77" s="492">
        <v>2</v>
      </c>
      <c r="CQ77" s="492"/>
      <c r="CR77" s="492">
        <v>1</v>
      </c>
      <c r="CS77" s="493">
        <v>2</v>
      </c>
      <c r="CT77" s="493">
        <v>2</v>
      </c>
      <c r="CU77" s="493">
        <v>1</v>
      </c>
      <c r="CV77" s="493"/>
      <c r="CW77" s="199"/>
      <c r="CX77" s="491">
        <v>98</v>
      </c>
      <c r="CY77" s="492">
        <v>83</v>
      </c>
      <c r="CZ77" s="492">
        <v>108</v>
      </c>
      <c r="DA77" s="492">
        <v>100</v>
      </c>
      <c r="DB77" s="493">
        <v>79</v>
      </c>
      <c r="DC77" s="493">
        <v>67</v>
      </c>
      <c r="DD77" s="493">
        <v>57</v>
      </c>
      <c r="DE77" s="493">
        <v>35</v>
      </c>
      <c r="DF77" s="199"/>
      <c r="DG77" s="491"/>
      <c r="DH77" s="492">
        <v>2</v>
      </c>
      <c r="DI77" s="492"/>
      <c r="DJ77" s="492"/>
      <c r="DK77" s="493"/>
      <c r="DL77" s="493">
        <v>2</v>
      </c>
      <c r="DM77" s="493"/>
      <c r="DN77" s="493"/>
      <c r="DO77" s="199"/>
      <c r="DP77" s="491">
        <v>5</v>
      </c>
      <c r="DQ77" s="492">
        <v>6</v>
      </c>
      <c r="DR77" s="492">
        <v>6</v>
      </c>
      <c r="DS77" s="492">
        <v>5</v>
      </c>
      <c r="DT77" s="493">
        <v>3</v>
      </c>
      <c r="DU77" s="493">
        <v>4</v>
      </c>
      <c r="DV77" s="493">
        <v>1</v>
      </c>
      <c r="DW77" s="493">
        <v>2</v>
      </c>
      <c r="DX77" s="199"/>
      <c r="DY77" s="491">
        <v>13</v>
      </c>
      <c r="DZ77" s="492">
        <v>11</v>
      </c>
      <c r="EA77" s="492">
        <v>10</v>
      </c>
      <c r="EB77" s="492">
        <v>13</v>
      </c>
      <c r="EC77" s="493">
        <v>9</v>
      </c>
      <c r="ED77" s="493">
        <v>10</v>
      </c>
      <c r="EE77" s="493">
        <v>8</v>
      </c>
      <c r="EF77" s="493">
        <v>2</v>
      </c>
      <c r="EG77" s="199"/>
      <c r="EH77" s="491">
        <v>2</v>
      </c>
      <c r="EI77" s="492">
        <v>2</v>
      </c>
      <c r="EJ77" s="492">
        <v>1</v>
      </c>
      <c r="EK77" s="492"/>
      <c r="EL77" s="493">
        <v>1</v>
      </c>
      <c r="EM77" s="493">
        <v>1</v>
      </c>
      <c r="EN77" s="493"/>
      <c r="EO77" s="493">
        <v>1</v>
      </c>
      <c r="EP77" s="199"/>
      <c r="EQ77" s="491"/>
      <c r="ER77" s="492"/>
      <c r="ES77" s="492"/>
      <c r="ET77" s="492">
        <v>1</v>
      </c>
      <c r="EU77" s="493"/>
      <c r="EV77" s="493">
        <v>1</v>
      </c>
      <c r="EW77" s="493">
        <v>1</v>
      </c>
      <c r="EX77" s="493">
        <v>1</v>
      </c>
      <c r="EY77" s="199"/>
      <c r="EZ77" s="491"/>
      <c r="FA77" s="492"/>
      <c r="FB77" s="492">
        <v>2</v>
      </c>
      <c r="FC77" s="492">
        <v>1</v>
      </c>
      <c r="FD77" s="493"/>
      <c r="FE77" s="493"/>
      <c r="FF77" s="493"/>
      <c r="FG77" s="493"/>
      <c r="FH77" s="199"/>
      <c r="FI77" s="491">
        <v>9</v>
      </c>
      <c r="FJ77" s="492">
        <v>6</v>
      </c>
      <c r="FK77" s="492">
        <v>12</v>
      </c>
      <c r="FL77" s="492">
        <v>5</v>
      </c>
      <c r="FM77" s="493">
        <v>2</v>
      </c>
      <c r="FN77" s="493">
        <v>8</v>
      </c>
      <c r="FO77" s="493">
        <v>6</v>
      </c>
      <c r="FP77" s="493">
        <v>6</v>
      </c>
      <c r="FQ77" s="199"/>
      <c r="FR77" s="491">
        <v>2</v>
      </c>
      <c r="FS77" s="492">
        <v>1</v>
      </c>
      <c r="FT77" s="492"/>
      <c r="FU77" s="492">
        <v>3</v>
      </c>
      <c r="FV77" s="493">
        <v>1</v>
      </c>
      <c r="FW77" s="493"/>
      <c r="FX77" s="493">
        <v>1</v>
      </c>
      <c r="FY77" s="493"/>
      <c r="FZ77" s="199"/>
      <c r="GA77" s="491">
        <v>1</v>
      </c>
      <c r="GB77" s="492">
        <v>2</v>
      </c>
      <c r="GC77" s="492">
        <v>3</v>
      </c>
      <c r="GD77" s="492">
        <v>2</v>
      </c>
      <c r="GE77" s="493"/>
      <c r="GF77" s="493">
        <v>2</v>
      </c>
      <c r="GG77" s="493">
        <v>2</v>
      </c>
      <c r="GH77" s="493">
        <v>4</v>
      </c>
      <c r="GI77" s="199"/>
      <c r="GJ77" s="491">
        <v>182</v>
      </c>
      <c r="GK77" s="492">
        <v>170</v>
      </c>
      <c r="GL77" s="492">
        <v>206</v>
      </c>
      <c r="GM77" s="492">
        <v>175</v>
      </c>
      <c r="GN77" s="493">
        <v>129</v>
      </c>
      <c r="GO77" s="493">
        <v>112</v>
      </c>
      <c r="GP77" s="493">
        <v>118</v>
      </c>
      <c r="GQ77" s="493">
        <v>97</v>
      </c>
      <c r="GR77" s="199"/>
      <c r="GS77" s="491">
        <v>78</v>
      </c>
      <c r="GT77" s="492">
        <v>74</v>
      </c>
      <c r="GU77" s="492">
        <v>87</v>
      </c>
      <c r="GV77" s="492">
        <v>41</v>
      </c>
      <c r="GW77" s="493">
        <v>18</v>
      </c>
      <c r="GX77" s="493">
        <v>22</v>
      </c>
      <c r="GY77" s="493">
        <v>27</v>
      </c>
      <c r="GZ77" s="493">
        <v>22</v>
      </c>
      <c r="HA77" s="199"/>
      <c r="HB77" s="491">
        <v>1</v>
      </c>
      <c r="HC77" s="492"/>
      <c r="HD77" s="492"/>
      <c r="HE77" s="492">
        <v>2</v>
      </c>
      <c r="HF77" s="493">
        <v>1</v>
      </c>
      <c r="HG77" s="493">
        <v>1</v>
      </c>
      <c r="HH77" s="493">
        <v>2</v>
      </c>
      <c r="HI77" s="493">
        <v>1</v>
      </c>
      <c r="HJ77" s="199"/>
      <c r="HK77" s="491"/>
      <c r="HL77" s="492"/>
      <c r="HM77" s="492">
        <v>1</v>
      </c>
      <c r="HN77" s="492"/>
      <c r="HO77" s="493"/>
      <c r="HP77" s="493"/>
      <c r="HQ77" s="493">
        <v>1</v>
      </c>
      <c r="HR77" s="493"/>
      <c r="HS77" s="199"/>
      <c r="HT77" s="491">
        <v>112</v>
      </c>
      <c r="HU77" s="492">
        <v>102</v>
      </c>
      <c r="HV77" s="492">
        <v>117</v>
      </c>
      <c r="HW77" s="492">
        <v>66</v>
      </c>
      <c r="HX77" s="493">
        <v>50</v>
      </c>
      <c r="HY77" s="493">
        <v>86</v>
      </c>
      <c r="HZ77" s="493">
        <v>72</v>
      </c>
      <c r="IA77" s="493">
        <v>60</v>
      </c>
      <c r="IB77" s="199"/>
      <c r="IC77" s="491">
        <v>370</v>
      </c>
      <c r="ID77" s="492">
        <v>307</v>
      </c>
      <c r="IE77" s="492">
        <v>312</v>
      </c>
      <c r="IF77" s="492">
        <v>286</v>
      </c>
      <c r="IG77" s="493">
        <v>270</v>
      </c>
      <c r="IH77" s="493">
        <v>272</v>
      </c>
      <c r="II77" s="493">
        <v>251</v>
      </c>
      <c r="IJ77" s="493">
        <v>201</v>
      </c>
      <c r="IK77" s="199"/>
      <c r="IL77" s="491">
        <v>20</v>
      </c>
      <c r="IM77" s="492">
        <v>12</v>
      </c>
      <c r="IN77" s="492">
        <v>25</v>
      </c>
      <c r="IO77" s="492">
        <v>28</v>
      </c>
      <c r="IP77" s="493">
        <v>8</v>
      </c>
      <c r="IQ77" s="493">
        <v>14</v>
      </c>
      <c r="IR77" s="493">
        <v>9</v>
      </c>
      <c r="IS77" s="493">
        <v>5</v>
      </c>
      <c r="IT77" s="199"/>
      <c r="IU77" s="533">
        <v>1581.5345159222056</v>
      </c>
      <c r="IV77" s="534">
        <v>1323.7894010607563</v>
      </c>
      <c r="IW77" s="534">
        <v>1352.405721716515</v>
      </c>
      <c r="IX77" s="534">
        <v>1221.7523174847281</v>
      </c>
      <c r="IY77" s="535">
        <v>1160.2423617377854</v>
      </c>
      <c r="IZ77" s="535">
        <v>1158.2227503467889</v>
      </c>
      <c r="JA77" s="535">
        <v>1027.0049099836333</v>
      </c>
      <c r="JB77" s="535">
        <v>821.14551842470792</v>
      </c>
      <c r="JC77" s="536"/>
      <c r="JD77" s="537">
        <v>478.73477238726224</v>
      </c>
      <c r="JE77" s="538">
        <v>439.8257944892415</v>
      </c>
      <c r="JF77" s="538">
        <v>507.15214564369313</v>
      </c>
      <c r="JG77" s="538">
        <v>281.94284249647569</v>
      </c>
      <c r="JH77" s="538">
        <v>214.85969661810839</v>
      </c>
      <c r="JI77" s="539">
        <v>364.03211268846098</v>
      </c>
      <c r="JJ77" s="539">
        <v>294.59901800327333</v>
      </c>
      <c r="JK77" s="539">
        <v>245.11806520140533</v>
      </c>
      <c r="JL77" s="536"/>
      <c r="JM77" s="537">
        <v>777.9440051293011</v>
      </c>
      <c r="JN77" s="538">
        <v>733.0429908154025</v>
      </c>
      <c r="JO77" s="538">
        <v>892.934547030776</v>
      </c>
      <c r="JP77" s="538">
        <v>747.57571874065536</v>
      </c>
      <c r="JQ77" s="538">
        <v>554.33801727471962</v>
      </c>
      <c r="JR77" s="539">
        <v>470.80829338661295</v>
      </c>
      <c r="JS77" s="539">
        <v>482.81505728314238</v>
      </c>
      <c r="JT77" s="539">
        <v>396.27420540893866</v>
      </c>
      <c r="JU77" s="536"/>
      <c r="JV77" s="537">
        <v>333.40457362684333</v>
      </c>
      <c r="JW77" s="538">
        <v>319.0893018843517</v>
      </c>
      <c r="JX77" s="538">
        <v>377.11313394018202</v>
      </c>
      <c r="JY77" s="538">
        <v>175.14631124781067</v>
      </c>
      <c r="JZ77" s="538">
        <v>77.349490782519013</v>
      </c>
      <c r="KA77" s="539">
        <v>92.301960982074945</v>
      </c>
      <c r="KB77" s="539">
        <v>110.47463175122749</v>
      </c>
      <c r="KC77" s="539">
        <v>89.876623907181965</v>
      </c>
      <c r="KD77" s="536"/>
    </row>
    <row r="78" spans="1:290" ht="15" customHeight="1" x14ac:dyDescent="0.2">
      <c r="A78" s="930"/>
      <c r="B78" s="490" t="s">
        <v>692</v>
      </c>
      <c r="C78" s="491">
        <v>1</v>
      </c>
      <c r="D78" s="492">
        <v>1</v>
      </c>
      <c r="E78" s="492">
        <v>3</v>
      </c>
      <c r="F78" s="492">
        <v>4</v>
      </c>
      <c r="G78" s="493">
        <v>2</v>
      </c>
      <c r="H78" s="493">
        <v>2</v>
      </c>
      <c r="I78" s="493">
        <v>1</v>
      </c>
      <c r="J78" s="493"/>
      <c r="K78" s="199"/>
      <c r="L78" s="491"/>
      <c r="M78" s="492"/>
      <c r="N78" s="492"/>
      <c r="O78" s="492">
        <v>2</v>
      </c>
      <c r="P78" s="493"/>
      <c r="Q78" s="493">
        <v>1</v>
      </c>
      <c r="R78" s="493">
        <v>1</v>
      </c>
      <c r="S78" s="493"/>
      <c r="T78" s="199"/>
      <c r="U78" s="491">
        <v>1</v>
      </c>
      <c r="V78" s="492">
        <v>1</v>
      </c>
      <c r="W78" s="492">
        <v>3</v>
      </c>
      <c r="X78" s="492">
        <v>1</v>
      </c>
      <c r="Y78" s="493">
        <v>1</v>
      </c>
      <c r="Z78" s="493">
        <v>1</v>
      </c>
      <c r="AA78" s="493"/>
      <c r="AB78" s="493"/>
      <c r="AC78" s="199"/>
      <c r="AD78" s="491">
        <v>144</v>
      </c>
      <c r="AE78" s="492">
        <v>111</v>
      </c>
      <c r="AF78" s="492">
        <v>101</v>
      </c>
      <c r="AG78" s="492">
        <v>134</v>
      </c>
      <c r="AH78" s="493">
        <v>173</v>
      </c>
      <c r="AI78" s="493">
        <v>132</v>
      </c>
      <c r="AJ78" s="493">
        <v>170</v>
      </c>
      <c r="AK78" s="493">
        <v>130</v>
      </c>
      <c r="AL78" s="199"/>
      <c r="AM78" s="491">
        <v>74</v>
      </c>
      <c r="AN78" s="492">
        <v>51</v>
      </c>
      <c r="AO78" s="492">
        <v>56</v>
      </c>
      <c r="AP78" s="492">
        <v>42</v>
      </c>
      <c r="AQ78" s="493">
        <v>41</v>
      </c>
      <c r="AR78" s="493">
        <v>30</v>
      </c>
      <c r="AS78" s="493">
        <v>57</v>
      </c>
      <c r="AT78" s="493">
        <v>46</v>
      </c>
      <c r="AU78" s="199"/>
      <c r="AV78" s="491"/>
      <c r="AW78" s="492"/>
      <c r="AX78" s="492"/>
      <c r="AY78" s="492"/>
      <c r="AZ78" s="493"/>
      <c r="BA78" s="493"/>
      <c r="BB78" s="493"/>
      <c r="BC78" s="493"/>
      <c r="BD78" s="199"/>
      <c r="BE78" s="491">
        <v>24</v>
      </c>
      <c r="BF78" s="492">
        <v>12</v>
      </c>
      <c r="BG78" s="492">
        <v>19</v>
      </c>
      <c r="BH78" s="492">
        <v>9</v>
      </c>
      <c r="BI78" s="493">
        <v>12</v>
      </c>
      <c r="BJ78" s="493">
        <v>7</v>
      </c>
      <c r="BK78" s="493">
        <v>4</v>
      </c>
      <c r="BL78" s="493">
        <v>11</v>
      </c>
      <c r="BM78" s="199"/>
      <c r="BN78" s="491">
        <v>35</v>
      </c>
      <c r="BO78" s="492">
        <v>25</v>
      </c>
      <c r="BP78" s="492">
        <v>9</v>
      </c>
      <c r="BQ78" s="492">
        <v>56</v>
      </c>
      <c r="BR78" s="493">
        <v>63</v>
      </c>
      <c r="BS78" s="493">
        <v>85</v>
      </c>
      <c r="BT78" s="493">
        <v>45</v>
      </c>
      <c r="BU78" s="493">
        <v>18</v>
      </c>
      <c r="BV78" s="199"/>
      <c r="BW78" s="491">
        <v>105</v>
      </c>
      <c r="BX78" s="492">
        <v>93</v>
      </c>
      <c r="BY78" s="492">
        <v>87</v>
      </c>
      <c r="BZ78" s="492">
        <v>113</v>
      </c>
      <c r="CA78" s="493">
        <v>84</v>
      </c>
      <c r="CB78" s="493">
        <v>76</v>
      </c>
      <c r="CC78" s="493">
        <v>66</v>
      </c>
      <c r="CD78" s="493">
        <v>59</v>
      </c>
      <c r="CE78" s="199"/>
      <c r="CF78" s="491">
        <v>14</v>
      </c>
      <c r="CG78" s="492">
        <v>6</v>
      </c>
      <c r="CH78" s="492">
        <v>8</v>
      </c>
      <c r="CI78" s="492">
        <v>7</v>
      </c>
      <c r="CJ78" s="493">
        <v>2</v>
      </c>
      <c r="CK78" s="493">
        <v>5</v>
      </c>
      <c r="CL78" s="493">
        <v>1</v>
      </c>
      <c r="CM78" s="493"/>
      <c r="CN78" s="199"/>
      <c r="CO78" s="491">
        <v>20</v>
      </c>
      <c r="CP78" s="492">
        <v>16</v>
      </c>
      <c r="CQ78" s="492">
        <v>14</v>
      </c>
      <c r="CR78" s="492">
        <v>3</v>
      </c>
      <c r="CS78" s="493">
        <v>3</v>
      </c>
      <c r="CT78" s="493">
        <v>3</v>
      </c>
      <c r="CU78" s="493">
        <v>5</v>
      </c>
      <c r="CV78" s="493">
        <v>4</v>
      </c>
      <c r="CW78" s="199"/>
      <c r="CX78" s="491">
        <v>1074</v>
      </c>
      <c r="CY78" s="492">
        <v>1053</v>
      </c>
      <c r="CZ78" s="492">
        <v>887</v>
      </c>
      <c r="DA78" s="492">
        <v>786</v>
      </c>
      <c r="DB78" s="493">
        <v>885</v>
      </c>
      <c r="DC78" s="493">
        <v>678</v>
      </c>
      <c r="DD78" s="493">
        <v>527</v>
      </c>
      <c r="DE78" s="493">
        <v>429</v>
      </c>
      <c r="DF78" s="199"/>
      <c r="DG78" s="491">
        <v>13</v>
      </c>
      <c r="DH78" s="492">
        <v>6</v>
      </c>
      <c r="DI78" s="492">
        <v>2</v>
      </c>
      <c r="DJ78" s="492">
        <v>4</v>
      </c>
      <c r="DK78" s="493">
        <v>8</v>
      </c>
      <c r="DL78" s="493">
        <v>3</v>
      </c>
      <c r="DM78" s="493">
        <v>5</v>
      </c>
      <c r="DN78" s="493">
        <v>3</v>
      </c>
      <c r="DO78" s="199"/>
      <c r="DP78" s="491">
        <v>53</v>
      </c>
      <c r="DQ78" s="492">
        <v>65</v>
      </c>
      <c r="DR78" s="492">
        <v>47</v>
      </c>
      <c r="DS78" s="492">
        <v>29</v>
      </c>
      <c r="DT78" s="493">
        <v>27</v>
      </c>
      <c r="DU78" s="493">
        <v>34</v>
      </c>
      <c r="DV78" s="493">
        <v>25</v>
      </c>
      <c r="DW78" s="493">
        <v>4</v>
      </c>
      <c r="DX78" s="199"/>
      <c r="DY78" s="491">
        <v>89</v>
      </c>
      <c r="DZ78" s="492">
        <v>100</v>
      </c>
      <c r="EA78" s="492">
        <v>94</v>
      </c>
      <c r="EB78" s="492">
        <v>70</v>
      </c>
      <c r="EC78" s="493">
        <v>71</v>
      </c>
      <c r="ED78" s="493">
        <v>60</v>
      </c>
      <c r="EE78" s="493">
        <v>54</v>
      </c>
      <c r="EF78" s="493">
        <v>36</v>
      </c>
      <c r="EG78" s="199"/>
      <c r="EH78" s="491">
        <v>11</v>
      </c>
      <c r="EI78" s="492">
        <v>12</v>
      </c>
      <c r="EJ78" s="492">
        <v>15</v>
      </c>
      <c r="EK78" s="492">
        <v>9</v>
      </c>
      <c r="EL78" s="493">
        <v>5</v>
      </c>
      <c r="EM78" s="493">
        <v>5</v>
      </c>
      <c r="EN78" s="493">
        <v>5</v>
      </c>
      <c r="EO78" s="493">
        <v>7</v>
      </c>
      <c r="EP78" s="199"/>
      <c r="EQ78" s="491">
        <v>4</v>
      </c>
      <c r="ER78" s="492">
        <v>1</v>
      </c>
      <c r="ES78" s="492">
        <v>4</v>
      </c>
      <c r="ET78" s="492">
        <v>1</v>
      </c>
      <c r="EU78" s="493">
        <v>8</v>
      </c>
      <c r="EV78" s="493">
        <v>9</v>
      </c>
      <c r="EW78" s="493">
        <v>9</v>
      </c>
      <c r="EX78" s="493">
        <v>1</v>
      </c>
      <c r="EY78" s="199"/>
      <c r="EZ78" s="491">
        <v>4</v>
      </c>
      <c r="FA78" s="492">
        <v>4</v>
      </c>
      <c r="FB78" s="492">
        <v>11</v>
      </c>
      <c r="FC78" s="492">
        <v>1</v>
      </c>
      <c r="FD78" s="493"/>
      <c r="FE78" s="493">
        <v>2</v>
      </c>
      <c r="FF78" s="493">
        <v>1</v>
      </c>
      <c r="FG78" s="493"/>
      <c r="FH78" s="199"/>
      <c r="FI78" s="491">
        <v>116</v>
      </c>
      <c r="FJ78" s="492">
        <v>131</v>
      </c>
      <c r="FK78" s="492">
        <v>60</v>
      </c>
      <c r="FL78" s="492">
        <v>59</v>
      </c>
      <c r="FM78" s="493">
        <v>74</v>
      </c>
      <c r="FN78" s="493">
        <v>68</v>
      </c>
      <c r="FO78" s="493">
        <v>43</v>
      </c>
      <c r="FP78" s="493">
        <v>40</v>
      </c>
      <c r="FQ78" s="199"/>
      <c r="FR78" s="491">
        <v>10</v>
      </c>
      <c r="FS78" s="492">
        <v>16</v>
      </c>
      <c r="FT78" s="492">
        <v>8</v>
      </c>
      <c r="FU78" s="492">
        <v>7</v>
      </c>
      <c r="FV78" s="493">
        <v>5</v>
      </c>
      <c r="FW78" s="493">
        <v>4</v>
      </c>
      <c r="FX78" s="493">
        <v>3</v>
      </c>
      <c r="FY78" s="493">
        <v>2</v>
      </c>
      <c r="FZ78" s="199"/>
      <c r="GA78" s="491">
        <v>22</v>
      </c>
      <c r="GB78" s="492">
        <v>10</v>
      </c>
      <c r="GC78" s="492">
        <v>10</v>
      </c>
      <c r="GD78" s="492">
        <v>7</v>
      </c>
      <c r="GE78" s="493">
        <v>14</v>
      </c>
      <c r="GF78" s="493">
        <v>13</v>
      </c>
      <c r="GG78" s="493">
        <v>11</v>
      </c>
      <c r="GH78" s="493">
        <v>22</v>
      </c>
      <c r="GI78" s="199"/>
      <c r="GJ78" s="491">
        <v>1584</v>
      </c>
      <c r="GK78" s="492">
        <v>1491</v>
      </c>
      <c r="GL78" s="492">
        <v>1236</v>
      </c>
      <c r="GM78" s="492">
        <v>1196</v>
      </c>
      <c r="GN78" s="493">
        <v>1330</v>
      </c>
      <c r="GO78" s="493">
        <v>1089</v>
      </c>
      <c r="GP78" s="493">
        <v>891</v>
      </c>
      <c r="GQ78" s="493">
        <v>723</v>
      </c>
      <c r="GR78" s="199"/>
      <c r="GS78" s="491">
        <v>502</v>
      </c>
      <c r="GT78" s="492">
        <v>526</v>
      </c>
      <c r="GU78" s="492">
        <v>367</v>
      </c>
      <c r="GV78" s="492">
        <v>350</v>
      </c>
      <c r="GW78" s="493">
        <v>242</v>
      </c>
      <c r="GX78" s="493">
        <v>217</v>
      </c>
      <c r="GY78" s="493">
        <v>196</v>
      </c>
      <c r="GZ78" s="493">
        <v>149</v>
      </c>
      <c r="HA78" s="199"/>
      <c r="HB78" s="491">
        <v>1</v>
      </c>
      <c r="HC78" s="492"/>
      <c r="HD78" s="492">
        <v>4</v>
      </c>
      <c r="HE78" s="492">
        <v>5</v>
      </c>
      <c r="HF78" s="493">
        <v>5</v>
      </c>
      <c r="HG78" s="493">
        <v>2</v>
      </c>
      <c r="HH78" s="493">
        <v>7</v>
      </c>
      <c r="HI78" s="493"/>
      <c r="HJ78" s="199"/>
      <c r="HK78" s="491">
        <v>1</v>
      </c>
      <c r="HL78" s="492"/>
      <c r="HM78" s="492">
        <v>1</v>
      </c>
      <c r="HN78" s="492">
        <v>4</v>
      </c>
      <c r="HO78" s="493">
        <v>3</v>
      </c>
      <c r="HP78" s="493">
        <v>3</v>
      </c>
      <c r="HQ78" s="493">
        <v>1</v>
      </c>
      <c r="HR78" s="493">
        <v>1</v>
      </c>
      <c r="HS78" s="199"/>
      <c r="HT78" s="491">
        <v>720</v>
      </c>
      <c r="HU78" s="492">
        <v>681</v>
      </c>
      <c r="HV78" s="492">
        <v>531</v>
      </c>
      <c r="HW78" s="492">
        <v>597</v>
      </c>
      <c r="HX78" s="493">
        <v>508</v>
      </c>
      <c r="HY78" s="493">
        <v>384</v>
      </c>
      <c r="HZ78" s="493">
        <v>457</v>
      </c>
      <c r="IA78" s="493">
        <v>379</v>
      </c>
      <c r="IB78" s="199"/>
      <c r="IC78" s="491">
        <v>2902</v>
      </c>
      <c r="ID78" s="492">
        <v>3079</v>
      </c>
      <c r="IE78" s="492">
        <v>2590</v>
      </c>
      <c r="IF78" s="492">
        <v>2087</v>
      </c>
      <c r="IG78" s="493">
        <v>2150</v>
      </c>
      <c r="IH78" s="493">
        <v>1740</v>
      </c>
      <c r="II78" s="493">
        <v>1599</v>
      </c>
      <c r="IJ78" s="493">
        <v>1460</v>
      </c>
      <c r="IK78" s="199"/>
      <c r="IL78" s="491">
        <v>237</v>
      </c>
      <c r="IM78" s="492">
        <v>243</v>
      </c>
      <c r="IN78" s="492">
        <v>266</v>
      </c>
      <c r="IO78" s="492">
        <v>140</v>
      </c>
      <c r="IP78" s="493">
        <v>66</v>
      </c>
      <c r="IQ78" s="493">
        <v>113</v>
      </c>
      <c r="IR78" s="493">
        <v>94</v>
      </c>
      <c r="IS78" s="493">
        <v>69</v>
      </c>
      <c r="IT78" s="199"/>
      <c r="IU78" s="533">
        <v>3890.706279830536</v>
      </c>
      <c r="IV78" s="534">
        <v>4113.0109537803901</v>
      </c>
      <c r="IW78" s="534">
        <v>3447.7709295669652</v>
      </c>
      <c r="IX78" s="534">
        <v>2785.9726875892729</v>
      </c>
      <c r="IY78" s="535">
        <v>2857.2567677116695</v>
      </c>
      <c r="IZ78" s="535">
        <v>2309.9132100596798</v>
      </c>
      <c r="JA78" s="535">
        <v>2162.7689935482126</v>
      </c>
      <c r="JB78" s="535">
        <v>1964.2136418673483</v>
      </c>
      <c r="JC78" s="536"/>
      <c r="JD78" s="537">
        <v>965.30272966160771</v>
      </c>
      <c r="JE78" s="538">
        <v>909.6981031258349</v>
      </c>
      <c r="JF78" s="538">
        <v>706.85959984558247</v>
      </c>
      <c r="JG78" s="538">
        <v>796.94570890790408</v>
      </c>
      <c r="JH78" s="538">
        <v>675.10997116164094</v>
      </c>
      <c r="JI78" s="539">
        <v>514.05636192680549</v>
      </c>
      <c r="JJ78" s="539">
        <v>618.12722329676865</v>
      </c>
      <c r="JK78" s="539">
        <v>509.88833579981167</v>
      </c>
      <c r="JL78" s="536"/>
      <c r="JM78" s="537">
        <v>2123.6660052555371</v>
      </c>
      <c r="JN78" s="538">
        <v>1991.7178733636122</v>
      </c>
      <c r="JO78" s="538">
        <v>1645.3455092450845</v>
      </c>
      <c r="JP78" s="538">
        <v>1596.5612526865211</v>
      </c>
      <c r="JQ78" s="538">
        <v>1767.5123260728003</v>
      </c>
      <c r="JR78" s="539">
        <v>1453.4101815695585</v>
      </c>
      <c r="JS78" s="539">
        <v>1205.1451990315556</v>
      </c>
      <c r="JT78" s="539">
        <v>972.68935826718689</v>
      </c>
      <c r="JU78" s="536"/>
      <c r="JV78" s="537">
        <v>673.03051429184325</v>
      </c>
      <c r="JW78" s="538">
        <v>702.64493721613678</v>
      </c>
      <c r="JX78" s="538">
        <v>488.54514716257773</v>
      </c>
      <c r="JY78" s="538">
        <v>467.22110237481814</v>
      </c>
      <c r="JZ78" s="538">
        <v>321.60750594708094</v>
      </c>
      <c r="KA78" s="539">
        <v>290.10907700005271</v>
      </c>
      <c r="KB78" s="539">
        <v>265.10489226732312</v>
      </c>
      <c r="KC78" s="539">
        <v>200.45741961522938</v>
      </c>
      <c r="KD78" s="536"/>
    </row>
    <row r="79" spans="1:290" ht="15" customHeight="1" thickBot="1" x14ac:dyDescent="0.25">
      <c r="A79" s="930"/>
      <c r="B79" s="494" t="s">
        <v>693</v>
      </c>
      <c r="C79" s="495">
        <v>1</v>
      </c>
      <c r="D79" s="496">
        <v>2</v>
      </c>
      <c r="E79" s="496">
        <v>4</v>
      </c>
      <c r="F79" s="496">
        <v>3</v>
      </c>
      <c r="G79" s="497"/>
      <c r="H79" s="497"/>
      <c r="I79" s="497">
        <v>3</v>
      </c>
      <c r="J79" s="497">
        <v>2</v>
      </c>
      <c r="K79" s="199"/>
      <c r="L79" s="495"/>
      <c r="M79" s="496"/>
      <c r="N79" s="496">
        <v>3</v>
      </c>
      <c r="O79" s="496">
        <v>1</v>
      </c>
      <c r="P79" s="497"/>
      <c r="Q79" s="497"/>
      <c r="R79" s="497"/>
      <c r="S79" s="497">
        <v>2</v>
      </c>
      <c r="T79" s="199"/>
      <c r="U79" s="495"/>
      <c r="V79" s="496">
        <v>2</v>
      </c>
      <c r="W79" s="496">
        <v>1</v>
      </c>
      <c r="X79" s="496"/>
      <c r="Y79" s="497"/>
      <c r="Z79" s="497"/>
      <c r="AA79" s="497">
        <v>2</v>
      </c>
      <c r="AB79" s="497"/>
      <c r="AC79" s="199"/>
      <c r="AD79" s="495">
        <v>129</v>
      </c>
      <c r="AE79" s="496">
        <v>100</v>
      </c>
      <c r="AF79" s="496">
        <v>139</v>
      </c>
      <c r="AG79" s="496">
        <v>135</v>
      </c>
      <c r="AH79" s="497">
        <v>166</v>
      </c>
      <c r="AI79" s="497">
        <v>120</v>
      </c>
      <c r="AJ79" s="497">
        <v>103</v>
      </c>
      <c r="AK79" s="497">
        <v>96</v>
      </c>
      <c r="AL79" s="199"/>
      <c r="AM79" s="495">
        <v>95</v>
      </c>
      <c r="AN79" s="496">
        <v>73</v>
      </c>
      <c r="AO79" s="496">
        <v>99</v>
      </c>
      <c r="AP79" s="496">
        <v>109</v>
      </c>
      <c r="AQ79" s="497">
        <v>135</v>
      </c>
      <c r="AR79" s="497">
        <v>89</v>
      </c>
      <c r="AS79" s="497">
        <v>70</v>
      </c>
      <c r="AT79" s="497">
        <v>71</v>
      </c>
      <c r="AU79" s="199"/>
      <c r="AV79" s="495"/>
      <c r="AW79" s="496">
        <v>1</v>
      </c>
      <c r="AX79" s="496"/>
      <c r="AY79" s="496"/>
      <c r="AZ79" s="497"/>
      <c r="BA79" s="497"/>
      <c r="BB79" s="497"/>
      <c r="BC79" s="497"/>
      <c r="BD79" s="199"/>
      <c r="BE79" s="495">
        <v>4</v>
      </c>
      <c r="BF79" s="496">
        <v>1</v>
      </c>
      <c r="BG79" s="496">
        <v>2</v>
      </c>
      <c r="BH79" s="496">
        <v>3</v>
      </c>
      <c r="BI79" s="497">
        <v>13</v>
      </c>
      <c r="BJ79" s="497">
        <v>13</v>
      </c>
      <c r="BK79" s="497">
        <v>3</v>
      </c>
      <c r="BL79" s="497">
        <v>3</v>
      </c>
      <c r="BM79" s="199"/>
      <c r="BN79" s="495">
        <v>6</v>
      </c>
      <c r="BO79" s="496">
        <v>1</v>
      </c>
      <c r="BP79" s="496">
        <v>2</v>
      </c>
      <c r="BQ79" s="496">
        <v>1</v>
      </c>
      <c r="BR79" s="497">
        <v>1</v>
      </c>
      <c r="BS79" s="497">
        <v>3</v>
      </c>
      <c r="BT79" s="497">
        <v>2</v>
      </c>
      <c r="BU79" s="497"/>
      <c r="BV79" s="199"/>
      <c r="BW79" s="495">
        <v>121</v>
      </c>
      <c r="BX79" s="496">
        <v>113</v>
      </c>
      <c r="BY79" s="496">
        <v>155</v>
      </c>
      <c r="BZ79" s="496">
        <v>158</v>
      </c>
      <c r="CA79" s="497">
        <v>131</v>
      </c>
      <c r="CB79" s="497">
        <v>112</v>
      </c>
      <c r="CC79" s="497">
        <v>102</v>
      </c>
      <c r="CD79" s="497">
        <v>94</v>
      </c>
      <c r="CE79" s="199"/>
      <c r="CF79" s="495">
        <v>1</v>
      </c>
      <c r="CG79" s="496">
        <v>4</v>
      </c>
      <c r="CH79" s="496">
        <v>7</v>
      </c>
      <c r="CI79" s="496">
        <v>2</v>
      </c>
      <c r="CJ79" s="497">
        <v>4</v>
      </c>
      <c r="CK79" s="497">
        <v>3</v>
      </c>
      <c r="CL79" s="497">
        <v>5</v>
      </c>
      <c r="CM79" s="497"/>
      <c r="CN79" s="199"/>
      <c r="CO79" s="495">
        <v>8</v>
      </c>
      <c r="CP79" s="496">
        <v>10</v>
      </c>
      <c r="CQ79" s="496">
        <v>15</v>
      </c>
      <c r="CR79" s="496">
        <v>8</v>
      </c>
      <c r="CS79" s="497">
        <v>5</v>
      </c>
      <c r="CT79" s="497">
        <v>10</v>
      </c>
      <c r="CU79" s="497">
        <v>5</v>
      </c>
      <c r="CV79" s="497">
        <v>10</v>
      </c>
      <c r="CW79" s="199"/>
      <c r="CX79" s="495">
        <v>1045</v>
      </c>
      <c r="CY79" s="496">
        <v>894</v>
      </c>
      <c r="CZ79" s="496">
        <v>975</v>
      </c>
      <c r="DA79" s="496">
        <v>753</v>
      </c>
      <c r="DB79" s="497">
        <v>741</v>
      </c>
      <c r="DC79" s="497">
        <v>534</v>
      </c>
      <c r="DD79" s="497">
        <v>467</v>
      </c>
      <c r="DE79" s="497">
        <v>448</v>
      </c>
      <c r="DF79" s="199"/>
      <c r="DG79" s="495">
        <v>6</v>
      </c>
      <c r="DH79" s="496">
        <v>6</v>
      </c>
      <c r="DI79" s="496">
        <v>9</v>
      </c>
      <c r="DJ79" s="496">
        <v>5</v>
      </c>
      <c r="DK79" s="497">
        <v>6</v>
      </c>
      <c r="DL79" s="497">
        <v>1</v>
      </c>
      <c r="DM79" s="497">
        <v>3</v>
      </c>
      <c r="DN79" s="497">
        <v>7</v>
      </c>
      <c r="DO79" s="199"/>
      <c r="DP79" s="495">
        <v>31</v>
      </c>
      <c r="DQ79" s="496">
        <v>30</v>
      </c>
      <c r="DR79" s="496">
        <v>49</v>
      </c>
      <c r="DS79" s="496">
        <v>26</v>
      </c>
      <c r="DT79" s="497">
        <v>14</v>
      </c>
      <c r="DU79" s="497">
        <v>10</v>
      </c>
      <c r="DV79" s="497">
        <v>35</v>
      </c>
      <c r="DW79" s="497">
        <v>22</v>
      </c>
      <c r="DX79" s="199"/>
      <c r="DY79" s="495">
        <v>103</v>
      </c>
      <c r="DZ79" s="496">
        <v>93</v>
      </c>
      <c r="EA79" s="496">
        <v>73</v>
      </c>
      <c r="EB79" s="496">
        <v>105</v>
      </c>
      <c r="EC79" s="497">
        <v>93</v>
      </c>
      <c r="ED79" s="497">
        <v>73</v>
      </c>
      <c r="EE79" s="497">
        <v>24</v>
      </c>
      <c r="EF79" s="497">
        <v>28</v>
      </c>
      <c r="EG79" s="199"/>
      <c r="EH79" s="495">
        <v>17</v>
      </c>
      <c r="EI79" s="496">
        <v>13</v>
      </c>
      <c r="EJ79" s="496">
        <v>8</v>
      </c>
      <c r="EK79" s="496">
        <v>18</v>
      </c>
      <c r="EL79" s="497">
        <v>9</v>
      </c>
      <c r="EM79" s="497">
        <v>5</v>
      </c>
      <c r="EN79" s="497">
        <v>7</v>
      </c>
      <c r="EO79" s="497">
        <v>9</v>
      </c>
      <c r="EP79" s="199"/>
      <c r="EQ79" s="495">
        <v>5</v>
      </c>
      <c r="ER79" s="496">
        <v>2</v>
      </c>
      <c r="ES79" s="496">
        <v>2</v>
      </c>
      <c r="ET79" s="496">
        <v>1</v>
      </c>
      <c r="EU79" s="497">
        <v>1</v>
      </c>
      <c r="EV79" s="497">
        <v>1</v>
      </c>
      <c r="EW79" s="497">
        <v>9</v>
      </c>
      <c r="EX79" s="497">
        <v>6</v>
      </c>
      <c r="EY79" s="199"/>
      <c r="EZ79" s="495">
        <v>1</v>
      </c>
      <c r="FA79" s="496">
        <v>2</v>
      </c>
      <c r="FB79" s="496">
        <v>15</v>
      </c>
      <c r="FC79" s="496">
        <v>4</v>
      </c>
      <c r="FD79" s="497">
        <v>2</v>
      </c>
      <c r="FE79" s="497">
        <v>2</v>
      </c>
      <c r="FF79" s="497">
        <v>1</v>
      </c>
      <c r="FG79" s="497"/>
      <c r="FH79" s="199"/>
      <c r="FI79" s="495">
        <v>131</v>
      </c>
      <c r="FJ79" s="496">
        <v>104</v>
      </c>
      <c r="FK79" s="496">
        <v>141</v>
      </c>
      <c r="FL79" s="496">
        <v>73</v>
      </c>
      <c r="FM79" s="497">
        <v>85</v>
      </c>
      <c r="FN79" s="497">
        <v>87</v>
      </c>
      <c r="FO79" s="497">
        <v>85</v>
      </c>
      <c r="FP79" s="497">
        <v>77</v>
      </c>
      <c r="FQ79" s="199"/>
      <c r="FR79" s="495">
        <v>10</v>
      </c>
      <c r="FS79" s="496">
        <v>14</v>
      </c>
      <c r="FT79" s="496">
        <v>6</v>
      </c>
      <c r="FU79" s="496">
        <v>4</v>
      </c>
      <c r="FV79" s="497">
        <v>4</v>
      </c>
      <c r="FW79" s="497">
        <v>8</v>
      </c>
      <c r="FX79" s="497">
        <v>2</v>
      </c>
      <c r="FY79" s="497">
        <v>4</v>
      </c>
      <c r="FZ79" s="199"/>
      <c r="GA79" s="495">
        <v>7</v>
      </c>
      <c r="GB79" s="496">
        <v>8</v>
      </c>
      <c r="GC79" s="496">
        <v>6</v>
      </c>
      <c r="GD79" s="496">
        <v>11</v>
      </c>
      <c r="GE79" s="497">
        <v>9</v>
      </c>
      <c r="GF79" s="497">
        <v>8</v>
      </c>
      <c r="GG79" s="497">
        <v>6</v>
      </c>
      <c r="GH79" s="497">
        <v>4</v>
      </c>
      <c r="GI79" s="199"/>
      <c r="GJ79" s="495">
        <v>1486</v>
      </c>
      <c r="GK79" s="496">
        <v>1268</v>
      </c>
      <c r="GL79" s="496">
        <v>1477</v>
      </c>
      <c r="GM79" s="496">
        <v>1174</v>
      </c>
      <c r="GN79" s="497">
        <v>1171</v>
      </c>
      <c r="GO79" s="497">
        <v>906</v>
      </c>
      <c r="GP79" s="497">
        <v>800</v>
      </c>
      <c r="GQ79" s="497">
        <v>753</v>
      </c>
      <c r="GR79" s="199"/>
      <c r="GS79" s="495">
        <v>456</v>
      </c>
      <c r="GT79" s="496">
        <v>397</v>
      </c>
      <c r="GU79" s="496">
        <v>491</v>
      </c>
      <c r="GV79" s="496">
        <v>393</v>
      </c>
      <c r="GW79" s="497">
        <v>270</v>
      </c>
      <c r="GX79" s="497">
        <v>218</v>
      </c>
      <c r="GY79" s="497">
        <v>222</v>
      </c>
      <c r="GZ79" s="497">
        <v>178</v>
      </c>
      <c r="HA79" s="199"/>
      <c r="HB79" s="495">
        <v>7</v>
      </c>
      <c r="HC79" s="496">
        <v>4</v>
      </c>
      <c r="HD79" s="496">
        <v>10</v>
      </c>
      <c r="HE79" s="496">
        <v>3</v>
      </c>
      <c r="HF79" s="497">
        <v>5</v>
      </c>
      <c r="HG79" s="497">
        <v>2</v>
      </c>
      <c r="HH79" s="497">
        <v>5</v>
      </c>
      <c r="HI79" s="497">
        <v>10</v>
      </c>
      <c r="HJ79" s="199"/>
      <c r="HK79" s="495">
        <v>4</v>
      </c>
      <c r="HL79" s="496">
        <v>1</v>
      </c>
      <c r="HM79" s="496"/>
      <c r="HN79" s="496">
        <v>3</v>
      </c>
      <c r="HO79" s="497">
        <v>3</v>
      </c>
      <c r="HP79" s="497">
        <v>5</v>
      </c>
      <c r="HQ79" s="497">
        <v>2</v>
      </c>
      <c r="HR79" s="497">
        <v>5</v>
      </c>
      <c r="HS79" s="199"/>
      <c r="HT79" s="495">
        <v>721</v>
      </c>
      <c r="HU79" s="496">
        <v>613</v>
      </c>
      <c r="HV79" s="496">
        <v>712</v>
      </c>
      <c r="HW79" s="496">
        <v>682</v>
      </c>
      <c r="HX79" s="497">
        <v>548</v>
      </c>
      <c r="HY79" s="497">
        <v>533</v>
      </c>
      <c r="HZ79" s="497">
        <v>492</v>
      </c>
      <c r="IA79" s="497">
        <v>501</v>
      </c>
      <c r="IB79" s="199"/>
      <c r="IC79" s="495">
        <v>2683</v>
      </c>
      <c r="ID79" s="496">
        <v>2631</v>
      </c>
      <c r="IE79" s="496">
        <v>2815</v>
      </c>
      <c r="IF79" s="496">
        <v>2030</v>
      </c>
      <c r="IG79" s="497">
        <v>2382</v>
      </c>
      <c r="IH79" s="497">
        <v>1984</v>
      </c>
      <c r="II79" s="497">
        <v>1624</v>
      </c>
      <c r="IJ79" s="497">
        <v>1625</v>
      </c>
      <c r="IK79" s="199"/>
      <c r="IL79" s="495">
        <v>351</v>
      </c>
      <c r="IM79" s="496">
        <v>209</v>
      </c>
      <c r="IN79" s="496">
        <v>241</v>
      </c>
      <c r="IO79" s="496">
        <v>123</v>
      </c>
      <c r="IP79" s="497">
        <v>89</v>
      </c>
      <c r="IQ79" s="497">
        <v>112</v>
      </c>
      <c r="IR79" s="497">
        <v>56</v>
      </c>
      <c r="IS79" s="497">
        <v>64</v>
      </c>
      <c r="IT79" s="199"/>
      <c r="IU79" s="540">
        <v>2733.4039691918983</v>
      </c>
      <c r="IV79" s="541">
        <v>2649.1733290371953</v>
      </c>
      <c r="IW79" s="541">
        <v>2803.477706625768</v>
      </c>
      <c r="IX79" s="541">
        <v>2038.8281257846475</v>
      </c>
      <c r="IY79" s="542">
        <v>2367.8167775027582</v>
      </c>
      <c r="IZ79" s="542">
        <v>1965.558042358798</v>
      </c>
      <c r="JA79" s="542">
        <v>1610.2644442902044</v>
      </c>
      <c r="JB79" s="542">
        <v>1597.7425127327788</v>
      </c>
      <c r="JC79" s="536"/>
      <c r="JD79" s="537">
        <v>734.54500998410697</v>
      </c>
      <c r="JE79" s="538">
        <v>617.23422679581927</v>
      </c>
      <c r="JF79" s="538">
        <v>709.08565794584263</v>
      </c>
      <c r="JG79" s="538">
        <v>684.96590235720669</v>
      </c>
      <c r="JH79" s="538">
        <v>544.73702521893858</v>
      </c>
      <c r="JI79" s="539">
        <v>528.91480646730656</v>
      </c>
      <c r="JJ79" s="539">
        <v>487.83873558545605</v>
      </c>
      <c r="JK79" s="539">
        <v>492.59630700253678</v>
      </c>
      <c r="JL79" s="536"/>
      <c r="JM79" s="537">
        <v>1513.916622519255</v>
      </c>
      <c r="JN79" s="538">
        <v>1276.7585637473064</v>
      </c>
      <c r="JO79" s="538">
        <v>1470.9543775084403</v>
      </c>
      <c r="JP79" s="538">
        <v>1179.1055269316139</v>
      </c>
      <c r="JQ79" s="538">
        <v>1164.027475422221</v>
      </c>
      <c r="JR79" s="539">
        <v>899.81254643416889</v>
      </c>
      <c r="JS79" s="539">
        <v>793.23371639911556</v>
      </c>
      <c r="JT79" s="539">
        <v>740.36929974632767</v>
      </c>
      <c r="JU79" s="536"/>
      <c r="JV79" s="537">
        <v>464.56660825624516</v>
      </c>
      <c r="JW79" s="538">
        <v>399.74223170952735</v>
      </c>
      <c r="JX79" s="538">
        <v>488.9902500722032</v>
      </c>
      <c r="JY79" s="538">
        <v>394.70909036126426</v>
      </c>
      <c r="JZ79" s="538">
        <v>268.39232994363761</v>
      </c>
      <c r="KA79" s="539">
        <v>216.34471766857703</v>
      </c>
      <c r="KB79" s="539">
        <v>220.12235630075455</v>
      </c>
      <c r="KC79" s="539">
        <v>175.01425677934438</v>
      </c>
      <c r="KD79" s="536"/>
    </row>
    <row r="80" spans="1:290" ht="15" customHeight="1" thickBot="1" x14ac:dyDescent="0.25">
      <c r="A80" s="931"/>
      <c r="B80" s="506" t="s">
        <v>779</v>
      </c>
      <c r="C80" s="500">
        <v>10</v>
      </c>
      <c r="D80" s="501">
        <v>7</v>
      </c>
      <c r="E80" s="501">
        <v>11</v>
      </c>
      <c r="F80" s="501">
        <v>10</v>
      </c>
      <c r="G80" s="502">
        <v>4</v>
      </c>
      <c r="H80" s="502">
        <v>9</v>
      </c>
      <c r="I80" s="502">
        <v>6</v>
      </c>
      <c r="J80" s="502">
        <v>7</v>
      </c>
      <c r="K80" s="503"/>
      <c r="L80" s="500">
        <v>2</v>
      </c>
      <c r="M80" s="501">
        <v>1</v>
      </c>
      <c r="N80" s="501">
        <v>5</v>
      </c>
      <c r="O80" s="501">
        <v>6</v>
      </c>
      <c r="P80" s="502">
        <v>2</v>
      </c>
      <c r="Q80" s="502">
        <v>5</v>
      </c>
      <c r="R80" s="502">
        <v>1</v>
      </c>
      <c r="S80" s="502">
        <v>6</v>
      </c>
      <c r="T80" s="503"/>
      <c r="U80" s="500">
        <v>6</v>
      </c>
      <c r="V80" s="501">
        <v>6</v>
      </c>
      <c r="W80" s="501">
        <v>6</v>
      </c>
      <c r="X80" s="501">
        <v>1</v>
      </c>
      <c r="Y80" s="502">
        <v>1</v>
      </c>
      <c r="Z80" s="502">
        <v>3</v>
      </c>
      <c r="AA80" s="502">
        <v>3</v>
      </c>
      <c r="AB80" s="502">
        <v>1</v>
      </c>
      <c r="AC80" s="503"/>
      <c r="AD80" s="500">
        <v>592</v>
      </c>
      <c r="AE80" s="501">
        <v>524</v>
      </c>
      <c r="AF80" s="501">
        <v>563</v>
      </c>
      <c r="AG80" s="501">
        <v>536</v>
      </c>
      <c r="AH80" s="502">
        <v>620</v>
      </c>
      <c r="AI80" s="502">
        <v>481</v>
      </c>
      <c r="AJ80" s="502">
        <v>533</v>
      </c>
      <c r="AK80" s="502">
        <v>526</v>
      </c>
      <c r="AL80" s="503"/>
      <c r="AM80" s="500">
        <v>368</v>
      </c>
      <c r="AN80" s="501">
        <v>302</v>
      </c>
      <c r="AO80" s="501">
        <v>361</v>
      </c>
      <c r="AP80" s="501">
        <v>307</v>
      </c>
      <c r="AQ80" s="502">
        <v>351</v>
      </c>
      <c r="AR80" s="502">
        <v>265</v>
      </c>
      <c r="AS80" s="502">
        <v>280</v>
      </c>
      <c r="AT80" s="502">
        <v>287</v>
      </c>
      <c r="AU80" s="503"/>
      <c r="AV80" s="500"/>
      <c r="AW80" s="501">
        <v>1</v>
      </c>
      <c r="AX80" s="501"/>
      <c r="AY80" s="501">
        <v>1</v>
      </c>
      <c r="AZ80" s="502"/>
      <c r="BA80" s="502"/>
      <c r="BB80" s="502"/>
      <c r="BC80" s="502"/>
      <c r="BD80" s="503"/>
      <c r="BE80" s="500">
        <v>97</v>
      </c>
      <c r="BF80" s="501">
        <v>63</v>
      </c>
      <c r="BG80" s="501">
        <v>56</v>
      </c>
      <c r="BH80" s="501">
        <v>44</v>
      </c>
      <c r="BI80" s="502">
        <v>40</v>
      </c>
      <c r="BJ80" s="502">
        <v>35</v>
      </c>
      <c r="BK80" s="502">
        <v>47</v>
      </c>
      <c r="BL80" s="502">
        <v>48</v>
      </c>
      <c r="BM80" s="503"/>
      <c r="BN80" s="500">
        <v>42</v>
      </c>
      <c r="BO80" s="501">
        <v>28</v>
      </c>
      <c r="BP80" s="501">
        <v>15</v>
      </c>
      <c r="BQ80" s="501">
        <v>60</v>
      </c>
      <c r="BR80" s="502">
        <v>66</v>
      </c>
      <c r="BS80" s="502">
        <v>105</v>
      </c>
      <c r="BT80" s="502">
        <v>57</v>
      </c>
      <c r="BU80" s="502">
        <v>21</v>
      </c>
      <c r="BV80" s="503"/>
      <c r="BW80" s="500">
        <v>428</v>
      </c>
      <c r="BX80" s="501">
        <v>420</v>
      </c>
      <c r="BY80" s="501">
        <v>470</v>
      </c>
      <c r="BZ80" s="501">
        <v>455</v>
      </c>
      <c r="CA80" s="502">
        <v>367</v>
      </c>
      <c r="CB80" s="502">
        <v>333</v>
      </c>
      <c r="CC80" s="502">
        <v>343</v>
      </c>
      <c r="CD80" s="502">
        <v>331</v>
      </c>
      <c r="CE80" s="503"/>
      <c r="CF80" s="500">
        <v>40</v>
      </c>
      <c r="CG80" s="501">
        <v>31</v>
      </c>
      <c r="CH80" s="501">
        <v>33</v>
      </c>
      <c r="CI80" s="501">
        <v>26</v>
      </c>
      <c r="CJ80" s="502">
        <v>14</v>
      </c>
      <c r="CK80" s="502">
        <v>19</v>
      </c>
      <c r="CL80" s="502">
        <v>17</v>
      </c>
      <c r="CM80" s="502">
        <v>14</v>
      </c>
      <c r="CN80" s="503"/>
      <c r="CO80" s="500">
        <v>42</v>
      </c>
      <c r="CP80" s="501">
        <v>46</v>
      </c>
      <c r="CQ80" s="501">
        <v>41</v>
      </c>
      <c r="CR80" s="501">
        <v>35</v>
      </c>
      <c r="CS80" s="502">
        <v>23</v>
      </c>
      <c r="CT80" s="502">
        <v>37</v>
      </c>
      <c r="CU80" s="502">
        <v>30</v>
      </c>
      <c r="CV80" s="502">
        <v>24</v>
      </c>
      <c r="CW80" s="503"/>
      <c r="CX80" s="500">
        <v>6123</v>
      </c>
      <c r="CY80" s="501">
        <v>5685</v>
      </c>
      <c r="CZ80" s="501">
        <v>5697</v>
      </c>
      <c r="DA80" s="501">
        <v>4866</v>
      </c>
      <c r="DB80" s="502">
        <v>5211</v>
      </c>
      <c r="DC80" s="502">
        <v>3674</v>
      </c>
      <c r="DD80" s="502">
        <v>3107</v>
      </c>
      <c r="DE80" s="502">
        <v>2457</v>
      </c>
      <c r="DF80" s="503"/>
      <c r="DG80" s="500">
        <v>75</v>
      </c>
      <c r="DH80" s="501">
        <v>42</v>
      </c>
      <c r="DI80" s="501">
        <v>61</v>
      </c>
      <c r="DJ80" s="501">
        <v>54</v>
      </c>
      <c r="DK80" s="502">
        <v>53</v>
      </c>
      <c r="DL80" s="502">
        <v>24</v>
      </c>
      <c r="DM80" s="502">
        <v>24</v>
      </c>
      <c r="DN80" s="502">
        <v>24</v>
      </c>
      <c r="DO80" s="503"/>
      <c r="DP80" s="500">
        <v>320</v>
      </c>
      <c r="DQ80" s="501">
        <v>326</v>
      </c>
      <c r="DR80" s="501">
        <v>331</v>
      </c>
      <c r="DS80" s="501">
        <v>233</v>
      </c>
      <c r="DT80" s="502">
        <v>298</v>
      </c>
      <c r="DU80" s="502">
        <v>174</v>
      </c>
      <c r="DV80" s="502">
        <v>158</v>
      </c>
      <c r="DW80" s="502">
        <v>96</v>
      </c>
      <c r="DX80" s="503"/>
      <c r="DY80" s="500">
        <v>557</v>
      </c>
      <c r="DZ80" s="501">
        <v>519</v>
      </c>
      <c r="EA80" s="501">
        <v>486</v>
      </c>
      <c r="EB80" s="501">
        <v>529</v>
      </c>
      <c r="EC80" s="502">
        <v>539</v>
      </c>
      <c r="ED80" s="502">
        <v>431</v>
      </c>
      <c r="EE80" s="502">
        <v>386</v>
      </c>
      <c r="EF80" s="502">
        <v>283</v>
      </c>
      <c r="EG80" s="503"/>
      <c r="EH80" s="500">
        <v>70</v>
      </c>
      <c r="EI80" s="501">
        <v>66</v>
      </c>
      <c r="EJ80" s="501">
        <v>78</v>
      </c>
      <c r="EK80" s="501">
        <v>65</v>
      </c>
      <c r="EL80" s="502">
        <v>56</v>
      </c>
      <c r="EM80" s="502">
        <v>50</v>
      </c>
      <c r="EN80" s="502">
        <v>25</v>
      </c>
      <c r="EO80" s="502">
        <v>35</v>
      </c>
      <c r="EP80" s="503"/>
      <c r="EQ80" s="500">
        <v>19</v>
      </c>
      <c r="ER80" s="501">
        <v>13</v>
      </c>
      <c r="ES80" s="501">
        <v>15</v>
      </c>
      <c r="ET80" s="501">
        <v>20</v>
      </c>
      <c r="EU80" s="502">
        <v>25</v>
      </c>
      <c r="EV80" s="502">
        <v>27</v>
      </c>
      <c r="EW80" s="502">
        <v>39</v>
      </c>
      <c r="EX80" s="502">
        <v>26</v>
      </c>
      <c r="EY80" s="503"/>
      <c r="EZ80" s="500">
        <v>15</v>
      </c>
      <c r="FA80" s="501">
        <v>23</v>
      </c>
      <c r="FB80" s="501">
        <v>51</v>
      </c>
      <c r="FC80" s="501">
        <v>13</v>
      </c>
      <c r="FD80" s="502">
        <v>5</v>
      </c>
      <c r="FE80" s="502">
        <v>9</v>
      </c>
      <c r="FF80" s="502">
        <v>4</v>
      </c>
      <c r="FG80" s="502">
        <v>7</v>
      </c>
      <c r="FH80" s="503"/>
      <c r="FI80" s="500">
        <v>595</v>
      </c>
      <c r="FJ80" s="501">
        <v>593</v>
      </c>
      <c r="FK80" s="501">
        <v>487</v>
      </c>
      <c r="FL80" s="501">
        <v>340</v>
      </c>
      <c r="FM80" s="502">
        <v>396</v>
      </c>
      <c r="FN80" s="502">
        <v>352</v>
      </c>
      <c r="FO80" s="502">
        <v>276</v>
      </c>
      <c r="FP80" s="502">
        <v>291</v>
      </c>
      <c r="FQ80" s="503"/>
      <c r="FR80" s="500">
        <v>59</v>
      </c>
      <c r="FS80" s="501">
        <v>52</v>
      </c>
      <c r="FT80" s="501">
        <v>35</v>
      </c>
      <c r="FU80" s="501">
        <v>34</v>
      </c>
      <c r="FV80" s="502">
        <v>47</v>
      </c>
      <c r="FW80" s="502">
        <v>26</v>
      </c>
      <c r="FX80" s="502">
        <v>21</v>
      </c>
      <c r="FY80" s="502">
        <v>11</v>
      </c>
      <c r="FZ80" s="503"/>
      <c r="GA80" s="500">
        <v>75</v>
      </c>
      <c r="GB80" s="501">
        <v>51</v>
      </c>
      <c r="GC80" s="501">
        <v>50</v>
      </c>
      <c r="GD80" s="501">
        <v>45</v>
      </c>
      <c r="GE80" s="502">
        <v>70</v>
      </c>
      <c r="GF80" s="502">
        <v>51</v>
      </c>
      <c r="GG80" s="502">
        <v>53</v>
      </c>
      <c r="GH80" s="502">
        <v>60</v>
      </c>
      <c r="GI80" s="503"/>
      <c r="GJ80" s="500">
        <v>8207</v>
      </c>
      <c r="GK80" s="501">
        <v>7602</v>
      </c>
      <c r="GL80" s="501">
        <v>7602</v>
      </c>
      <c r="GM80" s="501">
        <v>6549</v>
      </c>
      <c r="GN80" s="502">
        <v>6944</v>
      </c>
      <c r="GO80" s="502">
        <v>5208</v>
      </c>
      <c r="GP80" s="502">
        <v>4558</v>
      </c>
      <c r="GQ80" s="502">
        <v>3858</v>
      </c>
      <c r="GR80" s="503"/>
      <c r="GS80" s="500">
        <v>2731</v>
      </c>
      <c r="GT80" s="501">
        <v>2664</v>
      </c>
      <c r="GU80" s="501">
        <v>2580</v>
      </c>
      <c r="GV80" s="501">
        <v>2058</v>
      </c>
      <c r="GW80" s="502">
        <v>1550</v>
      </c>
      <c r="GX80" s="502">
        <v>1089</v>
      </c>
      <c r="GY80" s="502">
        <v>861</v>
      </c>
      <c r="GZ80" s="502">
        <v>687</v>
      </c>
      <c r="HA80" s="503"/>
      <c r="HB80" s="500">
        <v>29</v>
      </c>
      <c r="HC80" s="501">
        <v>20</v>
      </c>
      <c r="HD80" s="501">
        <v>30</v>
      </c>
      <c r="HE80" s="501">
        <v>29</v>
      </c>
      <c r="HF80" s="502">
        <v>23</v>
      </c>
      <c r="HG80" s="502">
        <v>14</v>
      </c>
      <c r="HH80" s="502">
        <v>27</v>
      </c>
      <c r="HI80" s="502">
        <v>28</v>
      </c>
      <c r="HJ80" s="503"/>
      <c r="HK80" s="500">
        <v>30</v>
      </c>
      <c r="HL80" s="501">
        <v>30</v>
      </c>
      <c r="HM80" s="501">
        <v>17</v>
      </c>
      <c r="HN80" s="501">
        <v>21</v>
      </c>
      <c r="HO80" s="502">
        <v>22</v>
      </c>
      <c r="HP80" s="502">
        <v>18</v>
      </c>
      <c r="HQ80" s="502">
        <v>13</v>
      </c>
      <c r="HR80" s="502">
        <v>12</v>
      </c>
      <c r="HS80" s="503"/>
      <c r="HT80" s="500">
        <v>3882</v>
      </c>
      <c r="HU80" s="501">
        <v>3563</v>
      </c>
      <c r="HV80" s="501">
        <v>3498</v>
      </c>
      <c r="HW80" s="501">
        <v>3173</v>
      </c>
      <c r="HX80" s="502">
        <v>2701</v>
      </c>
      <c r="HY80" s="502">
        <v>2098</v>
      </c>
      <c r="HZ80" s="502">
        <v>1979</v>
      </c>
      <c r="IA80" s="502">
        <v>1793</v>
      </c>
      <c r="IB80" s="503"/>
      <c r="IC80" s="500">
        <v>15984</v>
      </c>
      <c r="ID80" s="501">
        <v>17061</v>
      </c>
      <c r="IE80" s="501">
        <v>15903</v>
      </c>
      <c r="IF80" s="501">
        <v>11382</v>
      </c>
      <c r="IG80" s="502">
        <v>11435</v>
      </c>
      <c r="IH80" s="502">
        <v>10233</v>
      </c>
      <c r="II80" s="502">
        <v>9007</v>
      </c>
      <c r="IJ80" s="502">
        <v>7566</v>
      </c>
      <c r="IK80" s="503"/>
      <c r="IL80" s="500">
        <v>1327</v>
      </c>
      <c r="IM80" s="501">
        <v>1076</v>
      </c>
      <c r="IN80" s="501">
        <v>1208</v>
      </c>
      <c r="IO80" s="501">
        <v>746</v>
      </c>
      <c r="IP80" s="502">
        <v>464</v>
      </c>
      <c r="IQ80" s="502">
        <v>700</v>
      </c>
      <c r="IR80" s="502">
        <v>605</v>
      </c>
      <c r="IS80" s="502">
        <v>486</v>
      </c>
      <c r="IT80" s="503"/>
      <c r="IU80" s="547">
        <v>3564.396177818413</v>
      </c>
      <c r="IV80" s="548">
        <v>3791.6113848348878</v>
      </c>
      <c r="IW80" s="548">
        <v>3519.709977491385</v>
      </c>
      <c r="IX80" s="548">
        <v>2538.8568675386787</v>
      </c>
      <c r="IY80" s="549">
        <v>2539.3166606709037</v>
      </c>
      <c r="IZ80" s="549">
        <v>2260.7469987053673</v>
      </c>
      <c r="JA80" s="549">
        <v>1978.6167915521607</v>
      </c>
      <c r="JB80" s="549">
        <v>1654.3345927791772</v>
      </c>
      <c r="JC80" s="550"/>
      <c r="JD80" s="551">
        <v>865.67729994313549</v>
      </c>
      <c r="JE80" s="552">
        <v>791.83584573979863</v>
      </c>
      <c r="JF80" s="552">
        <v>774.19012144028579</v>
      </c>
      <c r="JG80" s="552">
        <v>707.76602009314945</v>
      </c>
      <c r="JH80" s="552">
        <v>599.79836471115971</v>
      </c>
      <c r="JI80" s="553">
        <v>463.50505260274213</v>
      </c>
      <c r="JJ80" s="553">
        <v>434.73771849469591</v>
      </c>
      <c r="JK80" s="553">
        <v>392.04624965015392</v>
      </c>
      <c r="JL80" s="550"/>
      <c r="JM80" s="551">
        <v>1830.1426070667992</v>
      </c>
      <c r="JN80" s="552">
        <v>1689.4572268633033</v>
      </c>
      <c r="JO80" s="552">
        <v>1682.5023736961271</v>
      </c>
      <c r="JP80" s="552">
        <v>1460.8130052285014</v>
      </c>
      <c r="JQ80" s="552">
        <v>1542.021415977154</v>
      </c>
      <c r="JR80" s="553">
        <v>1150.5883288632417</v>
      </c>
      <c r="JS80" s="553">
        <v>1001.2807078821749</v>
      </c>
      <c r="JT80" s="553">
        <v>843.56633081444159</v>
      </c>
      <c r="JU80" s="550"/>
      <c r="JV80" s="551">
        <v>609.00687948086113</v>
      </c>
      <c r="JW80" s="552">
        <v>592.04341651721131</v>
      </c>
      <c r="JX80" s="552">
        <v>571.01501238305809</v>
      </c>
      <c r="JY80" s="552">
        <v>459.05530077267616</v>
      </c>
      <c r="JZ80" s="552">
        <v>344.20120892347182</v>
      </c>
      <c r="KA80" s="553">
        <v>240.58961024041287</v>
      </c>
      <c r="KB80" s="553">
        <v>189.1405637311436</v>
      </c>
      <c r="KC80" s="553">
        <v>150.21515533165407</v>
      </c>
      <c r="KD80" s="550"/>
    </row>
    <row r="81" spans="1:290" ht="15" customHeight="1" x14ac:dyDescent="0.2">
      <c r="A81" s="929" t="s">
        <v>551</v>
      </c>
      <c r="B81" s="485" t="s">
        <v>694</v>
      </c>
      <c r="C81" s="486">
        <v>10</v>
      </c>
      <c r="D81" s="487">
        <v>5</v>
      </c>
      <c r="E81" s="487">
        <v>4</v>
      </c>
      <c r="F81" s="487">
        <v>2</v>
      </c>
      <c r="G81" s="488">
        <v>7</v>
      </c>
      <c r="H81" s="488">
        <v>2</v>
      </c>
      <c r="I81" s="488">
        <v>8</v>
      </c>
      <c r="J81" s="488">
        <v>7</v>
      </c>
      <c r="K81" s="489"/>
      <c r="L81" s="486">
        <v>2</v>
      </c>
      <c r="M81" s="487">
        <v>4</v>
      </c>
      <c r="N81" s="487">
        <v>3</v>
      </c>
      <c r="O81" s="487">
        <v>1</v>
      </c>
      <c r="P81" s="488">
        <v>5</v>
      </c>
      <c r="Q81" s="488"/>
      <c r="R81" s="488">
        <v>4</v>
      </c>
      <c r="S81" s="488">
        <v>2</v>
      </c>
      <c r="T81" s="489"/>
      <c r="U81" s="486">
        <v>6</v>
      </c>
      <c r="V81" s="487">
        <v>1</v>
      </c>
      <c r="W81" s="487">
        <v>1</v>
      </c>
      <c r="X81" s="487">
        <v>1</v>
      </c>
      <c r="Y81" s="488">
        <v>2</v>
      </c>
      <c r="Z81" s="488">
        <v>2</v>
      </c>
      <c r="AA81" s="488">
        <v>4</v>
      </c>
      <c r="AB81" s="488">
        <v>5</v>
      </c>
      <c r="AC81" s="489"/>
      <c r="AD81" s="486">
        <v>433</v>
      </c>
      <c r="AE81" s="487">
        <v>448</v>
      </c>
      <c r="AF81" s="487">
        <v>377</v>
      </c>
      <c r="AG81" s="487">
        <v>385</v>
      </c>
      <c r="AH81" s="488">
        <v>330</v>
      </c>
      <c r="AI81" s="488">
        <v>236</v>
      </c>
      <c r="AJ81" s="488">
        <v>251</v>
      </c>
      <c r="AK81" s="488">
        <v>238</v>
      </c>
      <c r="AL81" s="489"/>
      <c r="AM81" s="486">
        <v>340</v>
      </c>
      <c r="AN81" s="487">
        <v>368</v>
      </c>
      <c r="AO81" s="487">
        <v>270</v>
      </c>
      <c r="AP81" s="487">
        <v>314</v>
      </c>
      <c r="AQ81" s="488">
        <v>274</v>
      </c>
      <c r="AR81" s="488">
        <v>175</v>
      </c>
      <c r="AS81" s="488">
        <v>191</v>
      </c>
      <c r="AT81" s="488">
        <v>182</v>
      </c>
      <c r="AU81" s="489"/>
      <c r="AV81" s="486">
        <v>1</v>
      </c>
      <c r="AW81" s="487"/>
      <c r="AX81" s="487"/>
      <c r="AY81" s="487">
        <v>1</v>
      </c>
      <c r="AZ81" s="488">
        <v>1</v>
      </c>
      <c r="BA81" s="488"/>
      <c r="BB81" s="488"/>
      <c r="BC81" s="488"/>
      <c r="BD81" s="489"/>
      <c r="BE81" s="486">
        <v>24</v>
      </c>
      <c r="BF81" s="487">
        <v>22</v>
      </c>
      <c r="BG81" s="487">
        <v>17</v>
      </c>
      <c r="BH81" s="487">
        <v>25</v>
      </c>
      <c r="BI81" s="488">
        <v>16</v>
      </c>
      <c r="BJ81" s="488">
        <v>15</v>
      </c>
      <c r="BK81" s="488">
        <v>22</v>
      </c>
      <c r="BL81" s="488">
        <v>12</v>
      </c>
      <c r="BM81" s="489"/>
      <c r="BN81" s="486">
        <v>2</v>
      </c>
      <c r="BO81" s="487">
        <v>6</v>
      </c>
      <c r="BP81" s="487">
        <v>1</v>
      </c>
      <c r="BQ81" s="487">
        <v>2</v>
      </c>
      <c r="BR81" s="488">
        <v>5</v>
      </c>
      <c r="BS81" s="488">
        <v>9</v>
      </c>
      <c r="BT81" s="488">
        <v>4</v>
      </c>
      <c r="BU81" s="488"/>
      <c r="BV81" s="489"/>
      <c r="BW81" s="486">
        <v>367</v>
      </c>
      <c r="BX81" s="487">
        <v>434</v>
      </c>
      <c r="BY81" s="487">
        <v>368</v>
      </c>
      <c r="BZ81" s="487">
        <v>381</v>
      </c>
      <c r="CA81" s="488">
        <v>340</v>
      </c>
      <c r="CB81" s="488">
        <v>246</v>
      </c>
      <c r="CC81" s="488">
        <v>213</v>
      </c>
      <c r="CD81" s="488">
        <v>181</v>
      </c>
      <c r="CE81" s="489"/>
      <c r="CF81" s="486">
        <v>20</v>
      </c>
      <c r="CG81" s="487">
        <v>15</v>
      </c>
      <c r="CH81" s="487">
        <v>16</v>
      </c>
      <c r="CI81" s="487">
        <v>6</v>
      </c>
      <c r="CJ81" s="488">
        <v>4</v>
      </c>
      <c r="CK81" s="488">
        <v>13</v>
      </c>
      <c r="CL81" s="488">
        <v>9</v>
      </c>
      <c r="CM81" s="488">
        <v>6</v>
      </c>
      <c r="CN81" s="489"/>
      <c r="CO81" s="486">
        <v>21</v>
      </c>
      <c r="CP81" s="487">
        <v>17</v>
      </c>
      <c r="CQ81" s="487">
        <v>14</v>
      </c>
      <c r="CR81" s="487">
        <v>13</v>
      </c>
      <c r="CS81" s="488">
        <v>10</v>
      </c>
      <c r="CT81" s="488">
        <v>15</v>
      </c>
      <c r="CU81" s="488">
        <v>10</v>
      </c>
      <c r="CV81" s="488">
        <v>27</v>
      </c>
      <c r="CW81" s="489"/>
      <c r="CX81" s="486">
        <v>4588</v>
      </c>
      <c r="CY81" s="487">
        <v>4926</v>
      </c>
      <c r="CZ81" s="487">
        <v>4263</v>
      </c>
      <c r="DA81" s="487">
        <v>3453</v>
      </c>
      <c r="DB81" s="488">
        <v>2632</v>
      </c>
      <c r="DC81" s="488">
        <v>2156</v>
      </c>
      <c r="DD81" s="488">
        <v>2072</v>
      </c>
      <c r="DE81" s="488">
        <v>1391</v>
      </c>
      <c r="DF81" s="489"/>
      <c r="DG81" s="486">
        <v>55</v>
      </c>
      <c r="DH81" s="487">
        <v>45</v>
      </c>
      <c r="DI81" s="487">
        <v>40</v>
      </c>
      <c r="DJ81" s="487">
        <v>23</v>
      </c>
      <c r="DK81" s="488">
        <v>22</v>
      </c>
      <c r="DL81" s="488">
        <v>7</v>
      </c>
      <c r="DM81" s="488">
        <v>10</v>
      </c>
      <c r="DN81" s="488">
        <v>4</v>
      </c>
      <c r="DO81" s="489"/>
      <c r="DP81" s="486">
        <v>385</v>
      </c>
      <c r="DQ81" s="487">
        <v>242</v>
      </c>
      <c r="DR81" s="487">
        <v>205</v>
      </c>
      <c r="DS81" s="487">
        <v>158</v>
      </c>
      <c r="DT81" s="488">
        <v>108</v>
      </c>
      <c r="DU81" s="488">
        <v>78</v>
      </c>
      <c r="DV81" s="488">
        <v>158</v>
      </c>
      <c r="DW81" s="488">
        <v>37</v>
      </c>
      <c r="DX81" s="489"/>
      <c r="DY81" s="486">
        <v>518</v>
      </c>
      <c r="DZ81" s="487">
        <v>655</v>
      </c>
      <c r="EA81" s="487">
        <v>557</v>
      </c>
      <c r="EB81" s="487">
        <v>406</v>
      </c>
      <c r="EC81" s="488">
        <v>366</v>
      </c>
      <c r="ED81" s="488">
        <v>450</v>
      </c>
      <c r="EE81" s="488">
        <v>359</v>
      </c>
      <c r="EF81" s="488">
        <v>220</v>
      </c>
      <c r="EG81" s="489"/>
      <c r="EH81" s="486">
        <v>90</v>
      </c>
      <c r="EI81" s="487">
        <v>84</v>
      </c>
      <c r="EJ81" s="487">
        <v>62</v>
      </c>
      <c r="EK81" s="487">
        <v>40</v>
      </c>
      <c r="EL81" s="488">
        <v>32</v>
      </c>
      <c r="EM81" s="488">
        <v>27</v>
      </c>
      <c r="EN81" s="488">
        <v>35</v>
      </c>
      <c r="EO81" s="488">
        <v>14</v>
      </c>
      <c r="EP81" s="489"/>
      <c r="EQ81" s="486">
        <v>29</v>
      </c>
      <c r="ER81" s="487">
        <v>41</v>
      </c>
      <c r="ES81" s="487">
        <v>72</v>
      </c>
      <c r="ET81" s="487">
        <v>46</v>
      </c>
      <c r="EU81" s="488">
        <v>38</v>
      </c>
      <c r="EV81" s="488">
        <v>46</v>
      </c>
      <c r="EW81" s="488">
        <v>45</v>
      </c>
      <c r="EX81" s="488">
        <v>31</v>
      </c>
      <c r="EY81" s="489"/>
      <c r="EZ81" s="486">
        <v>31</v>
      </c>
      <c r="FA81" s="487">
        <v>11</v>
      </c>
      <c r="FB81" s="487">
        <v>15</v>
      </c>
      <c r="FC81" s="487">
        <v>10</v>
      </c>
      <c r="FD81" s="488">
        <v>10</v>
      </c>
      <c r="FE81" s="488">
        <v>2</v>
      </c>
      <c r="FF81" s="488">
        <v>5</v>
      </c>
      <c r="FG81" s="488">
        <v>5</v>
      </c>
      <c r="FH81" s="489"/>
      <c r="FI81" s="486">
        <v>284</v>
      </c>
      <c r="FJ81" s="487">
        <v>280</v>
      </c>
      <c r="FK81" s="487">
        <v>290</v>
      </c>
      <c r="FL81" s="487">
        <v>172</v>
      </c>
      <c r="FM81" s="488">
        <v>161</v>
      </c>
      <c r="FN81" s="488">
        <v>118</v>
      </c>
      <c r="FO81" s="488">
        <v>104</v>
      </c>
      <c r="FP81" s="488">
        <v>99</v>
      </c>
      <c r="FQ81" s="489"/>
      <c r="FR81" s="486">
        <v>26</v>
      </c>
      <c r="FS81" s="487">
        <v>22</v>
      </c>
      <c r="FT81" s="487">
        <v>19</v>
      </c>
      <c r="FU81" s="487">
        <v>14</v>
      </c>
      <c r="FV81" s="488">
        <v>16</v>
      </c>
      <c r="FW81" s="488">
        <v>22</v>
      </c>
      <c r="FX81" s="488">
        <v>13</v>
      </c>
      <c r="FY81" s="488">
        <v>13</v>
      </c>
      <c r="FZ81" s="489"/>
      <c r="GA81" s="486">
        <v>13</v>
      </c>
      <c r="GB81" s="487">
        <v>15</v>
      </c>
      <c r="GC81" s="487">
        <v>16</v>
      </c>
      <c r="GD81" s="487">
        <v>18</v>
      </c>
      <c r="GE81" s="488">
        <v>26</v>
      </c>
      <c r="GF81" s="488">
        <v>9</v>
      </c>
      <c r="GG81" s="488">
        <v>14</v>
      </c>
      <c r="GH81" s="488">
        <v>12</v>
      </c>
      <c r="GI81" s="489"/>
      <c r="GJ81" s="486">
        <v>5938</v>
      </c>
      <c r="GK81" s="487">
        <v>6326</v>
      </c>
      <c r="GL81" s="487">
        <v>5534</v>
      </c>
      <c r="GM81" s="487">
        <v>4567</v>
      </c>
      <c r="GN81" s="488">
        <v>3627</v>
      </c>
      <c r="GO81" s="488">
        <v>2916</v>
      </c>
      <c r="GP81" s="488">
        <v>2805</v>
      </c>
      <c r="GQ81" s="488">
        <v>2036</v>
      </c>
      <c r="GR81" s="489"/>
      <c r="GS81" s="486">
        <v>2037</v>
      </c>
      <c r="GT81" s="487">
        <v>2021</v>
      </c>
      <c r="GU81" s="487">
        <v>1938</v>
      </c>
      <c r="GV81" s="487">
        <v>1372</v>
      </c>
      <c r="GW81" s="488">
        <v>762</v>
      </c>
      <c r="GX81" s="488">
        <v>527</v>
      </c>
      <c r="GY81" s="488">
        <v>661</v>
      </c>
      <c r="GZ81" s="488">
        <v>403</v>
      </c>
      <c r="HA81" s="489"/>
      <c r="HB81" s="486">
        <v>25</v>
      </c>
      <c r="HC81" s="487">
        <v>29</v>
      </c>
      <c r="HD81" s="487">
        <v>23</v>
      </c>
      <c r="HE81" s="487">
        <v>11</v>
      </c>
      <c r="HF81" s="488">
        <v>20</v>
      </c>
      <c r="HG81" s="488">
        <v>12</v>
      </c>
      <c r="HH81" s="488">
        <v>8</v>
      </c>
      <c r="HI81" s="488">
        <v>5</v>
      </c>
      <c r="HJ81" s="489"/>
      <c r="HK81" s="486">
        <v>12</v>
      </c>
      <c r="HL81" s="487">
        <v>1</v>
      </c>
      <c r="HM81" s="487">
        <v>2</v>
      </c>
      <c r="HN81" s="487">
        <v>5</v>
      </c>
      <c r="HO81" s="488">
        <v>4</v>
      </c>
      <c r="HP81" s="488">
        <v>4</v>
      </c>
      <c r="HQ81" s="488">
        <v>4</v>
      </c>
      <c r="HR81" s="488"/>
      <c r="HS81" s="489"/>
      <c r="HT81" s="486">
        <v>2495</v>
      </c>
      <c r="HU81" s="487">
        <v>2413</v>
      </c>
      <c r="HV81" s="487">
        <v>2295</v>
      </c>
      <c r="HW81" s="487">
        <v>1690</v>
      </c>
      <c r="HX81" s="488">
        <v>1165</v>
      </c>
      <c r="HY81" s="488">
        <v>968</v>
      </c>
      <c r="HZ81" s="488">
        <v>1087</v>
      </c>
      <c r="IA81" s="488">
        <v>757</v>
      </c>
      <c r="IB81" s="489"/>
      <c r="IC81" s="486">
        <v>21743</v>
      </c>
      <c r="ID81" s="487">
        <v>21780</v>
      </c>
      <c r="IE81" s="487">
        <v>10538</v>
      </c>
      <c r="IF81" s="487">
        <v>7546</v>
      </c>
      <c r="IG81" s="488">
        <v>6651</v>
      </c>
      <c r="IH81" s="488">
        <v>5393</v>
      </c>
      <c r="II81" s="488">
        <v>5365</v>
      </c>
      <c r="IJ81" s="488">
        <v>3727</v>
      </c>
      <c r="IK81" s="489"/>
      <c r="IL81" s="486">
        <v>1521</v>
      </c>
      <c r="IM81" s="487">
        <v>1741</v>
      </c>
      <c r="IN81" s="487">
        <v>1312</v>
      </c>
      <c r="IO81" s="487">
        <v>716</v>
      </c>
      <c r="IP81" s="488">
        <v>381</v>
      </c>
      <c r="IQ81" s="488">
        <v>675</v>
      </c>
      <c r="IR81" s="488">
        <v>525</v>
      </c>
      <c r="IS81" s="488">
        <v>357</v>
      </c>
      <c r="IT81" s="489"/>
      <c r="IU81" s="526">
        <v>9388.4935576358421</v>
      </c>
      <c r="IV81" s="527">
        <v>9376.0896798439899</v>
      </c>
      <c r="IW81" s="527">
        <v>4543.4751678257462</v>
      </c>
      <c r="IX81" s="527">
        <v>3299.4468857261541</v>
      </c>
      <c r="IY81" s="528">
        <v>2913.9740191460933</v>
      </c>
      <c r="IZ81" s="528">
        <v>2397.1599959686991</v>
      </c>
      <c r="JA81" s="528">
        <v>2482.6698997676981</v>
      </c>
      <c r="JB81" s="528">
        <v>1731.9014670278862</v>
      </c>
      <c r="JC81" s="529"/>
      <c r="JD81" s="530">
        <v>1077.3256416456527</v>
      </c>
      <c r="JE81" s="531">
        <v>1038.7743065869397</v>
      </c>
      <c r="JF81" s="531">
        <v>989.49283641678562</v>
      </c>
      <c r="JG81" s="531">
        <v>738.94318007914126</v>
      </c>
      <c r="JH81" s="531">
        <v>510.41643847619883</v>
      </c>
      <c r="JI81" s="532">
        <v>427.50406764409774</v>
      </c>
      <c r="JJ81" s="532">
        <v>503.01252209645622</v>
      </c>
      <c r="JK81" s="532">
        <v>351.77070312318477</v>
      </c>
      <c r="JL81" s="529"/>
      <c r="JM81" s="530">
        <v>2563.9918477322185</v>
      </c>
      <c r="JN81" s="531">
        <v>2723.2848170198845</v>
      </c>
      <c r="JO81" s="531">
        <v>2385.9927480307151</v>
      </c>
      <c r="JP81" s="531">
        <v>1996.8955641546972</v>
      </c>
      <c r="JQ81" s="531">
        <v>1589.0819075992904</v>
      </c>
      <c r="JR81" s="532">
        <v>1296.9165227506514</v>
      </c>
      <c r="JS81" s="532">
        <v>1298.0221936343696</v>
      </c>
      <c r="JT81" s="532">
        <v>946.10984353871106</v>
      </c>
      <c r="JU81" s="529"/>
      <c r="JV81" s="530">
        <v>879.56406093474743</v>
      </c>
      <c r="JW81" s="531">
        <v>870.02191198185039</v>
      </c>
      <c r="JX81" s="531">
        <v>835.57172852972997</v>
      </c>
      <c r="JY81" s="531">
        <v>599.89943376839165</v>
      </c>
      <c r="JZ81" s="531">
        <v>333.85178207627769</v>
      </c>
      <c r="KA81" s="532">
        <v>233.26535145938175</v>
      </c>
      <c r="KB81" s="532">
        <v>305.87973974770705</v>
      </c>
      <c r="KC81" s="532">
        <v>187.27026863757393</v>
      </c>
      <c r="KD81" s="529"/>
    </row>
    <row r="82" spans="1:290" ht="15" customHeight="1" x14ac:dyDescent="0.2">
      <c r="A82" s="930"/>
      <c r="B82" s="490" t="s">
        <v>695</v>
      </c>
      <c r="C82" s="491">
        <v>1</v>
      </c>
      <c r="D82" s="492">
        <v>5</v>
      </c>
      <c r="E82" s="492">
        <v>4</v>
      </c>
      <c r="F82" s="492"/>
      <c r="G82" s="493">
        <v>1</v>
      </c>
      <c r="H82" s="493">
        <v>1</v>
      </c>
      <c r="I82" s="493">
        <v>4</v>
      </c>
      <c r="J82" s="493"/>
      <c r="K82" s="199"/>
      <c r="L82" s="491">
        <v>1</v>
      </c>
      <c r="M82" s="492">
        <v>1</v>
      </c>
      <c r="N82" s="492">
        <v>1</v>
      </c>
      <c r="O82" s="492"/>
      <c r="P82" s="493"/>
      <c r="Q82" s="493"/>
      <c r="R82" s="493">
        <v>1</v>
      </c>
      <c r="S82" s="493"/>
      <c r="T82" s="199"/>
      <c r="U82" s="491"/>
      <c r="V82" s="492">
        <v>4</v>
      </c>
      <c r="W82" s="492">
        <v>2</v>
      </c>
      <c r="X82" s="492"/>
      <c r="Y82" s="493">
        <v>1</v>
      </c>
      <c r="Z82" s="493">
        <v>1</v>
      </c>
      <c r="AA82" s="493">
        <v>3</v>
      </c>
      <c r="AB82" s="493"/>
      <c r="AC82" s="199"/>
      <c r="AD82" s="491">
        <v>239</v>
      </c>
      <c r="AE82" s="492">
        <v>177</v>
      </c>
      <c r="AF82" s="492">
        <v>186</v>
      </c>
      <c r="AG82" s="492">
        <v>176</v>
      </c>
      <c r="AH82" s="493">
        <v>153</v>
      </c>
      <c r="AI82" s="493">
        <v>178</v>
      </c>
      <c r="AJ82" s="493">
        <v>144</v>
      </c>
      <c r="AK82" s="493">
        <v>132</v>
      </c>
      <c r="AL82" s="199"/>
      <c r="AM82" s="491">
        <v>196</v>
      </c>
      <c r="AN82" s="492">
        <v>135</v>
      </c>
      <c r="AO82" s="492">
        <v>147</v>
      </c>
      <c r="AP82" s="492">
        <v>137</v>
      </c>
      <c r="AQ82" s="493">
        <v>112</v>
      </c>
      <c r="AR82" s="493">
        <v>121</v>
      </c>
      <c r="AS82" s="493">
        <v>92</v>
      </c>
      <c r="AT82" s="493">
        <v>88</v>
      </c>
      <c r="AU82" s="199"/>
      <c r="AV82" s="491">
        <v>1</v>
      </c>
      <c r="AW82" s="492"/>
      <c r="AX82" s="492"/>
      <c r="AY82" s="492"/>
      <c r="AZ82" s="493"/>
      <c r="BA82" s="493"/>
      <c r="BB82" s="493">
        <v>1</v>
      </c>
      <c r="BC82" s="493"/>
      <c r="BD82" s="199"/>
      <c r="BE82" s="491">
        <v>11</v>
      </c>
      <c r="BF82" s="492">
        <v>12</v>
      </c>
      <c r="BG82" s="492">
        <v>20</v>
      </c>
      <c r="BH82" s="492">
        <v>24</v>
      </c>
      <c r="BI82" s="493">
        <v>13</v>
      </c>
      <c r="BJ82" s="493">
        <v>13</v>
      </c>
      <c r="BK82" s="493">
        <v>25</v>
      </c>
      <c r="BL82" s="493">
        <v>15</v>
      </c>
      <c r="BM82" s="199"/>
      <c r="BN82" s="491">
        <v>9</v>
      </c>
      <c r="BO82" s="492">
        <v>3</v>
      </c>
      <c r="BP82" s="492">
        <v>2</v>
      </c>
      <c r="BQ82" s="492">
        <v>1</v>
      </c>
      <c r="BR82" s="493">
        <v>1</v>
      </c>
      <c r="BS82" s="493"/>
      <c r="BT82" s="493"/>
      <c r="BU82" s="493">
        <v>1</v>
      </c>
      <c r="BV82" s="199"/>
      <c r="BW82" s="491">
        <v>123</v>
      </c>
      <c r="BX82" s="492">
        <v>124</v>
      </c>
      <c r="BY82" s="492">
        <v>118</v>
      </c>
      <c r="BZ82" s="492">
        <v>138</v>
      </c>
      <c r="CA82" s="493">
        <v>125</v>
      </c>
      <c r="CB82" s="493">
        <v>169</v>
      </c>
      <c r="CC82" s="493">
        <v>125</v>
      </c>
      <c r="CD82" s="493">
        <v>94</v>
      </c>
      <c r="CE82" s="199"/>
      <c r="CF82" s="491">
        <v>8</v>
      </c>
      <c r="CG82" s="492">
        <v>1</v>
      </c>
      <c r="CH82" s="492">
        <v>2</v>
      </c>
      <c r="CI82" s="492">
        <v>4</v>
      </c>
      <c r="CJ82" s="493">
        <v>6</v>
      </c>
      <c r="CK82" s="493">
        <v>4</v>
      </c>
      <c r="CL82" s="493">
        <v>6</v>
      </c>
      <c r="CM82" s="493"/>
      <c r="CN82" s="199"/>
      <c r="CO82" s="491">
        <v>2</v>
      </c>
      <c r="CP82" s="492">
        <v>4</v>
      </c>
      <c r="CQ82" s="492">
        <v>2</v>
      </c>
      <c r="CR82" s="492">
        <v>1</v>
      </c>
      <c r="CS82" s="493"/>
      <c r="CT82" s="493">
        <v>3</v>
      </c>
      <c r="CU82" s="493"/>
      <c r="CV82" s="493">
        <v>4</v>
      </c>
      <c r="CW82" s="199"/>
      <c r="CX82" s="491">
        <v>1131</v>
      </c>
      <c r="CY82" s="492">
        <v>1004</v>
      </c>
      <c r="CZ82" s="492">
        <v>918</v>
      </c>
      <c r="DA82" s="492">
        <v>685</v>
      </c>
      <c r="DB82" s="493">
        <v>615</v>
      </c>
      <c r="DC82" s="493">
        <v>406</v>
      </c>
      <c r="DD82" s="493">
        <v>416</v>
      </c>
      <c r="DE82" s="493">
        <v>337</v>
      </c>
      <c r="DF82" s="199"/>
      <c r="DG82" s="491">
        <v>1</v>
      </c>
      <c r="DH82" s="492">
        <v>1</v>
      </c>
      <c r="DI82" s="492"/>
      <c r="DJ82" s="492"/>
      <c r="DK82" s="493">
        <v>1</v>
      </c>
      <c r="DL82" s="493">
        <v>2</v>
      </c>
      <c r="DM82" s="493">
        <v>1</v>
      </c>
      <c r="DN82" s="493"/>
      <c r="DO82" s="199"/>
      <c r="DP82" s="491">
        <v>13</v>
      </c>
      <c r="DQ82" s="492">
        <v>11</v>
      </c>
      <c r="DR82" s="492">
        <v>13</v>
      </c>
      <c r="DS82" s="492">
        <v>2</v>
      </c>
      <c r="DT82" s="493">
        <v>3</v>
      </c>
      <c r="DU82" s="493">
        <v>4</v>
      </c>
      <c r="DV82" s="493">
        <v>3</v>
      </c>
      <c r="DW82" s="493">
        <v>3</v>
      </c>
      <c r="DX82" s="199"/>
      <c r="DY82" s="491">
        <v>304</v>
      </c>
      <c r="DZ82" s="492">
        <v>239</v>
      </c>
      <c r="EA82" s="492">
        <v>128</v>
      </c>
      <c r="EB82" s="492">
        <v>131</v>
      </c>
      <c r="EC82" s="493">
        <v>113</v>
      </c>
      <c r="ED82" s="493">
        <v>105</v>
      </c>
      <c r="EE82" s="493">
        <v>105</v>
      </c>
      <c r="EF82" s="493">
        <v>89</v>
      </c>
      <c r="EG82" s="199"/>
      <c r="EH82" s="491">
        <v>17</v>
      </c>
      <c r="EI82" s="492">
        <v>12</v>
      </c>
      <c r="EJ82" s="492">
        <v>12</v>
      </c>
      <c r="EK82" s="492">
        <v>19</v>
      </c>
      <c r="EL82" s="493">
        <v>4</v>
      </c>
      <c r="EM82" s="493">
        <v>8</v>
      </c>
      <c r="EN82" s="493">
        <v>6</v>
      </c>
      <c r="EO82" s="493">
        <v>8</v>
      </c>
      <c r="EP82" s="199"/>
      <c r="EQ82" s="491">
        <v>1</v>
      </c>
      <c r="ER82" s="492">
        <v>2</v>
      </c>
      <c r="ES82" s="492">
        <v>3</v>
      </c>
      <c r="ET82" s="492">
        <v>2</v>
      </c>
      <c r="EU82" s="493">
        <v>2</v>
      </c>
      <c r="EV82" s="493">
        <v>8</v>
      </c>
      <c r="EW82" s="493">
        <v>3</v>
      </c>
      <c r="EX82" s="493">
        <v>7</v>
      </c>
      <c r="EY82" s="199"/>
      <c r="EZ82" s="491">
        <v>16</v>
      </c>
      <c r="FA82" s="492">
        <v>17</v>
      </c>
      <c r="FB82" s="492">
        <v>13</v>
      </c>
      <c r="FC82" s="492">
        <v>15</v>
      </c>
      <c r="FD82" s="493">
        <v>2</v>
      </c>
      <c r="FE82" s="493">
        <v>7</v>
      </c>
      <c r="FF82" s="493">
        <v>3</v>
      </c>
      <c r="FG82" s="493"/>
      <c r="FH82" s="199"/>
      <c r="FI82" s="491">
        <v>73</v>
      </c>
      <c r="FJ82" s="492">
        <v>37</v>
      </c>
      <c r="FK82" s="492">
        <v>25</v>
      </c>
      <c r="FL82" s="492">
        <v>15</v>
      </c>
      <c r="FM82" s="493">
        <v>13</v>
      </c>
      <c r="FN82" s="493">
        <v>17</v>
      </c>
      <c r="FO82" s="493">
        <v>23</v>
      </c>
      <c r="FP82" s="493">
        <v>15</v>
      </c>
      <c r="FQ82" s="199"/>
      <c r="FR82" s="491">
        <v>12</v>
      </c>
      <c r="FS82" s="492">
        <v>13</v>
      </c>
      <c r="FT82" s="492">
        <v>4</v>
      </c>
      <c r="FU82" s="492">
        <v>5</v>
      </c>
      <c r="FV82" s="493">
        <v>14</v>
      </c>
      <c r="FW82" s="493">
        <v>5</v>
      </c>
      <c r="FX82" s="493"/>
      <c r="FY82" s="493">
        <v>5</v>
      </c>
      <c r="FZ82" s="199"/>
      <c r="GA82" s="491">
        <v>10</v>
      </c>
      <c r="GB82" s="492">
        <v>7</v>
      </c>
      <c r="GC82" s="492">
        <v>2</v>
      </c>
      <c r="GD82" s="492">
        <v>4</v>
      </c>
      <c r="GE82" s="493">
        <v>3</v>
      </c>
      <c r="GF82" s="493">
        <v>6</v>
      </c>
      <c r="GG82" s="493">
        <v>6</v>
      </c>
      <c r="GH82" s="493">
        <v>3</v>
      </c>
      <c r="GI82" s="199"/>
      <c r="GJ82" s="491">
        <v>1653</v>
      </c>
      <c r="GK82" s="492">
        <v>1418</v>
      </c>
      <c r="GL82" s="492">
        <v>1311</v>
      </c>
      <c r="GM82" s="492">
        <v>1089</v>
      </c>
      <c r="GN82" s="493">
        <v>952</v>
      </c>
      <c r="GO82" s="493">
        <v>825</v>
      </c>
      <c r="GP82" s="493">
        <v>761</v>
      </c>
      <c r="GQ82" s="493">
        <v>621</v>
      </c>
      <c r="GR82" s="199"/>
      <c r="GS82" s="491">
        <v>437</v>
      </c>
      <c r="GT82" s="492">
        <v>391</v>
      </c>
      <c r="GU82" s="492">
        <v>404</v>
      </c>
      <c r="GV82" s="492">
        <v>281</v>
      </c>
      <c r="GW82" s="493">
        <v>188</v>
      </c>
      <c r="GX82" s="493">
        <v>204</v>
      </c>
      <c r="GY82" s="493">
        <v>167</v>
      </c>
      <c r="GZ82" s="493">
        <v>135</v>
      </c>
      <c r="HA82" s="199"/>
      <c r="HB82" s="491">
        <v>4</v>
      </c>
      <c r="HC82" s="492">
        <v>3</v>
      </c>
      <c r="HD82" s="492">
        <v>4</v>
      </c>
      <c r="HE82" s="492">
        <v>6</v>
      </c>
      <c r="HF82" s="493">
        <v>4</v>
      </c>
      <c r="HG82" s="493">
        <v>5</v>
      </c>
      <c r="HH82" s="493">
        <v>5</v>
      </c>
      <c r="HI82" s="493">
        <v>3</v>
      </c>
      <c r="HJ82" s="199"/>
      <c r="HK82" s="491"/>
      <c r="HL82" s="492">
        <v>2</v>
      </c>
      <c r="HM82" s="492">
        <v>1</v>
      </c>
      <c r="HN82" s="492">
        <v>1</v>
      </c>
      <c r="HO82" s="493"/>
      <c r="HP82" s="493">
        <v>1</v>
      </c>
      <c r="HQ82" s="493">
        <v>3</v>
      </c>
      <c r="HR82" s="493">
        <v>1</v>
      </c>
      <c r="HS82" s="199"/>
      <c r="HT82" s="491">
        <v>554</v>
      </c>
      <c r="HU82" s="492">
        <v>493</v>
      </c>
      <c r="HV82" s="492">
        <v>475</v>
      </c>
      <c r="HW82" s="492">
        <v>368</v>
      </c>
      <c r="HX82" s="493">
        <v>280</v>
      </c>
      <c r="HY82" s="493">
        <v>308</v>
      </c>
      <c r="HZ82" s="493">
        <v>291</v>
      </c>
      <c r="IA82" s="493">
        <v>285</v>
      </c>
      <c r="IB82" s="199"/>
      <c r="IC82" s="491">
        <v>2519</v>
      </c>
      <c r="ID82" s="492">
        <v>2303</v>
      </c>
      <c r="IE82" s="492">
        <v>2034</v>
      </c>
      <c r="IF82" s="492">
        <v>1627</v>
      </c>
      <c r="IG82" s="493">
        <v>1466</v>
      </c>
      <c r="IH82" s="493">
        <v>1314</v>
      </c>
      <c r="II82" s="493">
        <v>1232</v>
      </c>
      <c r="IJ82" s="493">
        <v>1069</v>
      </c>
      <c r="IK82" s="199"/>
      <c r="IL82" s="491">
        <v>491</v>
      </c>
      <c r="IM82" s="492">
        <v>380</v>
      </c>
      <c r="IN82" s="492">
        <v>252</v>
      </c>
      <c r="IO82" s="492">
        <v>177</v>
      </c>
      <c r="IP82" s="493">
        <v>99</v>
      </c>
      <c r="IQ82" s="493">
        <v>119</v>
      </c>
      <c r="IR82" s="493">
        <v>146</v>
      </c>
      <c r="IS82" s="493">
        <v>110</v>
      </c>
      <c r="IT82" s="199"/>
      <c r="IU82" s="533">
        <v>4081.8641431164115</v>
      </c>
      <c r="IV82" s="534">
        <v>3775.7812243827257</v>
      </c>
      <c r="IW82" s="534">
        <v>3344.0197287299634</v>
      </c>
      <c r="IX82" s="534">
        <v>2583.0726975407624</v>
      </c>
      <c r="IY82" s="535">
        <v>2337.3351827936417</v>
      </c>
      <c r="IZ82" s="535">
        <v>1946.6416192511706</v>
      </c>
      <c r="JA82" s="535">
        <v>1434.1089783137579</v>
      </c>
      <c r="JB82" s="535">
        <v>1253.0329492574404</v>
      </c>
      <c r="JC82" s="536"/>
      <c r="JD82" s="537">
        <v>897.71843401607464</v>
      </c>
      <c r="JE82" s="538">
        <v>808.27622389087458</v>
      </c>
      <c r="JF82" s="538">
        <v>780.92889436909161</v>
      </c>
      <c r="JG82" s="538">
        <v>584.24754314382335</v>
      </c>
      <c r="JH82" s="538">
        <v>446.42145373957686</v>
      </c>
      <c r="JI82" s="539">
        <v>462.75657425335316</v>
      </c>
      <c r="JJ82" s="539">
        <v>338.73840315690222</v>
      </c>
      <c r="JK82" s="539">
        <v>334.06397618182461</v>
      </c>
      <c r="JL82" s="536"/>
      <c r="JM82" s="537">
        <v>2678.5714285714284</v>
      </c>
      <c r="JN82" s="538">
        <v>2324.8188346394727</v>
      </c>
      <c r="JO82" s="538">
        <v>2155.363748458693</v>
      </c>
      <c r="JP82" s="538">
        <v>1728.9281915315858</v>
      </c>
      <c r="JQ82" s="538">
        <v>1517.8329427145613</v>
      </c>
      <c r="JR82" s="539">
        <v>1226.4182587508899</v>
      </c>
      <c r="JS82" s="539">
        <v>885.84166598763784</v>
      </c>
      <c r="JT82" s="539">
        <v>727.90782178565985</v>
      </c>
      <c r="JU82" s="536"/>
      <c r="JV82" s="537">
        <v>708.12807881773404</v>
      </c>
      <c r="JW82" s="538">
        <v>641.04666032724526</v>
      </c>
      <c r="JX82" s="538">
        <v>664.20057542129064</v>
      </c>
      <c r="JY82" s="538">
        <v>446.12380332449555</v>
      </c>
      <c r="JZ82" s="538">
        <v>299.74011893943015</v>
      </c>
      <c r="KA82" s="539">
        <v>304.69353124962845</v>
      </c>
      <c r="KB82" s="539">
        <v>194.39626572921881</v>
      </c>
      <c r="KC82" s="539">
        <v>158.24083082296954</v>
      </c>
      <c r="KD82" s="536"/>
    </row>
    <row r="83" spans="1:290" ht="15" customHeight="1" x14ac:dyDescent="0.2">
      <c r="A83" s="930"/>
      <c r="B83" s="490" t="s">
        <v>773</v>
      </c>
      <c r="C83" s="491">
        <v>3</v>
      </c>
      <c r="D83" s="492">
        <v>4</v>
      </c>
      <c r="E83" s="492">
        <v>3</v>
      </c>
      <c r="F83" s="492">
        <v>2</v>
      </c>
      <c r="G83" s="493">
        <v>5</v>
      </c>
      <c r="H83" s="493">
        <v>4</v>
      </c>
      <c r="I83" s="493">
        <v>1</v>
      </c>
      <c r="J83" s="493">
        <v>1</v>
      </c>
      <c r="K83" s="199"/>
      <c r="L83" s="491">
        <v>1</v>
      </c>
      <c r="M83" s="492">
        <v>3</v>
      </c>
      <c r="N83" s="492">
        <v>1</v>
      </c>
      <c r="O83" s="492"/>
      <c r="P83" s="493">
        <v>3</v>
      </c>
      <c r="Q83" s="493">
        <v>2</v>
      </c>
      <c r="R83" s="493"/>
      <c r="S83" s="493">
        <v>1</v>
      </c>
      <c r="T83" s="199"/>
      <c r="U83" s="491">
        <v>2</v>
      </c>
      <c r="V83" s="492">
        <v>1</v>
      </c>
      <c r="W83" s="492">
        <v>2</v>
      </c>
      <c r="X83" s="492">
        <v>2</v>
      </c>
      <c r="Y83" s="493">
        <v>2</v>
      </c>
      <c r="Z83" s="493">
        <v>2</v>
      </c>
      <c r="AA83" s="493">
        <v>1</v>
      </c>
      <c r="AB83" s="493"/>
      <c r="AC83" s="199"/>
      <c r="AD83" s="491">
        <v>177</v>
      </c>
      <c r="AE83" s="492">
        <v>174</v>
      </c>
      <c r="AF83" s="492">
        <v>159</v>
      </c>
      <c r="AG83" s="492">
        <v>148</v>
      </c>
      <c r="AH83" s="493">
        <v>178</v>
      </c>
      <c r="AI83" s="493">
        <v>130</v>
      </c>
      <c r="AJ83" s="493">
        <v>79</v>
      </c>
      <c r="AK83" s="493">
        <v>68</v>
      </c>
      <c r="AL83" s="199"/>
      <c r="AM83" s="491">
        <v>133</v>
      </c>
      <c r="AN83" s="492">
        <v>127</v>
      </c>
      <c r="AO83" s="492">
        <v>121</v>
      </c>
      <c r="AP83" s="492">
        <v>124</v>
      </c>
      <c r="AQ83" s="493">
        <v>133</v>
      </c>
      <c r="AR83" s="493">
        <v>106</v>
      </c>
      <c r="AS83" s="493">
        <v>67</v>
      </c>
      <c r="AT83" s="493">
        <v>53</v>
      </c>
      <c r="AU83" s="199"/>
      <c r="AV83" s="491"/>
      <c r="AW83" s="492"/>
      <c r="AX83" s="492">
        <v>1</v>
      </c>
      <c r="AY83" s="492"/>
      <c r="AZ83" s="493"/>
      <c r="BA83" s="493"/>
      <c r="BB83" s="493"/>
      <c r="BC83" s="493"/>
      <c r="BD83" s="199"/>
      <c r="BE83" s="491">
        <v>14</v>
      </c>
      <c r="BF83" s="492">
        <v>24</v>
      </c>
      <c r="BG83" s="492">
        <v>18</v>
      </c>
      <c r="BH83" s="492">
        <v>17</v>
      </c>
      <c r="BI83" s="493">
        <v>46</v>
      </c>
      <c r="BJ83" s="493">
        <v>19</v>
      </c>
      <c r="BK83" s="493">
        <v>18</v>
      </c>
      <c r="BL83" s="493">
        <v>18</v>
      </c>
      <c r="BM83" s="199"/>
      <c r="BN83" s="491"/>
      <c r="BO83" s="492"/>
      <c r="BP83" s="492"/>
      <c r="BQ83" s="492"/>
      <c r="BR83" s="493"/>
      <c r="BS83" s="493"/>
      <c r="BT83" s="493"/>
      <c r="BU83" s="493"/>
      <c r="BV83" s="199"/>
      <c r="BW83" s="491">
        <v>133</v>
      </c>
      <c r="BX83" s="492">
        <v>102</v>
      </c>
      <c r="BY83" s="492">
        <v>112</v>
      </c>
      <c r="BZ83" s="492">
        <v>106</v>
      </c>
      <c r="CA83" s="493">
        <v>154</v>
      </c>
      <c r="CB83" s="493">
        <v>89</v>
      </c>
      <c r="CC83" s="493">
        <v>41</v>
      </c>
      <c r="CD83" s="493">
        <v>38</v>
      </c>
      <c r="CE83" s="199"/>
      <c r="CF83" s="491">
        <v>2</v>
      </c>
      <c r="CG83" s="492">
        <v>3</v>
      </c>
      <c r="CH83" s="492"/>
      <c r="CI83" s="492">
        <v>2</v>
      </c>
      <c r="CJ83" s="493">
        <v>1</v>
      </c>
      <c r="CK83" s="493">
        <v>2</v>
      </c>
      <c r="CL83" s="493"/>
      <c r="CM83" s="493">
        <v>2</v>
      </c>
      <c r="CN83" s="199"/>
      <c r="CO83" s="491">
        <v>2</v>
      </c>
      <c r="CP83" s="492"/>
      <c r="CQ83" s="492"/>
      <c r="CR83" s="492">
        <v>3</v>
      </c>
      <c r="CS83" s="493"/>
      <c r="CT83" s="493">
        <v>2</v>
      </c>
      <c r="CU83" s="493"/>
      <c r="CV83" s="493">
        <v>5</v>
      </c>
      <c r="CW83" s="199"/>
      <c r="CX83" s="491">
        <v>1286</v>
      </c>
      <c r="CY83" s="492">
        <v>1139</v>
      </c>
      <c r="CZ83" s="492">
        <v>1377</v>
      </c>
      <c r="DA83" s="492">
        <v>853</v>
      </c>
      <c r="DB83" s="493">
        <v>618</v>
      </c>
      <c r="DC83" s="493">
        <v>419</v>
      </c>
      <c r="DD83" s="493">
        <v>232</v>
      </c>
      <c r="DE83" s="493">
        <v>210</v>
      </c>
      <c r="DF83" s="199"/>
      <c r="DG83" s="491">
        <v>4</v>
      </c>
      <c r="DH83" s="492">
        <v>5</v>
      </c>
      <c r="DI83" s="492">
        <v>3</v>
      </c>
      <c r="DJ83" s="492">
        <v>1</v>
      </c>
      <c r="DK83" s="493">
        <v>1</v>
      </c>
      <c r="DL83" s="493"/>
      <c r="DM83" s="493">
        <v>1</v>
      </c>
      <c r="DN83" s="493"/>
      <c r="DO83" s="199"/>
      <c r="DP83" s="491">
        <v>22</v>
      </c>
      <c r="DQ83" s="492">
        <v>31</v>
      </c>
      <c r="DR83" s="492">
        <v>23</v>
      </c>
      <c r="DS83" s="492">
        <v>10</v>
      </c>
      <c r="DT83" s="493">
        <v>4</v>
      </c>
      <c r="DU83" s="493">
        <v>6</v>
      </c>
      <c r="DV83" s="493">
        <v>1</v>
      </c>
      <c r="DW83" s="493">
        <v>1</v>
      </c>
      <c r="DX83" s="199"/>
      <c r="DY83" s="491">
        <v>148</v>
      </c>
      <c r="DZ83" s="492">
        <v>202</v>
      </c>
      <c r="EA83" s="492">
        <v>219</v>
      </c>
      <c r="EB83" s="492">
        <v>101</v>
      </c>
      <c r="EC83" s="493">
        <v>104</v>
      </c>
      <c r="ED83" s="493">
        <v>62</v>
      </c>
      <c r="EE83" s="493">
        <v>44</v>
      </c>
      <c r="EF83" s="493">
        <v>35</v>
      </c>
      <c r="EG83" s="199"/>
      <c r="EH83" s="491">
        <v>11</v>
      </c>
      <c r="EI83" s="492">
        <v>13</v>
      </c>
      <c r="EJ83" s="492">
        <v>14</v>
      </c>
      <c r="EK83" s="492">
        <v>15</v>
      </c>
      <c r="EL83" s="493">
        <v>10</v>
      </c>
      <c r="EM83" s="493">
        <v>5</v>
      </c>
      <c r="EN83" s="493">
        <v>3</v>
      </c>
      <c r="EO83" s="493">
        <v>4</v>
      </c>
      <c r="EP83" s="199"/>
      <c r="EQ83" s="491">
        <v>4</v>
      </c>
      <c r="ER83" s="492">
        <v>3</v>
      </c>
      <c r="ES83" s="492">
        <v>6</v>
      </c>
      <c r="ET83" s="492">
        <v>12</v>
      </c>
      <c r="EU83" s="493">
        <v>7</v>
      </c>
      <c r="EV83" s="493">
        <v>2</v>
      </c>
      <c r="EW83" s="493">
        <v>9</v>
      </c>
      <c r="EX83" s="493">
        <v>4</v>
      </c>
      <c r="EY83" s="199"/>
      <c r="EZ83" s="491">
        <v>6</v>
      </c>
      <c r="FA83" s="492">
        <v>5</v>
      </c>
      <c r="FB83" s="492">
        <v>1</v>
      </c>
      <c r="FC83" s="492">
        <v>2</v>
      </c>
      <c r="FD83" s="493"/>
      <c r="FE83" s="493">
        <v>5</v>
      </c>
      <c r="FF83" s="493"/>
      <c r="FG83" s="493"/>
      <c r="FH83" s="199"/>
      <c r="FI83" s="491">
        <v>62</v>
      </c>
      <c r="FJ83" s="492">
        <v>71</v>
      </c>
      <c r="FK83" s="492">
        <v>37</v>
      </c>
      <c r="FL83" s="492">
        <v>31</v>
      </c>
      <c r="FM83" s="493">
        <v>20</v>
      </c>
      <c r="FN83" s="493">
        <v>19</v>
      </c>
      <c r="FO83" s="493">
        <v>13</v>
      </c>
      <c r="FP83" s="493">
        <v>1</v>
      </c>
      <c r="FQ83" s="199"/>
      <c r="FR83" s="491">
        <v>24</v>
      </c>
      <c r="FS83" s="492">
        <v>18</v>
      </c>
      <c r="FT83" s="492">
        <v>7</v>
      </c>
      <c r="FU83" s="492">
        <v>16</v>
      </c>
      <c r="FV83" s="493">
        <v>4</v>
      </c>
      <c r="FW83" s="493">
        <v>3</v>
      </c>
      <c r="FX83" s="493">
        <v>4</v>
      </c>
      <c r="FY83" s="493">
        <v>3</v>
      </c>
      <c r="FZ83" s="199"/>
      <c r="GA83" s="491">
        <v>10</v>
      </c>
      <c r="GB83" s="492">
        <v>7</v>
      </c>
      <c r="GC83" s="492">
        <v>4</v>
      </c>
      <c r="GD83" s="492">
        <v>6</v>
      </c>
      <c r="GE83" s="493">
        <v>6</v>
      </c>
      <c r="GF83" s="493">
        <v>6</v>
      </c>
      <c r="GG83" s="493">
        <v>9</v>
      </c>
      <c r="GH83" s="493">
        <v>5</v>
      </c>
      <c r="GI83" s="199"/>
      <c r="GJ83" s="491">
        <v>1734</v>
      </c>
      <c r="GK83" s="492">
        <v>1563</v>
      </c>
      <c r="GL83" s="492">
        <v>1738</v>
      </c>
      <c r="GM83" s="492">
        <v>1213</v>
      </c>
      <c r="GN83" s="493">
        <v>1049</v>
      </c>
      <c r="GO83" s="493">
        <v>705</v>
      </c>
      <c r="GP83" s="493">
        <v>409</v>
      </c>
      <c r="GQ83" s="493">
        <v>359</v>
      </c>
      <c r="GR83" s="199"/>
      <c r="GS83" s="491">
        <v>463</v>
      </c>
      <c r="GT83" s="492">
        <v>431</v>
      </c>
      <c r="GU83" s="492">
        <v>472</v>
      </c>
      <c r="GV83" s="492">
        <v>361</v>
      </c>
      <c r="GW83" s="493">
        <v>250</v>
      </c>
      <c r="GX83" s="493">
        <v>170</v>
      </c>
      <c r="GY83" s="493">
        <v>93</v>
      </c>
      <c r="GZ83" s="493">
        <v>78</v>
      </c>
      <c r="HA83" s="199"/>
      <c r="HB83" s="491">
        <v>5</v>
      </c>
      <c r="HC83" s="492">
        <v>5</v>
      </c>
      <c r="HD83" s="492">
        <v>3</v>
      </c>
      <c r="HE83" s="492">
        <v>6</v>
      </c>
      <c r="HF83" s="493">
        <v>7</v>
      </c>
      <c r="HG83" s="493">
        <v>5</v>
      </c>
      <c r="HH83" s="493">
        <v>2</v>
      </c>
      <c r="HI83" s="493">
        <v>3</v>
      </c>
      <c r="HJ83" s="199"/>
      <c r="HK83" s="491">
        <v>2</v>
      </c>
      <c r="HL83" s="492">
        <v>1</v>
      </c>
      <c r="HM83" s="492"/>
      <c r="HN83" s="492">
        <v>1</v>
      </c>
      <c r="HO83" s="493">
        <v>2</v>
      </c>
      <c r="HP83" s="493"/>
      <c r="HQ83" s="493"/>
      <c r="HR83" s="493"/>
      <c r="HS83" s="199"/>
      <c r="HT83" s="491">
        <v>593</v>
      </c>
      <c r="HU83" s="492">
        <v>538</v>
      </c>
      <c r="HV83" s="492">
        <v>558</v>
      </c>
      <c r="HW83" s="492">
        <v>464</v>
      </c>
      <c r="HX83" s="493">
        <v>374</v>
      </c>
      <c r="HY83" s="493">
        <v>293</v>
      </c>
      <c r="HZ83" s="493">
        <v>213</v>
      </c>
      <c r="IA83" s="493">
        <v>186</v>
      </c>
      <c r="IB83" s="199"/>
      <c r="IC83" s="491">
        <v>2205</v>
      </c>
      <c r="ID83" s="492">
        <v>2252</v>
      </c>
      <c r="IE83" s="492">
        <v>2367</v>
      </c>
      <c r="IF83" s="492">
        <v>1650</v>
      </c>
      <c r="IG83" s="493">
        <v>1425</v>
      </c>
      <c r="IH83" s="493">
        <v>1104</v>
      </c>
      <c r="II83" s="493">
        <v>739</v>
      </c>
      <c r="IJ83" s="493">
        <v>647</v>
      </c>
      <c r="IK83" s="199"/>
      <c r="IL83" s="491">
        <v>359</v>
      </c>
      <c r="IM83" s="492">
        <v>349</v>
      </c>
      <c r="IN83" s="492">
        <v>381</v>
      </c>
      <c r="IO83" s="492">
        <v>134</v>
      </c>
      <c r="IP83" s="493">
        <v>77</v>
      </c>
      <c r="IQ83" s="493">
        <v>79</v>
      </c>
      <c r="IR83" s="493">
        <v>51</v>
      </c>
      <c r="IS83" s="493">
        <v>44</v>
      </c>
      <c r="IT83" s="199"/>
      <c r="IU83" s="533">
        <v>3399.2631075893751</v>
      </c>
      <c r="IV83" s="534">
        <v>3488.0118951737809</v>
      </c>
      <c r="IW83" s="534">
        <v>3672.6714146068985</v>
      </c>
      <c r="IX83" s="534">
        <v>2536.1984690583786</v>
      </c>
      <c r="IY83" s="535">
        <v>2192.2402387618845</v>
      </c>
      <c r="IZ83" s="535">
        <v>1774.2829685089769</v>
      </c>
      <c r="JA83" s="535">
        <v>1423.453270668002</v>
      </c>
      <c r="JB83" s="535">
        <v>1249.1794416341661</v>
      </c>
      <c r="JC83" s="536"/>
      <c r="JD83" s="537">
        <v>914.17824163287958</v>
      </c>
      <c r="JE83" s="538">
        <v>833.28170497490862</v>
      </c>
      <c r="JF83" s="538">
        <v>865.80086580086584</v>
      </c>
      <c r="JG83" s="538">
        <v>713.20975129884096</v>
      </c>
      <c r="JH83" s="538">
        <v>575.36691178732963</v>
      </c>
      <c r="JI83" s="539">
        <v>467.66468589339866</v>
      </c>
      <c r="JJ83" s="539">
        <v>410.27814161337551</v>
      </c>
      <c r="JK83" s="539">
        <v>359.11495540023941</v>
      </c>
      <c r="JL83" s="536"/>
      <c r="JM83" s="537">
        <v>2673.1620084172228</v>
      </c>
      <c r="JN83" s="538">
        <v>2420.8537265349109</v>
      </c>
      <c r="JO83" s="538">
        <v>2696.7059225123739</v>
      </c>
      <c r="JP83" s="538">
        <v>1864.4901472532204</v>
      </c>
      <c r="JQ83" s="538">
        <v>1613.7964985692747</v>
      </c>
      <c r="JR83" s="539">
        <v>1129.065890340577</v>
      </c>
      <c r="JS83" s="539">
        <v>787.81107943601205</v>
      </c>
      <c r="JT83" s="539">
        <v>693.13047843379536</v>
      </c>
      <c r="JU83" s="536"/>
      <c r="JV83" s="537">
        <v>713.76817179767829</v>
      </c>
      <c r="JW83" s="538">
        <v>667.55467443157181</v>
      </c>
      <c r="JX83" s="538">
        <v>732.3620226846034</v>
      </c>
      <c r="JY83" s="538">
        <v>554.88948323034833</v>
      </c>
      <c r="JZ83" s="538">
        <v>384.6035506599797</v>
      </c>
      <c r="KA83" s="539">
        <v>273.16509646391592</v>
      </c>
      <c r="KB83" s="539">
        <v>179.13552661992449</v>
      </c>
      <c r="KC83" s="539">
        <v>150.59659420010041</v>
      </c>
      <c r="KD83" s="536"/>
    </row>
    <row r="84" spans="1:290" ht="15" customHeight="1" x14ac:dyDescent="0.2">
      <c r="A84" s="930"/>
      <c r="B84" s="490" t="s">
        <v>696</v>
      </c>
      <c r="C84" s="491"/>
      <c r="D84" s="492"/>
      <c r="E84" s="492"/>
      <c r="F84" s="492">
        <v>1</v>
      </c>
      <c r="G84" s="493"/>
      <c r="H84" s="493"/>
      <c r="I84" s="493"/>
      <c r="J84" s="493"/>
      <c r="K84" s="199"/>
      <c r="L84" s="491"/>
      <c r="M84" s="492"/>
      <c r="N84" s="492"/>
      <c r="O84" s="492">
        <v>1</v>
      </c>
      <c r="P84" s="493"/>
      <c r="Q84" s="493"/>
      <c r="R84" s="493"/>
      <c r="S84" s="493"/>
      <c r="T84" s="199"/>
      <c r="U84" s="491"/>
      <c r="V84" s="492"/>
      <c r="W84" s="492"/>
      <c r="X84" s="492"/>
      <c r="Y84" s="493"/>
      <c r="Z84" s="493"/>
      <c r="AA84" s="493"/>
      <c r="AB84" s="493"/>
      <c r="AC84" s="199"/>
      <c r="AD84" s="491">
        <v>78</v>
      </c>
      <c r="AE84" s="492">
        <v>82</v>
      </c>
      <c r="AF84" s="492">
        <v>68</v>
      </c>
      <c r="AG84" s="492">
        <v>78</v>
      </c>
      <c r="AH84" s="493">
        <v>80</v>
      </c>
      <c r="AI84" s="493">
        <v>75</v>
      </c>
      <c r="AJ84" s="493">
        <v>81</v>
      </c>
      <c r="AK84" s="493">
        <v>62</v>
      </c>
      <c r="AL84" s="199"/>
      <c r="AM84" s="491">
        <v>56</v>
      </c>
      <c r="AN84" s="492">
        <v>55</v>
      </c>
      <c r="AO84" s="492">
        <v>43</v>
      </c>
      <c r="AP84" s="492">
        <v>64</v>
      </c>
      <c r="AQ84" s="493">
        <v>52</v>
      </c>
      <c r="AR84" s="493">
        <v>52</v>
      </c>
      <c r="AS84" s="493">
        <v>59</v>
      </c>
      <c r="AT84" s="493">
        <v>51</v>
      </c>
      <c r="AU84" s="199"/>
      <c r="AV84" s="491"/>
      <c r="AW84" s="492"/>
      <c r="AX84" s="492"/>
      <c r="AY84" s="492"/>
      <c r="AZ84" s="493"/>
      <c r="BA84" s="493"/>
      <c r="BB84" s="493"/>
      <c r="BC84" s="493"/>
      <c r="BD84" s="199"/>
      <c r="BE84" s="491">
        <v>16</v>
      </c>
      <c r="BF84" s="492">
        <v>8</v>
      </c>
      <c r="BG84" s="492">
        <v>11</v>
      </c>
      <c r="BH84" s="492">
        <v>4</v>
      </c>
      <c r="BI84" s="493">
        <v>3</v>
      </c>
      <c r="BJ84" s="493">
        <v>1</v>
      </c>
      <c r="BK84" s="493">
        <v>2</v>
      </c>
      <c r="BL84" s="493"/>
      <c r="BM84" s="199"/>
      <c r="BN84" s="491"/>
      <c r="BO84" s="492"/>
      <c r="BP84" s="492"/>
      <c r="BQ84" s="492">
        <v>1</v>
      </c>
      <c r="BR84" s="493"/>
      <c r="BS84" s="493"/>
      <c r="BT84" s="493"/>
      <c r="BU84" s="493"/>
      <c r="BV84" s="199"/>
      <c r="BW84" s="491">
        <v>34</v>
      </c>
      <c r="BX84" s="492">
        <v>45</v>
      </c>
      <c r="BY84" s="492">
        <v>50</v>
      </c>
      <c r="BZ84" s="492">
        <v>49</v>
      </c>
      <c r="CA84" s="493">
        <v>67</v>
      </c>
      <c r="CB84" s="493">
        <v>64</v>
      </c>
      <c r="CC84" s="493">
        <v>59</v>
      </c>
      <c r="CD84" s="493">
        <v>51</v>
      </c>
      <c r="CE84" s="199"/>
      <c r="CF84" s="491"/>
      <c r="CG84" s="492"/>
      <c r="CH84" s="492">
        <v>1</v>
      </c>
      <c r="CI84" s="492">
        <v>1</v>
      </c>
      <c r="CJ84" s="493">
        <v>2</v>
      </c>
      <c r="CK84" s="493">
        <v>1</v>
      </c>
      <c r="CL84" s="493">
        <v>1</v>
      </c>
      <c r="CM84" s="493">
        <v>1</v>
      </c>
      <c r="CN84" s="199"/>
      <c r="CO84" s="491">
        <v>1</v>
      </c>
      <c r="CP84" s="492">
        <v>1</v>
      </c>
      <c r="CQ84" s="492"/>
      <c r="CR84" s="492"/>
      <c r="CS84" s="493">
        <v>2</v>
      </c>
      <c r="CT84" s="493"/>
      <c r="CU84" s="493"/>
      <c r="CV84" s="493">
        <v>2</v>
      </c>
      <c r="CW84" s="199"/>
      <c r="CX84" s="491">
        <v>291</v>
      </c>
      <c r="CY84" s="492">
        <v>363</v>
      </c>
      <c r="CZ84" s="492">
        <v>432</v>
      </c>
      <c r="DA84" s="492">
        <v>402</v>
      </c>
      <c r="DB84" s="493">
        <v>167</v>
      </c>
      <c r="DC84" s="493">
        <v>123</v>
      </c>
      <c r="DD84" s="493">
        <v>182</v>
      </c>
      <c r="DE84" s="493">
        <v>150</v>
      </c>
      <c r="DF84" s="199"/>
      <c r="DG84" s="491">
        <v>1</v>
      </c>
      <c r="DH84" s="492"/>
      <c r="DI84" s="492">
        <v>1</v>
      </c>
      <c r="DJ84" s="492"/>
      <c r="DK84" s="493"/>
      <c r="DL84" s="493"/>
      <c r="DM84" s="493"/>
      <c r="DN84" s="493"/>
      <c r="DO84" s="199"/>
      <c r="DP84" s="491">
        <v>1</v>
      </c>
      <c r="DQ84" s="492">
        <v>10</v>
      </c>
      <c r="DR84" s="492">
        <v>4</v>
      </c>
      <c r="DS84" s="492">
        <v>2</v>
      </c>
      <c r="DT84" s="493">
        <v>1</v>
      </c>
      <c r="DU84" s="493">
        <v>1</v>
      </c>
      <c r="DV84" s="493">
        <v>4</v>
      </c>
      <c r="DW84" s="493">
        <v>3</v>
      </c>
      <c r="DX84" s="199"/>
      <c r="DY84" s="491">
        <v>43</v>
      </c>
      <c r="DZ84" s="492">
        <v>54</v>
      </c>
      <c r="EA84" s="492">
        <v>61</v>
      </c>
      <c r="EB84" s="492">
        <v>35</v>
      </c>
      <c r="EC84" s="493">
        <v>25</v>
      </c>
      <c r="ED84" s="493">
        <v>12</v>
      </c>
      <c r="EE84" s="493">
        <v>37</v>
      </c>
      <c r="EF84" s="493">
        <v>38</v>
      </c>
      <c r="EG84" s="199"/>
      <c r="EH84" s="491">
        <v>3</v>
      </c>
      <c r="EI84" s="492">
        <v>8</v>
      </c>
      <c r="EJ84" s="492">
        <v>6</v>
      </c>
      <c r="EK84" s="492">
        <v>4</v>
      </c>
      <c r="EL84" s="493">
        <v>6</v>
      </c>
      <c r="EM84" s="493"/>
      <c r="EN84" s="493"/>
      <c r="EO84" s="493">
        <v>2</v>
      </c>
      <c r="EP84" s="199"/>
      <c r="EQ84" s="491"/>
      <c r="ER84" s="492"/>
      <c r="ES84" s="492"/>
      <c r="ET84" s="492">
        <v>2</v>
      </c>
      <c r="EU84" s="493">
        <v>1</v>
      </c>
      <c r="EV84" s="493"/>
      <c r="EW84" s="493"/>
      <c r="EX84" s="493">
        <v>1</v>
      </c>
      <c r="EY84" s="199"/>
      <c r="EZ84" s="491"/>
      <c r="FA84" s="492"/>
      <c r="FB84" s="492"/>
      <c r="FC84" s="492"/>
      <c r="FD84" s="493">
        <v>4</v>
      </c>
      <c r="FE84" s="493"/>
      <c r="FF84" s="493"/>
      <c r="FG84" s="493"/>
      <c r="FH84" s="199"/>
      <c r="FI84" s="491">
        <v>7</v>
      </c>
      <c r="FJ84" s="492">
        <v>8</v>
      </c>
      <c r="FK84" s="492">
        <v>9</v>
      </c>
      <c r="FL84" s="492">
        <v>16</v>
      </c>
      <c r="FM84" s="493">
        <v>7</v>
      </c>
      <c r="FN84" s="493">
        <v>14</v>
      </c>
      <c r="FO84" s="493">
        <v>11</v>
      </c>
      <c r="FP84" s="493">
        <v>4</v>
      </c>
      <c r="FQ84" s="199"/>
      <c r="FR84" s="491">
        <v>1</v>
      </c>
      <c r="FS84" s="492"/>
      <c r="FT84" s="492">
        <v>1</v>
      </c>
      <c r="FU84" s="492">
        <v>1</v>
      </c>
      <c r="FV84" s="493"/>
      <c r="FW84" s="493">
        <v>2</v>
      </c>
      <c r="FX84" s="493"/>
      <c r="FY84" s="493">
        <v>2</v>
      </c>
      <c r="FZ84" s="199"/>
      <c r="GA84" s="491">
        <v>3</v>
      </c>
      <c r="GB84" s="492">
        <v>1</v>
      </c>
      <c r="GC84" s="492">
        <v>2</v>
      </c>
      <c r="GD84" s="492">
        <v>5</v>
      </c>
      <c r="GE84" s="493">
        <v>5</v>
      </c>
      <c r="GF84" s="493"/>
      <c r="GG84" s="493">
        <v>2</v>
      </c>
      <c r="GH84" s="493">
        <v>1</v>
      </c>
      <c r="GI84" s="199"/>
      <c r="GJ84" s="491">
        <v>434</v>
      </c>
      <c r="GK84" s="492">
        <v>516</v>
      </c>
      <c r="GL84" s="492">
        <v>580</v>
      </c>
      <c r="GM84" s="492">
        <v>564</v>
      </c>
      <c r="GN84" s="493">
        <v>344</v>
      </c>
      <c r="GO84" s="493">
        <v>280</v>
      </c>
      <c r="GP84" s="493">
        <v>338</v>
      </c>
      <c r="GQ84" s="493">
        <v>276</v>
      </c>
      <c r="GR84" s="199"/>
      <c r="GS84" s="491">
        <v>103</v>
      </c>
      <c r="GT84" s="492">
        <v>158</v>
      </c>
      <c r="GU84" s="492">
        <v>156</v>
      </c>
      <c r="GV84" s="492">
        <v>155</v>
      </c>
      <c r="GW84" s="493">
        <v>88</v>
      </c>
      <c r="GX84" s="493">
        <v>111</v>
      </c>
      <c r="GY84" s="493">
        <v>111</v>
      </c>
      <c r="GZ84" s="493">
        <v>71</v>
      </c>
      <c r="HA84" s="199"/>
      <c r="HB84" s="491">
        <v>2</v>
      </c>
      <c r="HC84" s="492">
        <v>1</v>
      </c>
      <c r="HD84" s="492"/>
      <c r="HE84" s="492">
        <v>1</v>
      </c>
      <c r="HF84" s="493">
        <v>1</v>
      </c>
      <c r="HG84" s="493">
        <v>3</v>
      </c>
      <c r="HH84" s="493">
        <v>1</v>
      </c>
      <c r="HI84" s="493">
        <v>2</v>
      </c>
      <c r="HJ84" s="199"/>
      <c r="HK84" s="491"/>
      <c r="HL84" s="492"/>
      <c r="HM84" s="492"/>
      <c r="HN84" s="492"/>
      <c r="HO84" s="493"/>
      <c r="HP84" s="493"/>
      <c r="HQ84" s="493">
        <v>2</v>
      </c>
      <c r="HR84" s="493">
        <v>1</v>
      </c>
      <c r="HS84" s="199"/>
      <c r="HT84" s="491">
        <v>148</v>
      </c>
      <c r="HU84" s="492">
        <v>184</v>
      </c>
      <c r="HV84" s="492">
        <v>174</v>
      </c>
      <c r="HW84" s="492">
        <v>206</v>
      </c>
      <c r="HX84" s="493">
        <v>144</v>
      </c>
      <c r="HY84" s="493">
        <v>174</v>
      </c>
      <c r="HZ84" s="493">
        <v>159</v>
      </c>
      <c r="IA84" s="493">
        <v>152</v>
      </c>
      <c r="IB84" s="199"/>
      <c r="IC84" s="491">
        <v>758</v>
      </c>
      <c r="ID84" s="492">
        <v>780</v>
      </c>
      <c r="IE84" s="492">
        <v>836</v>
      </c>
      <c r="IF84" s="492">
        <v>772</v>
      </c>
      <c r="IG84" s="493">
        <v>534</v>
      </c>
      <c r="IH84" s="493">
        <v>463</v>
      </c>
      <c r="II84" s="493">
        <v>516</v>
      </c>
      <c r="IJ84" s="493">
        <v>486</v>
      </c>
      <c r="IK84" s="199"/>
      <c r="IL84" s="491">
        <v>74</v>
      </c>
      <c r="IM84" s="492">
        <v>99</v>
      </c>
      <c r="IN84" s="492">
        <v>112</v>
      </c>
      <c r="IO84" s="492">
        <v>106</v>
      </c>
      <c r="IP84" s="493">
        <v>25</v>
      </c>
      <c r="IQ84" s="493">
        <v>15</v>
      </c>
      <c r="IR84" s="493">
        <v>51</v>
      </c>
      <c r="IS84" s="493">
        <v>50</v>
      </c>
      <c r="IT84" s="199"/>
      <c r="IU84" s="533">
        <v>2396.0045517764574</v>
      </c>
      <c r="IV84" s="534">
        <v>2466.7931688804556</v>
      </c>
      <c r="IW84" s="534">
        <v>2670.4146170063245</v>
      </c>
      <c r="IX84" s="534">
        <v>2447.1423590198751</v>
      </c>
      <c r="IY84" s="535">
        <v>1704.3278437380316</v>
      </c>
      <c r="IZ84" s="535">
        <v>1385.5769297265922</v>
      </c>
      <c r="JA84" s="535">
        <v>1303.9193389432189</v>
      </c>
      <c r="JB84" s="535">
        <v>1236.3266344441618</v>
      </c>
      <c r="JC84" s="536"/>
      <c r="JD84" s="537">
        <v>467.8214692122898</v>
      </c>
      <c r="JE84" s="538">
        <v>581.91018342820996</v>
      </c>
      <c r="JF84" s="538">
        <v>555.80399923337382</v>
      </c>
      <c r="JG84" s="538">
        <v>652.99394554157288</v>
      </c>
      <c r="JH84" s="538">
        <v>459.59402527767145</v>
      </c>
      <c r="JI84" s="539">
        <v>501.54140465112084</v>
      </c>
      <c r="JJ84" s="539">
        <v>401.7890986278523</v>
      </c>
      <c r="JK84" s="539">
        <v>386.67005850928518</v>
      </c>
      <c r="JL84" s="536"/>
      <c r="JM84" s="537">
        <v>1371.8548489063094</v>
      </c>
      <c r="JN84" s="538">
        <v>1631.8785578747629</v>
      </c>
      <c r="JO84" s="538">
        <v>1852.6799974445792</v>
      </c>
      <c r="JP84" s="538">
        <v>1787.8086664342093</v>
      </c>
      <c r="JQ84" s="538">
        <v>1097.9190603855482</v>
      </c>
      <c r="JR84" s="539">
        <v>837.80529690820799</v>
      </c>
      <c r="JS84" s="539">
        <v>854.11770651706979</v>
      </c>
      <c r="JT84" s="539">
        <v>702.11142203001782</v>
      </c>
      <c r="JU84" s="536"/>
      <c r="JV84" s="537">
        <v>325.57845492476923</v>
      </c>
      <c r="JW84" s="538">
        <v>499.68374446552821</v>
      </c>
      <c r="JX84" s="538">
        <v>498.3070337954386</v>
      </c>
      <c r="JY84" s="538">
        <v>491.33039591720291</v>
      </c>
      <c r="JZ84" s="538">
        <v>280.86301544746584</v>
      </c>
      <c r="KA84" s="539">
        <v>318.44082808512428</v>
      </c>
      <c r="KB84" s="539">
        <v>280.49427640057615</v>
      </c>
      <c r="KC84" s="539">
        <v>180.6156194352582</v>
      </c>
      <c r="KD84" s="536"/>
    </row>
    <row r="85" spans="1:290" ht="15" customHeight="1" x14ac:dyDescent="0.2">
      <c r="A85" s="930"/>
      <c r="B85" s="490" t="s">
        <v>697</v>
      </c>
      <c r="C85" s="491"/>
      <c r="D85" s="492">
        <v>1</v>
      </c>
      <c r="E85" s="492"/>
      <c r="F85" s="492">
        <v>1</v>
      </c>
      <c r="G85" s="493">
        <v>1</v>
      </c>
      <c r="H85" s="493">
        <v>1</v>
      </c>
      <c r="I85" s="493">
        <v>2</v>
      </c>
      <c r="J85" s="493"/>
      <c r="K85" s="199"/>
      <c r="L85" s="491"/>
      <c r="M85" s="492"/>
      <c r="N85" s="492"/>
      <c r="O85" s="492">
        <v>1</v>
      </c>
      <c r="P85" s="493"/>
      <c r="Q85" s="493">
        <v>1</v>
      </c>
      <c r="R85" s="493">
        <v>1</v>
      </c>
      <c r="S85" s="493"/>
      <c r="T85" s="199"/>
      <c r="U85" s="491"/>
      <c r="V85" s="492"/>
      <c r="W85" s="492"/>
      <c r="X85" s="492"/>
      <c r="Y85" s="493">
        <v>1</v>
      </c>
      <c r="Z85" s="493"/>
      <c r="AA85" s="493"/>
      <c r="AB85" s="493"/>
      <c r="AC85" s="199"/>
      <c r="AD85" s="491">
        <v>91</v>
      </c>
      <c r="AE85" s="492">
        <v>99</v>
      </c>
      <c r="AF85" s="492">
        <v>116</v>
      </c>
      <c r="AG85" s="492">
        <v>90</v>
      </c>
      <c r="AH85" s="493">
        <v>109</v>
      </c>
      <c r="AI85" s="493">
        <v>98</v>
      </c>
      <c r="AJ85" s="493">
        <v>58</v>
      </c>
      <c r="AK85" s="493">
        <v>54</v>
      </c>
      <c r="AL85" s="199"/>
      <c r="AM85" s="491">
        <v>79</v>
      </c>
      <c r="AN85" s="492">
        <v>73</v>
      </c>
      <c r="AO85" s="492">
        <v>54</v>
      </c>
      <c r="AP85" s="492">
        <v>49</v>
      </c>
      <c r="AQ85" s="493">
        <v>46</v>
      </c>
      <c r="AR85" s="493">
        <v>65</v>
      </c>
      <c r="AS85" s="493">
        <v>38</v>
      </c>
      <c r="AT85" s="493">
        <v>35</v>
      </c>
      <c r="AU85" s="199"/>
      <c r="AV85" s="491"/>
      <c r="AW85" s="492">
        <v>1</v>
      </c>
      <c r="AX85" s="492"/>
      <c r="AY85" s="492"/>
      <c r="AZ85" s="493">
        <v>1</v>
      </c>
      <c r="BA85" s="493"/>
      <c r="BB85" s="493"/>
      <c r="BC85" s="493"/>
      <c r="BD85" s="199"/>
      <c r="BE85" s="491">
        <v>2</v>
      </c>
      <c r="BF85" s="492">
        <v>4</v>
      </c>
      <c r="BG85" s="492">
        <v>5</v>
      </c>
      <c r="BH85" s="492">
        <v>5</v>
      </c>
      <c r="BI85" s="493">
        <v>9</v>
      </c>
      <c r="BJ85" s="493"/>
      <c r="BK85" s="493">
        <v>1</v>
      </c>
      <c r="BL85" s="493">
        <v>8</v>
      </c>
      <c r="BM85" s="199"/>
      <c r="BN85" s="491"/>
      <c r="BO85" s="492"/>
      <c r="BP85" s="492"/>
      <c r="BQ85" s="492"/>
      <c r="BR85" s="493"/>
      <c r="BS85" s="493">
        <v>1</v>
      </c>
      <c r="BT85" s="493"/>
      <c r="BU85" s="493"/>
      <c r="BV85" s="199"/>
      <c r="BW85" s="491">
        <v>31</v>
      </c>
      <c r="BX85" s="492">
        <v>40</v>
      </c>
      <c r="BY85" s="492">
        <v>43</v>
      </c>
      <c r="BZ85" s="492">
        <v>71</v>
      </c>
      <c r="CA85" s="493">
        <v>48</v>
      </c>
      <c r="CB85" s="493">
        <v>33</v>
      </c>
      <c r="CC85" s="493">
        <v>27</v>
      </c>
      <c r="CD85" s="493">
        <v>21</v>
      </c>
      <c r="CE85" s="199"/>
      <c r="CF85" s="491">
        <v>2</v>
      </c>
      <c r="CG85" s="492">
        <v>3</v>
      </c>
      <c r="CH85" s="492">
        <v>4</v>
      </c>
      <c r="CI85" s="492"/>
      <c r="CJ85" s="493">
        <v>1</v>
      </c>
      <c r="CK85" s="493">
        <v>3</v>
      </c>
      <c r="CL85" s="493">
        <v>1</v>
      </c>
      <c r="CM85" s="493">
        <v>1</v>
      </c>
      <c r="CN85" s="199"/>
      <c r="CO85" s="491">
        <v>8</v>
      </c>
      <c r="CP85" s="492">
        <v>1</v>
      </c>
      <c r="CQ85" s="492">
        <v>1</v>
      </c>
      <c r="CR85" s="492"/>
      <c r="CS85" s="493"/>
      <c r="CT85" s="493"/>
      <c r="CU85" s="493">
        <v>1</v>
      </c>
      <c r="CV85" s="493"/>
      <c r="CW85" s="199"/>
      <c r="CX85" s="491">
        <v>690</v>
      </c>
      <c r="CY85" s="492">
        <v>644</v>
      </c>
      <c r="CZ85" s="492">
        <v>617</v>
      </c>
      <c r="DA85" s="492">
        <v>551</v>
      </c>
      <c r="DB85" s="493">
        <v>338</v>
      </c>
      <c r="DC85" s="493">
        <v>266</v>
      </c>
      <c r="DD85" s="493">
        <v>214</v>
      </c>
      <c r="DE85" s="493">
        <v>178</v>
      </c>
      <c r="DF85" s="199"/>
      <c r="DG85" s="491">
        <v>3</v>
      </c>
      <c r="DH85" s="492">
        <v>1</v>
      </c>
      <c r="DI85" s="492">
        <v>1</v>
      </c>
      <c r="DJ85" s="492">
        <v>3</v>
      </c>
      <c r="DK85" s="493"/>
      <c r="DL85" s="493"/>
      <c r="DM85" s="493"/>
      <c r="DN85" s="493"/>
      <c r="DO85" s="199"/>
      <c r="DP85" s="491">
        <v>12</v>
      </c>
      <c r="DQ85" s="492">
        <v>13</v>
      </c>
      <c r="DR85" s="492">
        <v>8</v>
      </c>
      <c r="DS85" s="492">
        <v>4</v>
      </c>
      <c r="DT85" s="493">
        <v>3</v>
      </c>
      <c r="DU85" s="493">
        <v>2</v>
      </c>
      <c r="DV85" s="493">
        <v>1</v>
      </c>
      <c r="DW85" s="493">
        <v>3</v>
      </c>
      <c r="DX85" s="199"/>
      <c r="DY85" s="491">
        <v>44</v>
      </c>
      <c r="DZ85" s="492">
        <v>65</v>
      </c>
      <c r="EA85" s="492">
        <v>48</v>
      </c>
      <c r="EB85" s="492">
        <v>46</v>
      </c>
      <c r="EC85" s="493">
        <v>41</v>
      </c>
      <c r="ED85" s="493">
        <v>72</v>
      </c>
      <c r="EE85" s="493">
        <v>50</v>
      </c>
      <c r="EF85" s="493">
        <v>36</v>
      </c>
      <c r="EG85" s="199"/>
      <c r="EH85" s="491">
        <v>11</v>
      </c>
      <c r="EI85" s="492">
        <v>6</v>
      </c>
      <c r="EJ85" s="492">
        <v>7</v>
      </c>
      <c r="EK85" s="492">
        <v>6</v>
      </c>
      <c r="EL85" s="493">
        <v>5</v>
      </c>
      <c r="EM85" s="493">
        <v>4</v>
      </c>
      <c r="EN85" s="493">
        <v>6</v>
      </c>
      <c r="EO85" s="493">
        <v>1</v>
      </c>
      <c r="EP85" s="199"/>
      <c r="EQ85" s="491">
        <v>1</v>
      </c>
      <c r="ER85" s="492">
        <v>1</v>
      </c>
      <c r="ES85" s="492">
        <v>3</v>
      </c>
      <c r="ET85" s="492"/>
      <c r="EU85" s="493">
        <v>2</v>
      </c>
      <c r="EV85" s="493">
        <v>1</v>
      </c>
      <c r="EW85" s="493">
        <v>7</v>
      </c>
      <c r="EX85" s="493">
        <v>2</v>
      </c>
      <c r="EY85" s="199"/>
      <c r="EZ85" s="491">
        <v>2</v>
      </c>
      <c r="FA85" s="492">
        <v>1</v>
      </c>
      <c r="FB85" s="492">
        <v>5</v>
      </c>
      <c r="FC85" s="492">
        <v>6</v>
      </c>
      <c r="FD85" s="493">
        <v>5</v>
      </c>
      <c r="FE85" s="493"/>
      <c r="FF85" s="493">
        <v>1</v>
      </c>
      <c r="FG85" s="493"/>
      <c r="FH85" s="199"/>
      <c r="FI85" s="491">
        <v>31</v>
      </c>
      <c r="FJ85" s="492">
        <v>51</v>
      </c>
      <c r="FK85" s="492">
        <v>32</v>
      </c>
      <c r="FL85" s="492">
        <v>39</v>
      </c>
      <c r="FM85" s="493">
        <v>24</v>
      </c>
      <c r="FN85" s="493">
        <v>35</v>
      </c>
      <c r="FO85" s="493">
        <v>9</v>
      </c>
      <c r="FP85" s="493">
        <v>5</v>
      </c>
      <c r="FQ85" s="199"/>
      <c r="FR85" s="491">
        <v>1</v>
      </c>
      <c r="FS85" s="492">
        <v>7</v>
      </c>
      <c r="FT85" s="492">
        <v>4</v>
      </c>
      <c r="FU85" s="492"/>
      <c r="FV85" s="493"/>
      <c r="FW85" s="493">
        <v>3</v>
      </c>
      <c r="FX85" s="493">
        <v>1</v>
      </c>
      <c r="FY85" s="493"/>
      <c r="FZ85" s="199"/>
      <c r="GA85" s="491">
        <v>2</v>
      </c>
      <c r="GB85" s="492">
        <v>1</v>
      </c>
      <c r="GC85" s="492">
        <v>5</v>
      </c>
      <c r="GD85" s="492">
        <v>4</v>
      </c>
      <c r="GE85" s="493">
        <v>1</v>
      </c>
      <c r="GF85" s="493">
        <v>3</v>
      </c>
      <c r="GG85" s="493">
        <v>2</v>
      </c>
      <c r="GH85" s="493">
        <v>4</v>
      </c>
      <c r="GI85" s="199"/>
      <c r="GJ85" s="491">
        <v>872</v>
      </c>
      <c r="GK85" s="492">
        <v>859</v>
      </c>
      <c r="GL85" s="492">
        <v>842</v>
      </c>
      <c r="GM85" s="492">
        <v>773</v>
      </c>
      <c r="GN85" s="493">
        <v>543</v>
      </c>
      <c r="GO85" s="493">
        <v>448</v>
      </c>
      <c r="GP85" s="493">
        <v>330</v>
      </c>
      <c r="GQ85" s="493">
        <v>274</v>
      </c>
      <c r="GR85" s="199"/>
      <c r="GS85" s="491">
        <v>228</v>
      </c>
      <c r="GT85" s="492">
        <v>261</v>
      </c>
      <c r="GU85" s="492">
        <v>239</v>
      </c>
      <c r="GV85" s="492">
        <v>202</v>
      </c>
      <c r="GW85" s="493">
        <v>144</v>
      </c>
      <c r="GX85" s="493">
        <v>105</v>
      </c>
      <c r="GY85" s="493">
        <v>63</v>
      </c>
      <c r="GZ85" s="493">
        <v>47</v>
      </c>
      <c r="HA85" s="199"/>
      <c r="HB85" s="491">
        <v>5</v>
      </c>
      <c r="HC85" s="492">
        <v>4</v>
      </c>
      <c r="HD85" s="492">
        <v>4</v>
      </c>
      <c r="HE85" s="492">
        <v>4</v>
      </c>
      <c r="HF85" s="493">
        <v>5</v>
      </c>
      <c r="HG85" s="493"/>
      <c r="HH85" s="493">
        <v>6</v>
      </c>
      <c r="HI85" s="493">
        <v>1</v>
      </c>
      <c r="HJ85" s="199"/>
      <c r="HK85" s="491"/>
      <c r="HL85" s="492">
        <v>1</v>
      </c>
      <c r="HM85" s="492">
        <v>2</v>
      </c>
      <c r="HN85" s="492">
        <v>1</v>
      </c>
      <c r="HO85" s="493">
        <v>1</v>
      </c>
      <c r="HP85" s="493">
        <v>1</v>
      </c>
      <c r="HQ85" s="493">
        <v>1</v>
      </c>
      <c r="HR85" s="493"/>
      <c r="HS85" s="199"/>
      <c r="HT85" s="491">
        <v>319</v>
      </c>
      <c r="HU85" s="492">
        <v>328</v>
      </c>
      <c r="HV85" s="492">
        <v>305</v>
      </c>
      <c r="HW85" s="492">
        <v>287</v>
      </c>
      <c r="HX85" s="493">
        <v>241</v>
      </c>
      <c r="HY85" s="493">
        <v>197</v>
      </c>
      <c r="HZ85" s="493">
        <v>158</v>
      </c>
      <c r="IA85" s="493">
        <v>139</v>
      </c>
      <c r="IB85" s="199"/>
      <c r="IC85" s="491">
        <v>1421</v>
      </c>
      <c r="ID85" s="492">
        <v>1425</v>
      </c>
      <c r="IE85" s="492">
        <v>1166</v>
      </c>
      <c r="IF85" s="492">
        <v>1177</v>
      </c>
      <c r="IG85" s="493">
        <v>906</v>
      </c>
      <c r="IH85" s="493">
        <v>827</v>
      </c>
      <c r="II85" s="493">
        <v>600</v>
      </c>
      <c r="IJ85" s="493">
        <v>998</v>
      </c>
      <c r="IK85" s="199"/>
      <c r="IL85" s="491">
        <v>102</v>
      </c>
      <c r="IM85" s="492">
        <v>106</v>
      </c>
      <c r="IN85" s="492">
        <v>85</v>
      </c>
      <c r="IO85" s="492">
        <v>77</v>
      </c>
      <c r="IP85" s="493">
        <v>45</v>
      </c>
      <c r="IQ85" s="493">
        <v>85</v>
      </c>
      <c r="IR85" s="493">
        <v>60</v>
      </c>
      <c r="IS85" s="493">
        <v>44</v>
      </c>
      <c r="IT85" s="199"/>
      <c r="IU85" s="533">
        <v>3349.9139536528446</v>
      </c>
      <c r="IV85" s="534">
        <v>3369.112918479289</v>
      </c>
      <c r="IW85" s="534">
        <v>2759.4367530469767</v>
      </c>
      <c r="IX85" s="534">
        <v>2726.1146496815286</v>
      </c>
      <c r="IY85" s="535">
        <v>2107.8100644440824</v>
      </c>
      <c r="IZ85" s="535">
        <v>1938.3569670690263</v>
      </c>
      <c r="JA85" s="535">
        <v>1407.9549454417458</v>
      </c>
      <c r="JB85" s="535">
        <v>2334.6667602404846</v>
      </c>
      <c r="JC85" s="536"/>
      <c r="JD85" s="537">
        <v>752.02149979961814</v>
      </c>
      <c r="JE85" s="538">
        <v>775.48704369207496</v>
      </c>
      <c r="JF85" s="538">
        <v>721.80807005088161</v>
      </c>
      <c r="JG85" s="538">
        <v>664.73653734800234</v>
      </c>
      <c r="JH85" s="538">
        <v>560.68678314682552</v>
      </c>
      <c r="JI85" s="539">
        <v>461.73678659322627</v>
      </c>
      <c r="JJ85" s="539">
        <v>370.76146896632639</v>
      </c>
      <c r="JK85" s="539">
        <v>325.16901770884505</v>
      </c>
      <c r="JL85" s="536"/>
      <c r="JM85" s="537">
        <v>2055.682595063533</v>
      </c>
      <c r="JN85" s="538">
        <v>2030.924910156989</v>
      </c>
      <c r="JO85" s="538">
        <v>1992.6635901076795</v>
      </c>
      <c r="JP85" s="538">
        <v>1790.3879559930517</v>
      </c>
      <c r="JQ85" s="538">
        <v>1263.2901379615198</v>
      </c>
      <c r="JR85" s="539">
        <v>1050.0410172272354</v>
      </c>
      <c r="JS85" s="539">
        <v>774.37521999296018</v>
      </c>
      <c r="JT85" s="539">
        <v>640.98065361311899</v>
      </c>
      <c r="JU85" s="536"/>
      <c r="JV85" s="537">
        <v>537.49499045239168</v>
      </c>
      <c r="JW85" s="538">
        <v>617.07962927936444</v>
      </c>
      <c r="JX85" s="538">
        <v>565.61353685954327</v>
      </c>
      <c r="JY85" s="538">
        <v>467.86334684423855</v>
      </c>
      <c r="JZ85" s="538">
        <v>335.01616918316546</v>
      </c>
      <c r="KA85" s="539">
        <v>246.10336341263331</v>
      </c>
      <c r="KB85" s="539">
        <v>147.83526927138331</v>
      </c>
      <c r="KC85" s="539">
        <v>109.9492362037102</v>
      </c>
      <c r="KD85" s="536"/>
    </row>
    <row r="86" spans="1:290" ht="15" customHeight="1" x14ac:dyDescent="0.2">
      <c r="A86" s="930"/>
      <c r="B86" s="490" t="s">
        <v>698</v>
      </c>
      <c r="C86" s="491"/>
      <c r="D86" s="492">
        <v>1</v>
      </c>
      <c r="E86" s="492">
        <v>1</v>
      </c>
      <c r="F86" s="492">
        <v>2</v>
      </c>
      <c r="G86" s="493">
        <v>1</v>
      </c>
      <c r="H86" s="493"/>
      <c r="I86" s="493"/>
      <c r="J86" s="493"/>
      <c r="K86" s="199"/>
      <c r="L86" s="491"/>
      <c r="M86" s="492">
        <v>1</v>
      </c>
      <c r="N86" s="492">
        <v>1</v>
      </c>
      <c r="O86" s="492"/>
      <c r="P86" s="493">
        <v>1</v>
      </c>
      <c r="Q86" s="493"/>
      <c r="R86" s="493"/>
      <c r="S86" s="493"/>
      <c r="T86" s="199"/>
      <c r="U86" s="491"/>
      <c r="V86" s="492"/>
      <c r="W86" s="492"/>
      <c r="X86" s="492">
        <v>2</v>
      </c>
      <c r="Y86" s="493"/>
      <c r="Z86" s="493"/>
      <c r="AA86" s="493"/>
      <c r="AB86" s="493"/>
      <c r="AC86" s="199"/>
      <c r="AD86" s="491">
        <v>97</v>
      </c>
      <c r="AE86" s="492">
        <v>80</v>
      </c>
      <c r="AF86" s="492">
        <v>74</v>
      </c>
      <c r="AG86" s="492">
        <v>116</v>
      </c>
      <c r="AH86" s="493">
        <v>116</v>
      </c>
      <c r="AI86" s="493">
        <v>77</v>
      </c>
      <c r="AJ86" s="493">
        <v>63</v>
      </c>
      <c r="AK86" s="493">
        <v>50</v>
      </c>
      <c r="AL86" s="199"/>
      <c r="AM86" s="491">
        <v>72</v>
      </c>
      <c r="AN86" s="492">
        <v>54</v>
      </c>
      <c r="AO86" s="492">
        <v>33</v>
      </c>
      <c r="AP86" s="492">
        <v>67</v>
      </c>
      <c r="AQ86" s="493">
        <v>64</v>
      </c>
      <c r="AR86" s="493">
        <v>41</v>
      </c>
      <c r="AS86" s="493">
        <v>41</v>
      </c>
      <c r="AT86" s="493">
        <v>32</v>
      </c>
      <c r="AU86" s="199"/>
      <c r="AV86" s="491"/>
      <c r="AW86" s="492"/>
      <c r="AX86" s="492"/>
      <c r="AY86" s="492"/>
      <c r="AZ86" s="493"/>
      <c r="BA86" s="493"/>
      <c r="BB86" s="493"/>
      <c r="BC86" s="493"/>
      <c r="BD86" s="199"/>
      <c r="BE86" s="491">
        <v>2</v>
      </c>
      <c r="BF86" s="492">
        <v>5</v>
      </c>
      <c r="BG86" s="492">
        <v>8</v>
      </c>
      <c r="BH86" s="492">
        <v>1</v>
      </c>
      <c r="BI86" s="493">
        <v>4</v>
      </c>
      <c r="BJ86" s="493">
        <v>8</v>
      </c>
      <c r="BK86" s="493">
        <v>2</v>
      </c>
      <c r="BL86" s="493">
        <v>3</v>
      </c>
      <c r="BM86" s="199"/>
      <c r="BN86" s="491"/>
      <c r="BO86" s="492"/>
      <c r="BP86" s="492">
        <v>1</v>
      </c>
      <c r="BQ86" s="492">
        <v>2</v>
      </c>
      <c r="BR86" s="493"/>
      <c r="BS86" s="493">
        <v>1</v>
      </c>
      <c r="BT86" s="493"/>
      <c r="BU86" s="493"/>
      <c r="BV86" s="199"/>
      <c r="BW86" s="491">
        <v>63</v>
      </c>
      <c r="BX86" s="492">
        <v>52</v>
      </c>
      <c r="BY86" s="492">
        <v>59</v>
      </c>
      <c r="BZ86" s="492">
        <v>79</v>
      </c>
      <c r="CA86" s="493">
        <v>80</v>
      </c>
      <c r="CB86" s="493">
        <v>67</v>
      </c>
      <c r="CC86" s="493">
        <v>41</v>
      </c>
      <c r="CD86" s="493">
        <v>49</v>
      </c>
      <c r="CE86" s="199"/>
      <c r="CF86" s="491">
        <v>2</v>
      </c>
      <c r="CG86" s="492">
        <v>1</v>
      </c>
      <c r="CH86" s="492">
        <v>2</v>
      </c>
      <c r="CI86" s="492">
        <v>1</v>
      </c>
      <c r="CJ86" s="493">
        <v>3</v>
      </c>
      <c r="CK86" s="493">
        <v>1</v>
      </c>
      <c r="CL86" s="493"/>
      <c r="CM86" s="493"/>
      <c r="CN86" s="199"/>
      <c r="CO86" s="491">
        <v>1</v>
      </c>
      <c r="CP86" s="492">
        <v>4</v>
      </c>
      <c r="CQ86" s="492">
        <v>2</v>
      </c>
      <c r="CR86" s="492"/>
      <c r="CS86" s="493">
        <v>4</v>
      </c>
      <c r="CT86" s="493">
        <v>2</v>
      </c>
      <c r="CU86" s="493">
        <v>6</v>
      </c>
      <c r="CV86" s="493"/>
      <c r="CW86" s="199"/>
      <c r="CX86" s="491">
        <v>586</v>
      </c>
      <c r="CY86" s="492">
        <v>559</v>
      </c>
      <c r="CZ86" s="492">
        <v>588</v>
      </c>
      <c r="DA86" s="492">
        <v>515</v>
      </c>
      <c r="DB86" s="493">
        <v>380</v>
      </c>
      <c r="DC86" s="493">
        <v>248</v>
      </c>
      <c r="DD86" s="493">
        <v>207</v>
      </c>
      <c r="DE86" s="493">
        <v>102</v>
      </c>
      <c r="DF86" s="199"/>
      <c r="DG86" s="491">
        <v>1</v>
      </c>
      <c r="DH86" s="492"/>
      <c r="DI86" s="492">
        <v>4</v>
      </c>
      <c r="DJ86" s="492">
        <v>3</v>
      </c>
      <c r="DK86" s="493">
        <v>1</v>
      </c>
      <c r="DL86" s="493"/>
      <c r="DM86" s="493"/>
      <c r="DN86" s="493"/>
      <c r="DO86" s="199"/>
      <c r="DP86" s="491">
        <v>10</v>
      </c>
      <c r="DQ86" s="492">
        <v>7</v>
      </c>
      <c r="DR86" s="492">
        <v>8</v>
      </c>
      <c r="DS86" s="492">
        <v>4</v>
      </c>
      <c r="DT86" s="493">
        <v>11</v>
      </c>
      <c r="DU86" s="493">
        <v>3</v>
      </c>
      <c r="DV86" s="493">
        <v>6</v>
      </c>
      <c r="DW86" s="493">
        <v>1</v>
      </c>
      <c r="DX86" s="199"/>
      <c r="DY86" s="491">
        <v>88</v>
      </c>
      <c r="DZ86" s="492">
        <v>71</v>
      </c>
      <c r="EA86" s="492">
        <v>80</v>
      </c>
      <c r="EB86" s="492">
        <v>88</v>
      </c>
      <c r="EC86" s="493">
        <v>72</v>
      </c>
      <c r="ED86" s="493">
        <v>38</v>
      </c>
      <c r="EE86" s="493">
        <v>55</v>
      </c>
      <c r="EF86" s="493">
        <v>25</v>
      </c>
      <c r="EG86" s="199"/>
      <c r="EH86" s="491">
        <v>11</v>
      </c>
      <c r="EI86" s="492">
        <v>7</v>
      </c>
      <c r="EJ86" s="492">
        <v>13</v>
      </c>
      <c r="EK86" s="492">
        <v>13</v>
      </c>
      <c r="EL86" s="493">
        <v>5</v>
      </c>
      <c r="EM86" s="493">
        <v>5</v>
      </c>
      <c r="EN86" s="493">
        <v>1</v>
      </c>
      <c r="EO86" s="493"/>
      <c r="EP86" s="199"/>
      <c r="EQ86" s="491"/>
      <c r="ER86" s="492"/>
      <c r="ES86" s="492">
        <v>1</v>
      </c>
      <c r="ET86" s="492">
        <v>1</v>
      </c>
      <c r="EU86" s="493">
        <v>2</v>
      </c>
      <c r="EV86" s="493">
        <v>4</v>
      </c>
      <c r="EW86" s="493">
        <v>2</v>
      </c>
      <c r="EX86" s="493"/>
      <c r="EY86" s="199"/>
      <c r="EZ86" s="491">
        <v>3</v>
      </c>
      <c r="FA86" s="492"/>
      <c r="FB86" s="492">
        <v>3</v>
      </c>
      <c r="FC86" s="492">
        <v>4</v>
      </c>
      <c r="FD86" s="493"/>
      <c r="FE86" s="493"/>
      <c r="FF86" s="493"/>
      <c r="FG86" s="493"/>
      <c r="FH86" s="199"/>
      <c r="FI86" s="491">
        <v>31</v>
      </c>
      <c r="FJ86" s="492">
        <v>22</v>
      </c>
      <c r="FK86" s="492">
        <v>47</v>
      </c>
      <c r="FL86" s="492">
        <v>17</v>
      </c>
      <c r="FM86" s="493">
        <v>29</v>
      </c>
      <c r="FN86" s="493">
        <v>10</v>
      </c>
      <c r="FO86" s="493">
        <v>11</v>
      </c>
      <c r="FP86" s="493">
        <v>17</v>
      </c>
      <c r="FQ86" s="199"/>
      <c r="FR86" s="491">
        <v>3</v>
      </c>
      <c r="FS86" s="492">
        <v>13</v>
      </c>
      <c r="FT86" s="492">
        <v>4</v>
      </c>
      <c r="FU86" s="492">
        <v>6</v>
      </c>
      <c r="FV86" s="493">
        <v>4</v>
      </c>
      <c r="FW86" s="493"/>
      <c r="FX86" s="493">
        <v>2</v>
      </c>
      <c r="FY86" s="493">
        <v>2</v>
      </c>
      <c r="FZ86" s="199"/>
      <c r="GA86" s="491">
        <v>2</v>
      </c>
      <c r="GB86" s="492">
        <v>5</v>
      </c>
      <c r="GC86" s="492">
        <v>3</v>
      </c>
      <c r="GD86" s="492">
        <v>1</v>
      </c>
      <c r="GE86" s="493">
        <v>2</v>
      </c>
      <c r="GF86" s="493">
        <v>1</v>
      </c>
      <c r="GG86" s="493">
        <v>2</v>
      </c>
      <c r="GH86" s="493"/>
      <c r="GI86" s="199"/>
      <c r="GJ86" s="491">
        <v>801</v>
      </c>
      <c r="GK86" s="492">
        <v>749</v>
      </c>
      <c r="GL86" s="492">
        <v>806</v>
      </c>
      <c r="GM86" s="492">
        <v>758</v>
      </c>
      <c r="GN86" s="493">
        <v>630</v>
      </c>
      <c r="GO86" s="493">
        <v>424</v>
      </c>
      <c r="GP86" s="493">
        <v>337</v>
      </c>
      <c r="GQ86" s="493">
        <v>223</v>
      </c>
      <c r="GR86" s="199"/>
      <c r="GS86" s="491">
        <v>202</v>
      </c>
      <c r="GT86" s="492">
        <v>174</v>
      </c>
      <c r="GU86" s="492">
        <v>163</v>
      </c>
      <c r="GV86" s="492">
        <v>171</v>
      </c>
      <c r="GW86" s="493">
        <v>116</v>
      </c>
      <c r="GX86" s="493">
        <v>80</v>
      </c>
      <c r="GY86" s="493">
        <v>87</v>
      </c>
      <c r="GZ86" s="493">
        <v>51</v>
      </c>
      <c r="HA86" s="199"/>
      <c r="HB86" s="491">
        <v>4</v>
      </c>
      <c r="HC86" s="492">
        <v>1</v>
      </c>
      <c r="HD86" s="492">
        <v>3</v>
      </c>
      <c r="HE86" s="492">
        <v>5</v>
      </c>
      <c r="HF86" s="493">
        <v>2</v>
      </c>
      <c r="HG86" s="493"/>
      <c r="HH86" s="493">
        <v>3</v>
      </c>
      <c r="HI86" s="493">
        <v>3</v>
      </c>
      <c r="HJ86" s="199"/>
      <c r="HK86" s="491">
        <v>1</v>
      </c>
      <c r="HL86" s="492">
        <v>1</v>
      </c>
      <c r="HM86" s="492"/>
      <c r="HN86" s="492">
        <v>1</v>
      </c>
      <c r="HO86" s="493"/>
      <c r="HP86" s="493">
        <v>1</v>
      </c>
      <c r="HQ86" s="493"/>
      <c r="HR86" s="493">
        <v>1</v>
      </c>
      <c r="HS86" s="199"/>
      <c r="HT86" s="491">
        <v>259</v>
      </c>
      <c r="HU86" s="492">
        <v>229</v>
      </c>
      <c r="HV86" s="492">
        <v>219</v>
      </c>
      <c r="HW86" s="492">
        <v>253</v>
      </c>
      <c r="HX86" s="493">
        <v>192</v>
      </c>
      <c r="HY86" s="493">
        <v>137</v>
      </c>
      <c r="HZ86" s="493">
        <v>146</v>
      </c>
      <c r="IA86" s="493">
        <v>95</v>
      </c>
      <c r="IB86" s="199"/>
      <c r="IC86" s="491">
        <v>1202</v>
      </c>
      <c r="ID86" s="492">
        <v>1112</v>
      </c>
      <c r="IE86" s="492">
        <v>1111</v>
      </c>
      <c r="IF86" s="492">
        <v>1010</v>
      </c>
      <c r="IG86" s="493">
        <v>958</v>
      </c>
      <c r="IH86" s="493">
        <v>701</v>
      </c>
      <c r="II86" s="493">
        <v>533</v>
      </c>
      <c r="IJ86" s="493">
        <v>413</v>
      </c>
      <c r="IK86" s="199"/>
      <c r="IL86" s="491">
        <v>190</v>
      </c>
      <c r="IM86" s="492">
        <v>181</v>
      </c>
      <c r="IN86" s="492">
        <v>183</v>
      </c>
      <c r="IO86" s="492">
        <v>113</v>
      </c>
      <c r="IP86" s="493">
        <v>53</v>
      </c>
      <c r="IQ86" s="493">
        <v>57</v>
      </c>
      <c r="IR86" s="493">
        <v>61</v>
      </c>
      <c r="IS86" s="493">
        <v>33</v>
      </c>
      <c r="IT86" s="199"/>
      <c r="IU86" s="533">
        <v>3093.8714576201382</v>
      </c>
      <c r="IV86" s="534">
        <v>2892.5942304190621</v>
      </c>
      <c r="IW86" s="534">
        <v>2914.480587618048</v>
      </c>
      <c r="IX86" s="534">
        <v>2622.354926651954</v>
      </c>
      <c r="IY86" s="535">
        <v>2500.5872986870613</v>
      </c>
      <c r="IZ86" s="535">
        <v>1984.422535912498</v>
      </c>
      <c r="JA86" s="535">
        <v>1830.671475184613</v>
      </c>
      <c r="JB86" s="535">
        <v>1424.1379310344828</v>
      </c>
      <c r="JC86" s="536"/>
      <c r="JD86" s="537">
        <v>666.64950709119455</v>
      </c>
      <c r="JE86" s="538">
        <v>595.68712119241479</v>
      </c>
      <c r="JF86" s="538">
        <v>574.5015739769151</v>
      </c>
      <c r="JG86" s="538">
        <v>656.88692717123195</v>
      </c>
      <c r="JH86" s="538">
        <v>501.16154629218761</v>
      </c>
      <c r="JI86" s="539">
        <v>397.26684464255493</v>
      </c>
      <c r="JJ86" s="539">
        <v>501.4597286622016</v>
      </c>
      <c r="JK86" s="539">
        <v>327.58620689655174</v>
      </c>
      <c r="JL86" s="536"/>
      <c r="JM86" s="537">
        <v>2061.7229929731539</v>
      </c>
      <c r="JN86" s="538">
        <v>1948.339099445933</v>
      </c>
      <c r="JO86" s="538">
        <v>2114.3756558237146</v>
      </c>
      <c r="JP86" s="538">
        <v>1968.0643904972087</v>
      </c>
      <c r="JQ86" s="538">
        <v>1644.4363237712405</v>
      </c>
      <c r="JR86" s="539">
        <v>1190.5615056055976</v>
      </c>
      <c r="JS86" s="539">
        <v>1157.478962733986</v>
      </c>
      <c r="JT86" s="539">
        <v>768.9655172413793</v>
      </c>
      <c r="JU86" s="536"/>
      <c r="JV86" s="537">
        <v>519.93513680471551</v>
      </c>
      <c r="JW86" s="538">
        <v>452.6181619540618</v>
      </c>
      <c r="JX86" s="538">
        <v>427.59706190975862</v>
      </c>
      <c r="JY86" s="538">
        <v>443.98286381929114</v>
      </c>
      <c r="JZ86" s="538">
        <v>302.78510088486337</v>
      </c>
      <c r="KA86" s="539">
        <v>233.03724039575977</v>
      </c>
      <c r="KB86" s="539">
        <v>298.81504379185986</v>
      </c>
      <c r="KC86" s="539">
        <v>175.86206896551724</v>
      </c>
      <c r="KD86" s="536"/>
    </row>
    <row r="87" spans="1:290" ht="15" customHeight="1" x14ac:dyDescent="0.2">
      <c r="A87" s="930"/>
      <c r="B87" s="490" t="s">
        <v>699</v>
      </c>
      <c r="C87" s="491">
        <v>2</v>
      </c>
      <c r="D87" s="492"/>
      <c r="E87" s="492"/>
      <c r="F87" s="492">
        <v>2</v>
      </c>
      <c r="G87" s="493"/>
      <c r="H87" s="493">
        <v>1</v>
      </c>
      <c r="I87" s="493"/>
      <c r="J87" s="493"/>
      <c r="K87" s="199"/>
      <c r="L87" s="491"/>
      <c r="M87" s="492"/>
      <c r="N87" s="492"/>
      <c r="O87" s="492">
        <v>1</v>
      </c>
      <c r="P87" s="493"/>
      <c r="Q87" s="493"/>
      <c r="R87" s="493"/>
      <c r="S87" s="493"/>
      <c r="T87" s="199"/>
      <c r="U87" s="491">
        <v>2</v>
      </c>
      <c r="V87" s="492"/>
      <c r="W87" s="492"/>
      <c r="X87" s="492"/>
      <c r="Y87" s="493"/>
      <c r="Z87" s="493"/>
      <c r="AA87" s="493"/>
      <c r="AB87" s="493"/>
      <c r="AC87" s="199"/>
      <c r="AD87" s="491">
        <v>86</v>
      </c>
      <c r="AE87" s="492">
        <v>107</v>
      </c>
      <c r="AF87" s="492">
        <v>97</v>
      </c>
      <c r="AG87" s="492">
        <v>93</v>
      </c>
      <c r="AH87" s="493">
        <v>63</v>
      </c>
      <c r="AI87" s="493">
        <v>65</v>
      </c>
      <c r="AJ87" s="493">
        <v>61</v>
      </c>
      <c r="AK87" s="493">
        <v>43</v>
      </c>
      <c r="AL87" s="199"/>
      <c r="AM87" s="491">
        <v>69</v>
      </c>
      <c r="AN87" s="492">
        <v>80</v>
      </c>
      <c r="AO87" s="492">
        <v>75</v>
      </c>
      <c r="AP87" s="492">
        <v>67</v>
      </c>
      <c r="AQ87" s="493">
        <v>47</v>
      </c>
      <c r="AR87" s="493">
        <v>60</v>
      </c>
      <c r="AS87" s="493">
        <v>46</v>
      </c>
      <c r="AT87" s="493">
        <v>33</v>
      </c>
      <c r="AU87" s="199"/>
      <c r="AV87" s="491"/>
      <c r="AW87" s="492"/>
      <c r="AX87" s="492"/>
      <c r="AY87" s="492"/>
      <c r="AZ87" s="493"/>
      <c r="BA87" s="493">
        <v>1</v>
      </c>
      <c r="BB87" s="493"/>
      <c r="BC87" s="493"/>
      <c r="BD87" s="199"/>
      <c r="BE87" s="491">
        <v>1</v>
      </c>
      <c r="BF87" s="492">
        <v>8</v>
      </c>
      <c r="BG87" s="492">
        <v>2</v>
      </c>
      <c r="BH87" s="492">
        <v>9</v>
      </c>
      <c r="BI87" s="493">
        <v>2</v>
      </c>
      <c r="BJ87" s="493">
        <v>15</v>
      </c>
      <c r="BK87" s="493"/>
      <c r="BL87" s="493">
        <v>2</v>
      </c>
      <c r="BM87" s="199"/>
      <c r="BN87" s="491"/>
      <c r="BO87" s="492"/>
      <c r="BP87" s="492">
        <v>1</v>
      </c>
      <c r="BQ87" s="492"/>
      <c r="BR87" s="493"/>
      <c r="BS87" s="493"/>
      <c r="BT87" s="493"/>
      <c r="BU87" s="493"/>
      <c r="BV87" s="199"/>
      <c r="BW87" s="491">
        <v>59</v>
      </c>
      <c r="BX87" s="492">
        <v>47</v>
      </c>
      <c r="BY87" s="492">
        <v>44</v>
      </c>
      <c r="BZ87" s="492">
        <v>56</v>
      </c>
      <c r="CA87" s="493">
        <v>46</v>
      </c>
      <c r="CB87" s="493">
        <v>38</v>
      </c>
      <c r="CC87" s="493">
        <v>43</v>
      </c>
      <c r="CD87" s="493">
        <v>25</v>
      </c>
      <c r="CE87" s="199"/>
      <c r="CF87" s="491">
        <v>6</v>
      </c>
      <c r="CG87" s="492">
        <v>1</v>
      </c>
      <c r="CH87" s="492"/>
      <c r="CI87" s="492">
        <v>3</v>
      </c>
      <c r="CJ87" s="493"/>
      <c r="CK87" s="493">
        <v>2</v>
      </c>
      <c r="CL87" s="493">
        <v>1</v>
      </c>
      <c r="CM87" s="493"/>
      <c r="CN87" s="199"/>
      <c r="CO87" s="491"/>
      <c r="CP87" s="492"/>
      <c r="CQ87" s="492">
        <v>1</v>
      </c>
      <c r="CR87" s="492">
        <v>1</v>
      </c>
      <c r="CS87" s="493">
        <v>1</v>
      </c>
      <c r="CT87" s="493">
        <v>1</v>
      </c>
      <c r="CU87" s="493">
        <v>1</v>
      </c>
      <c r="CV87" s="493">
        <v>1</v>
      </c>
      <c r="CW87" s="199"/>
      <c r="CX87" s="491">
        <v>649</v>
      </c>
      <c r="CY87" s="492">
        <v>713</v>
      </c>
      <c r="CZ87" s="492">
        <v>622</v>
      </c>
      <c r="DA87" s="492">
        <v>522</v>
      </c>
      <c r="DB87" s="493">
        <v>390</v>
      </c>
      <c r="DC87" s="493">
        <v>269</v>
      </c>
      <c r="DD87" s="493">
        <v>204</v>
      </c>
      <c r="DE87" s="493">
        <v>133</v>
      </c>
      <c r="DF87" s="199"/>
      <c r="DG87" s="491"/>
      <c r="DH87" s="492">
        <v>1</v>
      </c>
      <c r="DI87" s="492"/>
      <c r="DJ87" s="492">
        <v>1</v>
      </c>
      <c r="DK87" s="493">
        <v>3</v>
      </c>
      <c r="DL87" s="493">
        <v>1</v>
      </c>
      <c r="DM87" s="493">
        <v>1</v>
      </c>
      <c r="DN87" s="493"/>
      <c r="DO87" s="199"/>
      <c r="DP87" s="491">
        <v>1</v>
      </c>
      <c r="DQ87" s="492">
        <v>3</v>
      </c>
      <c r="DR87" s="492">
        <v>3</v>
      </c>
      <c r="DS87" s="492">
        <v>3</v>
      </c>
      <c r="DT87" s="493">
        <v>2</v>
      </c>
      <c r="DU87" s="493">
        <v>4</v>
      </c>
      <c r="DV87" s="493">
        <v>2</v>
      </c>
      <c r="DW87" s="493"/>
      <c r="DX87" s="199"/>
      <c r="DY87" s="491">
        <v>49</v>
      </c>
      <c r="DZ87" s="492">
        <v>93</v>
      </c>
      <c r="EA87" s="492">
        <v>71</v>
      </c>
      <c r="EB87" s="492">
        <v>42</v>
      </c>
      <c r="EC87" s="493">
        <v>71</v>
      </c>
      <c r="ED87" s="493">
        <v>48</v>
      </c>
      <c r="EE87" s="493">
        <v>53</v>
      </c>
      <c r="EF87" s="493">
        <v>32</v>
      </c>
      <c r="EG87" s="199"/>
      <c r="EH87" s="491">
        <v>5</v>
      </c>
      <c r="EI87" s="492">
        <v>5</v>
      </c>
      <c r="EJ87" s="492">
        <v>3</v>
      </c>
      <c r="EK87" s="492">
        <v>5</v>
      </c>
      <c r="EL87" s="493">
        <v>1</v>
      </c>
      <c r="EM87" s="493">
        <v>2</v>
      </c>
      <c r="EN87" s="493">
        <v>2</v>
      </c>
      <c r="EO87" s="493">
        <v>2</v>
      </c>
      <c r="EP87" s="199"/>
      <c r="EQ87" s="491"/>
      <c r="ER87" s="492">
        <v>1</v>
      </c>
      <c r="ES87" s="492">
        <v>4</v>
      </c>
      <c r="ET87" s="492">
        <v>1</v>
      </c>
      <c r="EU87" s="493">
        <v>2</v>
      </c>
      <c r="EV87" s="493">
        <v>8</v>
      </c>
      <c r="EW87" s="493">
        <v>1</v>
      </c>
      <c r="EX87" s="493">
        <v>2</v>
      </c>
      <c r="EY87" s="199"/>
      <c r="EZ87" s="491">
        <v>2</v>
      </c>
      <c r="FA87" s="492">
        <v>7</v>
      </c>
      <c r="FB87" s="492">
        <v>2</v>
      </c>
      <c r="FC87" s="492">
        <v>5</v>
      </c>
      <c r="FD87" s="493">
        <v>1</v>
      </c>
      <c r="FE87" s="493"/>
      <c r="FF87" s="493">
        <v>1</v>
      </c>
      <c r="FG87" s="493"/>
      <c r="FH87" s="199"/>
      <c r="FI87" s="491">
        <v>39</v>
      </c>
      <c r="FJ87" s="492">
        <v>21</v>
      </c>
      <c r="FK87" s="492">
        <v>19</v>
      </c>
      <c r="FL87" s="492">
        <v>16</v>
      </c>
      <c r="FM87" s="493">
        <v>16</v>
      </c>
      <c r="FN87" s="493">
        <v>11</v>
      </c>
      <c r="FO87" s="493">
        <v>15</v>
      </c>
      <c r="FP87" s="493">
        <v>5</v>
      </c>
      <c r="FQ87" s="199"/>
      <c r="FR87" s="491">
        <v>3</v>
      </c>
      <c r="FS87" s="492">
        <v>3</v>
      </c>
      <c r="FT87" s="492">
        <v>1</v>
      </c>
      <c r="FU87" s="492">
        <v>7</v>
      </c>
      <c r="FV87" s="493">
        <v>4</v>
      </c>
      <c r="FW87" s="493">
        <v>1</v>
      </c>
      <c r="FX87" s="493">
        <v>1</v>
      </c>
      <c r="FY87" s="493"/>
      <c r="FZ87" s="199"/>
      <c r="GA87" s="491">
        <v>5</v>
      </c>
      <c r="GB87" s="492">
        <v>1</v>
      </c>
      <c r="GC87" s="492">
        <v>1</v>
      </c>
      <c r="GD87" s="492"/>
      <c r="GE87" s="493">
        <v>1</v>
      </c>
      <c r="GF87" s="493">
        <v>3</v>
      </c>
      <c r="GG87" s="493">
        <v>2</v>
      </c>
      <c r="GH87" s="493">
        <v>1</v>
      </c>
      <c r="GI87" s="199"/>
      <c r="GJ87" s="491">
        <v>857</v>
      </c>
      <c r="GK87" s="492">
        <v>914</v>
      </c>
      <c r="GL87" s="492">
        <v>797</v>
      </c>
      <c r="GM87" s="492">
        <v>720</v>
      </c>
      <c r="GN87" s="493">
        <v>527</v>
      </c>
      <c r="GO87" s="493">
        <v>416</v>
      </c>
      <c r="GP87" s="493">
        <v>332</v>
      </c>
      <c r="GQ87" s="493">
        <v>214</v>
      </c>
      <c r="GR87" s="199"/>
      <c r="GS87" s="491">
        <v>222</v>
      </c>
      <c r="GT87" s="492">
        <v>210</v>
      </c>
      <c r="GU87" s="492">
        <v>188</v>
      </c>
      <c r="GV87" s="492">
        <v>173</v>
      </c>
      <c r="GW87" s="493">
        <v>118</v>
      </c>
      <c r="GX87" s="493">
        <v>102</v>
      </c>
      <c r="GY87" s="493">
        <v>67</v>
      </c>
      <c r="GZ87" s="493">
        <v>40</v>
      </c>
      <c r="HA87" s="199"/>
      <c r="HB87" s="491">
        <v>1</v>
      </c>
      <c r="HC87" s="492">
        <v>3</v>
      </c>
      <c r="HD87" s="492"/>
      <c r="HE87" s="492">
        <v>1</v>
      </c>
      <c r="HF87" s="493"/>
      <c r="HG87" s="493">
        <v>6</v>
      </c>
      <c r="HH87" s="493">
        <v>3</v>
      </c>
      <c r="HI87" s="493">
        <v>1</v>
      </c>
      <c r="HJ87" s="199"/>
      <c r="HK87" s="491"/>
      <c r="HL87" s="492"/>
      <c r="HM87" s="492"/>
      <c r="HN87" s="492"/>
      <c r="HO87" s="493"/>
      <c r="HP87" s="493"/>
      <c r="HQ87" s="493">
        <v>1</v>
      </c>
      <c r="HR87" s="493"/>
      <c r="HS87" s="199"/>
      <c r="HT87" s="491">
        <v>337</v>
      </c>
      <c r="HU87" s="492">
        <v>294</v>
      </c>
      <c r="HV87" s="492">
        <v>271</v>
      </c>
      <c r="HW87" s="492">
        <v>236</v>
      </c>
      <c r="HX87" s="493">
        <v>157</v>
      </c>
      <c r="HY87" s="493">
        <v>183</v>
      </c>
      <c r="HZ87" s="493">
        <v>144</v>
      </c>
      <c r="IA87" s="493">
        <v>92</v>
      </c>
      <c r="IB87" s="199"/>
      <c r="IC87" s="491">
        <v>1620</v>
      </c>
      <c r="ID87" s="492">
        <v>1495</v>
      </c>
      <c r="IE87" s="492">
        <v>1150</v>
      </c>
      <c r="IF87" s="492">
        <v>1127</v>
      </c>
      <c r="IG87" s="493">
        <v>747</v>
      </c>
      <c r="IH87" s="493">
        <v>738</v>
      </c>
      <c r="II87" s="493">
        <v>552</v>
      </c>
      <c r="IJ87" s="493">
        <v>385</v>
      </c>
      <c r="IK87" s="199"/>
      <c r="IL87" s="491">
        <v>91</v>
      </c>
      <c r="IM87" s="492">
        <v>153</v>
      </c>
      <c r="IN87" s="492">
        <v>131</v>
      </c>
      <c r="IO87" s="492">
        <v>58</v>
      </c>
      <c r="IP87" s="493">
        <v>66</v>
      </c>
      <c r="IQ87" s="493">
        <v>66</v>
      </c>
      <c r="IR87" s="493">
        <v>68</v>
      </c>
      <c r="IS87" s="493">
        <v>37</v>
      </c>
      <c r="IT87" s="199"/>
      <c r="IU87" s="533">
        <v>4031.4553055942665</v>
      </c>
      <c r="IV87" s="534">
        <v>3762.0473590175898</v>
      </c>
      <c r="IW87" s="534">
        <v>2909.2564952313492</v>
      </c>
      <c r="IX87" s="534">
        <v>2757.0516427330772</v>
      </c>
      <c r="IY87" s="535">
        <v>1841.7159763313609</v>
      </c>
      <c r="IZ87" s="535">
        <v>1839.7566934237425</v>
      </c>
      <c r="JA87" s="535">
        <v>1391.0589184012904</v>
      </c>
      <c r="JB87" s="535">
        <v>983.67357367331829</v>
      </c>
      <c r="JC87" s="536"/>
      <c r="JD87" s="537">
        <v>838.64224566991834</v>
      </c>
      <c r="JE87" s="538">
        <v>739.82737361282364</v>
      </c>
      <c r="JF87" s="538">
        <v>685.57261757190929</v>
      </c>
      <c r="JG87" s="538">
        <v>577.34178144188661</v>
      </c>
      <c r="JH87" s="538">
        <v>387.08086785009863</v>
      </c>
      <c r="JI87" s="539">
        <v>456.19983048312304</v>
      </c>
      <c r="JJ87" s="539">
        <v>362.8849352351192</v>
      </c>
      <c r="JK87" s="539">
        <v>235.05965916349419</v>
      </c>
      <c r="JL87" s="536"/>
      <c r="JM87" s="537">
        <v>2132.6896277125225</v>
      </c>
      <c r="JN87" s="538">
        <v>2300.0075492589144</v>
      </c>
      <c r="JO87" s="538">
        <v>2016.241240608161</v>
      </c>
      <c r="JP87" s="538">
        <v>1761.3817060938914</v>
      </c>
      <c r="JQ87" s="538">
        <v>1299.3096646942799</v>
      </c>
      <c r="JR87" s="539">
        <v>1037.044423393329</v>
      </c>
      <c r="JS87" s="539">
        <v>836.65137845874699</v>
      </c>
      <c r="JT87" s="539">
        <v>546.76920718464953</v>
      </c>
      <c r="JU87" s="536"/>
      <c r="JV87" s="537">
        <v>552.45869002588086</v>
      </c>
      <c r="JW87" s="538">
        <v>528.44812400915976</v>
      </c>
      <c r="JX87" s="538">
        <v>475.60019226390756</v>
      </c>
      <c r="JY87" s="538">
        <v>423.22088215867115</v>
      </c>
      <c r="JZ87" s="538">
        <v>290.92702169625244</v>
      </c>
      <c r="KA87" s="539">
        <v>254.27531535124896</v>
      </c>
      <c r="KB87" s="539">
        <v>168.84229625522906</v>
      </c>
      <c r="KC87" s="539">
        <v>102.19985181021487</v>
      </c>
      <c r="KD87" s="536"/>
    </row>
    <row r="88" spans="1:290" ht="15" customHeight="1" thickBot="1" x14ac:dyDescent="0.25">
      <c r="A88" s="930"/>
      <c r="B88" s="494" t="s">
        <v>700</v>
      </c>
      <c r="C88" s="495">
        <v>1</v>
      </c>
      <c r="D88" s="496"/>
      <c r="E88" s="496"/>
      <c r="F88" s="496">
        <v>1</v>
      </c>
      <c r="G88" s="497">
        <v>2</v>
      </c>
      <c r="H88" s="497">
        <v>1</v>
      </c>
      <c r="I88" s="497"/>
      <c r="J88" s="497">
        <v>2</v>
      </c>
      <c r="K88" s="498"/>
      <c r="L88" s="495"/>
      <c r="M88" s="496"/>
      <c r="N88" s="496"/>
      <c r="O88" s="496"/>
      <c r="P88" s="497"/>
      <c r="Q88" s="497">
        <v>1</v>
      </c>
      <c r="R88" s="497"/>
      <c r="S88" s="497">
        <v>1</v>
      </c>
      <c r="T88" s="498"/>
      <c r="U88" s="495">
        <v>1</v>
      </c>
      <c r="V88" s="496"/>
      <c r="W88" s="496"/>
      <c r="X88" s="496">
        <v>1</v>
      </c>
      <c r="Y88" s="497">
        <v>2</v>
      </c>
      <c r="Z88" s="497"/>
      <c r="AA88" s="497"/>
      <c r="AB88" s="497">
        <v>1</v>
      </c>
      <c r="AC88" s="498"/>
      <c r="AD88" s="495">
        <v>53</v>
      </c>
      <c r="AE88" s="496">
        <v>70</v>
      </c>
      <c r="AF88" s="496">
        <v>60</v>
      </c>
      <c r="AG88" s="496">
        <v>86</v>
      </c>
      <c r="AH88" s="497">
        <v>63</v>
      </c>
      <c r="AI88" s="497">
        <v>55</v>
      </c>
      <c r="AJ88" s="497">
        <v>35</v>
      </c>
      <c r="AK88" s="497">
        <v>30</v>
      </c>
      <c r="AL88" s="498"/>
      <c r="AM88" s="495">
        <v>46</v>
      </c>
      <c r="AN88" s="496">
        <v>53</v>
      </c>
      <c r="AO88" s="496">
        <v>46</v>
      </c>
      <c r="AP88" s="496">
        <v>75</v>
      </c>
      <c r="AQ88" s="497">
        <v>56</v>
      </c>
      <c r="AR88" s="497">
        <v>43</v>
      </c>
      <c r="AS88" s="497">
        <v>28</v>
      </c>
      <c r="AT88" s="497">
        <v>27</v>
      </c>
      <c r="AU88" s="498"/>
      <c r="AV88" s="495"/>
      <c r="AW88" s="496"/>
      <c r="AX88" s="496">
        <v>1</v>
      </c>
      <c r="AY88" s="496"/>
      <c r="AZ88" s="497"/>
      <c r="BA88" s="497"/>
      <c r="BB88" s="497"/>
      <c r="BC88" s="497"/>
      <c r="BD88" s="498"/>
      <c r="BE88" s="495">
        <v>14</v>
      </c>
      <c r="BF88" s="496">
        <v>14</v>
      </c>
      <c r="BG88" s="496">
        <v>4</v>
      </c>
      <c r="BH88" s="496">
        <v>5</v>
      </c>
      <c r="BI88" s="497">
        <v>8</v>
      </c>
      <c r="BJ88" s="497">
        <v>15</v>
      </c>
      <c r="BK88" s="497"/>
      <c r="BL88" s="497">
        <v>3</v>
      </c>
      <c r="BM88" s="498"/>
      <c r="BN88" s="495"/>
      <c r="BO88" s="496"/>
      <c r="BP88" s="496">
        <v>1</v>
      </c>
      <c r="BQ88" s="496"/>
      <c r="BR88" s="497"/>
      <c r="BS88" s="497"/>
      <c r="BT88" s="497"/>
      <c r="BU88" s="497"/>
      <c r="BV88" s="498"/>
      <c r="BW88" s="495">
        <v>60</v>
      </c>
      <c r="BX88" s="496">
        <v>43</v>
      </c>
      <c r="BY88" s="496">
        <v>27</v>
      </c>
      <c r="BZ88" s="496">
        <v>64</v>
      </c>
      <c r="CA88" s="497">
        <v>44</v>
      </c>
      <c r="CB88" s="497">
        <v>44</v>
      </c>
      <c r="CC88" s="497">
        <v>35</v>
      </c>
      <c r="CD88" s="497">
        <v>21</v>
      </c>
      <c r="CE88" s="498"/>
      <c r="CF88" s="495">
        <v>3</v>
      </c>
      <c r="CG88" s="496">
        <v>2</v>
      </c>
      <c r="CH88" s="496">
        <v>2</v>
      </c>
      <c r="CI88" s="496">
        <v>2</v>
      </c>
      <c r="CJ88" s="497">
        <v>3</v>
      </c>
      <c r="CK88" s="497">
        <v>1</v>
      </c>
      <c r="CL88" s="497">
        <v>3</v>
      </c>
      <c r="CM88" s="497">
        <v>2</v>
      </c>
      <c r="CN88" s="498"/>
      <c r="CO88" s="495">
        <v>1</v>
      </c>
      <c r="CP88" s="496"/>
      <c r="CQ88" s="496"/>
      <c r="CR88" s="496"/>
      <c r="CS88" s="497"/>
      <c r="CT88" s="497"/>
      <c r="CU88" s="497">
        <v>1</v>
      </c>
      <c r="CV88" s="497"/>
      <c r="CW88" s="498"/>
      <c r="CX88" s="495">
        <v>456</v>
      </c>
      <c r="CY88" s="496">
        <v>526</v>
      </c>
      <c r="CZ88" s="496">
        <v>460</v>
      </c>
      <c r="DA88" s="496">
        <v>352</v>
      </c>
      <c r="DB88" s="497">
        <v>264</v>
      </c>
      <c r="DC88" s="497">
        <v>219</v>
      </c>
      <c r="DD88" s="497">
        <v>208</v>
      </c>
      <c r="DE88" s="497">
        <v>151</v>
      </c>
      <c r="DF88" s="498"/>
      <c r="DG88" s="495">
        <v>1</v>
      </c>
      <c r="DH88" s="496">
        <v>1</v>
      </c>
      <c r="DI88" s="496">
        <v>1</v>
      </c>
      <c r="DJ88" s="496">
        <v>1</v>
      </c>
      <c r="DK88" s="497">
        <v>1</v>
      </c>
      <c r="DL88" s="497">
        <v>1</v>
      </c>
      <c r="DM88" s="497"/>
      <c r="DN88" s="497"/>
      <c r="DO88" s="498"/>
      <c r="DP88" s="495">
        <v>5</v>
      </c>
      <c r="DQ88" s="496">
        <v>3</v>
      </c>
      <c r="DR88" s="496">
        <v>3</v>
      </c>
      <c r="DS88" s="496">
        <v>1</v>
      </c>
      <c r="DT88" s="497">
        <v>2</v>
      </c>
      <c r="DU88" s="497"/>
      <c r="DV88" s="497">
        <v>2</v>
      </c>
      <c r="DW88" s="497"/>
      <c r="DX88" s="498"/>
      <c r="DY88" s="495">
        <v>45</v>
      </c>
      <c r="DZ88" s="496">
        <v>56</v>
      </c>
      <c r="EA88" s="496">
        <v>29</v>
      </c>
      <c r="EB88" s="496">
        <v>32</v>
      </c>
      <c r="EC88" s="497">
        <v>28</v>
      </c>
      <c r="ED88" s="497">
        <v>34</v>
      </c>
      <c r="EE88" s="497">
        <v>21</v>
      </c>
      <c r="EF88" s="497">
        <v>22</v>
      </c>
      <c r="EG88" s="498"/>
      <c r="EH88" s="495">
        <v>4</v>
      </c>
      <c r="EI88" s="496">
        <v>2</v>
      </c>
      <c r="EJ88" s="496">
        <v>1</v>
      </c>
      <c r="EK88" s="496">
        <v>1</v>
      </c>
      <c r="EL88" s="497">
        <v>1</v>
      </c>
      <c r="EM88" s="497">
        <v>3</v>
      </c>
      <c r="EN88" s="497">
        <v>4</v>
      </c>
      <c r="EO88" s="497"/>
      <c r="EP88" s="498"/>
      <c r="EQ88" s="495"/>
      <c r="ER88" s="496"/>
      <c r="ES88" s="496"/>
      <c r="ET88" s="496"/>
      <c r="EU88" s="497">
        <v>1</v>
      </c>
      <c r="EV88" s="497">
        <v>4</v>
      </c>
      <c r="EW88" s="497">
        <v>4</v>
      </c>
      <c r="EX88" s="497">
        <v>2</v>
      </c>
      <c r="EY88" s="498"/>
      <c r="EZ88" s="495">
        <v>2</v>
      </c>
      <c r="FA88" s="496">
        <v>2</v>
      </c>
      <c r="FB88" s="496">
        <v>3</v>
      </c>
      <c r="FC88" s="496">
        <v>1</v>
      </c>
      <c r="FD88" s="497">
        <v>4</v>
      </c>
      <c r="FE88" s="497"/>
      <c r="FF88" s="497"/>
      <c r="FG88" s="497"/>
      <c r="FH88" s="498"/>
      <c r="FI88" s="495">
        <v>17</v>
      </c>
      <c r="FJ88" s="496">
        <v>17</v>
      </c>
      <c r="FK88" s="496">
        <v>13</v>
      </c>
      <c r="FL88" s="496">
        <v>8</v>
      </c>
      <c r="FM88" s="497">
        <v>6</v>
      </c>
      <c r="FN88" s="497">
        <v>8</v>
      </c>
      <c r="FO88" s="497">
        <v>5</v>
      </c>
      <c r="FP88" s="497">
        <v>5</v>
      </c>
      <c r="FQ88" s="498"/>
      <c r="FR88" s="495">
        <v>11</v>
      </c>
      <c r="FS88" s="496">
        <v>3</v>
      </c>
      <c r="FT88" s="496">
        <v>6</v>
      </c>
      <c r="FU88" s="496">
        <v>9</v>
      </c>
      <c r="FV88" s="497">
        <v>6</v>
      </c>
      <c r="FW88" s="497">
        <v>1</v>
      </c>
      <c r="FX88" s="497">
        <v>3</v>
      </c>
      <c r="FY88" s="497">
        <v>2</v>
      </c>
      <c r="FZ88" s="498"/>
      <c r="GA88" s="495">
        <v>3</v>
      </c>
      <c r="GB88" s="496"/>
      <c r="GC88" s="496">
        <v>2</v>
      </c>
      <c r="GD88" s="496">
        <v>5</v>
      </c>
      <c r="GE88" s="497">
        <v>1</v>
      </c>
      <c r="GF88" s="497">
        <v>1</v>
      </c>
      <c r="GG88" s="497">
        <v>1</v>
      </c>
      <c r="GH88" s="497">
        <v>2</v>
      </c>
      <c r="GI88" s="498"/>
      <c r="GJ88" s="495">
        <v>625</v>
      </c>
      <c r="GK88" s="496">
        <v>679</v>
      </c>
      <c r="GL88" s="496">
        <v>579</v>
      </c>
      <c r="GM88" s="496">
        <v>534</v>
      </c>
      <c r="GN88" s="497">
        <v>403</v>
      </c>
      <c r="GO88" s="497">
        <v>352</v>
      </c>
      <c r="GP88" s="497">
        <v>299</v>
      </c>
      <c r="GQ88" s="497">
        <v>220</v>
      </c>
      <c r="GR88" s="498"/>
      <c r="GS88" s="495">
        <v>153</v>
      </c>
      <c r="GT88" s="496">
        <v>147</v>
      </c>
      <c r="GU88" s="496">
        <v>124</v>
      </c>
      <c r="GV88" s="496">
        <v>155</v>
      </c>
      <c r="GW88" s="497">
        <v>87</v>
      </c>
      <c r="GX88" s="497">
        <v>84</v>
      </c>
      <c r="GY88" s="497">
        <v>59</v>
      </c>
      <c r="GZ88" s="497">
        <v>44</v>
      </c>
      <c r="HA88" s="498"/>
      <c r="HB88" s="495">
        <v>1</v>
      </c>
      <c r="HC88" s="496">
        <v>1</v>
      </c>
      <c r="HD88" s="496">
        <v>2</v>
      </c>
      <c r="HE88" s="496">
        <v>1</v>
      </c>
      <c r="HF88" s="497">
        <v>1</v>
      </c>
      <c r="HG88" s="497">
        <v>2</v>
      </c>
      <c r="HH88" s="497">
        <v>1</v>
      </c>
      <c r="HI88" s="497">
        <v>1</v>
      </c>
      <c r="HJ88" s="498"/>
      <c r="HK88" s="495"/>
      <c r="HL88" s="496">
        <v>1</v>
      </c>
      <c r="HM88" s="496"/>
      <c r="HN88" s="496"/>
      <c r="HO88" s="497"/>
      <c r="HP88" s="497">
        <v>1</v>
      </c>
      <c r="HQ88" s="497"/>
      <c r="HR88" s="497"/>
      <c r="HS88" s="498"/>
      <c r="HT88" s="495">
        <v>195</v>
      </c>
      <c r="HU88" s="496">
        <v>184</v>
      </c>
      <c r="HV88" s="496">
        <v>158</v>
      </c>
      <c r="HW88" s="496">
        <v>201</v>
      </c>
      <c r="HX88" s="497">
        <v>138</v>
      </c>
      <c r="HY88" s="497">
        <v>129</v>
      </c>
      <c r="HZ88" s="497">
        <v>97</v>
      </c>
      <c r="IA88" s="497">
        <v>79</v>
      </c>
      <c r="IB88" s="498"/>
      <c r="IC88" s="495">
        <v>1323</v>
      </c>
      <c r="ID88" s="496">
        <v>1273</v>
      </c>
      <c r="IE88" s="496">
        <v>864</v>
      </c>
      <c r="IF88" s="496">
        <v>774</v>
      </c>
      <c r="IG88" s="497">
        <v>631</v>
      </c>
      <c r="IH88" s="497">
        <v>564</v>
      </c>
      <c r="II88" s="497">
        <v>427</v>
      </c>
      <c r="IJ88" s="497">
        <v>324</v>
      </c>
      <c r="IK88" s="498"/>
      <c r="IL88" s="495">
        <v>95</v>
      </c>
      <c r="IM88" s="496">
        <v>83</v>
      </c>
      <c r="IN88" s="496">
        <v>55</v>
      </c>
      <c r="IO88" s="496">
        <v>44</v>
      </c>
      <c r="IP88" s="497">
        <v>18</v>
      </c>
      <c r="IQ88" s="497">
        <v>56</v>
      </c>
      <c r="IR88" s="497">
        <v>30</v>
      </c>
      <c r="IS88" s="497">
        <v>33</v>
      </c>
      <c r="IT88" s="498"/>
      <c r="IU88" s="540">
        <v>4404.5676998368681</v>
      </c>
      <c r="IV88" s="541">
        <v>4282.5904121110179</v>
      </c>
      <c r="IW88" s="541">
        <v>2917.3419773095625</v>
      </c>
      <c r="IX88" s="541">
        <v>2538.7037522959854</v>
      </c>
      <c r="IY88" s="542">
        <v>2078.8719401706585</v>
      </c>
      <c r="IZ88" s="542">
        <v>1869.0969345484673</v>
      </c>
      <c r="JA88" s="542">
        <v>1420.114407343355</v>
      </c>
      <c r="JB88" s="542">
        <v>1083.648282551256</v>
      </c>
      <c r="JC88" s="543"/>
      <c r="JD88" s="544">
        <v>649.19932083763354</v>
      </c>
      <c r="JE88" s="545">
        <v>619.00756938603877</v>
      </c>
      <c r="JF88" s="545">
        <v>533.49540788762829</v>
      </c>
      <c r="JG88" s="545">
        <v>659.27578063500391</v>
      </c>
      <c r="JH88" s="545">
        <v>454.65028168550066</v>
      </c>
      <c r="JI88" s="546">
        <v>427.50621375310686</v>
      </c>
      <c r="JJ88" s="546">
        <v>322.60210190235466</v>
      </c>
      <c r="JK88" s="546">
        <v>264.22288370848526</v>
      </c>
      <c r="JL88" s="543"/>
      <c r="JM88" s="544">
        <v>2080.7670539667743</v>
      </c>
      <c r="JN88" s="545">
        <v>2284.2724978973929</v>
      </c>
      <c r="JO88" s="545">
        <v>1955.0243111831442</v>
      </c>
      <c r="JP88" s="545">
        <v>1751.5087903437418</v>
      </c>
      <c r="JQ88" s="545">
        <v>1327.7106052120052</v>
      </c>
      <c r="JR88" s="546">
        <v>1166.5285832642917</v>
      </c>
      <c r="JS88" s="546">
        <v>994.41266462684587</v>
      </c>
      <c r="JT88" s="546">
        <v>735.81056222616144</v>
      </c>
      <c r="JU88" s="543"/>
      <c r="JV88" s="544">
        <v>509.37177481106642</v>
      </c>
      <c r="JW88" s="545">
        <v>494.53322119428088</v>
      </c>
      <c r="JX88" s="545">
        <v>418.69259859535384</v>
      </c>
      <c r="JY88" s="545">
        <v>508.39674626082393</v>
      </c>
      <c r="JZ88" s="545">
        <v>286.62735149738086</v>
      </c>
      <c r="KA88" s="546">
        <v>278.3761391880696</v>
      </c>
      <c r="KB88" s="546">
        <v>196.221897033391</v>
      </c>
      <c r="KC88" s="546">
        <v>147.16211244523228</v>
      </c>
      <c r="KD88" s="543"/>
    </row>
    <row r="89" spans="1:290" ht="15" customHeight="1" thickBot="1" x14ac:dyDescent="0.25">
      <c r="A89" s="931"/>
      <c r="B89" s="508" t="s">
        <v>778</v>
      </c>
      <c r="C89" s="500">
        <v>17</v>
      </c>
      <c r="D89" s="501">
        <v>16</v>
      </c>
      <c r="E89" s="501">
        <v>12</v>
      </c>
      <c r="F89" s="501">
        <v>11</v>
      </c>
      <c r="G89" s="502">
        <v>17</v>
      </c>
      <c r="H89" s="502">
        <v>10</v>
      </c>
      <c r="I89" s="502">
        <v>15</v>
      </c>
      <c r="J89" s="502">
        <v>10</v>
      </c>
      <c r="K89" s="503"/>
      <c r="L89" s="500">
        <v>4</v>
      </c>
      <c r="M89" s="501">
        <v>9</v>
      </c>
      <c r="N89" s="501">
        <v>6</v>
      </c>
      <c r="O89" s="501">
        <v>4</v>
      </c>
      <c r="P89" s="502">
        <v>9</v>
      </c>
      <c r="Q89" s="502">
        <v>4</v>
      </c>
      <c r="R89" s="502">
        <v>6</v>
      </c>
      <c r="S89" s="502">
        <v>4</v>
      </c>
      <c r="T89" s="503"/>
      <c r="U89" s="500">
        <v>11</v>
      </c>
      <c r="V89" s="501">
        <v>6</v>
      </c>
      <c r="W89" s="501">
        <v>5</v>
      </c>
      <c r="X89" s="501">
        <v>6</v>
      </c>
      <c r="Y89" s="502">
        <v>8</v>
      </c>
      <c r="Z89" s="502">
        <v>5</v>
      </c>
      <c r="AA89" s="502">
        <v>8</v>
      </c>
      <c r="AB89" s="502">
        <v>6</v>
      </c>
      <c r="AC89" s="503"/>
      <c r="AD89" s="500">
        <v>1254</v>
      </c>
      <c r="AE89" s="501">
        <v>1237</v>
      </c>
      <c r="AF89" s="501">
        <v>1137</v>
      </c>
      <c r="AG89" s="501">
        <v>1172</v>
      </c>
      <c r="AH89" s="502">
        <v>1092</v>
      </c>
      <c r="AI89" s="502">
        <v>914</v>
      </c>
      <c r="AJ89" s="502">
        <v>772</v>
      </c>
      <c r="AK89" s="502">
        <v>677</v>
      </c>
      <c r="AL89" s="503"/>
      <c r="AM89" s="500">
        <v>991</v>
      </c>
      <c r="AN89" s="501">
        <v>945</v>
      </c>
      <c r="AO89" s="501">
        <v>789</v>
      </c>
      <c r="AP89" s="501">
        <v>897</v>
      </c>
      <c r="AQ89" s="502">
        <v>784</v>
      </c>
      <c r="AR89" s="502">
        <v>663</v>
      </c>
      <c r="AS89" s="502">
        <v>562</v>
      </c>
      <c r="AT89" s="502">
        <v>501</v>
      </c>
      <c r="AU89" s="503"/>
      <c r="AV89" s="500">
        <v>2</v>
      </c>
      <c r="AW89" s="501">
        <v>1</v>
      </c>
      <c r="AX89" s="501">
        <v>2</v>
      </c>
      <c r="AY89" s="501">
        <v>1</v>
      </c>
      <c r="AZ89" s="502">
        <v>2</v>
      </c>
      <c r="BA89" s="502">
        <v>1</v>
      </c>
      <c r="BB89" s="502">
        <v>1</v>
      </c>
      <c r="BC89" s="502"/>
      <c r="BD89" s="503"/>
      <c r="BE89" s="500">
        <v>84</v>
      </c>
      <c r="BF89" s="501">
        <v>97</v>
      </c>
      <c r="BG89" s="501">
        <v>85</v>
      </c>
      <c r="BH89" s="501">
        <v>90</v>
      </c>
      <c r="BI89" s="502">
        <v>101</v>
      </c>
      <c r="BJ89" s="502">
        <v>86</v>
      </c>
      <c r="BK89" s="502">
        <v>70</v>
      </c>
      <c r="BL89" s="502">
        <v>61</v>
      </c>
      <c r="BM89" s="503"/>
      <c r="BN89" s="500">
        <v>11</v>
      </c>
      <c r="BO89" s="501">
        <v>9</v>
      </c>
      <c r="BP89" s="501">
        <v>6</v>
      </c>
      <c r="BQ89" s="501">
        <v>6</v>
      </c>
      <c r="BR89" s="502">
        <v>6</v>
      </c>
      <c r="BS89" s="502">
        <v>11</v>
      </c>
      <c r="BT89" s="502">
        <v>4</v>
      </c>
      <c r="BU89" s="502">
        <v>1</v>
      </c>
      <c r="BV89" s="503"/>
      <c r="BW89" s="500">
        <v>870</v>
      </c>
      <c r="BX89" s="501">
        <v>887</v>
      </c>
      <c r="BY89" s="501">
        <v>821</v>
      </c>
      <c r="BZ89" s="501">
        <v>944</v>
      </c>
      <c r="CA89" s="502">
        <v>904</v>
      </c>
      <c r="CB89" s="502">
        <v>750</v>
      </c>
      <c r="CC89" s="502">
        <v>584</v>
      </c>
      <c r="CD89" s="502">
        <v>480</v>
      </c>
      <c r="CE89" s="503"/>
      <c r="CF89" s="500">
        <v>43</v>
      </c>
      <c r="CG89" s="501">
        <v>26</v>
      </c>
      <c r="CH89" s="501">
        <v>27</v>
      </c>
      <c r="CI89" s="501">
        <v>19</v>
      </c>
      <c r="CJ89" s="502">
        <v>20</v>
      </c>
      <c r="CK89" s="502">
        <v>27</v>
      </c>
      <c r="CL89" s="502">
        <v>21</v>
      </c>
      <c r="CM89" s="502">
        <v>12</v>
      </c>
      <c r="CN89" s="503"/>
      <c r="CO89" s="500">
        <v>36</v>
      </c>
      <c r="CP89" s="501">
        <v>27</v>
      </c>
      <c r="CQ89" s="501">
        <v>20</v>
      </c>
      <c r="CR89" s="501">
        <v>18</v>
      </c>
      <c r="CS89" s="502">
        <v>17</v>
      </c>
      <c r="CT89" s="502">
        <v>23</v>
      </c>
      <c r="CU89" s="502">
        <v>19</v>
      </c>
      <c r="CV89" s="502">
        <v>39</v>
      </c>
      <c r="CW89" s="503"/>
      <c r="CX89" s="500">
        <v>9677</v>
      </c>
      <c r="CY89" s="501">
        <v>9874</v>
      </c>
      <c r="CZ89" s="501">
        <v>9277</v>
      </c>
      <c r="DA89" s="501">
        <v>7333</v>
      </c>
      <c r="DB89" s="502">
        <v>5404</v>
      </c>
      <c r="DC89" s="502">
        <v>4106</v>
      </c>
      <c r="DD89" s="502">
        <v>3735</v>
      </c>
      <c r="DE89" s="502">
        <v>2652</v>
      </c>
      <c r="DF89" s="503"/>
      <c r="DG89" s="500">
        <v>66</v>
      </c>
      <c r="DH89" s="501">
        <v>54</v>
      </c>
      <c r="DI89" s="501">
        <v>50</v>
      </c>
      <c r="DJ89" s="501">
        <v>32</v>
      </c>
      <c r="DK89" s="502">
        <v>29</v>
      </c>
      <c r="DL89" s="502">
        <v>11</v>
      </c>
      <c r="DM89" s="502">
        <v>13</v>
      </c>
      <c r="DN89" s="502">
        <v>4</v>
      </c>
      <c r="DO89" s="503"/>
      <c r="DP89" s="500">
        <v>449</v>
      </c>
      <c r="DQ89" s="501">
        <v>320</v>
      </c>
      <c r="DR89" s="501">
        <v>267</v>
      </c>
      <c r="DS89" s="501">
        <v>184</v>
      </c>
      <c r="DT89" s="502">
        <v>134</v>
      </c>
      <c r="DU89" s="502">
        <v>98</v>
      </c>
      <c r="DV89" s="502">
        <v>177</v>
      </c>
      <c r="DW89" s="502">
        <v>48</v>
      </c>
      <c r="DX89" s="503"/>
      <c r="DY89" s="500">
        <v>1239</v>
      </c>
      <c r="DZ89" s="501">
        <v>1435</v>
      </c>
      <c r="EA89" s="501">
        <v>1193</v>
      </c>
      <c r="EB89" s="501">
        <v>881</v>
      </c>
      <c r="EC89" s="502">
        <v>820</v>
      </c>
      <c r="ED89" s="502">
        <v>821</v>
      </c>
      <c r="EE89" s="502">
        <v>724</v>
      </c>
      <c r="EF89" s="502">
        <v>497</v>
      </c>
      <c r="EG89" s="503"/>
      <c r="EH89" s="500">
        <v>152</v>
      </c>
      <c r="EI89" s="501">
        <v>137</v>
      </c>
      <c r="EJ89" s="501">
        <v>118</v>
      </c>
      <c r="EK89" s="501">
        <v>103</v>
      </c>
      <c r="EL89" s="502">
        <v>64</v>
      </c>
      <c r="EM89" s="502">
        <v>54</v>
      </c>
      <c r="EN89" s="502">
        <v>57</v>
      </c>
      <c r="EO89" s="502">
        <v>31</v>
      </c>
      <c r="EP89" s="503"/>
      <c r="EQ89" s="500">
        <v>35</v>
      </c>
      <c r="ER89" s="501">
        <v>48</v>
      </c>
      <c r="ES89" s="501">
        <v>89</v>
      </c>
      <c r="ET89" s="501">
        <v>64</v>
      </c>
      <c r="EU89" s="502">
        <v>55</v>
      </c>
      <c r="EV89" s="502">
        <v>73</v>
      </c>
      <c r="EW89" s="502">
        <v>71</v>
      </c>
      <c r="EX89" s="502">
        <v>49</v>
      </c>
      <c r="EY89" s="503"/>
      <c r="EZ89" s="500">
        <v>62</v>
      </c>
      <c r="FA89" s="501">
        <v>43</v>
      </c>
      <c r="FB89" s="501">
        <v>42</v>
      </c>
      <c r="FC89" s="501">
        <v>43</v>
      </c>
      <c r="FD89" s="502">
        <v>26</v>
      </c>
      <c r="FE89" s="502">
        <v>14</v>
      </c>
      <c r="FF89" s="502">
        <v>10</v>
      </c>
      <c r="FG89" s="502">
        <v>5</v>
      </c>
      <c r="FH89" s="503"/>
      <c r="FI89" s="500">
        <v>544</v>
      </c>
      <c r="FJ89" s="501">
        <v>507</v>
      </c>
      <c r="FK89" s="501">
        <v>472</v>
      </c>
      <c r="FL89" s="501">
        <v>314</v>
      </c>
      <c r="FM89" s="502">
        <v>276</v>
      </c>
      <c r="FN89" s="502">
        <v>232</v>
      </c>
      <c r="FO89" s="502">
        <v>191</v>
      </c>
      <c r="FP89" s="502">
        <v>151</v>
      </c>
      <c r="FQ89" s="503"/>
      <c r="FR89" s="500">
        <v>81</v>
      </c>
      <c r="FS89" s="501">
        <v>79</v>
      </c>
      <c r="FT89" s="501">
        <v>46</v>
      </c>
      <c r="FU89" s="501">
        <v>58</v>
      </c>
      <c r="FV89" s="502">
        <v>48</v>
      </c>
      <c r="FW89" s="502">
        <v>37</v>
      </c>
      <c r="FX89" s="502">
        <v>24</v>
      </c>
      <c r="FY89" s="502">
        <v>27</v>
      </c>
      <c r="FZ89" s="503"/>
      <c r="GA89" s="500">
        <v>48</v>
      </c>
      <c r="GB89" s="501">
        <v>37</v>
      </c>
      <c r="GC89" s="501">
        <v>35</v>
      </c>
      <c r="GD89" s="501">
        <v>43</v>
      </c>
      <c r="GE89" s="502">
        <v>45</v>
      </c>
      <c r="GF89" s="502">
        <v>29</v>
      </c>
      <c r="GG89" s="502">
        <v>38</v>
      </c>
      <c r="GH89" s="502">
        <v>28</v>
      </c>
      <c r="GI89" s="503"/>
      <c r="GJ89" s="500">
        <v>12914</v>
      </c>
      <c r="GK89" s="501">
        <v>13024</v>
      </c>
      <c r="GL89" s="501">
        <v>12187</v>
      </c>
      <c r="GM89" s="501">
        <v>10218</v>
      </c>
      <c r="GN89" s="502">
        <v>8075</v>
      </c>
      <c r="GO89" s="502">
        <v>6366</v>
      </c>
      <c r="GP89" s="502">
        <v>5611</v>
      </c>
      <c r="GQ89" s="502">
        <v>4223</v>
      </c>
      <c r="GR89" s="503"/>
      <c r="GS89" s="500">
        <v>3845</v>
      </c>
      <c r="GT89" s="501">
        <v>3793</v>
      </c>
      <c r="GU89" s="501">
        <v>3684</v>
      </c>
      <c r="GV89" s="501">
        <v>2870</v>
      </c>
      <c r="GW89" s="502">
        <v>1753</v>
      </c>
      <c r="GX89" s="502">
        <v>1383</v>
      </c>
      <c r="GY89" s="502">
        <v>1308</v>
      </c>
      <c r="GZ89" s="502">
        <v>869</v>
      </c>
      <c r="HA89" s="503"/>
      <c r="HB89" s="500">
        <v>47</v>
      </c>
      <c r="HC89" s="501">
        <v>47</v>
      </c>
      <c r="HD89" s="501">
        <v>39</v>
      </c>
      <c r="HE89" s="501">
        <v>35</v>
      </c>
      <c r="HF89" s="502">
        <v>40</v>
      </c>
      <c r="HG89" s="502">
        <v>33</v>
      </c>
      <c r="HH89" s="502">
        <v>29</v>
      </c>
      <c r="HI89" s="502">
        <v>19</v>
      </c>
      <c r="HJ89" s="503"/>
      <c r="HK89" s="500">
        <v>15</v>
      </c>
      <c r="HL89" s="501">
        <v>7</v>
      </c>
      <c r="HM89" s="501">
        <v>5</v>
      </c>
      <c r="HN89" s="501">
        <v>9</v>
      </c>
      <c r="HO89" s="502">
        <v>7</v>
      </c>
      <c r="HP89" s="502">
        <v>8</v>
      </c>
      <c r="HQ89" s="502">
        <v>11</v>
      </c>
      <c r="HR89" s="502">
        <v>3</v>
      </c>
      <c r="HS89" s="503"/>
      <c r="HT89" s="500">
        <v>4900</v>
      </c>
      <c r="HU89" s="501">
        <v>4663</v>
      </c>
      <c r="HV89" s="501">
        <v>4455</v>
      </c>
      <c r="HW89" s="501">
        <v>3705</v>
      </c>
      <c r="HX89" s="502">
        <v>2691</v>
      </c>
      <c r="HY89" s="502">
        <v>2389</v>
      </c>
      <c r="HZ89" s="502">
        <v>2295</v>
      </c>
      <c r="IA89" s="502">
        <v>1785</v>
      </c>
      <c r="IB89" s="503"/>
      <c r="IC89" s="500">
        <v>32791</v>
      </c>
      <c r="ID89" s="501">
        <v>32420</v>
      </c>
      <c r="IE89" s="501">
        <v>20066</v>
      </c>
      <c r="IF89" s="501">
        <v>15683</v>
      </c>
      <c r="IG89" s="502">
        <v>13318</v>
      </c>
      <c r="IH89" s="502">
        <v>11104</v>
      </c>
      <c r="II89" s="502">
        <v>9964</v>
      </c>
      <c r="IJ89" s="502">
        <v>8049</v>
      </c>
      <c r="IK89" s="503"/>
      <c r="IL89" s="500">
        <v>2923</v>
      </c>
      <c r="IM89" s="501">
        <v>3092</v>
      </c>
      <c r="IN89" s="501">
        <v>2511</v>
      </c>
      <c r="IO89" s="501">
        <v>1425</v>
      </c>
      <c r="IP89" s="502">
        <v>764</v>
      </c>
      <c r="IQ89" s="502">
        <v>1152</v>
      </c>
      <c r="IR89" s="502">
        <v>992</v>
      </c>
      <c r="IS89" s="502">
        <v>708</v>
      </c>
      <c r="IT89" s="503"/>
      <c r="IU89" s="547">
        <v>6057.8461402037328</v>
      </c>
      <c r="IV89" s="548">
        <v>6007.3303512861467</v>
      </c>
      <c r="IW89" s="548">
        <v>3729.4832883240369</v>
      </c>
      <c r="IX89" s="548">
        <v>2897.0060145709263</v>
      </c>
      <c r="IY89" s="549">
        <v>2468.5499910103113</v>
      </c>
      <c r="IZ89" s="549">
        <v>2066.7525331864172</v>
      </c>
      <c r="JA89" s="549">
        <v>1862.5204215531969</v>
      </c>
      <c r="JB89" s="549">
        <v>1511.836047776198</v>
      </c>
      <c r="JC89" s="550"/>
      <c r="JD89" s="551">
        <v>905.23149910031066</v>
      </c>
      <c r="JE89" s="552">
        <v>864.04014275284715</v>
      </c>
      <c r="JF89" s="552">
        <v>828.00996957458312</v>
      </c>
      <c r="JG89" s="552">
        <v>684.3975823493771</v>
      </c>
      <c r="JH89" s="552">
        <v>498.78870895094968</v>
      </c>
      <c r="JI89" s="553">
        <v>444.65704266771888</v>
      </c>
      <c r="JJ89" s="553">
        <v>428.99281086557477</v>
      </c>
      <c r="JK89" s="553">
        <v>335.27485964474016</v>
      </c>
      <c r="JL89" s="550"/>
      <c r="JM89" s="551">
        <v>2385.7468529349821</v>
      </c>
      <c r="JN89" s="552">
        <v>2413.3087752976799</v>
      </c>
      <c r="JO89" s="552">
        <v>2265.0858584075072</v>
      </c>
      <c r="JP89" s="552">
        <v>1887.4964902688084</v>
      </c>
      <c r="JQ89" s="552">
        <v>1496.7368356666364</v>
      </c>
      <c r="JR89" s="553">
        <v>1184.8835218177892</v>
      </c>
      <c r="JS89" s="553">
        <v>1048.8360181990151</v>
      </c>
      <c r="JT89" s="553">
        <v>793.2020909130182</v>
      </c>
      <c r="JU89" s="550"/>
      <c r="JV89" s="551">
        <v>710.32961511034591</v>
      </c>
      <c r="JW89" s="552">
        <v>702.8317095135211</v>
      </c>
      <c r="JX89" s="552">
        <v>684.71127450342635</v>
      </c>
      <c r="JY89" s="552">
        <v>530.15413261611661</v>
      </c>
      <c r="JZ89" s="552">
        <v>324.92627528465806</v>
      </c>
      <c r="KA89" s="553">
        <v>257.41343240245089</v>
      </c>
      <c r="KB89" s="553">
        <v>244.49786344756942</v>
      </c>
      <c r="KC89" s="553">
        <v>163.22344707634687</v>
      </c>
      <c r="KD89" s="550"/>
    </row>
    <row r="90" spans="1:290" ht="15" customHeight="1" x14ac:dyDescent="0.2">
      <c r="A90" s="929" t="s">
        <v>552</v>
      </c>
      <c r="B90" s="485" t="s">
        <v>1146</v>
      </c>
      <c r="C90" s="486">
        <v>2</v>
      </c>
      <c r="D90" s="487">
        <v>2</v>
      </c>
      <c r="E90" s="487">
        <v>2</v>
      </c>
      <c r="F90" s="487">
        <v>1</v>
      </c>
      <c r="G90" s="488">
        <v>3</v>
      </c>
      <c r="H90" s="488">
        <v>5</v>
      </c>
      <c r="I90" s="488">
        <v>3</v>
      </c>
      <c r="J90" s="488">
        <v>3</v>
      </c>
      <c r="K90" s="489"/>
      <c r="L90" s="486"/>
      <c r="M90" s="487">
        <v>1</v>
      </c>
      <c r="N90" s="487"/>
      <c r="O90" s="487">
        <v>1</v>
      </c>
      <c r="P90" s="488">
        <v>2</v>
      </c>
      <c r="Q90" s="488">
        <v>3</v>
      </c>
      <c r="R90" s="488">
        <v>2</v>
      </c>
      <c r="S90" s="488"/>
      <c r="T90" s="489"/>
      <c r="U90" s="486">
        <v>2</v>
      </c>
      <c r="V90" s="487">
        <v>1</v>
      </c>
      <c r="W90" s="487">
        <v>2</v>
      </c>
      <c r="X90" s="487"/>
      <c r="Y90" s="488">
        <v>1</v>
      </c>
      <c r="Z90" s="488">
        <v>2</v>
      </c>
      <c r="AA90" s="488"/>
      <c r="AB90" s="488">
        <v>2</v>
      </c>
      <c r="AC90" s="489"/>
      <c r="AD90" s="486">
        <v>149</v>
      </c>
      <c r="AE90" s="487">
        <v>163</v>
      </c>
      <c r="AF90" s="487">
        <v>114</v>
      </c>
      <c r="AG90" s="487">
        <v>148</v>
      </c>
      <c r="AH90" s="488">
        <v>140</v>
      </c>
      <c r="AI90" s="488">
        <v>161</v>
      </c>
      <c r="AJ90" s="488">
        <v>106</v>
      </c>
      <c r="AK90" s="488">
        <v>112</v>
      </c>
      <c r="AL90" s="489"/>
      <c r="AM90" s="486">
        <v>59</v>
      </c>
      <c r="AN90" s="487">
        <v>68</v>
      </c>
      <c r="AO90" s="487">
        <v>53</v>
      </c>
      <c r="AP90" s="487">
        <v>71</v>
      </c>
      <c r="AQ90" s="488">
        <v>60</v>
      </c>
      <c r="AR90" s="488">
        <v>74</v>
      </c>
      <c r="AS90" s="488">
        <v>49</v>
      </c>
      <c r="AT90" s="488">
        <v>51</v>
      </c>
      <c r="AU90" s="489"/>
      <c r="AV90" s="486"/>
      <c r="AW90" s="487">
        <v>1</v>
      </c>
      <c r="AX90" s="487"/>
      <c r="AY90" s="487"/>
      <c r="AZ90" s="488"/>
      <c r="BA90" s="488"/>
      <c r="BB90" s="488">
        <v>1</v>
      </c>
      <c r="BC90" s="488">
        <v>1</v>
      </c>
      <c r="BD90" s="489"/>
      <c r="BE90" s="486">
        <v>12</v>
      </c>
      <c r="BF90" s="487">
        <v>9</v>
      </c>
      <c r="BG90" s="487">
        <v>14</v>
      </c>
      <c r="BH90" s="487">
        <v>18</v>
      </c>
      <c r="BI90" s="488">
        <v>22</v>
      </c>
      <c r="BJ90" s="488">
        <v>18</v>
      </c>
      <c r="BK90" s="488">
        <v>6</v>
      </c>
      <c r="BL90" s="488">
        <v>5</v>
      </c>
      <c r="BM90" s="489"/>
      <c r="BN90" s="486"/>
      <c r="BO90" s="487"/>
      <c r="BP90" s="487"/>
      <c r="BQ90" s="487"/>
      <c r="BR90" s="488"/>
      <c r="BS90" s="488"/>
      <c r="BT90" s="488"/>
      <c r="BU90" s="488"/>
      <c r="BV90" s="489"/>
      <c r="BW90" s="486">
        <v>165</v>
      </c>
      <c r="BX90" s="487">
        <v>172</v>
      </c>
      <c r="BY90" s="487">
        <v>157</v>
      </c>
      <c r="BZ90" s="487">
        <v>164</v>
      </c>
      <c r="CA90" s="488">
        <v>198</v>
      </c>
      <c r="CB90" s="488">
        <v>196</v>
      </c>
      <c r="CC90" s="488">
        <v>150</v>
      </c>
      <c r="CD90" s="488">
        <v>108</v>
      </c>
      <c r="CE90" s="489"/>
      <c r="CF90" s="486">
        <v>15</v>
      </c>
      <c r="CG90" s="487">
        <v>3</v>
      </c>
      <c r="CH90" s="487">
        <v>6</v>
      </c>
      <c r="CI90" s="487">
        <v>10</v>
      </c>
      <c r="CJ90" s="488">
        <v>3</v>
      </c>
      <c r="CK90" s="488">
        <v>4</v>
      </c>
      <c r="CL90" s="488">
        <v>9</v>
      </c>
      <c r="CM90" s="488">
        <v>2</v>
      </c>
      <c r="CN90" s="489"/>
      <c r="CO90" s="486">
        <v>4</v>
      </c>
      <c r="CP90" s="487">
        <v>9</v>
      </c>
      <c r="CQ90" s="487">
        <v>2</v>
      </c>
      <c r="CR90" s="487">
        <v>5</v>
      </c>
      <c r="CS90" s="488">
        <v>1</v>
      </c>
      <c r="CT90" s="488">
        <v>3</v>
      </c>
      <c r="CU90" s="488">
        <v>4</v>
      </c>
      <c r="CV90" s="488">
        <v>4</v>
      </c>
      <c r="CW90" s="489"/>
      <c r="CX90" s="486">
        <v>2260</v>
      </c>
      <c r="CY90" s="487">
        <v>1950</v>
      </c>
      <c r="CZ90" s="487">
        <v>1725</v>
      </c>
      <c r="DA90" s="487">
        <v>1700</v>
      </c>
      <c r="DB90" s="488">
        <v>1424</v>
      </c>
      <c r="DC90" s="488">
        <v>1311</v>
      </c>
      <c r="DD90" s="488">
        <v>1095</v>
      </c>
      <c r="DE90" s="488">
        <v>828</v>
      </c>
      <c r="DF90" s="489"/>
      <c r="DG90" s="486">
        <v>31</v>
      </c>
      <c r="DH90" s="487">
        <v>32</v>
      </c>
      <c r="DI90" s="487">
        <v>6</v>
      </c>
      <c r="DJ90" s="487">
        <v>22</v>
      </c>
      <c r="DK90" s="488">
        <v>16</v>
      </c>
      <c r="DL90" s="488">
        <v>10</v>
      </c>
      <c r="DM90" s="488">
        <v>8</v>
      </c>
      <c r="DN90" s="488">
        <v>14</v>
      </c>
      <c r="DO90" s="489"/>
      <c r="DP90" s="486">
        <v>62</v>
      </c>
      <c r="DQ90" s="487">
        <v>62</v>
      </c>
      <c r="DR90" s="487">
        <v>31</v>
      </c>
      <c r="DS90" s="487">
        <v>37</v>
      </c>
      <c r="DT90" s="488">
        <v>32</v>
      </c>
      <c r="DU90" s="488">
        <v>26</v>
      </c>
      <c r="DV90" s="488">
        <v>32</v>
      </c>
      <c r="DW90" s="488">
        <v>13</v>
      </c>
      <c r="DX90" s="489"/>
      <c r="DY90" s="486">
        <v>257</v>
      </c>
      <c r="DZ90" s="487">
        <v>190</v>
      </c>
      <c r="EA90" s="487">
        <v>254</v>
      </c>
      <c r="EB90" s="487">
        <v>226</v>
      </c>
      <c r="EC90" s="488">
        <v>139</v>
      </c>
      <c r="ED90" s="488">
        <v>167</v>
      </c>
      <c r="EE90" s="488">
        <v>156</v>
      </c>
      <c r="EF90" s="488">
        <v>88</v>
      </c>
      <c r="EG90" s="489"/>
      <c r="EH90" s="486">
        <v>25</v>
      </c>
      <c r="EI90" s="487">
        <v>22</v>
      </c>
      <c r="EJ90" s="487">
        <v>17</v>
      </c>
      <c r="EK90" s="487">
        <v>19</v>
      </c>
      <c r="EL90" s="488">
        <v>36</v>
      </c>
      <c r="EM90" s="488">
        <v>15</v>
      </c>
      <c r="EN90" s="488">
        <v>13</v>
      </c>
      <c r="EO90" s="488">
        <v>13</v>
      </c>
      <c r="EP90" s="489"/>
      <c r="EQ90" s="486">
        <v>2</v>
      </c>
      <c r="ER90" s="487">
        <v>8</v>
      </c>
      <c r="ES90" s="487">
        <v>7</v>
      </c>
      <c r="ET90" s="487">
        <v>7</v>
      </c>
      <c r="EU90" s="488">
        <v>19</v>
      </c>
      <c r="EV90" s="488">
        <v>13</v>
      </c>
      <c r="EW90" s="488">
        <v>15</v>
      </c>
      <c r="EX90" s="488">
        <v>14</v>
      </c>
      <c r="EY90" s="489"/>
      <c r="EZ90" s="486">
        <v>3</v>
      </c>
      <c r="FA90" s="487">
        <v>3</v>
      </c>
      <c r="FB90" s="487">
        <v>10</v>
      </c>
      <c r="FC90" s="487">
        <v>12</v>
      </c>
      <c r="FD90" s="488">
        <v>7</v>
      </c>
      <c r="FE90" s="488">
        <v>4</v>
      </c>
      <c r="FF90" s="488">
        <v>3</v>
      </c>
      <c r="FG90" s="488">
        <v>6</v>
      </c>
      <c r="FH90" s="489"/>
      <c r="FI90" s="486">
        <v>124</v>
      </c>
      <c r="FJ90" s="487">
        <v>121</v>
      </c>
      <c r="FK90" s="487">
        <v>70</v>
      </c>
      <c r="FL90" s="487">
        <v>55</v>
      </c>
      <c r="FM90" s="488">
        <v>59</v>
      </c>
      <c r="FN90" s="488">
        <v>63</v>
      </c>
      <c r="FO90" s="488">
        <v>61</v>
      </c>
      <c r="FP90" s="488">
        <v>57</v>
      </c>
      <c r="FQ90" s="489"/>
      <c r="FR90" s="486">
        <v>6</v>
      </c>
      <c r="FS90" s="487">
        <v>7</v>
      </c>
      <c r="FT90" s="487">
        <v>4</v>
      </c>
      <c r="FU90" s="487">
        <v>6</v>
      </c>
      <c r="FV90" s="488">
        <v>3</v>
      </c>
      <c r="FW90" s="488">
        <v>4</v>
      </c>
      <c r="FX90" s="488">
        <v>7</v>
      </c>
      <c r="FY90" s="488">
        <v>2</v>
      </c>
      <c r="FZ90" s="489"/>
      <c r="GA90" s="486">
        <v>4</v>
      </c>
      <c r="GB90" s="487">
        <v>13</v>
      </c>
      <c r="GC90" s="487">
        <v>8</v>
      </c>
      <c r="GD90" s="487">
        <v>12</v>
      </c>
      <c r="GE90" s="488">
        <v>8</v>
      </c>
      <c r="GF90" s="488">
        <v>9</v>
      </c>
      <c r="GG90" s="488">
        <v>13</v>
      </c>
      <c r="GH90" s="488">
        <v>7</v>
      </c>
      <c r="GI90" s="489"/>
      <c r="GJ90" s="486">
        <v>2771</v>
      </c>
      <c r="GK90" s="487">
        <v>2482</v>
      </c>
      <c r="GL90" s="487">
        <v>2136</v>
      </c>
      <c r="GM90" s="487">
        <v>2157</v>
      </c>
      <c r="GN90" s="488">
        <v>1923</v>
      </c>
      <c r="GO90" s="488">
        <v>1806</v>
      </c>
      <c r="GP90" s="488">
        <v>1485</v>
      </c>
      <c r="GQ90" s="488">
        <v>1161</v>
      </c>
      <c r="GR90" s="489"/>
      <c r="GS90" s="486">
        <v>923</v>
      </c>
      <c r="GT90" s="487">
        <v>898</v>
      </c>
      <c r="GU90" s="487">
        <v>737</v>
      </c>
      <c r="GV90" s="487">
        <v>573</v>
      </c>
      <c r="GW90" s="488">
        <v>296</v>
      </c>
      <c r="GX90" s="488">
        <v>266</v>
      </c>
      <c r="GY90" s="488">
        <v>251</v>
      </c>
      <c r="GZ90" s="488">
        <v>206</v>
      </c>
      <c r="HA90" s="489"/>
      <c r="HB90" s="486">
        <v>10</v>
      </c>
      <c r="HC90" s="487">
        <v>11</v>
      </c>
      <c r="HD90" s="487">
        <v>8</v>
      </c>
      <c r="HE90" s="487">
        <v>8</v>
      </c>
      <c r="HF90" s="488"/>
      <c r="HG90" s="488">
        <v>3</v>
      </c>
      <c r="HH90" s="488">
        <v>2</v>
      </c>
      <c r="HI90" s="488">
        <v>1</v>
      </c>
      <c r="HJ90" s="489"/>
      <c r="HK90" s="486">
        <v>5</v>
      </c>
      <c r="HL90" s="487">
        <v>7</v>
      </c>
      <c r="HM90" s="487">
        <v>4</v>
      </c>
      <c r="HN90" s="487">
        <v>4</v>
      </c>
      <c r="HO90" s="488">
        <v>1</v>
      </c>
      <c r="HP90" s="488">
        <v>3</v>
      </c>
      <c r="HQ90" s="488">
        <v>3</v>
      </c>
      <c r="HR90" s="488">
        <v>1</v>
      </c>
      <c r="HS90" s="489"/>
      <c r="HT90" s="486">
        <v>1149</v>
      </c>
      <c r="HU90" s="487">
        <v>1108</v>
      </c>
      <c r="HV90" s="487">
        <v>943</v>
      </c>
      <c r="HW90" s="487">
        <v>749</v>
      </c>
      <c r="HX90" s="488">
        <v>493</v>
      </c>
      <c r="HY90" s="488">
        <v>458</v>
      </c>
      <c r="HZ90" s="488">
        <v>448</v>
      </c>
      <c r="IA90" s="488">
        <v>399</v>
      </c>
      <c r="IB90" s="489"/>
      <c r="IC90" s="486">
        <v>4366</v>
      </c>
      <c r="ID90" s="487">
        <v>5188</v>
      </c>
      <c r="IE90" s="487">
        <v>4990</v>
      </c>
      <c r="IF90" s="487">
        <v>5670</v>
      </c>
      <c r="IG90" s="488">
        <v>2869</v>
      </c>
      <c r="IH90" s="488">
        <v>2770</v>
      </c>
      <c r="II90" s="488">
        <v>2872</v>
      </c>
      <c r="IJ90" s="488">
        <v>2437</v>
      </c>
      <c r="IK90" s="489"/>
      <c r="IL90" s="486">
        <v>608</v>
      </c>
      <c r="IM90" s="487">
        <v>462</v>
      </c>
      <c r="IN90" s="487">
        <v>527</v>
      </c>
      <c r="IO90" s="487">
        <v>307</v>
      </c>
      <c r="IP90" s="488">
        <v>137</v>
      </c>
      <c r="IQ90" s="488">
        <v>291</v>
      </c>
      <c r="IR90" s="488">
        <v>246</v>
      </c>
      <c r="IS90" s="488">
        <v>156</v>
      </c>
      <c r="IT90" s="489"/>
      <c r="IU90" s="526">
        <v>3713.7534768592163</v>
      </c>
      <c r="IV90" s="527">
        <v>4450.3920256661004</v>
      </c>
      <c r="IW90" s="527">
        <v>4308.0004489299063</v>
      </c>
      <c r="IX90" s="527">
        <v>4909.898598037772</v>
      </c>
      <c r="IY90" s="528">
        <v>2505.786278876807</v>
      </c>
      <c r="IZ90" s="528">
        <v>2439.0602616733167</v>
      </c>
      <c r="JA90" s="528">
        <v>2510.4017342050979</v>
      </c>
      <c r="JB90" s="528">
        <v>2150.8318256034599</v>
      </c>
      <c r="JC90" s="529"/>
      <c r="JD90" s="530">
        <v>977.34831537133277</v>
      </c>
      <c r="JE90" s="531">
        <v>950.46922984542005</v>
      </c>
      <c r="JF90" s="531">
        <v>814.11711890599236</v>
      </c>
      <c r="JG90" s="531">
        <v>648.59154319758227</v>
      </c>
      <c r="JH90" s="531">
        <v>430.5864884929473</v>
      </c>
      <c r="JI90" s="532">
        <v>400.26810152678831</v>
      </c>
      <c r="JJ90" s="532">
        <v>391.59469948603191</v>
      </c>
      <c r="JK90" s="532">
        <v>352.14686024447292</v>
      </c>
      <c r="JL90" s="529"/>
      <c r="JM90" s="530">
        <v>2357.0341008650685</v>
      </c>
      <c r="JN90" s="531">
        <v>2129.1197007909141</v>
      </c>
      <c r="JO90" s="531">
        <v>1844.0659236301165</v>
      </c>
      <c r="JP90" s="531">
        <v>1867.8397312111949</v>
      </c>
      <c r="JQ90" s="531">
        <v>1679.5493252980477</v>
      </c>
      <c r="JR90" s="532">
        <v>1594.958150213567</v>
      </c>
      <c r="JS90" s="532">
        <v>1298.0315373588337</v>
      </c>
      <c r="JT90" s="532">
        <v>1024.6679316888046</v>
      </c>
      <c r="JU90" s="529"/>
      <c r="JV90" s="530">
        <v>785.1109617821935</v>
      </c>
      <c r="JW90" s="531">
        <v>770.32614476641447</v>
      </c>
      <c r="JX90" s="531">
        <v>636.27180979185198</v>
      </c>
      <c r="JY90" s="531">
        <v>496.18551969588071</v>
      </c>
      <c r="JZ90" s="531">
        <v>258.52657321280407</v>
      </c>
      <c r="KA90" s="532">
        <v>232.55004280194532</v>
      </c>
      <c r="KB90" s="532">
        <v>219.39792314954022</v>
      </c>
      <c r="KC90" s="532">
        <v>181.81015842195842</v>
      </c>
      <c r="KD90" s="529"/>
    </row>
    <row r="91" spans="1:290" ht="15" customHeight="1" x14ac:dyDescent="0.2">
      <c r="A91" s="930"/>
      <c r="B91" s="490" t="s">
        <v>701</v>
      </c>
      <c r="C91" s="491">
        <v>2</v>
      </c>
      <c r="D91" s="492"/>
      <c r="E91" s="492">
        <v>1</v>
      </c>
      <c r="F91" s="492">
        <v>2</v>
      </c>
      <c r="G91" s="493">
        <v>1</v>
      </c>
      <c r="H91" s="493">
        <v>1</v>
      </c>
      <c r="I91" s="493"/>
      <c r="J91" s="493">
        <v>2</v>
      </c>
      <c r="K91" s="199"/>
      <c r="L91" s="491"/>
      <c r="M91" s="492"/>
      <c r="N91" s="492"/>
      <c r="O91" s="492">
        <v>1</v>
      </c>
      <c r="P91" s="493">
        <v>1</v>
      </c>
      <c r="Q91" s="493"/>
      <c r="R91" s="493"/>
      <c r="S91" s="493">
        <v>1</v>
      </c>
      <c r="T91" s="199"/>
      <c r="U91" s="491"/>
      <c r="V91" s="492"/>
      <c r="W91" s="492">
        <v>1</v>
      </c>
      <c r="X91" s="492">
        <v>1</v>
      </c>
      <c r="Y91" s="493"/>
      <c r="Z91" s="493"/>
      <c r="AA91" s="493"/>
      <c r="AB91" s="493">
        <v>1</v>
      </c>
      <c r="AC91" s="199"/>
      <c r="AD91" s="491">
        <v>49</v>
      </c>
      <c r="AE91" s="492">
        <v>58</v>
      </c>
      <c r="AF91" s="492">
        <v>31</v>
      </c>
      <c r="AG91" s="492">
        <v>58</v>
      </c>
      <c r="AH91" s="493">
        <v>133</v>
      </c>
      <c r="AI91" s="493">
        <v>101</v>
      </c>
      <c r="AJ91" s="493">
        <v>89</v>
      </c>
      <c r="AK91" s="493">
        <v>97</v>
      </c>
      <c r="AL91" s="199"/>
      <c r="AM91" s="491">
        <v>13</v>
      </c>
      <c r="AN91" s="492">
        <v>10</v>
      </c>
      <c r="AO91" s="492">
        <v>10</v>
      </c>
      <c r="AP91" s="492">
        <v>26</v>
      </c>
      <c r="AQ91" s="493">
        <v>32</v>
      </c>
      <c r="AR91" s="493">
        <v>18</v>
      </c>
      <c r="AS91" s="493">
        <v>19</v>
      </c>
      <c r="AT91" s="493">
        <v>20</v>
      </c>
      <c r="AU91" s="199"/>
      <c r="AV91" s="491"/>
      <c r="AW91" s="492"/>
      <c r="AX91" s="492"/>
      <c r="AY91" s="492"/>
      <c r="AZ91" s="493"/>
      <c r="BA91" s="493"/>
      <c r="BB91" s="493"/>
      <c r="BC91" s="493"/>
      <c r="BD91" s="199"/>
      <c r="BE91" s="491">
        <v>9</v>
      </c>
      <c r="BF91" s="492">
        <v>11</v>
      </c>
      <c r="BG91" s="492">
        <v>3</v>
      </c>
      <c r="BH91" s="492">
        <v>3</v>
      </c>
      <c r="BI91" s="493">
        <v>10</v>
      </c>
      <c r="BJ91" s="493">
        <v>1</v>
      </c>
      <c r="BK91" s="493">
        <v>5</v>
      </c>
      <c r="BL91" s="493">
        <v>10</v>
      </c>
      <c r="BM91" s="199"/>
      <c r="BN91" s="491"/>
      <c r="BO91" s="492"/>
      <c r="BP91" s="492"/>
      <c r="BQ91" s="492"/>
      <c r="BR91" s="493"/>
      <c r="BS91" s="493"/>
      <c r="BT91" s="493"/>
      <c r="BU91" s="493"/>
      <c r="BV91" s="199"/>
      <c r="BW91" s="491">
        <v>37</v>
      </c>
      <c r="BX91" s="492">
        <v>51</v>
      </c>
      <c r="BY91" s="492">
        <v>42</v>
      </c>
      <c r="BZ91" s="492">
        <v>56</v>
      </c>
      <c r="CA91" s="493">
        <v>125</v>
      </c>
      <c r="CB91" s="493">
        <v>125</v>
      </c>
      <c r="CC91" s="493">
        <v>73</v>
      </c>
      <c r="CD91" s="493">
        <v>70</v>
      </c>
      <c r="CE91" s="199"/>
      <c r="CF91" s="491">
        <v>2</v>
      </c>
      <c r="CG91" s="492">
        <v>1</v>
      </c>
      <c r="CH91" s="492"/>
      <c r="CI91" s="492">
        <v>4</v>
      </c>
      <c r="CJ91" s="493">
        <v>5</v>
      </c>
      <c r="CK91" s="493">
        <v>5</v>
      </c>
      <c r="CL91" s="493">
        <v>4</v>
      </c>
      <c r="CM91" s="493">
        <v>4</v>
      </c>
      <c r="CN91" s="199"/>
      <c r="CO91" s="491">
        <v>4</v>
      </c>
      <c r="CP91" s="492"/>
      <c r="CQ91" s="492"/>
      <c r="CR91" s="492"/>
      <c r="CS91" s="493"/>
      <c r="CT91" s="493"/>
      <c r="CU91" s="493"/>
      <c r="CV91" s="493"/>
      <c r="CW91" s="199"/>
      <c r="CX91" s="491">
        <v>556</v>
      </c>
      <c r="CY91" s="492">
        <v>676</v>
      </c>
      <c r="CZ91" s="492">
        <v>657</v>
      </c>
      <c r="DA91" s="492">
        <v>779</v>
      </c>
      <c r="DB91" s="493">
        <v>468</v>
      </c>
      <c r="DC91" s="493">
        <v>509</v>
      </c>
      <c r="DD91" s="493">
        <v>392</v>
      </c>
      <c r="DE91" s="493">
        <v>370</v>
      </c>
      <c r="DF91" s="199"/>
      <c r="DG91" s="491">
        <v>3</v>
      </c>
      <c r="DH91" s="492">
        <v>4</v>
      </c>
      <c r="DI91" s="492"/>
      <c r="DJ91" s="492">
        <v>1</v>
      </c>
      <c r="DK91" s="493"/>
      <c r="DL91" s="493">
        <v>1</v>
      </c>
      <c r="DM91" s="493">
        <v>1</v>
      </c>
      <c r="DN91" s="493">
        <v>1</v>
      </c>
      <c r="DO91" s="199"/>
      <c r="DP91" s="491">
        <v>25</v>
      </c>
      <c r="DQ91" s="492">
        <v>6</v>
      </c>
      <c r="DR91" s="492">
        <v>7</v>
      </c>
      <c r="DS91" s="492">
        <v>13</v>
      </c>
      <c r="DT91" s="493">
        <v>5</v>
      </c>
      <c r="DU91" s="493">
        <v>2</v>
      </c>
      <c r="DV91" s="493">
        <v>7</v>
      </c>
      <c r="DW91" s="493">
        <v>3</v>
      </c>
      <c r="DX91" s="199"/>
      <c r="DY91" s="491">
        <v>100</v>
      </c>
      <c r="DZ91" s="492">
        <v>127</v>
      </c>
      <c r="EA91" s="492">
        <v>135</v>
      </c>
      <c r="EB91" s="492">
        <v>144</v>
      </c>
      <c r="EC91" s="493">
        <v>83</v>
      </c>
      <c r="ED91" s="493">
        <v>118</v>
      </c>
      <c r="EE91" s="493">
        <v>73</v>
      </c>
      <c r="EF91" s="493">
        <v>83</v>
      </c>
      <c r="EG91" s="199"/>
      <c r="EH91" s="491">
        <v>12</v>
      </c>
      <c r="EI91" s="492">
        <v>11</v>
      </c>
      <c r="EJ91" s="492">
        <v>3</v>
      </c>
      <c r="EK91" s="492">
        <v>11</v>
      </c>
      <c r="EL91" s="493">
        <v>4</v>
      </c>
      <c r="EM91" s="493">
        <v>8</v>
      </c>
      <c r="EN91" s="493">
        <v>2</v>
      </c>
      <c r="EO91" s="493">
        <v>3</v>
      </c>
      <c r="EP91" s="199"/>
      <c r="EQ91" s="491"/>
      <c r="ER91" s="492"/>
      <c r="ES91" s="492">
        <v>1</v>
      </c>
      <c r="ET91" s="492">
        <v>2</v>
      </c>
      <c r="EU91" s="493">
        <v>1</v>
      </c>
      <c r="EV91" s="493">
        <v>2</v>
      </c>
      <c r="EW91" s="493">
        <v>15</v>
      </c>
      <c r="EX91" s="493">
        <v>12</v>
      </c>
      <c r="EY91" s="199"/>
      <c r="EZ91" s="491">
        <v>3</v>
      </c>
      <c r="FA91" s="492">
        <v>2</v>
      </c>
      <c r="FB91" s="492">
        <v>5</v>
      </c>
      <c r="FC91" s="492">
        <v>2</v>
      </c>
      <c r="FD91" s="493">
        <v>1</v>
      </c>
      <c r="FE91" s="493">
        <v>2</v>
      </c>
      <c r="FF91" s="493">
        <v>1</v>
      </c>
      <c r="FG91" s="493"/>
      <c r="FH91" s="199"/>
      <c r="FI91" s="491">
        <v>29</v>
      </c>
      <c r="FJ91" s="492">
        <v>34</v>
      </c>
      <c r="FK91" s="492">
        <v>28</v>
      </c>
      <c r="FL91" s="492">
        <v>36</v>
      </c>
      <c r="FM91" s="493">
        <v>13</v>
      </c>
      <c r="FN91" s="493">
        <v>15</v>
      </c>
      <c r="FO91" s="493">
        <v>19</v>
      </c>
      <c r="FP91" s="493">
        <v>23</v>
      </c>
      <c r="FQ91" s="199"/>
      <c r="FR91" s="491">
        <v>4</v>
      </c>
      <c r="FS91" s="492">
        <v>6</v>
      </c>
      <c r="FT91" s="492">
        <v>2</v>
      </c>
      <c r="FU91" s="492">
        <v>1</v>
      </c>
      <c r="FV91" s="493">
        <v>1</v>
      </c>
      <c r="FW91" s="493">
        <v>2</v>
      </c>
      <c r="FX91" s="493">
        <v>4</v>
      </c>
      <c r="FY91" s="493"/>
      <c r="FZ91" s="199"/>
      <c r="GA91" s="491">
        <v>2</v>
      </c>
      <c r="GB91" s="492">
        <v>2</v>
      </c>
      <c r="GC91" s="492">
        <v>3</v>
      </c>
      <c r="GD91" s="492">
        <v>1</v>
      </c>
      <c r="GE91" s="493"/>
      <c r="GF91" s="493">
        <v>3</v>
      </c>
      <c r="GG91" s="493">
        <v>4</v>
      </c>
      <c r="GH91" s="493">
        <v>2</v>
      </c>
      <c r="GI91" s="199"/>
      <c r="GJ91" s="491">
        <v>709</v>
      </c>
      <c r="GK91" s="492">
        <v>852</v>
      </c>
      <c r="GL91" s="492">
        <v>776</v>
      </c>
      <c r="GM91" s="492">
        <v>955</v>
      </c>
      <c r="GN91" s="493">
        <v>762</v>
      </c>
      <c r="GO91" s="493">
        <v>774</v>
      </c>
      <c r="GP91" s="493">
        <v>608</v>
      </c>
      <c r="GQ91" s="493">
        <v>593</v>
      </c>
      <c r="GR91" s="199"/>
      <c r="GS91" s="491">
        <v>185</v>
      </c>
      <c r="GT91" s="492">
        <v>225</v>
      </c>
      <c r="GU91" s="492">
        <v>205</v>
      </c>
      <c r="GV91" s="492">
        <v>238</v>
      </c>
      <c r="GW91" s="493">
        <v>164</v>
      </c>
      <c r="GX91" s="493">
        <v>116</v>
      </c>
      <c r="GY91" s="493">
        <v>100</v>
      </c>
      <c r="GZ91" s="493">
        <v>98</v>
      </c>
      <c r="HA91" s="199"/>
      <c r="HB91" s="491">
        <v>3</v>
      </c>
      <c r="HC91" s="492">
        <v>1</v>
      </c>
      <c r="HD91" s="492"/>
      <c r="HE91" s="492">
        <v>1</v>
      </c>
      <c r="HF91" s="493">
        <v>2</v>
      </c>
      <c r="HG91" s="493"/>
      <c r="HH91" s="493">
        <v>2</v>
      </c>
      <c r="HI91" s="493"/>
      <c r="HJ91" s="199"/>
      <c r="HK91" s="491">
        <v>2</v>
      </c>
      <c r="HL91" s="492">
        <v>3</v>
      </c>
      <c r="HM91" s="492">
        <v>1</v>
      </c>
      <c r="HN91" s="492">
        <v>2</v>
      </c>
      <c r="HO91" s="493"/>
      <c r="HP91" s="493">
        <v>1</v>
      </c>
      <c r="HQ91" s="493">
        <v>1</v>
      </c>
      <c r="HR91" s="493"/>
      <c r="HS91" s="199"/>
      <c r="HT91" s="491">
        <v>276</v>
      </c>
      <c r="HU91" s="492">
        <v>323</v>
      </c>
      <c r="HV91" s="492">
        <v>300</v>
      </c>
      <c r="HW91" s="492">
        <v>364</v>
      </c>
      <c r="HX91" s="493">
        <v>266</v>
      </c>
      <c r="HY91" s="493">
        <v>205</v>
      </c>
      <c r="HZ91" s="493">
        <v>185</v>
      </c>
      <c r="IA91" s="493">
        <v>191</v>
      </c>
      <c r="IB91" s="199"/>
      <c r="IC91" s="491">
        <v>1043</v>
      </c>
      <c r="ID91" s="492">
        <v>1352</v>
      </c>
      <c r="IE91" s="492">
        <v>1215</v>
      </c>
      <c r="IF91" s="492">
        <v>1361</v>
      </c>
      <c r="IG91" s="493">
        <v>1168</v>
      </c>
      <c r="IH91" s="493">
        <v>1103</v>
      </c>
      <c r="II91" s="493">
        <v>901</v>
      </c>
      <c r="IJ91" s="493">
        <v>911</v>
      </c>
      <c r="IK91" s="199"/>
      <c r="IL91" s="491">
        <v>150</v>
      </c>
      <c r="IM91" s="492">
        <v>224</v>
      </c>
      <c r="IN91" s="492">
        <v>269</v>
      </c>
      <c r="IO91" s="492">
        <v>200</v>
      </c>
      <c r="IP91" s="493">
        <v>60</v>
      </c>
      <c r="IQ91" s="493">
        <v>160</v>
      </c>
      <c r="IR91" s="493">
        <v>90</v>
      </c>
      <c r="IS91" s="493">
        <v>118</v>
      </c>
      <c r="IT91" s="199"/>
      <c r="IU91" s="533">
        <v>3280.6995470558631</v>
      </c>
      <c r="IV91" s="534">
        <v>4309.8501753267456</v>
      </c>
      <c r="IW91" s="534">
        <v>3928.0980246354793</v>
      </c>
      <c r="IX91" s="534">
        <v>4333.4288534403158</v>
      </c>
      <c r="IY91" s="535">
        <v>3753.8164872248112</v>
      </c>
      <c r="IZ91" s="535">
        <v>3569.4742855418363</v>
      </c>
      <c r="JA91" s="535">
        <v>3056.3093622795113</v>
      </c>
      <c r="JB91" s="535">
        <v>3120.82491178788</v>
      </c>
      <c r="JC91" s="536"/>
      <c r="JD91" s="537">
        <v>868.14292903875184</v>
      </c>
      <c r="JE91" s="538">
        <v>1029.6461587503984</v>
      </c>
      <c r="JF91" s="538">
        <v>969.9007468235751</v>
      </c>
      <c r="JG91" s="538">
        <v>1158.9772980545738</v>
      </c>
      <c r="JH91" s="538">
        <v>854.89313835770531</v>
      </c>
      <c r="JI91" s="539">
        <v>674.99993368510809</v>
      </c>
      <c r="JJ91" s="539">
        <v>627.54409769335143</v>
      </c>
      <c r="JK91" s="539">
        <v>654.31126031996166</v>
      </c>
      <c r="JL91" s="536"/>
      <c r="JM91" s="537">
        <v>2230.1207851031709</v>
      </c>
      <c r="JN91" s="538">
        <v>2715.9706726171498</v>
      </c>
      <c r="JO91" s="538">
        <v>2508.8099317836477</v>
      </c>
      <c r="JP91" s="538">
        <v>3040.7234056102143</v>
      </c>
      <c r="JQ91" s="538">
        <v>2448.9795918367345</v>
      </c>
      <c r="JR91" s="539">
        <v>2489.8389278677919</v>
      </c>
      <c r="JS91" s="539">
        <v>2062.415196743555</v>
      </c>
      <c r="JT91" s="539">
        <v>2031.448049056216</v>
      </c>
      <c r="JU91" s="536"/>
      <c r="JV91" s="537">
        <v>581.90739808756928</v>
      </c>
      <c r="JW91" s="538">
        <v>717.2457762193178</v>
      </c>
      <c r="JX91" s="538">
        <v>662.76551032944303</v>
      </c>
      <c r="JY91" s="538">
        <v>757.79284872799064</v>
      </c>
      <c r="JZ91" s="538">
        <v>527.07697252129196</v>
      </c>
      <c r="KA91" s="539">
        <v>382.30861315644836</v>
      </c>
      <c r="KB91" s="539">
        <v>339.21302578018998</v>
      </c>
      <c r="KC91" s="539">
        <v>335.71991367202219</v>
      </c>
      <c r="KD91" s="536"/>
    </row>
    <row r="92" spans="1:290" ht="15" customHeight="1" x14ac:dyDescent="0.2">
      <c r="A92" s="930"/>
      <c r="B92" s="490" t="s">
        <v>702</v>
      </c>
      <c r="C92" s="491"/>
      <c r="D92" s="492">
        <v>2</v>
      </c>
      <c r="E92" s="492">
        <v>3</v>
      </c>
      <c r="F92" s="492">
        <v>2</v>
      </c>
      <c r="G92" s="493">
        <v>1</v>
      </c>
      <c r="H92" s="493"/>
      <c r="I92" s="493">
        <v>4</v>
      </c>
      <c r="J92" s="493">
        <v>3</v>
      </c>
      <c r="K92" s="199"/>
      <c r="L92" s="491"/>
      <c r="M92" s="492"/>
      <c r="N92" s="492">
        <v>1</v>
      </c>
      <c r="O92" s="492">
        <v>1</v>
      </c>
      <c r="P92" s="493">
        <v>1</v>
      </c>
      <c r="Q92" s="493"/>
      <c r="R92" s="493">
        <v>3</v>
      </c>
      <c r="S92" s="493"/>
      <c r="T92" s="199"/>
      <c r="U92" s="491"/>
      <c r="V92" s="492">
        <v>1</v>
      </c>
      <c r="W92" s="492">
        <v>2</v>
      </c>
      <c r="X92" s="492">
        <v>1</v>
      </c>
      <c r="Y92" s="493"/>
      <c r="Z92" s="493"/>
      <c r="AA92" s="493">
        <v>1</v>
      </c>
      <c r="AB92" s="493"/>
      <c r="AC92" s="199"/>
      <c r="AD92" s="491">
        <v>123</v>
      </c>
      <c r="AE92" s="492">
        <v>111</v>
      </c>
      <c r="AF92" s="492">
        <v>84</v>
      </c>
      <c r="AG92" s="492">
        <v>78</v>
      </c>
      <c r="AH92" s="493">
        <v>69</v>
      </c>
      <c r="AI92" s="493">
        <v>100</v>
      </c>
      <c r="AJ92" s="493">
        <v>69</v>
      </c>
      <c r="AK92" s="493">
        <v>72</v>
      </c>
      <c r="AL92" s="199"/>
      <c r="AM92" s="491">
        <v>45</v>
      </c>
      <c r="AN92" s="492">
        <v>43</v>
      </c>
      <c r="AO92" s="492">
        <v>27</v>
      </c>
      <c r="AP92" s="492">
        <v>23</v>
      </c>
      <c r="AQ92" s="493">
        <v>27</v>
      </c>
      <c r="AR92" s="493">
        <v>27</v>
      </c>
      <c r="AS92" s="493">
        <v>15</v>
      </c>
      <c r="AT92" s="493">
        <v>22</v>
      </c>
      <c r="AU92" s="199"/>
      <c r="AV92" s="491"/>
      <c r="AW92" s="492"/>
      <c r="AX92" s="492"/>
      <c r="AY92" s="492"/>
      <c r="AZ92" s="493"/>
      <c r="BA92" s="493"/>
      <c r="BB92" s="493"/>
      <c r="BC92" s="493"/>
      <c r="BD92" s="199"/>
      <c r="BE92" s="491">
        <v>5</v>
      </c>
      <c r="BF92" s="492">
        <v>18</v>
      </c>
      <c r="BG92" s="492">
        <v>6</v>
      </c>
      <c r="BH92" s="492">
        <v>6</v>
      </c>
      <c r="BI92" s="493">
        <v>7</v>
      </c>
      <c r="BJ92" s="493">
        <v>3</v>
      </c>
      <c r="BK92" s="493">
        <v>12</v>
      </c>
      <c r="BL92" s="493">
        <v>5</v>
      </c>
      <c r="BM92" s="199"/>
      <c r="BN92" s="491"/>
      <c r="BO92" s="492"/>
      <c r="BP92" s="492"/>
      <c r="BQ92" s="492"/>
      <c r="BR92" s="493"/>
      <c r="BS92" s="493"/>
      <c r="BT92" s="493"/>
      <c r="BU92" s="493"/>
      <c r="BV92" s="199"/>
      <c r="BW92" s="491">
        <v>119</v>
      </c>
      <c r="BX92" s="492">
        <v>151</v>
      </c>
      <c r="BY92" s="492">
        <v>133</v>
      </c>
      <c r="BZ92" s="492">
        <v>114</v>
      </c>
      <c r="CA92" s="493">
        <v>107</v>
      </c>
      <c r="CB92" s="493">
        <v>140</v>
      </c>
      <c r="CC92" s="493">
        <v>103</v>
      </c>
      <c r="CD92" s="493">
        <v>107</v>
      </c>
      <c r="CE92" s="199"/>
      <c r="CF92" s="491">
        <v>5</v>
      </c>
      <c r="CG92" s="492">
        <v>6</v>
      </c>
      <c r="CH92" s="492">
        <v>1</v>
      </c>
      <c r="CI92" s="492">
        <v>3</v>
      </c>
      <c r="CJ92" s="493">
        <v>3</v>
      </c>
      <c r="CK92" s="493">
        <v>7</v>
      </c>
      <c r="CL92" s="493">
        <v>4</v>
      </c>
      <c r="CM92" s="493">
        <v>5</v>
      </c>
      <c r="CN92" s="199"/>
      <c r="CO92" s="491">
        <v>2</v>
      </c>
      <c r="CP92" s="492">
        <v>2</v>
      </c>
      <c r="CQ92" s="492">
        <v>2</v>
      </c>
      <c r="CR92" s="492">
        <v>2</v>
      </c>
      <c r="CS92" s="493"/>
      <c r="CT92" s="493">
        <v>5</v>
      </c>
      <c r="CU92" s="493">
        <v>1</v>
      </c>
      <c r="CV92" s="493">
        <v>3</v>
      </c>
      <c r="CW92" s="199"/>
      <c r="CX92" s="491">
        <v>1013</v>
      </c>
      <c r="CY92" s="492">
        <v>1002</v>
      </c>
      <c r="CZ92" s="492">
        <v>1085</v>
      </c>
      <c r="DA92" s="492">
        <v>968</v>
      </c>
      <c r="DB92" s="493">
        <v>696</v>
      </c>
      <c r="DC92" s="493">
        <v>543</v>
      </c>
      <c r="DD92" s="493">
        <v>602</v>
      </c>
      <c r="DE92" s="493">
        <v>789</v>
      </c>
      <c r="DF92" s="199"/>
      <c r="DG92" s="491">
        <v>13</v>
      </c>
      <c r="DH92" s="492">
        <v>12</v>
      </c>
      <c r="DI92" s="492">
        <v>18</v>
      </c>
      <c r="DJ92" s="492">
        <v>6</v>
      </c>
      <c r="DK92" s="493">
        <v>11</v>
      </c>
      <c r="DL92" s="493">
        <v>6</v>
      </c>
      <c r="DM92" s="493">
        <v>1</v>
      </c>
      <c r="DN92" s="493">
        <v>11</v>
      </c>
      <c r="DO92" s="199"/>
      <c r="DP92" s="491">
        <v>44</v>
      </c>
      <c r="DQ92" s="492">
        <v>44</v>
      </c>
      <c r="DR92" s="492">
        <v>32</v>
      </c>
      <c r="DS92" s="492">
        <v>20</v>
      </c>
      <c r="DT92" s="493">
        <v>31</v>
      </c>
      <c r="DU92" s="493">
        <v>10</v>
      </c>
      <c r="DV92" s="493">
        <v>25</v>
      </c>
      <c r="DW92" s="493">
        <v>57</v>
      </c>
      <c r="DX92" s="199"/>
      <c r="DY92" s="491">
        <v>137</v>
      </c>
      <c r="DZ92" s="492">
        <v>131</v>
      </c>
      <c r="EA92" s="492">
        <v>133</v>
      </c>
      <c r="EB92" s="492">
        <v>127</v>
      </c>
      <c r="EC92" s="493">
        <v>166</v>
      </c>
      <c r="ED92" s="493">
        <v>117</v>
      </c>
      <c r="EE92" s="493">
        <v>100</v>
      </c>
      <c r="EF92" s="493">
        <v>110</v>
      </c>
      <c r="EG92" s="199"/>
      <c r="EH92" s="491">
        <v>14</v>
      </c>
      <c r="EI92" s="492">
        <v>16</v>
      </c>
      <c r="EJ92" s="492">
        <v>23</v>
      </c>
      <c r="EK92" s="492">
        <v>13</v>
      </c>
      <c r="EL92" s="493">
        <v>12</v>
      </c>
      <c r="EM92" s="493">
        <v>4</v>
      </c>
      <c r="EN92" s="493">
        <v>10</v>
      </c>
      <c r="EO92" s="493">
        <v>12</v>
      </c>
      <c r="EP92" s="199"/>
      <c r="EQ92" s="491">
        <v>3</v>
      </c>
      <c r="ER92" s="492">
        <v>3</v>
      </c>
      <c r="ES92" s="492"/>
      <c r="ET92" s="492">
        <v>2</v>
      </c>
      <c r="EU92" s="493">
        <v>2</v>
      </c>
      <c r="EV92" s="493">
        <v>3</v>
      </c>
      <c r="EW92" s="493">
        <v>2</v>
      </c>
      <c r="EX92" s="493">
        <v>8</v>
      </c>
      <c r="EY92" s="199"/>
      <c r="EZ92" s="491">
        <v>14</v>
      </c>
      <c r="FA92" s="492">
        <v>3</v>
      </c>
      <c r="FB92" s="492">
        <v>8</v>
      </c>
      <c r="FC92" s="492">
        <v>4</v>
      </c>
      <c r="FD92" s="493">
        <v>3</v>
      </c>
      <c r="FE92" s="493">
        <v>4</v>
      </c>
      <c r="FF92" s="493">
        <v>6</v>
      </c>
      <c r="FG92" s="493">
        <v>3</v>
      </c>
      <c r="FH92" s="199"/>
      <c r="FI92" s="491">
        <v>100</v>
      </c>
      <c r="FJ92" s="492">
        <v>94</v>
      </c>
      <c r="FK92" s="492">
        <v>79</v>
      </c>
      <c r="FL92" s="492">
        <v>58</v>
      </c>
      <c r="FM92" s="493">
        <v>51</v>
      </c>
      <c r="FN92" s="493">
        <v>40</v>
      </c>
      <c r="FO92" s="493">
        <v>37</v>
      </c>
      <c r="FP92" s="493">
        <v>52</v>
      </c>
      <c r="FQ92" s="199"/>
      <c r="FR92" s="491">
        <v>5</v>
      </c>
      <c r="FS92" s="492">
        <v>6</v>
      </c>
      <c r="FT92" s="492">
        <v>2</v>
      </c>
      <c r="FU92" s="492">
        <v>1</v>
      </c>
      <c r="FV92" s="493">
        <v>6</v>
      </c>
      <c r="FW92" s="493">
        <v>3</v>
      </c>
      <c r="FX92" s="493">
        <v>2</v>
      </c>
      <c r="FY92" s="493">
        <v>4</v>
      </c>
      <c r="FZ92" s="199"/>
      <c r="GA92" s="491">
        <v>14</v>
      </c>
      <c r="GB92" s="492">
        <v>6</v>
      </c>
      <c r="GC92" s="492">
        <v>7</v>
      </c>
      <c r="GD92" s="492">
        <v>7</v>
      </c>
      <c r="GE92" s="493">
        <v>1</v>
      </c>
      <c r="GF92" s="493">
        <v>7</v>
      </c>
      <c r="GG92" s="493">
        <v>2</v>
      </c>
      <c r="GH92" s="493">
        <v>6</v>
      </c>
      <c r="GI92" s="199"/>
      <c r="GJ92" s="491">
        <v>1417</v>
      </c>
      <c r="GK92" s="492">
        <v>1420</v>
      </c>
      <c r="GL92" s="492">
        <v>1433</v>
      </c>
      <c r="GM92" s="492">
        <v>1258</v>
      </c>
      <c r="GN92" s="493">
        <v>958</v>
      </c>
      <c r="GO92" s="493">
        <v>859</v>
      </c>
      <c r="GP92" s="493">
        <v>854</v>
      </c>
      <c r="GQ92" s="493">
        <v>1069</v>
      </c>
      <c r="GR92" s="199"/>
      <c r="GS92" s="491">
        <v>560</v>
      </c>
      <c r="GT92" s="492">
        <v>506</v>
      </c>
      <c r="GU92" s="492">
        <v>438</v>
      </c>
      <c r="GV92" s="492">
        <v>377</v>
      </c>
      <c r="GW92" s="493">
        <v>230</v>
      </c>
      <c r="GX92" s="493">
        <v>216</v>
      </c>
      <c r="GY92" s="493">
        <v>231</v>
      </c>
      <c r="GZ92" s="493">
        <v>239</v>
      </c>
      <c r="HA92" s="199"/>
      <c r="HB92" s="491">
        <v>1</v>
      </c>
      <c r="HC92" s="492">
        <v>6</v>
      </c>
      <c r="HD92" s="492">
        <v>7</v>
      </c>
      <c r="HE92" s="492">
        <v>1</v>
      </c>
      <c r="HF92" s="493">
        <v>3</v>
      </c>
      <c r="HG92" s="493">
        <v>5</v>
      </c>
      <c r="HH92" s="493">
        <v>2</v>
      </c>
      <c r="HI92" s="493">
        <v>2</v>
      </c>
      <c r="HJ92" s="199"/>
      <c r="HK92" s="491">
        <v>6</v>
      </c>
      <c r="HL92" s="492">
        <v>4</v>
      </c>
      <c r="HM92" s="492">
        <v>1</v>
      </c>
      <c r="HN92" s="492">
        <v>5</v>
      </c>
      <c r="HO92" s="493">
        <v>1</v>
      </c>
      <c r="HP92" s="493">
        <v>1</v>
      </c>
      <c r="HQ92" s="493">
        <v>1</v>
      </c>
      <c r="HR92" s="493"/>
      <c r="HS92" s="199"/>
      <c r="HT92" s="491">
        <v>736</v>
      </c>
      <c r="HU92" s="492">
        <v>621</v>
      </c>
      <c r="HV92" s="492">
        <v>563</v>
      </c>
      <c r="HW92" s="492">
        <v>524</v>
      </c>
      <c r="HX92" s="493">
        <v>447</v>
      </c>
      <c r="HY92" s="493">
        <v>343</v>
      </c>
      <c r="HZ92" s="493">
        <v>385</v>
      </c>
      <c r="IA92" s="493">
        <v>395</v>
      </c>
      <c r="IB92" s="199"/>
      <c r="IC92" s="491">
        <v>2229</v>
      </c>
      <c r="ID92" s="492">
        <v>2217</v>
      </c>
      <c r="IE92" s="492">
        <v>2545</v>
      </c>
      <c r="IF92" s="492">
        <v>1845</v>
      </c>
      <c r="IG92" s="493">
        <v>1626</v>
      </c>
      <c r="IH92" s="493">
        <v>1457</v>
      </c>
      <c r="II92" s="493">
        <v>1468</v>
      </c>
      <c r="IJ92" s="493">
        <v>1638</v>
      </c>
      <c r="IK92" s="199"/>
      <c r="IL92" s="491">
        <v>253</v>
      </c>
      <c r="IM92" s="492">
        <v>324</v>
      </c>
      <c r="IN92" s="492">
        <v>351</v>
      </c>
      <c r="IO92" s="492">
        <v>200</v>
      </c>
      <c r="IP92" s="493">
        <v>158</v>
      </c>
      <c r="IQ92" s="493">
        <v>150</v>
      </c>
      <c r="IR92" s="493">
        <v>130</v>
      </c>
      <c r="IS92" s="493">
        <v>190</v>
      </c>
      <c r="IT92" s="199"/>
      <c r="IU92" s="533">
        <v>2941.9140258951788</v>
      </c>
      <c r="IV92" s="534">
        <v>2946.1794019933554</v>
      </c>
      <c r="IW92" s="534">
        <v>3411.2080635865268</v>
      </c>
      <c r="IX92" s="534">
        <v>2511.5709229512659</v>
      </c>
      <c r="IY92" s="535">
        <v>2236.5887207702885</v>
      </c>
      <c r="IZ92" s="535">
        <v>2027.9204420504684</v>
      </c>
      <c r="JA92" s="535">
        <v>2058.819404513134</v>
      </c>
      <c r="JB92" s="535">
        <v>2315.9144893111638</v>
      </c>
      <c r="JC92" s="536"/>
      <c r="JD92" s="537">
        <v>971.39915794475155</v>
      </c>
      <c r="JE92" s="538">
        <v>825.249169435216</v>
      </c>
      <c r="JF92" s="538">
        <v>754.62088007827685</v>
      </c>
      <c r="JG92" s="538">
        <v>713.3133678192213</v>
      </c>
      <c r="JH92" s="538">
        <v>614.85557083906463</v>
      </c>
      <c r="JI92" s="539">
        <v>477.40337105237518</v>
      </c>
      <c r="JJ92" s="539">
        <v>539.94923074765438</v>
      </c>
      <c r="JK92" s="539">
        <v>558.47754778871172</v>
      </c>
      <c r="JL92" s="536"/>
      <c r="JM92" s="537">
        <v>1870.2073462061319</v>
      </c>
      <c r="JN92" s="538">
        <v>1887.0431893687708</v>
      </c>
      <c r="JO92" s="538">
        <v>1920.7312986717063</v>
      </c>
      <c r="JP92" s="538">
        <v>1712.4965967873673</v>
      </c>
      <c r="JQ92" s="538">
        <v>1317.7441540577715</v>
      </c>
      <c r="JR92" s="539">
        <v>1195.5961974751904</v>
      </c>
      <c r="JS92" s="539">
        <v>1197.7055663857061</v>
      </c>
      <c r="JT92" s="539">
        <v>1511.4240470535008</v>
      </c>
      <c r="JU92" s="536"/>
      <c r="JV92" s="537">
        <v>739.10805495796319</v>
      </c>
      <c r="JW92" s="538">
        <v>672.42524916943523</v>
      </c>
      <c r="JX92" s="538">
        <v>587.07627970565773</v>
      </c>
      <c r="JY92" s="538">
        <v>513.20446501497406</v>
      </c>
      <c r="JZ92" s="538">
        <v>316.36863823933976</v>
      </c>
      <c r="KA92" s="539">
        <v>300.63885757234124</v>
      </c>
      <c r="KB92" s="539">
        <v>323.96953844859263</v>
      </c>
      <c r="KC92" s="539">
        <v>337.91426309241035</v>
      </c>
      <c r="KD92" s="536"/>
    </row>
    <row r="93" spans="1:290" ht="15" customHeight="1" x14ac:dyDescent="0.2">
      <c r="A93" s="930"/>
      <c r="B93" s="490" t="s">
        <v>703</v>
      </c>
      <c r="C93" s="491">
        <v>1</v>
      </c>
      <c r="D93" s="492">
        <v>1</v>
      </c>
      <c r="E93" s="492"/>
      <c r="F93" s="492">
        <v>2</v>
      </c>
      <c r="G93" s="493"/>
      <c r="H93" s="493">
        <v>1</v>
      </c>
      <c r="I93" s="493">
        <v>2</v>
      </c>
      <c r="J93" s="493">
        <v>2</v>
      </c>
      <c r="K93" s="199"/>
      <c r="L93" s="491">
        <v>1</v>
      </c>
      <c r="M93" s="492"/>
      <c r="N93" s="492"/>
      <c r="O93" s="492"/>
      <c r="P93" s="493"/>
      <c r="Q93" s="493">
        <v>1</v>
      </c>
      <c r="R93" s="493">
        <v>1</v>
      </c>
      <c r="S93" s="493"/>
      <c r="T93" s="199"/>
      <c r="U93" s="491"/>
      <c r="V93" s="492"/>
      <c r="W93" s="492"/>
      <c r="X93" s="492">
        <v>1</v>
      </c>
      <c r="Y93" s="493"/>
      <c r="Z93" s="493"/>
      <c r="AA93" s="493">
        <v>1</v>
      </c>
      <c r="AB93" s="493">
        <v>2</v>
      </c>
      <c r="AC93" s="199"/>
      <c r="AD93" s="491">
        <v>45</v>
      </c>
      <c r="AE93" s="492">
        <v>51</v>
      </c>
      <c r="AF93" s="492">
        <v>37</v>
      </c>
      <c r="AG93" s="492">
        <v>42</v>
      </c>
      <c r="AH93" s="493">
        <v>43</v>
      </c>
      <c r="AI93" s="493">
        <v>27</v>
      </c>
      <c r="AJ93" s="493">
        <v>55</v>
      </c>
      <c r="AK93" s="493">
        <v>64</v>
      </c>
      <c r="AL93" s="199"/>
      <c r="AM93" s="491">
        <v>23</v>
      </c>
      <c r="AN93" s="492">
        <v>29</v>
      </c>
      <c r="AO93" s="492">
        <v>21</v>
      </c>
      <c r="AP93" s="492">
        <v>24</v>
      </c>
      <c r="AQ93" s="493">
        <v>19</v>
      </c>
      <c r="AR93" s="493">
        <v>12</v>
      </c>
      <c r="AS93" s="493">
        <v>14</v>
      </c>
      <c r="AT93" s="493">
        <v>18</v>
      </c>
      <c r="AU93" s="199"/>
      <c r="AV93" s="491"/>
      <c r="AW93" s="492"/>
      <c r="AX93" s="492"/>
      <c r="AY93" s="492"/>
      <c r="AZ93" s="493"/>
      <c r="BA93" s="493"/>
      <c r="BB93" s="493"/>
      <c r="BC93" s="493"/>
      <c r="BD93" s="199"/>
      <c r="BE93" s="491">
        <v>3</v>
      </c>
      <c r="BF93" s="492">
        <v>3</v>
      </c>
      <c r="BG93" s="492">
        <v>5</v>
      </c>
      <c r="BH93" s="492">
        <v>2</v>
      </c>
      <c r="BI93" s="493">
        <v>8</v>
      </c>
      <c r="BJ93" s="493">
        <v>4</v>
      </c>
      <c r="BK93" s="493">
        <v>1</v>
      </c>
      <c r="BL93" s="493"/>
      <c r="BM93" s="199"/>
      <c r="BN93" s="491"/>
      <c r="BO93" s="492"/>
      <c r="BP93" s="492"/>
      <c r="BQ93" s="492">
        <v>1</v>
      </c>
      <c r="BR93" s="493"/>
      <c r="BS93" s="493"/>
      <c r="BT93" s="493"/>
      <c r="BU93" s="493"/>
      <c r="BV93" s="199"/>
      <c r="BW93" s="491">
        <v>32</v>
      </c>
      <c r="BX93" s="492">
        <v>40</v>
      </c>
      <c r="BY93" s="492">
        <v>17</v>
      </c>
      <c r="BZ93" s="492">
        <v>36</v>
      </c>
      <c r="CA93" s="493">
        <v>50</v>
      </c>
      <c r="CB93" s="493">
        <v>31</v>
      </c>
      <c r="CC93" s="493">
        <v>32</v>
      </c>
      <c r="CD93" s="493">
        <v>47</v>
      </c>
      <c r="CE93" s="199"/>
      <c r="CF93" s="491">
        <v>5</v>
      </c>
      <c r="CG93" s="492">
        <v>4</v>
      </c>
      <c r="CH93" s="492">
        <v>2</v>
      </c>
      <c r="CI93" s="492">
        <v>2</v>
      </c>
      <c r="CJ93" s="493">
        <v>3</v>
      </c>
      <c r="CK93" s="493">
        <v>2</v>
      </c>
      <c r="CL93" s="493">
        <v>1</v>
      </c>
      <c r="CM93" s="493">
        <v>2</v>
      </c>
      <c r="CN93" s="199"/>
      <c r="CO93" s="491">
        <v>1</v>
      </c>
      <c r="CP93" s="492">
        <v>19</v>
      </c>
      <c r="CQ93" s="492">
        <v>1</v>
      </c>
      <c r="CR93" s="492">
        <v>1</v>
      </c>
      <c r="CS93" s="493">
        <v>1</v>
      </c>
      <c r="CT93" s="493"/>
      <c r="CU93" s="493">
        <v>3</v>
      </c>
      <c r="CV93" s="493">
        <v>2</v>
      </c>
      <c r="CW93" s="199"/>
      <c r="CX93" s="491">
        <v>805</v>
      </c>
      <c r="CY93" s="492">
        <v>749</v>
      </c>
      <c r="CZ93" s="492">
        <v>718</v>
      </c>
      <c r="DA93" s="492">
        <v>616</v>
      </c>
      <c r="DB93" s="493">
        <v>412</v>
      </c>
      <c r="DC93" s="493">
        <v>342</v>
      </c>
      <c r="DD93" s="493">
        <v>225</v>
      </c>
      <c r="DE93" s="493">
        <v>302</v>
      </c>
      <c r="DF93" s="199"/>
      <c r="DG93" s="491">
        <v>4</v>
      </c>
      <c r="DH93" s="492">
        <v>5</v>
      </c>
      <c r="DI93" s="492">
        <v>5</v>
      </c>
      <c r="DJ93" s="492">
        <v>5</v>
      </c>
      <c r="DK93" s="493"/>
      <c r="DL93" s="493">
        <v>3</v>
      </c>
      <c r="DM93" s="493"/>
      <c r="DN93" s="493">
        <v>2</v>
      </c>
      <c r="DO93" s="199"/>
      <c r="DP93" s="491">
        <v>57</v>
      </c>
      <c r="DQ93" s="492">
        <v>27</v>
      </c>
      <c r="DR93" s="492">
        <v>29</v>
      </c>
      <c r="DS93" s="492">
        <v>13</v>
      </c>
      <c r="DT93" s="493">
        <v>14</v>
      </c>
      <c r="DU93" s="493">
        <v>16</v>
      </c>
      <c r="DV93" s="493">
        <v>13</v>
      </c>
      <c r="DW93" s="493">
        <v>19</v>
      </c>
      <c r="DX93" s="199"/>
      <c r="DY93" s="491">
        <v>104</v>
      </c>
      <c r="DZ93" s="492">
        <v>100</v>
      </c>
      <c r="EA93" s="492">
        <v>71</v>
      </c>
      <c r="EB93" s="492">
        <v>89</v>
      </c>
      <c r="EC93" s="493">
        <v>45</v>
      </c>
      <c r="ED93" s="493">
        <v>71</v>
      </c>
      <c r="EE93" s="493">
        <v>43</v>
      </c>
      <c r="EF93" s="493">
        <v>31</v>
      </c>
      <c r="EG93" s="199"/>
      <c r="EH93" s="491">
        <v>16</v>
      </c>
      <c r="EI93" s="492">
        <v>15</v>
      </c>
      <c r="EJ93" s="492">
        <v>6</v>
      </c>
      <c r="EK93" s="492">
        <v>14</v>
      </c>
      <c r="EL93" s="493">
        <v>10</v>
      </c>
      <c r="EM93" s="493">
        <v>9</v>
      </c>
      <c r="EN93" s="493">
        <v>2</v>
      </c>
      <c r="EO93" s="493">
        <v>1</v>
      </c>
      <c r="EP93" s="199"/>
      <c r="EQ93" s="491">
        <v>3</v>
      </c>
      <c r="ER93" s="492">
        <v>4</v>
      </c>
      <c r="ES93" s="492"/>
      <c r="ET93" s="492">
        <v>3</v>
      </c>
      <c r="EU93" s="493"/>
      <c r="EV93" s="493">
        <v>1</v>
      </c>
      <c r="EW93" s="493">
        <v>2</v>
      </c>
      <c r="EX93" s="493">
        <v>9</v>
      </c>
      <c r="EY93" s="199"/>
      <c r="EZ93" s="491">
        <v>7</v>
      </c>
      <c r="FA93" s="492">
        <v>6</v>
      </c>
      <c r="FB93" s="492">
        <v>6</v>
      </c>
      <c r="FC93" s="492"/>
      <c r="FD93" s="493"/>
      <c r="FE93" s="493"/>
      <c r="FF93" s="493">
        <v>2</v>
      </c>
      <c r="FG93" s="493"/>
      <c r="FH93" s="199"/>
      <c r="FI93" s="491">
        <v>60</v>
      </c>
      <c r="FJ93" s="492">
        <v>39</v>
      </c>
      <c r="FK93" s="492">
        <v>43</v>
      </c>
      <c r="FL93" s="492">
        <v>24</v>
      </c>
      <c r="FM93" s="493">
        <v>19</v>
      </c>
      <c r="FN93" s="493">
        <v>24</v>
      </c>
      <c r="FO93" s="493">
        <v>32</v>
      </c>
      <c r="FP93" s="493">
        <v>22</v>
      </c>
      <c r="FQ93" s="199"/>
      <c r="FR93" s="491">
        <v>12</v>
      </c>
      <c r="FS93" s="492">
        <v>6</v>
      </c>
      <c r="FT93" s="492">
        <v>3</v>
      </c>
      <c r="FU93" s="492">
        <v>5</v>
      </c>
      <c r="FV93" s="493">
        <v>2</v>
      </c>
      <c r="FW93" s="493"/>
      <c r="FX93" s="493">
        <v>2</v>
      </c>
      <c r="FY93" s="493"/>
      <c r="FZ93" s="199"/>
      <c r="GA93" s="491">
        <v>3</v>
      </c>
      <c r="GB93" s="492">
        <v>6</v>
      </c>
      <c r="GC93" s="492">
        <v>4</v>
      </c>
      <c r="GD93" s="492">
        <v>2</v>
      </c>
      <c r="GE93" s="493">
        <v>5</v>
      </c>
      <c r="GF93" s="493"/>
      <c r="GG93" s="493">
        <v>4</v>
      </c>
      <c r="GH93" s="493">
        <v>3</v>
      </c>
      <c r="GI93" s="199"/>
      <c r="GJ93" s="491">
        <v>993</v>
      </c>
      <c r="GK93" s="492">
        <v>943</v>
      </c>
      <c r="GL93" s="492">
        <v>842</v>
      </c>
      <c r="GM93" s="492">
        <v>750</v>
      </c>
      <c r="GN93" s="493">
        <v>553</v>
      </c>
      <c r="GO93" s="493">
        <v>441</v>
      </c>
      <c r="GP93" s="493">
        <v>363</v>
      </c>
      <c r="GQ93" s="493">
        <v>454</v>
      </c>
      <c r="GR93" s="199"/>
      <c r="GS93" s="491">
        <v>367</v>
      </c>
      <c r="GT93" s="492">
        <v>274</v>
      </c>
      <c r="GU93" s="492">
        <v>265</v>
      </c>
      <c r="GV93" s="492">
        <v>201</v>
      </c>
      <c r="GW93" s="493">
        <v>105</v>
      </c>
      <c r="GX93" s="493">
        <v>77</v>
      </c>
      <c r="GY93" s="493">
        <v>63</v>
      </c>
      <c r="GZ93" s="493">
        <v>108</v>
      </c>
      <c r="HA93" s="199"/>
      <c r="HB93" s="491">
        <v>1</v>
      </c>
      <c r="HC93" s="492"/>
      <c r="HD93" s="492">
        <v>1</v>
      </c>
      <c r="HE93" s="492">
        <v>2</v>
      </c>
      <c r="HF93" s="493">
        <v>2</v>
      </c>
      <c r="HG93" s="493">
        <v>2</v>
      </c>
      <c r="HH93" s="493">
        <v>1</v>
      </c>
      <c r="HI93" s="493">
        <v>1</v>
      </c>
      <c r="HJ93" s="199"/>
      <c r="HK93" s="491"/>
      <c r="HL93" s="492">
        <v>1</v>
      </c>
      <c r="HM93" s="492">
        <v>1</v>
      </c>
      <c r="HN93" s="492">
        <v>1</v>
      </c>
      <c r="HO93" s="493">
        <v>3</v>
      </c>
      <c r="HP93" s="493"/>
      <c r="HQ93" s="493">
        <v>1</v>
      </c>
      <c r="HR93" s="493"/>
      <c r="HS93" s="199"/>
      <c r="HT93" s="491">
        <v>473</v>
      </c>
      <c r="HU93" s="492">
        <v>350</v>
      </c>
      <c r="HV93" s="492">
        <v>352</v>
      </c>
      <c r="HW93" s="492">
        <v>293</v>
      </c>
      <c r="HX93" s="493">
        <v>216</v>
      </c>
      <c r="HY93" s="493">
        <v>198</v>
      </c>
      <c r="HZ93" s="493">
        <v>169</v>
      </c>
      <c r="IA93" s="493">
        <v>198</v>
      </c>
      <c r="IB93" s="199"/>
      <c r="IC93" s="491">
        <v>1499</v>
      </c>
      <c r="ID93" s="492">
        <v>1934</v>
      </c>
      <c r="IE93" s="492">
        <v>1815</v>
      </c>
      <c r="IF93" s="492">
        <v>1187</v>
      </c>
      <c r="IG93" s="493">
        <v>1257</v>
      </c>
      <c r="IH93" s="493">
        <v>906</v>
      </c>
      <c r="II93" s="493">
        <v>813</v>
      </c>
      <c r="IJ93" s="493">
        <v>773</v>
      </c>
      <c r="IK93" s="199"/>
      <c r="IL93" s="491">
        <v>194</v>
      </c>
      <c r="IM93" s="492">
        <v>221</v>
      </c>
      <c r="IN93" s="492">
        <v>164</v>
      </c>
      <c r="IO93" s="492">
        <v>126</v>
      </c>
      <c r="IP93" s="493">
        <v>41</v>
      </c>
      <c r="IQ93" s="493">
        <v>96</v>
      </c>
      <c r="IR93" s="493">
        <v>51</v>
      </c>
      <c r="IS93" s="493">
        <v>58</v>
      </c>
      <c r="IT93" s="199"/>
      <c r="IU93" s="533">
        <v>2884.1343748797476</v>
      </c>
      <c r="IV93" s="534">
        <v>3784.5136293368296</v>
      </c>
      <c r="IW93" s="534">
        <v>3588.0201640802611</v>
      </c>
      <c r="IX93" s="534">
        <v>2333.3071237615977</v>
      </c>
      <c r="IY93" s="535">
        <v>2492.761670566771</v>
      </c>
      <c r="IZ93" s="535">
        <v>1810.7324872589188</v>
      </c>
      <c r="JA93" s="535">
        <v>1638.0230894767592</v>
      </c>
      <c r="JB93" s="535">
        <v>1562.3105218480941</v>
      </c>
      <c r="JC93" s="536"/>
      <c r="JD93" s="537">
        <v>910.07041982529722</v>
      </c>
      <c r="JE93" s="538">
        <v>684.8912979668512</v>
      </c>
      <c r="JF93" s="538">
        <v>695.85845606405053</v>
      </c>
      <c r="JG93" s="538">
        <v>575.95533888976252</v>
      </c>
      <c r="JH93" s="538">
        <v>428.35045413080553</v>
      </c>
      <c r="JI93" s="539">
        <v>395.72299390426701</v>
      </c>
      <c r="JJ93" s="539">
        <v>340.49926460218001</v>
      </c>
      <c r="JK93" s="539">
        <v>400.17785682525573</v>
      </c>
      <c r="JL93" s="536"/>
      <c r="JM93" s="537">
        <v>1910.5706699503598</v>
      </c>
      <c r="JN93" s="538">
        <v>1845.2928399506879</v>
      </c>
      <c r="JO93" s="538">
        <v>1664.5250568350302</v>
      </c>
      <c r="JP93" s="538">
        <v>1474.2884101273785</v>
      </c>
      <c r="JQ93" s="538">
        <v>1096.6564867330346</v>
      </c>
      <c r="JR93" s="539">
        <v>881.38303187768565</v>
      </c>
      <c r="JS93" s="539">
        <v>731.36824290290735</v>
      </c>
      <c r="JT93" s="539">
        <v>917.57953029629334</v>
      </c>
      <c r="JU93" s="536"/>
      <c r="JV93" s="537">
        <v>706.12229191518838</v>
      </c>
      <c r="JW93" s="538">
        <v>536.1720446940493</v>
      </c>
      <c r="JX93" s="538">
        <v>523.87071266185626</v>
      </c>
      <c r="JY93" s="538">
        <v>395.10929391413748</v>
      </c>
      <c r="JZ93" s="538">
        <v>208.22591520247491</v>
      </c>
      <c r="KA93" s="539">
        <v>153.89227540721492</v>
      </c>
      <c r="KB93" s="539">
        <v>126.93167852033929</v>
      </c>
      <c r="KC93" s="539">
        <v>218.27883099559401</v>
      </c>
      <c r="KD93" s="536"/>
    </row>
    <row r="94" spans="1:290" ht="15" customHeight="1" thickBot="1" x14ac:dyDescent="0.25">
      <c r="A94" s="930"/>
      <c r="B94" s="494" t="s">
        <v>704</v>
      </c>
      <c r="C94" s="495">
        <v>2</v>
      </c>
      <c r="D94" s="496"/>
      <c r="E94" s="496">
        <v>1</v>
      </c>
      <c r="F94" s="496"/>
      <c r="G94" s="497">
        <v>1</v>
      </c>
      <c r="H94" s="497">
        <v>1</v>
      </c>
      <c r="I94" s="497">
        <v>3</v>
      </c>
      <c r="J94" s="497"/>
      <c r="K94" s="498"/>
      <c r="L94" s="495"/>
      <c r="M94" s="496"/>
      <c r="N94" s="496">
        <v>1</v>
      </c>
      <c r="O94" s="496"/>
      <c r="P94" s="497">
        <v>1</v>
      </c>
      <c r="Q94" s="497">
        <v>1</v>
      </c>
      <c r="R94" s="497">
        <v>3</v>
      </c>
      <c r="S94" s="497"/>
      <c r="T94" s="498"/>
      <c r="U94" s="495">
        <v>1</v>
      </c>
      <c r="V94" s="496"/>
      <c r="W94" s="496"/>
      <c r="X94" s="496"/>
      <c r="Y94" s="497"/>
      <c r="Z94" s="497"/>
      <c r="AA94" s="497"/>
      <c r="AB94" s="497"/>
      <c r="AC94" s="498"/>
      <c r="AD94" s="495">
        <v>43</v>
      </c>
      <c r="AE94" s="496">
        <v>42</v>
      </c>
      <c r="AF94" s="496">
        <v>35</v>
      </c>
      <c r="AG94" s="496">
        <v>44</v>
      </c>
      <c r="AH94" s="497">
        <v>42</v>
      </c>
      <c r="AI94" s="497">
        <v>41</v>
      </c>
      <c r="AJ94" s="497">
        <v>41</v>
      </c>
      <c r="AK94" s="497">
        <v>21</v>
      </c>
      <c r="AL94" s="498"/>
      <c r="AM94" s="495">
        <v>25</v>
      </c>
      <c r="AN94" s="496">
        <v>29</v>
      </c>
      <c r="AO94" s="496">
        <v>17</v>
      </c>
      <c r="AP94" s="496">
        <v>20</v>
      </c>
      <c r="AQ94" s="497">
        <v>28</v>
      </c>
      <c r="AR94" s="497">
        <v>15</v>
      </c>
      <c r="AS94" s="497">
        <v>21</v>
      </c>
      <c r="AT94" s="497">
        <v>13</v>
      </c>
      <c r="AU94" s="498"/>
      <c r="AV94" s="495"/>
      <c r="AW94" s="496"/>
      <c r="AX94" s="496"/>
      <c r="AY94" s="496"/>
      <c r="AZ94" s="497"/>
      <c r="BA94" s="497"/>
      <c r="BB94" s="497"/>
      <c r="BC94" s="497"/>
      <c r="BD94" s="498"/>
      <c r="BE94" s="495">
        <v>8</v>
      </c>
      <c r="BF94" s="496">
        <v>9</v>
      </c>
      <c r="BG94" s="496">
        <v>8</v>
      </c>
      <c r="BH94" s="496">
        <v>6</v>
      </c>
      <c r="BI94" s="497">
        <v>3</v>
      </c>
      <c r="BJ94" s="497">
        <v>6</v>
      </c>
      <c r="BK94" s="497">
        <v>5</v>
      </c>
      <c r="BL94" s="497">
        <v>21</v>
      </c>
      <c r="BM94" s="498"/>
      <c r="BN94" s="495"/>
      <c r="BO94" s="496"/>
      <c r="BP94" s="496"/>
      <c r="BQ94" s="496"/>
      <c r="BR94" s="497"/>
      <c r="BS94" s="497"/>
      <c r="BT94" s="497"/>
      <c r="BU94" s="497"/>
      <c r="BV94" s="498"/>
      <c r="BW94" s="495">
        <v>60</v>
      </c>
      <c r="BX94" s="496">
        <v>78</v>
      </c>
      <c r="BY94" s="496">
        <v>64</v>
      </c>
      <c r="BZ94" s="496">
        <v>92</v>
      </c>
      <c r="CA94" s="497">
        <v>100</v>
      </c>
      <c r="CB94" s="497">
        <v>138</v>
      </c>
      <c r="CC94" s="497">
        <v>91</v>
      </c>
      <c r="CD94" s="497">
        <v>80</v>
      </c>
      <c r="CE94" s="498"/>
      <c r="CF94" s="495">
        <v>1</v>
      </c>
      <c r="CG94" s="496">
        <v>5</v>
      </c>
      <c r="CH94" s="496">
        <v>3</v>
      </c>
      <c r="CI94" s="496"/>
      <c r="CJ94" s="497">
        <v>3</v>
      </c>
      <c r="CK94" s="497">
        <v>3</v>
      </c>
      <c r="CL94" s="497">
        <v>4</v>
      </c>
      <c r="CM94" s="497"/>
      <c r="CN94" s="498"/>
      <c r="CO94" s="495"/>
      <c r="CP94" s="496"/>
      <c r="CQ94" s="496">
        <v>1</v>
      </c>
      <c r="CR94" s="496">
        <v>1</v>
      </c>
      <c r="CS94" s="497">
        <v>2</v>
      </c>
      <c r="CT94" s="497">
        <v>1</v>
      </c>
      <c r="CU94" s="497">
        <v>1</v>
      </c>
      <c r="CV94" s="497"/>
      <c r="CW94" s="498"/>
      <c r="CX94" s="495">
        <v>942</v>
      </c>
      <c r="CY94" s="496">
        <v>773</v>
      </c>
      <c r="CZ94" s="496">
        <v>959</v>
      </c>
      <c r="DA94" s="496">
        <v>1291</v>
      </c>
      <c r="DB94" s="497">
        <v>959</v>
      </c>
      <c r="DC94" s="497">
        <v>901</v>
      </c>
      <c r="DD94" s="497">
        <v>650</v>
      </c>
      <c r="DE94" s="497">
        <v>711</v>
      </c>
      <c r="DF94" s="498"/>
      <c r="DG94" s="495">
        <v>2</v>
      </c>
      <c r="DH94" s="496"/>
      <c r="DI94" s="496">
        <v>3</v>
      </c>
      <c r="DJ94" s="496">
        <v>2</v>
      </c>
      <c r="DK94" s="497"/>
      <c r="DL94" s="497">
        <v>3</v>
      </c>
      <c r="DM94" s="497">
        <v>1</v>
      </c>
      <c r="DN94" s="497"/>
      <c r="DO94" s="498"/>
      <c r="DP94" s="495">
        <v>7</v>
      </c>
      <c r="DQ94" s="496">
        <v>3</v>
      </c>
      <c r="DR94" s="496">
        <v>7</v>
      </c>
      <c r="DS94" s="496">
        <v>4</v>
      </c>
      <c r="DT94" s="497">
        <v>7</v>
      </c>
      <c r="DU94" s="497">
        <v>5</v>
      </c>
      <c r="DV94" s="497">
        <v>8</v>
      </c>
      <c r="DW94" s="497">
        <v>15</v>
      </c>
      <c r="DX94" s="498"/>
      <c r="DY94" s="495">
        <v>190</v>
      </c>
      <c r="DZ94" s="496">
        <v>113</v>
      </c>
      <c r="EA94" s="496">
        <v>182</v>
      </c>
      <c r="EB94" s="496">
        <v>278</v>
      </c>
      <c r="EC94" s="497">
        <v>272</v>
      </c>
      <c r="ED94" s="497">
        <v>339</v>
      </c>
      <c r="EE94" s="497">
        <v>252</v>
      </c>
      <c r="EF94" s="497">
        <v>158</v>
      </c>
      <c r="EG94" s="498"/>
      <c r="EH94" s="495">
        <v>6</v>
      </c>
      <c r="EI94" s="496">
        <v>6</v>
      </c>
      <c r="EJ94" s="496">
        <v>4</v>
      </c>
      <c r="EK94" s="496">
        <v>7</v>
      </c>
      <c r="EL94" s="497">
        <v>3</v>
      </c>
      <c r="EM94" s="497">
        <v>8</v>
      </c>
      <c r="EN94" s="497">
        <v>3</v>
      </c>
      <c r="EO94" s="497">
        <v>5</v>
      </c>
      <c r="EP94" s="498"/>
      <c r="EQ94" s="495">
        <v>1</v>
      </c>
      <c r="ER94" s="496"/>
      <c r="ES94" s="496"/>
      <c r="ET94" s="496">
        <v>1</v>
      </c>
      <c r="EU94" s="497">
        <v>1</v>
      </c>
      <c r="EV94" s="497">
        <v>5</v>
      </c>
      <c r="EW94" s="497">
        <v>4</v>
      </c>
      <c r="EX94" s="497">
        <v>1</v>
      </c>
      <c r="EY94" s="498"/>
      <c r="EZ94" s="495">
        <v>10</v>
      </c>
      <c r="FA94" s="496">
        <v>1</v>
      </c>
      <c r="FB94" s="496">
        <v>4</v>
      </c>
      <c r="FC94" s="496">
        <v>2</v>
      </c>
      <c r="FD94" s="497"/>
      <c r="FE94" s="497">
        <v>4</v>
      </c>
      <c r="FF94" s="497"/>
      <c r="FG94" s="497"/>
      <c r="FH94" s="498"/>
      <c r="FI94" s="495">
        <v>32</v>
      </c>
      <c r="FJ94" s="496">
        <v>62</v>
      </c>
      <c r="FK94" s="496">
        <v>31</v>
      </c>
      <c r="FL94" s="496">
        <v>30</v>
      </c>
      <c r="FM94" s="497">
        <v>19</v>
      </c>
      <c r="FN94" s="497">
        <v>24</v>
      </c>
      <c r="FO94" s="497">
        <v>17</v>
      </c>
      <c r="FP94" s="497">
        <v>7</v>
      </c>
      <c r="FQ94" s="498"/>
      <c r="FR94" s="495">
        <v>11</v>
      </c>
      <c r="FS94" s="496">
        <v>6</v>
      </c>
      <c r="FT94" s="496">
        <v>4</v>
      </c>
      <c r="FU94" s="496">
        <v>1</v>
      </c>
      <c r="FV94" s="497">
        <v>4</v>
      </c>
      <c r="FW94" s="497">
        <v>3</v>
      </c>
      <c r="FX94" s="497">
        <v>1</v>
      </c>
      <c r="FY94" s="497">
        <v>2</v>
      </c>
      <c r="FZ94" s="498"/>
      <c r="GA94" s="495">
        <v>2</v>
      </c>
      <c r="GB94" s="496">
        <v>1</v>
      </c>
      <c r="GC94" s="496">
        <v>2</v>
      </c>
      <c r="GD94" s="496">
        <v>1</v>
      </c>
      <c r="GE94" s="497">
        <v>4</v>
      </c>
      <c r="GF94" s="497">
        <v>1</v>
      </c>
      <c r="GG94" s="497">
        <v>4</v>
      </c>
      <c r="GH94" s="497">
        <v>3</v>
      </c>
      <c r="GI94" s="498"/>
      <c r="GJ94" s="495">
        <v>1118</v>
      </c>
      <c r="GK94" s="496">
        <v>983</v>
      </c>
      <c r="GL94" s="496">
        <v>1116</v>
      </c>
      <c r="GM94" s="496">
        <v>1476</v>
      </c>
      <c r="GN94" s="497">
        <v>1141</v>
      </c>
      <c r="GO94" s="497">
        <v>1136</v>
      </c>
      <c r="GP94" s="497">
        <v>824</v>
      </c>
      <c r="GQ94" s="497">
        <v>851</v>
      </c>
      <c r="GR94" s="498"/>
      <c r="GS94" s="495">
        <v>209</v>
      </c>
      <c r="GT94" s="496">
        <v>208</v>
      </c>
      <c r="GU94" s="496">
        <v>181</v>
      </c>
      <c r="GV94" s="496">
        <v>214</v>
      </c>
      <c r="GW94" s="497">
        <v>114</v>
      </c>
      <c r="GX94" s="497">
        <v>126</v>
      </c>
      <c r="GY94" s="497">
        <v>68</v>
      </c>
      <c r="GZ94" s="497">
        <v>161</v>
      </c>
      <c r="HA94" s="498"/>
      <c r="HB94" s="495">
        <v>1</v>
      </c>
      <c r="HC94" s="496"/>
      <c r="HD94" s="496">
        <v>4</v>
      </c>
      <c r="HE94" s="496">
        <v>1</v>
      </c>
      <c r="HF94" s="497">
        <v>2</v>
      </c>
      <c r="HG94" s="497"/>
      <c r="HH94" s="497"/>
      <c r="HI94" s="497"/>
      <c r="HJ94" s="498"/>
      <c r="HK94" s="495"/>
      <c r="HL94" s="496">
        <v>1</v>
      </c>
      <c r="HM94" s="496">
        <v>1</v>
      </c>
      <c r="HN94" s="496"/>
      <c r="HO94" s="497"/>
      <c r="HP94" s="497"/>
      <c r="HQ94" s="497"/>
      <c r="HR94" s="497"/>
      <c r="HS94" s="498"/>
      <c r="HT94" s="495">
        <v>281</v>
      </c>
      <c r="HU94" s="496">
        <v>270</v>
      </c>
      <c r="HV94" s="496">
        <v>222</v>
      </c>
      <c r="HW94" s="496">
        <v>267</v>
      </c>
      <c r="HX94" s="497">
        <v>178</v>
      </c>
      <c r="HY94" s="497">
        <v>187</v>
      </c>
      <c r="HZ94" s="497">
        <v>146</v>
      </c>
      <c r="IA94" s="497">
        <v>233</v>
      </c>
      <c r="IB94" s="498"/>
      <c r="IC94" s="495">
        <v>1418</v>
      </c>
      <c r="ID94" s="496">
        <v>1337</v>
      </c>
      <c r="IE94" s="496">
        <v>1453</v>
      </c>
      <c r="IF94" s="496">
        <v>1733</v>
      </c>
      <c r="IG94" s="497">
        <v>1352</v>
      </c>
      <c r="IH94" s="497">
        <v>1365</v>
      </c>
      <c r="II94" s="497">
        <v>1060</v>
      </c>
      <c r="IJ94" s="497">
        <v>2211</v>
      </c>
      <c r="IK94" s="498"/>
      <c r="IL94" s="495">
        <v>297</v>
      </c>
      <c r="IM94" s="496">
        <v>192</v>
      </c>
      <c r="IN94" s="496">
        <v>289</v>
      </c>
      <c r="IO94" s="496">
        <v>256</v>
      </c>
      <c r="IP94" s="497">
        <v>222</v>
      </c>
      <c r="IQ94" s="497">
        <v>396</v>
      </c>
      <c r="IR94" s="497">
        <v>294</v>
      </c>
      <c r="IS94" s="497">
        <v>211</v>
      </c>
      <c r="IT94" s="498"/>
      <c r="IU94" s="540">
        <v>4127.1319634437396</v>
      </c>
      <c r="IV94" s="541">
        <v>3968.7722631203987</v>
      </c>
      <c r="IW94" s="541">
        <v>4352.6451380983763</v>
      </c>
      <c r="IX94" s="541">
        <v>4935.0723317006486</v>
      </c>
      <c r="IY94" s="542">
        <v>3888.7450743521158</v>
      </c>
      <c r="IZ94" s="542">
        <v>3938.0301194391554</v>
      </c>
      <c r="JA94" s="542">
        <v>3081.4849268874095</v>
      </c>
      <c r="JB94" s="542">
        <v>6460.1899196493796</v>
      </c>
      <c r="JC94" s="543"/>
      <c r="JD94" s="544">
        <v>817.85901391233472</v>
      </c>
      <c r="JE94" s="545">
        <v>801.47233436238423</v>
      </c>
      <c r="JF94" s="545">
        <v>665.02905757593908</v>
      </c>
      <c r="JG94" s="545">
        <v>760.33716824239661</v>
      </c>
      <c r="JH94" s="545">
        <v>511.97975091322229</v>
      </c>
      <c r="JI94" s="546">
        <v>539.49570134441183</v>
      </c>
      <c r="JJ94" s="546">
        <v>424.43094275996395</v>
      </c>
      <c r="JK94" s="546">
        <v>680.7888970051132</v>
      </c>
      <c r="JL94" s="543"/>
      <c r="JM94" s="544">
        <v>3253.9728738576168</v>
      </c>
      <c r="JN94" s="545">
        <v>2917.9529802897173</v>
      </c>
      <c r="JO94" s="545">
        <v>3343.1190461925589</v>
      </c>
      <c r="JP94" s="545">
        <v>4203.2122109579677</v>
      </c>
      <c r="JQ94" s="545">
        <v>3281.847729168464</v>
      </c>
      <c r="JR94" s="546">
        <v>3277.3642605735386</v>
      </c>
      <c r="JS94" s="546">
        <v>2395.4184714671937</v>
      </c>
      <c r="JT94" s="546">
        <v>2486.4864864864862</v>
      </c>
      <c r="JU94" s="543"/>
      <c r="JV94" s="544">
        <v>608.3008324116654</v>
      </c>
      <c r="JW94" s="545">
        <v>617.43053906435523</v>
      </c>
      <c r="JX94" s="545">
        <v>542.20837577137377</v>
      </c>
      <c r="JY94" s="545">
        <v>609.40881649390587</v>
      </c>
      <c r="JZ94" s="545">
        <v>327.89714384329966</v>
      </c>
      <c r="KA94" s="546">
        <v>363.51047256361437</v>
      </c>
      <c r="KB94" s="546">
        <v>197.68016512107909</v>
      </c>
      <c r="KC94" s="546">
        <v>470.41636230825424</v>
      </c>
      <c r="KD94" s="543"/>
    </row>
    <row r="95" spans="1:290" ht="15" customHeight="1" thickBot="1" x14ac:dyDescent="0.25">
      <c r="A95" s="931"/>
      <c r="B95" s="508" t="s">
        <v>777</v>
      </c>
      <c r="C95" s="500">
        <v>7</v>
      </c>
      <c r="D95" s="501">
        <v>5</v>
      </c>
      <c r="E95" s="501">
        <v>7</v>
      </c>
      <c r="F95" s="501">
        <v>7</v>
      </c>
      <c r="G95" s="502">
        <v>6</v>
      </c>
      <c r="H95" s="502">
        <v>8</v>
      </c>
      <c r="I95" s="502">
        <v>12</v>
      </c>
      <c r="J95" s="502">
        <v>10</v>
      </c>
      <c r="K95" s="503"/>
      <c r="L95" s="500">
        <v>1</v>
      </c>
      <c r="M95" s="501">
        <v>1</v>
      </c>
      <c r="N95" s="501">
        <v>2</v>
      </c>
      <c r="O95" s="501">
        <v>3</v>
      </c>
      <c r="P95" s="502">
        <v>5</v>
      </c>
      <c r="Q95" s="502">
        <v>5</v>
      </c>
      <c r="R95" s="502">
        <v>9</v>
      </c>
      <c r="S95" s="502">
        <v>1</v>
      </c>
      <c r="T95" s="503"/>
      <c r="U95" s="500">
        <v>3</v>
      </c>
      <c r="V95" s="501">
        <v>2</v>
      </c>
      <c r="W95" s="501">
        <v>5</v>
      </c>
      <c r="X95" s="501">
        <v>3</v>
      </c>
      <c r="Y95" s="502">
        <v>1</v>
      </c>
      <c r="Z95" s="502">
        <v>2</v>
      </c>
      <c r="AA95" s="502">
        <v>2</v>
      </c>
      <c r="AB95" s="502">
        <v>5</v>
      </c>
      <c r="AC95" s="503"/>
      <c r="AD95" s="500">
        <v>409</v>
      </c>
      <c r="AE95" s="501">
        <v>425</v>
      </c>
      <c r="AF95" s="501">
        <v>301</v>
      </c>
      <c r="AG95" s="501">
        <v>370</v>
      </c>
      <c r="AH95" s="502">
        <v>427</v>
      </c>
      <c r="AI95" s="502">
        <v>430</v>
      </c>
      <c r="AJ95" s="502">
        <v>360</v>
      </c>
      <c r="AK95" s="502">
        <v>366</v>
      </c>
      <c r="AL95" s="503"/>
      <c r="AM95" s="500">
        <v>165</v>
      </c>
      <c r="AN95" s="501">
        <v>179</v>
      </c>
      <c r="AO95" s="501">
        <v>128</v>
      </c>
      <c r="AP95" s="501">
        <v>164</v>
      </c>
      <c r="AQ95" s="502">
        <v>166</v>
      </c>
      <c r="AR95" s="502">
        <v>146</v>
      </c>
      <c r="AS95" s="502">
        <v>118</v>
      </c>
      <c r="AT95" s="502">
        <v>124</v>
      </c>
      <c r="AU95" s="503"/>
      <c r="AV95" s="500"/>
      <c r="AW95" s="501">
        <v>1</v>
      </c>
      <c r="AX95" s="501"/>
      <c r="AY95" s="501"/>
      <c r="AZ95" s="502"/>
      <c r="BA95" s="502"/>
      <c r="BB95" s="502">
        <v>1</v>
      </c>
      <c r="BC95" s="502">
        <v>1</v>
      </c>
      <c r="BD95" s="503"/>
      <c r="BE95" s="500">
        <v>37</v>
      </c>
      <c r="BF95" s="501">
        <v>50</v>
      </c>
      <c r="BG95" s="501">
        <v>36</v>
      </c>
      <c r="BH95" s="501">
        <v>35</v>
      </c>
      <c r="BI95" s="502">
        <v>50</v>
      </c>
      <c r="BJ95" s="502">
        <v>32</v>
      </c>
      <c r="BK95" s="502">
        <v>29</v>
      </c>
      <c r="BL95" s="502">
        <v>41</v>
      </c>
      <c r="BM95" s="503"/>
      <c r="BN95" s="500"/>
      <c r="BO95" s="501"/>
      <c r="BP95" s="501"/>
      <c r="BQ95" s="501">
        <v>1</v>
      </c>
      <c r="BR95" s="502"/>
      <c r="BS95" s="502"/>
      <c r="BT95" s="502"/>
      <c r="BU95" s="502"/>
      <c r="BV95" s="503"/>
      <c r="BW95" s="500">
        <v>413</v>
      </c>
      <c r="BX95" s="501">
        <v>492</v>
      </c>
      <c r="BY95" s="501">
        <v>413</v>
      </c>
      <c r="BZ95" s="501">
        <v>462</v>
      </c>
      <c r="CA95" s="502">
        <v>580</v>
      </c>
      <c r="CB95" s="502">
        <v>630</v>
      </c>
      <c r="CC95" s="502">
        <v>449</v>
      </c>
      <c r="CD95" s="502">
        <v>412</v>
      </c>
      <c r="CE95" s="503"/>
      <c r="CF95" s="500">
        <v>28</v>
      </c>
      <c r="CG95" s="501">
        <v>19</v>
      </c>
      <c r="CH95" s="501">
        <v>12</v>
      </c>
      <c r="CI95" s="501">
        <v>19</v>
      </c>
      <c r="CJ95" s="502">
        <v>17</v>
      </c>
      <c r="CK95" s="502">
        <v>21</v>
      </c>
      <c r="CL95" s="502">
        <v>22</v>
      </c>
      <c r="CM95" s="502">
        <v>13</v>
      </c>
      <c r="CN95" s="503"/>
      <c r="CO95" s="500">
        <v>11</v>
      </c>
      <c r="CP95" s="501">
        <v>30</v>
      </c>
      <c r="CQ95" s="501">
        <v>6</v>
      </c>
      <c r="CR95" s="501">
        <v>9</v>
      </c>
      <c r="CS95" s="502">
        <v>4</v>
      </c>
      <c r="CT95" s="502">
        <v>9</v>
      </c>
      <c r="CU95" s="502">
        <v>9</v>
      </c>
      <c r="CV95" s="502">
        <v>9</v>
      </c>
      <c r="CW95" s="503"/>
      <c r="CX95" s="500">
        <v>5576</v>
      </c>
      <c r="CY95" s="501">
        <v>5150</v>
      </c>
      <c r="CZ95" s="501">
        <v>5144</v>
      </c>
      <c r="DA95" s="501">
        <v>5354</v>
      </c>
      <c r="DB95" s="502">
        <v>3959</v>
      </c>
      <c r="DC95" s="502">
        <v>3606</v>
      </c>
      <c r="DD95" s="502">
        <v>2964</v>
      </c>
      <c r="DE95" s="502">
        <v>3000</v>
      </c>
      <c r="DF95" s="503"/>
      <c r="DG95" s="500">
        <v>53</v>
      </c>
      <c r="DH95" s="501">
        <v>53</v>
      </c>
      <c r="DI95" s="501">
        <v>32</v>
      </c>
      <c r="DJ95" s="501">
        <v>36</v>
      </c>
      <c r="DK95" s="502">
        <v>27</v>
      </c>
      <c r="DL95" s="502">
        <v>23</v>
      </c>
      <c r="DM95" s="502">
        <v>11</v>
      </c>
      <c r="DN95" s="502">
        <v>28</v>
      </c>
      <c r="DO95" s="503"/>
      <c r="DP95" s="500">
        <v>195</v>
      </c>
      <c r="DQ95" s="501">
        <v>142</v>
      </c>
      <c r="DR95" s="501">
        <v>106</v>
      </c>
      <c r="DS95" s="501">
        <v>87</v>
      </c>
      <c r="DT95" s="502">
        <v>89</v>
      </c>
      <c r="DU95" s="502">
        <v>59</v>
      </c>
      <c r="DV95" s="502">
        <v>85</v>
      </c>
      <c r="DW95" s="502">
        <v>107</v>
      </c>
      <c r="DX95" s="503"/>
      <c r="DY95" s="500">
        <v>788</v>
      </c>
      <c r="DZ95" s="501">
        <v>661</v>
      </c>
      <c r="EA95" s="501">
        <v>775</v>
      </c>
      <c r="EB95" s="501">
        <v>864</v>
      </c>
      <c r="EC95" s="502">
        <v>705</v>
      </c>
      <c r="ED95" s="502">
        <v>812</v>
      </c>
      <c r="EE95" s="502">
        <v>624</v>
      </c>
      <c r="EF95" s="502">
        <v>470</v>
      </c>
      <c r="EG95" s="503"/>
      <c r="EH95" s="500">
        <v>73</v>
      </c>
      <c r="EI95" s="501">
        <v>70</v>
      </c>
      <c r="EJ95" s="501">
        <v>53</v>
      </c>
      <c r="EK95" s="501">
        <v>64</v>
      </c>
      <c r="EL95" s="502">
        <v>65</v>
      </c>
      <c r="EM95" s="502">
        <v>44</v>
      </c>
      <c r="EN95" s="502">
        <v>30</v>
      </c>
      <c r="EO95" s="502">
        <v>34</v>
      </c>
      <c r="EP95" s="503"/>
      <c r="EQ95" s="500">
        <v>9</v>
      </c>
      <c r="ER95" s="501">
        <v>15</v>
      </c>
      <c r="ES95" s="501">
        <v>8</v>
      </c>
      <c r="ET95" s="501">
        <v>15</v>
      </c>
      <c r="EU95" s="502">
        <v>23</v>
      </c>
      <c r="EV95" s="502">
        <v>24</v>
      </c>
      <c r="EW95" s="502">
        <v>38</v>
      </c>
      <c r="EX95" s="502">
        <v>44</v>
      </c>
      <c r="EY95" s="503"/>
      <c r="EZ95" s="500">
        <v>37</v>
      </c>
      <c r="FA95" s="501">
        <v>15</v>
      </c>
      <c r="FB95" s="501">
        <v>33</v>
      </c>
      <c r="FC95" s="501">
        <v>20</v>
      </c>
      <c r="FD95" s="502">
        <v>11</v>
      </c>
      <c r="FE95" s="502">
        <v>14</v>
      </c>
      <c r="FF95" s="502">
        <v>12</v>
      </c>
      <c r="FG95" s="502">
        <v>9</v>
      </c>
      <c r="FH95" s="503"/>
      <c r="FI95" s="500">
        <v>345</v>
      </c>
      <c r="FJ95" s="501">
        <v>350</v>
      </c>
      <c r="FK95" s="501">
        <v>251</v>
      </c>
      <c r="FL95" s="501">
        <v>203</v>
      </c>
      <c r="FM95" s="502">
        <v>161</v>
      </c>
      <c r="FN95" s="502">
        <v>166</v>
      </c>
      <c r="FO95" s="502">
        <v>166</v>
      </c>
      <c r="FP95" s="502">
        <v>161</v>
      </c>
      <c r="FQ95" s="503"/>
      <c r="FR95" s="500">
        <v>38</v>
      </c>
      <c r="FS95" s="501">
        <v>31</v>
      </c>
      <c r="FT95" s="501">
        <v>15</v>
      </c>
      <c r="FU95" s="501">
        <v>14</v>
      </c>
      <c r="FV95" s="502">
        <v>16</v>
      </c>
      <c r="FW95" s="502">
        <v>12</v>
      </c>
      <c r="FX95" s="502">
        <v>16</v>
      </c>
      <c r="FY95" s="502">
        <v>8</v>
      </c>
      <c r="FZ95" s="503"/>
      <c r="GA95" s="500">
        <v>25</v>
      </c>
      <c r="GB95" s="501">
        <v>28</v>
      </c>
      <c r="GC95" s="501">
        <v>24</v>
      </c>
      <c r="GD95" s="501">
        <v>23</v>
      </c>
      <c r="GE95" s="502">
        <v>18</v>
      </c>
      <c r="GF95" s="502">
        <v>20</v>
      </c>
      <c r="GG95" s="502">
        <v>27</v>
      </c>
      <c r="GH95" s="502">
        <v>21</v>
      </c>
      <c r="GI95" s="503"/>
      <c r="GJ95" s="500">
        <v>7008</v>
      </c>
      <c r="GK95" s="501">
        <v>6680</v>
      </c>
      <c r="GL95" s="501">
        <v>6303</v>
      </c>
      <c r="GM95" s="501">
        <v>6596</v>
      </c>
      <c r="GN95" s="502">
        <v>5337</v>
      </c>
      <c r="GO95" s="502">
        <v>5016</v>
      </c>
      <c r="GP95" s="502">
        <v>4134</v>
      </c>
      <c r="GQ95" s="502">
        <v>4128</v>
      </c>
      <c r="GR95" s="503"/>
      <c r="GS95" s="500">
        <v>2244</v>
      </c>
      <c r="GT95" s="501">
        <v>2111</v>
      </c>
      <c r="GU95" s="501">
        <v>1826</v>
      </c>
      <c r="GV95" s="501">
        <v>1603</v>
      </c>
      <c r="GW95" s="502">
        <v>909</v>
      </c>
      <c r="GX95" s="502">
        <v>801</v>
      </c>
      <c r="GY95" s="502">
        <v>713</v>
      </c>
      <c r="GZ95" s="502">
        <v>812</v>
      </c>
      <c r="HA95" s="503"/>
      <c r="HB95" s="500">
        <v>16</v>
      </c>
      <c r="HC95" s="501">
        <v>18</v>
      </c>
      <c r="HD95" s="501">
        <v>20</v>
      </c>
      <c r="HE95" s="501">
        <v>13</v>
      </c>
      <c r="HF95" s="502">
        <v>9</v>
      </c>
      <c r="HG95" s="502">
        <v>10</v>
      </c>
      <c r="HH95" s="502">
        <v>7</v>
      </c>
      <c r="HI95" s="502">
        <v>4</v>
      </c>
      <c r="HJ95" s="503"/>
      <c r="HK95" s="500">
        <v>13</v>
      </c>
      <c r="HL95" s="501">
        <v>16</v>
      </c>
      <c r="HM95" s="501">
        <v>8</v>
      </c>
      <c r="HN95" s="501">
        <v>12</v>
      </c>
      <c r="HO95" s="502">
        <v>5</v>
      </c>
      <c r="HP95" s="502">
        <v>5</v>
      </c>
      <c r="HQ95" s="502">
        <v>6</v>
      </c>
      <c r="HR95" s="502">
        <v>1</v>
      </c>
      <c r="HS95" s="503"/>
      <c r="HT95" s="500">
        <v>2915</v>
      </c>
      <c r="HU95" s="501">
        <v>2672</v>
      </c>
      <c r="HV95" s="501">
        <v>2380</v>
      </c>
      <c r="HW95" s="501">
        <v>2197</v>
      </c>
      <c r="HX95" s="502">
        <v>1600</v>
      </c>
      <c r="HY95" s="502">
        <v>1391</v>
      </c>
      <c r="HZ95" s="502">
        <v>1333</v>
      </c>
      <c r="IA95" s="502">
        <v>1416</v>
      </c>
      <c r="IB95" s="503"/>
      <c r="IC95" s="500">
        <v>10555</v>
      </c>
      <c r="ID95" s="501">
        <v>12028</v>
      </c>
      <c r="IE95" s="501">
        <v>12018</v>
      </c>
      <c r="IF95" s="501">
        <v>11796</v>
      </c>
      <c r="IG95" s="502">
        <v>8272</v>
      </c>
      <c r="IH95" s="502">
        <v>7601</v>
      </c>
      <c r="II95" s="502">
        <v>7114</v>
      </c>
      <c r="IJ95" s="502">
        <v>7970</v>
      </c>
      <c r="IK95" s="503"/>
      <c r="IL95" s="500">
        <v>1502</v>
      </c>
      <c r="IM95" s="501">
        <v>1423</v>
      </c>
      <c r="IN95" s="501">
        <v>1600</v>
      </c>
      <c r="IO95" s="501">
        <v>1089</v>
      </c>
      <c r="IP95" s="502">
        <v>618</v>
      </c>
      <c r="IQ95" s="502">
        <v>1093</v>
      </c>
      <c r="IR95" s="502">
        <v>811</v>
      </c>
      <c r="IS95" s="502">
        <v>733</v>
      </c>
      <c r="IT95" s="503"/>
      <c r="IU95" s="547">
        <v>3388.9434715880998</v>
      </c>
      <c r="IV95" s="548">
        <v>3905.3850025163561</v>
      </c>
      <c r="IW95" s="548">
        <v>3935.9918253989044</v>
      </c>
      <c r="IX95" s="548">
        <v>3850.6737699780633</v>
      </c>
      <c r="IY95" s="549">
        <v>2725.508479323104</v>
      </c>
      <c r="IZ95" s="549">
        <v>2522.7683075779296</v>
      </c>
      <c r="JA95" s="549">
        <v>2377.5228177355048</v>
      </c>
      <c r="JB95" s="549">
        <v>2684.161426882702</v>
      </c>
      <c r="JC95" s="550"/>
      <c r="JD95" s="551">
        <v>935.93275411457228</v>
      </c>
      <c r="JE95" s="552">
        <v>867.57471954802998</v>
      </c>
      <c r="JF95" s="552">
        <v>779.46917494170361</v>
      </c>
      <c r="JG95" s="552">
        <v>717.18635746370001</v>
      </c>
      <c r="JH95" s="552">
        <v>527.17765557506846</v>
      </c>
      <c r="JI95" s="553">
        <v>461.67224257872658</v>
      </c>
      <c r="JJ95" s="553">
        <v>445.49310037129993</v>
      </c>
      <c r="JK95" s="553">
        <v>476.88489089910985</v>
      </c>
      <c r="JL95" s="550"/>
      <c r="JM95" s="551">
        <v>2250.0915062898534</v>
      </c>
      <c r="JN95" s="552">
        <v>2168.9367988700747</v>
      </c>
      <c r="JO95" s="552">
        <v>2064.2832813687219</v>
      </c>
      <c r="JP95" s="552">
        <v>2153.1912671054006</v>
      </c>
      <c r="JQ95" s="552">
        <v>1758.4669673775877</v>
      </c>
      <c r="JR95" s="553">
        <v>1664.8080293133662</v>
      </c>
      <c r="JS95" s="553">
        <v>1381.596756890438</v>
      </c>
      <c r="JT95" s="553">
        <v>1390.2406988923203</v>
      </c>
      <c r="JU95" s="550"/>
      <c r="JV95" s="551">
        <v>720.49162958253862</v>
      </c>
      <c r="JW95" s="552">
        <v>685.42299137945031</v>
      </c>
      <c r="JX95" s="552">
        <v>598.02971153090368</v>
      </c>
      <c r="JY95" s="552">
        <v>523.28162540478434</v>
      </c>
      <c r="JZ95" s="552">
        <v>299.50280557358576</v>
      </c>
      <c r="KA95" s="553">
        <v>265.85152142743351</v>
      </c>
      <c r="KB95" s="553">
        <v>238.28700717534647</v>
      </c>
      <c r="KC95" s="553">
        <v>273.46788941389633</v>
      </c>
      <c r="KD95" s="550"/>
    </row>
    <row r="96" spans="1:290" ht="15" customHeight="1" x14ac:dyDescent="0.2">
      <c r="A96" s="929" t="s">
        <v>553</v>
      </c>
      <c r="B96" s="485" t="s">
        <v>705</v>
      </c>
      <c r="C96" s="486">
        <v>5</v>
      </c>
      <c r="D96" s="487">
        <v>4</v>
      </c>
      <c r="E96" s="487">
        <v>1</v>
      </c>
      <c r="F96" s="487">
        <v>3</v>
      </c>
      <c r="G96" s="488">
        <v>1</v>
      </c>
      <c r="H96" s="488">
        <v>8</v>
      </c>
      <c r="I96" s="488">
        <v>4</v>
      </c>
      <c r="J96" s="488">
        <v>2</v>
      </c>
      <c r="K96" s="489"/>
      <c r="L96" s="486">
        <v>1</v>
      </c>
      <c r="M96" s="487"/>
      <c r="N96" s="487">
        <v>1</v>
      </c>
      <c r="O96" s="487">
        <v>2</v>
      </c>
      <c r="P96" s="488"/>
      <c r="Q96" s="488">
        <v>5</v>
      </c>
      <c r="R96" s="488">
        <v>3</v>
      </c>
      <c r="S96" s="488">
        <v>1</v>
      </c>
      <c r="T96" s="489"/>
      <c r="U96" s="486">
        <v>3</v>
      </c>
      <c r="V96" s="487">
        <v>4</v>
      </c>
      <c r="W96" s="487"/>
      <c r="X96" s="487">
        <v>1</v>
      </c>
      <c r="Y96" s="488">
        <v>1</v>
      </c>
      <c r="Z96" s="488"/>
      <c r="AA96" s="488">
        <v>1</v>
      </c>
      <c r="AB96" s="488">
        <v>1</v>
      </c>
      <c r="AC96" s="489"/>
      <c r="AD96" s="486">
        <v>94</v>
      </c>
      <c r="AE96" s="487">
        <v>99</v>
      </c>
      <c r="AF96" s="487">
        <v>107</v>
      </c>
      <c r="AG96" s="487">
        <v>84</v>
      </c>
      <c r="AH96" s="488">
        <v>73</v>
      </c>
      <c r="AI96" s="488">
        <v>52</v>
      </c>
      <c r="AJ96" s="488">
        <v>74</v>
      </c>
      <c r="AK96" s="488">
        <v>57</v>
      </c>
      <c r="AL96" s="489"/>
      <c r="AM96" s="486">
        <v>63</v>
      </c>
      <c r="AN96" s="487">
        <v>58</v>
      </c>
      <c r="AO96" s="487">
        <v>71</v>
      </c>
      <c r="AP96" s="487">
        <v>56</v>
      </c>
      <c r="AQ96" s="488">
        <v>46</v>
      </c>
      <c r="AR96" s="488">
        <v>36</v>
      </c>
      <c r="AS96" s="488">
        <v>56</v>
      </c>
      <c r="AT96" s="488">
        <v>41</v>
      </c>
      <c r="AU96" s="489"/>
      <c r="AV96" s="486">
        <v>1</v>
      </c>
      <c r="AW96" s="487"/>
      <c r="AX96" s="487"/>
      <c r="AY96" s="487">
        <v>1</v>
      </c>
      <c r="AZ96" s="488"/>
      <c r="BA96" s="488"/>
      <c r="BB96" s="488"/>
      <c r="BC96" s="488"/>
      <c r="BD96" s="489"/>
      <c r="BE96" s="486">
        <v>34</v>
      </c>
      <c r="BF96" s="487">
        <v>35</v>
      </c>
      <c r="BG96" s="487">
        <v>31</v>
      </c>
      <c r="BH96" s="487">
        <v>22</v>
      </c>
      <c r="BI96" s="488">
        <v>8</v>
      </c>
      <c r="BJ96" s="488">
        <v>3</v>
      </c>
      <c r="BK96" s="488">
        <v>12</v>
      </c>
      <c r="BL96" s="488">
        <v>8</v>
      </c>
      <c r="BM96" s="489"/>
      <c r="BN96" s="486"/>
      <c r="BO96" s="487"/>
      <c r="BP96" s="487">
        <v>4</v>
      </c>
      <c r="BQ96" s="487">
        <v>2</v>
      </c>
      <c r="BR96" s="488">
        <v>5</v>
      </c>
      <c r="BS96" s="488">
        <v>7</v>
      </c>
      <c r="BT96" s="488">
        <v>4</v>
      </c>
      <c r="BU96" s="488">
        <v>2</v>
      </c>
      <c r="BV96" s="489"/>
      <c r="BW96" s="486">
        <v>34</v>
      </c>
      <c r="BX96" s="487">
        <v>65</v>
      </c>
      <c r="BY96" s="487">
        <v>73</v>
      </c>
      <c r="BZ96" s="487">
        <v>45</v>
      </c>
      <c r="CA96" s="488">
        <v>50</v>
      </c>
      <c r="CB96" s="488">
        <v>30</v>
      </c>
      <c r="CC96" s="488">
        <v>18</v>
      </c>
      <c r="CD96" s="488">
        <v>22</v>
      </c>
      <c r="CE96" s="489"/>
      <c r="CF96" s="486">
        <v>5</v>
      </c>
      <c r="CG96" s="487">
        <v>1</v>
      </c>
      <c r="CH96" s="487">
        <v>11</v>
      </c>
      <c r="CI96" s="487"/>
      <c r="CJ96" s="488">
        <v>1</v>
      </c>
      <c r="CK96" s="488">
        <v>3</v>
      </c>
      <c r="CL96" s="488">
        <v>1</v>
      </c>
      <c r="CM96" s="488">
        <v>2</v>
      </c>
      <c r="CN96" s="489"/>
      <c r="CO96" s="486">
        <v>2</v>
      </c>
      <c r="CP96" s="487">
        <v>9</v>
      </c>
      <c r="CQ96" s="487">
        <v>4</v>
      </c>
      <c r="CR96" s="487">
        <v>1</v>
      </c>
      <c r="CS96" s="488">
        <v>1</v>
      </c>
      <c r="CT96" s="488">
        <v>1</v>
      </c>
      <c r="CU96" s="488">
        <v>9</v>
      </c>
      <c r="CV96" s="488">
        <v>8</v>
      </c>
      <c r="CW96" s="489"/>
      <c r="CX96" s="486">
        <v>1568</v>
      </c>
      <c r="CY96" s="487">
        <v>1491</v>
      </c>
      <c r="CZ96" s="487">
        <v>1340</v>
      </c>
      <c r="DA96" s="487">
        <v>1087</v>
      </c>
      <c r="DB96" s="488">
        <v>919</v>
      </c>
      <c r="DC96" s="488">
        <v>773</v>
      </c>
      <c r="DD96" s="488">
        <v>648</v>
      </c>
      <c r="DE96" s="488">
        <v>453</v>
      </c>
      <c r="DF96" s="489"/>
      <c r="DG96" s="486">
        <v>25</v>
      </c>
      <c r="DH96" s="487">
        <v>24</v>
      </c>
      <c r="DI96" s="487">
        <v>26</v>
      </c>
      <c r="DJ96" s="487">
        <v>43</v>
      </c>
      <c r="DK96" s="488">
        <v>18</v>
      </c>
      <c r="DL96" s="488">
        <v>8</v>
      </c>
      <c r="DM96" s="488">
        <v>6</v>
      </c>
      <c r="DN96" s="488">
        <v>7</v>
      </c>
      <c r="DO96" s="489"/>
      <c r="DP96" s="486">
        <v>79</v>
      </c>
      <c r="DQ96" s="487">
        <v>85</v>
      </c>
      <c r="DR96" s="487">
        <v>63</v>
      </c>
      <c r="DS96" s="487">
        <v>41</v>
      </c>
      <c r="DT96" s="488">
        <v>29</v>
      </c>
      <c r="DU96" s="488">
        <v>14</v>
      </c>
      <c r="DV96" s="488">
        <v>18</v>
      </c>
      <c r="DW96" s="488">
        <v>10</v>
      </c>
      <c r="DX96" s="489"/>
      <c r="DY96" s="486">
        <v>154</v>
      </c>
      <c r="DZ96" s="487">
        <v>93</v>
      </c>
      <c r="EA96" s="487">
        <v>132</v>
      </c>
      <c r="EB96" s="487">
        <v>126</v>
      </c>
      <c r="EC96" s="488">
        <v>157</v>
      </c>
      <c r="ED96" s="488">
        <v>145</v>
      </c>
      <c r="EE96" s="488">
        <v>115</v>
      </c>
      <c r="EF96" s="488">
        <v>64</v>
      </c>
      <c r="EG96" s="489"/>
      <c r="EH96" s="486">
        <v>44</v>
      </c>
      <c r="EI96" s="487">
        <v>33</v>
      </c>
      <c r="EJ96" s="487">
        <v>36</v>
      </c>
      <c r="EK96" s="487">
        <v>8</v>
      </c>
      <c r="EL96" s="488">
        <v>12</v>
      </c>
      <c r="EM96" s="488">
        <v>7</v>
      </c>
      <c r="EN96" s="488">
        <v>7</v>
      </c>
      <c r="EO96" s="488">
        <v>7</v>
      </c>
      <c r="EP96" s="489"/>
      <c r="EQ96" s="486">
        <v>4</v>
      </c>
      <c r="ER96" s="487">
        <v>10</v>
      </c>
      <c r="ES96" s="487">
        <v>8</v>
      </c>
      <c r="ET96" s="487">
        <v>17</v>
      </c>
      <c r="EU96" s="488">
        <v>26</v>
      </c>
      <c r="EV96" s="488">
        <v>14</v>
      </c>
      <c r="EW96" s="488">
        <v>13</v>
      </c>
      <c r="EX96" s="488">
        <v>21</v>
      </c>
      <c r="EY96" s="489"/>
      <c r="EZ96" s="486">
        <v>3</v>
      </c>
      <c r="FA96" s="487">
        <v>8</v>
      </c>
      <c r="FB96" s="487">
        <v>4</v>
      </c>
      <c r="FC96" s="487"/>
      <c r="FD96" s="488">
        <v>5</v>
      </c>
      <c r="FE96" s="488">
        <v>4</v>
      </c>
      <c r="FF96" s="488">
        <v>1</v>
      </c>
      <c r="FG96" s="488">
        <v>3</v>
      </c>
      <c r="FH96" s="489"/>
      <c r="FI96" s="486">
        <v>121</v>
      </c>
      <c r="FJ96" s="487">
        <v>164</v>
      </c>
      <c r="FK96" s="487">
        <v>84</v>
      </c>
      <c r="FL96" s="487">
        <v>47</v>
      </c>
      <c r="FM96" s="488">
        <v>44</v>
      </c>
      <c r="FN96" s="488">
        <v>35</v>
      </c>
      <c r="FO96" s="488">
        <v>56</v>
      </c>
      <c r="FP96" s="488">
        <v>53</v>
      </c>
      <c r="FQ96" s="489"/>
      <c r="FR96" s="486">
        <v>19</v>
      </c>
      <c r="FS96" s="487">
        <v>11</v>
      </c>
      <c r="FT96" s="487">
        <v>18</v>
      </c>
      <c r="FU96" s="487">
        <v>7</v>
      </c>
      <c r="FV96" s="488">
        <v>6</v>
      </c>
      <c r="FW96" s="488">
        <v>4</v>
      </c>
      <c r="FX96" s="488">
        <v>4</v>
      </c>
      <c r="FY96" s="488">
        <v>3</v>
      </c>
      <c r="FZ96" s="489"/>
      <c r="GA96" s="486">
        <v>14</v>
      </c>
      <c r="GB96" s="487">
        <v>18</v>
      </c>
      <c r="GC96" s="487">
        <v>8</v>
      </c>
      <c r="GD96" s="487">
        <v>9</v>
      </c>
      <c r="GE96" s="488">
        <v>6</v>
      </c>
      <c r="GF96" s="488">
        <v>13</v>
      </c>
      <c r="GG96" s="488">
        <v>9</v>
      </c>
      <c r="GH96" s="488">
        <v>7</v>
      </c>
      <c r="GI96" s="489"/>
      <c r="GJ96" s="486">
        <v>1947</v>
      </c>
      <c r="GK96" s="487">
        <v>1948</v>
      </c>
      <c r="GL96" s="487">
        <v>1729</v>
      </c>
      <c r="GM96" s="487">
        <v>1332</v>
      </c>
      <c r="GN96" s="488">
        <v>1157</v>
      </c>
      <c r="GO96" s="488">
        <v>954</v>
      </c>
      <c r="GP96" s="488">
        <v>860</v>
      </c>
      <c r="GQ96" s="488">
        <v>648</v>
      </c>
      <c r="GR96" s="489"/>
      <c r="GS96" s="486">
        <v>645</v>
      </c>
      <c r="GT96" s="487">
        <v>724</v>
      </c>
      <c r="GU96" s="487">
        <v>481</v>
      </c>
      <c r="GV96" s="487">
        <v>363</v>
      </c>
      <c r="GW96" s="488">
        <v>219</v>
      </c>
      <c r="GX96" s="488">
        <v>168</v>
      </c>
      <c r="GY96" s="488">
        <v>135</v>
      </c>
      <c r="GZ96" s="488">
        <v>126</v>
      </c>
      <c r="HA96" s="489"/>
      <c r="HB96" s="486">
        <v>15</v>
      </c>
      <c r="HC96" s="487">
        <v>9</v>
      </c>
      <c r="HD96" s="487">
        <v>2</v>
      </c>
      <c r="HE96" s="487">
        <v>3</v>
      </c>
      <c r="HF96" s="488">
        <v>6</v>
      </c>
      <c r="HG96" s="488">
        <v>3</v>
      </c>
      <c r="HH96" s="488">
        <v>4</v>
      </c>
      <c r="HI96" s="488">
        <v>3</v>
      </c>
      <c r="HJ96" s="489"/>
      <c r="HK96" s="486">
        <v>3</v>
      </c>
      <c r="HL96" s="487">
        <v>2</v>
      </c>
      <c r="HM96" s="487">
        <v>2</v>
      </c>
      <c r="HN96" s="487"/>
      <c r="HO96" s="488">
        <v>4</v>
      </c>
      <c r="HP96" s="488">
        <v>2</v>
      </c>
      <c r="HQ96" s="488">
        <v>1</v>
      </c>
      <c r="HR96" s="488"/>
      <c r="HS96" s="489"/>
      <c r="HT96" s="486">
        <v>811</v>
      </c>
      <c r="HU96" s="487">
        <v>907</v>
      </c>
      <c r="HV96" s="487">
        <v>699</v>
      </c>
      <c r="HW96" s="487">
        <v>506</v>
      </c>
      <c r="HX96" s="488">
        <v>360</v>
      </c>
      <c r="HY96" s="488">
        <v>347</v>
      </c>
      <c r="HZ96" s="488">
        <v>324</v>
      </c>
      <c r="IA96" s="488">
        <v>403</v>
      </c>
      <c r="IB96" s="489"/>
      <c r="IC96" s="486">
        <v>4614</v>
      </c>
      <c r="ID96" s="487">
        <v>4095</v>
      </c>
      <c r="IE96" s="487">
        <v>3514</v>
      </c>
      <c r="IF96" s="487">
        <v>2032</v>
      </c>
      <c r="IG96" s="488">
        <v>2412</v>
      </c>
      <c r="IH96" s="488">
        <v>1658</v>
      </c>
      <c r="II96" s="488">
        <v>1605</v>
      </c>
      <c r="IJ96" s="488">
        <v>1412</v>
      </c>
      <c r="IK96" s="489"/>
      <c r="IL96" s="486">
        <v>444</v>
      </c>
      <c r="IM96" s="487">
        <v>319</v>
      </c>
      <c r="IN96" s="487">
        <v>323</v>
      </c>
      <c r="IO96" s="487">
        <v>182</v>
      </c>
      <c r="IP96" s="488">
        <v>148</v>
      </c>
      <c r="IQ96" s="488">
        <v>219</v>
      </c>
      <c r="IR96" s="488">
        <v>205</v>
      </c>
      <c r="IS96" s="488">
        <v>129</v>
      </c>
      <c r="IT96" s="489"/>
      <c r="IU96" s="526">
        <v>5238.0628022614264</v>
      </c>
      <c r="IV96" s="527">
        <v>4642.8045033503022</v>
      </c>
      <c r="IW96" s="527">
        <v>3985.9798772672102</v>
      </c>
      <c r="IX96" s="527">
        <v>2389.0704728760552</v>
      </c>
      <c r="IY96" s="528">
        <v>2848.0003778441628</v>
      </c>
      <c r="IZ96" s="528">
        <v>1963.9430480206581</v>
      </c>
      <c r="JA96" s="528">
        <v>1908.6919811152468</v>
      </c>
      <c r="JB96" s="528">
        <v>1684.1000441301005</v>
      </c>
      <c r="JC96" s="529"/>
      <c r="JD96" s="530">
        <v>920.69114274686103</v>
      </c>
      <c r="JE96" s="531">
        <v>1028.3330120973685</v>
      </c>
      <c r="JF96" s="531">
        <v>792.8855817330051</v>
      </c>
      <c r="JG96" s="531">
        <v>594.91617090319096</v>
      </c>
      <c r="JH96" s="531">
        <v>425.07468326032284</v>
      </c>
      <c r="JI96" s="532">
        <v>411.03030015872639</v>
      </c>
      <c r="JJ96" s="532">
        <v>385.30604478588162</v>
      </c>
      <c r="JK96" s="532">
        <v>480.66028171701873</v>
      </c>
      <c r="JL96" s="529"/>
      <c r="JM96" s="530">
        <v>2210.3398951025133</v>
      </c>
      <c r="JN96" s="531">
        <v>2208.5917393226832</v>
      </c>
      <c r="JO96" s="531">
        <v>1961.2291427988066</v>
      </c>
      <c r="JP96" s="531">
        <v>1566.0639123380442</v>
      </c>
      <c r="JQ96" s="531">
        <v>1366.1428014783153</v>
      </c>
      <c r="JR96" s="532">
        <v>1130.0371940963255</v>
      </c>
      <c r="JS96" s="532">
        <v>1022.7259213452413</v>
      </c>
      <c r="JT96" s="532">
        <v>772.87310807103745</v>
      </c>
      <c r="JU96" s="529"/>
      <c r="JV96" s="530">
        <v>732.2389483005245</v>
      </c>
      <c r="JW96" s="531">
        <v>820.85237128830738</v>
      </c>
      <c r="JX96" s="531">
        <v>545.60509987635976</v>
      </c>
      <c r="JY96" s="531">
        <v>426.78768782185432</v>
      </c>
      <c r="JZ96" s="531">
        <v>258.58709898336303</v>
      </c>
      <c r="KA96" s="532">
        <v>199.00026059557933</v>
      </c>
      <c r="KB96" s="532">
        <v>160.54418532745069</v>
      </c>
      <c r="KC96" s="532">
        <v>150.28088212492398</v>
      </c>
      <c r="KD96" s="529"/>
    </row>
    <row r="97" spans="1:290" ht="15" customHeight="1" x14ac:dyDescent="0.2">
      <c r="A97" s="930"/>
      <c r="B97" s="490" t="s">
        <v>706</v>
      </c>
      <c r="C97" s="491">
        <v>3</v>
      </c>
      <c r="D97" s="492">
        <v>3</v>
      </c>
      <c r="E97" s="492">
        <v>2</v>
      </c>
      <c r="F97" s="492">
        <v>1</v>
      </c>
      <c r="G97" s="493">
        <v>1</v>
      </c>
      <c r="H97" s="493">
        <v>1</v>
      </c>
      <c r="I97" s="493">
        <v>1</v>
      </c>
      <c r="J97" s="493"/>
      <c r="K97" s="199"/>
      <c r="L97" s="491">
        <v>3</v>
      </c>
      <c r="M97" s="492">
        <v>2</v>
      </c>
      <c r="N97" s="492">
        <v>2</v>
      </c>
      <c r="O97" s="492"/>
      <c r="P97" s="493"/>
      <c r="Q97" s="493">
        <v>1</v>
      </c>
      <c r="R97" s="493"/>
      <c r="S97" s="493"/>
      <c r="T97" s="199"/>
      <c r="U97" s="491"/>
      <c r="V97" s="492">
        <v>1</v>
      </c>
      <c r="W97" s="492"/>
      <c r="X97" s="492">
        <v>1</v>
      </c>
      <c r="Y97" s="493">
        <v>1</v>
      </c>
      <c r="Z97" s="493"/>
      <c r="AA97" s="493">
        <v>1</v>
      </c>
      <c r="AB97" s="493"/>
      <c r="AC97" s="199"/>
      <c r="AD97" s="491">
        <v>55</v>
      </c>
      <c r="AE97" s="492">
        <v>47</v>
      </c>
      <c r="AF97" s="492">
        <v>31</v>
      </c>
      <c r="AG97" s="492">
        <v>44</v>
      </c>
      <c r="AH97" s="493">
        <v>40</v>
      </c>
      <c r="AI97" s="493">
        <v>33</v>
      </c>
      <c r="AJ97" s="493">
        <v>28</v>
      </c>
      <c r="AK97" s="493">
        <v>33</v>
      </c>
      <c r="AL97" s="199"/>
      <c r="AM97" s="491">
        <v>32</v>
      </c>
      <c r="AN97" s="492">
        <v>20</v>
      </c>
      <c r="AO97" s="492">
        <v>13</v>
      </c>
      <c r="AP97" s="492">
        <v>24</v>
      </c>
      <c r="AQ97" s="493">
        <v>27</v>
      </c>
      <c r="AR97" s="493">
        <v>19</v>
      </c>
      <c r="AS97" s="493">
        <v>22</v>
      </c>
      <c r="AT97" s="493">
        <v>16</v>
      </c>
      <c r="AU97" s="199"/>
      <c r="AV97" s="491"/>
      <c r="AW97" s="492"/>
      <c r="AX97" s="492"/>
      <c r="AY97" s="492"/>
      <c r="AZ97" s="493"/>
      <c r="BA97" s="493"/>
      <c r="BB97" s="493"/>
      <c r="BC97" s="493"/>
      <c r="BD97" s="199"/>
      <c r="BE97" s="491">
        <v>14</v>
      </c>
      <c r="BF97" s="492">
        <v>8</v>
      </c>
      <c r="BG97" s="492">
        <v>11</v>
      </c>
      <c r="BH97" s="492"/>
      <c r="BI97" s="493">
        <v>1</v>
      </c>
      <c r="BJ97" s="493">
        <v>2</v>
      </c>
      <c r="BK97" s="493">
        <v>3</v>
      </c>
      <c r="BL97" s="493">
        <v>2</v>
      </c>
      <c r="BM97" s="199"/>
      <c r="BN97" s="491"/>
      <c r="BO97" s="492"/>
      <c r="BP97" s="492"/>
      <c r="BQ97" s="492"/>
      <c r="BR97" s="493"/>
      <c r="BS97" s="493"/>
      <c r="BT97" s="493"/>
      <c r="BU97" s="493"/>
      <c r="BV97" s="199"/>
      <c r="BW97" s="491">
        <v>33</v>
      </c>
      <c r="BX97" s="492">
        <v>48</v>
      </c>
      <c r="BY97" s="492">
        <v>40</v>
      </c>
      <c r="BZ97" s="492">
        <v>38</v>
      </c>
      <c r="CA97" s="493">
        <v>43</v>
      </c>
      <c r="CB97" s="493">
        <v>27</v>
      </c>
      <c r="CC97" s="493">
        <v>25</v>
      </c>
      <c r="CD97" s="493">
        <v>21</v>
      </c>
      <c r="CE97" s="199"/>
      <c r="CF97" s="491">
        <v>3</v>
      </c>
      <c r="CG97" s="492">
        <v>7</v>
      </c>
      <c r="CH97" s="492">
        <v>5</v>
      </c>
      <c r="CI97" s="492">
        <v>3</v>
      </c>
      <c r="CJ97" s="493">
        <v>3</v>
      </c>
      <c r="CK97" s="493">
        <v>4</v>
      </c>
      <c r="CL97" s="493">
        <v>1</v>
      </c>
      <c r="CM97" s="493">
        <v>1</v>
      </c>
      <c r="CN97" s="199"/>
      <c r="CO97" s="491">
        <v>6</v>
      </c>
      <c r="CP97" s="492">
        <v>2</v>
      </c>
      <c r="CQ97" s="492">
        <v>5</v>
      </c>
      <c r="CR97" s="492">
        <v>1</v>
      </c>
      <c r="CS97" s="493">
        <v>5</v>
      </c>
      <c r="CT97" s="493">
        <v>1</v>
      </c>
      <c r="CU97" s="493"/>
      <c r="CV97" s="493">
        <v>5</v>
      </c>
      <c r="CW97" s="199"/>
      <c r="CX97" s="491">
        <v>418</v>
      </c>
      <c r="CY97" s="492">
        <v>405</v>
      </c>
      <c r="CZ97" s="492">
        <v>379</v>
      </c>
      <c r="DA97" s="492">
        <v>363</v>
      </c>
      <c r="DB97" s="493">
        <v>282</v>
      </c>
      <c r="DC97" s="493">
        <v>181</v>
      </c>
      <c r="DD97" s="493">
        <v>172</v>
      </c>
      <c r="DE97" s="493">
        <v>116</v>
      </c>
      <c r="DF97" s="199"/>
      <c r="DG97" s="491">
        <v>5</v>
      </c>
      <c r="DH97" s="492">
        <v>8</v>
      </c>
      <c r="DI97" s="492">
        <v>5</v>
      </c>
      <c r="DJ97" s="492">
        <v>3</v>
      </c>
      <c r="DK97" s="493">
        <v>2</v>
      </c>
      <c r="DL97" s="493"/>
      <c r="DM97" s="493"/>
      <c r="DN97" s="493"/>
      <c r="DO97" s="199"/>
      <c r="DP97" s="491">
        <v>9</v>
      </c>
      <c r="DQ97" s="492">
        <v>22</v>
      </c>
      <c r="DR97" s="492">
        <v>7</v>
      </c>
      <c r="DS97" s="492">
        <v>9</v>
      </c>
      <c r="DT97" s="493">
        <v>5</v>
      </c>
      <c r="DU97" s="493">
        <v>2</v>
      </c>
      <c r="DV97" s="493">
        <v>2</v>
      </c>
      <c r="DW97" s="493">
        <v>3</v>
      </c>
      <c r="DX97" s="199"/>
      <c r="DY97" s="491">
        <v>53</v>
      </c>
      <c r="DZ97" s="492">
        <v>69</v>
      </c>
      <c r="EA97" s="492">
        <v>37</v>
      </c>
      <c r="EB97" s="492">
        <v>41</v>
      </c>
      <c r="EC97" s="493">
        <v>67</v>
      </c>
      <c r="ED97" s="493">
        <v>43</v>
      </c>
      <c r="EE97" s="493">
        <v>43</v>
      </c>
      <c r="EF97" s="493">
        <v>19</v>
      </c>
      <c r="EG97" s="199"/>
      <c r="EH97" s="491">
        <v>5</v>
      </c>
      <c r="EI97" s="492">
        <v>8</v>
      </c>
      <c r="EJ97" s="492">
        <v>7</v>
      </c>
      <c r="EK97" s="492">
        <v>3</v>
      </c>
      <c r="EL97" s="493">
        <v>4</v>
      </c>
      <c r="EM97" s="493">
        <v>1</v>
      </c>
      <c r="EN97" s="493">
        <v>2</v>
      </c>
      <c r="EO97" s="493">
        <v>4</v>
      </c>
      <c r="EP97" s="199"/>
      <c r="EQ97" s="491">
        <v>1</v>
      </c>
      <c r="ER97" s="492"/>
      <c r="ES97" s="492">
        <v>1</v>
      </c>
      <c r="ET97" s="492">
        <v>1</v>
      </c>
      <c r="EU97" s="493">
        <v>1</v>
      </c>
      <c r="EV97" s="493"/>
      <c r="EW97" s="493">
        <v>7</v>
      </c>
      <c r="EX97" s="493">
        <v>2</v>
      </c>
      <c r="EY97" s="199"/>
      <c r="EZ97" s="491">
        <v>5</v>
      </c>
      <c r="FA97" s="492">
        <v>9</v>
      </c>
      <c r="FB97" s="492">
        <v>4</v>
      </c>
      <c r="FC97" s="492"/>
      <c r="FD97" s="493">
        <v>4</v>
      </c>
      <c r="FE97" s="493">
        <v>1</v>
      </c>
      <c r="FF97" s="493"/>
      <c r="FG97" s="493">
        <v>3</v>
      </c>
      <c r="FH97" s="199"/>
      <c r="FI97" s="491">
        <v>51</v>
      </c>
      <c r="FJ97" s="492">
        <v>41</v>
      </c>
      <c r="FK97" s="492">
        <v>26</v>
      </c>
      <c r="FL97" s="492">
        <v>15</v>
      </c>
      <c r="FM97" s="493">
        <v>22</v>
      </c>
      <c r="FN97" s="493">
        <v>26</v>
      </c>
      <c r="FO97" s="493">
        <v>17</v>
      </c>
      <c r="FP97" s="493">
        <v>30</v>
      </c>
      <c r="FQ97" s="199"/>
      <c r="FR97" s="491">
        <v>5</v>
      </c>
      <c r="FS97" s="492"/>
      <c r="FT97" s="492">
        <v>5</v>
      </c>
      <c r="FU97" s="492">
        <v>3</v>
      </c>
      <c r="FV97" s="493">
        <v>2</v>
      </c>
      <c r="FW97" s="493"/>
      <c r="FX97" s="493">
        <v>2</v>
      </c>
      <c r="FY97" s="493"/>
      <c r="FZ97" s="199"/>
      <c r="GA97" s="491">
        <v>8</v>
      </c>
      <c r="GB97" s="492">
        <v>4</v>
      </c>
      <c r="GC97" s="492">
        <v>4</v>
      </c>
      <c r="GD97" s="492">
        <v>4</v>
      </c>
      <c r="GE97" s="493">
        <v>3</v>
      </c>
      <c r="GF97" s="493">
        <v>2</v>
      </c>
      <c r="GG97" s="493">
        <v>6</v>
      </c>
      <c r="GH97" s="493">
        <v>9</v>
      </c>
      <c r="GI97" s="199"/>
      <c r="GJ97" s="491">
        <v>607</v>
      </c>
      <c r="GK97" s="492">
        <v>582</v>
      </c>
      <c r="GL97" s="492">
        <v>520</v>
      </c>
      <c r="GM97" s="492">
        <v>476</v>
      </c>
      <c r="GN97" s="493">
        <v>411</v>
      </c>
      <c r="GO97" s="493">
        <v>279</v>
      </c>
      <c r="GP97" s="493">
        <v>264</v>
      </c>
      <c r="GQ97" s="493">
        <v>226</v>
      </c>
      <c r="GR97" s="199"/>
      <c r="GS97" s="491">
        <v>164</v>
      </c>
      <c r="GT97" s="492">
        <v>154</v>
      </c>
      <c r="GU97" s="492">
        <v>134</v>
      </c>
      <c r="GV97" s="492">
        <v>123</v>
      </c>
      <c r="GW97" s="493">
        <v>73</v>
      </c>
      <c r="GX97" s="493">
        <v>52</v>
      </c>
      <c r="GY97" s="493">
        <v>50</v>
      </c>
      <c r="GZ97" s="493">
        <v>64</v>
      </c>
      <c r="HA97" s="199"/>
      <c r="HB97" s="491">
        <v>4</v>
      </c>
      <c r="HC97" s="492">
        <v>4</v>
      </c>
      <c r="HD97" s="492"/>
      <c r="HE97" s="492">
        <v>6</v>
      </c>
      <c r="HF97" s="493">
        <v>3</v>
      </c>
      <c r="HG97" s="493">
        <v>1</v>
      </c>
      <c r="HH97" s="493">
        <v>2</v>
      </c>
      <c r="HI97" s="493"/>
      <c r="HJ97" s="199"/>
      <c r="HK97" s="491">
        <v>2</v>
      </c>
      <c r="HL97" s="492">
        <v>1</v>
      </c>
      <c r="HM97" s="492"/>
      <c r="HN97" s="492"/>
      <c r="HO97" s="493"/>
      <c r="HP97" s="493"/>
      <c r="HQ97" s="493"/>
      <c r="HR97" s="493"/>
      <c r="HS97" s="199"/>
      <c r="HT97" s="491">
        <v>282</v>
      </c>
      <c r="HU97" s="492">
        <v>228</v>
      </c>
      <c r="HV97" s="492">
        <v>195</v>
      </c>
      <c r="HW97" s="492">
        <v>228</v>
      </c>
      <c r="HX97" s="493">
        <v>155</v>
      </c>
      <c r="HY97" s="493">
        <v>169</v>
      </c>
      <c r="HZ97" s="493">
        <v>144</v>
      </c>
      <c r="IA97" s="493">
        <v>200</v>
      </c>
      <c r="IB97" s="199"/>
      <c r="IC97" s="491">
        <v>1310</v>
      </c>
      <c r="ID97" s="492">
        <v>1076</v>
      </c>
      <c r="IE97" s="492">
        <v>1033</v>
      </c>
      <c r="IF97" s="492">
        <v>812</v>
      </c>
      <c r="IG97" s="493">
        <v>719</v>
      </c>
      <c r="IH97" s="493">
        <v>594</v>
      </c>
      <c r="II97" s="493">
        <v>607</v>
      </c>
      <c r="IJ97" s="493">
        <v>503</v>
      </c>
      <c r="IK97" s="199"/>
      <c r="IL97" s="491">
        <v>126</v>
      </c>
      <c r="IM97" s="492">
        <v>140</v>
      </c>
      <c r="IN97" s="492">
        <v>115</v>
      </c>
      <c r="IO97" s="492">
        <v>67</v>
      </c>
      <c r="IP97" s="493">
        <v>44</v>
      </c>
      <c r="IQ97" s="493">
        <v>58</v>
      </c>
      <c r="IR97" s="493">
        <v>50</v>
      </c>
      <c r="IS97" s="493">
        <v>39</v>
      </c>
      <c r="IT97" s="199"/>
      <c r="IU97" s="533">
        <v>3292.6982531104691</v>
      </c>
      <c r="IV97" s="534">
        <v>2725.0854754970242</v>
      </c>
      <c r="IW97" s="534">
        <v>2632.5849282601494</v>
      </c>
      <c r="IX97" s="534">
        <v>2090.0362925021236</v>
      </c>
      <c r="IY97" s="535">
        <v>1864.2881219695596</v>
      </c>
      <c r="IZ97" s="535">
        <v>1549.4978479196557</v>
      </c>
      <c r="JA97" s="535">
        <v>1595.1855355828868</v>
      </c>
      <c r="JB97" s="535">
        <v>1326.4418132433218</v>
      </c>
      <c r="JC97" s="536"/>
      <c r="JD97" s="537">
        <v>708.8098529596582</v>
      </c>
      <c r="JE97" s="538">
        <v>577.43446878561474</v>
      </c>
      <c r="JF97" s="538">
        <v>496.9545605137746</v>
      </c>
      <c r="JG97" s="538">
        <v>586.85748114591638</v>
      </c>
      <c r="JH97" s="538">
        <v>401.89799569580214</v>
      </c>
      <c r="JI97" s="539">
        <v>440.85039780879094</v>
      </c>
      <c r="JJ97" s="539">
        <v>378.42951750236517</v>
      </c>
      <c r="JK97" s="539">
        <v>527.41225178660898</v>
      </c>
      <c r="JL97" s="536"/>
      <c r="JM97" s="537">
        <v>1525.7006409450798</v>
      </c>
      <c r="JN97" s="538">
        <v>1473.977459794859</v>
      </c>
      <c r="JO97" s="538">
        <v>1325.2121613700656</v>
      </c>
      <c r="JP97" s="538">
        <v>1225.1936887081413</v>
      </c>
      <c r="JQ97" s="538">
        <v>1065.6779111675785</v>
      </c>
      <c r="JR97" s="539">
        <v>727.79444371983823</v>
      </c>
      <c r="JS97" s="539">
        <v>693.7874487543362</v>
      </c>
      <c r="JT97" s="539">
        <v>595.97584451886814</v>
      </c>
      <c r="JU97" s="536"/>
      <c r="JV97" s="537">
        <v>412.21565916802814</v>
      </c>
      <c r="JW97" s="538">
        <v>390.02152716221349</v>
      </c>
      <c r="JX97" s="538">
        <v>341.49698004536305</v>
      </c>
      <c r="JY97" s="538">
        <v>316.59416746029706</v>
      </c>
      <c r="JZ97" s="538">
        <v>189.28099152124875</v>
      </c>
      <c r="KA97" s="539">
        <v>135.64627624885873</v>
      </c>
      <c r="KB97" s="539">
        <v>131.39913802165458</v>
      </c>
      <c r="KC97" s="539">
        <v>168.7719205717149</v>
      </c>
      <c r="KD97" s="536"/>
    </row>
    <row r="98" spans="1:290" ht="15" customHeight="1" x14ac:dyDescent="0.2">
      <c r="A98" s="930"/>
      <c r="B98" s="490" t="s">
        <v>707</v>
      </c>
      <c r="C98" s="491">
        <v>2</v>
      </c>
      <c r="D98" s="492">
        <v>1</v>
      </c>
      <c r="E98" s="492">
        <v>2</v>
      </c>
      <c r="F98" s="492"/>
      <c r="G98" s="493"/>
      <c r="H98" s="493">
        <v>1</v>
      </c>
      <c r="I98" s="493">
        <v>1</v>
      </c>
      <c r="J98" s="493"/>
      <c r="K98" s="199"/>
      <c r="L98" s="491">
        <v>2</v>
      </c>
      <c r="M98" s="492"/>
      <c r="N98" s="492"/>
      <c r="O98" s="492"/>
      <c r="P98" s="493"/>
      <c r="Q98" s="493"/>
      <c r="R98" s="493">
        <v>1</v>
      </c>
      <c r="S98" s="493"/>
      <c r="T98" s="199"/>
      <c r="U98" s="491"/>
      <c r="V98" s="492">
        <v>1</v>
      </c>
      <c r="W98" s="492">
        <v>1</v>
      </c>
      <c r="X98" s="492"/>
      <c r="Y98" s="493"/>
      <c r="Z98" s="493">
        <v>1</v>
      </c>
      <c r="AA98" s="493"/>
      <c r="AB98" s="493"/>
      <c r="AC98" s="199"/>
      <c r="AD98" s="491">
        <v>50</v>
      </c>
      <c r="AE98" s="492">
        <v>41</v>
      </c>
      <c r="AF98" s="492">
        <v>61</v>
      </c>
      <c r="AG98" s="492">
        <v>51</v>
      </c>
      <c r="AH98" s="493">
        <v>85</v>
      </c>
      <c r="AI98" s="493">
        <v>69</v>
      </c>
      <c r="AJ98" s="493">
        <v>59</v>
      </c>
      <c r="AK98" s="493">
        <v>63</v>
      </c>
      <c r="AL98" s="199"/>
      <c r="AM98" s="491">
        <v>31</v>
      </c>
      <c r="AN98" s="492">
        <v>28</v>
      </c>
      <c r="AO98" s="492">
        <v>33</v>
      </c>
      <c r="AP98" s="492">
        <v>29</v>
      </c>
      <c r="AQ98" s="493">
        <v>38</v>
      </c>
      <c r="AR98" s="493">
        <v>32</v>
      </c>
      <c r="AS98" s="493">
        <v>27</v>
      </c>
      <c r="AT98" s="493">
        <v>22</v>
      </c>
      <c r="AU98" s="199"/>
      <c r="AV98" s="491"/>
      <c r="AW98" s="492">
        <v>1</v>
      </c>
      <c r="AX98" s="492"/>
      <c r="AY98" s="492"/>
      <c r="AZ98" s="493"/>
      <c r="BA98" s="493"/>
      <c r="BB98" s="493"/>
      <c r="BC98" s="493"/>
      <c r="BD98" s="199"/>
      <c r="BE98" s="491">
        <v>29</v>
      </c>
      <c r="BF98" s="492">
        <v>15</v>
      </c>
      <c r="BG98" s="492">
        <v>7</v>
      </c>
      <c r="BH98" s="492">
        <v>4</v>
      </c>
      <c r="BI98" s="493">
        <v>4</v>
      </c>
      <c r="BJ98" s="493"/>
      <c r="BK98" s="493"/>
      <c r="BL98" s="493">
        <v>3</v>
      </c>
      <c r="BM98" s="199"/>
      <c r="BN98" s="491"/>
      <c r="BO98" s="492">
        <v>4</v>
      </c>
      <c r="BP98" s="492">
        <v>11</v>
      </c>
      <c r="BQ98" s="492">
        <v>4</v>
      </c>
      <c r="BR98" s="493">
        <v>24</v>
      </c>
      <c r="BS98" s="493">
        <v>36</v>
      </c>
      <c r="BT98" s="493">
        <v>4</v>
      </c>
      <c r="BU98" s="493">
        <v>3</v>
      </c>
      <c r="BV98" s="199"/>
      <c r="BW98" s="491">
        <v>18</v>
      </c>
      <c r="BX98" s="492">
        <v>20</v>
      </c>
      <c r="BY98" s="492">
        <v>23</v>
      </c>
      <c r="BZ98" s="492">
        <v>38</v>
      </c>
      <c r="CA98" s="493">
        <v>36</v>
      </c>
      <c r="CB98" s="493">
        <v>28</v>
      </c>
      <c r="CC98" s="493">
        <v>30</v>
      </c>
      <c r="CD98" s="493">
        <v>18</v>
      </c>
      <c r="CE98" s="199"/>
      <c r="CF98" s="491">
        <v>9</v>
      </c>
      <c r="CG98" s="492">
        <v>2</v>
      </c>
      <c r="CH98" s="492">
        <v>3</v>
      </c>
      <c r="CI98" s="492">
        <v>1</v>
      </c>
      <c r="CJ98" s="493">
        <v>2</v>
      </c>
      <c r="CK98" s="493">
        <v>1</v>
      </c>
      <c r="CL98" s="493">
        <v>2</v>
      </c>
      <c r="CM98" s="493"/>
      <c r="CN98" s="199"/>
      <c r="CO98" s="491">
        <v>2</v>
      </c>
      <c r="CP98" s="492">
        <v>4</v>
      </c>
      <c r="CQ98" s="492">
        <v>18</v>
      </c>
      <c r="CR98" s="492">
        <v>1</v>
      </c>
      <c r="CS98" s="493">
        <v>6</v>
      </c>
      <c r="CT98" s="493">
        <v>1</v>
      </c>
      <c r="CU98" s="493">
        <v>6</v>
      </c>
      <c r="CV98" s="493">
        <v>3</v>
      </c>
      <c r="CW98" s="199"/>
      <c r="CX98" s="491">
        <v>787</v>
      </c>
      <c r="CY98" s="492">
        <v>655</v>
      </c>
      <c r="CZ98" s="492">
        <v>687</v>
      </c>
      <c r="DA98" s="492">
        <v>390</v>
      </c>
      <c r="DB98" s="493">
        <v>370</v>
      </c>
      <c r="DC98" s="493">
        <v>294</v>
      </c>
      <c r="DD98" s="493">
        <v>246</v>
      </c>
      <c r="DE98" s="493">
        <v>173</v>
      </c>
      <c r="DF98" s="199"/>
      <c r="DG98" s="491">
        <v>9</v>
      </c>
      <c r="DH98" s="492">
        <v>3</v>
      </c>
      <c r="DI98" s="492">
        <v>3</v>
      </c>
      <c r="DJ98" s="492">
        <v>3</v>
      </c>
      <c r="DK98" s="493">
        <v>5</v>
      </c>
      <c r="DL98" s="493"/>
      <c r="DM98" s="493"/>
      <c r="DN98" s="493">
        <v>1</v>
      </c>
      <c r="DO98" s="199"/>
      <c r="DP98" s="491">
        <v>40</v>
      </c>
      <c r="DQ98" s="492">
        <v>49</v>
      </c>
      <c r="DR98" s="492">
        <v>36</v>
      </c>
      <c r="DS98" s="492">
        <v>5</v>
      </c>
      <c r="DT98" s="493">
        <v>5</v>
      </c>
      <c r="DU98" s="493">
        <v>13</v>
      </c>
      <c r="DV98" s="493">
        <v>6</v>
      </c>
      <c r="DW98" s="493">
        <v>3</v>
      </c>
      <c r="DX98" s="199"/>
      <c r="DY98" s="491">
        <v>69</v>
      </c>
      <c r="DZ98" s="492">
        <v>38</v>
      </c>
      <c r="EA98" s="492">
        <v>38</v>
      </c>
      <c r="EB98" s="492">
        <v>23</v>
      </c>
      <c r="EC98" s="493">
        <v>64</v>
      </c>
      <c r="ED98" s="493">
        <v>25</v>
      </c>
      <c r="EE98" s="493">
        <v>29</v>
      </c>
      <c r="EF98" s="493">
        <v>14</v>
      </c>
      <c r="EG98" s="199"/>
      <c r="EH98" s="491">
        <v>11</v>
      </c>
      <c r="EI98" s="492">
        <v>2</v>
      </c>
      <c r="EJ98" s="492">
        <v>9</v>
      </c>
      <c r="EK98" s="492">
        <v>4</v>
      </c>
      <c r="EL98" s="493">
        <v>4</v>
      </c>
      <c r="EM98" s="493">
        <v>2</v>
      </c>
      <c r="EN98" s="493"/>
      <c r="EO98" s="493">
        <v>1</v>
      </c>
      <c r="EP98" s="199"/>
      <c r="EQ98" s="491"/>
      <c r="ER98" s="492">
        <v>4</v>
      </c>
      <c r="ES98" s="492">
        <v>3</v>
      </c>
      <c r="ET98" s="492">
        <v>5</v>
      </c>
      <c r="EU98" s="493">
        <v>1</v>
      </c>
      <c r="EV98" s="493">
        <v>3</v>
      </c>
      <c r="EW98" s="493">
        <v>1</v>
      </c>
      <c r="EX98" s="493"/>
      <c r="EY98" s="199"/>
      <c r="EZ98" s="491">
        <v>4</v>
      </c>
      <c r="FA98" s="492">
        <v>2</v>
      </c>
      <c r="FB98" s="492">
        <v>2</v>
      </c>
      <c r="FC98" s="492"/>
      <c r="FD98" s="493"/>
      <c r="FE98" s="493">
        <v>1</v>
      </c>
      <c r="FF98" s="493"/>
      <c r="FG98" s="493">
        <v>1</v>
      </c>
      <c r="FH98" s="199"/>
      <c r="FI98" s="491">
        <v>50</v>
      </c>
      <c r="FJ98" s="492">
        <v>43</v>
      </c>
      <c r="FK98" s="492">
        <v>58</v>
      </c>
      <c r="FL98" s="492">
        <v>24</v>
      </c>
      <c r="FM98" s="493">
        <v>19</v>
      </c>
      <c r="FN98" s="493">
        <v>11</v>
      </c>
      <c r="FO98" s="493">
        <v>19</v>
      </c>
      <c r="FP98" s="493">
        <v>12</v>
      </c>
      <c r="FQ98" s="199"/>
      <c r="FR98" s="491">
        <v>4</v>
      </c>
      <c r="FS98" s="492">
        <v>9</v>
      </c>
      <c r="FT98" s="492">
        <v>4</v>
      </c>
      <c r="FU98" s="492">
        <v>4</v>
      </c>
      <c r="FV98" s="493">
        <v>7</v>
      </c>
      <c r="FW98" s="493"/>
      <c r="FX98" s="493"/>
      <c r="FY98" s="493">
        <v>20</v>
      </c>
      <c r="FZ98" s="199"/>
      <c r="GA98" s="491">
        <v>9</v>
      </c>
      <c r="GB98" s="492">
        <v>8</v>
      </c>
      <c r="GC98" s="492">
        <v>7</v>
      </c>
      <c r="GD98" s="492">
        <v>1</v>
      </c>
      <c r="GE98" s="493">
        <v>8</v>
      </c>
      <c r="GF98" s="493">
        <v>8</v>
      </c>
      <c r="GG98" s="493">
        <v>11</v>
      </c>
      <c r="GH98" s="493">
        <v>3</v>
      </c>
      <c r="GI98" s="199"/>
      <c r="GJ98" s="491">
        <v>975</v>
      </c>
      <c r="GK98" s="492">
        <v>810</v>
      </c>
      <c r="GL98" s="492">
        <v>895</v>
      </c>
      <c r="GM98" s="492">
        <v>527</v>
      </c>
      <c r="GN98" s="493">
        <v>566</v>
      </c>
      <c r="GO98" s="493">
        <v>455</v>
      </c>
      <c r="GP98" s="493">
        <v>379</v>
      </c>
      <c r="GQ98" s="493">
        <v>300</v>
      </c>
      <c r="GR98" s="199"/>
      <c r="GS98" s="491">
        <v>289</v>
      </c>
      <c r="GT98" s="492">
        <v>245</v>
      </c>
      <c r="GU98" s="492">
        <v>243</v>
      </c>
      <c r="GV98" s="492">
        <v>143</v>
      </c>
      <c r="GW98" s="493">
        <v>67</v>
      </c>
      <c r="GX98" s="493">
        <v>43</v>
      </c>
      <c r="GY98" s="493">
        <v>74</v>
      </c>
      <c r="GZ98" s="493">
        <v>62</v>
      </c>
      <c r="HA98" s="199"/>
      <c r="HB98" s="491">
        <v>3</v>
      </c>
      <c r="HC98" s="492">
        <v>6</v>
      </c>
      <c r="HD98" s="492">
        <v>2</v>
      </c>
      <c r="HE98" s="492">
        <v>1</v>
      </c>
      <c r="HF98" s="493">
        <v>4</v>
      </c>
      <c r="HG98" s="493">
        <v>1</v>
      </c>
      <c r="HH98" s="493">
        <v>1</v>
      </c>
      <c r="HI98" s="493">
        <v>1</v>
      </c>
      <c r="HJ98" s="199"/>
      <c r="HK98" s="491">
        <v>1</v>
      </c>
      <c r="HL98" s="492">
        <v>2</v>
      </c>
      <c r="HM98" s="492">
        <v>1</v>
      </c>
      <c r="HN98" s="492"/>
      <c r="HO98" s="493">
        <v>2</v>
      </c>
      <c r="HP98" s="493">
        <v>2</v>
      </c>
      <c r="HQ98" s="493">
        <v>1</v>
      </c>
      <c r="HR98" s="493">
        <v>1</v>
      </c>
      <c r="HS98" s="199"/>
      <c r="HT98" s="491">
        <v>406</v>
      </c>
      <c r="HU98" s="492">
        <v>357</v>
      </c>
      <c r="HV98" s="492">
        <v>350</v>
      </c>
      <c r="HW98" s="492">
        <v>263</v>
      </c>
      <c r="HX98" s="493">
        <v>194</v>
      </c>
      <c r="HY98" s="493">
        <v>150</v>
      </c>
      <c r="HZ98" s="493">
        <v>205</v>
      </c>
      <c r="IA98" s="493">
        <v>227</v>
      </c>
      <c r="IB98" s="199"/>
      <c r="IC98" s="491">
        <v>1922</v>
      </c>
      <c r="ID98" s="492">
        <v>1776</v>
      </c>
      <c r="IE98" s="492">
        <v>1749</v>
      </c>
      <c r="IF98" s="492">
        <v>893</v>
      </c>
      <c r="IG98" s="493">
        <v>1045</v>
      </c>
      <c r="IH98" s="493">
        <v>924</v>
      </c>
      <c r="II98" s="493">
        <v>887</v>
      </c>
      <c r="IJ98" s="493">
        <v>701</v>
      </c>
      <c r="IK98" s="199"/>
      <c r="IL98" s="491">
        <v>204</v>
      </c>
      <c r="IM98" s="492">
        <v>114</v>
      </c>
      <c r="IN98" s="492">
        <v>136</v>
      </c>
      <c r="IO98" s="492">
        <v>52</v>
      </c>
      <c r="IP98" s="493">
        <v>58</v>
      </c>
      <c r="IQ98" s="493">
        <v>67</v>
      </c>
      <c r="IR98" s="493">
        <v>76</v>
      </c>
      <c r="IS98" s="493">
        <v>40</v>
      </c>
      <c r="IT98" s="199"/>
      <c r="IU98" s="533">
        <v>4516.0835545947975</v>
      </c>
      <c r="IV98" s="534">
        <v>4203.2518401060279</v>
      </c>
      <c r="IW98" s="534">
        <v>4162.997167543379</v>
      </c>
      <c r="IX98" s="534">
        <v>2155.6510404094047</v>
      </c>
      <c r="IY98" s="535">
        <v>2544.9940332675778</v>
      </c>
      <c r="IZ98" s="535">
        <v>2275.4796582069703</v>
      </c>
      <c r="JA98" s="535">
        <v>2276.1098280728766</v>
      </c>
      <c r="JB98" s="535">
        <v>1795.9622873539658</v>
      </c>
      <c r="JC98" s="536"/>
      <c r="JD98" s="537">
        <v>953.96978312460351</v>
      </c>
      <c r="JE98" s="538">
        <v>844.9104205618537</v>
      </c>
      <c r="JF98" s="538">
        <v>833.07547663818343</v>
      </c>
      <c r="JG98" s="538">
        <v>634.8669917443151</v>
      </c>
      <c r="JH98" s="538">
        <v>472.46779182192353</v>
      </c>
      <c r="JI98" s="539">
        <v>372.80488062866448</v>
      </c>
      <c r="JJ98" s="539">
        <v>526.04567616114957</v>
      </c>
      <c r="JK98" s="539">
        <v>581.5740930518549</v>
      </c>
      <c r="JL98" s="536"/>
      <c r="JM98" s="537">
        <v>2290.9372870603165</v>
      </c>
      <c r="JN98" s="538">
        <v>1917.0236432916006</v>
      </c>
      <c r="JO98" s="538">
        <v>2130.2930045462117</v>
      </c>
      <c r="JP98" s="538">
        <v>1272.1479264230195</v>
      </c>
      <c r="JQ98" s="538">
        <v>1378.4369596454055</v>
      </c>
      <c r="JR98" s="539">
        <v>1113.7210608845435</v>
      </c>
      <c r="JS98" s="539">
        <v>972.54298178085696</v>
      </c>
      <c r="JT98" s="539">
        <v>768.60012297601963</v>
      </c>
      <c r="JU98" s="536"/>
      <c r="JV98" s="537">
        <v>679.05730867736554</v>
      </c>
      <c r="JW98" s="538">
        <v>579.84048469931133</v>
      </c>
      <c r="JX98" s="538">
        <v>578.39240235165312</v>
      </c>
      <c r="JY98" s="538">
        <v>345.19383961763145</v>
      </c>
      <c r="JZ98" s="538">
        <v>163.1718662477777</v>
      </c>
      <c r="KA98" s="539">
        <v>106.95353446759842</v>
      </c>
      <c r="KB98" s="539">
        <v>189.88965871182961</v>
      </c>
      <c r="KC98" s="539">
        <v>158.84402541504406</v>
      </c>
      <c r="KD98" s="536"/>
    </row>
    <row r="99" spans="1:290" ht="15" customHeight="1" x14ac:dyDescent="0.2">
      <c r="A99" s="930"/>
      <c r="B99" s="490" t="s">
        <v>708</v>
      </c>
      <c r="C99" s="491">
        <v>2</v>
      </c>
      <c r="D99" s="492"/>
      <c r="E99" s="492">
        <v>2</v>
      </c>
      <c r="F99" s="492"/>
      <c r="G99" s="493"/>
      <c r="H99" s="493">
        <v>1</v>
      </c>
      <c r="I99" s="493">
        <v>1</v>
      </c>
      <c r="J99" s="493">
        <v>1</v>
      </c>
      <c r="K99" s="199"/>
      <c r="L99" s="491">
        <v>1</v>
      </c>
      <c r="M99" s="492"/>
      <c r="N99" s="492">
        <v>1</v>
      </c>
      <c r="O99" s="492"/>
      <c r="P99" s="493"/>
      <c r="Q99" s="493">
        <v>1</v>
      </c>
      <c r="R99" s="493"/>
      <c r="S99" s="493"/>
      <c r="T99" s="199"/>
      <c r="U99" s="491">
        <v>1</v>
      </c>
      <c r="V99" s="492"/>
      <c r="W99" s="492">
        <v>1</v>
      </c>
      <c r="X99" s="492"/>
      <c r="Y99" s="493"/>
      <c r="Z99" s="493"/>
      <c r="AA99" s="493">
        <v>1</v>
      </c>
      <c r="AB99" s="493">
        <v>1</v>
      </c>
      <c r="AC99" s="199"/>
      <c r="AD99" s="491">
        <v>28</v>
      </c>
      <c r="AE99" s="492">
        <v>34</v>
      </c>
      <c r="AF99" s="492">
        <v>21</v>
      </c>
      <c r="AG99" s="492">
        <v>34</v>
      </c>
      <c r="AH99" s="493">
        <v>35</v>
      </c>
      <c r="AI99" s="493">
        <v>25</v>
      </c>
      <c r="AJ99" s="493">
        <v>20</v>
      </c>
      <c r="AK99" s="493">
        <v>20</v>
      </c>
      <c r="AL99" s="199"/>
      <c r="AM99" s="491">
        <v>14</v>
      </c>
      <c r="AN99" s="492">
        <v>21</v>
      </c>
      <c r="AO99" s="492">
        <v>10</v>
      </c>
      <c r="AP99" s="492">
        <v>18</v>
      </c>
      <c r="AQ99" s="493">
        <v>14</v>
      </c>
      <c r="AR99" s="493">
        <v>13</v>
      </c>
      <c r="AS99" s="493">
        <v>11</v>
      </c>
      <c r="AT99" s="493">
        <v>17</v>
      </c>
      <c r="AU99" s="199"/>
      <c r="AV99" s="491"/>
      <c r="AW99" s="492">
        <v>1</v>
      </c>
      <c r="AX99" s="492"/>
      <c r="AY99" s="492">
        <v>1</v>
      </c>
      <c r="AZ99" s="493"/>
      <c r="BA99" s="493"/>
      <c r="BB99" s="493"/>
      <c r="BC99" s="493"/>
      <c r="BD99" s="199"/>
      <c r="BE99" s="491"/>
      <c r="BF99" s="492">
        <v>8</v>
      </c>
      <c r="BG99" s="492">
        <v>2</v>
      </c>
      <c r="BH99" s="492">
        <v>2</v>
      </c>
      <c r="BI99" s="493">
        <v>5</v>
      </c>
      <c r="BJ99" s="493">
        <v>1</v>
      </c>
      <c r="BK99" s="493">
        <v>4</v>
      </c>
      <c r="BL99" s="493">
        <v>1</v>
      </c>
      <c r="BM99" s="199"/>
      <c r="BN99" s="491"/>
      <c r="BO99" s="492"/>
      <c r="BP99" s="492"/>
      <c r="BQ99" s="492"/>
      <c r="BR99" s="493"/>
      <c r="BS99" s="493">
        <v>1</v>
      </c>
      <c r="BT99" s="493"/>
      <c r="BU99" s="493"/>
      <c r="BV99" s="199"/>
      <c r="BW99" s="491">
        <v>19</v>
      </c>
      <c r="BX99" s="492">
        <v>31</v>
      </c>
      <c r="BY99" s="492">
        <v>32</v>
      </c>
      <c r="BZ99" s="492">
        <v>32</v>
      </c>
      <c r="CA99" s="493">
        <v>30</v>
      </c>
      <c r="CB99" s="493">
        <v>14</v>
      </c>
      <c r="CC99" s="493">
        <v>13</v>
      </c>
      <c r="CD99" s="493">
        <v>7</v>
      </c>
      <c r="CE99" s="199"/>
      <c r="CF99" s="491">
        <v>3</v>
      </c>
      <c r="CG99" s="492">
        <v>3</v>
      </c>
      <c r="CH99" s="492">
        <v>4</v>
      </c>
      <c r="CI99" s="492">
        <v>2</v>
      </c>
      <c r="CJ99" s="493"/>
      <c r="CK99" s="493"/>
      <c r="CL99" s="493">
        <v>1</v>
      </c>
      <c r="CM99" s="493">
        <v>1</v>
      </c>
      <c r="CN99" s="199"/>
      <c r="CO99" s="491">
        <v>2</v>
      </c>
      <c r="CP99" s="492"/>
      <c r="CQ99" s="492"/>
      <c r="CR99" s="492"/>
      <c r="CS99" s="493"/>
      <c r="CT99" s="493">
        <v>1</v>
      </c>
      <c r="CU99" s="493">
        <v>4</v>
      </c>
      <c r="CV99" s="493">
        <v>1</v>
      </c>
      <c r="CW99" s="199"/>
      <c r="CX99" s="491">
        <v>430</v>
      </c>
      <c r="CY99" s="492">
        <v>375</v>
      </c>
      <c r="CZ99" s="492">
        <v>457</v>
      </c>
      <c r="DA99" s="492">
        <v>400</v>
      </c>
      <c r="DB99" s="493">
        <v>262</v>
      </c>
      <c r="DC99" s="493">
        <v>157</v>
      </c>
      <c r="DD99" s="493">
        <v>134</v>
      </c>
      <c r="DE99" s="493">
        <v>131</v>
      </c>
      <c r="DF99" s="199"/>
      <c r="DG99" s="491">
        <v>4</v>
      </c>
      <c r="DH99" s="492">
        <v>2</v>
      </c>
      <c r="DI99" s="492"/>
      <c r="DJ99" s="492">
        <v>1</v>
      </c>
      <c r="DK99" s="493"/>
      <c r="DL99" s="493">
        <v>1</v>
      </c>
      <c r="DM99" s="493">
        <v>1</v>
      </c>
      <c r="DN99" s="493"/>
      <c r="DO99" s="199"/>
      <c r="DP99" s="491">
        <v>14</v>
      </c>
      <c r="DQ99" s="492">
        <v>14</v>
      </c>
      <c r="DR99" s="492">
        <v>9</v>
      </c>
      <c r="DS99" s="492">
        <v>3</v>
      </c>
      <c r="DT99" s="493">
        <v>8</v>
      </c>
      <c r="DU99" s="493">
        <v>3</v>
      </c>
      <c r="DV99" s="493">
        <v>4</v>
      </c>
      <c r="DW99" s="493">
        <v>4</v>
      </c>
      <c r="DX99" s="199"/>
      <c r="DY99" s="491">
        <v>36</v>
      </c>
      <c r="DZ99" s="492">
        <v>17</v>
      </c>
      <c r="EA99" s="492">
        <v>24</v>
      </c>
      <c r="EB99" s="492">
        <v>47</v>
      </c>
      <c r="EC99" s="493">
        <v>60</v>
      </c>
      <c r="ED99" s="493">
        <v>16</v>
      </c>
      <c r="EE99" s="493">
        <v>19</v>
      </c>
      <c r="EF99" s="493">
        <v>31</v>
      </c>
      <c r="EG99" s="199"/>
      <c r="EH99" s="491">
        <v>11</v>
      </c>
      <c r="EI99" s="492">
        <v>6</v>
      </c>
      <c r="EJ99" s="492">
        <v>8</v>
      </c>
      <c r="EK99" s="492">
        <v>5</v>
      </c>
      <c r="EL99" s="493">
        <v>4</v>
      </c>
      <c r="EM99" s="493"/>
      <c r="EN99" s="493"/>
      <c r="EO99" s="493"/>
      <c r="EP99" s="199"/>
      <c r="EQ99" s="491">
        <v>1</v>
      </c>
      <c r="ER99" s="492"/>
      <c r="ES99" s="492"/>
      <c r="ET99" s="492">
        <v>2</v>
      </c>
      <c r="EU99" s="493">
        <v>3</v>
      </c>
      <c r="EV99" s="493">
        <v>7</v>
      </c>
      <c r="EW99" s="493"/>
      <c r="EX99" s="493"/>
      <c r="EY99" s="199"/>
      <c r="EZ99" s="491"/>
      <c r="FA99" s="492">
        <v>2</v>
      </c>
      <c r="FB99" s="492">
        <v>3</v>
      </c>
      <c r="FC99" s="492">
        <v>5</v>
      </c>
      <c r="FD99" s="493"/>
      <c r="FE99" s="493">
        <v>1</v>
      </c>
      <c r="FF99" s="493"/>
      <c r="FG99" s="493"/>
      <c r="FH99" s="199"/>
      <c r="FI99" s="491">
        <v>50</v>
      </c>
      <c r="FJ99" s="492">
        <v>35</v>
      </c>
      <c r="FK99" s="492">
        <v>35</v>
      </c>
      <c r="FL99" s="492">
        <v>24</v>
      </c>
      <c r="FM99" s="493">
        <v>20</v>
      </c>
      <c r="FN99" s="493">
        <v>6</v>
      </c>
      <c r="FO99" s="493">
        <v>16</v>
      </c>
      <c r="FP99" s="493">
        <v>14</v>
      </c>
      <c r="FQ99" s="199"/>
      <c r="FR99" s="491">
        <v>1</v>
      </c>
      <c r="FS99" s="492">
        <v>10</v>
      </c>
      <c r="FT99" s="492"/>
      <c r="FU99" s="492">
        <v>2</v>
      </c>
      <c r="FV99" s="493">
        <v>1</v>
      </c>
      <c r="FW99" s="493"/>
      <c r="FX99" s="493">
        <v>1</v>
      </c>
      <c r="FY99" s="493"/>
      <c r="FZ99" s="199"/>
      <c r="GA99" s="491">
        <v>4</v>
      </c>
      <c r="GB99" s="492">
        <v>5</v>
      </c>
      <c r="GC99" s="492">
        <v>3</v>
      </c>
      <c r="GD99" s="492">
        <v>6</v>
      </c>
      <c r="GE99" s="493"/>
      <c r="GF99" s="493">
        <v>5</v>
      </c>
      <c r="GG99" s="493">
        <v>6</v>
      </c>
      <c r="GH99" s="493">
        <v>8</v>
      </c>
      <c r="GI99" s="199"/>
      <c r="GJ99" s="491">
        <v>551</v>
      </c>
      <c r="GK99" s="492">
        <v>509</v>
      </c>
      <c r="GL99" s="492">
        <v>567</v>
      </c>
      <c r="GM99" s="492">
        <v>514</v>
      </c>
      <c r="GN99" s="493">
        <v>360</v>
      </c>
      <c r="GO99" s="493">
        <v>219</v>
      </c>
      <c r="GP99" s="493">
        <v>200</v>
      </c>
      <c r="GQ99" s="493">
        <v>184</v>
      </c>
      <c r="GR99" s="199"/>
      <c r="GS99" s="491">
        <v>134</v>
      </c>
      <c r="GT99" s="492">
        <v>127</v>
      </c>
      <c r="GU99" s="492">
        <v>119</v>
      </c>
      <c r="GV99" s="492">
        <v>119</v>
      </c>
      <c r="GW99" s="493">
        <v>58</v>
      </c>
      <c r="GX99" s="493">
        <v>53</v>
      </c>
      <c r="GY99" s="493">
        <v>52</v>
      </c>
      <c r="GZ99" s="493">
        <v>40</v>
      </c>
      <c r="HA99" s="199"/>
      <c r="HB99" s="491"/>
      <c r="HC99" s="492">
        <v>3</v>
      </c>
      <c r="HD99" s="492">
        <v>6</v>
      </c>
      <c r="HE99" s="492">
        <v>3</v>
      </c>
      <c r="HF99" s="493"/>
      <c r="HG99" s="493"/>
      <c r="HH99" s="493">
        <v>2</v>
      </c>
      <c r="HI99" s="493">
        <v>1</v>
      </c>
      <c r="HJ99" s="199"/>
      <c r="HK99" s="491">
        <v>1</v>
      </c>
      <c r="HL99" s="492"/>
      <c r="HM99" s="492"/>
      <c r="HN99" s="492">
        <v>1</v>
      </c>
      <c r="HO99" s="493">
        <v>1</v>
      </c>
      <c r="HP99" s="493"/>
      <c r="HQ99" s="493"/>
      <c r="HR99" s="493"/>
      <c r="HS99" s="199"/>
      <c r="HT99" s="491">
        <v>184</v>
      </c>
      <c r="HU99" s="492">
        <v>160</v>
      </c>
      <c r="HV99" s="492">
        <v>181</v>
      </c>
      <c r="HW99" s="492">
        <v>162</v>
      </c>
      <c r="HX99" s="493">
        <v>109</v>
      </c>
      <c r="HY99" s="493">
        <v>151</v>
      </c>
      <c r="HZ99" s="493">
        <v>138</v>
      </c>
      <c r="IA99" s="493">
        <v>145</v>
      </c>
      <c r="IB99" s="199"/>
      <c r="IC99" s="491">
        <v>1020</v>
      </c>
      <c r="ID99" s="492">
        <v>868</v>
      </c>
      <c r="IE99" s="492">
        <v>851</v>
      </c>
      <c r="IF99" s="492">
        <v>685</v>
      </c>
      <c r="IG99" s="493">
        <v>570</v>
      </c>
      <c r="IH99" s="493">
        <v>469</v>
      </c>
      <c r="II99" s="493">
        <v>450</v>
      </c>
      <c r="IJ99" s="493">
        <v>377</v>
      </c>
      <c r="IK99" s="199"/>
      <c r="IL99" s="491">
        <v>152</v>
      </c>
      <c r="IM99" s="492">
        <v>114</v>
      </c>
      <c r="IN99" s="492">
        <v>144</v>
      </c>
      <c r="IO99" s="492">
        <v>60</v>
      </c>
      <c r="IP99" s="493">
        <v>57</v>
      </c>
      <c r="IQ99" s="493">
        <v>55</v>
      </c>
      <c r="IR99" s="493">
        <v>37</v>
      </c>
      <c r="IS99" s="493">
        <v>48</v>
      </c>
      <c r="IT99" s="199"/>
      <c r="IU99" s="533">
        <v>3829.5475877604658</v>
      </c>
      <c r="IV99" s="534">
        <v>3279.5556731023535</v>
      </c>
      <c r="IW99" s="534">
        <v>3229.233863317269</v>
      </c>
      <c r="IX99" s="534">
        <v>2637.3541754899315</v>
      </c>
      <c r="IY99" s="535">
        <v>2213.5922330097087</v>
      </c>
      <c r="IZ99" s="535">
        <v>1829.4585738804808</v>
      </c>
      <c r="JA99" s="535">
        <v>1762.7702914446882</v>
      </c>
      <c r="JB99" s="535">
        <v>1483.3759590792838</v>
      </c>
      <c r="JC99" s="536"/>
      <c r="JD99" s="537">
        <v>690.82034916463306</v>
      </c>
      <c r="JE99" s="538">
        <v>604.52639135527261</v>
      </c>
      <c r="JF99" s="538">
        <v>686.82882404280349</v>
      </c>
      <c r="JG99" s="538">
        <v>623.7246371231663</v>
      </c>
      <c r="JH99" s="538">
        <v>423.30097087378635</v>
      </c>
      <c r="JI99" s="539">
        <v>589.01544702761748</v>
      </c>
      <c r="JJ99" s="539">
        <v>540.58288937637099</v>
      </c>
      <c r="JK99" s="539">
        <v>570.52921503049379</v>
      </c>
      <c r="JL99" s="536"/>
      <c r="JM99" s="537">
        <v>2068.7065890745262</v>
      </c>
      <c r="JN99" s="538">
        <v>1923.1495824989609</v>
      </c>
      <c r="JO99" s="538">
        <v>2151.5576974158539</v>
      </c>
      <c r="JP99" s="538">
        <v>1978.9781696377008</v>
      </c>
      <c r="JQ99" s="538">
        <v>1398.0582524271845</v>
      </c>
      <c r="JR99" s="539">
        <v>854.26743641753785</v>
      </c>
      <c r="JS99" s="539">
        <v>783.45346286430583</v>
      </c>
      <c r="JT99" s="539">
        <v>723.98190045248873</v>
      </c>
      <c r="JU99" s="536"/>
      <c r="JV99" s="537">
        <v>503.09742819598273</v>
      </c>
      <c r="JW99" s="538">
        <v>479.84282313824758</v>
      </c>
      <c r="JX99" s="538">
        <v>451.56149205024099</v>
      </c>
      <c r="JY99" s="538">
        <v>458.16809763985674</v>
      </c>
      <c r="JZ99" s="538">
        <v>225.24271844660194</v>
      </c>
      <c r="KA99" s="539">
        <v>206.74052114214385</v>
      </c>
      <c r="KB99" s="539">
        <v>203.69790034471953</v>
      </c>
      <c r="KC99" s="539">
        <v>157.38736966358448</v>
      </c>
      <c r="KD99" s="536"/>
    </row>
    <row r="100" spans="1:290" ht="15" customHeight="1" x14ac:dyDescent="0.2">
      <c r="A100" s="930"/>
      <c r="B100" s="490" t="s">
        <v>709</v>
      </c>
      <c r="C100" s="491">
        <v>1</v>
      </c>
      <c r="D100" s="492"/>
      <c r="E100" s="492">
        <v>1</v>
      </c>
      <c r="F100" s="492"/>
      <c r="G100" s="493">
        <v>2</v>
      </c>
      <c r="H100" s="493">
        <v>1</v>
      </c>
      <c r="I100" s="493">
        <v>4</v>
      </c>
      <c r="J100" s="493">
        <v>2</v>
      </c>
      <c r="K100" s="199"/>
      <c r="L100" s="491"/>
      <c r="M100" s="492"/>
      <c r="N100" s="492"/>
      <c r="O100" s="492"/>
      <c r="P100" s="493">
        <v>1</v>
      </c>
      <c r="Q100" s="493">
        <v>1</v>
      </c>
      <c r="R100" s="493"/>
      <c r="S100" s="493">
        <v>1</v>
      </c>
      <c r="T100" s="199"/>
      <c r="U100" s="491"/>
      <c r="V100" s="492"/>
      <c r="W100" s="492">
        <v>1</v>
      </c>
      <c r="X100" s="492"/>
      <c r="Y100" s="493">
        <v>1</v>
      </c>
      <c r="Z100" s="493"/>
      <c r="AA100" s="493">
        <v>3</v>
      </c>
      <c r="AB100" s="493">
        <v>1</v>
      </c>
      <c r="AC100" s="199"/>
      <c r="AD100" s="491">
        <v>27</v>
      </c>
      <c r="AE100" s="492">
        <v>21</v>
      </c>
      <c r="AF100" s="492">
        <v>34</v>
      </c>
      <c r="AG100" s="492">
        <v>43</v>
      </c>
      <c r="AH100" s="493">
        <v>34</v>
      </c>
      <c r="AI100" s="493">
        <v>25</v>
      </c>
      <c r="AJ100" s="493">
        <v>19</v>
      </c>
      <c r="AK100" s="493">
        <v>15</v>
      </c>
      <c r="AL100" s="199"/>
      <c r="AM100" s="491">
        <v>15</v>
      </c>
      <c r="AN100" s="492">
        <v>13</v>
      </c>
      <c r="AO100" s="492">
        <v>29</v>
      </c>
      <c r="AP100" s="492">
        <v>37</v>
      </c>
      <c r="AQ100" s="493">
        <v>29</v>
      </c>
      <c r="AR100" s="493">
        <v>17</v>
      </c>
      <c r="AS100" s="493">
        <v>13</v>
      </c>
      <c r="AT100" s="493">
        <v>13</v>
      </c>
      <c r="AU100" s="199"/>
      <c r="AV100" s="491">
        <v>1</v>
      </c>
      <c r="AW100" s="492"/>
      <c r="AX100" s="492"/>
      <c r="AY100" s="492"/>
      <c r="AZ100" s="493"/>
      <c r="BA100" s="493"/>
      <c r="BB100" s="493"/>
      <c r="BC100" s="493"/>
      <c r="BD100" s="199"/>
      <c r="BE100" s="491">
        <v>8</v>
      </c>
      <c r="BF100" s="492">
        <v>6</v>
      </c>
      <c r="BG100" s="492">
        <v>1</v>
      </c>
      <c r="BH100" s="492">
        <v>7</v>
      </c>
      <c r="BI100" s="493">
        <v>9</v>
      </c>
      <c r="BJ100" s="493">
        <v>2</v>
      </c>
      <c r="BK100" s="493">
        <v>3</v>
      </c>
      <c r="BL100" s="493">
        <v>4</v>
      </c>
      <c r="BM100" s="199"/>
      <c r="BN100" s="491"/>
      <c r="BO100" s="492"/>
      <c r="BP100" s="492">
        <v>1</v>
      </c>
      <c r="BQ100" s="492"/>
      <c r="BR100" s="493">
        <v>5</v>
      </c>
      <c r="BS100" s="493">
        <v>16</v>
      </c>
      <c r="BT100" s="493">
        <v>4</v>
      </c>
      <c r="BU100" s="493">
        <v>4</v>
      </c>
      <c r="BV100" s="199"/>
      <c r="BW100" s="491">
        <v>23</v>
      </c>
      <c r="BX100" s="492">
        <v>23</v>
      </c>
      <c r="BY100" s="492">
        <v>19</v>
      </c>
      <c r="BZ100" s="492">
        <v>22</v>
      </c>
      <c r="CA100" s="493">
        <v>23</v>
      </c>
      <c r="CB100" s="493">
        <v>16</v>
      </c>
      <c r="CC100" s="493">
        <v>7</v>
      </c>
      <c r="CD100" s="493">
        <v>5</v>
      </c>
      <c r="CE100" s="199"/>
      <c r="CF100" s="491"/>
      <c r="CG100" s="492">
        <v>4</v>
      </c>
      <c r="CH100" s="492">
        <v>1</v>
      </c>
      <c r="CI100" s="492">
        <v>3</v>
      </c>
      <c r="CJ100" s="493"/>
      <c r="CK100" s="493"/>
      <c r="CL100" s="493"/>
      <c r="CM100" s="493">
        <v>1</v>
      </c>
      <c r="CN100" s="199"/>
      <c r="CO100" s="491">
        <v>2</v>
      </c>
      <c r="CP100" s="492">
        <v>1</v>
      </c>
      <c r="CQ100" s="492">
        <v>3</v>
      </c>
      <c r="CR100" s="492"/>
      <c r="CS100" s="493"/>
      <c r="CT100" s="493"/>
      <c r="CU100" s="493">
        <v>3</v>
      </c>
      <c r="CV100" s="493">
        <v>3</v>
      </c>
      <c r="CW100" s="199"/>
      <c r="CX100" s="491">
        <v>503</v>
      </c>
      <c r="CY100" s="492">
        <v>426</v>
      </c>
      <c r="CZ100" s="492">
        <v>445</v>
      </c>
      <c r="DA100" s="492">
        <v>417</v>
      </c>
      <c r="DB100" s="493">
        <v>280</v>
      </c>
      <c r="DC100" s="493">
        <v>243</v>
      </c>
      <c r="DD100" s="493">
        <v>180</v>
      </c>
      <c r="DE100" s="493">
        <v>106</v>
      </c>
      <c r="DF100" s="199"/>
      <c r="DG100" s="491">
        <v>6</v>
      </c>
      <c r="DH100" s="492">
        <v>11</v>
      </c>
      <c r="DI100" s="492">
        <v>6</v>
      </c>
      <c r="DJ100" s="492">
        <v>10</v>
      </c>
      <c r="DK100" s="493">
        <v>1</v>
      </c>
      <c r="DL100" s="493">
        <v>2</v>
      </c>
      <c r="DM100" s="493">
        <v>1</v>
      </c>
      <c r="DN100" s="493">
        <v>1</v>
      </c>
      <c r="DO100" s="199"/>
      <c r="DP100" s="491">
        <v>38</v>
      </c>
      <c r="DQ100" s="492">
        <v>38</v>
      </c>
      <c r="DR100" s="492">
        <v>30</v>
      </c>
      <c r="DS100" s="492">
        <v>27</v>
      </c>
      <c r="DT100" s="493">
        <v>11</v>
      </c>
      <c r="DU100" s="493">
        <v>13</v>
      </c>
      <c r="DV100" s="493">
        <v>15</v>
      </c>
      <c r="DW100" s="493">
        <v>5</v>
      </c>
      <c r="DX100" s="199"/>
      <c r="DY100" s="491">
        <v>32</v>
      </c>
      <c r="DZ100" s="492">
        <v>34</v>
      </c>
      <c r="EA100" s="492">
        <v>47</v>
      </c>
      <c r="EB100" s="492">
        <v>83</v>
      </c>
      <c r="EC100" s="493">
        <v>40</v>
      </c>
      <c r="ED100" s="493">
        <v>37</v>
      </c>
      <c r="EE100" s="493">
        <v>36</v>
      </c>
      <c r="EF100" s="493">
        <v>12</v>
      </c>
      <c r="EG100" s="199"/>
      <c r="EH100" s="491">
        <v>13</v>
      </c>
      <c r="EI100" s="492">
        <v>2</v>
      </c>
      <c r="EJ100" s="492">
        <v>6</v>
      </c>
      <c r="EK100" s="492">
        <v>4</v>
      </c>
      <c r="EL100" s="493">
        <v>3</v>
      </c>
      <c r="EM100" s="493">
        <v>3</v>
      </c>
      <c r="EN100" s="493">
        <v>3</v>
      </c>
      <c r="EO100" s="493">
        <v>3</v>
      </c>
      <c r="EP100" s="199"/>
      <c r="EQ100" s="491"/>
      <c r="ER100" s="492"/>
      <c r="ES100" s="492">
        <v>3</v>
      </c>
      <c r="ET100" s="492">
        <v>20</v>
      </c>
      <c r="EU100" s="493"/>
      <c r="EV100" s="493">
        <v>1</v>
      </c>
      <c r="EW100" s="493">
        <v>5</v>
      </c>
      <c r="EX100" s="493">
        <v>2</v>
      </c>
      <c r="EY100" s="199"/>
      <c r="EZ100" s="491">
        <v>1</v>
      </c>
      <c r="FA100" s="492">
        <v>1</v>
      </c>
      <c r="FB100" s="492">
        <v>2</v>
      </c>
      <c r="FC100" s="492">
        <v>1</v>
      </c>
      <c r="FD100" s="493">
        <v>9</v>
      </c>
      <c r="FE100" s="493"/>
      <c r="FF100" s="493"/>
      <c r="FG100" s="493"/>
      <c r="FH100" s="199"/>
      <c r="FI100" s="491">
        <v>34</v>
      </c>
      <c r="FJ100" s="492">
        <v>29</v>
      </c>
      <c r="FK100" s="492">
        <v>31</v>
      </c>
      <c r="FL100" s="492">
        <v>16</v>
      </c>
      <c r="FM100" s="493">
        <v>27</v>
      </c>
      <c r="FN100" s="493">
        <v>14</v>
      </c>
      <c r="FO100" s="493">
        <v>13</v>
      </c>
      <c r="FP100" s="493">
        <v>10</v>
      </c>
      <c r="FQ100" s="199"/>
      <c r="FR100" s="491">
        <v>6</v>
      </c>
      <c r="FS100" s="492">
        <v>2</v>
      </c>
      <c r="FT100" s="492">
        <v>1</v>
      </c>
      <c r="FU100" s="492">
        <v>1</v>
      </c>
      <c r="FV100" s="493"/>
      <c r="FW100" s="493">
        <v>2</v>
      </c>
      <c r="FX100" s="493">
        <v>1</v>
      </c>
      <c r="FY100" s="493">
        <v>4</v>
      </c>
      <c r="FZ100" s="199"/>
      <c r="GA100" s="491">
        <v>5</v>
      </c>
      <c r="GB100" s="492">
        <v>3</v>
      </c>
      <c r="GC100" s="492">
        <v>3</v>
      </c>
      <c r="GD100" s="492">
        <v>2</v>
      </c>
      <c r="GE100" s="493">
        <v>6</v>
      </c>
      <c r="GF100" s="493">
        <v>3</v>
      </c>
      <c r="GG100" s="493">
        <v>1</v>
      </c>
      <c r="GH100" s="493">
        <v>1</v>
      </c>
      <c r="GI100" s="199"/>
      <c r="GJ100" s="491">
        <v>623</v>
      </c>
      <c r="GK100" s="492">
        <v>518</v>
      </c>
      <c r="GL100" s="492">
        <v>551</v>
      </c>
      <c r="GM100" s="492">
        <v>536</v>
      </c>
      <c r="GN100" s="493">
        <v>398</v>
      </c>
      <c r="GO100" s="493">
        <v>326</v>
      </c>
      <c r="GP100" s="493">
        <v>243</v>
      </c>
      <c r="GQ100" s="493">
        <v>160</v>
      </c>
      <c r="GR100" s="199"/>
      <c r="GS100" s="491">
        <v>215</v>
      </c>
      <c r="GT100" s="492">
        <v>185</v>
      </c>
      <c r="GU100" s="492">
        <v>163</v>
      </c>
      <c r="GV100" s="492">
        <v>116</v>
      </c>
      <c r="GW100" s="493">
        <v>72</v>
      </c>
      <c r="GX100" s="493">
        <v>50</v>
      </c>
      <c r="GY100" s="493">
        <v>28</v>
      </c>
      <c r="GZ100" s="493">
        <v>27</v>
      </c>
      <c r="HA100" s="199"/>
      <c r="HB100" s="491">
        <v>5</v>
      </c>
      <c r="HC100" s="492">
        <v>4</v>
      </c>
      <c r="HD100" s="492">
        <v>6</v>
      </c>
      <c r="HE100" s="492">
        <v>1</v>
      </c>
      <c r="HF100" s="493"/>
      <c r="HG100" s="493">
        <v>3</v>
      </c>
      <c r="HH100" s="493">
        <v>1</v>
      </c>
      <c r="HI100" s="493"/>
      <c r="HJ100" s="199"/>
      <c r="HK100" s="491"/>
      <c r="HL100" s="492">
        <v>2</v>
      </c>
      <c r="HM100" s="492"/>
      <c r="HN100" s="492">
        <v>1</v>
      </c>
      <c r="HO100" s="493">
        <v>2</v>
      </c>
      <c r="HP100" s="493"/>
      <c r="HQ100" s="493"/>
      <c r="HR100" s="493"/>
      <c r="HS100" s="199"/>
      <c r="HT100" s="491">
        <v>302</v>
      </c>
      <c r="HU100" s="492">
        <v>249</v>
      </c>
      <c r="HV100" s="492">
        <v>225</v>
      </c>
      <c r="HW100" s="492">
        <v>181</v>
      </c>
      <c r="HX100" s="493">
        <v>158</v>
      </c>
      <c r="HY100" s="493">
        <v>127</v>
      </c>
      <c r="HZ100" s="493">
        <v>123</v>
      </c>
      <c r="IA100" s="493">
        <v>142</v>
      </c>
      <c r="IB100" s="199"/>
      <c r="IC100" s="491">
        <v>1411</v>
      </c>
      <c r="ID100" s="492">
        <v>1065</v>
      </c>
      <c r="IE100" s="492">
        <v>1009</v>
      </c>
      <c r="IF100" s="492">
        <v>896</v>
      </c>
      <c r="IG100" s="493">
        <v>660</v>
      </c>
      <c r="IH100" s="493">
        <v>576</v>
      </c>
      <c r="II100" s="493">
        <v>490</v>
      </c>
      <c r="IJ100" s="493">
        <v>407</v>
      </c>
      <c r="IK100" s="199"/>
      <c r="IL100" s="491">
        <v>129</v>
      </c>
      <c r="IM100" s="492">
        <v>97</v>
      </c>
      <c r="IN100" s="492">
        <v>141</v>
      </c>
      <c r="IO100" s="492">
        <v>97</v>
      </c>
      <c r="IP100" s="493">
        <v>44</v>
      </c>
      <c r="IQ100" s="493">
        <v>75</v>
      </c>
      <c r="IR100" s="493">
        <v>64</v>
      </c>
      <c r="IS100" s="493">
        <v>29</v>
      </c>
      <c r="IT100" s="199"/>
      <c r="IU100" s="533">
        <v>3492.4878097076803</v>
      </c>
      <c r="IV100" s="534">
        <v>2633.400919835814</v>
      </c>
      <c r="IW100" s="534">
        <v>2503.2872702012055</v>
      </c>
      <c r="IX100" s="534">
        <v>2312.7355324970317</v>
      </c>
      <c r="IY100" s="535">
        <v>1708.6936260549887</v>
      </c>
      <c r="IZ100" s="535">
        <v>1493.5822637106185</v>
      </c>
      <c r="JA100" s="535">
        <v>1273.1240906256494</v>
      </c>
      <c r="JB100" s="535">
        <v>1058.6552217453507</v>
      </c>
      <c r="JC100" s="536"/>
      <c r="JD100" s="537">
        <v>747.50624984530077</v>
      </c>
      <c r="JE100" s="538">
        <v>615.69655308837343</v>
      </c>
      <c r="JF100" s="538">
        <v>558.2156945443719</v>
      </c>
      <c r="JG100" s="538">
        <v>467.19322698879768</v>
      </c>
      <c r="JH100" s="538">
        <v>409.0508983586185</v>
      </c>
      <c r="JI100" s="539">
        <v>329.31414495008426</v>
      </c>
      <c r="JJ100" s="539">
        <v>319.58012887133651</v>
      </c>
      <c r="JK100" s="539">
        <v>369.35882429444661</v>
      </c>
      <c r="JL100" s="536"/>
      <c r="JM100" s="537">
        <v>1542.0410385881537</v>
      </c>
      <c r="JN100" s="538">
        <v>1280.8466445774195</v>
      </c>
      <c r="JO100" s="538">
        <v>1367.0082119731064</v>
      </c>
      <c r="JP100" s="538">
        <v>1383.5114346187599</v>
      </c>
      <c r="JQ100" s="538">
        <v>1030.3940351058873</v>
      </c>
      <c r="JR100" s="539">
        <v>845.32607286399593</v>
      </c>
      <c r="JS100" s="539">
        <v>631.36562045312826</v>
      </c>
      <c r="JT100" s="539">
        <v>416.17895695148917</v>
      </c>
      <c r="JU100" s="536"/>
      <c r="JV100" s="537">
        <v>532.16504541966788</v>
      </c>
      <c r="JW100" s="538">
        <v>457.44523020622125</v>
      </c>
      <c r="JX100" s="538">
        <v>404.39625871436721</v>
      </c>
      <c r="JY100" s="538">
        <v>299.4166537607764</v>
      </c>
      <c r="JZ100" s="538">
        <v>186.40294102418062</v>
      </c>
      <c r="KA100" s="539">
        <v>129.65123816932453</v>
      </c>
      <c r="KB100" s="539">
        <v>72.749948035751402</v>
      </c>
      <c r="KC100" s="539">
        <v>70.230198985563788</v>
      </c>
      <c r="KD100" s="536"/>
    </row>
    <row r="101" spans="1:290" ht="15" customHeight="1" x14ac:dyDescent="0.2">
      <c r="A101" s="930"/>
      <c r="B101" s="490" t="s">
        <v>710</v>
      </c>
      <c r="C101" s="491">
        <v>1</v>
      </c>
      <c r="D101" s="492"/>
      <c r="E101" s="492">
        <v>2</v>
      </c>
      <c r="F101" s="492">
        <v>3</v>
      </c>
      <c r="G101" s="493">
        <v>2</v>
      </c>
      <c r="H101" s="493">
        <v>1</v>
      </c>
      <c r="I101" s="493">
        <v>2</v>
      </c>
      <c r="J101" s="493">
        <v>1</v>
      </c>
      <c r="K101" s="199"/>
      <c r="L101" s="491"/>
      <c r="M101" s="492"/>
      <c r="N101" s="492">
        <v>1</v>
      </c>
      <c r="O101" s="492">
        <v>1</v>
      </c>
      <c r="P101" s="493">
        <v>1</v>
      </c>
      <c r="Q101" s="493"/>
      <c r="R101" s="493">
        <v>1</v>
      </c>
      <c r="S101" s="493"/>
      <c r="T101" s="199"/>
      <c r="U101" s="491"/>
      <c r="V101" s="492"/>
      <c r="W101" s="492">
        <v>1</v>
      </c>
      <c r="X101" s="492">
        <v>1</v>
      </c>
      <c r="Y101" s="493">
        <v>1</v>
      </c>
      <c r="Z101" s="493">
        <v>1</v>
      </c>
      <c r="AA101" s="493">
        <v>1</v>
      </c>
      <c r="AB101" s="493"/>
      <c r="AC101" s="199"/>
      <c r="AD101" s="491">
        <v>97</v>
      </c>
      <c r="AE101" s="492">
        <v>66</v>
      </c>
      <c r="AF101" s="492">
        <v>64</v>
      </c>
      <c r="AG101" s="492">
        <v>65</v>
      </c>
      <c r="AH101" s="493">
        <v>59</v>
      </c>
      <c r="AI101" s="493">
        <v>62</v>
      </c>
      <c r="AJ101" s="493">
        <v>65</v>
      </c>
      <c r="AK101" s="493">
        <v>52</v>
      </c>
      <c r="AL101" s="199"/>
      <c r="AM101" s="491">
        <v>54</v>
      </c>
      <c r="AN101" s="492">
        <v>43</v>
      </c>
      <c r="AO101" s="492">
        <v>40</v>
      </c>
      <c r="AP101" s="492">
        <v>34</v>
      </c>
      <c r="AQ101" s="493">
        <v>29</v>
      </c>
      <c r="AR101" s="493">
        <v>38</v>
      </c>
      <c r="AS101" s="493">
        <v>37</v>
      </c>
      <c r="AT101" s="493">
        <v>35</v>
      </c>
      <c r="AU101" s="199"/>
      <c r="AV101" s="491"/>
      <c r="AW101" s="492"/>
      <c r="AX101" s="492"/>
      <c r="AY101" s="492"/>
      <c r="AZ101" s="493"/>
      <c r="BA101" s="493"/>
      <c r="BB101" s="493"/>
      <c r="BC101" s="493"/>
      <c r="BD101" s="199"/>
      <c r="BE101" s="491">
        <v>15</v>
      </c>
      <c r="BF101" s="492">
        <v>23</v>
      </c>
      <c r="BG101" s="492">
        <v>3</v>
      </c>
      <c r="BH101" s="492">
        <v>12</v>
      </c>
      <c r="BI101" s="493">
        <v>8</v>
      </c>
      <c r="BJ101" s="493">
        <v>12</v>
      </c>
      <c r="BK101" s="493">
        <v>9</v>
      </c>
      <c r="BL101" s="493">
        <v>3</v>
      </c>
      <c r="BM101" s="199"/>
      <c r="BN101" s="491"/>
      <c r="BO101" s="492"/>
      <c r="BP101" s="492"/>
      <c r="BQ101" s="492"/>
      <c r="BR101" s="493">
        <v>2</v>
      </c>
      <c r="BS101" s="493">
        <v>1</v>
      </c>
      <c r="BT101" s="493"/>
      <c r="BU101" s="493"/>
      <c r="BV101" s="199"/>
      <c r="BW101" s="491">
        <v>69</v>
      </c>
      <c r="BX101" s="492">
        <v>71</v>
      </c>
      <c r="BY101" s="492">
        <v>68</v>
      </c>
      <c r="BZ101" s="492">
        <v>77</v>
      </c>
      <c r="CA101" s="493">
        <v>68</v>
      </c>
      <c r="CB101" s="493">
        <v>59</v>
      </c>
      <c r="CC101" s="493">
        <v>48</v>
      </c>
      <c r="CD101" s="493">
        <v>32</v>
      </c>
      <c r="CE101" s="199"/>
      <c r="CF101" s="491">
        <v>9</v>
      </c>
      <c r="CG101" s="492">
        <v>4</v>
      </c>
      <c r="CH101" s="492">
        <v>5</v>
      </c>
      <c r="CI101" s="492">
        <v>6</v>
      </c>
      <c r="CJ101" s="493">
        <v>1</v>
      </c>
      <c r="CK101" s="493">
        <v>2</v>
      </c>
      <c r="CL101" s="493">
        <v>1</v>
      </c>
      <c r="CM101" s="493">
        <v>2</v>
      </c>
      <c r="CN101" s="199"/>
      <c r="CO101" s="491">
        <v>3</v>
      </c>
      <c r="CP101" s="492">
        <v>1</v>
      </c>
      <c r="CQ101" s="492">
        <v>1</v>
      </c>
      <c r="CR101" s="492">
        <v>4</v>
      </c>
      <c r="CS101" s="493">
        <v>2</v>
      </c>
      <c r="CT101" s="493"/>
      <c r="CU101" s="493">
        <v>6</v>
      </c>
      <c r="CV101" s="493">
        <v>2</v>
      </c>
      <c r="CW101" s="199"/>
      <c r="CX101" s="491">
        <v>830</v>
      </c>
      <c r="CY101" s="492">
        <v>905</v>
      </c>
      <c r="CZ101" s="492">
        <v>864</v>
      </c>
      <c r="DA101" s="492">
        <v>634</v>
      </c>
      <c r="DB101" s="493">
        <v>540</v>
      </c>
      <c r="DC101" s="493">
        <v>431</v>
      </c>
      <c r="DD101" s="493">
        <v>454</v>
      </c>
      <c r="DE101" s="493">
        <v>201</v>
      </c>
      <c r="DF101" s="199"/>
      <c r="DG101" s="491">
        <v>11</v>
      </c>
      <c r="DH101" s="492">
        <v>5</v>
      </c>
      <c r="DI101" s="492">
        <v>21</v>
      </c>
      <c r="DJ101" s="492">
        <v>8</v>
      </c>
      <c r="DK101" s="493">
        <v>6</v>
      </c>
      <c r="DL101" s="493">
        <v>6</v>
      </c>
      <c r="DM101" s="493">
        <v>5</v>
      </c>
      <c r="DN101" s="493">
        <v>1</v>
      </c>
      <c r="DO101" s="199"/>
      <c r="DP101" s="491">
        <v>37</v>
      </c>
      <c r="DQ101" s="492">
        <v>37</v>
      </c>
      <c r="DR101" s="492">
        <v>25</v>
      </c>
      <c r="DS101" s="492">
        <v>19</v>
      </c>
      <c r="DT101" s="493">
        <v>32</v>
      </c>
      <c r="DU101" s="493">
        <v>8</v>
      </c>
      <c r="DV101" s="493">
        <v>19</v>
      </c>
      <c r="DW101" s="493">
        <v>5</v>
      </c>
      <c r="DX101" s="199"/>
      <c r="DY101" s="491">
        <v>52</v>
      </c>
      <c r="DZ101" s="492">
        <v>77</v>
      </c>
      <c r="EA101" s="492">
        <v>81</v>
      </c>
      <c r="EB101" s="492">
        <v>80</v>
      </c>
      <c r="EC101" s="493">
        <v>102</v>
      </c>
      <c r="ED101" s="493">
        <v>74</v>
      </c>
      <c r="EE101" s="493">
        <v>68</v>
      </c>
      <c r="EF101" s="493">
        <v>21</v>
      </c>
      <c r="EG101" s="199"/>
      <c r="EH101" s="491">
        <v>19</v>
      </c>
      <c r="EI101" s="492">
        <v>15</v>
      </c>
      <c r="EJ101" s="492">
        <v>17</v>
      </c>
      <c r="EK101" s="492">
        <v>15</v>
      </c>
      <c r="EL101" s="493">
        <v>9</v>
      </c>
      <c r="EM101" s="493">
        <v>4</v>
      </c>
      <c r="EN101" s="493">
        <v>5</v>
      </c>
      <c r="EO101" s="493">
        <v>1</v>
      </c>
      <c r="EP101" s="199"/>
      <c r="EQ101" s="491">
        <v>2</v>
      </c>
      <c r="ER101" s="492">
        <v>3</v>
      </c>
      <c r="ES101" s="492">
        <v>1</v>
      </c>
      <c r="ET101" s="492">
        <v>2</v>
      </c>
      <c r="EU101" s="493">
        <v>2</v>
      </c>
      <c r="EV101" s="493">
        <v>5</v>
      </c>
      <c r="EW101" s="493">
        <v>2</v>
      </c>
      <c r="EX101" s="493">
        <v>4</v>
      </c>
      <c r="EY101" s="199"/>
      <c r="EZ101" s="491">
        <v>8</v>
      </c>
      <c r="FA101" s="492">
        <v>6</v>
      </c>
      <c r="FB101" s="492">
        <v>8</v>
      </c>
      <c r="FC101" s="492"/>
      <c r="FD101" s="493">
        <v>1</v>
      </c>
      <c r="FE101" s="493">
        <v>4</v>
      </c>
      <c r="FF101" s="493"/>
      <c r="FG101" s="493">
        <v>1</v>
      </c>
      <c r="FH101" s="199"/>
      <c r="FI101" s="491">
        <v>84</v>
      </c>
      <c r="FJ101" s="492">
        <v>87</v>
      </c>
      <c r="FK101" s="492">
        <v>59</v>
      </c>
      <c r="FL101" s="492">
        <v>40</v>
      </c>
      <c r="FM101" s="493">
        <v>21</v>
      </c>
      <c r="FN101" s="493">
        <v>40</v>
      </c>
      <c r="FO101" s="493">
        <v>25</v>
      </c>
      <c r="FP101" s="493">
        <v>27</v>
      </c>
      <c r="FQ101" s="199"/>
      <c r="FR101" s="491">
        <v>6</v>
      </c>
      <c r="FS101" s="492">
        <v>10</v>
      </c>
      <c r="FT101" s="492">
        <v>3</v>
      </c>
      <c r="FU101" s="492">
        <v>4</v>
      </c>
      <c r="FV101" s="493">
        <v>2</v>
      </c>
      <c r="FW101" s="493">
        <v>4</v>
      </c>
      <c r="FX101" s="493">
        <v>2</v>
      </c>
      <c r="FY101" s="493">
        <v>1</v>
      </c>
      <c r="FZ101" s="199"/>
      <c r="GA101" s="491">
        <v>13</v>
      </c>
      <c r="GB101" s="492">
        <v>12</v>
      </c>
      <c r="GC101" s="492">
        <v>8</v>
      </c>
      <c r="GD101" s="492">
        <v>4</v>
      </c>
      <c r="GE101" s="493">
        <v>5</v>
      </c>
      <c r="GF101" s="493">
        <v>4</v>
      </c>
      <c r="GG101" s="493">
        <v>5</v>
      </c>
      <c r="GH101" s="493">
        <v>8</v>
      </c>
      <c r="GI101" s="199"/>
      <c r="GJ101" s="491">
        <v>1156</v>
      </c>
      <c r="GK101" s="492">
        <v>1203</v>
      </c>
      <c r="GL101" s="492">
        <v>1103</v>
      </c>
      <c r="GM101" s="492">
        <v>866</v>
      </c>
      <c r="GN101" s="493">
        <v>722</v>
      </c>
      <c r="GO101" s="493">
        <v>629</v>
      </c>
      <c r="GP101" s="493">
        <v>624</v>
      </c>
      <c r="GQ101" s="493">
        <v>335</v>
      </c>
      <c r="GR101" s="199"/>
      <c r="GS101" s="491">
        <v>373</v>
      </c>
      <c r="GT101" s="492">
        <v>326</v>
      </c>
      <c r="GU101" s="492">
        <v>310</v>
      </c>
      <c r="GV101" s="492">
        <v>221</v>
      </c>
      <c r="GW101" s="493">
        <v>127</v>
      </c>
      <c r="GX101" s="493">
        <v>123</v>
      </c>
      <c r="GY101" s="493">
        <v>114</v>
      </c>
      <c r="GZ101" s="493">
        <v>94</v>
      </c>
      <c r="HA101" s="199"/>
      <c r="HB101" s="491">
        <v>11</v>
      </c>
      <c r="HC101" s="492">
        <v>5</v>
      </c>
      <c r="HD101" s="492">
        <v>6</v>
      </c>
      <c r="HE101" s="492">
        <v>1</v>
      </c>
      <c r="HF101" s="493">
        <v>6</v>
      </c>
      <c r="HG101" s="493">
        <v>6</v>
      </c>
      <c r="HH101" s="493">
        <v>2</v>
      </c>
      <c r="HI101" s="493">
        <v>1</v>
      </c>
      <c r="HJ101" s="199"/>
      <c r="HK101" s="491">
        <v>1</v>
      </c>
      <c r="HL101" s="492"/>
      <c r="HM101" s="492"/>
      <c r="HN101" s="492"/>
      <c r="HO101" s="493">
        <v>1</v>
      </c>
      <c r="HP101" s="493">
        <v>1</v>
      </c>
      <c r="HQ101" s="493"/>
      <c r="HR101" s="493">
        <v>1</v>
      </c>
      <c r="HS101" s="199"/>
      <c r="HT101" s="491">
        <v>593</v>
      </c>
      <c r="HU101" s="492">
        <v>485</v>
      </c>
      <c r="HV101" s="492">
        <v>443</v>
      </c>
      <c r="HW101" s="492">
        <v>338</v>
      </c>
      <c r="HX101" s="493">
        <v>290</v>
      </c>
      <c r="HY101" s="493">
        <v>295</v>
      </c>
      <c r="HZ101" s="493">
        <v>285</v>
      </c>
      <c r="IA101" s="493">
        <v>287</v>
      </c>
      <c r="IB101" s="199"/>
      <c r="IC101" s="491">
        <v>2900</v>
      </c>
      <c r="ID101" s="492">
        <v>2373</v>
      </c>
      <c r="IE101" s="492">
        <v>2445</v>
      </c>
      <c r="IF101" s="492">
        <v>1402</v>
      </c>
      <c r="IG101" s="493">
        <v>1835</v>
      </c>
      <c r="IH101" s="493">
        <v>1109</v>
      </c>
      <c r="II101" s="493">
        <v>1167</v>
      </c>
      <c r="IJ101" s="493">
        <v>818</v>
      </c>
      <c r="IK101" s="199"/>
      <c r="IL101" s="491">
        <v>202</v>
      </c>
      <c r="IM101" s="492">
        <v>266</v>
      </c>
      <c r="IN101" s="492">
        <v>226</v>
      </c>
      <c r="IO101" s="492">
        <v>168</v>
      </c>
      <c r="IP101" s="493">
        <v>74</v>
      </c>
      <c r="IQ101" s="493">
        <v>139</v>
      </c>
      <c r="IR101" s="493">
        <v>115</v>
      </c>
      <c r="IS101" s="493">
        <v>42</v>
      </c>
      <c r="IT101" s="199"/>
      <c r="IU101" s="533">
        <v>5123.9464989310391</v>
      </c>
      <c r="IV101" s="534">
        <v>4205.4335690360995</v>
      </c>
      <c r="IW101" s="534">
        <v>4360.8539782759917</v>
      </c>
      <c r="IX101" s="534">
        <v>2593.8465523302066</v>
      </c>
      <c r="IY101" s="535">
        <v>3412.4297987875184</v>
      </c>
      <c r="IZ101" s="535">
        <v>2085.723420661639</v>
      </c>
      <c r="JA101" s="535">
        <v>2203.5914575426273</v>
      </c>
      <c r="JB101" s="535">
        <v>1544.1537357949182</v>
      </c>
      <c r="JC101" s="536"/>
      <c r="JD101" s="537">
        <v>1047.7587151262435</v>
      </c>
      <c r="JE101" s="538">
        <v>859.5176068194304</v>
      </c>
      <c r="JF101" s="538">
        <v>790.12609913139636</v>
      </c>
      <c r="JG101" s="538">
        <v>625.33533144622675</v>
      </c>
      <c r="JH101" s="538">
        <v>539.29408264216909</v>
      </c>
      <c r="JI101" s="539">
        <v>554.81371424272629</v>
      </c>
      <c r="JJ101" s="539">
        <v>538.15215544100158</v>
      </c>
      <c r="JK101" s="539">
        <v>541.77521048061317</v>
      </c>
      <c r="JL101" s="536"/>
      <c r="JM101" s="537">
        <v>2042.5110871600968</v>
      </c>
      <c r="JN101" s="538">
        <v>2131.9581051624223</v>
      </c>
      <c r="JO101" s="538">
        <v>1967.2891362120322</v>
      </c>
      <c r="JP101" s="538">
        <v>1602.1905237645926</v>
      </c>
      <c r="JQ101" s="538">
        <v>1342.6563023022279</v>
      </c>
      <c r="JR101" s="539">
        <v>1182.9756822327961</v>
      </c>
      <c r="JS101" s="539">
        <v>1178.2699824392455</v>
      </c>
      <c r="JT101" s="539">
        <v>632.38569864461806</v>
      </c>
      <c r="JU101" s="536"/>
      <c r="JV101" s="537">
        <v>659.04553244871636</v>
      </c>
      <c r="JW101" s="538">
        <v>577.73760788275115</v>
      </c>
      <c r="JX101" s="538">
        <v>552.90991135605611</v>
      </c>
      <c r="JY101" s="538">
        <v>408.87310133022515</v>
      </c>
      <c r="JZ101" s="538">
        <v>236.17361550191544</v>
      </c>
      <c r="KA101" s="539">
        <v>231.32910797239097</v>
      </c>
      <c r="KB101" s="539">
        <v>215.26086217640059</v>
      </c>
      <c r="KC101" s="539">
        <v>177.44553932117643</v>
      </c>
      <c r="KD101" s="536"/>
    </row>
    <row r="102" spans="1:290" ht="15" customHeight="1" thickBot="1" x14ac:dyDescent="0.25">
      <c r="A102" s="930"/>
      <c r="B102" s="494" t="s">
        <v>711</v>
      </c>
      <c r="C102" s="495"/>
      <c r="D102" s="496"/>
      <c r="E102" s="496">
        <v>1</v>
      </c>
      <c r="F102" s="496"/>
      <c r="G102" s="497"/>
      <c r="H102" s="497"/>
      <c r="I102" s="497"/>
      <c r="J102" s="497"/>
      <c r="K102" s="199"/>
      <c r="L102" s="495"/>
      <c r="M102" s="496"/>
      <c r="N102" s="496">
        <v>1</v>
      </c>
      <c r="O102" s="496"/>
      <c r="P102" s="497"/>
      <c r="Q102" s="497"/>
      <c r="R102" s="497"/>
      <c r="S102" s="497"/>
      <c r="T102" s="199"/>
      <c r="U102" s="495"/>
      <c r="V102" s="496"/>
      <c r="W102" s="496"/>
      <c r="X102" s="496"/>
      <c r="Y102" s="497"/>
      <c r="Z102" s="497"/>
      <c r="AA102" s="497"/>
      <c r="AB102" s="497"/>
      <c r="AC102" s="199"/>
      <c r="AD102" s="495">
        <v>25</v>
      </c>
      <c r="AE102" s="496">
        <v>19</v>
      </c>
      <c r="AF102" s="496">
        <v>25</v>
      </c>
      <c r="AG102" s="496">
        <v>21</v>
      </c>
      <c r="AH102" s="497">
        <v>13</v>
      </c>
      <c r="AI102" s="497">
        <v>22</v>
      </c>
      <c r="AJ102" s="497">
        <v>16</v>
      </c>
      <c r="AK102" s="497">
        <v>25</v>
      </c>
      <c r="AL102" s="199"/>
      <c r="AM102" s="495">
        <v>19</v>
      </c>
      <c r="AN102" s="496">
        <v>14</v>
      </c>
      <c r="AO102" s="496">
        <v>15</v>
      </c>
      <c r="AP102" s="496">
        <v>8</v>
      </c>
      <c r="AQ102" s="497">
        <v>7</v>
      </c>
      <c r="AR102" s="497">
        <v>10</v>
      </c>
      <c r="AS102" s="497">
        <v>8</v>
      </c>
      <c r="AT102" s="497">
        <v>14</v>
      </c>
      <c r="AU102" s="199"/>
      <c r="AV102" s="495"/>
      <c r="AW102" s="496"/>
      <c r="AX102" s="496"/>
      <c r="AY102" s="496"/>
      <c r="AZ102" s="497"/>
      <c r="BA102" s="497"/>
      <c r="BB102" s="497"/>
      <c r="BC102" s="497"/>
      <c r="BD102" s="199"/>
      <c r="BE102" s="495">
        <v>6</v>
      </c>
      <c r="BF102" s="496">
        <v>6</v>
      </c>
      <c r="BG102" s="496">
        <v>4</v>
      </c>
      <c r="BH102" s="496">
        <v>4</v>
      </c>
      <c r="BI102" s="497"/>
      <c r="BJ102" s="497"/>
      <c r="BK102" s="497">
        <v>4</v>
      </c>
      <c r="BL102" s="497">
        <v>5</v>
      </c>
      <c r="BM102" s="199"/>
      <c r="BN102" s="495"/>
      <c r="BO102" s="496"/>
      <c r="BP102" s="496"/>
      <c r="BQ102" s="496"/>
      <c r="BR102" s="497"/>
      <c r="BS102" s="497"/>
      <c r="BT102" s="497"/>
      <c r="BU102" s="497">
        <v>1</v>
      </c>
      <c r="BV102" s="199"/>
      <c r="BW102" s="495">
        <v>5</v>
      </c>
      <c r="BX102" s="496">
        <v>7</v>
      </c>
      <c r="BY102" s="496">
        <v>14</v>
      </c>
      <c r="BZ102" s="496">
        <v>15</v>
      </c>
      <c r="CA102" s="497">
        <v>14</v>
      </c>
      <c r="CB102" s="497">
        <v>14</v>
      </c>
      <c r="CC102" s="497">
        <v>7</v>
      </c>
      <c r="CD102" s="497">
        <v>6</v>
      </c>
      <c r="CE102" s="199"/>
      <c r="CF102" s="495">
        <v>1</v>
      </c>
      <c r="CG102" s="496"/>
      <c r="CH102" s="496"/>
      <c r="CI102" s="496"/>
      <c r="CJ102" s="497"/>
      <c r="CK102" s="497"/>
      <c r="CL102" s="497">
        <v>1</v>
      </c>
      <c r="CM102" s="497">
        <v>1</v>
      </c>
      <c r="CN102" s="199"/>
      <c r="CO102" s="495">
        <v>2</v>
      </c>
      <c r="CP102" s="496"/>
      <c r="CQ102" s="496"/>
      <c r="CR102" s="496">
        <v>1</v>
      </c>
      <c r="CS102" s="497">
        <v>4</v>
      </c>
      <c r="CT102" s="497">
        <v>2</v>
      </c>
      <c r="CU102" s="497">
        <v>2</v>
      </c>
      <c r="CV102" s="497">
        <v>1</v>
      </c>
      <c r="CW102" s="199"/>
      <c r="CX102" s="495">
        <v>291</v>
      </c>
      <c r="CY102" s="496">
        <v>229</v>
      </c>
      <c r="CZ102" s="496">
        <v>241</v>
      </c>
      <c r="DA102" s="496">
        <v>164</v>
      </c>
      <c r="DB102" s="497">
        <v>94</v>
      </c>
      <c r="DC102" s="497">
        <v>82</v>
      </c>
      <c r="DD102" s="497">
        <v>79</v>
      </c>
      <c r="DE102" s="497">
        <v>46</v>
      </c>
      <c r="DF102" s="199"/>
      <c r="DG102" s="495"/>
      <c r="DH102" s="496">
        <v>1</v>
      </c>
      <c r="DI102" s="496">
        <v>1</v>
      </c>
      <c r="DJ102" s="496"/>
      <c r="DK102" s="497"/>
      <c r="DL102" s="497"/>
      <c r="DM102" s="497"/>
      <c r="DN102" s="497"/>
      <c r="DO102" s="199"/>
      <c r="DP102" s="495">
        <v>8</v>
      </c>
      <c r="DQ102" s="496">
        <v>5</v>
      </c>
      <c r="DR102" s="496">
        <v>5</v>
      </c>
      <c r="DS102" s="496">
        <v>5</v>
      </c>
      <c r="DT102" s="497"/>
      <c r="DU102" s="497">
        <v>2</v>
      </c>
      <c r="DV102" s="497">
        <v>1</v>
      </c>
      <c r="DW102" s="497">
        <v>1</v>
      </c>
      <c r="DX102" s="199"/>
      <c r="DY102" s="495">
        <v>19</v>
      </c>
      <c r="DZ102" s="496">
        <v>10</v>
      </c>
      <c r="EA102" s="496">
        <v>28</v>
      </c>
      <c r="EB102" s="496">
        <v>18</v>
      </c>
      <c r="EC102" s="497">
        <v>10</v>
      </c>
      <c r="ED102" s="497">
        <v>9</v>
      </c>
      <c r="EE102" s="497">
        <v>14</v>
      </c>
      <c r="EF102" s="497">
        <v>10</v>
      </c>
      <c r="EG102" s="199"/>
      <c r="EH102" s="495">
        <v>3</v>
      </c>
      <c r="EI102" s="496">
        <v>2</v>
      </c>
      <c r="EJ102" s="496">
        <v>3</v>
      </c>
      <c r="EK102" s="496">
        <v>3</v>
      </c>
      <c r="EL102" s="497">
        <v>1</v>
      </c>
      <c r="EM102" s="497"/>
      <c r="EN102" s="497"/>
      <c r="EO102" s="497"/>
      <c r="EP102" s="199"/>
      <c r="EQ102" s="495"/>
      <c r="ER102" s="496"/>
      <c r="ES102" s="496"/>
      <c r="ET102" s="496">
        <v>1</v>
      </c>
      <c r="EU102" s="497">
        <v>1</v>
      </c>
      <c r="EV102" s="497"/>
      <c r="EW102" s="497">
        <v>1</v>
      </c>
      <c r="EX102" s="497">
        <v>1</v>
      </c>
      <c r="EY102" s="199"/>
      <c r="EZ102" s="495">
        <v>2</v>
      </c>
      <c r="FA102" s="496"/>
      <c r="FB102" s="496">
        <v>2</v>
      </c>
      <c r="FC102" s="496"/>
      <c r="FD102" s="497">
        <v>1</v>
      </c>
      <c r="FE102" s="497">
        <v>2</v>
      </c>
      <c r="FF102" s="497"/>
      <c r="FG102" s="497"/>
      <c r="FH102" s="199"/>
      <c r="FI102" s="495">
        <v>14</v>
      </c>
      <c r="FJ102" s="496">
        <v>11</v>
      </c>
      <c r="FK102" s="496">
        <v>11</v>
      </c>
      <c r="FL102" s="496">
        <v>5</v>
      </c>
      <c r="FM102" s="497">
        <v>6</v>
      </c>
      <c r="FN102" s="497">
        <v>3</v>
      </c>
      <c r="FO102" s="497">
        <v>4</v>
      </c>
      <c r="FP102" s="497">
        <v>5</v>
      </c>
      <c r="FQ102" s="199"/>
      <c r="FR102" s="495">
        <v>2</v>
      </c>
      <c r="FS102" s="496">
        <v>2</v>
      </c>
      <c r="FT102" s="496">
        <v>1</v>
      </c>
      <c r="FU102" s="496"/>
      <c r="FV102" s="497">
        <v>1</v>
      </c>
      <c r="FW102" s="497"/>
      <c r="FX102" s="497"/>
      <c r="FY102" s="497"/>
      <c r="FZ102" s="199"/>
      <c r="GA102" s="495">
        <v>2</v>
      </c>
      <c r="GB102" s="496">
        <v>3</v>
      </c>
      <c r="GC102" s="496">
        <v>1</v>
      </c>
      <c r="GD102" s="496">
        <v>3</v>
      </c>
      <c r="GE102" s="497"/>
      <c r="GF102" s="497">
        <v>1</v>
      </c>
      <c r="GG102" s="497">
        <v>2</v>
      </c>
      <c r="GH102" s="497">
        <v>6</v>
      </c>
      <c r="GI102" s="199"/>
      <c r="GJ102" s="495">
        <v>353</v>
      </c>
      <c r="GK102" s="496">
        <v>279</v>
      </c>
      <c r="GL102" s="496">
        <v>303</v>
      </c>
      <c r="GM102" s="496">
        <v>217</v>
      </c>
      <c r="GN102" s="497">
        <v>135</v>
      </c>
      <c r="GO102" s="497">
        <v>126</v>
      </c>
      <c r="GP102" s="497">
        <v>116</v>
      </c>
      <c r="GQ102" s="497">
        <v>97</v>
      </c>
      <c r="GR102" s="199"/>
      <c r="GS102" s="495">
        <v>82</v>
      </c>
      <c r="GT102" s="496">
        <v>76</v>
      </c>
      <c r="GU102" s="496">
        <v>77</v>
      </c>
      <c r="GV102" s="496">
        <v>44</v>
      </c>
      <c r="GW102" s="497">
        <v>19</v>
      </c>
      <c r="GX102" s="497">
        <v>22</v>
      </c>
      <c r="GY102" s="497">
        <v>19</v>
      </c>
      <c r="GZ102" s="497">
        <v>18</v>
      </c>
      <c r="HA102" s="199"/>
      <c r="HB102" s="495"/>
      <c r="HC102" s="496">
        <v>1</v>
      </c>
      <c r="HD102" s="496">
        <v>3</v>
      </c>
      <c r="HE102" s="496"/>
      <c r="HF102" s="497">
        <v>1</v>
      </c>
      <c r="HG102" s="497">
        <v>1</v>
      </c>
      <c r="HH102" s="497">
        <v>1</v>
      </c>
      <c r="HI102" s="497"/>
      <c r="HJ102" s="199"/>
      <c r="HK102" s="495">
        <v>1</v>
      </c>
      <c r="HL102" s="496">
        <v>1</v>
      </c>
      <c r="HM102" s="496"/>
      <c r="HN102" s="496">
        <v>1</v>
      </c>
      <c r="HO102" s="497">
        <v>1</v>
      </c>
      <c r="HP102" s="497">
        <v>3</v>
      </c>
      <c r="HQ102" s="497">
        <v>1</v>
      </c>
      <c r="HR102" s="497">
        <v>1</v>
      </c>
      <c r="HS102" s="199"/>
      <c r="HT102" s="495">
        <v>138</v>
      </c>
      <c r="HU102" s="496">
        <v>112</v>
      </c>
      <c r="HV102" s="496">
        <v>125</v>
      </c>
      <c r="HW102" s="496">
        <v>85</v>
      </c>
      <c r="HX102" s="497">
        <v>50</v>
      </c>
      <c r="HY102" s="497">
        <v>59</v>
      </c>
      <c r="HZ102" s="497">
        <v>73</v>
      </c>
      <c r="IA102" s="497">
        <v>63</v>
      </c>
      <c r="IB102" s="199"/>
      <c r="IC102" s="495">
        <v>665</v>
      </c>
      <c r="ID102" s="496">
        <v>444</v>
      </c>
      <c r="IE102" s="496">
        <v>515</v>
      </c>
      <c r="IF102" s="496">
        <v>395</v>
      </c>
      <c r="IG102" s="497">
        <v>281</v>
      </c>
      <c r="IH102" s="497">
        <v>235</v>
      </c>
      <c r="II102" s="497">
        <v>248</v>
      </c>
      <c r="IJ102" s="497">
        <v>234</v>
      </c>
      <c r="IK102" s="199"/>
      <c r="IL102" s="495">
        <v>123</v>
      </c>
      <c r="IM102" s="496">
        <v>86</v>
      </c>
      <c r="IN102" s="496">
        <v>62</v>
      </c>
      <c r="IO102" s="496">
        <v>47</v>
      </c>
      <c r="IP102" s="497">
        <v>16</v>
      </c>
      <c r="IQ102" s="497">
        <v>19</v>
      </c>
      <c r="IR102" s="497">
        <v>23</v>
      </c>
      <c r="IS102" s="497">
        <v>21</v>
      </c>
      <c r="IT102" s="199"/>
      <c r="IU102" s="540">
        <v>3620.4268292682923</v>
      </c>
      <c r="IV102" s="541">
        <v>2448.1693868548741</v>
      </c>
      <c r="IW102" s="541">
        <v>2851.290001107297</v>
      </c>
      <c r="IX102" s="541">
        <v>2152.1194290073008</v>
      </c>
      <c r="IY102" s="542">
        <v>1543.2776801405976</v>
      </c>
      <c r="IZ102" s="542">
        <v>1307.0555013374455</v>
      </c>
      <c r="JA102" s="542">
        <v>1250.7565059511801</v>
      </c>
      <c r="JB102" s="542">
        <v>1184.7501392334566</v>
      </c>
      <c r="JC102" s="536"/>
      <c r="JD102" s="537">
        <v>751.30662020905925</v>
      </c>
      <c r="JE102" s="538">
        <v>617.55624172915748</v>
      </c>
      <c r="JF102" s="538">
        <v>692.06067988041195</v>
      </c>
      <c r="JG102" s="538">
        <v>463.11430750790021</v>
      </c>
      <c r="JH102" s="538">
        <v>274.60456942003515</v>
      </c>
      <c r="JI102" s="539">
        <v>312.21052486318905</v>
      </c>
      <c r="JJ102" s="539">
        <v>368.16622957433935</v>
      </c>
      <c r="JK102" s="539">
        <v>318.97119133208446</v>
      </c>
      <c r="JL102" s="536"/>
      <c r="JM102" s="537">
        <v>1921.8205574912893</v>
      </c>
      <c r="JN102" s="538">
        <v>1538.3767093074548</v>
      </c>
      <c r="JO102" s="538">
        <v>1677.5550880301187</v>
      </c>
      <c r="JP102" s="538">
        <v>1182.3035850495805</v>
      </c>
      <c r="JQ102" s="538">
        <v>741.43233743409496</v>
      </c>
      <c r="JR102" s="539">
        <v>715.8368625205909</v>
      </c>
      <c r="JS102" s="539">
        <v>585.03126891264878</v>
      </c>
      <c r="JT102" s="539">
        <v>491.11437395574904</v>
      </c>
      <c r="JU102" s="536"/>
      <c r="JV102" s="537">
        <v>446.42857142857139</v>
      </c>
      <c r="JW102" s="538">
        <v>419.05602117335684</v>
      </c>
      <c r="JX102" s="538">
        <v>426.30937880633377</v>
      </c>
      <c r="JY102" s="538">
        <v>239.72975918056011</v>
      </c>
      <c r="JZ102" s="538">
        <v>104.34973637961336</v>
      </c>
      <c r="KA102" s="539">
        <v>112.62882714740093</v>
      </c>
      <c r="KB102" s="539">
        <v>95.824087149485578</v>
      </c>
      <c r="KC102" s="539">
        <v>91.13462609488127</v>
      </c>
      <c r="KD102" s="536"/>
    </row>
    <row r="103" spans="1:290" ht="15" customHeight="1" thickBot="1" x14ac:dyDescent="0.25">
      <c r="A103" s="931"/>
      <c r="B103" s="508" t="s">
        <v>776</v>
      </c>
      <c r="C103" s="500">
        <v>14</v>
      </c>
      <c r="D103" s="501">
        <v>8</v>
      </c>
      <c r="E103" s="501">
        <v>11</v>
      </c>
      <c r="F103" s="501">
        <v>7</v>
      </c>
      <c r="G103" s="502">
        <v>6</v>
      </c>
      <c r="H103" s="502">
        <v>13</v>
      </c>
      <c r="I103" s="502">
        <v>13</v>
      </c>
      <c r="J103" s="502">
        <v>6</v>
      </c>
      <c r="K103" s="503"/>
      <c r="L103" s="500">
        <v>7</v>
      </c>
      <c r="M103" s="501">
        <v>2</v>
      </c>
      <c r="N103" s="501">
        <v>6</v>
      </c>
      <c r="O103" s="501">
        <v>3</v>
      </c>
      <c r="P103" s="502">
        <v>2</v>
      </c>
      <c r="Q103" s="502">
        <v>8</v>
      </c>
      <c r="R103" s="502">
        <v>5</v>
      </c>
      <c r="S103" s="502">
        <v>2</v>
      </c>
      <c r="T103" s="503"/>
      <c r="U103" s="500">
        <v>4</v>
      </c>
      <c r="V103" s="501">
        <v>6</v>
      </c>
      <c r="W103" s="501">
        <v>4</v>
      </c>
      <c r="X103" s="501">
        <v>3</v>
      </c>
      <c r="Y103" s="502">
        <v>4</v>
      </c>
      <c r="Z103" s="502">
        <v>2</v>
      </c>
      <c r="AA103" s="502">
        <v>7</v>
      </c>
      <c r="AB103" s="502">
        <v>3</v>
      </c>
      <c r="AC103" s="503"/>
      <c r="AD103" s="500">
        <v>376</v>
      </c>
      <c r="AE103" s="501">
        <v>327</v>
      </c>
      <c r="AF103" s="501">
        <v>343</v>
      </c>
      <c r="AG103" s="501">
        <v>342</v>
      </c>
      <c r="AH103" s="502">
        <v>339</v>
      </c>
      <c r="AI103" s="502">
        <v>288</v>
      </c>
      <c r="AJ103" s="502">
        <v>281</v>
      </c>
      <c r="AK103" s="502">
        <v>265</v>
      </c>
      <c r="AL103" s="503"/>
      <c r="AM103" s="500">
        <v>228</v>
      </c>
      <c r="AN103" s="501">
        <v>197</v>
      </c>
      <c r="AO103" s="501">
        <v>211</v>
      </c>
      <c r="AP103" s="501">
        <v>206</v>
      </c>
      <c r="AQ103" s="502">
        <v>190</v>
      </c>
      <c r="AR103" s="502">
        <v>165</v>
      </c>
      <c r="AS103" s="502">
        <v>174</v>
      </c>
      <c r="AT103" s="502">
        <v>158</v>
      </c>
      <c r="AU103" s="503"/>
      <c r="AV103" s="500">
        <v>2</v>
      </c>
      <c r="AW103" s="501">
        <v>2</v>
      </c>
      <c r="AX103" s="501"/>
      <c r="AY103" s="501">
        <v>2</v>
      </c>
      <c r="AZ103" s="502"/>
      <c r="BA103" s="502"/>
      <c r="BB103" s="502"/>
      <c r="BC103" s="502"/>
      <c r="BD103" s="503"/>
      <c r="BE103" s="500">
        <v>106</v>
      </c>
      <c r="BF103" s="501">
        <v>101</v>
      </c>
      <c r="BG103" s="501">
        <v>59</v>
      </c>
      <c r="BH103" s="501">
        <v>51</v>
      </c>
      <c r="BI103" s="502">
        <v>35</v>
      </c>
      <c r="BJ103" s="502">
        <v>20</v>
      </c>
      <c r="BK103" s="502">
        <v>35</v>
      </c>
      <c r="BL103" s="502">
        <v>26</v>
      </c>
      <c r="BM103" s="503"/>
      <c r="BN103" s="500"/>
      <c r="BO103" s="501">
        <v>4</v>
      </c>
      <c r="BP103" s="501">
        <v>16</v>
      </c>
      <c r="BQ103" s="501">
        <v>6</v>
      </c>
      <c r="BR103" s="502">
        <v>36</v>
      </c>
      <c r="BS103" s="502">
        <v>61</v>
      </c>
      <c r="BT103" s="502">
        <v>12</v>
      </c>
      <c r="BU103" s="502">
        <v>10</v>
      </c>
      <c r="BV103" s="503"/>
      <c r="BW103" s="500">
        <v>201</v>
      </c>
      <c r="BX103" s="501">
        <v>265</v>
      </c>
      <c r="BY103" s="501">
        <v>269</v>
      </c>
      <c r="BZ103" s="501">
        <v>267</v>
      </c>
      <c r="CA103" s="502">
        <v>264</v>
      </c>
      <c r="CB103" s="502">
        <v>188</v>
      </c>
      <c r="CC103" s="502">
        <v>148</v>
      </c>
      <c r="CD103" s="502">
        <v>111</v>
      </c>
      <c r="CE103" s="503"/>
      <c r="CF103" s="500">
        <v>30</v>
      </c>
      <c r="CG103" s="501">
        <v>21</v>
      </c>
      <c r="CH103" s="501">
        <v>29</v>
      </c>
      <c r="CI103" s="501">
        <v>15</v>
      </c>
      <c r="CJ103" s="502">
        <v>7</v>
      </c>
      <c r="CK103" s="502">
        <v>10</v>
      </c>
      <c r="CL103" s="502">
        <v>7</v>
      </c>
      <c r="CM103" s="502">
        <v>8</v>
      </c>
      <c r="CN103" s="503"/>
      <c r="CO103" s="500">
        <v>19</v>
      </c>
      <c r="CP103" s="501">
        <v>17</v>
      </c>
      <c r="CQ103" s="501">
        <v>31</v>
      </c>
      <c r="CR103" s="501">
        <v>8</v>
      </c>
      <c r="CS103" s="502">
        <v>18</v>
      </c>
      <c r="CT103" s="502">
        <v>6</v>
      </c>
      <c r="CU103" s="502">
        <v>30</v>
      </c>
      <c r="CV103" s="502">
        <v>23</v>
      </c>
      <c r="CW103" s="503"/>
      <c r="CX103" s="500">
        <v>4827</v>
      </c>
      <c r="CY103" s="501">
        <v>4486</v>
      </c>
      <c r="CZ103" s="501">
        <v>4413</v>
      </c>
      <c r="DA103" s="501">
        <v>3455</v>
      </c>
      <c r="DB103" s="502">
        <v>2747</v>
      </c>
      <c r="DC103" s="502">
        <v>2161</v>
      </c>
      <c r="DD103" s="502">
        <v>1913</v>
      </c>
      <c r="DE103" s="502">
        <v>1226</v>
      </c>
      <c r="DF103" s="503"/>
      <c r="DG103" s="500">
        <v>60</v>
      </c>
      <c r="DH103" s="501">
        <v>54</v>
      </c>
      <c r="DI103" s="501">
        <v>62</v>
      </c>
      <c r="DJ103" s="501">
        <v>68</v>
      </c>
      <c r="DK103" s="502">
        <v>32</v>
      </c>
      <c r="DL103" s="502">
        <v>17</v>
      </c>
      <c r="DM103" s="502">
        <v>13</v>
      </c>
      <c r="DN103" s="502">
        <v>10</v>
      </c>
      <c r="DO103" s="503"/>
      <c r="DP103" s="500">
        <v>225</v>
      </c>
      <c r="DQ103" s="501">
        <v>250</v>
      </c>
      <c r="DR103" s="501">
        <v>175</v>
      </c>
      <c r="DS103" s="501">
        <v>109</v>
      </c>
      <c r="DT103" s="502">
        <v>90</v>
      </c>
      <c r="DU103" s="502">
        <v>55</v>
      </c>
      <c r="DV103" s="502">
        <v>65</v>
      </c>
      <c r="DW103" s="502">
        <v>31</v>
      </c>
      <c r="DX103" s="503"/>
      <c r="DY103" s="500">
        <v>415</v>
      </c>
      <c r="DZ103" s="501">
        <v>338</v>
      </c>
      <c r="EA103" s="501">
        <v>387</v>
      </c>
      <c r="EB103" s="501">
        <v>418</v>
      </c>
      <c r="EC103" s="502">
        <v>500</v>
      </c>
      <c r="ED103" s="502">
        <v>349</v>
      </c>
      <c r="EE103" s="502">
        <v>324</v>
      </c>
      <c r="EF103" s="502">
        <v>171</v>
      </c>
      <c r="EG103" s="503"/>
      <c r="EH103" s="500">
        <v>106</v>
      </c>
      <c r="EI103" s="501">
        <v>68</v>
      </c>
      <c r="EJ103" s="501">
        <v>86</v>
      </c>
      <c r="EK103" s="501">
        <v>42</v>
      </c>
      <c r="EL103" s="502">
        <v>37</v>
      </c>
      <c r="EM103" s="502">
        <v>17</v>
      </c>
      <c r="EN103" s="502">
        <v>17</v>
      </c>
      <c r="EO103" s="502">
        <v>16</v>
      </c>
      <c r="EP103" s="503"/>
      <c r="EQ103" s="500">
        <v>8</v>
      </c>
      <c r="ER103" s="501">
        <v>17</v>
      </c>
      <c r="ES103" s="501">
        <v>16</v>
      </c>
      <c r="ET103" s="501">
        <v>48</v>
      </c>
      <c r="EU103" s="502">
        <v>34</v>
      </c>
      <c r="EV103" s="502">
        <v>30</v>
      </c>
      <c r="EW103" s="502">
        <v>29</v>
      </c>
      <c r="EX103" s="502">
        <v>30</v>
      </c>
      <c r="EY103" s="503"/>
      <c r="EZ103" s="500">
        <v>23</v>
      </c>
      <c r="FA103" s="501">
        <v>28</v>
      </c>
      <c r="FB103" s="501">
        <v>25</v>
      </c>
      <c r="FC103" s="501">
        <v>6</v>
      </c>
      <c r="FD103" s="502">
        <v>20</v>
      </c>
      <c r="FE103" s="502">
        <v>13</v>
      </c>
      <c r="FF103" s="502">
        <v>1</v>
      </c>
      <c r="FG103" s="502">
        <v>8</v>
      </c>
      <c r="FH103" s="503"/>
      <c r="FI103" s="500">
        <v>404</v>
      </c>
      <c r="FJ103" s="501">
        <v>410</v>
      </c>
      <c r="FK103" s="501">
        <v>304</v>
      </c>
      <c r="FL103" s="501">
        <v>171</v>
      </c>
      <c r="FM103" s="502">
        <v>159</v>
      </c>
      <c r="FN103" s="502">
        <v>135</v>
      </c>
      <c r="FO103" s="502">
        <v>150</v>
      </c>
      <c r="FP103" s="502">
        <v>151</v>
      </c>
      <c r="FQ103" s="503"/>
      <c r="FR103" s="500">
        <v>43</v>
      </c>
      <c r="FS103" s="501">
        <v>44</v>
      </c>
      <c r="FT103" s="501">
        <v>32</v>
      </c>
      <c r="FU103" s="501">
        <v>21</v>
      </c>
      <c r="FV103" s="502">
        <v>19</v>
      </c>
      <c r="FW103" s="502">
        <v>10</v>
      </c>
      <c r="FX103" s="502">
        <v>10</v>
      </c>
      <c r="FY103" s="502">
        <v>28</v>
      </c>
      <c r="FZ103" s="503"/>
      <c r="GA103" s="500">
        <v>55</v>
      </c>
      <c r="GB103" s="501">
        <v>53</v>
      </c>
      <c r="GC103" s="501">
        <v>34</v>
      </c>
      <c r="GD103" s="501">
        <v>29</v>
      </c>
      <c r="GE103" s="502">
        <v>28</v>
      </c>
      <c r="GF103" s="502">
        <v>36</v>
      </c>
      <c r="GG103" s="502">
        <v>40</v>
      </c>
      <c r="GH103" s="502">
        <v>42</v>
      </c>
      <c r="GI103" s="503"/>
      <c r="GJ103" s="500">
        <v>6212</v>
      </c>
      <c r="GK103" s="501">
        <v>5849</v>
      </c>
      <c r="GL103" s="501">
        <v>5668</v>
      </c>
      <c r="GM103" s="501">
        <v>4468</v>
      </c>
      <c r="GN103" s="502">
        <v>3749</v>
      </c>
      <c r="GO103" s="502">
        <v>2988</v>
      </c>
      <c r="GP103" s="502">
        <v>2686</v>
      </c>
      <c r="GQ103" s="502">
        <v>1950</v>
      </c>
      <c r="GR103" s="503"/>
      <c r="GS103" s="500">
        <v>1902</v>
      </c>
      <c r="GT103" s="501">
        <v>1837</v>
      </c>
      <c r="GU103" s="501">
        <v>1527</v>
      </c>
      <c r="GV103" s="501">
        <v>1129</v>
      </c>
      <c r="GW103" s="502">
        <v>635</v>
      </c>
      <c r="GX103" s="502">
        <v>511</v>
      </c>
      <c r="GY103" s="502">
        <v>472</v>
      </c>
      <c r="GZ103" s="502">
        <v>431</v>
      </c>
      <c r="HA103" s="503"/>
      <c r="HB103" s="500">
        <v>38</v>
      </c>
      <c r="HC103" s="501">
        <v>32</v>
      </c>
      <c r="HD103" s="501">
        <v>25</v>
      </c>
      <c r="HE103" s="501">
        <v>15</v>
      </c>
      <c r="HF103" s="502">
        <v>20</v>
      </c>
      <c r="HG103" s="502">
        <v>15</v>
      </c>
      <c r="HH103" s="502">
        <v>13</v>
      </c>
      <c r="HI103" s="502">
        <v>6</v>
      </c>
      <c r="HJ103" s="503"/>
      <c r="HK103" s="500">
        <v>9</v>
      </c>
      <c r="HL103" s="501">
        <v>8</v>
      </c>
      <c r="HM103" s="501">
        <v>3</v>
      </c>
      <c r="HN103" s="501">
        <v>3</v>
      </c>
      <c r="HO103" s="502">
        <v>11</v>
      </c>
      <c r="HP103" s="502">
        <v>8</v>
      </c>
      <c r="HQ103" s="502">
        <v>3</v>
      </c>
      <c r="HR103" s="502">
        <v>3</v>
      </c>
      <c r="HS103" s="503"/>
      <c r="HT103" s="500">
        <v>2716</v>
      </c>
      <c r="HU103" s="501">
        <v>2498</v>
      </c>
      <c r="HV103" s="501">
        <v>2218</v>
      </c>
      <c r="HW103" s="501">
        <v>1763</v>
      </c>
      <c r="HX103" s="502">
        <v>1316</v>
      </c>
      <c r="HY103" s="502">
        <v>1298</v>
      </c>
      <c r="HZ103" s="502">
        <v>1292</v>
      </c>
      <c r="IA103" s="502">
        <v>1467</v>
      </c>
      <c r="IB103" s="503"/>
      <c r="IC103" s="500">
        <v>13842</v>
      </c>
      <c r="ID103" s="501">
        <v>11697</v>
      </c>
      <c r="IE103" s="501">
        <v>11116</v>
      </c>
      <c r="IF103" s="501">
        <v>7115</v>
      </c>
      <c r="IG103" s="502">
        <v>7522</v>
      </c>
      <c r="IH103" s="502">
        <v>5565</v>
      </c>
      <c r="II103" s="502">
        <v>5454</v>
      </c>
      <c r="IJ103" s="502">
        <v>4452</v>
      </c>
      <c r="IK103" s="503"/>
      <c r="IL103" s="500">
        <v>1380</v>
      </c>
      <c r="IM103" s="501">
        <v>1136</v>
      </c>
      <c r="IN103" s="501">
        <v>1147</v>
      </c>
      <c r="IO103" s="501">
        <v>673</v>
      </c>
      <c r="IP103" s="502">
        <v>441</v>
      </c>
      <c r="IQ103" s="502">
        <v>632</v>
      </c>
      <c r="IR103" s="502">
        <v>570</v>
      </c>
      <c r="IS103" s="502">
        <v>348</v>
      </c>
      <c r="IT103" s="503"/>
      <c r="IU103" s="547">
        <v>4430.4182363465852</v>
      </c>
      <c r="IV103" s="548">
        <v>3756.1293595923071</v>
      </c>
      <c r="IW103" s="548">
        <v>3583.4945196647323</v>
      </c>
      <c r="IX103" s="548">
        <v>2352.4471732611232</v>
      </c>
      <c r="IY103" s="549">
        <v>2501.6878577343796</v>
      </c>
      <c r="IZ103" s="549">
        <v>1860.5195413058741</v>
      </c>
      <c r="JA103" s="549">
        <v>1830.729673664212</v>
      </c>
      <c r="JB103" s="549">
        <v>1497.0694160016947</v>
      </c>
      <c r="JC103" s="550"/>
      <c r="JD103" s="551">
        <v>869.31194407725218</v>
      </c>
      <c r="JE103" s="552">
        <v>802.15535096704991</v>
      </c>
      <c r="JF103" s="552">
        <v>715.02256608639584</v>
      </c>
      <c r="JG103" s="552">
        <v>582.90433822338161</v>
      </c>
      <c r="JH103" s="552">
        <v>437.67897112183505</v>
      </c>
      <c r="JI103" s="553">
        <v>433.95406372237642</v>
      </c>
      <c r="JJ103" s="553">
        <v>433.68220358895525</v>
      </c>
      <c r="JK103" s="553">
        <v>493.30656632400854</v>
      </c>
      <c r="JL103" s="550"/>
      <c r="JM103" s="551">
        <v>1988.279012005851</v>
      </c>
      <c r="JN103" s="552">
        <v>1878.2252393139613</v>
      </c>
      <c r="JO103" s="552">
        <v>1827.2082527401676</v>
      </c>
      <c r="JP103" s="552">
        <v>1477.2640857527335</v>
      </c>
      <c r="JQ103" s="552">
        <v>1246.8529352095438</v>
      </c>
      <c r="JR103" s="553">
        <v>998.96359198956907</v>
      </c>
      <c r="JS103" s="553">
        <v>901.60247588230163</v>
      </c>
      <c r="JT103" s="553">
        <v>655.72447466381504</v>
      </c>
      <c r="JU103" s="550"/>
      <c r="JV103" s="551">
        <v>608.77441739136009</v>
      </c>
      <c r="JW103" s="552">
        <v>589.89566842532849</v>
      </c>
      <c r="JX103" s="552">
        <v>492.26305609284327</v>
      </c>
      <c r="JY103" s="552">
        <v>373.28360627010653</v>
      </c>
      <c r="JZ103" s="552">
        <v>211.19008105042954</v>
      </c>
      <c r="KA103" s="553">
        <v>170.84015913877838</v>
      </c>
      <c r="KB103" s="553">
        <v>158.43498459286909</v>
      </c>
      <c r="KC103" s="553">
        <v>144.93192234877142</v>
      </c>
      <c r="KD103" s="550"/>
    </row>
    <row r="104" spans="1:290" ht="15" customHeight="1" x14ac:dyDescent="0.2">
      <c r="A104" s="929" t="s">
        <v>554</v>
      </c>
      <c r="B104" s="485" t="s">
        <v>712</v>
      </c>
      <c r="C104" s="486">
        <v>3</v>
      </c>
      <c r="D104" s="487">
        <v>2</v>
      </c>
      <c r="E104" s="487">
        <v>3</v>
      </c>
      <c r="F104" s="487">
        <v>1</v>
      </c>
      <c r="G104" s="488">
        <v>5</v>
      </c>
      <c r="H104" s="488">
        <v>1</v>
      </c>
      <c r="I104" s="488">
        <v>1</v>
      </c>
      <c r="J104" s="488">
        <v>3</v>
      </c>
      <c r="K104" s="489"/>
      <c r="L104" s="486">
        <v>2</v>
      </c>
      <c r="M104" s="487"/>
      <c r="N104" s="487"/>
      <c r="O104" s="487"/>
      <c r="P104" s="488">
        <v>1</v>
      </c>
      <c r="Q104" s="488">
        <v>1</v>
      </c>
      <c r="R104" s="488"/>
      <c r="S104" s="488">
        <v>2</v>
      </c>
      <c r="T104" s="489"/>
      <c r="U104" s="486">
        <v>1</v>
      </c>
      <c r="V104" s="487">
        <v>1</v>
      </c>
      <c r="W104" s="487">
        <v>2</v>
      </c>
      <c r="X104" s="487"/>
      <c r="Y104" s="488">
        <v>2</v>
      </c>
      <c r="Z104" s="488"/>
      <c r="AA104" s="488">
        <v>1</v>
      </c>
      <c r="AB104" s="488"/>
      <c r="AC104" s="489"/>
      <c r="AD104" s="486">
        <v>156</v>
      </c>
      <c r="AE104" s="487">
        <v>142</v>
      </c>
      <c r="AF104" s="487">
        <v>124</v>
      </c>
      <c r="AG104" s="487">
        <v>132</v>
      </c>
      <c r="AH104" s="488">
        <v>135</v>
      </c>
      <c r="AI104" s="488">
        <v>134</v>
      </c>
      <c r="AJ104" s="488">
        <v>80</v>
      </c>
      <c r="AK104" s="488">
        <v>108</v>
      </c>
      <c r="AL104" s="489"/>
      <c r="AM104" s="486">
        <v>94</v>
      </c>
      <c r="AN104" s="487">
        <v>82</v>
      </c>
      <c r="AO104" s="487">
        <v>71</v>
      </c>
      <c r="AP104" s="487">
        <v>79</v>
      </c>
      <c r="AQ104" s="488">
        <v>64</v>
      </c>
      <c r="AR104" s="488">
        <v>71</v>
      </c>
      <c r="AS104" s="488">
        <v>50</v>
      </c>
      <c r="AT104" s="488">
        <v>60</v>
      </c>
      <c r="AU104" s="489"/>
      <c r="AV104" s="486"/>
      <c r="AW104" s="487">
        <v>1</v>
      </c>
      <c r="AX104" s="487"/>
      <c r="AY104" s="487"/>
      <c r="AZ104" s="488"/>
      <c r="BA104" s="488"/>
      <c r="BB104" s="488"/>
      <c r="BC104" s="488"/>
      <c r="BD104" s="489"/>
      <c r="BE104" s="486">
        <v>6</v>
      </c>
      <c r="BF104" s="487">
        <v>24</v>
      </c>
      <c r="BG104" s="487">
        <v>33</v>
      </c>
      <c r="BH104" s="487">
        <v>25</v>
      </c>
      <c r="BI104" s="488">
        <v>45</v>
      </c>
      <c r="BJ104" s="488">
        <v>28</v>
      </c>
      <c r="BK104" s="488">
        <v>19</v>
      </c>
      <c r="BL104" s="488">
        <v>16</v>
      </c>
      <c r="BM104" s="489"/>
      <c r="BN104" s="486"/>
      <c r="BO104" s="487"/>
      <c r="BP104" s="487"/>
      <c r="BQ104" s="487"/>
      <c r="BR104" s="488"/>
      <c r="BS104" s="488"/>
      <c r="BT104" s="488"/>
      <c r="BU104" s="488"/>
      <c r="BV104" s="489"/>
      <c r="BW104" s="486">
        <v>161</v>
      </c>
      <c r="BX104" s="487">
        <v>164</v>
      </c>
      <c r="BY104" s="487">
        <v>168</v>
      </c>
      <c r="BZ104" s="487">
        <v>132</v>
      </c>
      <c r="CA104" s="488">
        <v>139</v>
      </c>
      <c r="CB104" s="488">
        <v>141</v>
      </c>
      <c r="CC104" s="488">
        <v>100</v>
      </c>
      <c r="CD104" s="488">
        <v>131</v>
      </c>
      <c r="CE104" s="489"/>
      <c r="CF104" s="486">
        <v>5</v>
      </c>
      <c r="CG104" s="487">
        <v>1</v>
      </c>
      <c r="CH104" s="487">
        <v>3</v>
      </c>
      <c r="CI104" s="487">
        <v>5</v>
      </c>
      <c r="CJ104" s="488">
        <v>2</v>
      </c>
      <c r="CK104" s="488">
        <v>5</v>
      </c>
      <c r="CL104" s="488">
        <v>1</v>
      </c>
      <c r="CM104" s="488">
        <v>3</v>
      </c>
      <c r="CN104" s="489"/>
      <c r="CO104" s="486">
        <v>5</v>
      </c>
      <c r="CP104" s="487">
        <v>1</v>
      </c>
      <c r="CQ104" s="487">
        <v>6</v>
      </c>
      <c r="CR104" s="487">
        <v>10</v>
      </c>
      <c r="CS104" s="488">
        <v>4</v>
      </c>
      <c r="CT104" s="488">
        <v>5</v>
      </c>
      <c r="CU104" s="488">
        <v>6</v>
      </c>
      <c r="CV104" s="488">
        <v>4</v>
      </c>
      <c r="CW104" s="489"/>
      <c r="CX104" s="486">
        <v>943</v>
      </c>
      <c r="CY104" s="487">
        <v>1033</v>
      </c>
      <c r="CZ104" s="487">
        <v>1016</v>
      </c>
      <c r="DA104" s="487">
        <v>894</v>
      </c>
      <c r="DB104" s="488">
        <v>831</v>
      </c>
      <c r="DC104" s="488">
        <v>692</v>
      </c>
      <c r="DD104" s="488">
        <v>528</v>
      </c>
      <c r="DE104" s="488">
        <v>450</v>
      </c>
      <c r="DF104" s="489"/>
      <c r="DG104" s="486">
        <v>8</v>
      </c>
      <c r="DH104" s="487">
        <v>1</v>
      </c>
      <c r="DI104" s="487">
        <v>4</v>
      </c>
      <c r="DJ104" s="487">
        <v>2</v>
      </c>
      <c r="DK104" s="488">
        <v>6</v>
      </c>
      <c r="DL104" s="488">
        <v>10</v>
      </c>
      <c r="DM104" s="488"/>
      <c r="DN104" s="488">
        <v>1</v>
      </c>
      <c r="DO104" s="489"/>
      <c r="DP104" s="486">
        <v>18</v>
      </c>
      <c r="DQ104" s="487">
        <v>27</v>
      </c>
      <c r="DR104" s="487">
        <v>18</v>
      </c>
      <c r="DS104" s="487">
        <v>12</v>
      </c>
      <c r="DT104" s="488">
        <v>32</v>
      </c>
      <c r="DU104" s="488">
        <v>19</v>
      </c>
      <c r="DV104" s="488">
        <v>5</v>
      </c>
      <c r="DW104" s="488">
        <v>14</v>
      </c>
      <c r="DX104" s="489"/>
      <c r="DY104" s="486">
        <v>71</v>
      </c>
      <c r="DZ104" s="487">
        <v>87</v>
      </c>
      <c r="EA104" s="487">
        <v>56</v>
      </c>
      <c r="EB104" s="487">
        <v>81</v>
      </c>
      <c r="EC104" s="488">
        <v>91</v>
      </c>
      <c r="ED104" s="488">
        <v>119</v>
      </c>
      <c r="EE104" s="488">
        <v>79</v>
      </c>
      <c r="EF104" s="488">
        <v>59</v>
      </c>
      <c r="EG104" s="489"/>
      <c r="EH104" s="486">
        <v>16</v>
      </c>
      <c r="EI104" s="487">
        <v>8</v>
      </c>
      <c r="EJ104" s="487">
        <v>10</v>
      </c>
      <c r="EK104" s="487">
        <v>10</v>
      </c>
      <c r="EL104" s="488">
        <v>6</v>
      </c>
      <c r="EM104" s="488">
        <v>16</v>
      </c>
      <c r="EN104" s="488">
        <v>6</v>
      </c>
      <c r="EO104" s="488">
        <v>4</v>
      </c>
      <c r="EP104" s="489"/>
      <c r="EQ104" s="486">
        <v>8</v>
      </c>
      <c r="ER104" s="487">
        <v>1</v>
      </c>
      <c r="ES104" s="487">
        <v>6</v>
      </c>
      <c r="ET104" s="487">
        <v>1</v>
      </c>
      <c r="EU104" s="488">
        <v>2</v>
      </c>
      <c r="EV104" s="488">
        <v>3</v>
      </c>
      <c r="EW104" s="488">
        <v>4</v>
      </c>
      <c r="EX104" s="488">
        <v>10</v>
      </c>
      <c r="EY104" s="489"/>
      <c r="EZ104" s="486">
        <v>3</v>
      </c>
      <c r="FA104" s="487">
        <v>5</v>
      </c>
      <c r="FB104" s="487">
        <v>9</v>
      </c>
      <c r="FC104" s="487"/>
      <c r="FD104" s="488">
        <v>3</v>
      </c>
      <c r="FE104" s="488">
        <v>10</v>
      </c>
      <c r="FF104" s="488"/>
      <c r="FG104" s="488">
        <v>3</v>
      </c>
      <c r="FH104" s="489"/>
      <c r="FI104" s="486">
        <v>63</v>
      </c>
      <c r="FJ104" s="487">
        <v>65</v>
      </c>
      <c r="FK104" s="487">
        <v>62</v>
      </c>
      <c r="FL104" s="487">
        <v>35</v>
      </c>
      <c r="FM104" s="488">
        <v>36</v>
      </c>
      <c r="FN104" s="488">
        <v>37</v>
      </c>
      <c r="FO104" s="488">
        <v>16</v>
      </c>
      <c r="FP104" s="488">
        <v>34</v>
      </c>
      <c r="FQ104" s="489"/>
      <c r="FR104" s="486">
        <v>5</v>
      </c>
      <c r="FS104" s="487">
        <v>14</v>
      </c>
      <c r="FT104" s="487">
        <v>6</v>
      </c>
      <c r="FU104" s="487">
        <v>11</v>
      </c>
      <c r="FV104" s="488">
        <v>1</v>
      </c>
      <c r="FW104" s="488">
        <v>5</v>
      </c>
      <c r="FX104" s="488">
        <v>4</v>
      </c>
      <c r="FY104" s="488">
        <v>2</v>
      </c>
      <c r="FZ104" s="489"/>
      <c r="GA104" s="486">
        <v>7</v>
      </c>
      <c r="GB104" s="487">
        <v>7</v>
      </c>
      <c r="GC104" s="487">
        <v>6</v>
      </c>
      <c r="GD104" s="487">
        <v>2</v>
      </c>
      <c r="GE104" s="488">
        <v>15</v>
      </c>
      <c r="GF104" s="488">
        <v>7</v>
      </c>
      <c r="GG104" s="488">
        <v>6</v>
      </c>
      <c r="GH104" s="488">
        <v>6</v>
      </c>
      <c r="GI104" s="489"/>
      <c r="GJ104" s="486">
        <v>1381</v>
      </c>
      <c r="GK104" s="487">
        <v>1467</v>
      </c>
      <c r="GL104" s="487">
        <v>1452</v>
      </c>
      <c r="GM104" s="487">
        <v>1258</v>
      </c>
      <c r="GN104" s="488">
        <v>1224</v>
      </c>
      <c r="GO104" s="488">
        <v>1084</v>
      </c>
      <c r="GP104" s="488">
        <v>771</v>
      </c>
      <c r="GQ104" s="488">
        <v>774</v>
      </c>
      <c r="GR104" s="489"/>
      <c r="GS104" s="486">
        <v>491</v>
      </c>
      <c r="GT104" s="487">
        <v>529</v>
      </c>
      <c r="GU104" s="487">
        <v>505</v>
      </c>
      <c r="GV104" s="487">
        <v>389</v>
      </c>
      <c r="GW104" s="488">
        <v>239</v>
      </c>
      <c r="GX104" s="488">
        <v>219</v>
      </c>
      <c r="GY104" s="488">
        <v>177</v>
      </c>
      <c r="GZ104" s="488">
        <v>211</v>
      </c>
      <c r="HA104" s="489"/>
      <c r="HB104" s="486">
        <v>5</v>
      </c>
      <c r="HC104" s="487">
        <v>5</v>
      </c>
      <c r="HD104" s="487">
        <v>3</v>
      </c>
      <c r="HE104" s="487">
        <v>6</v>
      </c>
      <c r="HF104" s="488"/>
      <c r="HG104" s="488">
        <v>3</v>
      </c>
      <c r="HH104" s="488">
        <v>2</v>
      </c>
      <c r="HI104" s="488">
        <v>8</v>
      </c>
      <c r="HJ104" s="489"/>
      <c r="HK104" s="486">
        <v>4</v>
      </c>
      <c r="HL104" s="487">
        <v>1</v>
      </c>
      <c r="HM104" s="487"/>
      <c r="HN104" s="487">
        <v>1</v>
      </c>
      <c r="HO104" s="488">
        <v>1</v>
      </c>
      <c r="HP104" s="488"/>
      <c r="HQ104" s="488">
        <v>2</v>
      </c>
      <c r="HR104" s="488">
        <v>3</v>
      </c>
      <c r="HS104" s="489"/>
      <c r="HT104" s="486">
        <v>618</v>
      </c>
      <c r="HU104" s="487">
        <v>640</v>
      </c>
      <c r="HV104" s="487">
        <v>597</v>
      </c>
      <c r="HW104" s="487">
        <v>497</v>
      </c>
      <c r="HX104" s="488">
        <v>331</v>
      </c>
      <c r="HY104" s="488">
        <v>340</v>
      </c>
      <c r="HZ104" s="488">
        <v>308</v>
      </c>
      <c r="IA104" s="488">
        <v>321</v>
      </c>
      <c r="IB104" s="489"/>
      <c r="IC104" s="486">
        <v>2745</v>
      </c>
      <c r="ID104" s="487">
        <v>2824</v>
      </c>
      <c r="IE104" s="487">
        <v>2716</v>
      </c>
      <c r="IF104" s="487">
        <v>2051</v>
      </c>
      <c r="IG104" s="488">
        <v>1783</v>
      </c>
      <c r="IH104" s="488">
        <v>1803</v>
      </c>
      <c r="II104" s="488">
        <v>1286</v>
      </c>
      <c r="IJ104" s="488">
        <v>1287</v>
      </c>
      <c r="IK104" s="489"/>
      <c r="IL104" s="486">
        <v>152</v>
      </c>
      <c r="IM104" s="487">
        <v>180</v>
      </c>
      <c r="IN104" s="487">
        <v>175</v>
      </c>
      <c r="IO104" s="487">
        <v>117</v>
      </c>
      <c r="IP104" s="488">
        <v>96</v>
      </c>
      <c r="IQ104" s="488">
        <v>154</v>
      </c>
      <c r="IR104" s="488">
        <v>112</v>
      </c>
      <c r="IS104" s="488">
        <v>85</v>
      </c>
      <c r="IT104" s="489"/>
      <c r="IU104" s="526">
        <v>4570.3534739681327</v>
      </c>
      <c r="IV104" s="527">
        <v>4771.7211314250953</v>
      </c>
      <c r="IW104" s="527">
        <v>4666.1054512343881</v>
      </c>
      <c r="IX104" s="527">
        <v>3461.0776422146846</v>
      </c>
      <c r="IY104" s="528">
        <v>3060.8391128201606</v>
      </c>
      <c r="IZ104" s="528">
        <v>3048.8142461144089</v>
      </c>
      <c r="JA104" s="528">
        <v>2086.8154158215011</v>
      </c>
      <c r="JB104" s="528">
        <v>2117.5773730193987</v>
      </c>
      <c r="JC104" s="529"/>
      <c r="JD104" s="530">
        <v>1028.953896871514</v>
      </c>
      <c r="JE104" s="531">
        <v>1081.4098881416649</v>
      </c>
      <c r="JF104" s="531">
        <v>1025.6498359303864</v>
      </c>
      <c r="JG104" s="531">
        <v>838.69116927386551</v>
      </c>
      <c r="JH104" s="531">
        <v>568.22083361944658</v>
      </c>
      <c r="JI104" s="532">
        <v>572.17614250643078</v>
      </c>
      <c r="JJ104" s="532">
        <v>499.79716024340769</v>
      </c>
      <c r="JK104" s="532">
        <v>528.1603238067031</v>
      </c>
      <c r="JL104" s="529"/>
      <c r="JM104" s="530">
        <v>2299.3290155009076</v>
      </c>
      <c r="JN104" s="531">
        <v>2478.7942279747217</v>
      </c>
      <c r="JO104" s="531">
        <v>2494.545329599533</v>
      </c>
      <c r="JP104" s="531">
        <v>2122.8842876187582</v>
      </c>
      <c r="JQ104" s="531">
        <v>2101.2154089129986</v>
      </c>
      <c r="JR104" s="532">
        <v>1829.46202297329</v>
      </c>
      <c r="JS104" s="532">
        <v>1251.1156186612577</v>
      </c>
      <c r="JT104" s="532">
        <v>1273.5080704871909</v>
      </c>
      <c r="JU104" s="529"/>
      <c r="JV104" s="530">
        <v>817.50220609047471</v>
      </c>
      <c r="JW104" s="531">
        <v>893.85286066709477</v>
      </c>
      <c r="JX104" s="531">
        <v>867.59324479873567</v>
      </c>
      <c r="JY104" s="531">
        <v>656.44037192662711</v>
      </c>
      <c r="JZ104" s="531">
        <v>410.2863420998421</v>
      </c>
      <c r="KA104" s="532">
        <v>369.76674221411997</v>
      </c>
      <c r="KB104" s="532">
        <v>287.22109533468557</v>
      </c>
      <c r="KC104" s="532">
        <v>347.17080474521612</v>
      </c>
      <c r="KD104" s="529"/>
    </row>
    <row r="105" spans="1:290" ht="15" customHeight="1" x14ac:dyDescent="0.2">
      <c r="A105" s="930"/>
      <c r="B105" s="490" t="s">
        <v>713</v>
      </c>
      <c r="C105" s="491"/>
      <c r="D105" s="492">
        <v>2</v>
      </c>
      <c r="E105" s="492">
        <v>2</v>
      </c>
      <c r="F105" s="492">
        <v>1</v>
      </c>
      <c r="G105" s="493">
        <v>1</v>
      </c>
      <c r="H105" s="493">
        <v>1</v>
      </c>
      <c r="I105" s="493">
        <v>1</v>
      </c>
      <c r="J105" s="493"/>
      <c r="K105" s="199"/>
      <c r="L105" s="491"/>
      <c r="M105" s="492">
        <v>1</v>
      </c>
      <c r="N105" s="492">
        <v>1</v>
      </c>
      <c r="O105" s="492"/>
      <c r="P105" s="493">
        <v>1</v>
      </c>
      <c r="Q105" s="493">
        <v>1</v>
      </c>
      <c r="R105" s="493">
        <v>1</v>
      </c>
      <c r="S105" s="493"/>
      <c r="T105" s="199"/>
      <c r="U105" s="491"/>
      <c r="V105" s="492"/>
      <c r="W105" s="492">
        <v>1</v>
      </c>
      <c r="X105" s="492">
        <v>1</v>
      </c>
      <c r="Y105" s="493"/>
      <c r="Z105" s="493"/>
      <c r="AA105" s="493"/>
      <c r="AB105" s="493"/>
      <c r="AC105" s="199"/>
      <c r="AD105" s="491">
        <v>76</v>
      </c>
      <c r="AE105" s="492">
        <v>84</v>
      </c>
      <c r="AF105" s="492">
        <v>58</v>
      </c>
      <c r="AG105" s="492">
        <v>59</v>
      </c>
      <c r="AH105" s="493">
        <v>57</v>
      </c>
      <c r="AI105" s="493">
        <v>50</v>
      </c>
      <c r="AJ105" s="493">
        <v>34</v>
      </c>
      <c r="AK105" s="493">
        <v>42</v>
      </c>
      <c r="AL105" s="199"/>
      <c r="AM105" s="491">
        <v>39</v>
      </c>
      <c r="AN105" s="492">
        <v>45</v>
      </c>
      <c r="AO105" s="492">
        <v>34</v>
      </c>
      <c r="AP105" s="492">
        <v>32</v>
      </c>
      <c r="AQ105" s="493">
        <v>28</v>
      </c>
      <c r="AR105" s="493">
        <v>34</v>
      </c>
      <c r="AS105" s="493">
        <v>19</v>
      </c>
      <c r="AT105" s="493">
        <v>17</v>
      </c>
      <c r="AU105" s="199"/>
      <c r="AV105" s="491"/>
      <c r="AW105" s="492"/>
      <c r="AX105" s="492"/>
      <c r="AY105" s="492"/>
      <c r="AZ105" s="493"/>
      <c r="BA105" s="493"/>
      <c r="BB105" s="493"/>
      <c r="BC105" s="493"/>
      <c r="BD105" s="199"/>
      <c r="BE105" s="491">
        <v>2</v>
      </c>
      <c r="BF105" s="492">
        <v>16</v>
      </c>
      <c r="BG105" s="492">
        <v>5</v>
      </c>
      <c r="BH105" s="492">
        <v>3</v>
      </c>
      <c r="BI105" s="493">
        <v>3</v>
      </c>
      <c r="BJ105" s="493">
        <v>4</v>
      </c>
      <c r="BK105" s="493">
        <v>3</v>
      </c>
      <c r="BL105" s="493">
        <v>12</v>
      </c>
      <c r="BM105" s="199"/>
      <c r="BN105" s="491"/>
      <c r="BO105" s="492"/>
      <c r="BP105" s="492"/>
      <c r="BQ105" s="492"/>
      <c r="BR105" s="493"/>
      <c r="BS105" s="493"/>
      <c r="BT105" s="493"/>
      <c r="BU105" s="493"/>
      <c r="BV105" s="199"/>
      <c r="BW105" s="491">
        <v>73</v>
      </c>
      <c r="BX105" s="492">
        <v>77</v>
      </c>
      <c r="BY105" s="492">
        <v>59</v>
      </c>
      <c r="BZ105" s="492">
        <v>49</v>
      </c>
      <c r="CA105" s="493">
        <v>66</v>
      </c>
      <c r="CB105" s="493">
        <v>69</v>
      </c>
      <c r="CC105" s="493">
        <v>52</v>
      </c>
      <c r="CD105" s="493">
        <v>34</v>
      </c>
      <c r="CE105" s="199"/>
      <c r="CF105" s="491">
        <v>1</v>
      </c>
      <c r="CG105" s="492">
        <v>2</v>
      </c>
      <c r="CH105" s="492"/>
      <c r="CI105" s="492"/>
      <c r="CJ105" s="493"/>
      <c r="CK105" s="493">
        <v>2</v>
      </c>
      <c r="CL105" s="493">
        <v>1</v>
      </c>
      <c r="CM105" s="493">
        <v>1</v>
      </c>
      <c r="CN105" s="199"/>
      <c r="CO105" s="491">
        <v>2</v>
      </c>
      <c r="CP105" s="492">
        <v>3</v>
      </c>
      <c r="CQ105" s="492">
        <v>5</v>
      </c>
      <c r="CR105" s="492"/>
      <c r="CS105" s="493">
        <v>1</v>
      </c>
      <c r="CT105" s="493"/>
      <c r="CU105" s="493">
        <v>3</v>
      </c>
      <c r="CV105" s="493">
        <v>1</v>
      </c>
      <c r="CW105" s="199"/>
      <c r="CX105" s="491">
        <v>568</v>
      </c>
      <c r="CY105" s="492">
        <v>693</v>
      </c>
      <c r="CZ105" s="492">
        <v>699</v>
      </c>
      <c r="DA105" s="492">
        <v>564</v>
      </c>
      <c r="DB105" s="493">
        <v>357</v>
      </c>
      <c r="DC105" s="493">
        <v>352</v>
      </c>
      <c r="DD105" s="493">
        <v>240</v>
      </c>
      <c r="DE105" s="493">
        <v>229</v>
      </c>
      <c r="DF105" s="199"/>
      <c r="DG105" s="491">
        <v>1</v>
      </c>
      <c r="DH105" s="492">
        <v>1</v>
      </c>
      <c r="DI105" s="492">
        <v>2</v>
      </c>
      <c r="DJ105" s="492">
        <v>1</v>
      </c>
      <c r="DK105" s="493">
        <v>2</v>
      </c>
      <c r="DL105" s="493"/>
      <c r="DM105" s="493"/>
      <c r="DN105" s="493">
        <v>2</v>
      </c>
      <c r="DO105" s="199"/>
      <c r="DP105" s="491">
        <v>14</v>
      </c>
      <c r="DQ105" s="492">
        <v>16</v>
      </c>
      <c r="DR105" s="492">
        <v>11</v>
      </c>
      <c r="DS105" s="492">
        <v>6</v>
      </c>
      <c r="DT105" s="493">
        <v>4</v>
      </c>
      <c r="DU105" s="493"/>
      <c r="DV105" s="493">
        <v>4</v>
      </c>
      <c r="DW105" s="493">
        <v>2</v>
      </c>
      <c r="DX105" s="199"/>
      <c r="DY105" s="491">
        <v>30</v>
      </c>
      <c r="DZ105" s="492">
        <v>51</v>
      </c>
      <c r="EA105" s="492">
        <v>56</v>
      </c>
      <c r="EB105" s="492">
        <v>81</v>
      </c>
      <c r="EC105" s="493">
        <v>43</v>
      </c>
      <c r="ED105" s="493">
        <v>73</v>
      </c>
      <c r="EE105" s="493">
        <v>34</v>
      </c>
      <c r="EF105" s="493">
        <v>39</v>
      </c>
      <c r="EG105" s="199"/>
      <c r="EH105" s="491">
        <v>6</v>
      </c>
      <c r="EI105" s="492">
        <v>6</v>
      </c>
      <c r="EJ105" s="492">
        <v>6</v>
      </c>
      <c r="EK105" s="492">
        <v>6</v>
      </c>
      <c r="EL105" s="493">
        <v>5</v>
      </c>
      <c r="EM105" s="493">
        <v>7</v>
      </c>
      <c r="EN105" s="493">
        <v>7</v>
      </c>
      <c r="EO105" s="493">
        <v>2</v>
      </c>
      <c r="EP105" s="199"/>
      <c r="EQ105" s="491">
        <v>1</v>
      </c>
      <c r="ER105" s="492"/>
      <c r="ES105" s="492">
        <v>1</v>
      </c>
      <c r="ET105" s="492">
        <v>5</v>
      </c>
      <c r="EU105" s="493"/>
      <c r="EV105" s="493">
        <v>3</v>
      </c>
      <c r="EW105" s="493"/>
      <c r="EX105" s="493"/>
      <c r="EY105" s="199"/>
      <c r="EZ105" s="491"/>
      <c r="FA105" s="492">
        <v>3</v>
      </c>
      <c r="FB105" s="492">
        <v>7</v>
      </c>
      <c r="FC105" s="492">
        <v>1</v>
      </c>
      <c r="FD105" s="493">
        <v>1</v>
      </c>
      <c r="FE105" s="493"/>
      <c r="FF105" s="493">
        <v>4</v>
      </c>
      <c r="FG105" s="493">
        <v>1</v>
      </c>
      <c r="FH105" s="199"/>
      <c r="FI105" s="491">
        <v>35</v>
      </c>
      <c r="FJ105" s="492">
        <v>30</v>
      </c>
      <c r="FK105" s="492">
        <v>28</v>
      </c>
      <c r="FL105" s="492">
        <v>19</v>
      </c>
      <c r="FM105" s="493">
        <v>19</v>
      </c>
      <c r="FN105" s="493">
        <v>16</v>
      </c>
      <c r="FO105" s="493">
        <v>11</v>
      </c>
      <c r="FP105" s="493">
        <v>13</v>
      </c>
      <c r="FQ105" s="199"/>
      <c r="FR105" s="491">
        <v>7</v>
      </c>
      <c r="FS105" s="492">
        <v>2</v>
      </c>
      <c r="FT105" s="492">
        <v>4</v>
      </c>
      <c r="FU105" s="492">
        <v>2</v>
      </c>
      <c r="FV105" s="493">
        <v>5</v>
      </c>
      <c r="FW105" s="493">
        <v>1</v>
      </c>
      <c r="FX105" s="493">
        <v>1</v>
      </c>
      <c r="FY105" s="493"/>
      <c r="FZ105" s="199"/>
      <c r="GA105" s="491">
        <v>4</v>
      </c>
      <c r="GB105" s="492">
        <v>10</v>
      </c>
      <c r="GC105" s="492">
        <v>1</v>
      </c>
      <c r="GD105" s="492">
        <v>1</v>
      </c>
      <c r="GE105" s="493">
        <v>5</v>
      </c>
      <c r="GF105" s="493">
        <v>5</v>
      </c>
      <c r="GG105" s="493">
        <v>4</v>
      </c>
      <c r="GH105" s="493">
        <v>5</v>
      </c>
      <c r="GI105" s="199"/>
      <c r="GJ105" s="491">
        <v>775</v>
      </c>
      <c r="GK105" s="492">
        <v>928</v>
      </c>
      <c r="GL105" s="492">
        <v>875</v>
      </c>
      <c r="GM105" s="492">
        <v>710</v>
      </c>
      <c r="GN105" s="493">
        <v>520</v>
      </c>
      <c r="GO105" s="493">
        <v>510</v>
      </c>
      <c r="GP105" s="493">
        <v>361</v>
      </c>
      <c r="GQ105" s="493">
        <v>340</v>
      </c>
      <c r="GR105" s="199"/>
      <c r="GS105" s="491">
        <v>208</v>
      </c>
      <c r="GT105" s="492">
        <v>242</v>
      </c>
      <c r="GU105" s="492">
        <v>201</v>
      </c>
      <c r="GV105" s="492">
        <v>180</v>
      </c>
      <c r="GW105" s="493">
        <v>91</v>
      </c>
      <c r="GX105" s="493">
        <v>93</v>
      </c>
      <c r="GY105" s="493">
        <v>80</v>
      </c>
      <c r="GZ105" s="493">
        <v>43</v>
      </c>
      <c r="HA105" s="199"/>
      <c r="HB105" s="491">
        <v>1</v>
      </c>
      <c r="HC105" s="492">
        <v>2</v>
      </c>
      <c r="HD105" s="492">
        <v>6</v>
      </c>
      <c r="HE105" s="492"/>
      <c r="HF105" s="493">
        <v>3</v>
      </c>
      <c r="HG105" s="493">
        <v>2</v>
      </c>
      <c r="HH105" s="493">
        <v>1</v>
      </c>
      <c r="HI105" s="493">
        <v>3</v>
      </c>
      <c r="HJ105" s="199"/>
      <c r="HK105" s="491">
        <v>1</v>
      </c>
      <c r="HL105" s="492">
        <v>1</v>
      </c>
      <c r="HM105" s="492">
        <v>1</v>
      </c>
      <c r="HN105" s="492"/>
      <c r="HO105" s="493"/>
      <c r="HP105" s="493"/>
      <c r="HQ105" s="493">
        <v>1</v>
      </c>
      <c r="HR105" s="493">
        <v>1</v>
      </c>
      <c r="HS105" s="199"/>
      <c r="HT105" s="491">
        <v>270</v>
      </c>
      <c r="HU105" s="492">
        <v>296</v>
      </c>
      <c r="HV105" s="492">
        <v>259</v>
      </c>
      <c r="HW105" s="492">
        <v>220</v>
      </c>
      <c r="HX105" s="493">
        <v>187</v>
      </c>
      <c r="HY105" s="493">
        <v>203</v>
      </c>
      <c r="HZ105" s="493">
        <v>228</v>
      </c>
      <c r="IA105" s="493">
        <v>159</v>
      </c>
      <c r="IB105" s="199"/>
      <c r="IC105" s="491">
        <v>1133</v>
      </c>
      <c r="ID105" s="492">
        <v>1492</v>
      </c>
      <c r="IE105" s="492">
        <v>1516</v>
      </c>
      <c r="IF105" s="492">
        <v>1064</v>
      </c>
      <c r="IG105" s="493">
        <v>906</v>
      </c>
      <c r="IH105" s="493">
        <v>900</v>
      </c>
      <c r="II105" s="493">
        <v>718</v>
      </c>
      <c r="IJ105" s="493">
        <v>721</v>
      </c>
      <c r="IK105" s="199"/>
      <c r="IL105" s="491">
        <v>137</v>
      </c>
      <c r="IM105" s="492">
        <v>165</v>
      </c>
      <c r="IN105" s="492">
        <v>198</v>
      </c>
      <c r="IO105" s="492">
        <v>130</v>
      </c>
      <c r="IP105" s="493">
        <v>51</v>
      </c>
      <c r="IQ105" s="493">
        <v>107</v>
      </c>
      <c r="IR105" s="493">
        <v>58</v>
      </c>
      <c r="IS105" s="493">
        <v>63</v>
      </c>
      <c r="IT105" s="199"/>
      <c r="IU105" s="533">
        <v>2790.3654812333757</v>
      </c>
      <c r="IV105" s="534">
        <v>3718.3800623052957</v>
      </c>
      <c r="IW105" s="534">
        <v>3826.0606213562828</v>
      </c>
      <c r="IX105" s="534">
        <v>2671.4203218760199</v>
      </c>
      <c r="IY105" s="535">
        <v>2302.2972148810732</v>
      </c>
      <c r="IZ105" s="535">
        <v>2317.6164602271265</v>
      </c>
      <c r="JA105" s="535">
        <v>1871.6926044680795</v>
      </c>
      <c r="JB105" s="535">
        <v>1894.0787054063994</v>
      </c>
      <c r="JC105" s="536"/>
      <c r="JD105" s="537">
        <v>664.95911732834202</v>
      </c>
      <c r="JE105" s="538">
        <v>737.69470404984418</v>
      </c>
      <c r="JF105" s="538">
        <v>653.66075259319086</v>
      </c>
      <c r="JG105" s="538">
        <v>552.36134474880112</v>
      </c>
      <c r="JH105" s="538">
        <v>475.19821101849965</v>
      </c>
      <c r="JI105" s="539">
        <v>522.75126825122959</v>
      </c>
      <c r="JJ105" s="539">
        <v>594.35364041604748</v>
      </c>
      <c r="JK105" s="539">
        <v>417.69558135869283</v>
      </c>
      <c r="JL105" s="536"/>
      <c r="JM105" s="537">
        <v>1908.6789478869075</v>
      </c>
      <c r="JN105" s="538">
        <v>2312.7725856697821</v>
      </c>
      <c r="JO105" s="538">
        <v>2208.3133533553746</v>
      </c>
      <c r="JP105" s="538">
        <v>1782.6207035074947</v>
      </c>
      <c r="JQ105" s="538">
        <v>1321.4067899979671</v>
      </c>
      <c r="JR105" s="539">
        <v>1313.3159941287049</v>
      </c>
      <c r="JS105" s="539">
        <v>941.05993065874191</v>
      </c>
      <c r="JT105" s="539">
        <v>893.18551988651279</v>
      </c>
      <c r="JU105" s="536"/>
      <c r="JV105" s="537">
        <v>512.26480149738939</v>
      </c>
      <c r="JW105" s="538">
        <v>603.11526479750773</v>
      </c>
      <c r="JX105" s="538">
        <v>507.28112459934886</v>
      </c>
      <c r="JY105" s="538">
        <v>451.93200933992819</v>
      </c>
      <c r="JZ105" s="538">
        <v>231.24618824964423</v>
      </c>
      <c r="KA105" s="539">
        <v>239.48703422346972</v>
      </c>
      <c r="KB105" s="539">
        <v>208.54513698808685</v>
      </c>
      <c r="KC105" s="539">
        <v>112.96169810329428</v>
      </c>
      <c r="KD105" s="536"/>
    </row>
    <row r="106" spans="1:290" ht="15" customHeight="1" x14ac:dyDescent="0.2">
      <c r="A106" s="930"/>
      <c r="B106" s="490" t="s">
        <v>714</v>
      </c>
      <c r="C106" s="491">
        <v>2</v>
      </c>
      <c r="D106" s="492"/>
      <c r="E106" s="492"/>
      <c r="F106" s="492">
        <v>1</v>
      </c>
      <c r="G106" s="493">
        <v>1</v>
      </c>
      <c r="H106" s="493"/>
      <c r="I106" s="493"/>
      <c r="J106" s="493"/>
      <c r="K106" s="199"/>
      <c r="L106" s="491">
        <v>1</v>
      </c>
      <c r="M106" s="492"/>
      <c r="N106" s="492"/>
      <c r="O106" s="492">
        <v>1</v>
      </c>
      <c r="P106" s="493">
        <v>1</v>
      </c>
      <c r="Q106" s="493"/>
      <c r="R106" s="493"/>
      <c r="S106" s="493"/>
      <c r="T106" s="199"/>
      <c r="U106" s="491">
        <v>1</v>
      </c>
      <c r="V106" s="492"/>
      <c r="W106" s="492"/>
      <c r="X106" s="492"/>
      <c r="Y106" s="493"/>
      <c r="Z106" s="493"/>
      <c r="AA106" s="493"/>
      <c r="AB106" s="493"/>
      <c r="AC106" s="199"/>
      <c r="AD106" s="491">
        <v>42</v>
      </c>
      <c r="AE106" s="492">
        <v>42</v>
      </c>
      <c r="AF106" s="492">
        <v>34</v>
      </c>
      <c r="AG106" s="492">
        <v>34</v>
      </c>
      <c r="AH106" s="493">
        <v>49</v>
      </c>
      <c r="AI106" s="493">
        <v>49</v>
      </c>
      <c r="AJ106" s="493">
        <v>32</v>
      </c>
      <c r="AK106" s="493">
        <v>31</v>
      </c>
      <c r="AL106" s="199"/>
      <c r="AM106" s="491">
        <v>35</v>
      </c>
      <c r="AN106" s="492">
        <v>35</v>
      </c>
      <c r="AO106" s="492">
        <v>27</v>
      </c>
      <c r="AP106" s="492">
        <v>22</v>
      </c>
      <c r="AQ106" s="493">
        <v>30</v>
      </c>
      <c r="AR106" s="493">
        <v>32</v>
      </c>
      <c r="AS106" s="493">
        <v>20</v>
      </c>
      <c r="AT106" s="493">
        <v>13</v>
      </c>
      <c r="AU106" s="199"/>
      <c r="AV106" s="491"/>
      <c r="AW106" s="492"/>
      <c r="AX106" s="492"/>
      <c r="AY106" s="492"/>
      <c r="AZ106" s="493"/>
      <c r="BA106" s="493"/>
      <c r="BB106" s="493"/>
      <c r="BC106" s="493"/>
      <c r="BD106" s="199"/>
      <c r="BE106" s="491">
        <v>1</v>
      </c>
      <c r="BF106" s="492">
        <v>13</v>
      </c>
      <c r="BG106" s="492">
        <v>1</v>
      </c>
      <c r="BH106" s="492">
        <v>2</v>
      </c>
      <c r="BI106" s="493">
        <v>3</v>
      </c>
      <c r="BJ106" s="493">
        <v>8</v>
      </c>
      <c r="BK106" s="493">
        <v>6</v>
      </c>
      <c r="BL106" s="493">
        <v>16</v>
      </c>
      <c r="BM106" s="199"/>
      <c r="BN106" s="491"/>
      <c r="BO106" s="492"/>
      <c r="BP106" s="492"/>
      <c r="BQ106" s="492"/>
      <c r="BR106" s="493"/>
      <c r="BS106" s="493"/>
      <c r="BT106" s="493"/>
      <c r="BU106" s="493"/>
      <c r="BV106" s="199"/>
      <c r="BW106" s="491">
        <v>35</v>
      </c>
      <c r="BX106" s="492">
        <v>49</v>
      </c>
      <c r="BY106" s="492">
        <v>49</v>
      </c>
      <c r="BZ106" s="492">
        <v>47</v>
      </c>
      <c r="CA106" s="493">
        <v>80</v>
      </c>
      <c r="CB106" s="493">
        <v>48</v>
      </c>
      <c r="CC106" s="493">
        <v>39</v>
      </c>
      <c r="CD106" s="493">
        <v>56</v>
      </c>
      <c r="CE106" s="199"/>
      <c r="CF106" s="491">
        <v>5</v>
      </c>
      <c r="CG106" s="492">
        <v>2</v>
      </c>
      <c r="CH106" s="492">
        <v>8</v>
      </c>
      <c r="CI106" s="492">
        <v>5</v>
      </c>
      <c r="CJ106" s="493">
        <v>8</v>
      </c>
      <c r="CK106" s="493">
        <v>1</v>
      </c>
      <c r="CL106" s="493">
        <v>2</v>
      </c>
      <c r="CM106" s="493">
        <v>4</v>
      </c>
      <c r="CN106" s="199"/>
      <c r="CO106" s="491">
        <v>2</v>
      </c>
      <c r="CP106" s="492">
        <v>1</v>
      </c>
      <c r="CQ106" s="492">
        <v>1</v>
      </c>
      <c r="CR106" s="492">
        <v>4</v>
      </c>
      <c r="CS106" s="493">
        <v>4</v>
      </c>
      <c r="CT106" s="493">
        <v>2</v>
      </c>
      <c r="CU106" s="493">
        <v>1</v>
      </c>
      <c r="CV106" s="493">
        <v>4</v>
      </c>
      <c r="CW106" s="199"/>
      <c r="CX106" s="491">
        <v>463</v>
      </c>
      <c r="CY106" s="492">
        <v>582</v>
      </c>
      <c r="CZ106" s="492">
        <v>501</v>
      </c>
      <c r="DA106" s="492">
        <v>435</v>
      </c>
      <c r="DB106" s="493">
        <v>365</v>
      </c>
      <c r="DC106" s="493">
        <v>272</v>
      </c>
      <c r="DD106" s="493">
        <v>225</v>
      </c>
      <c r="DE106" s="493">
        <v>138</v>
      </c>
      <c r="DF106" s="199"/>
      <c r="DG106" s="491">
        <v>2</v>
      </c>
      <c r="DH106" s="492">
        <v>6</v>
      </c>
      <c r="DI106" s="492">
        <v>2</v>
      </c>
      <c r="DJ106" s="492">
        <v>1</v>
      </c>
      <c r="DK106" s="493">
        <v>1</v>
      </c>
      <c r="DL106" s="493">
        <v>1</v>
      </c>
      <c r="DM106" s="493"/>
      <c r="DN106" s="493"/>
      <c r="DO106" s="199"/>
      <c r="DP106" s="491">
        <v>4</v>
      </c>
      <c r="DQ106" s="492">
        <v>8</v>
      </c>
      <c r="DR106" s="492">
        <v>5</v>
      </c>
      <c r="DS106" s="492">
        <v>7</v>
      </c>
      <c r="DT106" s="493">
        <v>5</v>
      </c>
      <c r="DU106" s="493">
        <v>2</v>
      </c>
      <c r="DV106" s="493">
        <v>6</v>
      </c>
      <c r="DW106" s="493"/>
      <c r="DX106" s="199"/>
      <c r="DY106" s="491">
        <v>86</v>
      </c>
      <c r="DZ106" s="492">
        <v>92</v>
      </c>
      <c r="EA106" s="492">
        <v>44</v>
      </c>
      <c r="EB106" s="492">
        <v>73</v>
      </c>
      <c r="EC106" s="493">
        <v>73</v>
      </c>
      <c r="ED106" s="493">
        <v>56</v>
      </c>
      <c r="EE106" s="493">
        <v>43</v>
      </c>
      <c r="EF106" s="493">
        <v>32</v>
      </c>
      <c r="EG106" s="199"/>
      <c r="EH106" s="491">
        <v>16</v>
      </c>
      <c r="EI106" s="492">
        <v>2</v>
      </c>
      <c r="EJ106" s="492">
        <v>1</v>
      </c>
      <c r="EK106" s="492">
        <v>4</v>
      </c>
      <c r="EL106" s="493">
        <v>3</v>
      </c>
      <c r="EM106" s="493">
        <v>2</v>
      </c>
      <c r="EN106" s="493">
        <v>3</v>
      </c>
      <c r="EO106" s="493">
        <v>3</v>
      </c>
      <c r="EP106" s="199"/>
      <c r="EQ106" s="491">
        <v>3</v>
      </c>
      <c r="ER106" s="492">
        <v>2</v>
      </c>
      <c r="ES106" s="492"/>
      <c r="ET106" s="492"/>
      <c r="EU106" s="493"/>
      <c r="EV106" s="493">
        <v>1</v>
      </c>
      <c r="EW106" s="493">
        <v>2</v>
      </c>
      <c r="EX106" s="493">
        <v>4</v>
      </c>
      <c r="EY106" s="199"/>
      <c r="EZ106" s="491">
        <v>3</v>
      </c>
      <c r="FA106" s="492">
        <v>1</v>
      </c>
      <c r="FB106" s="492">
        <v>3</v>
      </c>
      <c r="FC106" s="492">
        <v>1</v>
      </c>
      <c r="FD106" s="493">
        <v>3</v>
      </c>
      <c r="FE106" s="493">
        <v>2</v>
      </c>
      <c r="FF106" s="493">
        <v>4</v>
      </c>
      <c r="FG106" s="493">
        <v>1</v>
      </c>
      <c r="FH106" s="199"/>
      <c r="FI106" s="491">
        <v>39</v>
      </c>
      <c r="FJ106" s="492">
        <v>24</v>
      </c>
      <c r="FK106" s="492">
        <v>21</v>
      </c>
      <c r="FL106" s="492">
        <v>10</v>
      </c>
      <c r="FM106" s="493">
        <v>12</v>
      </c>
      <c r="FN106" s="493">
        <v>10</v>
      </c>
      <c r="FO106" s="493">
        <v>7</v>
      </c>
      <c r="FP106" s="493">
        <v>8</v>
      </c>
      <c r="FQ106" s="199"/>
      <c r="FR106" s="491">
        <v>3</v>
      </c>
      <c r="FS106" s="492">
        <v>2</v>
      </c>
      <c r="FT106" s="492">
        <v>2</v>
      </c>
      <c r="FU106" s="492">
        <v>4</v>
      </c>
      <c r="FV106" s="493"/>
      <c r="FW106" s="493">
        <v>5</v>
      </c>
      <c r="FX106" s="493"/>
      <c r="FY106" s="493"/>
      <c r="FZ106" s="199"/>
      <c r="GA106" s="491">
        <v>2</v>
      </c>
      <c r="GB106" s="492">
        <v>2</v>
      </c>
      <c r="GC106" s="492">
        <v>3</v>
      </c>
      <c r="GD106" s="492">
        <v>1</v>
      </c>
      <c r="GE106" s="493">
        <v>3</v>
      </c>
      <c r="GF106" s="493"/>
      <c r="GG106" s="493"/>
      <c r="GH106" s="493">
        <v>3</v>
      </c>
      <c r="GI106" s="199"/>
      <c r="GJ106" s="491">
        <v>616</v>
      </c>
      <c r="GK106" s="492">
        <v>722</v>
      </c>
      <c r="GL106" s="492">
        <v>624</v>
      </c>
      <c r="GM106" s="492">
        <v>548</v>
      </c>
      <c r="GN106" s="493">
        <v>531</v>
      </c>
      <c r="GO106" s="493">
        <v>400</v>
      </c>
      <c r="GP106" s="493">
        <v>321</v>
      </c>
      <c r="GQ106" s="493">
        <v>268</v>
      </c>
      <c r="GR106" s="199"/>
      <c r="GS106" s="491">
        <v>154</v>
      </c>
      <c r="GT106" s="492">
        <v>152</v>
      </c>
      <c r="GU106" s="492">
        <v>159</v>
      </c>
      <c r="GV106" s="492">
        <v>140</v>
      </c>
      <c r="GW106" s="493">
        <v>92</v>
      </c>
      <c r="GX106" s="493">
        <v>79</v>
      </c>
      <c r="GY106" s="493">
        <v>60</v>
      </c>
      <c r="GZ106" s="493">
        <v>64</v>
      </c>
      <c r="HA106" s="199"/>
      <c r="HB106" s="491">
        <v>3</v>
      </c>
      <c r="HC106" s="492">
        <v>1</v>
      </c>
      <c r="HD106" s="492">
        <v>2</v>
      </c>
      <c r="HE106" s="492"/>
      <c r="HF106" s="493">
        <v>1</v>
      </c>
      <c r="HG106" s="493">
        <v>2</v>
      </c>
      <c r="HH106" s="493">
        <v>2</v>
      </c>
      <c r="HI106" s="493">
        <v>2</v>
      </c>
      <c r="HJ106" s="199"/>
      <c r="HK106" s="491"/>
      <c r="HL106" s="492">
        <v>1</v>
      </c>
      <c r="HM106" s="492">
        <v>2</v>
      </c>
      <c r="HN106" s="492"/>
      <c r="HO106" s="493"/>
      <c r="HP106" s="493">
        <v>1</v>
      </c>
      <c r="HQ106" s="493"/>
      <c r="HR106" s="493">
        <v>1</v>
      </c>
      <c r="HS106" s="199"/>
      <c r="HT106" s="491">
        <v>206</v>
      </c>
      <c r="HU106" s="492">
        <v>214</v>
      </c>
      <c r="HV106" s="492">
        <v>210</v>
      </c>
      <c r="HW106" s="492">
        <v>171</v>
      </c>
      <c r="HX106" s="493">
        <v>136</v>
      </c>
      <c r="HY106" s="493">
        <v>118</v>
      </c>
      <c r="HZ106" s="493">
        <v>116</v>
      </c>
      <c r="IA106" s="493">
        <v>140</v>
      </c>
      <c r="IB106" s="199"/>
      <c r="IC106" s="491">
        <v>887</v>
      </c>
      <c r="ID106" s="492">
        <v>1128</v>
      </c>
      <c r="IE106" s="492">
        <v>1112</v>
      </c>
      <c r="IF106" s="492">
        <v>5721</v>
      </c>
      <c r="IG106" s="493">
        <v>833</v>
      </c>
      <c r="IH106" s="493">
        <v>702</v>
      </c>
      <c r="II106" s="493">
        <v>514</v>
      </c>
      <c r="IJ106" s="493">
        <v>494</v>
      </c>
      <c r="IK106" s="199"/>
      <c r="IL106" s="491">
        <v>137</v>
      </c>
      <c r="IM106" s="492">
        <v>187</v>
      </c>
      <c r="IN106" s="492">
        <v>100</v>
      </c>
      <c r="IO106" s="492">
        <v>61</v>
      </c>
      <c r="IP106" s="493">
        <v>53</v>
      </c>
      <c r="IQ106" s="493">
        <v>78</v>
      </c>
      <c r="IR106" s="493">
        <v>62</v>
      </c>
      <c r="IS106" s="493">
        <v>42</v>
      </c>
      <c r="IT106" s="199"/>
      <c r="IU106" s="533">
        <v>2765.8247583411289</v>
      </c>
      <c r="IV106" s="534">
        <v>3566.9112066784719</v>
      </c>
      <c r="IW106" s="534">
        <v>3553.6239294388342</v>
      </c>
      <c r="IX106" s="534">
        <v>18163.634631869703</v>
      </c>
      <c r="IY106" s="535">
        <v>2672.2699858847682</v>
      </c>
      <c r="IZ106" s="535">
        <v>2273.0952303856493</v>
      </c>
      <c r="JA106" s="535">
        <v>1677.3267197493801</v>
      </c>
      <c r="JB106" s="535">
        <v>1616.3863621490741</v>
      </c>
      <c r="JC106" s="536"/>
      <c r="JD106" s="537">
        <v>642.34487059557216</v>
      </c>
      <c r="JE106" s="538">
        <v>676.70123956488737</v>
      </c>
      <c r="JF106" s="538">
        <v>671.09804422855689</v>
      </c>
      <c r="JG106" s="538">
        <v>542.90884846175823</v>
      </c>
      <c r="JH106" s="538">
        <v>436.28897728730908</v>
      </c>
      <c r="JI106" s="539">
        <v>382.0872324579866</v>
      </c>
      <c r="JJ106" s="539">
        <v>378.54066048818692</v>
      </c>
      <c r="JK106" s="539">
        <v>458.08520384791569</v>
      </c>
      <c r="JL106" s="536"/>
      <c r="JM106" s="537">
        <v>1920.7982538197693</v>
      </c>
      <c r="JN106" s="538">
        <v>2283.0761447002278</v>
      </c>
      <c r="JO106" s="538">
        <v>1994.1199028505687</v>
      </c>
      <c r="JP106" s="538">
        <v>1739.8482395148744</v>
      </c>
      <c r="JQ106" s="538">
        <v>1703.4518157320672</v>
      </c>
      <c r="JR106" s="539">
        <v>1295.2109574847004</v>
      </c>
      <c r="JS106" s="539">
        <v>1047.5133794543792</v>
      </c>
      <c r="JT106" s="539">
        <v>876.9059616517244</v>
      </c>
      <c r="JU106" s="536"/>
      <c r="JV106" s="537">
        <v>480.19956345494234</v>
      </c>
      <c r="JW106" s="538">
        <v>480.64760941057426</v>
      </c>
      <c r="JX106" s="538">
        <v>508.11709063019305</v>
      </c>
      <c r="JY106" s="538">
        <v>444.48677651839853</v>
      </c>
      <c r="JZ106" s="538">
        <v>295.13666110612093</v>
      </c>
      <c r="KA106" s="539">
        <v>255.80416410322832</v>
      </c>
      <c r="KB106" s="539">
        <v>195.79689335595873</v>
      </c>
      <c r="KC106" s="539">
        <v>209.41037890190432</v>
      </c>
      <c r="KD106" s="536"/>
    </row>
    <row r="107" spans="1:290" ht="15" customHeight="1" x14ac:dyDescent="0.2">
      <c r="A107" s="930"/>
      <c r="B107" s="490" t="s">
        <v>715</v>
      </c>
      <c r="C107" s="491">
        <v>1</v>
      </c>
      <c r="D107" s="492">
        <v>1</v>
      </c>
      <c r="E107" s="492"/>
      <c r="F107" s="492"/>
      <c r="G107" s="493"/>
      <c r="H107" s="493">
        <v>1</v>
      </c>
      <c r="I107" s="493"/>
      <c r="J107" s="493"/>
      <c r="K107" s="199"/>
      <c r="L107" s="491"/>
      <c r="M107" s="492">
        <v>1</v>
      </c>
      <c r="N107" s="492"/>
      <c r="O107" s="492"/>
      <c r="P107" s="493"/>
      <c r="Q107" s="493"/>
      <c r="R107" s="493"/>
      <c r="S107" s="493"/>
      <c r="T107" s="199"/>
      <c r="U107" s="491"/>
      <c r="V107" s="492"/>
      <c r="W107" s="492"/>
      <c r="X107" s="492"/>
      <c r="Y107" s="493"/>
      <c r="Z107" s="493">
        <v>1</v>
      </c>
      <c r="AA107" s="493"/>
      <c r="AB107" s="493"/>
      <c r="AC107" s="199"/>
      <c r="AD107" s="491">
        <v>31</v>
      </c>
      <c r="AE107" s="492">
        <v>20</v>
      </c>
      <c r="AF107" s="492">
        <v>28</v>
      </c>
      <c r="AG107" s="492">
        <v>30</v>
      </c>
      <c r="AH107" s="493">
        <v>23</v>
      </c>
      <c r="AI107" s="493">
        <v>23</v>
      </c>
      <c r="AJ107" s="493">
        <v>26</v>
      </c>
      <c r="AK107" s="493">
        <v>21</v>
      </c>
      <c r="AL107" s="199"/>
      <c r="AM107" s="491">
        <v>15</v>
      </c>
      <c r="AN107" s="492">
        <v>9</v>
      </c>
      <c r="AO107" s="492">
        <v>17</v>
      </c>
      <c r="AP107" s="492">
        <v>13</v>
      </c>
      <c r="AQ107" s="493">
        <v>13</v>
      </c>
      <c r="AR107" s="493">
        <v>17</v>
      </c>
      <c r="AS107" s="493">
        <v>16</v>
      </c>
      <c r="AT107" s="493">
        <v>7</v>
      </c>
      <c r="AU107" s="199"/>
      <c r="AV107" s="491"/>
      <c r="AW107" s="492"/>
      <c r="AX107" s="492"/>
      <c r="AY107" s="492"/>
      <c r="AZ107" s="493"/>
      <c r="BA107" s="493"/>
      <c r="BB107" s="493"/>
      <c r="BC107" s="493"/>
      <c r="BD107" s="199"/>
      <c r="BE107" s="491">
        <v>8</v>
      </c>
      <c r="BF107" s="492"/>
      <c r="BG107" s="492"/>
      <c r="BH107" s="492">
        <v>1</v>
      </c>
      <c r="BI107" s="493">
        <v>2</v>
      </c>
      <c r="BJ107" s="493">
        <v>4</v>
      </c>
      <c r="BK107" s="493">
        <v>6</v>
      </c>
      <c r="BL107" s="493">
        <v>3</v>
      </c>
      <c r="BM107" s="199"/>
      <c r="BN107" s="491"/>
      <c r="BO107" s="492"/>
      <c r="BP107" s="492"/>
      <c r="BQ107" s="492"/>
      <c r="BR107" s="493"/>
      <c r="BS107" s="493"/>
      <c r="BT107" s="493"/>
      <c r="BU107" s="493"/>
      <c r="BV107" s="199"/>
      <c r="BW107" s="491">
        <v>41</v>
      </c>
      <c r="BX107" s="492">
        <v>30</v>
      </c>
      <c r="BY107" s="492">
        <v>29</v>
      </c>
      <c r="BZ107" s="492">
        <v>26</v>
      </c>
      <c r="CA107" s="493">
        <v>31</v>
      </c>
      <c r="CB107" s="493">
        <v>42</v>
      </c>
      <c r="CC107" s="493">
        <v>21</v>
      </c>
      <c r="CD107" s="493">
        <v>26</v>
      </c>
      <c r="CE107" s="199"/>
      <c r="CF107" s="491">
        <v>4</v>
      </c>
      <c r="CG107" s="492">
        <v>1</v>
      </c>
      <c r="CH107" s="492">
        <v>2</v>
      </c>
      <c r="CI107" s="492">
        <v>5</v>
      </c>
      <c r="CJ107" s="493">
        <v>1</v>
      </c>
      <c r="CK107" s="493">
        <v>2</v>
      </c>
      <c r="CL107" s="493">
        <v>2</v>
      </c>
      <c r="CM107" s="493"/>
      <c r="CN107" s="199"/>
      <c r="CO107" s="491">
        <v>2</v>
      </c>
      <c r="CP107" s="492"/>
      <c r="CQ107" s="492">
        <v>1</v>
      </c>
      <c r="CR107" s="492"/>
      <c r="CS107" s="493">
        <v>2</v>
      </c>
      <c r="CT107" s="493">
        <v>1</v>
      </c>
      <c r="CU107" s="493"/>
      <c r="CV107" s="493">
        <v>1</v>
      </c>
      <c r="CW107" s="199"/>
      <c r="CX107" s="491">
        <v>249</v>
      </c>
      <c r="CY107" s="492">
        <v>250</v>
      </c>
      <c r="CZ107" s="492">
        <v>319</v>
      </c>
      <c r="DA107" s="492">
        <v>271</v>
      </c>
      <c r="DB107" s="493">
        <v>207</v>
      </c>
      <c r="DC107" s="493">
        <v>91</v>
      </c>
      <c r="DD107" s="493">
        <v>122</v>
      </c>
      <c r="DE107" s="493">
        <v>79</v>
      </c>
      <c r="DF107" s="199"/>
      <c r="DG107" s="491">
        <v>1</v>
      </c>
      <c r="DH107" s="492">
        <v>2</v>
      </c>
      <c r="DI107" s="492">
        <v>2</v>
      </c>
      <c r="DJ107" s="492">
        <v>4</v>
      </c>
      <c r="DK107" s="493"/>
      <c r="DL107" s="493">
        <v>1</v>
      </c>
      <c r="DM107" s="493"/>
      <c r="DN107" s="493"/>
      <c r="DO107" s="199"/>
      <c r="DP107" s="491">
        <v>5</v>
      </c>
      <c r="DQ107" s="492">
        <v>5</v>
      </c>
      <c r="DR107" s="492">
        <v>5</v>
      </c>
      <c r="DS107" s="492">
        <v>1</v>
      </c>
      <c r="DT107" s="493">
        <v>5</v>
      </c>
      <c r="DU107" s="493"/>
      <c r="DV107" s="493">
        <v>1</v>
      </c>
      <c r="DW107" s="493"/>
      <c r="DX107" s="199"/>
      <c r="DY107" s="491">
        <v>25</v>
      </c>
      <c r="DZ107" s="492">
        <v>22</v>
      </c>
      <c r="EA107" s="492">
        <v>31</v>
      </c>
      <c r="EB107" s="492">
        <v>47</v>
      </c>
      <c r="EC107" s="493">
        <v>20</v>
      </c>
      <c r="ED107" s="493">
        <v>14</v>
      </c>
      <c r="EE107" s="493">
        <v>33</v>
      </c>
      <c r="EF107" s="493">
        <v>16</v>
      </c>
      <c r="EG107" s="199"/>
      <c r="EH107" s="491">
        <v>1</v>
      </c>
      <c r="EI107" s="492">
        <v>4</v>
      </c>
      <c r="EJ107" s="492">
        <v>5</v>
      </c>
      <c r="EK107" s="492"/>
      <c r="EL107" s="493">
        <v>1</v>
      </c>
      <c r="EM107" s="493"/>
      <c r="EN107" s="493">
        <v>2</v>
      </c>
      <c r="EO107" s="493"/>
      <c r="EP107" s="199"/>
      <c r="EQ107" s="491"/>
      <c r="ER107" s="492">
        <v>1</v>
      </c>
      <c r="ES107" s="492"/>
      <c r="ET107" s="492"/>
      <c r="EU107" s="493">
        <v>1</v>
      </c>
      <c r="EV107" s="493"/>
      <c r="EW107" s="493">
        <v>1</v>
      </c>
      <c r="EX107" s="493"/>
      <c r="EY107" s="199"/>
      <c r="EZ107" s="491">
        <v>5</v>
      </c>
      <c r="FA107" s="492">
        <v>1</v>
      </c>
      <c r="FB107" s="492">
        <v>3</v>
      </c>
      <c r="FC107" s="492">
        <v>2</v>
      </c>
      <c r="FD107" s="493"/>
      <c r="FE107" s="493"/>
      <c r="FF107" s="493"/>
      <c r="FG107" s="493"/>
      <c r="FH107" s="199"/>
      <c r="FI107" s="491">
        <v>26</v>
      </c>
      <c r="FJ107" s="492">
        <v>14</v>
      </c>
      <c r="FK107" s="492">
        <v>16</v>
      </c>
      <c r="FL107" s="492">
        <v>6</v>
      </c>
      <c r="FM107" s="493">
        <v>10</v>
      </c>
      <c r="FN107" s="493">
        <v>10</v>
      </c>
      <c r="FO107" s="493">
        <v>6</v>
      </c>
      <c r="FP107" s="493">
        <v>3</v>
      </c>
      <c r="FQ107" s="199"/>
      <c r="FR107" s="491">
        <v>4</v>
      </c>
      <c r="FS107" s="492">
        <v>2</v>
      </c>
      <c r="FT107" s="492">
        <v>2</v>
      </c>
      <c r="FU107" s="492"/>
      <c r="FV107" s="493">
        <v>1</v>
      </c>
      <c r="FW107" s="493">
        <v>1</v>
      </c>
      <c r="FX107" s="493"/>
      <c r="FY107" s="493">
        <v>1</v>
      </c>
      <c r="FZ107" s="199"/>
      <c r="GA107" s="491"/>
      <c r="GB107" s="492"/>
      <c r="GC107" s="492">
        <v>2</v>
      </c>
      <c r="GD107" s="492">
        <v>1</v>
      </c>
      <c r="GE107" s="493"/>
      <c r="GF107" s="493">
        <v>3</v>
      </c>
      <c r="GG107" s="493">
        <v>4</v>
      </c>
      <c r="GH107" s="493">
        <v>2</v>
      </c>
      <c r="GI107" s="199"/>
      <c r="GJ107" s="491">
        <v>372</v>
      </c>
      <c r="GK107" s="492">
        <v>324</v>
      </c>
      <c r="GL107" s="492">
        <v>407</v>
      </c>
      <c r="GM107" s="492">
        <v>342</v>
      </c>
      <c r="GN107" s="493">
        <v>279</v>
      </c>
      <c r="GO107" s="493">
        <v>178</v>
      </c>
      <c r="GP107" s="493">
        <v>190</v>
      </c>
      <c r="GQ107" s="493">
        <v>136</v>
      </c>
      <c r="GR107" s="199"/>
      <c r="GS107" s="491">
        <v>116</v>
      </c>
      <c r="GT107" s="492">
        <v>96</v>
      </c>
      <c r="GU107" s="492">
        <v>100</v>
      </c>
      <c r="GV107" s="492">
        <v>68</v>
      </c>
      <c r="GW107" s="493">
        <v>27</v>
      </c>
      <c r="GX107" s="493">
        <v>28</v>
      </c>
      <c r="GY107" s="493">
        <v>13</v>
      </c>
      <c r="GZ107" s="493">
        <v>15</v>
      </c>
      <c r="HA107" s="199"/>
      <c r="HB107" s="491">
        <v>1</v>
      </c>
      <c r="HC107" s="492">
        <v>1</v>
      </c>
      <c r="HD107" s="492">
        <v>1</v>
      </c>
      <c r="HE107" s="492"/>
      <c r="HF107" s="493"/>
      <c r="HG107" s="493">
        <v>1</v>
      </c>
      <c r="HH107" s="493"/>
      <c r="HI107" s="493">
        <v>1</v>
      </c>
      <c r="HJ107" s="199"/>
      <c r="HK107" s="491"/>
      <c r="HL107" s="492"/>
      <c r="HM107" s="492"/>
      <c r="HN107" s="492"/>
      <c r="HO107" s="493"/>
      <c r="HP107" s="493"/>
      <c r="HQ107" s="493"/>
      <c r="HR107" s="493"/>
      <c r="HS107" s="199"/>
      <c r="HT107" s="491">
        <v>152</v>
      </c>
      <c r="HU107" s="492">
        <v>129</v>
      </c>
      <c r="HV107" s="492">
        <v>141</v>
      </c>
      <c r="HW107" s="492">
        <v>99</v>
      </c>
      <c r="HX107" s="493">
        <v>65</v>
      </c>
      <c r="HY107" s="493">
        <v>68</v>
      </c>
      <c r="HZ107" s="493">
        <v>63</v>
      </c>
      <c r="IA107" s="493">
        <v>54</v>
      </c>
      <c r="IB107" s="199"/>
      <c r="IC107" s="491">
        <v>636</v>
      </c>
      <c r="ID107" s="492">
        <v>1133</v>
      </c>
      <c r="IE107" s="492">
        <v>772</v>
      </c>
      <c r="IF107" s="492">
        <v>555</v>
      </c>
      <c r="IG107" s="493">
        <v>1100</v>
      </c>
      <c r="IH107" s="493">
        <v>367</v>
      </c>
      <c r="II107" s="493">
        <v>377</v>
      </c>
      <c r="IJ107" s="493">
        <v>404</v>
      </c>
      <c r="IK107" s="199"/>
      <c r="IL107" s="491">
        <v>84</v>
      </c>
      <c r="IM107" s="492">
        <v>43</v>
      </c>
      <c r="IN107" s="492">
        <v>61</v>
      </c>
      <c r="IO107" s="492">
        <v>36</v>
      </c>
      <c r="IP107" s="493">
        <v>21</v>
      </c>
      <c r="IQ107" s="493">
        <v>24</v>
      </c>
      <c r="IR107" s="493">
        <v>39</v>
      </c>
      <c r="IS107" s="493">
        <v>24</v>
      </c>
      <c r="IT107" s="199"/>
      <c r="IU107" s="533">
        <v>2515.7232704402518</v>
      </c>
      <c r="IV107" s="534">
        <v>4587.4159851000077</v>
      </c>
      <c r="IW107" s="534">
        <v>3216.2646335874683</v>
      </c>
      <c r="IX107" s="534">
        <v>2332.1287503151525</v>
      </c>
      <c r="IY107" s="535">
        <v>4661.2144582397559</v>
      </c>
      <c r="IZ107" s="535">
        <v>1568.8453810969095</v>
      </c>
      <c r="JA107" s="535">
        <v>1595.9022986072896</v>
      </c>
      <c r="JB107" s="535">
        <v>1692.3592493297588</v>
      </c>
      <c r="JC107" s="536"/>
      <c r="JD107" s="537">
        <v>601.24203947628655</v>
      </c>
      <c r="JE107" s="538">
        <v>522.3094987448377</v>
      </c>
      <c r="JF107" s="538">
        <v>587.4265716785402</v>
      </c>
      <c r="JG107" s="538">
        <v>416.00134465081095</v>
      </c>
      <c r="JH107" s="538">
        <v>275.43539980507649</v>
      </c>
      <c r="JI107" s="539">
        <v>290.685247723678</v>
      </c>
      <c r="JJ107" s="539">
        <v>266.68924353384415</v>
      </c>
      <c r="JK107" s="539">
        <v>226.20643431635392</v>
      </c>
      <c r="JL107" s="536"/>
      <c r="JM107" s="537">
        <v>1471.4607808235435</v>
      </c>
      <c r="JN107" s="538">
        <v>1311.847113126569</v>
      </c>
      <c r="JO107" s="538">
        <v>1695.6213806607507</v>
      </c>
      <c r="JP107" s="538">
        <v>1437.0955542482561</v>
      </c>
      <c r="JQ107" s="538">
        <v>1182.2534853171744</v>
      </c>
      <c r="JR107" s="539">
        <v>760.91138374727484</v>
      </c>
      <c r="JS107" s="539">
        <v>804.3008931973078</v>
      </c>
      <c r="JT107" s="539">
        <v>569.70509383378021</v>
      </c>
      <c r="JU107" s="536"/>
      <c r="JV107" s="537">
        <v>458.84260907400818</v>
      </c>
      <c r="JW107" s="538">
        <v>388.6954409263908</v>
      </c>
      <c r="JX107" s="538">
        <v>416.61458984293625</v>
      </c>
      <c r="JY107" s="538">
        <v>285.7382973359106</v>
      </c>
      <c r="JZ107" s="538">
        <v>114.41162761133947</v>
      </c>
      <c r="KA107" s="539">
        <v>119.6939255332792</v>
      </c>
      <c r="KB107" s="539">
        <v>55.031113745078954</v>
      </c>
      <c r="KC107" s="539">
        <v>62.835120643431637</v>
      </c>
      <c r="KD107" s="536"/>
    </row>
    <row r="108" spans="1:290" ht="15" customHeight="1" x14ac:dyDescent="0.2">
      <c r="A108" s="930"/>
      <c r="B108" s="490" t="s">
        <v>716</v>
      </c>
      <c r="C108" s="491"/>
      <c r="D108" s="492"/>
      <c r="E108" s="492">
        <v>2</v>
      </c>
      <c r="F108" s="492"/>
      <c r="G108" s="493"/>
      <c r="H108" s="493"/>
      <c r="I108" s="493"/>
      <c r="J108" s="493">
        <v>1</v>
      </c>
      <c r="K108" s="199"/>
      <c r="L108" s="491"/>
      <c r="M108" s="492"/>
      <c r="N108" s="492"/>
      <c r="O108" s="492"/>
      <c r="P108" s="493"/>
      <c r="Q108" s="493"/>
      <c r="R108" s="493"/>
      <c r="S108" s="493"/>
      <c r="T108" s="199"/>
      <c r="U108" s="491"/>
      <c r="V108" s="492"/>
      <c r="W108" s="492">
        <v>1</v>
      </c>
      <c r="X108" s="492"/>
      <c r="Y108" s="493"/>
      <c r="Z108" s="493"/>
      <c r="AA108" s="493"/>
      <c r="AB108" s="493"/>
      <c r="AC108" s="199"/>
      <c r="AD108" s="491">
        <v>32</v>
      </c>
      <c r="AE108" s="492">
        <v>35</v>
      </c>
      <c r="AF108" s="492">
        <v>40</v>
      </c>
      <c r="AG108" s="492">
        <v>25</v>
      </c>
      <c r="AH108" s="493">
        <v>44</v>
      </c>
      <c r="AI108" s="493">
        <v>35</v>
      </c>
      <c r="AJ108" s="493">
        <v>24</v>
      </c>
      <c r="AK108" s="493">
        <v>26</v>
      </c>
      <c r="AL108" s="199"/>
      <c r="AM108" s="491">
        <v>22</v>
      </c>
      <c r="AN108" s="492">
        <v>26</v>
      </c>
      <c r="AO108" s="492">
        <v>23</v>
      </c>
      <c r="AP108" s="492">
        <v>15</v>
      </c>
      <c r="AQ108" s="493">
        <v>25</v>
      </c>
      <c r="AR108" s="493">
        <v>21</v>
      </c>
      <c r="AS108" s="493">
        <v>15</v>
      </c>
      <c r="AT108" s="493">
        <v>12</v>
      </c>
      <c r="AU108" s="199"/>
      <c r="AV108" s="491"/>
      <c r="AW108" s="492"/>
      <c r="AX108" s="492"/>
      <c r="AY108" s="492"/>
      <c r="AZ108" s="493"/>
      <c r="BA108" s="493"/>
      <c r="BB108" s="493"/>
      <c r="BC108" s="493"/>
      <c r="BD108" s="199"/>
      <c r="BE108" s="491">
        <v>8</v>
      </c>
      <c r="BF108" s="492"/>
      <c r="BG108" s="492">
        <v>10</v>
      </c>
      <c r="BH108" s="492">
        <v>18</v>
      </c>
      <c r="BI108" s="493">
        <v>11</v>
      </c>
      <c r="BJ108" s="493">
        <v>25</v>
      </c>
      <c r="BK108" s="493">
        <v>13</v>
      </c>
      <c r="BL108" s="493">
        <v>5</v>
      </c>
      <c r="BM108" s="199"/>
      <c r="BN108" s="491"/>
      <c r="BO108" s="492"/>
      <c r="BP108" s="492"/>
      <c r="BQ108" s="492"/>
      <c r="BR108" s="493"/>
      <c r="BS108" s="493"/>
      <c r="BT108" s="493"/>
      <c r="BU108" s="493"/>
      <c r="BV108" s="199"/>
      <c r="BW108" s="491">
        <v>34</v>
      </c>
      <c r="BX108" s="492">
        <v>42</v>
      </c>
      <c r="BY108" s="492">
        <v>40</v>
      </c>
      <c r="BZ108" s="492">
        <v>26</v>
      </c>
      <c r="CA108" s="493">
        <v>29</v>
      </c>
      <c r="CB108" s="493">
        <v>32</v>
      </c>
      <c r="CC108" s="493">
        <v>20</v>
      </c>
      <c r="CD108" s="493">
        <v>20</v>
      </c>
      <c r="CE108" s="199"/>
      <c r="CF108" s="491">
        <v>1</v>
      </c>
      <c r="CG108" s="492">
        <v>1</v>
      </c>
      <c r="CH108" s="492">
        <v>3</v>
      </c>
      <c r="CI108" s="492">
        <v>3</v>
      </c>
      <c r="CJ108" s="493"/>
      <c r="CK108" s="493"/>
      <c r="CL108" s="493"/>
      <c r="CM108" s="493"/>
      <c r="CN108" s="199"/>
      <c r="CO108" s="491">
        <v>1</v>
      </c>
      <c r="CP108" s="492">
        <v>2</v>
      </c>
      <c r="CQ108" s="492"/>
      <c r="CR108" s="492"/>
      <c r="CS108" s="493"/>
      <c r="CT108" s="493"/>
      <c r="CU108" s="493"/>
      <c r="CV108" s="493"/>
      <c r="CW108" s="199"/>
      <c r="CX108" s="491">
        <v>259</v>
      </c>
      <c r="CY108" s="492">
        <v>336</v>
      </c>
      <c r="CZ108" s="492">
        <v>298</v>
      </c>
      <c r="DA108" s="492">
        <v>239</v>
      </c>
      <c r="DB108" s="493">
        <v>219</v>
      </c>
      <c r="DC108" s="493">
        <v>155</v>
      </c>
      <c r="DD108" s="493">
        <v>107</v>
      </c>
      <c r="DE108" s="493">
        <v>88</v>
      </c>
      <c r="DF108" s="199"/>
      <c r="DG108" s="491">
        <v>1</v>
      </c>
      <c r="DH108" s="492"/>
      <c r="DI108" s="492"/>
      <c r="DJ108" s="492">
        <v>1</v>
      </c>
      <c r="DK108" s="493">
        <v>2</v>
      </c>
      <c r="DL108" s="493"/>
      <c r="DM108" s="493"/>
      <c r="DN108" s="493"/>
      <c r="DO108" s="199"/>
      <c r="DP108" s="491">
        <v>7</v>
      </c>
      <c r="DQ108" s="492">
        <v>5</v>
      </c>
      <c r="DR108" s="492">
        <v>2</v>
      </c>
      <c r="DS108" s="492">
        <v>7</v>
      </c>
      <c r="DT108" s="493">
        <v>5</v>
      </c>
      <c r="DU108" s="493">
        <v>1</v>
      </c>
      <c r="DV108" s="493">
        <v>1</v>
      </c>
      <c r="DW108" s="493"/>
      <c r="DX108" s="199"/>
      <c r="DY108" s="491">
        <v>51</v>
      </c>
      <c r="DZ108" s="492">
        <v>52</v>
      </c>
      <c r="EA108" s="492">
        <v>36</v>
      </c>
      <c r="EB108" s="492">
        <v>49</v>
      </c>
      <c r="EC108" s="493">
        <v>44</v>
      </c>
      <c r="ED108" s="493">
        <v>33</v>
      </c>
      <c r="EE108" s="493">
        <v>26</v>
      </c>
      <c r="EF108" s="493">
        <v>26</v>
      </c>
      <c r="EG108" s="199"/>
      <c r="EH108" s="491">
        <v>4</v>
      </c>
      <c r="EI108" s="492">
        <v>2</v>
      </c>
      <c r="EJ108" s="492">
        <v>1</v>
      </c>
      <c r="EK108" s="492">
        <v>4</v>
      </c>
      <c r="EL108" s="493">
        <v>1</v>
      </c>
      <c r="EM108" s="493">
        <v>1</v>
      </c>
      <c r="EN108" s="493">
        <v>2</v>
      </c>
      <c r="EO108" s="493"/>
      <c r="EP108" s="199"/>
      <c r="EQ108" s="491">
        <v>1</v>
      </c>
      <c r="ER108" s="492"/>
      <c r="ES108" s="492"/>
      <c r="ET108" s="492"/>
      <c r="EU108" s="493"/>
      <c r="EV108" s="493">
        <v>1</v>
      </c>
      <c r="EW108" s="493">
        <v>1</v>
      </c>
      <c r="EX108" s="493"/>
      <c r="EY108" s="199"/>
      <c r="EZ108" s="491"/>
      <c r="FA108" s="492">
        <v>1</v>
      </c>
      <c r="FB108" s="492">
        <v>2</v>
      </c>
      <c r="FC108" s="492"/>
      <c r="FD108" s="493"/>
      <c r="FE108" s="493"/>
      <c r="FF108" s="493">
        <v>1</v>
      </c>
      <c r="FG108" s="493"/>
      <c r="FH108" s="199"/>
      <c r="FI108" s="491">
        <v>7</v>
      </c>
      <c r="FJ108" s="492">
        <v>12</v>
      </c>
      <c r="FK108" s="492">
        <v>5</v>
      </c>
      <c r="FL108" s="492">
        <v>5</v>
      </c>
      <c r="FM108" s="493">
        <v>12</v>
      </c>
      <c r="FN108" s="493">
        <v>6</v>
      </c>
      <c r="FO108" s="493">
        <v>11</v>
      </c>
      <c r="FP108" s="493">
        <v>5</v>
      </c>
      <c r="FQ108" s="199"/>
      <c r="FR108" s="491">
        <v>2</v>
      </c>
      <c r="FS108" s="492">
        <v>3</v>
      </c>
      <c r="FT108" s="492"/>
      <c r="FU108" s="492"/>
      <c r="FV108" s="493">
        <v>11</v>
      </c>
      <c r="FW108" s="493">
        <v>6</v>
      </c>
      <c r="FX108" s="493">
        <v>1</v>
      </c>
      <c r="FY108" s="493">
        <v>1</v>
      </c>
      <c r="FZ108" s="199"/>
      <c r="GA108" s="491"/>
      <c r="GB108" s="492">
        <v>2</v>
      </c>
      <c r="GC108" s="492">
        <v>1</v>
      </c>
      <c r="GD108" s="492"/>
      <c r="GE108" s="493">
        <v>1</v>
      </c>
      <c r="GF108" s="493">
        <v>2</v>
      </c>
      <c r="GG108" s="493">
        <v>3</v>
      </c>
      <c r="GH108" s="493">
        <v>5</v>
      </c>
      <c r="GI108" s="199"/>
      <c r="GJ108" s="491">
        <v>349</v>
      </c>
      <c r="GK108" s="492">
        <v>436</v>
      </c>
      <c r="GL108" s="492">
        <v>402</v>
      </c>
      <c r="GM108" s="492">
        <v>320</v>
      </c>
      <c r="GN108" s="493">
        <v>328</v>
      </c>
      <c r="GO108" s="493">
        <v>263</v>
      </c>
      <c r="GP108" s="493">
        <v>183</v>
      </c>
      <c r="GQ108" s="493">
        <v>151</v>
      </c>
      <c r="GR108" s="199"/>
      <c r="GS108" s="491">
        <v>115</v>
      </c>
      <c r="GT108" s="492">
        <v>112</v>
      </c>
      <c r="GU108" s="492">
        <v>106</v>
      </c>
      <c r="GV108" s="492">
        <v>67</v>
      </c>
      <c r="GW108" s="493">
        <v>47</v>
      </c>
      <c r="GX108" s="493">
        <v>34</v>
      </c>
      <c r="GY108" s="493">
        <v>34</v>
      </c>
      <c r="GZ108" s="493">
        <v>35</v>
      </c>
      <c r="HA108" s="199"/>
      <c r="HB108" s="491"/>
      <c r="HC108" s="492"/>
      <c r="HD108" s="492">
        <v>1</v>
      </c>
      <c r="HE108" s="492">
        <v>2</v>
      </c>
      <c r="HF108" s="493">
        <v>1</v>
      </c>
      <c r="HG108" s="493">
        <v>2</v>
      </c>
      <c r="HH108" s="493">
        <v>2</v>
      </c>
      <c r="HI108" s="493">
        <v>2</v>
      </c>
      <c r="HJ108" s="199"/>
      <c r="HK108" s="491"/>
      <c r="HL108" s="492"/>
      <c r="HM108" s="492">
        <v>1</v>
      </c>
      <c r="HN108" s="492"/>
      <c r="HO108" s="493"/>
      <c r="HP108" s="493">
        <v>1</v>
      </c>
      <c r="HQ108" s="493">
        <v>1</v>
      </c>
      <c r="HR108" s="493">
        <v>1</v>
      </c>
      <c r="HS108" s="199"/>
      <c r="HT108" s="491">
        <v>147</v>
      </c>
      <c r="HU108" s="492">
        <v>156</v>
      </c>
      <c r="HV108" s="492">
        <v>130</v>
      </c>
      <c r="HW108" s="492">
        <v>88</v>
      </c>
      <c r="HX108" s="493">
        <v>73</v>
      </c>
      <c r="HY108" s="493">
        <v>84</v>
      </c>
      <c r="HZ108" s="493">
        <v>79</v>
      </c>
      <c r="IA108" s="493">
        <v>93</v>
      </c>
      <c r="IB108" s="199"/>
      <c r="IC108" s="491">
        <v>530</v>
      </c>
      <c r="ID108" s="492">
        <v>633</v>
      </c>
      <c r="IE108" s="492">
        <v>557</v>
      </c>
      <c r="IF108" s="492">
        <v>450</v>
      </c>
      <c r="IG108" s="493">
        <v>798</v>
      </c>
      <c r="IH108" s="493">
        <v>541</v>
      </c>
      <c r="II108" s="493">
        <v>338</v>
      </c>
      <c r="IJ108" s="493">
        <v>308</v>
      </c>
      <c r="IK108" s="199"/>
      <c r="IL108" s="491">
        <v>88</v>
      </c>
      <c r="IM108" s="492">
        <v>106</v>
      </c>
      <c r="IN108" s="492">
        <v>67</v>
      </c>
      <c r="IO108" s="492">
        <v>71</v>
      </c>
      <c r="IP108" s="493">
        <v>33</v>
      </c>
      <c r="IQ108" s="493">
        <v>48</v>
      </c>
      <c r="IR108" s="493">
        <v>37</v>
      </c>
      <c r="IS108" s="493">
        <v>36</v>
      </c>
      <c r="IT108" s="199"/>
      <c r="IU108" s="533">
        <v>2427.9628017774521</v>
      </c>
      <c r="IV108" s="534">
        <v>2927.7091716386849</v>
      </c>
      <c r="IW108" s="534">
        <v>2594.6802068290863</v>
      </c>
      <c r="IX108" s="534">
        <v>2060.6282626614161</v>
      </c>
      <c r="IY108" s="535">
        <v>3674.2023113403006</v>
      </c>
      <c r="IZ108" s="535">
        <v>2572.6878071020019</v>
      </c>
      <c r="JA108" s="535">
        <v>1781.2911725955203</v>
      </c>
      <c r="JB108" s="535">
        <v>1638.2978723404256</v>
      </c>
      <c r="JC108" s="536"/>
      <c r="JD108" s="537">
        <v>673.41609785148194</v>
      </c>
      <c r="JE108" s="538">
        <v>721.52074372138202</v>
      </c>
      <c r="JF108" s="538">
        <v>605.58065868542417</v>
      </c>
      <c r="JG108" s="538">
        <v>402.96730469823245</v>
      </c>
      <c r="JH108" s="538">
        <v>336.11123900732082</v>
      </c>
      <c r="JI108" s="539">
        <v>409.58425171438103</v>
      </c>
      <c r="JJ108" s="539">
        <v>416.33728590250325</v>
      </c>
      <c r="JK108" s="539">
        <v>494.68085106382978</v>
      </c>
      <c r="JL108" s="536"/>
      <c r="JM108" s="537">
        <v>1598.7905996610014</v>
      </c>
      <c r="JN108" s="538">
        <v>2016.5579760418113</v>
      </c>
      <c r="JO108" s="538">
        <v>1872.641729165696</v>
      </c>
      <c r="JP108" s="538">
        <v>1465.3356534481179</v>
      </c>
      <c r="JQ108" s="538">
        <v>1510.1984437589206</v>
      </c>
      <c r="JR108" s="539">
        <v>1267.7996789938786</v>
      </c>
      <c r="JS108" s="539">
        <v>964.42687747035575</v>
      </c>
      <c r="JT108" s="539">
        <v>803.19148936170222</v>
      </c>
      <c r="JU108" s="536"/>
      <c r="JV108" s="537">
        <v>526.82211736680563</v>
      </c>
      <c r="JW108" s="538">
        <v>518.01489292817166</v>
      </c>
      <c r="JX108" s="538">
        <v>493.7811524665766</v>
      </c>
      <c r="JY108" s="538">
        <v>306.80465244069973</v>
      </c>
      <c r="JZ108" s="538">
        <v>216.40038675813804</v>
      </c>
      <c r="KA108" s="539">
        <v>167.4402823193673</v>
      </c>
      <c r="KB108" s="539">
        <v>179.18313570487484</v>
      </c>
      <c r="KC108" s="539">
        <v>186.17021276595744</v>
      </c>
      <c r="KD108" s="536"/>
    </row>
    <row r="109" spans="1:290" ht="15" customHeight="1" thickBot="1" x14ac:dyDescent="0.25">
      <c r="A109" s="930"/>
      <c r="B109" s="494" t="s">
        <v>717</v>
      </c>
      <c r="C109" s="495">
        <v>1</v>
      </c>
      <c r="D109" s="496">
        <v>2</v>
      </c>
      <c r="E109" s="496"/>
      <c r="F109" s="496">
        <v>2</v>
      </c>
      <c r="G109" s="497">
        <v>2</v>
      </c>
      <c r="H109" s="497">
        <v>1</v>
      </c>
      <c r="I109" s="497"/>
      <c r="J109" s="497"/>
      <c r="K109" s="199"/>
      <c r="L109" s="495"/>
      <c r="M109" s="496">
        <v>1</v>
      </c>
      <c r="N109" s="496"/>
      <c r="O109" s="496">
        <v>1</v>
      </c>
      <c r="P109" s="497">
        <v>1</v>
      </c>
      <c r="Q109" s="497"/>
      <c r="R109" s="497"/>
      <c r="S109" s="497"/>
      <c r="T109" s="199"/>
      <c r="U109" s="495">
        <v>1</v>
      </c>
      <c r="V109" s="496">
        <v>1</v>
      </c>
      <c r="W109" s="496"/>
      <c r="X109" s="496">
        <v>1</v>
      </c>
      <c r="Y109" s="497">
        <v>1</v>
      </c>
      <c r="Z109" s="497">
        <v>1</v>
      </c>
      <c r="AA109" s="497"/>
      <c r="AB109" s="497"/>
      <c r="AC109" s="199"/>
      <c r="AD109" s="495">
        <v>45</v>
      </c>
      <c r="AE109" s="496">
        <v>29</v>
      </c>
      <c r="AF109" s="496">
        <v>47</v>
      </c>
      <c r="AG109" s="496">
        <v>20</v>
      </c>
      <c r="AH109" s="497">
        <v>53</v>
      </c>
      <c r="AI109" s="497">
        <v>39</v>
      </c>
      <c r="AJ109" s="497">
        <v>28</v>
      </c>
      <c r="AK109" s="497">
        <v>49</v>
      </c>
      <c r="AL109" s="199"/>
      <c r="AM109" s="495">
        <v>38</v>
      </c>
      <c r="AN109" s="496">
        <v>21</v>
      </c>
      <c r="AO109" s="496">
        <v>31</v>
      </c>
      <c r="AP109" s="496">
        <v>11</v>
      </c>
      <c r="AQ109" s="497">
        <v>35</v>
      </c>
      <c r="AR109" s="497">
        <v>26</v>
      </c>
      <c r="AS109" s="497">
        <v>16</v>
      </c>
      <c r="AT109" s="497">
        <v>27</v>
      </c>
      <c r="AU109" s="199"/>
      <c r="AV109" s="495"/>
      <c r="AW109" s="496"/>
      <c r="AX109" s="496"/>
      <c r="AY109" s="496"/>
      <c r="AZ109" s="497"/>
      <c r="BA109" s="497"/>
      <c r="BB109" s="497"/>
      <c r="BC109" s="497"/>
      <c r="BD109" s="199"/>
      <c r="BE109" s="495">
        <v>4</v>
      </c>
      <c r="BF109" s="496">
        <v>1</v>
      </c>
      <c r="BG109" s="496">
        <v>7</v>
      </c>
      <c r="BH109" s="496">
        <v>6</v>
      </c>
      <c r="BI109" s="497">
        <v>3</v>
      </c>
      <c r="BJ109" s="497">
        <v>7</v>
      </c>
      <c r="BK109" s="497">
        <v>5</v>
      </c>
      <c r="BL109" s="497">
        <v>8</v>
      </c>
      <c r="BM109" s="199"/>
      <c r="BN109" s="495"/>
      <c r="BO109" s="496"/>
      <c r="BP109" s="496"/>
      <c r="BQ109" s="496"/>
      <c r="BR109" s="497"/>
      <c r="BS109" s="497"/>
      <c r="BT109" s="497"/>
      <c r="BU109" s="497"/>
      <c r="BV109" s="199"/>
      <c r="BW109" s="495">
        <v>22</v>
      </c>
      <c r="BX109" s="496">
        <v>26</v>
      </c>
      <c r="BY109" s="496">
        <v>25</v>
      </c>
      <c r="BZ109" s="496">
        <v>28</v>
      </c>
      <c r="CA109" s="497">
        <v>54</v>
      </c>
      <c r="CB109" s="497">
        <v>50</v>
      </c>
      <c r="CC109" s="497">
        <v>52</v>
      </c>
      <c r="CD109" s="497">
        <v>48</v>
      </c>
      <c r="CE109" s="199"/>
      <c r="CF109" s="495">
        <v>1</v>
      </c>
      <c r="CG109" s="496">
        <v>1</v>
      </c>
      <c r="CH109" s="496"/>
      <c r="CI109" s="496">
        <v>2</v>
      </c>
      <c r="CJ109" s="497">
        <v>4</v>
      </c>
      <c r="CK109" s="497">
        <v>3</v>
      </c>
      <c r="CL109" s="497">
        <v>1</v>
      </c>
      <c r="CM109" s="497">
        <v>2</v>
      </c>
      <c r="CN109" s="199"/>
      <c r="CO109" s="495">
        <v>2</v>
      </c>
      <c r="CP109" s="496">
        <v>2</v>
      </c>
      <c r="CQ109" s="496"/>
      <c r="CR109" s="496"/>
      <c r="CS109" s="497">
        <v>1</v>
      </c>
      <c r="CT109" s="497">
        <v>3</v>
      </c>
      <c r="CU109" s="497">
        <v>1</v>
      </c>
      <c r="CV109" s="497"/>
      <c r="CW109" s="199"/>
      <c r="CX109" s="495">
        <v>482</v>
      </c>
      <c r="CY109" s="496">
        <v>364</v>
      </c>
      <c r="CZ109" s="496">
        <v>343</v>
      </c>
      <c r="DA109" s="496">
        <v>305</v>
      </c>
      <c r="DB109" s="497">
        <v>252</v>
      </c>
      <c r="DC109" s="497">
        <v>170</v>
      </c>
      <c r="DD109" s="497">
        <v>130</v>
      </c>
      <c r="DE109" s="497">
        <v>143</v>
      </c>
      <c r="DF109" s="199"/>
      <c r="DG109" s="495">
        <v>2</v>
      </c>
      <c r="DH109" s="496"/>
      <c r="DI109" s="496">
        <v>1</v>
      </c>
      <c r="DJ109" s="496"/>
      <c r="DK109" s="497"/>
      <c r="DL109" s="497"/>
      <c r="DM109" s="497"/>
      <c r="DN109" s="497"/>
      <c r="DO109" s="199"/>
      <c r="DP109" s="495">
        <v>8</v>
      </c>
      <c r="DQ109" s="496">
        <v>15</v>
      </c>
      <c r="DR109" s="496">
        <v>6</v>
      </c>
      <c r="DS109" s="496">
        <v>6</v>
      </c>
      <c r="DT109" s="497">
        <v>13</v>
      </c>
      <c r="DU109" s="497">
        <v>2</v>
      </c>
      <c r="DV109" s="497">
        <v>6</v>
      </c>
      <c r="DW109" s="497">
        <v>7</v>
      </c>
      <c r="DX109" s="199"/>
      <c r="DY109" s="495">
        <v>60</v>
      </c>
      <c r="DZ109" s="496">
        <v>27</v>
      </c>
      <c r="EA109" s="496">
        <v>33</v>
      </c>
      <c r="EB109" s="496">
        <v>40</v>
      </c>
      <c r="EC109" s="497">
        <v>36</v>
      </c>
      <c r="ED109" s="497">
        <v>26</v>
      </c>
      <c r="EE109" s="497">
        <v>27</v>
      </c>
      <c r="EF109" s="497">
        <v>39</v>
      </c>
      <c r="EG109" s="199"/>
      <c r="EH109" s="495">
        <v>3</v>
      </c>
      <c r="EI109" s="496">
        <v>3</v>
      </c>
      <c r="EJ109" s="496">
        <v>3</v>
      </c>
      <c r="EK109" s="496">
        <v>3</v>
      </c>
      <c r="EL109" s="497">
        <v>5</v>
      </c>
      <c r="EM109" s="497">
        <v>4</v>
      </c>
      <c r="EN109" s="497"/>
      <c r="EO109" s="497"/>
      <c r="EP109" s="199"/>
      <c r="EQ109" s="495"/>
      <c r="ER109" s="496">
        <v>1</v>
      </c>
      <c r="ES109" s="496"/>
      <c r="ET109" s="496"/>
      <c r="EU109" s="497"/>
      <c r="EV109" s="497"/>
      <c r="EW109" s="497"/>
      <c r="EX109" s="497">
        <v>1</v>
      </c>
      <c r="EY109" s="199"/>
      <c r="EZ109" s="495"/>
      <c r="FA109" s="496">
        <v>5</v>
      </c>
      <c r="FB109" s="496">
        <v>1</v>
      </c>
      <c r="FC109" s="496"/>
      <c r="FD109" s="497">
        <v>3</v>
      </c>
      <c r="FE109" s="497">
        <v>1</v>
      </c>
      <c r="FF109" s="497">
        <v>1</v>
      </c>
      <c r="FG109" s="497">
        <v>1</v>
      </c>
      <c r="FH109" s="199"/>
      <c r="FI109" s="495">
        <v>28</v>
      </c>
      <c r="FJ109" s="496">
        <v>24</v>
      </c>
      <c r="FK109" s="496">
        <v>20</v>
      </c>
      <c r="FL109" s="496">
        <v>6</v>
      </c>
      <c r="FM109" s="497">
        <v>9</v>
      </c>
      <c r="FN109" s="497">
        <v>12</v>
      </c>
      <c r="FO109" s="497">
        <v>5</v>
      </c>
      <c r="FP109" s="497">
        <v>11</v>
      </c>
      <c r="FQ109" s="199"/>
      <c r="FR109" s="495"/>
      <c r="FS109" s="496">
        <v>6</v>
      </c>
      <c r="FT109" s="496">
        <v>2</v>
      </c>
      <c r="FU109" s="496">
        <v>2</v>
      </c>
      <c r="FV109" s="497">
        <v>4</v>
      </c>
      <c r="FW109" s="497"/>
      <c r="FX109" s="497">
        <v>1</v>
      </c>
      <c r="FY109" s="497"/>
      <c r="FZ109" s="199"/>
      <c r="GA109" s="495">
        <v>6</v>
      </c>
      <c r="GB109" s="496">
        <v>1</v>
      </c>
      <c r="GC109" s="496">
        <v>3</v>
      </c>
      <c r="GD109" s="496">
        <v>1</v>
      </c>
      <c r="GE109" s="497">
        <v>1</v>
      </c>
      <c r="GF109" s="497">
        <v>1</v>
      </c>
      <c r="GG109" s="497">
        <v>1</v>
      </c>
      <c r="GH109" s="497">
        <v>1</v>
      </c>
      <c r="GI109" s="199"/>
      <c r="GJ109" s="495">
        <v>594</v>
      </c>
      <c r="GK109" s="496">
        <v>465</v>
      </c>
      <c r="GL109" s="496">
        <v>451</v>
      </c>
      <c r="GM109" s="496">
        <v>375</v>
      </c>
      <c r="GN109" s="497">
        <v>391</v>
      </c>
      <c r="GO109" s="497">
        <v>291</v>
      </c>
      <c r="GP109" s="497">
        <v>225</v>
      </c>
      <c r="GQ109" s="497">
        <v>264</v>
      </c>
      <c r="GR109" s="199"/>
      <c r="GS109" s="495">
        <v>160</v>
      </c>
      <c r="GT109" s="496">
        <v>154</v>
      </c>
      <c r="GU109" s="496">
        <v>116</v>
      </c>
      <c r="GV109" s="496">
        <v>78</v>
      </c>
      <c r="GW109" s="497">
        <v>79</v>
      </c>
      <c r="GX109" s="497">
        <v>68</v>
      </c>
      <c r="GY109" s="497">
        <v>46</v>
      </c>
      <c r="GZ109" s="497">
        <v>57</v>
      </c>
      <c r="HA109" s="199"/>
      <c r="HB109" s="495"/>
      <c r="HC109" s="496">
        <v>1</v>
      </c>
      <c r="HD109" s="496"/>
      <c r="HE109" s="496">
        <v>1</v>
      </c>
      <c r="HF109" s="497"/>
      <c r="HG109" s="497">
        <v>1</v>
      </c>
      <c r="HH109" s="497"/>
      <c r="HI109" s="497">
        <v>1</v>
      </c>
      <c r="HJ109" s="199"/>
      <c r="HK109" s="495"/>
      <c r="HL109" s="496"/>
      <c r="HM109" s="496"/>
      <c r="HN109" s="496"/>
      <c r="HO109" s="497"/>
      <c r="HP109" s="497"/>
      <c r="HQ109" s="497"/>
      <c r="HR109" s="497"/>
      <c r="HS109" s="199"/>
      <c r="HT109" s="495">
        <v>221</v>
      </c>
      <c r="HU109" s="496">
        <v>183</v>
      </c>
      <c r="HV109" s="496">
        <v>138</v>
      </c>
      <c r="HW109" s="496">
        <v>110</v>
      </c>
      <c r="HX109" s="497">
        <v>124</v>
      </c>
      <c r="HY109" s="497">
        <v>136</v>
      </c>
      <c r="HZ109" s="497">
        <v>107</v>
      </c>
      <c r="IA109" s="497">
        <v>104</v>
      </c>
      <c r="IB109" s="199"/>
      <c r="IC109" s="495">
        <v>811</v>
      </c>
      <c r="ID109" s="496">
        <v>812</v>
      </c>
      <c r="IE109" s="496">
        <v>660</v>
      </c>
      <c r="IF109" s="496">
        <v>632</v>
      </c>
      <c r="IG109" s="497">
        <v>600</v>
      </c>
      <c r="IH109" s="497">
        <v>548</v>
      </c>
      <c r="II109" s="497">
        <v>412</v>
      </c>
      <c r="IJ109" s="497">
        <v>464</v>
      </c>
      <c r="IK109" s="199"/>
      <c r="IL109" s="495">
        <v>123</v>
      </c>
      <c r="IM109" s="496">
        <v>58</v>
      </c>
      <c r="IN109" s="496">
        <v>62</v>
      </c>
      <c r="IO109" s="496">
        <v>50</v>
      </c>
      <c r="IP109" s="497">
        <v>33</v>
      </c>
      <c r="IQ109" s="497">
        <v>34</v>
      </c>
      <c r="IR109" s="497">
        <v>31</v>
      </c>
      <c r="IS109" s="497">
        <v>45</v>
      </c>
      <c r="IT109" s="199"/>
      <c r="IU109" s="540">
        <v>3234.6841097638803</v>
      </c>
      <c r="IV109" s="541">
        <v>3291.5805261664441</v>
      </c>
      <c r="IW109" s="541">
        <v>2711.4744669487695</v>
      </c>
      <c r="IX109" s="541">
        <v>2576.0169560609766</v>
      </c>
      <c r="IY109" s="542">
        <v>2469.3390402502264</v>
      </c>
      <c r="IZ109" s="542">
        <v>2392.3066440505349</v>
      </c>
      <c r="JA109" s="542">
        <v>1988.6089390867844</v>
      </c>
      <c r="JB109" s="542">
        <v>2263.8563622170182</v>
      </c>
      <c r="JC109" s="536"/>
      <c r="JD109" s="537">
        <v>881.46139119336317</v>
      </c>
      <c r="JE109" s="538">
        <v>741.82171956706793</v>
      </c>
      <c r="JF109" s="538">
        <v>566.94466127110638</v>
      </c>
      <c r="JG109" s="538">
        <v>448.3573815928915</v>
      </c>
      <c r="JH109" s="538">
        <v>510.33006831838009</v>
      </c>
      <c r="JI109" s="539">
        <v>591.96118455306453</v>
      </c>
      <c r="JJ109" s="539">
        <v>516.45911767545124</v>
      </c>
      <c r="JK109" s="539">
        <v>507.41608118657302</v>
      </c>
      <c r="JL109" s="536"/>
      <c r="JM109" s="537">
        <v>2369.1767708998086</v>
      </c>
      <c r="JN109" s="538">
        <v>1884.9568284081236</v>
      </c>
      <c r="JO109" s="538">
        <v>1852.8408857483257</v>
      </c>
      <c r="JP109" s="538">
        <v>1528.4910736121301</v>
      </c>
      <c r="JQ109" s="538">
        <v>1609.1859412297308</v>
      </c>
      <c r="JR109" s="539">
        <v>1272.8886940408306</v>
      </c>
      <c r="JS109" s="539">
        <v>1086.0121633362294</v>
      </c>
      <c r="JT109" s="539">
        <v>1288.0562060889931</v>
      </c>
      <c r="JU109" s="536"/>
      <c r="JV109" s="537">
        <v>638.16209317166567</v>
      </c>
      <c r="JW109" s="538">
        <v>624.26527220398066</v>
      </c>
      <c r="JX109" s="538">
        <v>476.56217903948072</v>
      </c>
      <c r="JY109" s="538">
        <v>317.92614331132307</v>
      </c>
      <c r="JZ109" s="538">
        <v>325.12964029961313</v>
      </c>
      <c r="KA109" s="539">
        <v>287.72601234544601</v>
      </c>
      <c r="KB109" s="539">
        <v>222.02915339318469</v>
      </c>
      <c r="KC109" s="539">
        <v>278.10304449648714</v>
      </c>
      <c r="KD109" s="536"/>
    </row>
    <row r="110" spans="1:290" ht="15" customHeight="1" thickBot="1" x14ac:dyDescent="0.25">
      <c r="A110" s="931"/>
      <c r="B110" s="508" t="s">
        <v>787</v>
      </c>
      <c r="C110" s="500">
        <v>7</v>
      </c>
      <c r="D110" s="501">
        <v>7</v>
      </c>
      <c r="E110" s="501">
        <v>7</v>
      </c>
      <c r="F110" s="501">
        <v>5</v>
      </c>
      <c r="G110" s="502">
        <v>9</v>
      </c>
      <c r="H110" s="502">
        <v>4</v>
      </c>
      <c r="I110" s="502">
        <v>2</v>
      </c>
      <c r="J110" s="502">
        <v>4</v>
      </c>
      <c r="K110" s="503"/>
      <c r="L110" s="500">
        <v>3</v>
      </c>
      <c r="M110" s="501">
        <v>3</v>
      </c>
      <c r="N110" s="501">
        <v>1</v>
      </c>
      <c r="O110" s="501">
        <v>2</v>
      </c>
      <c r="P110" s="502">
        <v>4</v>
      </c>
      <c r="Q110" s="502">
        <v>2</v>
      </c>
      <c r="R110" s="502">
        <v>1</v>
      </c>
      <c r="S110" s="502">
        <v>2</v>
      </c>
      <c r="T110" s="503"/>
      <c r="U110" s="500">
        <v>3</v>
      </c>
      <c r="V110" s="501">
        <v>2</v>
      </c>
      <c r="W110" s="501">
        <v>4</v>
      </c>
      <c r="X110" s="501">
        <v>2</v>
      </c>
      <c r="Y110" s="502">
        <v>3</v>
      </c>
      <c r="Z110" s="502">
        <v>2</v>
      </c>
      <c r="AA110" s="502">
        <v>1</v>
      </c>
      <c r="AB110" s="502"/>
      <c r="AC110" s="503"/>
      <c r="AD110" s="500">
        <v>382</v>
      </c>
      <c r="AE110" s="501">
        <v>352</v>
      </c>
      <c r="AF110" s="501">
        <v>331</v>
      </c>
      <c r="AG110" s="501">
        <v>300</v>
      </c>
      <c r="AH110" s="502">
        <v>361</v>
      </c>
      <c r="AI110" s="502">
        <v>330</v>
      </c>
      <c r="AJ110" s="502">
        <v>224</v>
      </c>
      <c r="AK110" s="502">
        <v>277</v>
      </c>
      <c r="AL110" s="503"/>
      <c r="AM110" s="500">
        <v>243</v>
      </c>
      <c r="AN110" s="501">
        <v>218</v>
      </c>
      <c r="AO110" s="501">
        <v>203</v>
      </c>
      <c r="AP110" s="501">
        <v>172</v>
      </c>
      <c r="AQ110" s="502">
        <v>195</v>
      </c>
      <c r="AR110" s="502">
        <v>201</v>
      </c>
      <c r="AS110" s="502">
        <v>136</v>
      </c>
      <c r="AT110" s="502">
        <v>136</v>
      </c>
      <c r="AU110" s="503"/>
      <c r="AV110" s="500"/>
      <c r="AW110" s="501">
        <v>1</v>
      </c>
      <c r="AX110" s="501"/>
      <c r="AY110" s="501"/>
      <c r="AZ110" s="502"/>
      <c r="BA110" s="502"/>
      <c r="BB110" s="502"/>
      <c r="BC110" s="502"/>
      <c r="BD110" s="503"/>
      <c r="BE110" s="500">
        <v>29</v>
      </c>
      <c r="BF110" s="501">
        <v>54</v>
      </c>
      <c r="BG110" s="501">
        <v>56</v>
      </c>
      <c r="BH110" s="501">
        <v>55</v>
      </c>
      <c r="BI110" s="502">
        <v>67</v>
      </c>
      <c r="BJ110" s="502">
        <v>76</v>
      </c>
      <c r="BK110" s="502">
        <v>52</v>
      </c>
      <c r="BL110" s="502">
        <v>60</v>
      </c>
      <c r="BM110" s="503"/>
      <c r="BN110" s="500"/>
      <c r="BO110" s="501"/>
      <c r="BP110" s="501"/>
      <c r="BQ110" s="501"/>
      <c r="BR110" s="502"/>
      <c r="BS110" s="502"/>
      <c r="BT110" s="502"/>
      <c r="BU110" s="502"/>
      <c r="BV110" s="503"/>
      <c r="BW110" s="500">
        <v>366</v>
      </c>
      <c r="BX110" s="501">
        <v>388</v>
      </c>
      <c r="BY110" s="501">
        <v>370</v>
      </c>
      <c r="BZ110" s="501">
        <v>308</v>
      </c>
      <c r="CA110" s="502">
        <v>399</v>
      </c>
      <c r="CB110" s="502">
        <v>382</v>
      </c>
      <c r="CC110" s="502">
        <v>284</v>
      </c>
      <c r="CD110" s="502">
        <v>315</v>
      </c>
      <c r="CE110" s="503"/>
      <c r="CF110" s="500">
        <v>17</v>
      </c>
      <c r="CG110" s="501">
        <v>8</v>
      </c>
      <c r="CH110" s="501">
        <v>16</v>
      </c>
      <c r="CI110" s="501">
        <v>20</v>
      </c>
      <c r="CJ110" s="502">
        <v>15</v>
      </c>
      <c r="CK110" s="502">
        <v>13</v>
      </c>
      <c r="CL110" s="502">
        <v>7</v>
      </c>
      <c r="CM110" s="502">
        <v>10</v>
      </c>
      <c r="CN110" s="503"/>
      <c r="CO110" s="500">
        <v>14</v>
      </c>
      <c r="CP110" s="501">
        <v>9</v>
      </c>
      <c r="CQ110" s="501">
        <v>13</v>
      </c>
      <c r="CR110" s="501">
        <v>14</v>
      </c>
      <c r="CS110" s="502">
        <v>12</v>
      </c>
      <c r="CT110" s="502">
        <v>11</v>
      </c>
      <c r="CU110" s="502">
        <v>11</v>
      </c>
      <c r="CV110" s="502">
        <v>10</v>
      </c>
      <c r="CW110" s="503"/>
      <c r="CX110" s="500">
        <v>2964</v>
      </c>
      <c r="CY110" s="501">
        <v>3258</v>
      </c>
      <c r="CZ110" s="501">
        <v>3176</v>
      </c>
      <c r="DA110" s="501">
        <v>2708</v>
      </c>
      <c r="DB110" s="502">
        <v>2231</v>
      </c>
      <c r="DC110" s="502">
        <v>1732</v>
      </c>
      <c r="DD110" s="502">
        <v>1352</v>
      </c>
      <c r="DE110" s="502">
        <v>1127</v>
      </c>
      <c r="DF110" s="503"/>
      <c r="DG110" s="500">
        <v>15</v>
      </c>
      <c r="DH110" s="501">
        <v>10</v>
      </c>
      <c r="DI110" s="501">
        <v>11</v>
      </c>
      <c r="DJ110" s="501">
        <v>9</v>
      </c>
      <c r="DK110" s="502">
        <v>11</v>
      </c>
      <c r="DL110" s="502">
        <v>12</v>
      </c>
      <c r="DM110" s="502"/>
      <c r="DN110" s="502">
        <v>3</v>
      </c>
      <c r="DO110" s="503"/>
      <c r="DP110" s="500">
        <v>56</v>
      </c>
      <c r="DQ110" s="501">
        <v>76</v>
      </c>
      <c r="DR110" s="501">
        <v>47</v>
      </c>
      <c r="DS110" s="501">
        <v>39</v>
      </c>
      <c r="DT110" s="502">
        <v>64</v>
      </c>
      <c r="DU110" s="502">
        <v>24</v>
      </c>
      <c r="DV110" s="502">
        <v>23</v>
      </c>
      <c r="DW110" s="502">
        <v>23</v>
      </c>
      <c r="DX110" s="503"/>
      <c r="DY110" s="500">
        <v>323</v>
      </c>
      <c r="DZ110" s="501">
        <v>331</v>
      </c>
      <c r="EA110" s="501">
        <v>256</v>
      </c>
      <c r="EB110" s="501">
        <v>371</v>
      </c>
      <c r="EC110" s="502">
        <v>307</v>
      </c>
      <c r="ED110" s="502">
        <v>321</v>
      </c>
      <c r="EE110" s="502">
        <v>242</v>
      </c>
      <c r="EF110" s="502">
        <v>211</v>
      </c>
      <c r="EG110" s="503"/>
      <c r="EH110" s="500">
        <v>46</v>
      </c>
      <c r="EI110" s="501">
        <v>25</v>
      </c>
      <c r="EJ110" s="501">
        <v>26</v>
      </c>
      <c r="EK110" s="501">
        <v>27</v>
      </c>
      <c r="EL110" s="502">
        <v>21</v>
      </c>
      <c r="EM110" s="502">
        <v>30</v>
      </c>
      <c r="EN110" s="502">
        <v>20</v>
      </c>
      <c r="EO110" s="502">
        <v>9</v>
      </c>
      <c r="EP110" s="503"/>
      <c r="EQ110" s="500">
        <v>13</v>
      </c>
      <c r="ER110" s="501">
        <v>5</v>
      </c>
      <c r="ES110" s="501">
        <v>7</v>
      </c>
      <c r="ET110" s="501">
        <v>6</v>
      </c>
      <c r="EU110" s="502">
        <v>3</v>
      </c>
      <c r="EV110" s="502">
        <v>8</v>
      </c>
      <c r="EW110" s="502">
        <v>8</v>
      </c>
      <c r="EX110" s="502">
        <v>15</v>
      </c>
      <c r="EY110" s="503"/>
      <c r="EZ110" s="500">
        <v>11</v>
      </c>
      <c r="FA110" s="501">
        <v>16</v>
      </c>
      <c r="FB110" s="501">
        <v>25</v>
      </c>
      <c r="FC110" s="501">
        <v>4</v>
      </c>
      <c r="FD110" s="502">
        <v>10</v>
      </c>
      <c r="FE110" s="502">
        <v>13</v>
      </c>
      <c r="FF110" s="502">
        <v>10</v>
      </c>
      <c r="FG110" s="502">
        <v>6</v>
      </c>
      <c r="FH110" s="503"/>
      <c r="FI110" s="500">
        <v>198</v>
      </c>
      <c r="FJ110" s="501">
        <v>169</v>
      </c>
      <c r="FK110" s="501">
        <v>152</v>
      </c>
      <c r="FL110" s="501">
        <v>81</v>
      </c>
      <c r="FM110" s="502">
        <v>98</v>
      </c>
      <c r="FN110" s="502">
        <v>91</v>
      </c>
      <c r="FO110" s="502">
        <v>56</v>
      </c>
      <c r="FP110" s="502">
        <v>74</v>
      </c>
      <c r="FQ110" s="503"/>
      <c r="FR110" s="500">
        <v>21</v>
      </c>
      <c r="FS110" s="501">
        <v>29</v>
      </c>
      <c r="FT110" s="501">
        <v>16</v>
      </c>
      <c r="FU110" s="501">
        <v>19</v>
      </c>
      <c r="FV110" s="502">
        <v>22</v>
      </c>
      <c r="FW110" s="502">
        <v>18</v>
      </c>
      <c r="FX110" s="502">
        <v>7</v>
      </c>
      <c r="FY110" s="502">
        <v>4</v>
      </c>
      <c r="FZ110" s="503"/>
      <c r="GA110" s="500">
        <v>19</v>
      </c>
      <c r="GB110" s="501">
        <v>22</v>
      </c>
      <c r="GC110" s="501">
        <v>16</v>
      </c>
      <c r="GD110" s="501">
        <v>6</v>
      </c>
      <c r="GE110" s="502">
        <v>25</v>
      </c>
      <c r="GF110" s="502">
        <v>18</v>
      </c>
      <c r="GG110" s="502">
        <v>18</v>
      </c>
      <c r="GH110" s="502">
        <v>22</v>
      </c>
      <c r="GI110" s="503"/>
      <c r="GJ110" s="500">
        <v>4087</v>
      </c>
      <c r="GK110" s="501">
        <v>4342</v>
      </c>
      <c r="GL110" s="501">
        <v>4211</v>
      </c>
      <c r="GM110" s="501">
        <v>3553</v>
      </c>
      <c r="GN110" s="502">
        <v>3273</v>
      </c>
      <c r="GO110" s="502">
        <v>2726</v>
      </c>
      <c r="GP110" s="502">
        <v>2051</v>
      </c>
      <c r="GQ110" s="502">
        <v>1933</v>
      </c>
      <c r="GR110" s="503"/>
      <c r="GS110" s="500">
        <v>1244</v>
      </c>
      <c r="GT110" s="501">
        <v>1285</v>
      </c>
      <c r="GU110" s="501">
        <v>1187</v>
      </c>
      <c r="GV110" s="501">
        <v>922</v>
      </c>
      <c r="GW110" s="502">
        <v>575</v>
      </c>
      <c r="GX110" s="502">
        <v>521</v>
      </c>
      <c r="GY110" s="502">
        <v>410</v>
      </c>
      <c r="GZ110" s="502">
        <v>425</v>
      </c>
      <c r="HA110" s="503"/>
      <c r="HB110" s="500">
        <v>10</v>
      </c>
      <c r="HC110" s="501">
        <v>10</v>
      </c>
      <c r="HD110" s="501">
        <v>13</v>
      </c>
      <c r="HE110" s="501">
        <v>9</v>
      </c>
      <c r="HF110" s="502">
        <v>5</v>
      </c>
      <c r="HG110" s="502">
        <v>11</v>
      </c>
      <c r="HH110" s="502">
        <v>7</v>
      </c>
      <c r="HI110" s="502">
        <v>17</v>
      </c>
      <c r="HJ110" s="503"/>
      <c r="HK110" s="500">
        <v>5</v>
      </c>
      <c r="HL110" s="501">
        <v>3</v>
      </c>
      <c r="HM110" s="501">
        <v>4</v>
      </c>
      <c r="HN110" s="501">
        <v>1</v>
      </c>
      <c r="HO110" s="502">
        <v>1</v>
      </c>
      <c r="HP110" s="502">
        <v>2</v>
      </c>
      <c r="HQ110" s="502">
        <v>4</v>
      </c>
      <c r="HR110" s="502">
        <v>6</v>
      </c>
      <c r="HS110" s="503"/>
      <c r="HT110" s="500">
        <v>1614</v>
      </c>
      <c r="HU110" s="501">
        <v>1618</v>
      </c>
      <c r="HV110" s="501">
        <v>1475</v>
      </c>
      <c r="HW110" s="501">
        <v>1185</v>
      </c>
      <c r="HX110" s="502">
        <v>916</v>
      </c>
      <c r="HY110" s="502">
        <v>949</v>
      </c>
      <c r="HZ110" s="502">
        <v>901</v>
      </c>
      <c r="IA110" s="502">
        <v>871</v>
      </c>
      <c r="IB110" s="503"/>
      <c r="IC110" s="500">
        <v>6742</v>
      </c>
      <c r="ID110" s="501">
        <v>8022</v>
      </c>
      <c r="IE110" s="501">
        <v>7333</v>
      </c>
      <c r="IF110" s="501">
        <v>10473</v>
      </c>
      <c r="IG110" s="502">
        <v>6020</v>
      </c>
      <c r="IH110" s="502">
        <v>4861</v>
      </c>
      <c r="II110" s="502">
        <v>3645</v>
      </c>
      <c r="IJ110" s="502">
        <v>3678</v>
      </c>
      <c r="IK110" s="503"/>
      <c r="IL110" s="500">
        <v>721</v>
      </c>
      <c r="IM110" s="501">
        <v>739</v>
      </c>
      <c r="IN110" s="501">
        <v>663</v>
      </c>
      <c r="IO110" s="501">
        <v>465</v>
      </c>
      <c r="IP110" s="502">
        <v>287</v>
      </c>
      <c r="IQ110" s="502">
        <v>445</v>
      </c>
      <c r="IR110" s="502">
        <v>339</v>
      </c>
      <c r="IS110" s="502">
        <v>295</v>
      </c>
      <c r="IT110" s="503"/>
      <c r="IU110" s="547">
        <v>3290.1125821674141</v>
      </c>
      <c r="IV110" s="548">
        <v>3972.880214343375</v>
      </c>
      <c r="IW110" s="548">
        <v>3686.1656939773698</v>
      </c>
      <c r="IX110" s="548">
        <v>5216.8065552539165</v>
      </c>
      <c r="IY110" s="549">
        <v>3034.3965482479134</v>
      </c>
      <c r="IZ110" s="549">
        <v>2481.0767495393602</v>
      </c>
      <c r="JA110" s="549">
        <v>1879.3891083084984</v>
      </c>
      <c r="JB110" s="549">
        <v>1909.9250673770464</v>
      </c>
      <c r="JC110" s="550"/>
      <c r="JD110" s="551">
        <v>787.63596968528714</v>
      </c>
      <c r="JE110" s="552">
        <v>801.31141695432314</v>
      </c>
      <c r="JF110" s="552">
        <v>741.45566597799257</v>
      </c>
      <c r="JG110" s="552">
        <v>590.27172424099024</v>
      </c>
      <c r="JH110" s="552">
        <v>461.71216581313757</v>
      </c>
      <c r="JI110" s="553">
        <v>484.37396324066083</v>
      </c>
      <c r="JJ110" s="553">
        <v>464.56230084662741</v>
      </c>
      <c r="JK110" s="553">
        <v>452.29601242126364</v>
      </c>
      <c r="JL110" s="550"/>
      <c r="JM110" s="551">
        <v>1994.4660521089027</v>
      </c>
      <c r="JN110" s="552">
        <v>2150.3672264620964</v>
      </c>
      <c r="JO110" s="552">
        <v>2116.7930911412386</v>
      </c>
      <c r="JP110" s="552">
        <v>1769.8189335259397</v>
      </c>
      <c r="JQ110" s="552">
        <v>1649.7641033912657</v>
      </c>
      <c r="JR110" s="553">
        <v>1391.362933397304</v>
      </c>
      <c r="JS110" s="553">
        <v>1057.5108535365514</v>
      </c>
      <c r="JT110" s="553">
        <v>1003.775191745468</v>
      </c>
      <c r="JU110" s="550"/>
      <c r="JV110" s="551">
        <v>607.07505965830069</v>
      </c>
      <c r="JW110" s="552">
        <v>636.39380147484883</v>
      </c>
      <c r="JX110" s="552">
        <v>596.68330543449304</v>
      </c>
      <c r="JY110" s="552">
        <v>459.26626983138652</v>
      </c>
      <c r="JZ110" s="552">
        <v>289.83023509012463</v>
      </c>
      <c r="KA110" s="553">
        <v>265.92079541452506</v>
      </c>
      <c r="KB110" s="553">
        <v>211.39904921988594</v>
      </c>
      <c r="KC110" s="553">
        <v>220.69552844895185</v>
      </c>
      <c r="KD110" s="550"/>
    </row>
    <row r="111" spans="1:290" ht="15" customHeight="1" x14ac:dyDescent="0.2">
      <c r="A111" s="929" t="s">
        <v>555</v>
      </c>
      <c r="B111" s="485" t="s">
        <v>718</v>
      </c>
      <c r="C111" s="486"/>
      <c r="D111" s="487">
        <v>3</v>
      </c>
      <c r="E111" s="487">
        <v>3</v>
      </c>
      <c r="F111" s="487">
        <v>3</v>
      </c>
      <c r="G111" s="488">
        <v>1</v>
      </c>
      <c r="H111" s="488">
        <v>2</v>
      </c>
      <c r="I111" s="488">
        <v>5</v>
      </c>
      <c r="J111" s="488"/>
      <c r="K111" s="489"/>
      <c r="L111" s="486"/>
      <c r="M111" s="487"/>
      <c r="N111" s="487">
        <v>2</v>
      </c>
      <c r="O111" s="487">
        <v>2</v>
      </c>
      <c r="P111" s="488"/>
      <c r="Q111" s="488"/>
      <c r="R111" s="488">
        <v>1</v>
      </c>
      <c r="S111" s="488"/>
      <c r="T111" s="489"/>
      <c r="U111" s="486"/>
      <c r="V111" s="487">
        <v>3</v>
      </c>
      <c r="W111" s="487"/>
      <c r="X111" s="487">
        <v>1</v>
      </c>
      <c r="Y111" s="488">
        <v>1</v>
      </c>
      <c r="Z111" s="488">
        <v>2</v>
      </c>
      <c r="AA111" s="488">
        <v>3</v>
      </c>
      <c r="AB111" s="488"/>
      <c r="AC111" s="489"/>
      <c r="AD111" s="486">
        <v>93</v>
      </c>
      <c r="AE111" s="487">
        <v>83</v>
      </c>
      <c r="AF111" s="487">
        <v>84</v>
      </c>
      <c r="AG111" s="487">
        <v>96</v>
      </c>
      <c r="AH111" s="488">
        <v>93</v>
      </c>
      <c r="AI111" s="488">
        <v>96</v>
      </c>
      <c r="AJ111" s="488">
        <v>70</v>
      </c>
      <c r="AK111" s="488">
        <v>37</v>
      </c>
      <c r="AL111" s="489"/>
      <c r="AM111" s="486">
        <v>67</v>
      </c>
      <c r="AN111" s="487">
        <v>61</v>
      </c>
      <c r="AO111" s="487">
        <v>60</v>
      </c>
      <c r="AP111" s="487">
        <v>63</v>
      </c>
      <c r="AQ111" s="488">
        <v>78</v>
      </c>
      <c r="AR111" s="488">
        <v>60</v>
      </c>
      <c r="AS111" s="488">
        <v>48</v>
      </c>
      <c r="AT111" s="488">
        <v>20</v>
      </c>
      <c r="AU111" s="489"/>
      <c r="AV111" s="486"/>
      <c r="AW111" s="487"/>
      <c r="AX111" s="487"/>
      <c r="AY111" s="487"/>
      <c r="AZ111" s="488"/>
      <c r="BA111" s="488"/>
      <c r="BB111" s="488"/>
      <c r="BC111" s="488"/>
      <c r="BD111" s="489"/>
      <c r="BE111" s="486">
        <v>8</v>
      </c>
      <c r="BF111" s="487">
        <v>7</v>
      </c>
      <c r="BG111" s="487">
        <v>5</v>
      </c>
      <c r="BH111" s="487">
        <v>5</v>
      </c>
      <c r="BI111" s="488">
        <v>4</v>
      </c>
      <c r="BJ111" s="488">
        <v>12</v>
      </c>
      <c r="BK111" s="488">
        <v>11</v>
      </c>
      <c r="BL111" s="488">
        <v>1</v>
      </c>
      <c r="BM111" s="489"/>
      <c r="BN111" s="486"/>
      <c r="BO111" s="487"/>
      <c r="BP111" s="487"/>
      <c r="BQ111" s="487">
        <v>3</v>
      </c>
      <c r="BR111" s="488">
        <v>3</v>
      </c>
      <c r="BS111" s="488">
        <v>20</v>
      </c>
      <c r="BT111" s="488">
        <v>7</v>
      </c>
      <c r="BU111" s="488"/>
      <c r="BV111" s="489"/>
      <c r="BW111" s="486">
        <v>48</v>
      </c>
      <c r="BX111" s="487">
        <v>41</v>
      </c>
      <c r="BY111" s="487">
        <v>46</v>
      </c>
      <c r="BZ111" s="487">
        <v>46</v>
      </c>
      <c r="CA111" s="488">
        <v>56</v>
      </c>
      <c r="CB111" s="488">
        <v>50</v>
      </c>
      <c r="CC111" s="488">
        <v>54</v>
      </c>
      <c r="CD111" s="488">
        <v>32</v>
      </c>
      <c r="CE111" s="489"/>
      <c r="CF111" s="486">
        <v>9</v>
      </c>
      <c r="CG111" s="487">
        <v>5</v>
      </c>
      <c r="CH111" s="487">
        <v>2</v>
      </c>
      <c r="CI111" s="487">
        <v>9</v>
      </c>
      <c r="CJ111" s="488">
        <v>5</v>
      </c>
      <c r="CK111" s="488">
        <v>6</v>
      </c>
      <c r="CL111" s="488">
        <v>4</v>
      </c>
      <c r="CM111" s="488">
        <v>4</v>
      </c>
      <c r="CN111" s="489"/>
      <c r="CO111" s="486">
        <v>4</v>
      </c>
      <c r="CP111" s="487">
        <v>2</v>
      </c>
      <c r="CQ111" s="487">
        <v>7</v>
      </c>
      <c r="CR111" s="487">
        <v>5</v>
      </c>
      <c r="CS111" s="488">
        <v>3</v>
      </c>
      <c r="CT111" s="488">
        <v>6</v>
      </c>
      <c r="CU111" s="488">
        <v>1</v>
      </c>
      <c r="CV111" s="488"/>
      <c r="CW111" s="489"/>
      <c r="CX111" s="486">
        <v>2096</v>
      </c>
      <c r="CY111" s="487">
        <v>2226</v>
      </c>
      <c r="CZ111" s="487">
        <v>2195</v>
      </c>
      <c r="DA111" s="487">
        <v>1766</v>
      </c>
      <c r="DB111" s="488">
        <v>1874</v>
      </c>
      <c r="DC111" s="488">
        <v>1446</v>
      </c>
      <c r="DD111" s="488">
        <v>876</v>
      </c>
      <c r="DE111" s="488">
        <v>792</v>
      </c>
      <c r="DF111" s="489"/>
      <c r="DG111" s="486">
        <v>87</v>
      </c>
      <c r="DH111" s="487">
        <v>95</v>
      </c>
      <c r="DI111" s="487">
        <v>132</v>
      </c>
      <c r="DJ111" s="487">
        <v>89</v>
      </c>
      <c r="DK111" s="488">
        <v>74</v>
      </c>
      <c r="DL111" s="488">
        <v>26</v>
      </c>
      <c r="DM111" s="488">
        <v>10</v>
      </c>
      <c r="DN111" s="488">
        <v>17</v>
      </c>
      <c r="DO111" s="489"/>
      <c r="DP111" s="486">
        <v>198</v>
      </c>
      <c r="DQ111" s="487">
        <v>174</v>
      </c>
      <c r="DR111" s="487">
        <v>205</v>
      </c>
      <c r="DS111" s="487">
        <v>94</v>
      </c>
      <c r="DT111" s="488">
        <v>118</v>
      </c>
      <c r="DU111" s="488">
        <v>131</v>
      </c>
      <c r="DV111" s="488">
        <v>61</v>
      </c>
      <c r="DW111" s="488">
        <v>75</v>
      </c>
      <c r="DX111" s="489"/>
      <c r="DY111" s="486">
        <v>300</v>
      </c>
      <c r="DZ111" s="487">
        <v>345</v>
      </c>
      <c r="EA111" s="487">
        <v>407</v>
      </c>
      <c r="EB111" s="487">
        <v>272</v>
      </c>
      <c r="EC111" s="488">
        <v>412</v>
      </c>
      <c r="ED111" s="488">
        <v>362</v>
      </c>
      <c r="EE111" s="488">
        <v>214</v>
      </c>
      <c r="EF111" s="488">
        <v>139</v>
      </c>
      <c r="EG111" s="489"/>
      <c r="EH111" s="486">
        <v>24</v>
      </c>
      <c r="EI111" s="487">
        <v>36</v>
      </c>
      <c r="EJ111" s="487">
        <v>22</v>
      </c>
      <c r="EK111" s="487">
        <v>29</v>
      </c>
      <c r="EL111" s="488">
        <v>10</v>
      </c>
      <c r="EM111" s="488">
        <v>9</v>
      </c>
      <c r="EN111" s="488">
        <v>10</v>
      </c>
      <c r="EO111" s="488">
        <v>4</v>
      </c>
      <c r="EP111" s="489"/>
      <c r="EQ111" s="486">
        <v>3</v>
      </c>
      <c r="ER111" s="487">
        <v>6</v>
      </c>
      <c r="ES111" s="487">
        <v>9</v>
      </c>
      <c r="ET111" s="487">
        <v>18</v>
      </c>
      <c r="EU111" s="488">
        <v>13</v>
      </c>
      <c r="EV111" s="488">
        <v>9</v>
      </c>
      <c r="EW111" s="488">
        <v>7</v>
      </c>
      <c r="EX111" s="488">
        <v>6</v>
      </c>
      <c r="EY111" s="489"/>
      <c r="EZ111" s="486">
        <v>8</v>
      </c>
      <c r="FA111" s="487">
        <v>5</v>
      </c>
      <c r="FB111" s="487">
        <v>4</v>
      </c>
      <c r="FC111" s="487">
        <v>3</v>
      </c>
      <c r="FD111" s="488">
        <v>5</v>
      </c>
      <c r="FE111" s="488">
        <v>3</v>
      </c>
      <c r="FF111" s="488">
        <v>2</v>
      </c>
      <c r="FG111" s="488">
        <v>2</v>
      </c>
      <c r="FH111" s="489"/>
      <c r="FI111" s="486">
        <v>308</v>
      </c>
      <c r="FJ111" s="487">
        <v>273</v>
      </c>
      <c r="FK111" s="487">
        <v>222</v>
      </c>
      <c r="FL111" s="487">
        <v>140</v>
      </c>
      <c r="FM111" s="488">
        <v>145</v>
      </c>
      <c r="FN111" s="488">
        <v>128</v>
      </c>
      <c r="FO111" s="488">
        <v>106</v>
      </c>
      <c r="FP111" s="488">
        <v>84</v>
      </c>
      <c r="FQ111" s="489"/>
      <c r="FR111" s="486">
        <v>7</v>
      </c>
      <c r="FS111" s="487">
        <v>8</v>
      </c>
      <c r="FT111" s="487">
        <v>1</v>
      </c>
      <c r="FU111" s="487">
        <v>9</v>
      </c>
      <c r="FV111" s="488">
        <v>9</v>
      </c>
      <c r="FW111" s="488"/>
      <c r="FX111" s="488">
        <v>8</v>
      </c>
      <c r="FY111" s="488">
        <v>1</v>
      </c>
      <c r="FZ111" s="489"/>
      <c r="GA111" s="486">
        <v>22</v>
      </c>
      <c r="GB111" s="487">
        <v>18</v>
      </c>
      <c r="GC111" s="487">
        <v>15</v>
      </c>
      <c r="GD111" s="487">
        <v>18</v>
      </c>
      <c r="GE111" s="488">
        <v>9</v>
      </c>
      <c r="GF111" s="488">
        <v>5</v>
      </c>
      <c r="GG111" s="488">
        <v>13</v>
      </c>
      <c r="GH111" s="488">
        <v>2</v>
      </c>
      <c r="GI111" s="489"/>
      <c r="GJ111" s="486">
        <v>2630</v>
      </c>
      <c r="GK111" s="487">
        <v>2713</v>
      </c>
      <c r="GL111" s="487">
        <v>2615</v>
      </c>
      <c r="GM111" s="487">
        <v>2150</v>
      </c>
      <c r="GN111" s="488">
        <v>2230</v>
      </c>
      <c r="GO111" s="488">
        <v>1792</v>
      </c>
      <c r="GP111" s="488">
        <v>1174</v>
      </c>
      <c r="GQ111" s="488">
        <v>965</v>
      </c>
      <c r="GR111" s="489"/>
      <c r="GS111" s="486">
        <v>906</v>
      </c>
      <c r="GT111" s="487">
        <v>917</v>
      </c>
      <c r="GU111" s="487">
        <v>918</v>
      </c>
      <c r="GV111" s="487">
        <v>618</v>
      </c>
      <c r="GW111" s="488">
        <v>346</v>
      </c>
      <c r="GX111" s="488">
        <v>245</v>
      </c>
      <c r="GY111" s="488">
        <v>167</v>
      </c>
      <c r="GZ111" s="488">
        <v>191</v>
      </c>
      <c r="HA111" s="489"/>
      <c r="HB111" s="486">
        <v>5</v>
      </c>
      <c r="HC111" s="487">
        <v>9</v>
      </c>
      <c r="HD111" s="487">
        <v>2</v>
      </c>
      <c r="HE111" s="487">
        <v>10</v>
      </c>
      <c r="HF111" s="488">
        <v>8</v>
      </c>
      <c r="HG111" s="488">
        <v>13</v>
      </c>
      <c r="HH111" s="488">
        <v>5</v>
      </c>
      <c r="HI111" s="488"/>
      <c r="HJ111" s="489"/>
      <c r="HK111" s="486">
        <v>2</v>
      </c>
      <c r="HL111" s="487">
        <v>7</v>
      </c>
      <c r="HM111" s="487">
        <v>4</v>
      </c>
      <c r="HN111" s="487">
        <v>4</v>
      </c>
      <c r="HO111" s="488">
        <v>5</v>
      </c>
      <c r="HP111" s="488">
        <v>4</v>
      </c>
      <c r="HQ111" s="488"/>
      <c r="HR111" s="488"/>
      <c r="HS111" s="489"/>
      <c r="HT111" s="486">
        <v>1230</v>
      </c>
      <c r="HU111" s="487">
        <v>1142</v>
      </c>
      <c r="HV111" s="487">
        <v>1105</v>
      </c>
      <c r="HW111" s="487">
        <v>864</v>
      </c>
      <c r="HX111" s="488">
        <v>600</v>
      </c>
      <c r="HY111" s="488">
        <v>484</v>
      </c>
      <c r="HZ111" s="488">
        <v>419</v>
      </c>
      <c r="IA111" s="488">
        <v>489</v>
      </c>
      <c r="IB111" s="489"/>
      <c r="IC111" s="486">
        <v>4112</v>
      </c>
      <c r="ID111" s="487">
        <v>5087</v>
      </c>
      <c r="IE111" s="487">
        <v>4680</v>
      </c>
      <c r="IF111" s="487">
        <v>3359</v>
      </c>
      <c r="IG111" s="488">
        <v>3863</v>
      </c>
      <c r="IH111" s="488">
        <v>2949</v>
      </c>
      <c r="II111" s="488">
        <v>2186</v>
      </c>
      <c r="IJ111" s="488">
        <v>2176</v>
      </c>
      <c r="IK111" s="489"/>
      <c r="IL111" s="486">
        <v>505</v>
      </c>
      <c r="IM111" s="487">
        <v>535</v>
      </c>
      <c r="IN111" s="487">
        <v>626</v>
      </c>
      <c r="IO111" s="487">
        <v>269</v>
      </c>
      <c r="IP111" s="488">
        <v>293</v>
      </c>
      <c r="IQ111" s="488">
        <v>496</v>
      </c>
      <c r="IR111" s="488">
        <v>299</v>
      </c>
      <c r="IS111" s="488">
        <v>200</v>
      </c>
      <c r="IT111" s="489"/>
      <c r="IU111" s="526">
        <v>2762.6796380029696</v>
      </c>
      <c r="IV111" s="527">
        <v>3362.8388785689258</v>
      </c>
      <c r="IW111" s="527">
        <v>3057.7842824660897</v>
      </c>
      <c r="IX111" s="527">
        <v>2280.9686137632248</v>
      </c>
      <c r="IY111" s="528">
        <v>2602.8717160895608</v>
      </c>
      <c r="IZ111" s="528">
        <v>1948.9841238185984</v>
      </c>
      <c r="JA111" s="528">
        <v>1548.586365922599</v>
      </c>
      <c r="JB111" s="528">
        <v>1519.2029769675983</v>
      </c>
      <c r="JC111" s="529"/>
      <c r="JD111" s="530">
        <v>826.3852030018611</v>
      </c>
      <c r="JE111" s="531">
        <v>754.93650468364717</v>
      </c>
      <c r="JF111" s="531">
        <v>721.97684447116012</v>
      </c>
      <c r="JG111" s="531">
        <v>586.70940228979646</v>
      </c>
      <c r="JH111" s="531">
        <v>404.27725334034085</v>
      </c>
      <c r="JI111" s="532">
        <v>321.28754092928148</v>
      </c>
      <c r="JJ111" s="532">
        <v>296.82419365122092</v>
      </c>
      <c r="JK111" s="532">
        <v>341.401771938031</v>
      </c>
      <c r="JL111" s="529"/>
      <c r="JM111" s="530">
        <v>1766.98624706902</v>
      </c>
      <c r="JN111" s="531">
        <v>1793.4699975540589</v>
      </c>
      <c r="JO111" s="531">
        <v>1708.5696364634241</v>
      </c>
      <c r="JP111" s="531">
        <v>1459.9828876424333</v>
      </c>
      <c r="JQ111" s="531">
        <v>1502.5637915815998</v>
      </c>
      <c r="JR111" s="532">
        <v>1183.750206526822</v>
      </c>
      <c r="JS111" s="532">
        <v>831.67447099411311</v>
      </c>
      <c r="JT111" s="532">
        <v>673.72742314969321</v>
      </c>
      <c r="JU111" s="529"/>
      <c r="JV111" s="530">
        <v>608.70324708917576</v>
      </c>
      <c r="JW111" s="531">
        <v>606.19682556471503</v>
      </c>
      <c r="JX111" s="531">
        <v>599.79614771450224</v>
      </c>
      <c r="JY111" s="531">
        <v>419.66019747117377</v>
      </c>
      <c r="JZ111" s="531">
        <v>233.13321609292987</v>
      </c>
      <c r="KA111" s="532">
        <v>163.98032913802501</v>
      </c>
      <c r="KB111" s="532">
        <v>118.30463088246754</v>
      </c>
      <c r="KC111" s="532">
        <v>133.34915836434342</v>
      </c>
      <c r="KD111" s="529"/>
    </row>
    <row r="112" spans="1:290" ht="15" customHeight="1" x14ac:dyDescent="0.2">
      <c r="A112" s="930"/>
      <c r="B112" s="490" t="s">
        <v>719</v>
      </c>
      <c r="C112" s="491">
        <v>3</v>
      </c>
      <c r="D112" s="492">
        <v>6</v>
      </c>
      <c r="E112" s="492">
        <v>3</v>
      </c>
      <c r="F112" s="492">
        <v>4</v>
      </c>
      <c r="G112" s="493">
        <v>1</v>
      </c>
      <c r="H112" s="493">
        <v>1</v>
      </c>
      <c r="I112" s="493">
        <v>2</v>
      </c>
      <c r="J112" s="493">
        <v>6</v>
      </c>
      <c r="K112" s="199"/>
      <c r="L112" s="491">
        <v>1</v>
      </c>
      <c r="M112" s="492">
        <v>5</v>
      </c>
      <c r="N112" s="492">
        <v>1</v>
      </c>
      <c r="O112" s="492">
        <v>3</v>
      </c>
      <c r="P112" s="493"/>
      <c r="Q112" s="493"/>
      <c r="R112" s="493">
        <v>1</v>
      </c>
      <c r="S112" s="493">
        <v>5</v>
      </c>
      <c r="T112" s="199"/>
      <c r="U112" s="491">
        <v>2</v>
      </c>
      <c r="V112" s="492"/>
      <c r="W112" s="492">
        <v>1</v>
      </c>
      <c r="X112" s="492">
        <v>1</v>
      </c>
      <c r="Y112" s="493">
        <v>1</v>
      </c>
      <c r="Z112" s="493">
        <v>1</v>
      </c>
      <c r="AA112" s="493">
        <v>1</v>
      </c>
      <c r="AB112" s="493">
        <v>1</v>
      </c>
      <c r="AC112" s="199"/>
      <c r="AD112" s="491">
        <v>102</v>
      </c>
      <c r="AE112" s="492">
        <v>103</v>
      </c>
      <c r="AF112" s="492">
        <v>95</v>
      </c>
      <c r="AG112" s="492">
        <v>132</v>
      </c>
      <c r="AH112" s="493">
        <v>143</v>
      </c>
      <c r="AI112" s="493">
        <v>171</v>
      </c>
      <c r="AJ112" s="493">
        <v>99</v>
      </c>
      <c r="AK112" s="493">
        <v>97</v>
      </c>
      <c r="AL112" s="199"/>
      <c r="AM112" s="491">
        <v>69</v>
      </c>
      <c r="AN112" s="492">
        <v>61</v>
      </c>
      <c r="AO112" s="492">
        <v>52</v>
      </c>
      <c r="AP112" s="492">
        <v>67</v>
      </c>
      <c r="AQ112" s="493">
        <v>82</v>
      </c>
      <c r="AR112" s="493">
        <v>94</v>
      </c>
      <c r="AS112" s="493">
        <v>59</v>
      </c>
      <c r="AT112" s="493">
        <v>52</v>
      </c>
      <c r="AU112" s="199"/>
      <c r="AV112" s="491"/>
      <c r="AW112" s="492"/>
      <c r="AX112" s="492"/>
      <c r="AY112" s="492"/>
      <c r="AZ112" s="493"/>
      <c r="BA112" s="493"/>
      <c r="BB112" s="493"/>
      <c r="BC112" s="493">
        <v>1</v>
      </c>
      <c r="BD112" s="199"/>
      <c r="BE112" s="491">
        <v>21</v>
      </c>
      <c r="BF112" s="492">
        <v>12</v>
      </c>
      <c r="BG112" s="492">
        <v>9</v>
      </c>
      <c r="BH112" s="492">
        <v>12</v>
      </c>
      <c r="BI112" s="493">
        <v>7</v>
      </c>
      <c r="BJ112" s="493">
        <v>16</v>
      </c>
      <c r="BK112" s="493">
        <v>9</v>
      </c>
      <c r="BL112" s="493">
        <v>3</v>
      </c>
      <c r="BM112" s="199"/>
      <c r="BN112" s="491"/>
      <c r="BO112" s="492"/>
      <c r="BP112" s="492"/>
      <c r="BQ112" s="492"/>
      <c r="BR112" s="493"/>
      <c r="BS112" s="493">
        <v>1</v>
      </c>
      <c r="BT112" s="493"/>
      <c r="BU112" s="493"/>
      <c r="BV112" s="199"/>
      <c r="BW112" s="491">
        <v>55</v>
      </c>
      <c r="BX112" s="492">
        <v>58</v>
      </c>
      <c r="BY112" s="492">
        <v>62</v>
      </c>
      <c r="BZ112" s="492">
        <v>98</v>
      </c>
      <c r="CA112" s="493">
        <v>144</v>
      </c>
      <c r="CB112" s="493">
        <v>149</v>
      </c>
      <c r="CC112" s="493">
        <v>89</v>
      </c>
      <c r="CD112" s="493">
        <v>69</v>
      </c>
      <c r="CE112" s="199"/>
      <c r="CF112" s="491">
        <v>5</v>
      </c>
      <c r="CG112" s="492">
        <v>5</v>
      </c>
      <c r="CH112" s="492">
        <v>11</v>
      </c>
      <c r="CI112" s="492">
        <v>7</v>
      </c>
      <c r="CJ112" s="493">
        <v>9</v>
      </c>
      <c r="CK112" s="493">
        <v>10</v>
      </c>
      <c r="CL112" s="493"/>
      <c r="CM112" s="493">
        <v>3</v>
      </c>
      <c r="CN112" s="199"/>
      <c r="CO112" s="491"/>
      <c r="CP112" s="492">
        <v>2</v>
      </c>
      <c r="CQ112" s="492">
        <v>3</v>
      </c>
      <c r="CR112" s="492">
        <v>3</v>
      </c>
      <c r="CS112" s="493">
        <v>3</v>
      </c>
      <c r="CT112" s="493">
        <v>2</v>
      </c>
      <c r="CU112" s="493">
        <v>1</v>
      </c>
      <c r="CV112" s="493">
        <v>2</v>
      </c>
      <c r="CW112" s="199"/>
      <c r="CX112" s="491">
        <v>1682</v>
      </c>
      <c r="CY112" s="492">
        <v>2163</v>
      </c>
      <c r="CZ112" s="492">
        <v>2962</v>
      </c>
      <c r="DA112" s="492">
        <v>1884</v>
      </c>
      <c r="DB112" s="493">
        <v>1281</v>
      </c>
      <c r="DC112" s="493">
        <v>1030</v>
      </c>
      <c r="DD112" s="493">
        <v>647</v>
      </c>
      <c r="DE112" s="493">
        <v>535</v>
      </c>
      <c r="DF112" s="199"/>
      <c r="DG112" s="491">
        <v>17</v>
      </c>
      <c r="DH112" s="492">
        <v>24</v>
      </c>
      <c r="DI112" s="492">
        <v>38</v>
      </c>
      <c r="DJ112" s="492">
        <v>19</v>
      </c>
      <c r="DK112" s="493">
        <v>7</v>
      </c>
      <c r="DL112" s="493">
        <v>4</v>
      </c>
      <c r="DM112" s="493">
        <v>2</v>
      </c>
      <c r="DN112" s="493">
        <v>10</v>
      </c>
      <c r="DO112" s="199"/>
      <c r="DP112" s="491">
        <v>82</v>
      </c>
      <c r="DQ112" s="492">
        <v>59</v>
      </c>
      <c r="DR112" s="492">
        <v>72</v>
      </c>
      <c r="DS112" s="492">
        <v>54</v>
      </c>
      <c r="DT112" s="493">
        <v>27</v>
      </c>
      <c r="DU112" s="493">
        <v>25</v>
      </c>
      <c r="DV112" s="493">
        <v>10</v>
      </c>
      <c r="DW112" s="493">
        <v>6</v>
      </c>
      <c r="DX112" s="199"/>
      <c r="DY112" s="491">
        <v>213</v>
      </c>
      <c r="DZ112" s="492">
        <v>182</v>
      </c>
      <c r="EA112" s="492">
        <v>379</v>
      </c>
      <c r="EB112" s="492">
        <v>295</v>
      </c>
      <c r="EC112" s="493">
        <v>247</v>
      </c>
      <c r="ED112" s="493">
        <v>225</v>
      </c>
      <c r="EE112" s="493">
        <v>150</v>
      </c>
      <c r="EF112" s="493">
        <v>141</v>
      </c>
      <c r="EG112" s="199"/>
      <c r="EH112" s="491">
        <v>38</v>
      </c>
      <c r="EI112" s="492">
        <v>32</v>
      </c>
      <c r="EJ112" s="492">
        <v>48</v>
      </c>
      <c r="EK112" s="492">
        <v>19</v>
      </c>
      <c r="EL112" s="493">
        <v>32</v>
      </c>
      <c r="EM112" s="493">
        <v>11</v>
      </c>
      <c r="EN112" s="493">
        <v>9</v>
      </c>
      <c r="EO112" s="493">
        <v>13</v>
      </c>
      <c r="EP112" s="199"/>
      <c r="EQ112" s="491">
        <v>5</v>
      </c>
      <c r="ER112" s="492">
        <v>3</v>
      </c>
      <c r="ES112" s="492">
        <v>2</v>
      </c>
      <c r="ET112" s="492">
        <v>4</v>
      </c>
      <c r="EU112" s="493">
        <v>18</v>
      </c>
      <c r="EV112" s="493">
        <v>15</v>
      </c>
      <c r="EW112" s="493">
        <v>14</v>
      </c>
      <c r="EX112" s="493">
        <v>14</v>
      </c>
      <c r="EY112" s="199"/>
      <c r="EZ112" s="491">
        <v>6</v>
      </c>
      <c r="FA112" s="492">
        <v>12</v>
      </c>
      <c r="FB112" s="492">
        <v>5</v>
      </c>
      <c r="FC112" s="492">
        <v>11</v>
      </c>
      <c r="FD112" s="493">
        <v>2</v>
      </c>
      <c r="FE112" s="493">
        <v>1</v>
      </c>
      <c r="FF112" s="493">
        <v>6</v>
      </c>
      <c r="FG112" s="493">
        <v>2</v>
      </c>
      <c r="FH112" s="199"/>
      <c r="FI112" s="491">
        <v>90</v>
      </c>
      <c r="FJ112" s="492">
        <v>122</v>
      </c>
      <c r="FK112" s="492">
        <v>118</v>
      </c>
      <c r="FL112" s="492">
        <v>73</v>
      </c>
      <c r="FM112" s="493">
        <v>30</v>
      </c>
      <c r="FN112" s="493">
        <v>44</v>
      </c>
      <c r="FO112" s="493">
        <v>33</v>
      </c>
      <c r="FP112" s="493">
        <v>31</v>
      </c>
      <c r="FQ112" s="199"/>
      <c r="FR112" s="491">
        <v>4</v>
      </c>
      <c r="FS112" s="492">
        <v>9</v>
      </c>
      <c r="FT112" s="492">
        <v>6</v>
      </c>
      <c r="FU112" s="492">
        <v>13</v>
      </c>
      <c r="FV112" s="493">
        <v>7</v>
      </c>
      <c r="FW112" s="493">
        <v>11</v>
      </c>
      <c r="FX112" s="493">
        <v>4</v>
      </c>
      <c r="FY112" s="493">
        <v>4</v>
      </c>
      <c r="FZ112" s="199"/>
      <c r="GA112" s="491">
        <v>10</v>
      </c>
      <c r="GB112" s="492">
        <v>9</v>
      </c>
      <c r="GC112" s="492">
        <v>11</v>
      </c>
      <c r="GD112" s="492">
        <v>10</v>
      </c>
      <c r="GE112" s="493">
        <v>7</v>
      </c>
      <c r="GF112" s="493">
        <v>9</v>
      </c>
      <c r="GG112" s="493">
        <v>4</v>
      </c>
      <c r="GH112" s="493">
        <v>3</v>
      </c>
      <c r="GI112" s="199"/>
      <c r="GJ112" s="491">
        <v>2021</v>
      </c>
      <c r="GK112" s="492">
        <v>2536</v>
      </c>
      <c r="GL112" s="492">
        <v>3335</v>
      </c>
      <c r="GM112" s="492">
        <v>2270</v>
      </c>
      <c r="GN112" s="493">
        <v>1684</v>
      </c>
      <c r="GO112" s="493">
        <v>1471</v>
      </c>
      <c r="GP112" s="493">
        <v>917</v>
      </c>
      <c r="GQ112" s="493">
        <v>782</v>
      </c>
      <c r="GR112" s="199"/>
      <c r="GS112" s="491">
        <v>625</v>
      </c>
      <c r="GT112" s="492">
        <v>740</v>
      </c>
      <c r="GU112" s="492">
        <v>946</v>
      </c>
      <c r="GV112" s="492">
        <v>627</v>
      </c>
      <c r="GW112" s="493">
        <v>297</v>
      </c>
      <c r="GX112" s="493">
        <v>321</v>
      </c>
      <c r="GY112" s="493">
        <v>169</v>
      </c>
      <c r="GZ112" s="493">
        <v>153</v>
      </c>
      <c r="HA112" s="199"/>
      <c r="HB112" s="491">
        <v>14</v>
      </c>
      <c r="HC112" s="492">
        <v>13</v>
      </c>
      <c r="HD112" s="492">
        <v>13</v>
      </c>
      <c r="HE112" s="492">
        <v>5</v>
      </c>
      <c r="HF112" s="493">
        <v>9</v>
      </c>
      <c r="HG112" s="493">
        <v>10</v>
      </c>
      <c r="HH112" s="493">
        <v>6</v>
      </c>
      <c r="HI112" s="493">
        <v>3</v>
      </c>
      <c r="HJ112" s="199"/>
      <c r="HK112" s="491">
        <v>5</v>
      </c>
      <c r="HL112" s="492">
        <v>3</v>
      </c>
      <c r="HM112" s="492">
        <v>3</v>
      </c>
      <c r="HN112" s="492">
        <v>1</v>
      </c>
      <c r="HO112" s="493">
        <v>1</v>
      </c>
      <c r="HP112" s="493"/>
      <c r="HQ112" s="493">
        <v>1</v>
      </c>
      <c r="HR112" s="493">
        <v>1</v>
      </c>
      <c r="HS112" s="199"/>
      <c r="HT112" s="491">
        <v>870</v>
      </c>
      <c r="HU112" s="492">
        <v>939</v>
      </c>
      <c r="HV112" s="492">
        <v>1129</v>
      </c>
      <c r="HW112" s="492">
        <v>898</v>
      </c>
      <c r="HX112" s="493">
        <v>597</v>
      </c>
      <c r="HY112" s="493">
        <v>636</v>
      </c>
      <c r="HZ112" s="493">
        <v>402</v>
      </c>
      <c r="IA112" s="493">
        <v>418</v>
      </c>
      <c r="IB112" s="199"/>
      <c r="IC112" s="491">
        <v>2859</v>
      </c>
      <c r="ID112" s="492">
        <v>3967</v>
      </c>
      <c r="IE112" s="492">
        <v>4894</v>
      </c>
      <c r="IF112" s="492">
        <v>3366</v>
      </c>
      <c r="IG112" s="493">
        <v>2835</v>
      </c>
      <c r="IH112" s="493">
        <v>2518</v>
      </c>
      <c r="II112" s="493">
        <v>1689</v>
      </c>
      <c r="IJ112" s="493">
        <v>1487</v>
      </c>
      <c r="IK112" s="199"/>
      <c r="IL112" s="491">
        <v>501</v>
      </c>
      <c r="IM112" s="492">
        <v>427</v>
      </c>
      <c r="IN112" s="492">
        <v>786</v>
      </c>
      <c r="IO112" s="492">
        <v>398</v>
      </c>
      <c r="IP112" s="493">
        <v>197</v>
      </c>
      <c r="IQ112" s="493">
        <v>318</v>
      </c>
      <c r="IR112" s="493">
        <v>194</v>
      </c>
      <c r="IS112" s="493">
        <v>170</v>
      </c>
      <c r="IT112" s="199"/>
      <c r="IU112" s="533">
        <v>3102.1798808606677</v>
      </c>
      <c r="IV112" s="534">
        <v>4342.5431298712674</v>
      </c>
      <c r="IW112" s="534">
        <v>5384.8269791494749</v>
      </c>
      <c r="IX112" s="534">
        <v>3770.9638027806095</v>
      </c>
      <c r="IY112" s="535">
        <v>3198.8355561573353</v>
      </c>
      <c r="IZ112" s="535">
        <v>2859.8687049951159</v>
      </c>
      <c r="JA112" s="535">
        <v>1928.1042021027636</v>
      </c>
      <c r="JB112" s="535">
        <v>1698.3998263908718</v>
      </c>
      <c r="JC112" s="536"/>
      <c r="JD112" s="537">
        <v>944.00017360922743</v>
      </c>
      <c r="JE112" s="538">
        <v>1027.8921096418251</v>
      </c>
      <c r="JF112" s="538">
        <v>1242.229190735545</v>
      </c>
      <c r="JG112" s="538">
        <v>1006.038471448897</v>
      </c>
      <c r="JH112" s="538">
        <v>673.61722293683567</v>
      </c>
      <c r="JI112" s="539">
        <v>722.34968084864727</v>
      </c>
      <c r="JJ112" s="539">
        <v>458.90934828023154</v>
      </c>
      <c r="JK112" s="539">
        <v>477.42510250933719</v>
      </c>
      <c r="JL112" s="536"/>
      <c r="JM112" s="537">
        <v>2192.901552717527</v>
      </c>
      <c r="JN112" s="538">
        <v>2776.0749627813293</v>
      </c>
      <c r="JO112" s="538">
        <v>3669.4724101886995</v>
      </c>
      <c r="JP112" s="538">
        <v>2543.1039311681475</v>
      </c>
      <c r="JQ112" s="538">
        <v>1900.1196037280256</v>
      </c>
      <c r="JR112" s="539">
        <v>1670.7175794471073</v>
      </c>
      <c r="JS112" s="539">
        <v>1046.8156029178415</v>
      </c>
      <c r="JT112" s="539">
        <v>893.17327790024331</v>
      </c>
      <c r="JU112" s="536"/>
      <c r="JV112" s="537">
        <v>678.16104425950232</v>
      </c>
      <c r="JW112" s="538">
        <v>810.05341973903137</v>
      </c>
      <c r="JX112" s="538">
        <v>1040.8758320955053</v>
      </c>
      <c r="JY112" s="538">
        <v>702.43443385129001</v>
      </c>
      <c r="JZ112" s="538">
        <v>335.11610588314937</v>
      </c>
      <c r="KA112" s="539">
        <v>364.58215023964749</v>
      </c>
      <c r="KB112" s="539">
        <v>192.92457676457494</v>
      </c>
      <c r="KC112" s="539">
        <v>174.75129350222153</v>
      </c>
      <c r="KD112" s="536"/>
    </row>
    <row r="113" spans="1:290" ht="15" customHeight="1" x14ac:dyDescent="0.2">
      <c r="A113" s="930"/>
      <c r="B113" s="490" t="s">
        <v>720</v>
      </c>
      <c r="C113" s="491">
        <v>1</v>
      </c>
      <c r="D113" s="492">
        <v>4</v>
      </c>
      <c r="E113" s="492">
        <v>1</v>
      </c>
      <c r="F113" s="492">
        <v>1</v>
      </c>
      <c r="G113" s="493">
        <v>3</v>
      </c>
      <c r="H113" s="493">
        <v>2</v>
      </c>
      <c r="I113" s="493"/>
      <c r="J113" s="493">
        <v>6</v>
      </c>
      <c r="K113" s="199"/>
      <c r="L113" s="491">
        <v>1</v>
      </c>
      <c r="M113" s="492">
        <v>2</v>
      </c>
      <c r="N113" s="492">
        <v>1</v>
      </c>
      <c r="O113" s="492"/>
      <c r="P113" s="493">
        <v>2</v>
      </c>
      <c r="Q113" s="493">
        <v>1</v>
      </c>
      <c r="R113" s="493"/>
      <c r="S113" s="493">
        <v>3</v>
      </c>
      <c r="T113" s="199"/>
      <c r="U113" s="491"/>
      <c r="V113" s="492">
        <v>2</v>
      </c>
      <c r="W113" s="492"/>
      <c r="X113" s="492">
        <v>1</v>
      </c>
      <c r="Y113" s="493"/>
      <c r="Z113" s="493">
        <v>1</v>
      </c>
      <c r="AA113" s="493"/>
      <c r="AB113" s="493">
        <v>3</v>
      </c>
      <c r="AC113" s="199"/>
      <c r="AD113" s="491">
        <v>104</v>
      </c>
      <c r="AE113" s="492">
        <v>57</v>
      </c>
      <c r="AF113" s="492">
        <v>77</v>
      </c>
      <c r="AG113" s="492">
        <v>128</v>
      </c>
      <c r="AH113" s="493">
        <v>109</v>
      </c>
      <c r="AI113" s="493">
        <v>107</v>
      </c>
      <c r="AJ113" s="493">
        <v>90</v>
      </c>
      <c r="AK113" s="493">
        <v>62</v>
      </c>
      <c r="AL113" s="199"/>
      <c r="AM113" s="491">
        <v>52</v>
      </c>
      <c r="AN113" s="492">
        <v>33</v>
      </c>
      <c r="AO113" s="492">
        <v>53</v>
      </c>
      <c r="AP113" s="492">
        <v>82</v>
      </c>
      <c r="AQ113" s="493">
        <v>52</v>
      </c>
      <c r="AR113" s="493">
        <v>62</v>
      </c>
      <c r="AS113" s="493">
        <v>41</v>
      </c>
      <c r="AT113" s="493">
        <v>35</v>
      </c>
      <c r="AU113" s="199"/>
      <c r="AV113" s="491"/>
      <c r="AW113" s="492"/>
      <c r="AX113" s="492"/>
      <c r="AY113" s="492"/>
      <c r="AZ113" s="493"/>
      <c r="BA113" s="493"/>
      <c r="BB113" s="493"/>
      <c r="BC113" s="493"/>
      <c r="BD113" s="199"/>
      <c r="BE113" s="491">
        <v>9</v>
      </c>
      <c r="BF113" s="492">
        <v>8</v>
      </c>
      <c r="BG113" s="492">
        <v>8</v>
      </c>
      <c r="BH113" s="492">
        <v>12</v>
      </c>
      <c r="BI113" s="493">
        <v>12</v>
      </c>
      <c r="BJ113" s="493">
        <v>23</v>
      </c>
      <c r="BK113" s="493">
        <v>11</v>
      </c>
      <c r="BL113" s="493">
        <v>2</v>
      </c>
      <c r="BM113" s="199"/>
      <c r="BN113" s="491"/>
      <c r="BO113" s="492"/>
      <c r="BP113" s="492"/>
      <c r="BQ113" s="492"/>
      <c r="BR113" s="493">
        <v>1</v>
      </c>
      <c r="BS113" s="493">
        <v>11</v>
      </c>
      <c r="BT113" s="493">
        <v>6</v>
      </c>
      <c r="BU113" s="493">
        <v>1</v>
      </c>
      <c r="BV113" s="199"/>
      <c r="BW113" s="491">
        <v>31</v>
      </c>
      <c r="BX113" s="492">
        <v>24</v>
      </c>
      <c r="BY113" s="492">
        <v>30</v>
      </c>
      <c r="BZ113" s="492">
        <v>33</v>
      </c>
      <c r="CA113" s="493">
        <v>36</v>
      </c>
      <c r="CB113" s="493">
        <v>37</v>
      </c>
      <c r="CC113" s="493">
        <v>39</v>
      </c>
      <c r="CD113" s="493">
        <v>40</v>
      </c>
      <c r="CE113" s="199"/>
      <c r="CF113" s="491">
        <v>2</v>
      </c>
      <c r="CG113" s="492">
        <v>10</v>
      </c>
      <c r="CH113" s="492">
        <v>4</v>
      </c>
      <c r="CI113" s="492">
        <v>3</v>
      </c>
      <c r="CJ113" s="493">
        <v>1</v>
      </c>
      <c r="CK113" s="493">
        <v>5</v>
      </c>
      <c r="CL113" s="493">
        <v>2</v>
      </c>
      <c r="CM113" s="493">
        <v>2</v>
      </c>
      <c r="CN113" s="199"/>
      <c r="CO113" s="491">
        <v>2</v>
      </c>
      <c r="CP113" s="492">
        <v>8</v>
      </c>
      <c r="CQ113" s="492">
        <v>3</v>
      </c>
      <c r="CR113" s="492"/>
      <c r="CS113" s="493">
        <v>3</v>
      </c>
      <c r="CT113" s="493"/>
      <c r="CU113" s="493">
        <v>4</v>
      </c>
      <c r="CV113" s="493">
        <v>2</v>
      </c>
      <c r="CW113" s="199"/>
      <c r="CX113" s="491">
        <v>1194</v>
      </c>
      <c r="CY113" s="492">
        <v>1127</v>
      </c>
      <c r="CZ113" s="492">
        <v>1099</v>
      </c>
      <c r="DA113" s="492">
        <v>934</v>
      </c>
      <c r="DB113" s="493">
        <v>921</v>
      </c>
      <c r="DC113" s="493">
        <v>691</v>
      </c>
      <c r="DD113" s="493">
        <v>611</v>
      </c>
      <c r="DE113" s="493">
        <v>535</v>
      </c>
      <c r="DF113" s="199"/>
      <c r="DG113" s="491">
        <v>28</v>
      </c>
      <c r="DH113" s="492">
        <v>24</v>
      </c>
      <c r="DI113" s="492">
        <v>30</v>
      </c>
      <c r="DJ113" s="492">
        <v>24</v>
      </c>
      <c r="DK113" s="493">
        <v>13</v>
      </c>
      <c r="DL113" s="493">
        <v>16</v>
      </c>
      <c r="DM113" s="493">
        <v>10</v>
      </c>
      <c r="DN113" s="493">
        <v>9</v>
      </c>
      <c r="DO113" s="199"/>
      <c r="DP113" s="491">
        <v>43</v>
      </c>
      <c r="DQ113" s="492">
        <v>33</v>
      </c>
      <c r="DR113" s="492">
        <v>36</v>
      </c>
      <c r="DS113" s="492">
        <v>81</v>
      </c>
      <c r="DT113" s="493">
        <v>42</v>
      </c>
      <c r="DU113" s="493">
        <v>46</v>
      </c>
      <c r="DV113" s="493">
        <v>42</v>
      </c>
      <c r="DW113" s="493">
        <v>74</v>
      </c>
      <c r="DX113" s="199"/>
      <c r="DY113" s="491">
        <v>195</v>
      </c>
      <c r="DZ113" s="492">
        <v>159</v>
      </c>
      <c r="EA113" s="492">
        <v>184</v>
      </c>
      <c r="EB113" s="492">
        <v>109</v>
      </c>
      <c r="EC113" s="493">
        <v>184</v>
      </c>
      <c r="ED113" s="493">
        <v>138</v>
      </c>
      <c r="EE113" s="493">
        <v>128</v>
      </c>
      <c r="EF113" s="493">
        <v>90</v>
      </c>
      <c r="EG113" s="199"/>
      <c r="EH113" s="491">
        <v>24</v>
      </c>
      <c r="EI113" s="492">
        <v>17</v>
      </c>
      <c r="EJ113" s="492">
        <v>12</v>
      </c>
      <c r="EK113" s="492">
        <v>17</v>
      </c>
      <c r="EL113" s="493">
        <v>5</v>
      </c>
      <c r="EM113" s="493">
        <v>6</v>
      </c>
      <c r="EN113" s="493">
        <v>7</v>
      </c>
      <c r="EO113" s="493">
        <v>5</v>
      </c>
      <c r="EP113" s="199"/>
      <c r="EQ113" s="491">
        <v>5</v>
      </c>
      <c r="ER113" s="492">
        <v>5</v>
      </c>
      <c r="ES113" s="492">
        <v>2</v>
      </c>
      <c r="ET113" s="492">
        <v>2</v>
      </c>
      <c r="EU113" s="493">
        <v>2</v>
      </c>
      <c r="EV113" s="493">
        <v>4</v>
      </c>
      <c r="EW113" s="493">
        <v>4</v>
      </c>
      <c r="EX113" s="493">
        <v>5</v>
      </c>
      <c r="EY113" s="199"/>
      <c r="EZ113" s="491">
        <v>11</v>
      </c>
      <c r="FA113" s="492">
        <v>6</v>
      </c>
      <c r="FB113" s="492">
        <v>8</v>
      </c>
      <c r="FC113" s="492">
        <v>7</v>
      </c>
      <c r="FD113" s="493">
        <v>3</v>
      </c>
      <c r="FE113" s="493"/>
      <c r="FF113" s="493">
        <v>3</v>
      </c>
      <c r="FG113" s="493">
        <v>2</v>
      </c>
      <c r="FH113" s="199"/>
      <c r="FI113" s="491">
        <v>111</v>
      </c>
      <c r="FJ113" s="492">
        <v>113</v>
      </c>
      <c r="FK113" s="492">
        <v>68</v>
      </c>
      <c r="FL113" s="492">
        <v>54</v>
      </c>
      <c r="FM113" s="493">
        <v>70</v>
      </c>
      <c r="FN113" s="493">
        <v>39</v>
      </c>
      <c r="FO113" s="493">
        <v>22</v>
      </c>
      <c r="FP113" s="493">
        <v>25</v>
      </c>
      <c r="FQ113" s="199"/>
      <c r="FR113" s="491">
        <v>12</v>
      </c>
      <c r="FS113" s="492">
        <v>7</v>
      </c>
      <c r="FT113" s="492">
        <v>2</v>
      </c>
      <c r="FU113" s="492">
        <v>8</v>
      </c>
      <c r="FV113" s="493">
        <v>26</v>
      </c>
      <c r="FW113" s="493">
        <v>10</v>
      </c>
      <c r="FX113" s="493">
        <v>4</v>
      </c>
      <c r="FY113" s="493">
        <v>12</v>
      </c>
      <c r="FZ113" s="199"/>
      <c r="GA113" s="491">
        <v>26</v>
      </c>
      <c r="GB113" s="492">
        <v>16</v>
      </c>
      <c r="GC113" s="492">
        <v>16</v>
      </c>
      <c r="GD113" s="492">
        <v>2</v>
      </c>
      <c r="GE113" s="493">
        <v>4</v>
      </c>
      <c r="GF113" s="493">
        <v>6</v>
      </c>
      <c r="GG113" s="493">
        <v>1</v>
      </c>
      <c r="GH113" s="493">
        <v>6</v>
      </c>
      <c r="GI113" s="199"/>
      <c r="GJ113" s="491">
        <v>1532</v>
      </c>
      <c r="GK113" s="492">
        <v>1402</v>
      </c>
      <c r="GL113" s="492">
        <v>1330</v>
      </c>
      <c r="GM113" s="492">
        <v>1201</v>
      </c>
      <c r="GN113" s="493">
        <v>1196</v>
      </c>
      <c r="GO113" s="493">
        <v>941</v>
      </c>
      <c r="GP113" s="493">
        <v>804</v>
      </c>
      <c r="GQ113" s="493">
        <v>705</v>
      </c>
      <c r="GR113" s="199"/>
      <c r="GS113" s="491">
        <v>509</v>
      </c>
      <c r="GT113" s="492">
        <v>496</v>
      </c>
      <c r="GU113" s="492">
        <v>438</v>
      </c>
      <c r="GV113" s="492">
        <v>328</v>
      </c>
      <c r="GW113" s="493">
        <v>107</v>
      </c>
      <c r="GX113" s="493">
        <v>127</v>
      </c>
      <c r="GY113" s="493">
        <v>121</v>
      </c>
      <c r="GZ113" s="493">
        <v>151</v>
      </c>
      <c r="HA113" s="199"/>
      <c r="HB113" s="491">
        <v>8</v>
      </c>
      <c r="HC113" s="492">
        <v>6</v>
      </c>
      <c r="HD113" s="492">
        <v>5</v>
      </c>
      <c r="HE113" s="492">
        <v>3</v>
      </c>
      <c r="HF113" s="493">
        <v>5</v>
      </c>
      <c r="HG113" s="493">
        <v>7</v>
      </c>
      <c r="HH113" s="493">
        <v>3</v>
      </c>
      <c r="HI113" s="493">
        <v>4</v>
      </c>
      <c r="HJ113" s="199"/>
      <c r="HK113" s="491">
        <v>4</v>
      </c>
      <c r="HL113" s="492">
        <v>1</v>
      </c>
      <c r="HM113" s="492">
        <v>1</v>
      </c>
      <c r="HN113" s="492">
        <v>2</v>
      </c>
      <c r="HO113" s="493">
        <v>2</v>
      </c>
      <c r="HP113" s="493"/>
      <c r="HQ113" s="493">
        <v>5</v>
      </c>
      <c r="HR113" s="493">
        <v>1</v>
      </c>
      <c r="HS113" s="199"/>
      <c r="HT113" s="491">
        <v>709</v>
      </c>
      <c r="HU113" s="492">
        <v>694</v>
      </c>
      <c r="HV113" s="492">
        <v>654</v>
      </c>
      <c r="HW113" s="492">
        <v>565</v>
      </c>
      <c r="HX113" s="493">
        <v>421</v>
      </c>
      <c r="HY113" s="493">
        <v>412</v>
      </c>
      <c r="HZ113" s="493">
        <v>483</v>
      </c>
      <c r="IA113" s="493">
        <v>444</v>
      </c>
      <c r="IB113" s="199"/>
      <c r="IC113" s="491">
        <v>2522</v>
      </c>
      <c r="ID113" s="492">
        <v>2392</v>
      </c>
      <c r="IE113" s="492">
        <v>2574</v>
      </c>
      <c r="IF113" s="492">
        <v>2171</v>
      </c>
      <c r="IG113" s="493">
        <v>2090</v>
      </c>
      <c r="IH113" s="493">
        <v>1998</v>
      </c>
      <c r="II113" s="493">
        <v>1647</v>
      </c>
      <c r="IJ113" s="493">
        <v>1660</v>
      </c>
      <c r="IK113" s="199"/>
      <c r="IL113" s="491">
        <v>326</v>
      </c>
      <c r="IM113" s="492">
        <v>313</v>
      </c>
      <c r="IN113" s="492">
        <v>314</v>
      </c>
      <c r="IO113" s="492">
        <v>133</v>
      </c>
      <c r="IP113" s="493">
        <v>156</v>
      </c>
      <c r="IQ113" s="493">
        <v>177</v>
      </c>
      <c r="IR113" s="493">
        <v>164</v>
      </c>
      <c r="IS113" s="493">
        <v>125</v>
      </c>
      <c r="IT113" s="199"/>
      <c r="IU113" s="533">
        <v>2781.2393167105943</v>
      </c>
      <c r="IV113" s="534">
        <v>2642.7435036238289</v>
      </c>
      <c r="IW113" s="534">
        <v>2830.6555375936132</v>
      </c>
      <c r="IX113" s="534">
        <v>2437.8193251361517</v>
      </c>
      <c r="IY113" s="535">
        <v>2338.5400349102624</v>
      </c>
      <c r="IZ113" s="535">
        <v>2233.8748448698025</v>
      </c>
      <c r="JA113" s="535">
        <v>1833.7081654011445</v>
      </c>
      <c r="JB113" s="535">
        <v>1836.6488902657609</v>
      </c>
      <c r="JC113" s="536"/>
      <c r="JD113" s="537">
        <v>781.87893558596818</v>
      </c>
      <c r="JE113" s="538">
        <v>766.7491603323316</v>
      </c>
      <c r="JF113" s="538">
        <v>719.21084754709511</v>
      </c>
      <c r="JG113" s="538">
        <v>634.43939138734493</v>
      </c>
      <c r="JH113" s="538">
        <v>471.06476301302422</v>
      </c>
      <c r="JI113" s="539">
        <v>460.63885690007942</v>
      </c>
      <c r="JJ113" s="539">
        <v>537.75412500835023</v>
      </c>
      <c r="JK113" s="539">
        <v>491.24825739638425</v>
      </c>
      <c r="JL113" s="536"/>
      <c r="JM113" s="537">
        <v>1689.4760639177757</v>
      </c>
      <c r="JN113" s="538">
        <v>1548.965882976843</v>
      </c>
      <c r="JO113" s="538">
        <v>1462.6153321676397</v>
      </c>
      <c r="JP113" s="538">
        <v>1348.6047947897368</v>
      </c>
      <c r="JQ113" s="538">
        <v>1338.2267376807054</v>
      </c>
      <c r="JR113" s="539">
        <v>1052.090204715958</v>
      </c>
      <c r="JS113" s="539">
        <v>895.14351243626004</v>
      </c>
      <c r="JT113" s="539">
        <v>780.02257086588031</v>
      </c>
      <c r="JU113" s="536"/>
      <c r="JV113" s="537">
        <v>561.32070269853</v>
      </c>
      <c r="JW113" s="538">
        <v>547.99363620293445</v>
      </c>
      <c r="JX113" s="538">
        <v>481.67331991686183</v>
      </c>
      <c r="JY113" s="538">
        <v>368.31171747796304</v>
      </c>
      <c r="JZ113" s="538">
        <v>119.72429843798953</v>
      </c>
      <c r="KA113" s="539">
        <v>141.99304569492739</v>
      </c>
      <c r="KB113" s="539">
        <v>134.7168718965018</v>
      </c>
      <c r="KC113" s="539">
        <v>167.06866411453606</v>
      </c>
      <c r="KD113" s="536"/>
    </row>
    <row r="114" spans="1:290" ht="15" customHeight="1" x14ac:dyDescent="0.2">
      <c r="A114" s="930"/>
      <c r="B114" s="490" t="s">
        <v>721</v>
      </c>
      <c r="C114" s="491">
        <v>5</v>
      </c>
      <c r="D114" s="492">
        <v>2</v>
      </c>
      <c r="E114" s="492">
        <v>4</v>
      </c>
      <c r="F114" s="492">
        <v>5</v>
      </c>
      <c r="G114" s="493">
        <v>7</v>
      </c>
      <c r="H114" s="493">
        <v>4</v>
      </c>
      <c r="I114" s="493">
        <v>2</v>
      </c>
      <c r="J114" s="493"/>
      <c r="K114" s="199"/>
      <c r="L114" s="491">
        <v>3</v>
      </c>
      <c r="M114" s="492">
        <v>1</v>
      </c>
      <c r="N114" s="492">
        <v>2</v>
      </c>
      <c r="O114" s="492">
        <v>2</v>
      </c>
      <c r="P114" s="493">
        <v>3</v>
      </c>
      <c r="Q114" s="493">
        <v>1</v>
      </c>
      <c r="R114" s="493">
        <v>2</v>
      </c>
      <c r="S114" s="493"/>
      <c r="T114" s="199"/>
      <c r="U114" s="491">
        <v>2</v>
      </c>
      <c r="V114" s="492">
        <v>1</v>
      </c>
      <c r="W114" s="492">
        <v>2</v>
      </c>
      <c r="X114" s="492">
        <v>3</v>
      </c>
      <c r="Y114" s="493">
        <v>4</v>
      </c>
      <c r="Z114" s="493">
        <v>3</v>
      </c>
      <c r="AA114" s="493"/>
      <c r="AB114" s="493"/>
      <c r="AC114" s="199"/>
      <c r="AD114" s="491">
        <v>93</v>
      </c>
      <c r="AE114" s="492">
        <v>74</v>
      </c>
      <c r="AF114" s="492">
        <v>79</v>
      </c>
      <c r="AG114" s="492">
        <v>114</v>
      </c>
      <c r="AH114" s="493">
        <v>87</v>
      </c>
      <c r="AI114" s="493">
        <v>86</v>
      </c>
      <c r="AJ114" s="493">
        <v>68</v>
      </c>
      <c r="AK114" s="493">
        <v>90</v>
      </c>
      <c r="AL114" s="199"/>
      <c r="AM114" s="491">
        <v>55</v>
      </c>
      <c r="AN114" s="492">
        <v>57</v>
      </c>
      <c r="AO114" s="492">
        <v>61</v>
      </c>
      <c r="AP114" s="492">
        <v>84</v>
      </c>
      <c r="AQ114" s="493">
        <v>53</v>
      </c>
      <c r="AR114" s="493">
        <v>49</v>
      </c>
      <c r="AS114" s="493">
        <v>48</v>
      </c>
      <c r="AT114" s="493">
        <v>57</v>
      </c>
      <c r="AU114" s="199"/>
      <c r="AV114" s="491">
        <v>1</v>
      </c>
      <c r="AW114" s="492"/>
      <c r="AX114" s="492"/>
      <c r="AY114" s="492"/>
      <c r="AZ114" s="493"/>
      <c r="BA114" s="493"/>
      <c r="BB114" s="493"/>
      <c r="BC114" s="493"/>
      <c r="BD114" s="199"/>
      <c r="BE114" s="491">
        <v>13</v>
      </c>
      <c r="BF114" s="492">
        <v>21</v>
      </c>
      <c r="BG114" s="492">
        <v>26</v>
      </c>
      <c r="BH114" s="492">
        <v>31</v>
      </c>
      <c r="BI114" s="493">
        <v>26</v>
      </c>
      <c r="BJ114" s="493">
        <v>29</v>
      </c>
      <c r="BK114" s="493">
        <v>22</v>
      </c>
      <c r="BL114" s="493">
        <v>9</v>
      </c>
      <c r="BM114" s="199"/>
      <c r="BN114" s="491"/>
      <c r="BO114" s="492"/>
      <c r="BP114" s="492"/>
      <c r="BQ114" s="492"/>
      <c r="BR114" s="493"/>
      <c r="BS114" s="493"/>
      <c r="BT114" s="493">
        <v>1</v>
      </c>
      <c r="BU114" s="493"/>
      <c r="BV114" s="199"/>
      <c r="BW114" s="491">
        <v>24</v>
      </c>
      <c r="BX114" s="492">
        <v>58</v>
      </c>
      <c r="BY114" s="492">
        <v>55</v>
      </c>
      <c r="BZ114" s="492">
        <v>69</v>
      </c>
      <c r="CA114" s="493">
        <v>67</v>
      </c>
      <c r="CB114" s="493">
        <v>79</v>
      </c>
      <c r="CC114" s="493">
        <v>83</v>
      </c>
      <c r="CD114" s="493">
        <v>101</v>
      </c>
      <c r="CE114" s="199"/>
      <c r="CF114" s="491">
        <v>5</v>
      </c>
      <c r="CG114" s="492">
        <v>7</v>
      </c>
      <c r="CH114" s="492">
        <v>1</v>
      </c>
      <c r="CI114" s="492">
        <v>9</v>
      </c>
      <c r="CJ114" s="493">
        <v>7</v>
      </c>
      <c r="CK114" s="493">
        <v>5</v>
      </c>
      <c r="CL114" s="493">
        <v>2</v>
      </c>
      <c r="CM114" s="493">
        <v>4</v>
      </c>
      <c r="CN114" s="199"/>
      <c r="CO114" s="491">
        <v>6</v>
      </c>
      <c r="CP114" s="492">
        <v>5</v>
      </c>
      <c r="CQ114" s="492">
        <v>10</v>
      </c>
      <c r="CR114" s="492">
        <v>5</v>
      </c>
      <c r="CS114" s="493">
        <v>5</v>
      </c>
      <c r="CT114" s="493">
        <v>5</v>
      </c>
      <c r="CU114" s="493">
        <v>1</v>
      </c>
      <c r="CV114" s="493">
        <v>7</v>
      </c>
      <c r="CW114" s="199"/>
      <c r="CX114" s="491">
        <v>2446</v>
      </c>
      <c r="CY114" s="492">
        <v>2576</v>
      </c>
      <c r="CZ114" s="492">
        <v>2772</v>
      </c>
      <c r="DA114" s="492">
        <v>2377</v>
      </c>
      <c r="DB114" s="493">
        <v>1828</v>
      </c>
      <c r="DC114" s="493">
        <v>1212</v>
      </c>
      <c r="DD114" s="493">
        <v>1496</v>
      </c>
      <c r="DE114" s="493">
        <v>1067</v>
      </c>
      <c r="DF114" s="199"/>
      <c r="DG114" s="491">
        <v>82</v>
      </c>
      <c r="DH114" s="492">
        <v>105</v>
      </c>
      <c r="DI114" s="492">
        <v>81</v>
      </c>
      <c r="DJ114" s="492">
        <v>61</v>
      </c>
      <c r="DK114" s="493">
        <v>55</v>
      </c>
      <c r="DL114" s="493">
        <v>27</v>
      </c>
      <c r="DM114" s="493">
        <v>26</v>
      </c>
      <c r="DN114" s="493">
        <v>10</v>
      </c>
      <c r="DO114" s="199"/>
      <c r="DP114" s="491">
        <v>147</v>
      </c>
      <c r="DQ114" s="492">
        <v>165</v>
      </c>
      <c r="DR114" s="492">
        <v>97</v>
      </c>
      <c r="DS114" s="492">
        <v>61</v>
      </c>
      <c r="DT114" s="493">
        <v>80</v>
      </c>
      <c r="DU114" s="493">
        <v>39</v>
      </c>
      <c r="DV114" s="493">
        <v>95</v>
      </c>
      <c r="DW114" s="493">
        <v>59</v>
      </c>
      <c r="DX114" s="199"/>
      <c r="DY114" s="491">
        <v>513</v>
      </c>
      <c r="DZ114" s="492">
        <v>396</v>
      </c>
      <c r="EA114" s="492">
        <v>460</v>
      </c>
      <c r="EB114" s="492">
        <v>420</v>
      </c>
      <c r="EC114" s="493">
        <v>347</v>
      </c>
      <c r="ED114" s="493">
        <v>322</v>
      </c>
      <c r="EE114" s="493">
        <v>427</v>
      </c>
      <c r="EF114" s="493">
        <v>262</v>
      </c>
      <c r="EG114" s="199"/>
      <c r="EH114" s="491">
        <v>51</v>
      </c>
      <c r="EI114" s="492">
        <v>38</v>
      </c>
      <c r="EJ114" s="492">
        <v>21</v>
      </c>
      <c r="EK114" s="492">
        <v>28</v>
      </c>
      <c r="EL114" s="493">
        <v>18</v>
      </c>
      <c r="EM114" s="493">
        <v>9</v>
      </c>
      <c r="EN114" s="493">
        <v>14</v>
      </c>
      <c r="EO114" s="493">
        <v>23</v>
      </c>
      <c r="EP114" s="199"/>
      <c r="EQ114" s="491">
        <v>3</v>
      </c>
      <c r="ER114" s="492">
        <v>2</v>
      </c>
      <c r="ES114" s="492"/>
      <c r="ET114" s="492">
        <v>11</v>
      </c>
      <c r="EU114" s="493">
        <v>16</v>
      </c>
      <c r="EV114" s="493">
        <v>7</v>
      </c>
      <c r="EW114" s="493">
        <v>6</v>
      </c>
      <c r="EX114" s="493">
        <v>10</v>
      </c>
      <c r="EY114" s="199"/>
      <c r="EZ114" s="491">
        <v>2</v>
      </c>
      <c r="FA114" s="492">
        <v>4</v>
      </c>
      <c r="FB114" s="492">
        <v>11</v>
      </c>
      <c r="FC114" s="492">
        <v>4</v>
      </c>
      <c r="FD114" s="493">
        <v>4</v>
      </c>
      <c r="FE114" s="493">
        <v>4</v>
      </c>
      <c r="FF114" s="493"/>
      <c r="FG114" s="493">
        <v>1</v>
      </c>
      <c r="FH114" s="199"/>
      <c r="FI114" s="491">
        <v>160</v>
      </c>
      <c r="FJ114" s="492">
        <v>203</v>
      </c>
      <c r="FK114" s="492">
        <v>231</v>
      </c>
      <c r="FL114" s="492">
        <v>138</v>
      </c>
      <c r="FM114" s="493">
        <v>92</v>
      </c>
      <c r="FN114" s="493">
        <v>83</v>
      </c>
      <c r="FO114" s="493">
        <v>117</v>
      </c>
      <c r="FP114" s="493">
        <v>94</v>
      </c>
      <c r="FQ114" s="199"/>
      <c r="FR114" s="491">
        <v>12</v>
      </c>
      <c r="FS114" s="492">
        <v>21</v>
      </c>
      <c r="FT114" s="492">
        <v>11</v>
      </c>
      <c r="FU114" s="492">
        <v>13</v>
      </c>
      <c r="FV114" s="493">
        <v>9</v>
      </c>
      <c r="FW114" s="493">
        <v>9</v>
      </c>
      <c r="FX114" s="493">
        <v>10</v>
      </c>
      <c r="FY114" s="493">
        <v>9</v>
      </c>
      <c r="FZ114" s="199"/>
      <c r="GA114" s="491">
        <v>5</v>
      </c>
      <c r="GB114" s="492">
        <v>10</v>
      </c>
      <c r="GC114" s="492">
        <v>8</v>
      </c>
      <c r="GD114" s="492">
        <v>10</v>
      </c>
      <c r="GE114" s="493">
        <v>13</v>
      </c>
      <c r="GF114" s="493">
        <v>20</v>
      </c>
      <c r="GG114" s="493">
        <v>3</v>
      </c>
      <c r="GH114" s="493">
        <v>18</v>
      </c>
      <c r="GI114" s="199"/>
      <c r="GJ114" s="491">
        <v>2825</v>
      </c>
      <c r="GK114" s="492">
        <v>3021</v>
      </c>
      <c r="GL114" s="492">
        <v>3229</v>
      </c>
      <c r="GM114" s="492">
        <v>2814</v>
      </c>
      <c r="GN114" s="493">
        <v>2179</v>
      </c>
      <c r="GO114" s="493">
        <v>1552</v>
      </c>
      <c r="GP114" s="493">
        <v>1825</v>
      </c>
      <c r="GQ114" s="493">
        <v>1433</v>
      </c>
      <c r="GR114" s="199"/>
      <c r="GS114" s="491">
        <v>825</v>
      </c>
      <c r="GT114" s="492">
        <v>1021</v>
      </c>
      <c r="GU114" s="492">
        <v>946</v>
      </c>
      <c r="GV114" s="492">
        <v>637</v>
      </c>
      <c r="GW114" s="493">
        <v>342</v>
      </c>
      <c r="GX114" s="493">
        <v>271</v>
      </c>
      <c r="GY114" s="493">
        <v>325</v>
      </c>
      <c r="GZ114" s="493">
        <v>310</v>
      </c>
      <c r="HA114" s="199"/>
      <c r="HB114" s="491">
        <v>3</v>
      </c>
      <c r="HC114" s="492">
        <v>8</v>
      </c>
      <c r="HD114" s="492">
        <v>2</v>
      </c>
      <c r="HE114" s="492">
        <v>1</v>
      </c>
      <c r="HF114" s="493">
        <v>6</v>
      </c>
      <c r="HG114" s="493">
        <v>6</v>
      </c>
      <c r="HH114" s="493">
        <v>9</v>
      </c>
      <c r="HI114" s="493">
        <v>3</v>
      </c>
      <c r="HJ114" s="199"/>
      <c r="HK114" s="491">
        <v>3</v>
      </c>
      <c r="HL114" s="492">
        <v>1</v>
      </c>
      <c r="HM114" s="492">
        <v>2</v>
      </c>
      <c r="HN114" s="492">
        <v>6</v>
      </c>
      <c r="HO114" s="493">
        <v>1</v>
      </c>
      <c r="HP114" s="493">
        <v>1</v>
      </c>
      <c r="HQ114" s="493">
        <v>4</v>
      </c>
      <c r="HR114" s="493"/>
      <c r="HS114" s="199"/>
      <c r="HT114" s="491">
        <v>1178</v>
      </c>
      <c r="HU114" s="492">
        <v>1266</v>
      </c>
      <c r="HV114" s="492">
        <v>1145</v>
      </c>
      <c r="HW114" s="492">
        <v>912</v>
      </c>
      <c r="HX114" s="493">
        <v>620</v>
      </c>
      <c r="HY114" s="493">
        <v>571</v>
      </c>
      <c r="HZ114" s="493">
        <v>623</v>
      </c>
      <c r="IA114" s="493">
        <v>642</v>
      </c>
      <c r="IB114" s="199"/>
      <c r="IC114" s="491">
        <v>4367</v>
      </c>
      <c r="ID114" s="492">
        <v>6061</v>
      </c>
      <c r="IE114" s="492">
        <v>6095</v>
      </c>
      <c r="IF114" s="492">
        <v>4123</v>
      </c>
      <c r="IG114" s="493">
        <v>3299</v>
      </c>
      <c r="IH114" s="493">
        <v>2768</v>
      </c>
      <c r="II114" s="493">
        <v>3797</v>
      </c>
      <c r="IJ114" s="493">
        <v>2664</v>
      </c>
      <c r="IK114" s="199"/>
      <c r="IL114" s="491">
        <v>910</v>
      </c>
      <c r="IM114" s="492">
        <v>722</v>
      </c>
      <c r="IN114" s="492">
        <v>842</v>
      </c>
      <c r="IO114" s="492">
        <v>465</v>
      </c>
      <c r="IP114" s="493">
        <v>180</v>
      </c>
      <c r="IQ114" s="493">
        <v>403</v>
      </c>
      <c r="IR114" s="493">
        <v>530</v>
      </c>
      <c r="IS114" s="493">
        <v>339</v>
      </c>
      <c r="IT114" s="199"/>
      <c r="IU114" s="533">
        <v>2435.3111755520858</v>
      </c>
      <c r="IV114" s="534">
        <v>3350.9885443849794</v>
      </c>
      <c r="IW114" s="534">
        <v>3353.7474482356374</v>
      </c>
      <c r="IX114" s="534">
        <v>2321.4305823001473</v>
      </c>
      <c r="IY114" s="535">
        <v>1854.5898146534519</v>
      </c>
      <c r="IZ114" s="535">
        <v>1549.0708287894072</v>
      </c>
      <c r="JA114" s="535">
        <v>2115.084670231729</v>
      </c>
      <c r="JB114" s="535">
        <v>1466.1207238145555</v>
      </c>
      <c r="JC114" s="536"/>
      <c r="JD114" s="537">
        <v>656.92616551416461</v>
      </c>
      <c r="JE114" s="538">
        <v>699.94250077402808</v>
      </c>
      <c r="JF114" s="538">
        <v>630.03130897945925</v>
      </c>
      <c r="JG114" s="538">
        <v>513.49616567007865</v>
      </c>
      <c r="JH114" s="538">
        <v>348.54370569419228</v>
      </c>
      <c r="JI114" s="539">
        <v>319.60294572226371</v>
      </c>
      <c r="JJ114" s="539">
        <v>347.03654188948309</v>
      </c>
      <c r="JK114" s="539">
        <v>353.32188614449871</v>
      </c>
      <c r="JL114" s="536"/>
      <c r="JM114" s="537">
        <v>1575.3959402186035</v>
      </c>
      <c r="JN114" s="538">
        <v>1670.2419390508205</v>
      </c>
      <c r="JO114" s="538">
        <v>1776.7433158905451</v>
      </c>
      <c r="JP114" s="538">
        <v>1584.4059322320193</v>
      </c>
      <c r="JQ114" s="538">
        <v>1224.962475334911</v>
      </c>
      <c r="JR114" s="539">
        <v>868.54771150800525</v>
      </c>
      <c r="JS114" s="539">
        <v>1016.5998217468806</v>
      </c>
      <c r="JT114" s="539">
        <v>788.64526922907578</v>
      </c>
      <c r="JU114" s="536"/>
      <c r="JV114" s="537">
        <v>460.07138077180463</v>
      </c>
      <c r="JW114" s="538">
        <v>564.48759343624226</v>
      </c>
      <c r="JX114" s="538">
        <v>520.53241772451406</v>
      </c>
      <c r="JY114" s="538">
        <v>358.65905431122826</v>
      </c>
      <c r="JZ114" s="538">
        <v>192.26120539905443</v>
      </c>
      <c r="KA114" s="539">
        <v>151.68407246630829</v>
      </c>
      <c r="KB114" s="539">
        <v>181.03832442067736</v>
      </c>
      <c r="KC114" s="539">
        <v>170.60714128472679</v>
      </c>
      <c r="KD114" s="536"/>
    </row>
    <row r="115" spans="1:290" ht="15" customHeight="1" x14ac:dyDescent="0.2">
      <c r="A115" s="930"/>
      <c r="B115" s="490" t="s">
        <v>722</v>
      </c>
      <c r="C115" s="491">
        <v>4</v>
      </c>
      <c r="D115" s="492">
        <v>5</v>
      </c>
      <c r="E115" s="492">
        <v>4</v>
      </c>
      <c r="F115" s="492">
        <v>5</v>
      </c>
      <c r="G115" s="493">
        <v>7</v>
      </c>
      <c r="H115" s="493">
        <v>6</v>
      </c>
      <c r="I115" s="493">
        <v>4</v>
      </c>
      <c r="J115" s="493">
        <v>1</v>
      </c>
      <c r="K115" s="199"/>
      <c r="L115" s="491">
        <v>3</v>
      </c>
      <c r="M115" s="492">
        <v>2</v>
      </c>
      <c r="N115" s="492">
        <v>3</v>
      </c>
      <c r="O115" s="492">
        <v>2</v>
      </c>
      <c r="P115" s="493">
        <v>2</v>
      </c>
      <c r="Q115" s="493"/>
      <c r="R115" s="493">
        <v>2</v>
      </c>
      <c r="S115" s="493"/>
      <c r="T115" s="199"/>
      <c r="U115" s="491">
        <v>1</v>
      </c>
      <c r="V115" s="492">
        <v>3</v>
      </c>
      <c r="W115" s="492">
        <v>1</v>
      </c>
      <c r="X115" s="492">
        <v>3</v>
      </c>
      <c r="Y115" s="493">
        <v>5</v>
      </c>
      <c r="Z115" s="493">
        <v>6</v>
      </c>
      <c r="AA115" s="493">
        <v>2</v>
      </c>
      <c r="AB115" s="493">
        <v>1</v>
      </c>
      <c r="AC115" s="199"/>
      <c r="AD115" s="491">
        <v>209</v>
      </c>
      <c r="AE115" s="492">
        <v>131</v>
      </c>
      <c r="AF115" s="492">
        <v>99</v>
      </c>
      <c r="AG115" s="492">
        <v>109</v>
      </c>
      <c r="AH115" s="493">
        <v>115</v>
      </c>
      <c r="AI115" s="493">
        <v>90</v>
      </c>
      <c r="AJ115" s="493">
        <v>89</v>
      </c>
      <c r="AK115" s="493">
        <v>76</v>
      </c>
      <c r="AL115" s="199"/>
      <c r="AM115" s="491">
        <v>150</v>
      </c>
      <c r="AN115" s="492">
        <v>70</v>
      </c>
      <c r="AO115" s="492">
        <v>67</v>
      </c>
      <c r="AP115" s="492">
        <v>69</v>
      </c>
      <c r="AQ115" s="493">
        <v>59</v>
      </c>
      <c r="AR115" s="493">
        <v>36</v>
      </c>
      <c r="AS115" s="493">
        <v>40</v>
      </c>
      <c r="AT115" s="493">
        <v>37</v>
      </c>
      <c r="AU115" s="199"/>
      <c r="AV115" s="491">
        <v>3</v>
      </c>
      <c r="AW115" s="492"/>
      <c r="AX115" s="492"/>
      <c r="AY115" s="492"/>
      <c r="AZ115" s="493"/>
      <c r="BA115" s="493"/>
      <c r="BB115" s="493"/>
      <c r="BC115" s="493"/>
      <c r="BD115" s="199"/>
      <c r="BE115" s="491">
        <v>21</v>
      </c>
      <c r="BF115" s="492">
        <v>13</v>
      </c>
      <c r="BG115" s="492">
        <v>16</v>
      </c>
      <c r="BH115" s="492">
        <v>9</v>
      </c>
      <c r="BI115" s="493">
        <v>4</v>
      </c>
      <c r="BJ115" s="493">
        <v>11</v>
      </c>
      <c r="BK115" s="493">
        <v>16</v>
      </c>
      <c r="BL115" s="493">
        <v>5</v>
      </c>
      <c r="BM115" s="199"/>
      <c r="BN115" s="491"/>
      <c r="BO115" s="492"/>
      <c r="BP115" s="492"/>
      <c r="BQ115" s="492"/>
      <c r="BR115" s="493"/>
      <c r="BS115" s="493">
        <v>1</v>
      </c>
      <c r="BT115" s="493">
        <v>1</v>
      </c>
      <c r="BU115" s="493"/>
      <c r="BV115" s="199"/>
      <c r="BW115" s="491">
        <v>67</v>
      </c>
      <c r="BX115" s="492">
        <v>42</v>
      </c>
      <c r="BY115" s="492">
        <v>34</v>
      </c>
      <c r="BZ115" s="492">
        <v>71</v>
      </c>
      <c r="CA115" s="493">
        <v>58</v>
      </c>
      <c r="CB115" s="493">
        <v>66</v>
      </c>
      <c r="CC115" s="493">
        <v>63</v>
      </c>
      <c r="CD115" s="493">
        <v>45</v>
      </c>
      <c r="CE115" s="199"/>
      <c r="CF115" s="491">
        <v>18</v>
      </c>
      <c r="CG115" s="492">
        <v>6</v>
      </c>
      <c r="CH115" s="492">
        <v>3</v>
      </c>
      <c r="CI115" s="492">
        <v>5</v>
      </c>
      <c r="CJ115" s="493">
        <v>12</v>
      </c>
      <c r="CK115" s="493">
        <v>7</v>
      </c>
      <c r="CL115" s="493">
        <v>3</v>
      </c>
      <c r="CM115" s="493">
        <v>3</v>
      </c>
      <c r="CN115" s="199"/>
      <c r="CO115" s="491">
        <v>6</v>
      </c>
      <c r="CP115" s="492">
        <v>6</v>
      </c>
      <c r="CQ115" s="492">
        <v>3</v>
      </c>
      <c r="CR115" s="492">
        <v>2</v>
      </c>
      <c r="CS115" s="493">
        <v>1</v>
      </c>
      <c r="CT115" s="493"/>
      <c r="CU115" s="493"/>
      <c r="CV115" s="493">
        <v>2</v>
      </c>
      <c r="CW115" s="199"/>
      <c r="CX115" s="491">
        <v>1879</v>
      </c>
      <c r="CY115" s="492">
        <v>1726</v>
      </c>
      <c r="CZ115" s="492">
        <v>1978</v>
      </c>
      <c r="DA115" s="492">
        <v>1975</v>
      </c>
      <c r="DB115" s="493">
        <v>1779</v>
      </c>
      <c r="DC115" s="493">
        <v>1004</v>
      </c>
      <c r="DD115" s="493">
        <v>753</v>
      </c>
      <c r="DE115" s="493">
        <v>633</v>
      </c>
      <c r="DF115" s="199"/>
      <c r="DG115" s="491">
        <v>43</v>
      </c>
      <c r="DH115" s="492">
        <v>40</v>
      </c>
      <c r="DI115" s="492">
        <v>54</v>
      </c>
      <c r="DJ115" s="492">
        <v>59</v>
      </c>
      <c r="DK115" s="493">
        <v>60</v>
      </c>
      <c r="DL115" s="493">
        <v>14</v>
      </c>
      <c r="DM115" s="493">
        <v>16</v>
      </c>
      <c r="DN115" s="493">
        <v>13</v>
      </c>
      <c r="DO115" s="199"/>
      <c r="DP115" s="491">
        <v>49</v>
      </c>
      <c r="DQ115" s="492">
        <v>39</v>
      </c>
      <c r="DR115" s="492">
        <v>48</v>
      </c>
      <c r="DS115" s="492">
        <v>51</v>
      </c>
      <c r="DT115" s="493">
        <v>56</v>
      </c>
      <c r="DU115" s="493">
        <v>41</v>
      </c>
      <c r="DV115" s="493">
        <v>52</v>
      </c>
      <c r="DW115" s="493">
        <v>64</v>
      </c>
      <c r="DX115" s="199"/>
      <c r="DY115" s="491">
        <v>268</v>
      </c>
      <c r="DZ115" s="492">
        <v>217</v>
      </c>
      <c r="EA115" s="492">
        <v>263</v>
      </c>
      <c r="EB115" s="492">
        <v>247</v>
      </c>
      <c r="EC115" s="493">
        <v>322</v>
      </c>
      <c r="ED115" s="493">
        <v>186</v>
      </c>
      <c r="EE115" s="493">
        <v>97</v>
      </c>
      <c r="EF115" s="493">
        <v>95</v>
      </c>
      <c r="EG115" s="199"/>
      <c r="EH115" s="491">
        <v>45</v>
      </c>
      <c r="EI115" s="492">
        <v>41</v>
      </c>
      <c r="EJ115" s="492">
        <v>29</v>
      </c>
      <c r="EK115" s="492">
        <v>18</v>
      </c>
      <c r="EL115" s="493">
        <v>14</v>
      </c>
      <c r="EM115" s="493">
        <v>9</v>
      </c>
      <c r="EN115" s="493">
        <v>10</v>
      </c>
      <c r="EO115" s="493">
        <v>5</v>
      </c>
      <c r="EP115" s="199"/>
      <c r="EQ115" s="491">
        <v>2</v>
      </c>
      <c r="ER115" s="492">
        <v>2</v>
      </c>
      <c r="ES115" s="492">
        <v>2</v>
      </c>
      <c r="ET115" s="492">
        <v>3</v>
      </c>
      <c r="EU115" s="493">
        <v>8</v>
      </c>
      <c r="EV115" s="493">
        <v>2</v>
      </c>
      <c r="EW115" s="493">
        <v>5</v>
      </c>
      <c r="EX115" s="493">
        <v>12</v>
      </c>
      <c r="EY115" s="199"/>
      <c r="EZ115" s="491">
        <v>18</v>
      </c>
      <c r="FA115" s="492">
        <v>10</v>
      </c>
      <c r="FB115" s="492">
        <v>9</v>
      </c>
      <c r="FC115" s="492">
        <v>5</v>
      </c>
      <c r="FD115" s="493">
        <v>2</v>
      </c>
      <c r="FE115" s="493">
        <v>9</v>
      </c>
      <c r="FF115" s="493"/>
      <c r="FG115" s="493">
        <v>1</v>
      </c>
      <c r="FH115" s="199"/>
      <c r="FI115" s="491">
        <v>199</v>
      </c>
      <c r="FJ115" s="492">
        <v>137</v>
      </c>
      <c r="FK115" s="492">
        <v>138</v>
      </c>
      <c r="FL115" s="492">
        <v>98</v>
      </c>
      <c r="FM115" s="493">
        <v>92</v>
      </c>
      <c r="FN115" s="493">
        <v>56</v>
      </c>
      <c r="FO115" s="493">
        <v>58</v>
      </c>
      <c r="FP115" s="493">
        <v>40</v>
      </c>
      <c r="FQ115" s="199"/>
      <c r="FR115" s="491">
        <v>19</v>
      </c>
      <c r="FS115" s="492">
        <v>18</v>
      </c>
      <c r="FT115" s="492">
        <v>16</v>
      </c>
      <c r="FU115" s="492">
        <v>26</v>
      </c>
      <c r="FV115" s="493">
        <v>24</v>
      </c>
      <c r="FW115" s="493">
        <v>9</v>
      </c>
      <c r="FX115" s="493">
        <v>2</v>
      </c>
      <c r="FY115" s="493">
        <v>1</v>
      </c>
      <c r="FZ115" s="199"/>
      <c r="GA115" s="491">
        <v>21</v>
      </c>
      <c r="GB115" s="492">
        <v>16</v>
      </c>
      <c r="GC115" s="492">
        <v>9</v>
      </c>
      <c r="GD115" s="492">
        <v>11</v>
      </c>
      <c r="GE115" s="493">
        <v>13</v>
      </c>
      <c r="GF115" s="493">
        <v>8</v>
      </c>
      <c r="GG115" s="493">
        <v>6</v>
      </c>
      <c r="GH115" s="493">
        <v>10</v>
      </c>
      <c r="GI115" s="199"/>
      <c r="GJ115" s="491">
        <v>2508</v>
      </c>
      <c r="GK115" s="492">
        <v>2153</v>
      </c>
      <c r="GL115" s="492">
        <v>2340</v>
      </c>
      <c r="GM115" s="492">
        <v>2337</v>
      </c>
      <c r="GN115" s="493">
        <v>2129</v>
      </c>
      <c r="GO115" s="493">
        <v>1278</v>
      </c>
      <c r="GP115" s="493">
        <v>1010</v>
      </c>
      <c r="GQ115" s="493">
        <v>834</v>
      </c>
      <c r="GR115" s="199"/>
      <c r="GS115" s="491">
        <v>759</v>
      </c>
      <c r="GT115" s="492">
        <v>721</v>
      </c>
      <c r="GU115" s="492">
        <v>693</v>
      </c>
      <c r="GV115" s="492">
        <v>656</v>
      </c>
      <c r="GW115" s="493">
        <v>338</v>
      </c>
      <c r="GX115" s="493">
        <v>228</v>
      </c>
      <c r="GY115" s="493">
        <v>238</v>
      </c>
      <c r="GZ115" s="493">
        <v>201</v>
      </c>
      <c r="HA115" s="199"/>
      <c r="HB115" s="491">
        <v>19</v>
      </c>
      <c r="HC115" s="492">
        <v>8</v>
      </c>
      <c r="HD115" s="492">
        <v>11</v>
      </c>
      <c r="HE115" s="492">
        <v>13</v>
      </c>
      <c r="HF115" s="493">
        <v>20</v>
      </c>
      <c r="HG115" s="493">
        <v>5</v>
      </c>
      <c r="HH115" s="493">
        <v>6</v>
      </c>
      <c r="HI115" s="493">
        <v>1</v>
      </c>
      <c r="HJ115" s="199"/>
      <c r="HK115" s="491"/>
      <c r="HL115" s="492">
        <v>4</v>
      </c>
      <c r="HM115" s="492">
        <v>5</v>
      </c>
      <c r="HN115" s="492">
        <v>5</v>
      </c>
      <c r="HO115" s="493">
        <v>3</v>
      </c>
      <c r="HP115" s="493">
        <v>6</v>
      </c>
      <c r="HQ115" s="493">
        <v>1</v>
      </c>
      <c r="HR115" s="493"/>
      <c r="HS115" s="199"/>
      <c r="HT115" s="491">
        <v>1061</v>
      </c>
      <c r="HU115" s="492">
        <v>992</v>
      </c>
      <c r="HV115" s="492">
        <v>957</v>
      </c>
      <c r="HW115" s="492">
        <v>917</v>
      </c>
      <c r="HX115" s="493">
        <v>561</v>
      </c>
      <c r="HY115" s="493">
        <v>445</v>
      </c>
      <c r="HZ115" s="493">
        <v>465</v>
      </c>
      <c r="IA115" s="493">
        <v>524</v>
      </c>
      <c r="IB115" s="199"/>
      <c r="IC115" s="491">
        <v>3987</v>
      </c>
      <c r="ID115" s="492">
        <v>3564</v>
      </c>
      <c r="IE115" s="492">
        <v>4075</v>
      </c>
      <c r="IF115" s="492">
        <v>3532</v>
      </c>
      <c r="IG115" s="493">
        <v>3201</v>
      </c>
      <c r="IH115" s="493">
        <v>2271</v>
      </c>
      <c r="II115" s="493">
        <v>1790</v>
      </c>
      <c r="IJ115" s="493">
        <v>1751</v>
      </c>
      <c r="IK115" s="199"/>
      <c r="IL115" s="491">
        <v>434</v>
      </c>
      <c r="IM115" s="492">
        <v>357</v>
      </c>
      <c r="IN115" s="492">
        <v>405</v>
      </c>
      <c r="IO115" s="492">
        <v>355</v>
      </c>
      <c r="IP115" s="493">
        <v>229</v>
      </c>
      <c r="IQ115" s="493">
        <v>253</v>
      </c>
      <c r="IR115" s="493">
        <v>151</v>
      </c>
      <c r="IS115" s="493">
        <v>132</v>
      </c>
      <c r="IT115" s="199"/>
      <c r="IU115" s="533">
        <v>3136.9741221271943</v>
      </c>
      <c r="IV115" s="534">
        <v>2796.6101694915255</v>
      </c>
      <c r="IW115" s="534">
        <v>3181.4065330085564</v>
      </c>
      <c r="IX115" s="534">
        <v>2797.6902421443679</v>
      </c>
      <c r="IY115" s="535">
        <v>2524.7466182908074</v>
      </c>
      <c r="IZ115" s="535">
        <v>1828.6628100261332</v>
      </c>
      <c r="JA115" s="535">
        <v>1549.3811131307887</v>
      </c>
      <c r="JB115" s="535">
        <v>1497.4515102794787</v>
      </c>
      <c r="JC115" s="536"/>
      <c r="JD115" s="537">
        <v>834.79547117555876</v>
      </c>
      <c r="JE115" s="538">
        <v>778.40552416823607</v>
      </c>
      <c r="JF115" s="538">
        <v>747.14258946973951</v>
      </c>
      <c r="JG115" s="538">
        <v>726.35389355786674</v>
      </c>
      <c r="JH115" s="538">
        <v>442.48136609220336</v>
      </c>
      <c r="JI115" s="539">
        <v>360.68643810551407</v>
      </c>
      <c r="JJ115" s="539">
        <v>402.49285899766295</v>
      </c>
      <c r="JK115" s="539">
        <v>448.1236958232135</v>
      </c>
      <c r="JL115" s="536"/>
      <c r="JM115" s="537">
        <v>1973.2959865299733</v>
      </c>
      <c r="JN115" s="538">
        <v>1689.4224733207786</v>
      </c>
      <c r="JO115" s="538">
        <v>1826.8690275435636</v>
      </c>
      <c r="JP115" s="538">
        <v>1851.1330962319896</v>
      </c>
      <c r="JQ115" s="538">
        <v>1679.2207280041014</v>
      </c>
      <c r="JR115" s="539">
        <v>1040.2991618575156</v>
      </c>
      <c r="JS115" s="539">
        <v>874.23180126374109</v>
      </c>
      <c r="JT115" s="539">
        <v>713.23504258885509</v>
      </c>
      <c r="JU115" s="536"/>
      <c r="JV115" s="537">
        <v>597.18168013407092</v>
      </c>
      <c r="JW115" s="538">
        <v>565.75643440050214</v>
      </c>
      <c r="JX115" s="538">
        <v>541.03428892636305</v>
      </c>
      <c r="JY115" s="538">
        <v>519.61630771424268</v>
      </c>
      <c r="JZ115" s="538">
        <v>266.59305122845763</v>
      </c>
      <c r="KA115" s="539">
        <v>191.74077611650819</v>
      </c>
      <c r="KB115" s="539">
        <v>206.00709772353503</v>
      </c>
      <c r="KC115" s="539">
        <v>171.89477645127084</v>
      </c>
      <c r="KD115" s="536"/>
    </row>
    <row r="116" spans="1:290" ht="15" customHeight="1" x14ac:dyDescent="0.2">
      <c r="A116" s="930"/>
      <c r="B116" s="490" t="s">
        <v>723</v>
      </c>
      <c r="C116" s="491">
        <v>3</v>
      </c>
      <c r="D116" s="492"/>
      <c r="E116" s="492">
        <v>5</v>
      </c>
      <c r="F116" s="492">
        <v>2</v>
      </c>
      <c r="G116" s="493">
        <v>3</v>
      </c>
      <c r="H116" s="493">
        <v>3</v>
      </c>
      <c r="I116" s="493">
        <v>4</v>
      </c>
      <c r="J116" s="493">
        <v>2</v>
      </c>
      <c r="K116" s="199"/>
      <c r="L116" s="491">
        <v>1</v>
      </c>
      <c r="M116" s="492"/>
      <c r="N116" s="492">
        <v>2</v>
      </c>
      <c r="O116" s="492">
        <v>1</v>
      </c>
      <c r="P116" s="493"/>
      <c r="Q116" s="493">
        <v>2</v>
      </c>
      <c r="R116" s="493"/>
      <c r="S116" s="493">
        <v>2</v>
      </c>
      <c r="T116" s="199"/>
      <c r="U116" s="491">
        <v>2</v>
      </c>
      <c r="V116" s="492"/>
      <c r="W116" s="492">
        <v>3</v>
      </c>
      <c r="X116" s="492">
        <v>1</v>
      </c>
      <c r="Y116" s="493">
        <v>2</v>
      </c>
      <c r="Z116" s="493"/>
      <c r="AA116" s="493">
        <v>4</v>
      </c>
      <c r="AB116" s="493"/>
      <c r="AC116" s="199"/>
      <c r="AD116" s="491">
        <v>91</v>
      </c>
      <c r="AE116" s="492">
        <v>68</v>
      </c>
      <c r="AF116" s="492">
        <v>78</v>
      </c>
      <c r="AG116" s="492">
        <v>108</v>
      </c>
      <c r="AH116" s="493">
        <v>161</v>
      </c>
      <c r="AI116" s="493">
        <v>162</v>
      </c>
      <c r="AJ116" s="493">
        <v>126</v>
      </c>
      <c r="AK116" s="493">
        <v>90</v>
      </c>
      <c r="AL116" s="199"/>
      <c r="AM116" s="491">
        <v>64</v>
      </c>
      <c r="AN116" s="492">
        <v>45</v>
      </c>
      <c r="AO116" s="492">
        <v>27</v>
      </c>
      <c r="AP116" s="492">
        <v>25</v>
      </c>
      <c r="AQ116" s="493">
        <v>34</v>
      </c>
      <c r="AR116" s="493">
        <v>32</v>
      </c>
      <c r="AS116" s="493">
        <v>30</v>
      </c>
      <c r="AT116" s="493">
        <v>22</v>
      </c>
      <c r="AU116" s="199"/>
      <c r="AV116" s="491"/>
      <c r="AW116" s="492"/>
      <c r="AX116" s="492">
        <v>1</v>
      </c>
      <c r="AY116" s="492"/>
      <c r="AZ116" s="493"/>
      <c r="BA116" s="493"/>
      <c r="BB116" s="493"/>
      <c r="BC116" s="493"/>
      <c r="BD116" s="199"/>
      <c r="BE116" s="491">
        <v>21</v>
      </c>
      <c r="BF116" s="492">
        <v>14</v>
      </c>
      <c r="BG116" s="492">
        <v>28</v>
      </c>
      <c r="BH116" s="492">
        <v>11</v>
      </c>
      <c r="BI116" s="493">
        <v>12</v>
      </c>
      <c r="BJ116" s="493">
        <v>20</v>
      </c>
      <c r="BK116" s="493">
        <v>13</v>
      </c>
      <c r="BL116" s="493">
        <v>13</v>
      </c>
      <c r="BM116" s="199"/>
      <c r="BN116" s="491"/>
      <c r="BO116" s="492"/>
      <c r="BP116" s="492"/>
      <c r="BQ116" s="492"/>
      <c r="BR116" s="493"/>
      <c r="BS116" s="493">
        <v>1</v>
      </c>
      <c r="BT116" s="493"/>
      <c r="BU116" s="493"/>
      <c r="BV116" s="199"/>
      <c r="BW116" s="491">
        <v>13</v>
      </c>
      <c r="BX116" s="492">
        <v>14</v>
      </c>
      <c r="BY116" s="492">
        <v>19</v>
      </c>
      <c r="BZ116" s="492">
        <v>24</v>
      </c>
      <c r="CA116" s="493">
        <v>48</v>
      </c>
      <c r="CB116" s="493">
        <v>64</v>
      </c>
      <c r="CC116" s="493">
        <v>75</v>
      </c>
      <c r="CD116" s="493">
        <v>54</v>
      </c>
      <c r="CE116" s="199"/>
      <c r="CF116" s="491">
        <v>7</v>
      </c>
      <c r="CG116" s="492">
        <v>3</v>
      </c>
      <c r="CH116" s="492">
        <v>5</v>
      </c>
      <c r="CI116" s="492">
        <v>4</v>
      </c>
      <c r="CJ116" s="493">
        <v>7</v>
      </c>
      <c r="CK116" s="493">
        <v>4</v>
      </c>
      <c r="CL116" s="493">
        <v>7</v>
      </c>
      <c r="CM116" s="493">
        <v>3</v>
      </c>
      <c r="CN116" s="199"/>
      <c r="CO116" s="491">
        <v>5</v>
      </c>
      <c r="CP116" s="492"/>
      <c r="CQ116" s="492">
        <v>2</v>
      </c>
      <c r="CR116" s="492">
        <v>1</v>
      </c>
      <c r="CS116" s="493">
        <v>3</v>
      </c>
      <c r="CT116" s="493">
        <v>2</v>
      </c>
      <c r="CU116" s="493"/>
      <c r="CV116" s="493">
        <v>5</v>
      </c>
      <c r="CW116" s="199"/>
      <c r="CX116" s="491">
        <v>1244</v>
      </c>
      <c r="CY116" s="492">
        <v>1347</v>
      </c>
      <c r="CZ116" s="492">
        <v>1645</v>
      </c>
      <c r="DA116" s="492">
        <v>1194</v>
      </c>
      <c r="DB116" s="493">
        <v>1144</v>
      </c>
      <c r="DC116" s="493">
        <v>830</v>
      </c>
      <c r="DD116" s="493">
        <v>656</v>
      </c>
      <c r="DE116" s="493">
        <v>579</v>
      </c>
      <c r="DF116" s="199"/>
      <c r="DG116" s="491">
        <v>9</v>
      </c>
      <c r="DH116" s="492">
        <v>8</v>
      </c>
      <c r="DI116" s="492">
        <v>12</v>
      </c>
      <c r="DJ116" s="492">
        <v>10</v>
      </c>
      <c r="DK116" s="493">
        <v>5</v>
      </c>
      <c r="DL116" s="493">
        <v>9</v>
      </c>
      <c r="DM116" s="493">
        <v>2</v>
      </c>
      <c r="DN116" s="493">
        <v>2</v>
      </c>
      <c r="DO116" s="199"/>
      <c r="DP116" s="491">
        <v>17</v>
      </c>
      <c r="DQ116" s="492">
        <v>27</v>
      </c>
      <c r="DR116" s="492">
        <v>31</v>
      </c>
      <c r="DS116" s="492">
        <v>9</v>
      </c>
      <c r="DT116" s="493">
        <v>23</v>
      </c>
      <c r="DU116" s="493">
        <v>7</v>
      </c>
      <c r="DV116" s="493">
        <v>11</v>
      </c>
      <c r="DW116" s="493">
        <v>4</v>
      </c>
      <c r="DX116" s="199"/>
      <c r="DY116" s="491">
        <v>268</v>
      </c>
      <c r="DZ116" s="492">
        <v>282</v>
      </c>
      <c r="EA116" s="492">
        <v>328</v>
      </c>
      <c r="EB116" s="492">
        <v>228</v>
      </c>
      <c r="EC116" s="493">
        <v>257</v>
      </c>
      <c r="ED116" s="493">
        <v>226</v>
      </c>
      <c r="EE116" s="493">
        <v>177</v>
      </c>
      <c r="EF116" s="493">
        <v>118</v>
      </c>
      <c r="EG116" s="199"/>
      <c r="EH116" s="491">
        <v>10</v>
      </c>
      <c r="EI116" s="492">
        <v>13</v>
      </c>
      <c r="EJ116" s="492">
        <v>7</v>
      </c>
      <c r="EK116" s="492">
        <v>7</v>
      </c>
      <c r="EL116" s="493">
        <v>10</v>
      </c>
      <c r="EM116" s="493">
        <v>8</v>
      </c>
      <c r="EN116" s="493">
        <v>2</v>
      </c>
      <c r="EO116" s="493">
        <v>9</v>
      </c>
      <c r="EP116" s="199"/>
      <c r="EQ116" s="491">
        <v>1</v>
      </c>
      <c r="ER116" s="492">
        <v>1</v>
      </c>
      <c r="ES116" s="492">
        <v>2</v>
      </c>
      <c r="ET116" s="492">
        <v>1</v>
      </c>
      <c r="EU116" s="493">
        <v>4</v>
      </c>
      <c r="EV116" s="493">
        <v>3</v>
      </c>
      <c r="EW116" s="493">
        <v>5</v>
      </c>
      <c r="EX116" s="493">
        <v>7</v>
      </c>
      <c r="EY116" s="199"/>
      <c r="EZ116" s="491">
        <v>3</v>
      </c>
      <c r="FA116" s="492">
        <v>9</v>
      </c>
      <c r="FB116" s="492">
        <v>8</v>
      </c>
      <c r="FC116" s="492">
        <v>1</v>
      </c>
      <c r="FD116" s="493">
        <v>2</v>
      </c>
      <c r="FE116" s="493">
        <v>5</v>
      </c>
      <c r="FF116" s="493">
        <v>1</v>
      </c>
      <c r="FG116" s="493">
        <v>1</v>
      </c>
      <c r="FH116" s="199"/>
      <c r="FI116" s="491">
        <v>92</v>
      </c>
      <c r="FJ116" s="492">
        <v>52</v>
      </c>
      <c r="FK116" s="492">
        <v>53</v>
      </c>
      <c r="FL116" s="492">
        <v>32</v>
      </c>
      <c r="FM116" s="493">
        <v>35</v>
      </c>
      <c r="FN116" s="493">
        <v>29</v>
      </c>
      <c r="FO116" s="493">
        <v>36</v>
      </c>
      <c r="FP116" s="493">
        <v>37</v>
      </c>
      <c r="FQ116" s="199"/>
      <c r="FR116" s="491">
        <v>7</v>
      </c>
      <c r="FS116" s="492">
        <v>5</v>
      </c>
      <c r="FT116" s="492">
        <v>12</v>
      </c>
      <c r="FU116" s="492">
        <v>2</v>
      </c>
      <c r="FV116" s="493">
        <v>4</v>
      </c>
      <c r="FW116" s="493">
        <v>2</v>
      </c>
      <c r="FX116" s="493">
        <v>1</v>
      </c>
      <c r="FY116" s="493">
        <v>2</v>
      </c>
      <c r="FZ116" s="199"/>
      <c r="GA116" s="491">
        <v>6</v>
      </c>
      <c r="GB116" s="492">
        <v>5</v>
      </c>
      <c r="GC116" s="492">
        <v>1</v>
      </c>
      <c r="GD116" s="492">
        <v>6</v>
      </c>
      <c r="GE116" s="493">
        <v>9</v>
      </c>
      <c r="GF116" s="493">
        <v>5</v>
      </c>
      <c r="GG116" s="493">
        <v>3</v>
      </c>
      <c r="GH116" s="493">
        <v>2</v>
      </c>
      <c r="GI116" s="199"/>
      <c r="GJ116" s="491">
        <v>1503</v>
      </c>
      <c r="GK116" s="492">
        <v>1531</v>
      </c>
      <c r="GL116" s="492">
        <v>1865</v>
      </c>
      <c r="GM116" s="492">
        <v>1393</v>
      </c>
      <c r="GN116" s="493">
        <v>1442</v>
      </c>
      <c r="GO116" s="493">
        <v>1138</v>
      </c>
      <c r="GP116" s="493">
        <v>929</v>
      </c>
      <c r="GQ116" s="493">
        <v>804</v>
      </c>
      <c r="GR116" s="199"/>
      <c r="GS116" s="491">
        <v>365</v>
      </c>
      <c r="GT116" s="492">
        <v>394</v>
      </c>
      <c r="GU116" s="492">
        <v>472</v>
      </c>
      <c r="GV116" s="492">
        <v>261</v>
      </c>
      <c r="GW116" s="493">
        <v>162</v>
      </c>
      <c r="GX116" s="493">
        <v>175</v>
      </c>
      <c r="GY116" s="493">
        <v>150</v>
      </c>
      <c r="GZ116" s="493">
        <v>128</v>
      </c>
      <c r="HA116" s="199"/>
      <c r="HB116" s="491">
        <v>4</v>
      </c>
      <c r="HC116" s="492">
        <v>4</v>
      </c>
      <c r="HD116" s="492">
        <v>8</v>
      </c>
      <c r="HE116" s="492">
        <v>2</v>
      </c>
      <c r="HF116" s="493">
        <v>2</v>
      </c>
      <c r="HG116" s="493">
        <v>4</v>
      </c>
      <c r="HH116" s="493">
        <v>8</v>
      </c>
      <c r="HI116" s="493">
        <v>4</v>
      </c>
      <c r="HJ116" s="199"/>
      <c r="HK116" s="491">
        <v>2</v>
      </c>
      <c r="HL116" s="492"/>
      <c r="HM116" s="492"/>
      <c r="HN116" s="492">
        <v>1</v>
      </c>
      <c r="HO116" s="493">
        <v>1</v>
      </c>
      <c r="HP116" s="493"/>
      <c r="HQ116" s="493"/>
      <c r="HR116" s="493">
        <v>1</v>
      </c>
      <c r="HS116" s="199"/>
      <c r="HT116" s="491">
        <v>486</v>
      </c>
      <c r="HU116" s="492">
        <v>493</v>
      </c>
      <c r="HV116" s="492">
        <v>612</v>
      </c>
      <c r="HW116" s="492">
        <v>375</v>
      </c>
      <c r="HX116" s="493">
        <v>324</v>
      </c>
      <c r="HY116" s="493">
        <v>331</v>
      </c>
      <c r="HZ116" s="493">
        <v>299</v>
      </c>
      <c r="IA116" s="493">
        <v>310</v>
      </c>
      <c r="IB116" s="199"/>
      <c r="IC116" s="491">
        <v>2049</v>
      </c>
      <c r="ID116" s="492">
        <v>2414</v>
      </c>
      <c r="IE116" s="492">
        <v>2924</v>
      </c>
      <c r="IF116" s="492">
        <v>1789</v>
      </c>
      <c r="IG116" s="493">
        <v>2013</v>
      </c>
      <c r="IH116" s="493">
        <v>1684</v>
      </c>
      <c r="II116" s="493">
        <v>1390</v>
      </c>
      <c r="IJ116" s="493">
        <v>1339</v>
      </c>
      <c r="IK116" s="199"/>
      <c r="IL116" s="491">
        <v>521</v>
      </c>
      <c r="IM116" s="492">
        <v>576</v>
      </c>
      <c r="IN116" s="492">
        <v>625</v>
      </c>
      <c r="IO116" s="492">
        <v>395</v>
      </c>
      <c r="IP116" s="493">
        <v>233</v>
      </c>
      <c r="IQ116" s="493">
        <v>338</v>
      </c>
      <c r="IR116" s="493">
        <v>230</v>
      </c>
      <c r="IS116" s="493">
        <v>168</v>
      </c>
      <c r="IT116" s="199"/>
      <c r="IU116" s="533">
        <v>3351.544098403559</v>
      </c>
      <c r="IV116" s="534">
        <v>3983.0382629069254</v>
      </c>
      <c r="IW116" s="534">
        <v>4853.5953787929093</v>
      </c>
      <c r="IX116" s="534">
        <v>3018.1867260518943</v>
      </c>
      <c r="IY116" s="535">
        <v>3413.8316996235117</v>
      </c>
      <c r="IZ116" s="535">
        <v>2676.3753126095708</v>
      </c>
      <c r="JA116" s="535">
        <v>1947.6516085640621</v>
      </c>
      <c r="JB116" s="535">
        <v>1873.4609357510635</v>
      </c>
      <c r="JC116" s="536"/>
      <c r="JD116" s="537">
        <v>794.94896623920442</v>
      </c>
      <c r="JE116" s="538">
        <v>813.43739172042831</v>
      </c>
      <c r="JF116" s="538">
        <v>1015.8688002124694</v>
      </c>
      <c r="JG116" s="538">
        <v>632.65512703714944</v>
      </c>
      <c r="JH116" s="538">
        <v>549.46918563239831</v>
      </c>
      <c r="JI116" s="539">
        <v>525.69227350132076</v>
      </c>
      <c r="JJ116" s="539">
        <v>418.95527407241337</v>
      </c>
      <c r="JK116" s="539">
        <v>433.73628833669125</v>
      </c>
      <c r="JL116" s="536"/>
      <c r="JM116" s="537">
        <v>2458.4532844805026</v>
      </c>
      <c r="JN116" s="538">
        <v>2526.110845281898</v>
      </c>
      <c r="JO116" s="538">
        <v>3095.743974503685</v>
      </c>
      <c r="JP116" s="538">
        <v>2350.1029119006648</v>
      </c>
      <c r="JQ116" s="538">
        <v>2445.4770545738224</v>
      </c>
      <c r="JR116" s="539">
        <v>1785.8396417382496</v>
      </c>
      <c r="JS116" s="539">
        <v>1301.7038448604417</v>
      </c>
      <c r="JT116" s="539">
        <v>1124.916051040967</v>
      </c>
      <c r="JU116" s="536"/>
      <c r="JV116" s="537">
        <v>597.0295734101021</v>
      </c>
      <c r="JW116" s="538">
        <v>650.08992360618413</v>
      </c>
      <c r="JX116" s="538">
        <v>783.48051258216594</v>
      </c>
      <c r="JY116" s="538">
        <v>440.32796841785603</v>
      </c>
      <c r="JZ116" s="538">
        <v>274.73459281619915</v>
      </c>
      <c r="KA116" s="539">
        <v>263.93890509689959</v>
      </c>
      <c r="KB116" s="539">
        <v>210.17823114000672</v>
      </c>
      <c r="KC116" s="539">
        <v>179.09111260353706</v>
      </c>
      <c r="KD116" s="536"/>
    </row>
    <row r="117" spans="1:290" ht="15" customHeight="1" x14ac:dyDescent="0.2">
      <c r="A117" s="930"/>
      <c r="B117" s="490" t="s">
        <v>724</v>
      </c>
      <c r="C117" s="491">
        <v>1</v>
      </c>
      <c r="D117" s="492"/>
      <c r="E117" s="492"/>
      <c r="F117" s="492"/>
      <c r="G117" s="493">
        <v>2</v>
      </c>
      <c r="H117" s="493">
        <v>1</v>
      </c>
      <c r="I117" s="493">
        <v>1</v>
      </c>
      <c r="J117" s="493"/>
      <c r="K117" s="199"/>
      <c r="L117" s="491">
        <v>1</v>
      </c>
      <c r="M117" s="492"/>
      <c r="N117" s="492"/>
      <c r="O117" s="492"/>
      <c r="P117" s="493">
        <v>2</v>
      </c>
      <c r="Q117" s="493"/>
      <c r="R117" s="493">
        <v>1</v>
      </c>
      <c r="S117" s="493"/>
      <c r="T117" s="199"/>
      <c r="U117" s="491"/>
      <c r="V117" s="492"/>
      <c r="W117" s="492"/>
      <c r="X117" s="492"/>
      <c r="Y117" s="493"/>
      <c r="Z117" s="493">
        <v>1</v>
      </c>
      <c r="AA117" s="493"/>
      <c r="AB117" s="493"/>
      <c r="AC117" s="199"/>
      <c r="AD117" s="491">
        <v>14</v>
      </c>
      <c r="AE117" s="492">
        <v>14</v>
      </c>
      <c r="AF117" s="492">
        <v>17</v>
      </c>
      <c r="AG117" s="492">
        <v>27</v>
      </c>
      <c r="AH117" s="493">
        <v>24</v>
      </c>
      <c r="AI117" s="493">
        <v>35</v>
      </c>
      <c r="AJ117" s="493">
        <v>65</v>
      </c>
      <c r="AK117" s="493">
        <v>53</v>
      </c>
      <c r="AL117" s="199"/>
      <c r="AM117" s="491">
        <v>11</v>
      </c>
      <c r="AN117" s="492">
        <v>6</v>
      </c>
      <c r="AO117" s="492">
        <v>12</v>
      </c>
      <c r="AP117" s="492">
        <v>16</v>
      </c>
      <c r="AQ117" s="493">
        <v>7</v>
      </c>
      <c r="AR117" s="493">
        <v>7</v>
      </c>
      <c r="AS117" s="493">
        <v>14</v>
      </c>
      <c r="AT117" s="493">
        <v>10</v>
      </c>
      <c r="AU117" s="199"/>
      <c r="AV117" s="491"/>
      <c r="AW117" s="492"/>
      <c r="AX117" s="492"/>
      <c r="AY117" s="492"/>
      <c r="AZ117" s="493"/>
      <c r="BA117" s="493">
        <v>1</v>
      </c>
      <c r="BB117" s="493"/>
      <c r="BC117" s="493">
        <v>1</v>
      </c>
      <c r="BD117" s="199"/>
      <c r="BE117" s="491">
        <v>5</v>
      </c>
      <c r="BF117" s="492">
        <v>1</v>
      </c>
      <c r="BG117" s="492">
        <v>2</v>
      </c>
      <c r="BH117" s="492">
        <v>6</v>
      </c>
      <c r="BI117" s="493">
        <v>2</v>
      </c>
      <c r="BJ117" s="493">
        <v>13</v>
      </c>
      <c r="BK117" s="493">
        <v>1</v>
      </c>
      <c r="BL117" s="493">
        <v>1</v>
      </c>
      <c r="BM117" s="199"/>
      <c r="BN117" s="491"/>
      <c r="BO117" s="492"/>
      <c r="BP117" s="492"/>
      <c r="BQ117" s="492"/>
      <c r="BR117" s="493"/>
      <c r="BS117" s="493"/>
      <c r="BT117" s="493"/>
      <c r="BU117" s="493"/>
      <c r="BV117" s="199"/>
      <c r="BW117" s="491">
        <v>6</v>
      </c>
      <c r="BX117" s="492">
        <v>5</v>
      </c>
      <c r="BY117" s="492">
        <v>14</v>
      </c>
      <c r="BZ117" s="492">
        <v>31</v>
      </c>
      <c r="CA117" s="493">
        <v>31</v>
      </c>
      <c r="CB117" s="493">
        <v>18</v>
      </c>
      <c r="CC117" s="493">
        <v>44</v>
      </c>
      <c r="CD117" s="493">
        <v>25</v>
      </c>
      <c r="CE117" s="199"/>
      <c r="CF117" s="491">
        <v>3</v>
      </c>
      <c r="CG117" s="492">
        <v>4</v>
      </c>
      <c r="CH117" s="492"/>
      <c r="CI117" s="492">
        <v>1</v>
      </c>
      <c r="CJ117" s="493">
        <v>3</v>
      </c>
      <c r="CK117" s="493">
        <v>2</v>
      </c>
      <c r="CL117" s="493">
        <v>1</v>
      </c>
      <c r="CM117" s="493"/>
      <c r="CN117" s="199"/>
      <c r="CO117" s="491"/>
      <c r="CP117" s="492">
        <v>1</v>
      </c>
      <c r="CQ117" s="492">
        <v>1</v>
      </c>
      <c r="CR117" s="492">
        <v>1</v>
      </c>
      <c r="CS117" s="493"/>
      <c r="CT117" s="493">
        <v>1</v>
      </c>
      <c r="CU117" s="493"/>
      <c r="CV117" s="493">
        <v>10</v>
      </c>
      <c r="CW117" s="199"/>
      <c r="CX117" s="491">
        <v>413</v>
      </c>
      <c r="CY117" s="492">
        <v>362</v>
      </c>
      <c r="CZ117" s="492">
        <v>486</v>
      </c>
      <c r="DA117" s="492">
        <v>517</v>
      </c>
      <c r="DB117" s="493">
        <v>464</v>
      </c>
      <c r="DC117" s="493">
        <v>370</v>
      </c>
      <c r="DD117" s="493">
        <v>254</v>
      </c>
      <c r="DE117" s="493">
        <v>211</v>
      </c>
      <c r="DF117" s="199"/>
      <c r="DG117" s="491">
        <v>4</v>
      </c>
      <c r="DH117" s="492">
        <v>5</v>
      </c>
      <c r="DI117" s="492">
        <v>6</v>
      </c>
      <c r="DJ117" s="492">
        <v>2</v>
      </c>
      <c r="DK117" s="493">
        <v>2</v>
      </c>
      <c r="DL117" s="493">
        <v>2</v>
      </c>
      <c r="DM117" s="493">
        <v>1</v>
      </c>
      <c r="DN117" s="493">
        <v>3</v>
      </c>
      <c r="DO117" s="199"/>
      <c r="DP117" s="491">
        <v>27</v>
      </c>
      <c r="DQ117" s="492">
        <v>13</v>
      </c>
      <c r="DR117" s="492">
        <v>14</v>
      </c>
      <c r="DS117" s="492">
        <v>8</v>
      </c>
      <c r="DT117" s="493">
        <v>5</v>
      </c>
      <c r="DU117" s="493">
        <v>8</v>
      </c>
      <c r="DV117" s="493">
        <v>15</v>
      </c>
      <c r="DW117" s="493">
        <v>2</v>
      </c>
      <c r="DX117" s="199"/>
      <c r="DY117" s="491">
        <v>49</v>
      </c>
      <c r="DZ117" s="492">
        <v>24</v>
      </c>
      <c r="EA117" s="492">
        <v>40</v>
      </c>
      <c r="EB117" s="492">
        <v>47</v>
      </c>
      <c r="EC117" s="493">
        <v>66</v>
      </c>
      <c r="ED117" s="493">
        <v>40</v>
      </c>
      <c r="EE117" s="493">
        <v>67</v>
      </c>
      <c r="EF117" s="493">
        <v>41</v>
      </c>
      <c r="EG117" s="199"/>
      <c r="EH117" s="491">
        <v>4</v>
      </c>
      <c r="EI117" s="492">
        <v>4</v>
      </c>
      <c r="EJ117" s="492">
        <v>3</v>
      </c>
      <c r="EK117" s="492">
        <v>3</v>
      </c>
      <c r="EL117" s="493">
        <v>2</v>
      </c>
      <c r="EM117" s="493">
        <v>1</v>
      </c>
      <c r="EN117" s="493">
        <v>5</v>
      </c>
      <c r="EO117" s="493">
        <v>2</v>
      </c>
      <c r="EP117" s="199"/>
      <c r="EQ117" s="491"/>
      <c r="ER117" s="492">
        <v>2</v>
      </c>
      <c r="ES117" s="492">
        <v>1</v>
      </c>
      <c r="ET117" s="492">
        <v>1</v>
      </c>
      <c r="EU117" s="493">
        <v>2</v>
      </c>
      <c r="EV117" s="493">
        <v>5</v>
      </c>
      <c r="EW117" s="493">
        <v>4</v>
      </c>
      <c r="EX117" s="493">
        <v>4</v>
      </c>
      <c r="EY117" s="199"/>
      <c r="EZ117" s="491">
        <v>4</v>
      </c>
      <c r="FA117" s="492">
        <v>6</v>
      </c>
      <c r="FB117" s="492">
        <v>1</v>
      </c>
      <c r="FC117" s="492"/>
      <c r="FD117" s="493"/>
      <c r="FE117" s="493"/>
      <c r="FF117" s="493"/>
      <c r="FG117" s="493">
        <v>2</v>
      </c>
      <c r="FH117" s="199"/>
      <c r="FI117" s="491">
        <v>20</v>
      </c>
      <c r="FJ117" s="492">
        <v>22</v>
      </c>
      <c r="FK117" s="492">
        <v>17</v>
      </c>
      <c r="FL117" s="492">
        <v>22</v>
      </c>
      <c r="FM117" s="493">
        <v>13</v>
      </c>
      <c r="FN117" s="493">
        <v>18</v>
      </c>
      <c r="FO117" s="493">
        <v>21</v>
      </c>
      <c r="FP117" s="493">
        <v>13</v>
      </c>
      <c r="FQ117" s="199"/>
      <c r="FR117" s="491">
        <v>7</v>
      </c>
      <c r="FS117" s="492">
        <v>1</v>
      </c>
      <c r="FT117" s="492">
        <v>5</v>
      </c>
      <c r="FU117" s="492">
        <v>4</v>
      </c>
      <c r="FV117" s="493">
        <v>4</v>
      </c>
      <c r="FW117" s="493">
        <v>4</v>
      </c>
      <c r="FX117" s="493">
        <v>5</v>
      </c>
      <c r="FY117" s="493">
        <v>3</v>
      </c>
      <c r="FZ117" s="199"/>
      <c r="GA117" s="491">
        <v>1</v>
      </c>
      <c r="GB117" s="492">
        <v>5</v>
      </c>
      <c r="GC117" s="492">
        <v>2</v>
      </c>
      <c r="GD117" s="492">
        <v>3</v>
      </c>
      <c r="GE117" s="493">
        <v>2</v>
      </c>
      <c r="GF117" s="493">
        <v>8</v>
      </c>
      <c r="GG117" s="493">
        <v>3</v>
      </c>
      <c r="GH117" s="493">
        <v>2</v>
      </c>
      <c r="GI117" s="199"/>
      <c r="GJ117" s="491">
        <v>478</v>
      </c>
      <c r="GK117" s="492">
        <v>427</v>
      </c>
      <c r="GL117" s="492">
        <v>549</v>
      </c>
      <c r="GM117" s="492">
        <v>616</v>
      </c>
      <c r="GN117" s="493">
        <v>549</v>
      </c>
      <c r="GO117" s="493">
        <v>476</v>
      </c>
      <c r="GP117" s="493">
        <v>404</v>
      </c>
      <c r="GQ117" s="493">
        <v>326</v>
      </c>
      <c r="GR117" s="199"/>
      <c r="GS117" s="491">
        <v>157</v>
      </c>
      <c r="GT117" s="492">
        <v>146</v>
      </c>
      <c r="GU117" s="492">
        <v>212</v>
      </c>
      <c r="GV117" s="492">
        <v>213</v>
      </c>
      <c r="GW117" s="493">
        <v>142</v>
      </c>
      <c r="GX117" s="493">
        <v>97</v>
      </c>
      <c r="GY117" s="493">
        <v>95</v>
      </c>
      <c r="GZ117" s="493">
        <v>64</v>
      </c>
      <c r="HA117" s="199"/>
      <c r="HB117" s="491">
        <v>3</v>
      </c>
      <c r="HC117" s="492">
        <v>5</v>
      </c>
      <c r="HD117" s="492">
        <v>1</v>
      </c>
      <c r="HE117" s="492">
        <v>1</v>
      </c>
      <c r="HF117" s="493"/>
      <c r="HG117" s="493">
        <v>2</v>
      </c>
      <c r="HH117" s="493">
        <v>2</v>
      </c>
      <c r="HI117" s="493">
        <v>2</v>
      </c>
      <c r="HJ117" s="199"/>
      <c r="HK117" s="491">
        <v>1</v>
      </c>
      <c r="HL117" s="492"/>
      <c r="HM117" s="492"/>
      <c r="HN117" s="492">
        <v>2</v>
      </c>
      <c r="HO117" s="493"/>
      <c r="HP117" s="493"/>
      <c r="HQ117" s="493">
        <v>1</v>
      </c>
      <c r="HR117" s="493"/>
      <c r="HS117" s="199"/>
      <c r="HT117" s="491">
        <v>203</v>
      </c>
      <c r="HU117" s="492">
        <v>190</v>
      </c>
      <c r="HV117" s="492">
        <v>252</v>
      </c>
      <c r="HW117" s="492">
        <v>278</v>
      </c>
      <c r="HX117" s="493">
        <v>188</v>
      </c>
      <c r="HY117" s="493">
        <v>141</v>
      </c>
      <c r="HZ117" s="493">
        <v>161</v>
      </c>
      <c r="IA117" s="493">
        <v>132</v>
      </c>
      <c r="IB117" s="199"/>
      <c r="IC117" s="491">
        <v>913</v>
      </c>
      <c r="ID117" s="492">
        <v>756</v>
      </c>
      <c r="IE117" s="492">
        <v>808</v>
      </c>
      <c r="IF117" s="492">
        <v>887</v>
      </c>
      <c r="IG117" s="493">
        <v>766</v>
      </c>
      <c r="IH117" s="493">
        <v>715</v>
      </c>
      <c r="II117" s="493">
        <v>736</v>
      </c>
      <c r="IJ117" s="493">
        <v>582</v>
      </c>
      <c r="IK117" s="199"/>
      <c r="IL117" s="491">
        <v>100</v>
      </c>
      <c r="IM117" s="492">
        <v>77</v>
      </c>
      <c r="IN117" s="492">
        <v>99</v>
      </c>
      <c r="IO117" s="492">
        <v>93</v>
      </c>
      <c r="IP117" s="493">
        <v>61</v>
      </c>
      <c r="IQ117" s="493">
        <v>58</v>
      </c>
      <c r="IR117" s="493">
        <v>77</v>
      </c>
      <c r="IS117" s="493">
        <v>50</v>
      </c>
      <c r="IT117" s="199"/>
      <c r="IU117" s="533">
        <v>3182.626276710705</v>
      </c>
      <c r="IV117" s="534">
        <v>2655.7066076509641</v>
      </c>
      <c r="IW117" s="534">
        <v>2861.088488367976</v>
      </c>
      <c r="IX117" s="534">
        <v>3187.8953421506617</v>
      </c>
      <c r="IY117" s="535">
        <v>2776.1670049289646</v>
      </c>
      <c r="IZ117" s="535">
        <v>2603.502894803918</v>
      </c>
      <c r="JA117" s="535">
        <v>2687.9953252255214</v>
      </c>
      <c r="JB117" s="535">
        <v>2130.3854460265748</v>
      </c>
      <c r="JC117" s="536"/>
      <c r="JD117" s="537">
        <v>707.63760588419836</v>
      </c>
      <c r="JE117" s="538">
        <v>667.43949134085074</v>
      </c>
      <c r="JF117" s="538">
        <v>892.31967706525973</v>
      </c>
      <c r="JG117" s="538">
        <v>999.13743530764805</v>
      </c>
      <c r="JH117" s="538">
        <v>681.35691504783995</v>
      </c>
      <c r="JI117" s="539">
        <v>513.4180533809124</v>
      </c>
      <c r="JJ117" s="539">
        <v>587.99897739308278</v>
      </c>
      <c r="JK117" s="539">
        <v>483.18020425344997</v>
      </c>
      <c r="JL117" s="536"/>
      <c r="JM117" s="537">
        <v>1666.259978387423</v>
      </c>
      <c r="JN117" s="538">
        <v>1499.9824358028595</v>
      </c>
      <c r="JO117" s="538">
        <v>1943.9821536064587</v>
      </c>
      <c r="JP117" s="538">
        <v>2213.9160437032774</v>
      </c>
      <c r="JQ117" s="538">
        <v>1989.707161496086</v>
      </c>
      <c r="JR117" s="539">
        <v>1733.2410880093216</v>
      </c>
      <c r="JS117" s="539">
        <v>1475.4756948248785</v>
      </c>
      <c r="JT117" s="539">
        <v>1193.3086862623084</v>
      </c>
      <c r="JU117" s="536"/>
      <c r="JV117" s="537">
        <v>547.28622721093177</v>
      </c>
      <c r="JW117" s="538">
        <v>512.87455650402217</v>
      </c>
      <c r="JX117" s="538">
        <v>750.68163308664714</v>
      </c>
      <c r="JY117" s="538">
        <v>765.52616446233469</v>
      </c>
      <c r="JZ117" s="538">
        <v>514.64192519570895</v>
      </c>
      <c r="KA117" s="539">
        <v>353.2024906237483</v>
      </c>
      <c r="KB117" s="539">
        <v>346.95591833753332</v>
      </c>
      <c r="KC117" s="539">
        <v>234.26918994106666</v>
      </c>
      <c r="KD117" s="536"/>
    </row>
    <row r="118" spans="1:290" ht="15" customHeight="1" x14ac:dyDescent="0.2">
      <c r="A118" s="930"/>
      <c r="B118" s="490" t="s">
        <v>725</v>
      </c>
      <c r="C118" s="491">
        <v>3</v>
      </c>
      <c r="D118" s="492">
        <v>1</v>
      </c>
      <c r="E118" s="492">
        <v>2</v>
      </c>
      <c r="F118" s="492">
        <v>4</v>
      </c>
      <c r="G118" s="493"/>
      <c r="H118" s="493">
        <v>1</v>
      </c>
      <c r="I118" s="493">
        <v>2</v>
      </c>
      <c r="J118" s="493">
        <v>1</v>
      </c>
      <c r="K118" s="199"/>
      <c r="L118" s="491">
        <v>1</v>
      </c>
      <c r="M118" s="492"/>
      <c r="N118" s="492">
        <v>1</v>
      </c>
      <c r="O118" s="492"/>
      <c r="P118" s="493"/>
      <c r="Q118" s="493">
        <v>1</v>
      </c>
      <c r="R118" s="493">
        <v>2</v>
      </c>
      <c r="S118" s="493"/>
      <c r="T118" s="199"/>
      <c r="U118" s="491">
        <v>1</v>
      </c>
      <c r="V118" s="492">
        <v>1</v>
      </c>
      <c r="W118" s="492">
        <v>1</v>
      </c>
      <c r="X118" s="492">
        <v>4</v>
      </c>
      <c r="Y118" s="493"/>
      <c r="Z118" s="493"/>
      <c r="AA118" s="493"/>
      <c r="AB118" s="493">
        <v>1</v>
      </c>
      <c r="AC118" s="199"/>
      <c r="AD118" s="491">
        <v>25</v>
      </c>
      <c r="AE118" s="492">
        <v>27</v>
      </c>
      <c r="AF118" s="492">
        <v>32</v>
      </c>
      <c r="AG118" s="492">
        <v>25</v>
      </c>
      <c r="AH118" s="493">
        <v>24</v>
      </c>
      <c r="AI118" s="493">
        <v>38</v>
      </c>
      <c r="AJ118" s="493">
        <v>22</v>
      </c>
      <c r="AK118" s="493">
        <v>21</v>
      </c>
      <c r="AL118" s="199"/>
      <c r="AM118" s="491">
        <v>10</v>
      </c>
      <c r="AN118" s="492">
        <v>14</v>
      </c>
      <c r="AO118" s="492">
        <v>18</v>
      </c>
      <c r="AP118" s="492">
        <v>16</v>
      </c>
      <c r="AQ118" s="493">
        <v>12</v>
      </c>
      <c r="AR118" s="493">
        <v>11</v>
      </c>
      <c r="AS118" s="493">
        <v>11</v>
      </c>
      <c r="AT118" s="493">
        <v>10</v>
      </c>
      <c r="AU118" s="199"/>
      <c r="AV118" s="491"/>
      <c r="AW118" s="492"/>
      <c r="AX118" s="492"/>
      <c r="AY118" s="492"/>
      <c r="AZ118" s="493"/>
      <c r="BA118" s="493"/>
      <c r="BB118" s="493"/>
      <c r="BC118" s="493"/>
      <c r="BD118" s="199"/>
      <c r="BE118" s="491">
        <v>2</v>
      </c>
      <c r="BF118" s="492">
        <v>7</v>
      </c>
      <c r="BG118" s="492">
        <v>2</v>
      </c>
      <c r="BH118" s="492">
        <v>11</v>
      </c>
      <c r="BI118" s="493">
        <v>7</v>
      </c>
      <c r="BJ118" s="493">
        <v>5</v>
      </c>
      <c r="BK118" s="493">
        <v>1</v>
      </c>
      <c r="BL118" s="493">
        <v>4</v>
      </c>
      <c r="BM118" s="199"/>
      <c r="BN118" s="491"/>
      <c r="BO118" s="492"/>
      <c r="BP118" s="492"/>
      <c r="BQ118" s="492"/>
      <c r="BR118" s="493"/>
      <c r="BS118" s="493"/>
      <c r="BT118" s="493"/>
      <c r="BU118" s="493"/>
      <c r="BV118" s="199"/>
      <c r="BW118" s="491">
        <v>19</v>
      </c>
      <c r="BX118" s="492">
        <v>7</v>
      </c>
      <c r="BY118" s="492">
        <v>19</v>
      </c>
      <c r="BZ118" s="492">
        <v>6</v>
      </c>
      <c r="CA118" s="493">
        <v>9</v>
      </c>
      <c r="CB118" s="493">
        <v>15</v>
      </c>
      <c r="CC118" s="493">
        <v>11</v>
      </c>
      <c r="CD118" s="493">
        <v>15</v>
      </c>
      <c r="CE118" s="199"/>
      <c r="CF118" s="491"/>
      <c r="CG118" s="492">
        <v>3</v>
      </c>
      <c r="CH118" s="492">
        <v>4</v>
      </c>
      <c r="CI118" s="492">
        <v>2</v>
      </c>
      <c r="CJ118" s="493">
        <v>2</v>
      </c>
      <c r="CK118" s="493">
        <v>1</v>
      </c>
      <c r="CL118" s="493"/>
      <c r="CM118" s="493">
        <v>1</v>
      </c>
      <c r="CN118" s="199"/>
      <c r="CO118" s="491">
        <v>6</v>
      </c>
      <c r="CP118" s="492">
        <v>4</v>
      </c>
      <c r="CQ118" s="492"/>
      <c r="CR118" s="492"/>
      <c r="CS118" s="493">
        <v>1</v>
      </c>
      <c r="CT118" s="493">
        <v>1</v>
      </c>
      <c r="CU118" s="493">
        <v>3</v>
      </c>
      <c r="CV118" s="493">
        <v>1</v>
      </c>
      <c r="CW118" s="199"/>
      <c r="CX118" s="491">
        <v>875</v>
      </c>
      <c r="CY118" s="492">
        <v>972</v>
      </c>
      <c r="CZ118" s="492">
        <v>773</v>
      </c>
      <c r="DA118" s="492">
        <v>693</v>
      </c>
      <c r="DB118" s="493">
        <v>797</v>
      </c>
      <c r="DC118" s="493">
        <v>680</v>
      </c>
      <c r="DD118" s="493">
        <v>352</v>
      </c>
      <c r="DE118" s="493">
        <v>220</v>
      </c>
      <c r="DF118" s="199"/>
      <c r="DG118" s="491">
        <v>11</v>
      </c>
      <c r="DH118" s="492">
        <v>12</v>
      </c>
      <c r="DI118" s="492">
        <v>11</v>
      </c>
      <c r="DJ118" s="492">
        <v>10</v>
      </c>
      <c r="DK118" s="493">
        <v>30</v>
      </c>
      <c r="DL118" s="493">
        <v>4</v>
      </c>
      <c r="DM118" s="493">
        <v>5</v>
      </c>
      <c r="DN118" s="493">
        <v>4</v>
      </c>
      <c r="DO118" s="199"/>
      <c r="DP118" s="491">
        <v>34</v>
      </c>
      <c r="DQ118" s="492">
        <v>25</v>
      </c>
      <c r="DR118" s="492">
        <v>26</v>
      </c>
      <c r="DS118" s="492">
        <v>24</v>
      </c>
      <c r="DT118" s="493">
        <v>26</v>
      </c>
      <c r="DU118" s="493">
        <v>20</v>
      </c>
      <c r="DV118" s="493">
        <v>6</v>
      </c>
      <c r="DW118" s="493">
        <v>3</v>
      </c>
      <c r="DX118" s="199"/>
      <c r="DY118" s="491">
        <v>158</v>
      </c>
      <c r="DZ118" s="492">
        <v>152</v>
      </c>
      <c r="EA118" s="492">
        <v>93</v>
      </c>
      <c r="EB118" s="492">
        <v>130</v>
      </c>
      <c r="EC118" s="493">
        <v>201</v>
      </c>
      <c r="ED118" s="493">
        <v>93</v>
      </c>
      <c r="EE118" s="493">
        <v>33</v>
      </c>
      <c r="EF118" s="493">
        <v>38</v>
      </c>
      <c r="EG118" s="199"/>
      <c r="EH118" s="491">
        <v>10</v>
      </c>
      <c r="EI118" s="492">
        <v>3</v>
      </c>
      <c r="EJ118" s="492">
        <v>6</v>
      </c>
      <c r="EK118" s="492">
        <v>7</v>
      </c>
      <c r="EL118" s="493">
        <v>8</v>
      </c>
      <c r="EM118" s="493"/>
      <c r="EN118" s="493">
        <v>1</v>
      </c>
      <c r="EO118" s="493">
        <v>2</v>
      </c>
      <c r="EP118" s="199"/>
      <c r="EQ118" s="491">
        <v>1</v>
      </c>
      <c r="ER118" s="492">
        <v>2</v>
      </c>
      <c r="ES118" s="492">
        <v>1</v>
      </c>
      <c r="ET118" s="492">
        <v>1</v>
      </c>
      <c r="EU118" s="493"/>
      <c r="EV118" s="493"/>
      <c r="EW118" s="493">
        <v>2</v>
      </c>
      <c r="EX118" s="493"/>
      <c r="EY118" s="199"/>
      <c r="EZ118" s="491">
        <v>2</v>
      </c>
      <c r="FA118" s="492">
        <v>1</v>
      </c>
      <c r="FB118" s="492">
        <v>3</v>
      </c>
      <c r="FC118" s="492">
        <v>1</v>
      </c>
      <c r="FD118" s="493"/>
      <c r="FE118" s="493">
        <v>2</v>
      </c>
      <c r="FF118" s="493"/>
      <c r="FG118" s="493">
        <v>1</v>
      </c>
      <c r="FH118" s="199"/>
      <c r="FI118" s="491">
        <v>92</v>
      </c>
      <c r="FJ118" s="492">
        <v>60</v>
      </c>
      <c r="FK118" s="492">
        <v>47</v>
      </c>
      <c r="FL118" s="492">
        <v>30</v>
      </c>
      <c r="FM118" s="493">
        <v>25</v>
      </c>
      <c r="FN118" s="493">
        <v>33</v>
      </c>
      <c r="FO118" s="493">
        <v>14</v>
      </c>
      <c r="FP118" s="493">
        <v>29</v>
      </c>
      <c r="FQ118" s="199"/>
      <c r="FR118" s="491">
        <v>2</v>
      </c>
      <c r="FS118" s="492">
        <v>6</v>
      </c>
      <c r="FT118" s="492">
        <v>1</v>
      </c>
      <c r="FU118" s="492">
        <v>7</v>
      </c>
      <c r="FV118" s="493">
        <v>4</v>
      </c>
      <c r="FW118" s="493">
        <v>2</v>
      </c>
      <c r="FX118" s="493">
        <v>1</v>
      </c>
      <c r="FY118" s="493">
        <v>4</v>
      </c>
      <c r="FZ118" s="199"/>
      <c r="GA118" s="491">
        <v>4</v>
      </c>
      <c r="GB118" s="492">
        <v>6</v>
      </c>
      <c r="GC118" s="492">
        <v>7</v>
      </c>
      <c r="GD118" s="492">
        <v>3</v>
      </c>
      <c r="GE118" s="493">
        <v>1</v>
      </c>
      <c r="GF118" s="493">
        <v>4</v>
      </c>
      <c r="GG118" s="493">
        <v>3</v>
      </c>
      <c r="GH118" s="493">
        <v>3</v>
      </c>
      <c r="GI118" s="199"/>
      <c r="GJ118" s="491">
        <v>1041</v>
      </c>
      <c r="GK118" s="492">
        <v>1099</v>
      </c>
      <c r="GL118" s="492">
        <v>897</v>
      </c>
      <c r="GM118" s="492">
        <v>790</v>
      </c>
      <c r="GN118" s="493">
        <v>878</v>
      </c>
      <c r="GO118" s="493">
        <v>782</v>
      </c>
      <c r="GP118" s="493">
        <v>412</v>
      </c>
      <c r="GQ118" s="493">
        <v>302</v>
      </c>
      <c r="GR118" s="199"/>
      <c r="GS118" s="491">
        <v>227</v>
      </c>
      <c r="GT118" s="492">
        <v>211</v>
      </c>
      <c r="GU118" s="492">
        <v>220</v>
      </c>
      <c r="GV118" s="492">
        <v>117</v>
      </c>
      <c r="GW118" s="493">
        <v>57</v>
      </c>
      <c r="GX118" s="493">
        <v>62</v>
      </c>
      <c r="GY118" s="493">
        <v>102</v>
      </c>
      <c r="GZ118" s="493">
        <v>46</v>
      </c>
      <c r="HA118" s="199"/>
      <c r="HB118" s="491">
        <v>1</v>
      </c>
      <c r="HC118" s="492">
        <v>4</v>
      </c>
      <c r="HD118" s="492">
        <v>2</v>
      </c>
      <c r="HE118" s="492">
        <v>3</v>
      </c>
      <c r="HF118" s="493"/>
      <c r="HG118" s="493"/>
      <c r="HH118" s="493">
        <v>1</v>
      </c>
      <c r="HI118" s="493">
        <v>1</v>
      </c>
      <c r="HJ118" s="199"/>
      <c r="HK118" s="491">
        <v>1</v>
      </c>
      <c r="HL118" s="492">
        <v>2</v>
      </c>
      <c r="HM118" s="492"/>
      <c r="HN118" s="492">
        <v>1</v>
      </c>
      <c r="HO118" s="493"/>
      <c r="HP118" s="493">
        <v>1</v>
      </c>
      <c r="HQ118" s="493"/>
      <c r="HR118" s="493">
        <v>1</v>
      </c>
      <c r="HS118" s="199"/>
      <c r="HT118" s="491">
        <v>324</v>
      </c>
      <c r="HU118" s="492">
        <v>309</v>
      </c>
      <c r="HV118" s="492">
        <v>305</v>
      </c>
      <c r="HW118" s="492">
        <v>213</v>
      </c>
      <c r="HX118" s="493">
        <v>185</v>
      </c>
      <c r="HY118" s="493">
        <v>176</v>
      </c>
      <c r="HZ118" s="493">
        <v>257</v>
      </c>
      <c r="IA118" s="493">
        <v>200</v>
      </c>
      <c r="IB118" s="199"/>
      <c r="IC118" s="491">
        <v>1534</v>
      </c>
      <c r="ID118" s="492">
        <v>1496</v>
      </c>
      <c r="IE118" s="492">
        <v>2120</v>
      </c>
      <c r="IF118" s="492">
        <v>1178</v>
      </c>
      <c r="IG118" s="493">
        <v>1271</v>
      </c>
      <c r="IH118" s="493">
        <v>1136</v>
      </c>
      <c r="II118" s="493">
        <v>766</v>
      </c>
      <c r="IJ118" s="493">
        <v>630</v>
      </c>
      <c r="IK118" s="199"/>
      <c r="IL118" s="491">
        <v>429</v>
      </c>
      <c r="IM118" s="492">
        <v>358</v>
      </c>
      <c r="IN118" s="492">
        <v>300</v>
      </c>
      <c r="IO118" s="492">
        <v>196</v>
      </c>
      <c r="IP118" s="493">
        <v>124</v>
      </c>
      <c r="IQ118" s="493">
        <v>186</v>
      </c>
      <c r="IR118" s="493">
        <v>82</v>
      </c>
      <c r="IS118" s="493">
        <v>65</v>
      </c>
      <c r="IT118" s="199"/>
      <c r="IU118" s="533">
        <v>3142.9917839654145</v>
      </c>
      <c r="IV118" s="534">
        <v>3058.6792067061951</v>
      </c>
      <c r="IW118" s="534">
        <v>4320.6228218558299</v>
      </c>
      <c r="IX118" s="534">
        <v>2423.1702801662072</v>
      </c>
      <c r="IY118" s="535">
        <v>2615.7645606091787</v>
      </c>
      <c r="IZ118" s="535">
        <v>2520.83211151266</v>
      </c>
      <c r="JA118" s="535">
        <v>2141.758702642248</v>
      </c>
      <c r="JB118" s="535">
        <v>1746.410156899706</v>
      </c>
      <c r="JC118" s="536"/>
      <c r="JD118" s="537">
        <v>663.83920339295594</v>
      </c>
      <c r="JE118" s="538">
        <v>631.77264363115933</v>
      </c>
      <c r="JF118" s="538">
        <v>621.59903805001329</v>
      </c>
      <c r="JG118" s="538">
        <v>438.14539021680991</v>
      </c>
      <c r="JH118" s="538">
        <v>380.73677711463262</v>
      </c>
      <c r="JI118" s="539">
        <v>401.91635738726859</v>
      </c>
      <c r="JJ118" s="539">
        <v>718.57961694393964</v>
      </c>
      <c r="JK118" s="539">
        <v>554.41592282530348</v>
      </c>
      <c r="JL118" s="536"/>
      <c r="JM118" s="537">
        <v>2132.8907738644048</v>
      </c>
      <c r="JN118" s="538">
        <v>2246.9842567982009</v>
      </c>
      <c r="JO118" s="538">
        <v>1828.1125807569242</v>
      </c>
      <c r="JP118" s="538">
        <v>1625.0462829637554</v>
      </c>
      <c r="JQ118" s="538">
        <v>1806.956163819716</v>
      </c>
      <c r="JR118" s="539">
        <v>1724.9434745719375</v>
      </c>
      <c r="JS118" s="539">
        <v>1151.9642108206347</v>
      </c>
      <c r="JT118" s="539">
        <v>837.16804346620836</v>
      </c>
      <c r="JU118" s="536"/>
      <c r="JV118" s="537">
        <v>465.0972196611142</v>
      </c>
      <c r="JW118" s="538">
        <v>431.40462073195664</v>
      </c>
      <c r="JX118" s="538">
        <v>448.36651924918988</v>
      </c>
      <c r="JY118" s="538">
        <v>240.67141152754348</v>
      </c>
      <c r="JZ118" s="538">
        <v>117.30808808396789</v>
      </c>
      <c r="KA118" s="539">
        <v>138.08937868113171</v>
      </c>
      <c r="KB118" s="539">
        <v>285.19502306724451</v>
      </c>
      <c r="KC118" s="539">
        <v>127.51566224981981</v>
      </c>
      <c r="KD118" s="536"/>
    </row>
    <row r="119" spans="1:290" ht="15" customHeight="1" x14ac:dyDescent="0.2">
      <c r="A119" s="930"/>
      <c r="B119" s="490" t="s">
        <v>726</v>
      </c>
      <c r="C119" s="491">
        <v>1</v>
      </c>
      <c r="D119" s="492">
        <v>2</v>
      </c>
      <c r="E119" s="492">
        <v>3</v>
      </c>
      <c r="F119" s="492">
        <v>1</v>
      </c>
      <c r="G119" s="493">
        <v>3</v>
      </c>
      <c r="H119" s="493">
        <v>2</v>
      </c>
      <c r="I119" s="493">
        <v>2</v>
      </c>
      <c r="J119" s="493"/>
      <c r="K119" s="199"/>
      <c r="L119" s="491">
        <v>1</v>
      </c>
      <c r="M119" s="492"/>
      <c r="N119" s="492">
        <v>2</v>
      </c>
      <c r="O119" s="492">
        <v>1</v>
      </c>
      <c r="P119" s="493">
        <v>1</v>
      </c>
      <c r="Q119" s="493"/>
      <c r="R119" s="493">
        <v>1</v>
      </c>
      <c r="S119" s="493"/>
      <c r="T119" s="199"/>
      <c r="U119" s="491"/>
      <c r="V119" s="492">
        <v>2</v>
      </c>
      <c r="W119" s="492">
        <v>1</v>
      </c>
      <c r="X119" s="492"/>
      <c r="Y119" s="493">
        <v>2</v>
      </c>
      <c r="Z119" s="493">
        <v>2</v>
      </c>
      <c r="AA119" s="493">
        <v>1</v>
      </c>
      <c r="AB119" s="493"/>
      <c r="AC119" s="199"/>
      <c r="AD119" s="491">
        <v>63</v>
      </c>
      <c r="AE119" s="492">
        <v>45</v>
      </c>
      <c r="AF119" s="492">
        <v>52</v>
      </c>
      <c r="AG119" s="492">
        <v>58</v>
      </c>
      <c r="AH119" s="493">
        <v>49</v>
      </c>
      <c r="AI119" s="493">
        <v>55</v>
      </c>
      <c r="AJ119" s="493">
        <v>59</v>
      </c>
      <c r="AK119" s="493">
        <v>86</v>
      </c>
      <c r="AL119" s="199"/>
      <c r="AM119" s="491">
        <v>47</v>
      </c>
      <c r="AN119" s="492">
        <v>24</v>
      </c>
      <c r="AO119" s="492">
        <v>37</v>
      </c>
      <c r="AP119" s="492">
        <v>38</v>
      </c>
      <c r="AQ119" s="493">
        <v>25</v>
      </c>
      <c r="AR119" s="493">
        <v>23</v>
      </c>
      <c r="AS119" s="493">
        <v>24</v>
      </c>
      <c r="AT119" s="493">
        <v>29</v>
      </c>
      <c r="AU119" s="199"/>
      <c r="AV119" s="491"/>
      <c r="AW119" s="492"/>
      <c r="AX119" s="492"/>
      <c r="AY119" s="492"/>
      <c r="AZ119" s="493"/>
      <c r="BA119" s="493"/>
      <c r="BB119" s="493"/>
      <c r="BC119" s="493"/>
      <c r="BD119" s="199"/>
      <c r="BE119" s="491">
        <v>1</v>
      </c>
      <c r="BF119" s="492">
        <v>1</v>
      </c>
      <c r="BG119" s="492">
        <v>5</v>
      </c>
      <c r="BH119" s="492">
        <v>3</v>
      </c>
      <c r="BI119" s="493">
        <v>8</v>
      </c>
      <c r="BJ119" s="493">
        <v>1</v>
      </c>
      <c r="BK119" s="493">
        <v>1</v>
      </c>
      <c r="BL119" s="493">
        <v>3</v>
      </c>
      <c r="BM119" s="199"/>
      <c r="BN119" s="491"/>
      <c r="BO119" s="492"/>
      <c r="BP119" s="492"/>
      <c r="BQ119" s="492"/>
      <c r="BR119" s="493"/>
      <c r="BS119" s="493"/>
      <c r="BT119" s="493"/>
      <c r="BU119" s="493"/>
      <c r="BV119" s="199"/>
      <c r="BW119" s="491">
        <v>22</v>
      </c>
      <c r="BX119" s="492">
        <v>28</v>
      </c>
      <c r="BY119" s="492">
        <v>41</v>
      </c>
      <c r="BZ119" s="492">
        <v>55</v>
      </c>
      <c r="CA119" s="493">
        <v>56</v>
      </c>
      <c r="CB119" s="493">
        <v>64</v>
      </c>
      <c r="CC119" s="493">
        <v>66</v>
      </c>
      <c r="CD119" s="493">
        <v>78</v>
      </c>
      <c r="CE119" s="199"/>
      <c r="CF119" s="491">
        <v>4</v>
      </c>
      <c r="CG119" s="492">
        <v>11</v>
      </c>
      <c r="CH119" s="492">
        <v>5</v>
      </c>
      <c r="CI119" s="492">
        <v>2</v>
      </c>
      <c r="CJ119" s="493">
        <v>3</v>
      </c>
      <c r="CK119" s="493">
        <v>3</v>
      </c>
      <c r="CL119" s="493">
        <v>2</v>
      </c>
      <c r="CM119" s="493">
        <v>3</v>
      </c>
      <c r="CN119" s="199"/>
      <c r="CO119" s="491">
        <v>3</v>
      </c>
      <c r="CP119" s="492">
        <v>3</v>
      </c>
      <c r="CQ119" s="492">
        <v>2</v>
      </c>
      <c r="CR119" s="492">
        <v>8</v>
      </c>
      <c r="CS119" s="493">
        <v>2</v>
      </c>
      <c r="CT119" s="493"/>
      <c r="CU119" s="493">
        <v>5</v>
      </c>
      <c r="CV119" s="493">
        <v>3</v>
      </c>
      <c r="CW119" s="199"/>
      <c r="CX119" s="491">
        <v>1336</v>
      </c>
      <c r="CY119" s="492">
        <v>1160</v>
      </c>
      <c r="CZ119" s="492">
        <v>1716</v>
      </c>
      <c r="DA119" s="492">
        <v>1008</v>
      </c>
      <c r="DB119" s="493">
        <v>1281</v>
      </c>
      <c r="DC119" s="493">
        <v>740</v>
      </c>
      <c r="DD119" s="493">
        <v>570</v>
      </c>
      <c r="DE119" s="493">
        <v>524</v>
      </c>
      <c r="DF119" s="199"/>
      <c r="DG119" s="491">
        <v>45</v>
      </c>
      <c r="DH119" s="492">
        <v>40</v>
      </c>
      <c r="DI119" s="492">
        <v>61</v>
      </c>
      <c r="DJ119" s="492">
        <v>39</v>
      </c>
      <c r="DK119" s="493">
        <v>42</v>
      </c>
      <c r="DL119" s="493">
        <v>13</v>
      </c>
      <c r="DM119" s="493">
        <v>21</v>
      </c>
      <c r="DN119" s="493">
        <v>11</v>
      </c>
      <c r="DO119" s="199"/>
      <c r="DP119" s="491">
        <v>194</v>
      </c>
      <c r="DQ119" s="492">
        <v>140</v>
      </c>
      <c r="DR119" s="492">
        <v>196</v>
      </c>
      <c r="DS119" s="492">
        <v>101</v>
      </c>
      <c r="DT119" s="493">
        <v>78</v>
      </c>
      <c r="DU119" s="493">
        <v>26</v>
      </c>
      <c r="DV119" s="493">
        <v>31</v>
      </c>
      <c r="DW119" s="493">
        <v>16</v>
      </c>
      <c r="DX119" s="199"/>
      <c r="DY119" s="491">
        <v>173</v>
      </c>
      <c r="DZ119" s="492">
        <v>198</v>
      </c>
      <c r="EA119" s="492">
        <v>371</v>
      </c>
      <c r="EB119" s="492">
        <v>175</v>
      </c>
      <c r="EC119" s="493">
        <v>386</v>
      </c>
      <c r="ED119" s="493">
        <v>210</v>
      </c>
      <c r="EE119" s="493">
        <v>144</v>
      </c>
      <c r="EF119" s="493">
        <v>154</v>
      </c>
      <c r="EG119" s="199"/>
      <c r="EH119" s="491">
        <v>20</v>
      </c>
      <c r="EI119" s="492">
        <v>10</v>
      </c>
      <c r="EJ119" s="492">
        <v>9</v>
      </c>
      <c r="EK119" s="492">
        <v>8</v>
      </c>
      <c r="EL119" s="493">
        <v>14</v>
      </c>
      <c r="EM119" s="493">
        <v>6</v>
      </c>
      <c r="EN119" s="493">
        <v>6</v>
      </c>
      <c r="EO119" s="493">
        <v>2</v>
      </c>
      <c r="EP119" s="199"/>
      <c r="EQ119" s="491">
        <v>4</v>
      </c>
      <c r="ER119" s="492">
        <v>2</v>
      </c>
      <c r="ES119" s="492">
        <v>5</v>
      </c>
      <c r="ET119" s="492">
        <v>2</v>
      </c>
      <c r="EU119" s="493">
        <v>3</v>
      </c>
      <c r="EV119" s="493">
        <v>2</v>
      </c>
      <c r="EW119" s="493">
        <v>1</v>
      </c>
      <c r="EX119" s="493">
        <v>2</v>
      </c>
      <c r="EY119" s="199"/>
      <c r="EZ119" s="491">
        <v>1</v>
      </c>
      <c r="FA119" s="492">
        <v>4</v>
      </c>
      <c r="FB119" s="492">
        <v>4</v>
      </c>
      <c r="FC119" s="492">
        <v>4</v>
      </c>
      <c r="FD119" s="493">
        <v>1</v>
      </c>
      <c r="FE119" s="493">
        <v>1</v>
      </c>
      <c r="FF119" s="493"/>
      <c r="FG119" s="493">
        <v>1</v>
      </c>
      <c r="FH119" s="199"/>
      <c r="FI119" s="491">
        <v>168</v>
      </c>
      <c r="FJ119" s="492">
        <v>118</v>
      </c>
      <c r="FK119" s="492">
        <v>122</v>
      </c>
      <c r="FL119" s="492">
        <v>62</v>
      </c>
      <c r="FM119" s="493">
        <v>81</v>
      </c>
      <c r="FN119" s="493">
        <v>55</v>
      </c>
      <c r="FO119" s="493">
        <v>58</v>
      </c>
      <c r="FP119" s="493">
        <v>66</v>
      </c>
      <c r="FQ119" s="199"/>
      <c r="FR119" s="491">
        <v>3</v>
      </c>
      <c r="FS119" s="492">
        <v>4</v>
      </c>
      <c r="FT119" s="492">
        <v>3</v>
      </c>
      <c r="FU119" s="492">
        <v>6</v>
      </c>
      <c r="FV119" s="493">
        <v>2</v>
      </c>
      <c r="FW119" s="493">
        <v>14</v>
      </c>
      <c r="FX119" s="493">
        <v>4</v>
      </c>
      <c r="FY119" s="493">
        <v>4</v>
      </c>
      <c r="FZ119" s="199"/>
      <c r="GA119" s="491">
        <v>6</v>
      </c>
      <c r="GB119" s="492">
        <v>4</v>
      </c>
      <c r="GC119" s="492">
        <v>5</v>
      </c>
      <c r="GD119" s="492">
        <v>1</v>
      </c>
      <c r="GE119" s="493">
        <v>3</v>
      </c>
      <c r="GF119" s="493">
        <v>4</v>
      </c>
      <c r="GG119" s="493">
        <v>9</v>
      </c>
      <c r="GH119" s="493">
        <v>8</v>
      </c>
      <c r="GI119" s="199"/>
      <c r="GJ119" s="491">
        <v>1632</v>
      </c>
      <c r="GK119" s="492">
        <v>1392</v>
      </c>
      <c r="GL119" s="492">
        <v>1972</v>
      </c>
      <c r="GM119" s="492">
        <v>1218</v>
      </c>
      <c r="GN119" s="493">
        <v>1506</v>
      </c>
      <c r="GO119" s="493">
        <v>947</v>
      </c>
      <c r="GP119" s="493">
        <v>783</v>
      </c>
      <c r="GQ119" s="493">
        <v>780</v>
      </c>
      <c r="GR119" s="199"/>
      <c r="GS119" s="491">
        <v>585</v>
      </c>
      <c r="GT119" s="492">
        <v>443</v>
      </c>
      <c r="GU119" s="492">
        <v>587</v>
      </c>
      <c r="GV119" s="492">
        <v>335</v>
      </c>
      <c r="GW119" s="493">
        <v>196</v>
      </c>
      <c r="GX119" s="493">
        <v>139</v>
      </c>
      <c r="GY119" s="493">
        <v>148</v>
      </c>
      <c r="GZ119" s="493">
        <v>120</v>
      </c>
      <c r="HA119" s="199"/>
      <c r="HB119" s="491">
        <v>6</v>
      </c>
      <c r="HC119" s="492">
        <v>1</v>
      </c>
      <c r="HD119" s="492">
        <v>3</v>
      </c>
      <c r="HE119" s="492">
        <v>1</v>
      </c>
      <c r="HF119" s="493">
        <v>2</v>
      </c>
      <c r="HG119" s="493">
        <v>6</v>
      </c>
      <c r="HH119" s="493">
        <v>3</v>
      </c>
      <c r="HI119" s="493">
        <v>2</v>
      </c>
      <c r="HJ119" s="199"/>
      <c r="HK119" s="491">
        <v>1</v>
      </c>
      <c r="HL119" s="492"/>
      <c r="HM119" s="492"/>
      <c r="HN119" s="492"/>
      <c r="HO119" s="493">
        <v>1</v>
      </c>
      <c r="HP119" s="493"/>
      <c r="HQ119" s="493">
        <v>2</v>
      </c>
      <c r="HR119" s="493">
        <v>2</v>
      </c>
      <c r="HS119" s="199"/>
      <c r="HT119" s="491">
        <v>711</v>
      </c>
      <c r="HU119" s="492">
        <v>560</v>
      </c>
      <c r="HV119" s="492">
        <v>731</v>
      </c>
      <c r="HW119" s="492">
        <v>491</v>
      </c>
      <c r="HX119" s="493">
        <v>351</v>
      </c>
      <c r="HY119" s="493">
        <v>297</v>
      </c>
      <c r="HZ119" s="493">
        <v>292</v>
      </c>
      <c r="IA119" s="493">
        <v>310</v>
      </c>
      <c r="IB119" s="199"/>
      <c r="IC119" s="491">
        <v>2579</v>
      </c>
      <c r="ID119" s="492">
        <v>2709</v>
      </c>
      <c r="IE119" s="492">
        <v>3721</v>
      </c>
      <c r="IF119" s="492">
        <v>1839</v>
      </c>
      <c r="IG119" s="493">
        <v>2670</v>
      </c>
      <c r="IH119" s="493">
        <v>1863</v>
      </c>
      <c r="II119" s="493">
        <v>1542</v>
      </c>
      <c r="IJ119" s="493">
        <v>1607</v>
      </c>
      <c r="IK119" s="199"/>
      <c r="IL119" s="491">
        <v>302</v>
      </c>
      <c r="IM119" s="492">
        <v>343</v>
      </c>
      <c r="IN119" s="492">
        <v>605</v>
      </c>
      <c r="IO119" s="492">
        <v>218</v>
      </c>
      <c r="IP119" s="493">
        <v>281</v>
      </c>
      <c r="IQ119" s="493">
        <v>274</v>
      </c>
      <c r="IR119" s="493">
        <v>187</v>
      </c>
      <c r="IS119" s="493">
        <v>184</v>
      </c>
      <c r="IT119" s="199"/>
      <c r="IU119" s="533">
        <v>3172.4748748354714</v>
      </c>
      <c r="IV119" s="534">
        <v>3305.6338543763954</v>
      </c>
      <c r="IW119" s="534">
        <v>4500.8104119795826</v>
      </c>
      <c r="IX119" s="534">
        <v>2282.0624185642487</v>
      </c>
      <c r="IY119" s="535">
        <v>3305.3554185545572</v>
      </c>
      <c r="IZ119" s="535">
        <v>2323.8449120820396</v>
      </c>
      <c r="JA119" s="535">
        <v>1948.3473162842415</v>
      </c>
      <c r="JB119" s="535">
        <v>2003.0163656533175</v>
      </c>
      <c r="JC119" s="536"/>
      <c r="JD119" s="537">
        <v>874.61405041024454</v>
      </c>
      <c r="JE119" s="538">
        <v>683.33516369537892</v>
      </c>
      <c r="JF119" s="538">
        <v>884.19575682802326</v>
      </c>
      <c r="JG119" s="538">
        <v>609.29453372215676</v>
      </c>
      <c r="JH119" s="538">
        <v>434.52425165267772</v>
      </c>
      <c r="JI119" s="539">
        <v>370.86796502866935</v>
      </c>
      <c r="JJ119" s="539">
        <v>368.94774082684722</v>
      </c>
      <c r="JK119" s="539">
        <v>386.39394732577995</v>
      </c>
      <c r="JL119" s="536"/>
      <c r="JM119" s="537">
        <v>2007.552925836173</v>
      </c>
      <c r="JN119" s="538">
        <v>1698.5759783285134</v>
      </c>
      <c r="JO119" s="538">
        <v>2385.2722742337373</v>
      </c>
      <c r="JP119" s="538">
        <v>1511.4475398647392</v>
      </c>
      <c r="JQ119" s="538">
        <v>1864.3690113644802</v>
      </c>
      <c r="JR119" s="539">
        <v>1175.0306175421129</v>
      </c>
      <c r="JS119" s="539">
        <v>989.33589406651163</v>
      </c>
      <c r="JT119" s="539">
        <v>972.21702875518815</v>
      </c>
      <c r="JU119" s="536"/>
      <c r="JV119" s="537">
        <v>719.61915540083407</v>
      </c>
      <c r="JW119" s="538">
        <v>540.56692413759447</v>
      </c>
      <c r="JX119" s="538">
        <v>710.01765972373414</v>
      </c>
      <c r="JY119" s="538">
        <v>415.71011974933299</v>
      </c>
      <c r="JZ119" s="538">
        <v>242.64032286018471</v>
      </c>
      <c r="KA119" s="539">
        <v>172.73635754222403</v>
      </c>
      <c r="KB119" s="539">
        <v>187.00090973415547</v>
      </c>
      <c r="KC119" s="539">
        <v>149.57185057772128</v>
      </c>
      <c r="KD119" s="536"/>
    </row>
    <row r="120" spans="1:290" ht="15" customHeight="1" x14ac:dyDescent="0.2">
      <c r="A120" s="930"/>
      <c r="B120" s="490" t="s">
        <v>727</v>
      </c>
      <c r="C120" s="491">
        <v>6</v>
      </c>
      <c r="D120" s="492">
        <v>5</v>
      </c>
      <c r="E120" s="492">
        <v>4</v>
      </c>
      <c r="F120" s="492">
        <v>1</v>
      </c>
      <c r="G120" s="493">
        <v>2</v>
      </c>
      <c r="H120" s="493">
        <v>4</v>
      </c>
      <c r="I120" s="493">
        <v>1</v>
      </c>
      <c r="J120" s="493">
        <v>3</v>
      </c>
      <c r="K120" s="199"/>
      <c r="L120" s="491">
        <v>4</v>
      </c>
      <c r="M120" s="492">
        <v>3</v>
      </c>
      <c r="N120" s="492">
        <v>1</v>
      </c>
      <c r="O120" s="492"/>
      <c r="P120" s="493">
        <v>1</v>
      </c>
      <c r="Q120" s="493">
        <v>1</v>
      </c>
      <c r="R120" s="493"/>
      <c r="S120" s="493"/>
      <c r="T120" s="199"/>
      <c r="U120" s="491">
        <v>2</v>
      </c>
      <c r="V120" s="492">
        <v>2</v>
      </c>
      <c r="W120" s="492">
        <v>2</v>
      </c>
      <c r="X120" s="492">
        <v>1</v>
      </c>
      <c r="Y120" s="493">
        <v>1</v>
      </c>
      <c r="Z120" s="493">
        <v>3</v>
      </c>
      <c r="AA120" s="493">
        <v>1</v>
      </c>
      <c r="AB120" s="493">
        <v>3</v>
      </c>
      <c r="AC120" s="199"/>
      <c r="AD120" s="491">
        <v>103</v>
      </c>
      <c r="AE120" s="492">
        <v>82</v>
      </c>
      <c r="AF120" s="492">
        <v>72</v>
      </c>
      <c r="AG120" s="492">
        <v>66</v>
      </c>
      <c r="AH120" s="493">
        <v>118</v>
      </c>
      <c r="AI120" s="493">
        <v>122</v>
      </c>
      <c r="AJ120" s="493">
        <v>116</v>
      </c>
      <c r="AK120" s="493">
        <v>91</v>
      </c>
      <c r="AL120" s="199"/>
      <c r="AM120" s="491">
        <v>64</v>
      </c>
      <c r="AN120" s="492">
        <v>51</v>
      </c>
      <c r="AO120" s="492">
        <v>32</v>
      </c>
      <c r="AP120" s="492">
        <v>30</v>
      </c>
      <c r="AQ120" s="493">
        <v>37</v>
      </c>
      <c r="AR120" s="493">
        <v>30</v>
      </c>
      <c r="AS120" s="493">
        <v>35</v>
      </c>
      <c r="AT120" s="493">
        <v>34</v>
      </c>
      <c r="AU120" s="199"/>
      <c r="AV120" s="491"/>
      <c r="AW120" s="492"/>
      <c r="AX120" s="492"/>
      <c r="AY120" s="492"/>
      <c r="AZ120" s="493"/>
      <c r="BA120" s="493"/>
      <c r="BB120" s="493"/>
      <c r="BC120" s="493"/>
      <c r="BD120" s="199"/>
      <c r="BE120" s="491">
        <v>10</v>
      </c>
      <c r="BF120" s="492">
        <v>4</v>
      </c>
      <c r="BG120" s="492">
        <v>10</v>
      </c>
      <c r="BH120" s="492">
        <v>13</v>
      </c>
      <c r="BI120" s="493">
        <v>15</v>
      </c>
      <c r="BJ120" s="493">
        <v>11</v>
      </c>
      <c r="BK120" s="493">
        <v>1</v>
      </c>
      <c r="BL120" s="493">
        <v>16</v>
      </c>
      <c r="BM120" s="199"/>
      <c r="BN120" s="491"/>
      <c r="BO120" s="492"/>
      <c r="BP120" s="492"/>
      <c r="BQ120" s="492"/>
      <c r="BR120" s="493"/>
      <c r="BS120" s="493"/>
      <c r="BT120" s="493">
        <v>1</v>
      </c>
      <c r="BU120" s="493"/>
      <c r="BV120" s="199"/>
      <c r="BW120" s="491">
        <v>56</v>
      </c>
      <c r="BX120" s="492">
        <v>55</v>
      </c>
      <c r="BY120" s="492">
        <v>48</v>
      </c>
      <c r="BZ120" s="492">
        <v>55</v>
      </c>
      <c r="CA120" s="493">
        <v>71</v>
      </c>
      <c r="CB120" s="493">
        <v>55</v>
      </c>
      <c r="CC120" s="493">
        <v>49</v>
      </c>
      <c r="CD120" s="493">
        <v>69</v>
      </c>
      <c r="CE120" s="199"/>
      <c r="CF120" s="491">
        <v>8</v>
      </c>
      <c r="CG120" s="492">
        <v>6</v>
      </c>
      <c r="CH120" s="492">
        <v>7</v>
      </c>
      <c r="CI120" s="492">
        <v>8</v>
      </c>
      <c r="CJ120" s="493">
        <v>8</v>
      </c>
      <c r="CK120" s="493">
        <v>3</v>
      </c>
      <c r="CL120" s="493">
        <v>1</v>
      </c>
      <c r="CM120" s="493">
        <v>4</v>
      </c>
      <c r="CN120" s="199"/>
      <c r="CO120" s="491">
        <v>9</v>
      </c>
      <c r="CP120" s="492">
        <v>11</v>
      </c>
      <c r="CQ120" s="492">
        <v>10</v>
      </c>
      <c r="CR120" s="492">
        <v>7</v>
      </c>
      <c r="CS120" s="493">
        <v>7</v>
      </c>
      <c r="CT120" s="493">
        <v>7</v>
      </c>
      <c r="CU120" s="493">
        <v>5</v>
      </c>
      <c r="CV120" s="493">
        <v>4</v>
      </c>
      <c r="CW120" s="199"/>
      <c r="CX120" s="491">
        <v>1434</v>
      </c>
      <c r="CY120" s="492">
        <v>1533</v>
      </c>
      <c r="CZ120" s="492">
        <v>1755</v>
      </c>
      <c r="DA120" s="492">
        <v>1451</v>
      </c>
      <c r="DB120" s="493">
        <v>1128</v>
      </c>
      <c r="DC120" s="493">
        <v>749</v>
      </c>
      <c r="DD120" s="493">
        <v>554</v>
      </c>
      <c r="DE120" s="493">
        <v>408</v>
      </c>
      <c r="DF120" s="199"/>
      <c r="DG120" s="491">
        <v>27</v>
      </c>
      <c r="DH120" s="492">
        <v>32</v>
      </c>
      <c r="DI120" s="492">
        <v>37</v>
      </c>
      <c r="DJ120" s="492">
        <v>31</v>
      </c>
      <c r="DK120" s="493">
        <v>23</v>
      </c>
      <c r="DL120" s="493">
        <v>17</v>
      </c>
      <c r="DM120" s="493">
        <v>7</v>
      </c>
      <c r="DN120" s="493">
        <v>6</v>
      </c>
      <c r="DO120" s="199"/>
      <c r="DP120" s="491">
        <v>114</v>
      </c>
      <c r="DQ120" s="492">
        <v>127</v>
      </c>
      <c r="DR120" s="492">
        <v>129</v>
      </c>
      <c r="DS120" s="492">
        <v>66</v>
      </c>
      <c r="DT120" s="493">
        <v>26</v>
      </c>
      <c r="DU120" s="493">
        <v>16</v>
      </c>
      <c r="DV120" s="493">
        <v>24</v>
      </c>
      <c r="DW120" s="493">
        <v>9</v>
      </c>
      <c r="DX120" s="199"/>
      <c r="DY120" s="491">
        <v>131</v>
      </c>
      <c r="DZ120" s="492">
        <v>126</v>
      </c>
      <c r="EA120" s="492">
        <v>128</v>
      </c>
      <c r="EB120" s="492">
        <v>175</v>
      </c>
      <c r="EC120" s="493">
        <v>186</v>
      </c>
      <c r="ED120" s="493">
        <v>140</v>
      </c>
      <c r="EE120" s="493">
        <v>98</v>
      </c>
      <c r="EF120" s="493">
        <v>48</v>
      </c>
      <c r="EG120" s="199"/>
      <c r="EH120" s="491">
        <v>5</v>
      </c>
      <c r="EI120" s="492">
        <v>23</v>
      </c>
      <c r="EJ120" s="492">
        <v>17</v>
      </c>
      <c r="EK120" s="492">
        <v>15</v>
      </c>
      <c r="EL120" s="493">
        <v>10</v>
      </c>
      <c r="EM120" s="493">
        <v>9</v>
      </c>
      <c r="EN120" s="493">
        <v>9</v>
      </c>
      <c r="EO120" s="493">
        <v>4</v>
      </c>
      <c r="EP120" s="199"/>
      <c r="EQ120" s="491">
        <v>1</v>
      </c>
      <c r="ER120" s="492">
        <v>6</v>
      </c>
      <c r="ES120" s="492">
        <v>19</v>
      </c>
      <c r="ET120" s="492">
        <v>8</v>
      </c>
      <c r="EU120" s="493">
        <v>3</v>
      </c>
      <c r="EV120" s="493">
        <v>8</v>
      </c>
      <c r="EW120" s="493">
        <v>1</v>
      </c>
      <c r="EX120" s="493">
        <v>11</v>
      </c>
      <c r="EY120" s="199"/>
      <c r="EZ120" s="491">
        <v>2</v>
      </c>
      <c r="FA120" s="492">
        <v>11</v>
      </c>
      <c r="FB120" s="492">
        <v>8</v>
      </c>
      <c r="FC120" s="492">
        <v>6</v>
      </c>
      <c r="FD120" s="493">
        <v>3</v>
      </c>
      <c r="FE120" s="493">
        <v>5</v>
      </c>
      <c r="FF120" s="493">
        <v>2</v>
      </c>
      <c r="FG120" s="493">
        <v>8</v>
      </c>
      <c r="FH120" s="199"/>
      <c r="FI120" s="491">
        <v>174</v>
      </c>
      <c r="FJ120" s="492">
        <v>151</v>
      </c>
      <c r="FK120" s="492">
        <v>131</v>
      </c>
      <c r="FL120" s="492">
        <v>79</v>
      </c>
      <c r="FM120" s="493">
        <v>91</v>
      </c>
      <c r="FN120" s="493">
        <v>70</v>
      </c>
      <c r="FO120" s="493">
        <v>66</v>
      </c>
      <c r="FP120" s="493">
        <v>43</v>
      </c>
      <c r="FQ120" s="199"/>
      <c r="FR120" s="491">
        <v>5</v>
      </c>
      <c r="FS120" s="492">
        <v>6</v>
      </c>
      <c r="FT120" s="492">
        <v>2</v>
      </c>
      <c r="FU120" s="492">
        <v>4</v>
      </c>
      <c r="FV120" s="493">
        <v>2</v>
      </c>
      <c r="FW120" s="493">
        <v>8</v>
      </c>
      <c r="FX120" s="493">
        <v>6</v>
      </c>
      <c r="FY120" s="493">
        <v>2</v>
      </c>
      <c r="FZ120" s="199"/>
      <c r="GA120" s="491">
        <v>9</v>
      </c>
      <c r="GB120" s="492">
        <v>5</v>
      </c>
      <c r="GC120" s="492">
        <v>4</v>
      </c>
      <c r="GD120" s="492">
        <v>3</v>
      </c>
      <c r="GE120" s="493">
        <v>6</v>
      </c>
      <c r="GF120" s="493">
        <v>7</v>
      </c>
      <c r="GG120" s="493">
        <v>2</v>
      </c>
      <c r="GH120" s="493">
        <v>5</v>
      </c>
      <c r="GI120" s="199"/>
      <c r="GJ120" s="491">
        <v>1822</v>
      </c>
      <c r="GK120" s="492">
        <v>1898</v>
      </c>
      <c r="GL120" s="492">
        <v>2087</v>
      </c>
      <c r="GM120" s="492">
        <v>1716</v>
      </c>
      <c r="GN120" s="493">
        <v>1464</v>
      </c>
      <c r="GO120" s="493">
        <v>1058</v>
      </c>
      <c r="GP120" s="493">
        <v>814</v>
      </c>
      <c r="GQ120" s="493">
        <v>668</v>
      </c>
      <c r="GR120" s="199"/>
      <c r="GS120" s="491">
        <v>576</v>
      </c>
      <c r="GT120" s="492">
        <v>633</v>
      </c>
      <c r="GU120" s="492">
        <v>673</v>
      </c>
      <c r="GV120" s="492">
        <v>480</v>
      </c>
      <c r="GW120" s="493">
        <v>294</v>
      </c>
      <c r="GX120" s="493">
        <v>207</v>
      </c>
      <c r="GY120" s="493">
        <v>173</v>
      </c>
      <c r="GZ120" s="493">
        <v>130</v>
      </c>
      <c r="HA120" s="199"/>
      <c r="HB120" s="491">
        <v>4</v>
      </c>
      <c r="HC120" s="492">
        <v>2</v>
      </c>
      <c r="HD120" s="492">
        <v>3</v>
      </c>
      <c r="HE120" s="492">
        <v>4</v>
      </c>
      <c r="HF120" s="493">
        <v>2</v>
      </c>
      <c r="HG120" s="493">
        <v>1</v>
      </c>
      <c r="HH120" s="493">
        <v>3</v>
      </c>
      <c r="HI120" s="493">
        <v>3</v>
      </c>
      <c r="HJ120" s="199"/>
      <c r="HK120" s="491"/>
      <c r="HL120" s="492"/>
      <c r="HM120" s="492">
        <v>5</v>
      </c>
      <c r="HN120" s="492">
        <v>2</v>
      </c>
      <c r="HO120" s="493"/>
      <c r="HP120" s="493">
        <v>5</v>
      </c>
      <c r="HQ120" s="493">
        <v>2</v>
      </c>
      <c r="HR120" s="493">
        <v>2</v>
      </c>
      <c r="HS120" s="199"/>
      <c r="HT120" s="491">
        <v>757</v>
      </c>
      <c r="HU120" s="492">
        <v>776</v>
      </c>
      <c r="HV120" s="492">
        <v>805</v>
      </c>
      <c r="HW120" s="492">
        <v>641</v>
      </c>
      <c r="HX120" s="493">
        <v>431</v>
      </c>
      <c r="HY120" s="493">
        <v>389</v>
      </c>
      <c r="HZ120" s="493">
        <v>369</v>
      </c>
      <c r="IA120" s="493">
        <v>418</v>
      </c>
      <c r="IB120" s="199"/>
      <c r="IC120" s="491">
        <v>2791</v>
      </c>
      <c r="ID120" s="492">
        <v>3634</v>
      </c>
      <c r="IE120" s="492">
        <v>3783</v>
      </c>
      <c r="IF120" s="492">
        <v>2733</v>
      </c>
      <c r="IG120" s="493">
        <v>2428</v>
      </c>
      <c r="IH120" s="493">
        <v>1851</v>
      </c>
      <c r="II120" s="493">
        <v>1823</v>
      </c>
      <c r="IJ120" s="493">
        <v>1639</v>
      </c>
      <c r="IK120" s="199"/>
      <c r="IL120" s="491">
        <v>460</v>
      </c>
      <c r="IM120" s="492">
        <v>381</v>
      </c>
      <c r="IN120" s="492">
        <v>423</v>
      </c>
      <c r="IO120" s="492">
        <v>248</v>
      </c>
      <c r="IP120" s="493">
        <v>192</v>
      </c>
      <c r="IQ120" s="493">
        <v>258</v>
      </c>
      <c r="IR120" s="493">
        <v>170</v>
      </c>
      <c r="IS120" s="493">
        <v>109</v>
      </c>
      <c r="IT120" s="199"/>
      <c r="IU120" s="533">
        <v>2946.5793918918916</v>
      </c>
      <c r="IV120" s="534">
        <v>3804.5185200695155</v>
      </c>
      <c r="IW120" s="534">
        <v>3933.9045796763858</v>
      </c>
      <c r="IX120" s="534">
        <v>2925.967560623093</v>
      </c>
      <c r="IY120" s="535">
        <v>2610.6123326702864</v>
      </c>
      <c r="IZ120" s="535">
        <v>1997.7551850093892</v>
      </c>
      <c r="JA120" s="535">
        <v>1989.088925259138</v>
      </c>
      <c r="JB120" s="535">
        <v>1785.3447055107133</v>
      </c>
      <c r="JC120" s="536"/>
      <c r="JD120" s="537">
        <v>799.19763513513522</v>
      </c>
      <c r="JE120" s="538">
        <v>812.41232019095889</v>
      </c>
      <c r="JF120" s="538">
        <v>837.11160101493294</v>
      </c>
      <c r="JG120" s="538">
        <v>686.25876559070718</v>
      </c>
      <c r="JH120" s="538">
        <v>463.41594537928069</v>
      </c>
      <c r="JI120" s="539">
        <v>418.03238791892682</v>
      </c>
      <c r="JJ120" s="539">
        <v>402.61865793780692</v>
      </c>
      <c r="JK120" s="539">
        <v>455.32281080138995</v>
      </c>
      <c r="JL120" s="536"/>
      <c r="JM120" s="537">
        <v>1923.5641891891892</v>
      </c>
      <c r="JN120" s="538">
        <v>1987.0600305701544</v>
      </c>
      <c r="JO120" s="538">
        <v>2170.2508215132484</v>
      </c>
      <c r="JP120" s="538">
        <v>1837.160751565762</v>
      </c>
      <c r="JQ120" s="538">
        <v>1574.1089188753294</v>
      </c>
      <c r="JR120" s="539">
        <v>1144.7739162258667</v>
      </c>
      <c r="JS120" s="539">
        <v>888.16148390616479</v>
      </c>
      <c r="JT120" s="539">
        <v>727.64506606537918</v>
      </c>
      <c r="JU120" s="536"/>
      <c r="JV120" s="537">
        <v>608.10810810810813</v>
      </c>
      <c r="JW120" s="538">
        <v>662.70231788772799</v>
      </c>
      <c r="JX120" s="538">
        <v>699.84609625223572</v>
      </c>
      <c r="JY120" s="538">
        <v>513.89111931909429</v>
      </c>
      <c r="JZ120" s="538">
        <v>316.1120369872587</v>
      </c>
      <c r="KA120" s="539">
        <v>224.17651040706065</v>
      </c>
      <c r="KB120" s="539">
        <v>188.76159301691217</v>
      </c>
      <c r="KC120" s="539">
        <v>141.60757273727438</v>
      </c>
      <c r="KD120" s="536"/>
    </row>
    <row r="121" spans="1:290" ht="15" customHeight="1" x14ac:dyDescent="0.2">
      <c r="A121" s="930"/>
      <c r="B121" s="490" t="s">
        <v>728</v>
      </c>
      <c r="C121" s="491">
        <v>1</v>
      </c>
      <c r="D121" s="492">
        <v>2</v>
      </c>
      <c r="E121" s="492">
        <v>4</v>
      </c>
      <c r="F121" s="492">
        <v>1</v>
      </c>
      <c r="G121" s="493">
        <v>3</v>
      </c>
      <c r="H121" s="493">
        <v>5</v>
      </c>
      <c r="I121" s="493">
        <v>2</v>
      </c>
      <c r="J121" s="493">
        <v>7</v>
      </c>
      <c r="K121" s="199"/>
      <c r="L121" s="491"/>
      <c r="M121" s="492"/>
      <c r="N121" s="492">
        <v>1</v>
      </c>
      <c r="O121" s="492"/>
      <c r="P121" s="493">
        <v>2</v>
      </c>
      <c r="Q121" s="493">
        <v>2</v>
      </c>
      <c r="R121" s="493">
        <v>1</v>
      </c>
      <c r="S121" s="493">
        <v>3</v>
      </c>
      <c r="T121" s="199"/>
      <c r="U121" s="491">
        <v>1</v>
      </c>
      <c r="V121" s="492">
        <v>2</v>
      </c>
      <c r="W121" s="492">
        <v>3</v>
      </c>
      <c r="X121" s="492">
        <v>1</v>
      </c>
      <c r="Y121" s="493">
        <v>1</v>
      </c>
      <c r="Z121" s="493">
        <v>3</v>
      </c>
      <c r="AA121" s="493">
        <v>1</v>
      </c>
      <c r="AB121" s="493">
        <v>4</v>
      </c>
      <c r="AC121" s="199"/>
      <c r="AD121" s="491">
        <v>90</v>
      </c>
      <c r="AE121" s="492">
        <v>87</v>
      </c>
      <c r="AF121" s="492">
        <v>81</v>
      </c>
      <c r="AG121" s="492">
        <v>76</v>
      </c>
      <c r="AH121" s="493">
        <v>84</v>
      </c>
      <c r="AI121" s="493">
        <v>76</v>
      </c>
      <c r="AJ121" s="493">
        <v>65</v>
      </c>
      <c r="AK121" s="493">
        <v>86</v>
      </c>
      <c r="AL121" s="199"/>
      <c r="AM121" s="491">
        <v>56</v>
      </c>
      <c r="AN121" s="492">
        <v>47</v>
      </c>
      <c r="AO121" s="492">
        <v>45</v>
      </c>
      <c r="AP121" s="492">
        <v>32</v>
      </c>
      <c r="AQ121" s="493">
        <v>44</v>
      </c>
      <c r="AR121" s="493">
        <v>36</v>
      </c>
      <c r="AS121" s="493">
        <v>33</v>
      </c>
      <c r="AT121" s="493">
        <v>44</v>
      </c>
      <c r="AU121" s="199"/>
      <c r="AV121" s="491"/>
      <c r="AW121" s="492"/>
      <c r="AX121" s="492">
        <v>1</v>
      </c>
      <c r="AY121" s="492">
        <v>1</v>
      </c>
      <c r="AZ121" s="493"/>
      <c r="BA121" s="493"/>
      <c r="BB121" s="493"/>
      <c r="BC121" s="493"/>
      <c r="BD121" s="199"/>
      <c r="BE121" s="491">
        <v>11</v>
      </c>
      <c r="BF121" s="492">
        <v>4</v>
      </c>
      <c r="BG121" s="492">
        <v>12</v>
      </c>
      <c r="BH121" s="492">
        <v>3</v>
      </c>
      <c r="BI121" s="493">
        <v>9</v>
      </c>
      <c r="BJ121" s="493">
        <v>13</v>
      </c>
      <c r="BK121" s="493">
        <v>5</v>
      </c>
      <c r="BL121" s="493">
        <v>3</v>
      </c>
      <c r="BM121" s="199"/>
      <c r="BN121" s="491"/>
      <c r="BO121" s="492"/>
      <c r="BP121" s="492"/>
      <c r="BQ121" s="492"/>
      <c r="BR121" s="493"/>
      <c r="BS121" s="493">
        <v>1</v>
      </c>
      <c r="BT121" s="493"/>
      <c r="BU121" s="493">
        <v>3</v>
      </c>
      <c r="BV121" s="199"/>
      <c r="BW121" s="491">
        <v>20</v>
      </c>
      <c r="BX121" s="492">
        <v>34</v>
      </c>
      <c r="BY121" s="492">
        <v>38</v>
      </c>
      <c r="BZ121" s="492">
        <v>64</v>
      </c>
      <c r="CA121" s="493">
        <v>63</v>
      </c>
      <c r="CB121" s="493">
        <v>60</v>
      </c>
      <c r="CC121" s="493">
        <v>58</v>
      </c>
      <c r="CD121" s="493">
        <v>51</v>
      </c>
      <c r="CE121" s="199"/>
      <c r="CF121" s="491">
        <v>10</v>
      </c>
      <c r="CG121" s="492">
        <v>5</v>
      </c>
      <c r="CH121" s="492">
        <v>2</v>
      </c>
      <c r="CI121" s="492">
        <v>3</v>
      </c>
      <c r="CJ121" s="493">
        <v>3</v>
      </c>
      <c r="CK121" s="493">
        <v>1</v>
      </c>
      <c r="CL121" s="493">
        <v>3</v>
      </c>
      <c r="CM121" s="493">
        <v>6</v>
      </c>
      <c r="CN121" s="199"/>
      <c r="CO121" s="491">
        <v>2</v>
      </c>
      <c r="CP121" s="492"/>
      <c r="CQ121" s="492">
        <v>2</v>
      </c>
      <c r="CR121" s="492">
        <v>3</v>
      </c>
      <c r="CS121" s="493">
        <v>2</v>
      </c>
      <c r="CT121" s="493">
        <v>3</v>
      </c>
      <c r="CU121" s="493">
        <v>3</v>
      </c>
      <c r="CV121" s="493">
        <v>4</v>
      </c>
      <c r="CW121" s="199"/>
      <c r="CX121" s="491">
        <v>1480</v>
      </c>
      <c r="CY121" s="492">
        <v>1637</v>
      </c>
      <c r="CZ121" s="492">
        <v>1371</v>
      </c>
      <c r="DA121" s="492">
        <v>1429</v>
      </c>
      <c r="DB121" s="493">
        <v>1552</v>
      </c>
      <c r="DC121" s="493">
        <v>953</v>
      </c>
      <c r="DD121" s="493">
        <v>865</v>
      </c>
      <c r="DE121" s="493">
        <v>677</v>
      </c>
      <c r="DF121" s="199"/>
      <c r="DG121" s="491">
        <v>61</v>
      </c>
      <c r="DH121" s="492">
        <v>92</v>
      </c>
      <c r="DI121" s="492">
        <v>48</v>
      </c>
      <c r="DJ121" s="492">
        <v>67</v>
      </c>
      <c r="DK121" s="493">
        <v>29</v>
      </c>
      <c r="DL121" s="493">
        <v>14</v>
      </c>
      <c r="DM121" s="493">
        <v>14</v>
      </c>
      <c r="DN121" s="493">
        <v>5</v>
      </c>
      <c r="DO121" s="199"/>
      <c r="DP121" s="491">
        <v>142</v>
      </c>
      <c r="DQ121" s="492">
        <v>170</v>
      </c>
      <c r="DR121" s="492">
        <v>112</v>
      </c>
      <c r="DS121" s="492">
        <v>95</v>
      </c>
      <c r="DT121" s="493">
        <v>172</v>
      </c>
      <c r="DU121" s="493">
        <v>95</v>
      </c>
      <c r="DV121" s="493">
        <v>102</v>
      </c>
      <c r="DW121" s="493">
        <v>55</v>
      </c>
      <c r="DX121" s="199"/>
      <c r="DY121" s="491">
        <v>349</v>
      </c>
      <c r="DZ121" s="492">
        <v>421</v>
      </c>
      <c r="EA121" s="492">
        <v>373</v>
      </c>
      <c r="EB121" s="492">
        <v>354</v>
      </c>
      <c r="EC121" s="493">
        <v>496</v>
      </c>
      <c r="ED121" s="493">
        <v>242</v>
      </c>
      <c r="EE121" s="493">
        <v>226</v>
      </c>
      <c r="EF121" s="493">
        <v>154</v>
      </c>
      <c r="EG121" s="199"/>
      <c r="EH121" s="491">
        <v>38</v>
      </c>
      <c r="EI121" s="492">
        <v>28</v>
      </c>
      <c r="EJ121" s="492">
        <v>22</v>
      </c>
      <c r="EK121" s="492">
        <v>22</v>
      </c>
      <c r="EL121" s="493">
        <v>12</v>
      </c>
      <c r="EM121" s="493">
        <v>12</v>
      </c>
      <c r="EN121" s="493">
        <v>8</v>
      </c>
      <c r="EO121" s="493">
        <v>7</v>
      </c>
      <c r="EP121" s="199"/>
      <c r="EQ121" s="491"/>
      <c r="ER121" s="492">
        <v>5</v>
      </c>
      <c r="ES121" s="492">
        <v>6</v>
      </c>
      <c r="ET121" s="492">
        <v>6</v>
      </c>
      <c r="EU121" s="493">
        <v>2</v>
      </c>
      <c r="EV121" s="493">
        <v>1</v>
      </c>
      <c r="EW121" s="493">
        <v>10</v>
      </c>
      <c r="EX121" s="493">
        <v>2</v>
      </c>
      <c r="EY121" s="199"/>
      <c r="EZ121" s="491">
        <v>5</v>
      </c>
      <c r="FA121" s="492">
        <v>5</v>
      </c>
      <c r="FB121" s="492">
        <v>23</v>
      </c>
      <c r="FC121" s="492">
        <v>6</v>
      </c>
      <c r="FD121" s="493">
        <v>5</v>
      </c>
      <c r="FE121" s="493">
        <v>9</v>
      </c>
      <c r="FF121" s="493"/>
      <c r="FG121" s="493">
        <v>1</v>
      </c>
      <c r="FH121" s="199"/>
      <c r="FI121" s="491">
        <v>116</v>
      </c>
      <c r="FJ121" s="492">
        <v>152</v>
      </c>
      <c r="FK121" s="492">
        <v>96</v>
      </c>
      <c r="FL121" s="492">
        <v>94</v>
      </c>
      <c r="FM121" s="493">
        <v>78</v>
      </c>
      <c r="FN121" s="493">
        <v>59</v>
      </c>
      <c r="FO121" s="493">
        <v>49</v>
      </c>
      <c r="FP121" s="493">
        <v>52</v>
      </c>
      <c r="FQ121" s="199"/>
      <c r="FR121" s="491">
        <v>14</v>
      </c>
      <c r="FS121" s="492">
        <v>13</v>
      </c>
      <c r="FT121" s="492">
        <v>11</v>
      </c>
      <c r="FU121" s="492">
        <v>9</v>
      </c>
      <c r="FV121" s="493">
        <v>3</v>
      </c>
      <c r="FW121" s="493">
        <v>8</v>
      </c>
      <c r="FX121" s="493">
        <v>6</v>
      </c>
      <c r="FY121" s="493">
        <v>3</v>
      </c>
      <c r="FZ121" s="199"/>
      <c r="GA121" s="491">
        <v>22</v>
      </c>
      <c r="GB121" s="492">
        <v>14</v>
      </c>
      <c r="GC121" s="492">
        <v>12</v>
      </c>
      <c r="GD121" s="492">
        <v>5</v>
      </c>
      <c r="GE121" s="493">
        <v>6</v>
      </c>
      <c r="GF121" s="493">
        <v>3</v>
      </c>
      <c r="GG121" s="493">
        <v>5</v>
      </c>
      <c r="GH121" s="493">
        <v>9</v>
      </c>
      <c r="GI121" s="199"/>
      <c r="GJ121" s="491">
        <v>1809</v>
      </c>
      <c r="GK121" s="492">
        <v>1986</v>
      </c>
      <c r="GL121" s="492">
        <v>1680</v>
      </c>
      <c r="GM121" s="492">
        <v>1721</v>
      </c>
      <c r="GN121" s="493">
        <v>1822</v>
      </c>
      <c r="GO121" s="493">
        <v>1204</v>
      </c>
      <c r="GP121" s="493">
        <v>1079</v>
      </c>
      <c r="GQ121" s="493">
        <v>911</v>
      </c>
      <c r="GR121" s="199"/>
      <c r="GS121" s="491">
        <v>608</v>
      </c>
      <c r="GT121" s="492">
        <v>664</v>
      </c>
      <c r="GU121" s="492">
        <v>510</v>
      </c>
      <c r="GV121" s="492">
        <v>504</v>
      </c>
      <c r="GW121" s="493">
        <v>362</v>
      </c>
      <c r="GX121" s="493">
        <v>224</v>
      </c>
      <c r="GY121" s="493">
        <v>236</v>
      </c>
      <c r="GZ121" s="493">
        <v>191</v>
      </c>
      <c r="HA121" s="199"/>
      <c r="HB121" s="491">
        <v>5</v>
      </c>
      <c r="HC121" s="492">
        <v>5</v>
      </c>
      <c r="HD121" s="492">
        <v>6</v>
      </c>
      <c r="HE121" s="492">
        <v>4</v>
      </c>
      <c r="HF121" s="493">
        <v>6</v>
      </c>
      <c r="HG121" s="493">
        <v>3</v>
      </c>
      <c r="HH121" s="493">
        <v>2</v>
      </c>
      <c r="HI121" s="493">
        <v>2</v>
      </c>
      <c r="HJ121" s="199"/>
      <c r="HK121" s="491">
        <v>3</v>
      </c>
      <c r="HL121" s="492">
        <v>6</v>
      </c>
      <c r="HM121" s="492">
        <v>5</v>
      </c>
      <c r="HN121" s="492">
        <v>3</v>
      </c>
      <c r="HO121" s="493">
        <v>2</v>
      </c>
      <c r="HP121" s="493">
        <v>4</v>
      </c>
      <c r="HQ121" s="493"/>
      <c r="HR121" s="493"/>
      <c r="HS121" s="199"/>
      <c r="HT121" s="491">
        <v>929</v>
      </c>
      <c r="HU121" s="492">
        <v>867</v>
      </c>
      <c r="HV121" s="492">
        <v>663</v>
      </c>
      <c r="HW121" s="492">
        <v>742</v>
      </c>
      <c r="HX121" s="493">
        <v>577</v>
      </c>
      <c r="HY121" s="493">
        <v>448</v>
      </c>
      <c r="HZ121" s="493">
        <v>499</v>
      </c>
      <c r="IA121" s="493">
        <v>498</v>
      </c>
      <c r="IB121" s="199"/>
      <c r="IC121" s="491">
        <v>3082</v>
      </c>
      <c r="ID121" s="492">
        <v>3466</v>
      </c>
      <c r="IE121" s="492">
        <v>3592</v>
      </c>
      <c r="IF121" s="492">
        <v>2819</v>
      </c>
      <c r="IG121" s="493">
        <v>2705</v>
      </c>
      <c r="IH121" s="493">
        <v>2108</v>
      </c>
      <c r="II121" s="493">
        <v>24523</v>
      </c>
      <c r="IJ121" s="493">
        <v>1822</v>
      </c>
      <c r="IK121" s="199"/>
      <c r="IL121" s="491">
        <v>478</v>
      </c>
      <c r="IM121" s="492">
        <v>534</v>
      </c>
      <c r="IN121" s="492">
        <v>503</v>
      </c>
      <c r="IO121" s="492">
        <v>292</v>
      </c>
      <c r="IP121" s="493">
        <v>301</v>
      </c>
      <c r="IQ121" s="493">
        <v>274</v>
      </c>
      <c r="IR121" s="493">
        <v>256</v>
      </c>
      <c r="IS121" s="493">
        <v>208</v>
      </c>
      <c r="IT121" s="199"/>
      <c r="IU121" s="533">
        <v>2923.7935319843282</v>
      </c>
      <c r="IV121" s="534">
        <v>3255.5605650736397</v>
      </c>
      <c r="IW121" s="534">
        <v>3344.4130983305868</v>
      </c>
      <c r="IX121" s="534">
        <v>2703.0655198534841</v>
      </c>
      <c r="IY121" s="535">
        <v>2589.607107298767</v>
      </c>
      <c r="IZ121" s="535">
        <v>2004.1820587293892</v>
      </c>
      <c r="JA121" s="535">
        <v>20374.878488521837</v>
      </c>
      <c r="JB121" s="535">
        <v>1496.669048851212</v>
      </c>
      <c r="JC121" s="536"/>
      <c r="JD121" s="537">
        <v>881.31219701928637</v>
      </c>
      <c r="JE121" s="538">
        <v>814.3597835888188</v>
      </c>
      <c r="JF121" s="538">
        <v>617.30119270411444</v>
      </c>
      <c r="JG121" s="538">
        <v>711.48443268225799</v>
      </c>
      <c r="JH121" s="538">
        <v>552.3856934977407</v>
      </c>
      <c r="JI121" s="539">
        <v>414.60243487275687</v>
      </c>
      <c r="JJ121" s="539">
        <v>414.59300924733509</v>
      </c>
      <c r="JK121" s="539">
        <v>409.07858744670887</v>
      </c>
      <c r="JL121" s="536"/>
      <c r="JM121" s="537">
        <v>1716.1396818168882</v>
      </c>
      <c r="JN121" s="538">
        <v>1865.419296663661</v>
      </c>
      <c r="JO121" s="538">
        <v>1564.2021172592945</v>
      </c>
      <c r="JP121" s="538">
        <v>1650.2219793075014</v>
      </c>
      <c r="JQ121" s="538">
        <v>1744.2751014781343</v>
      </c>
      <c r="JR121" s="539">
        <v>1150.3299841868713</v>
      </c>
      <c r="JS121" s="539">
        <v>896.48468332239383</v>
      </c>
      <c r="JT121" s="539">
        <v>748.33452442560599</v>
      </c>
      <c r="JU121" s="536"/>
      <c r="JV121" s="537">
        <v>576.78989858743387</v>
      </c>
      <c r="JW121" s="538">
        <v>623.68500150285547</v>
      </c>
      <c r="JX121" s="538">
        <v>474.84707131085725</v>
      </c>
      <c r="JY121" s="538">
        <v>483.27244484077903</v>
      </c>
      <c r="JZ121" s="538">
        <v>346.55740215976101</v>
      </c>
      <c r="KA121" s="539">
        <v>206.35411241728829</v>
      </c>
      <c r="KB121" s="539">
        <v>196.08006048571357</v>
      </c>
      <c r="KC121" s="539">
        <v>156.89560281590644</v>
      </c>
      <c r="KD121" s="536"/>
    </row>
    <row r="122" spans="1:290" ht="15" customHeight="1" x14ac:dyDescent="0.2">
      <c r="A122" s="930"/>
      <c r="B122" s="490" t="s">
        <v>623</v>
      </c>
      <c r="C122" s="491">
        <v>5</v>
      </c>
      <c r="D122" s="492">
        <v>1</v>
      </c>
      <c r="E122" s="492">
        <v>1</v>
      </c>
      <c r="F122" s="492">
        <v>1</v>
      </c>
      <c r="G122" s="493">
        <v>1</v>
      </c>
      <c r="H122" s="493"/>
      <c r="I122" s="493">
        <v>2</v>
      </c>
      <c r="J122" s="493"/>
      <c r="K122" s="199"/>
      <c r="L122" s="491">
        <v>3</v>
      </c>
      <c r="M122" s="492"/>
      <c r="N122" s="492">
        <v>1</v>
      </c>
      <c r="O122" s="492"/>
      <c r="P122" s="493">
        <v>1</v>
      </c>
      <c r="Q122" s="493"/>
      <c r="R122" s="493"/>
      <c r="S122" s="493"/>
      <c r="T122" s="199"/>
      <c r="U122" s="491">
        <v>2</v>
      </c>
      <c r="V122" s="492">
        <v>1</v>
      </c>
      <c r="W122" s="492"/>
      <c r="X122" s="492">
        <v>1</v>
      </c>
      <c r="Y122" s="493"/>
      <c r="Z122" s="493"/>
      <c r="AA122" s="493">
        <v>1</v>
      </c>
      <c r="AB122" s="493"/>
      <c r="AC122" s="199"/>
      <c r="AD122" s="491">
        <v>46</v>
      </c>
      <c r="AE122" s="492">
        <v>45</v>
      </c>
      <c r="AF122" s="492">
        <v>61</v>
      </c>
      <c r="AG122" s="492">
        <v>57</v>
      </c>
      <c r="AH122" s="493">
        <v>64</v>
      </c>
      <c r="AI122" s="493">
        <v>44</v>
      </c>
      <c r="AJ122" s="493">
        <v>69</v>
      </c>
      <c r="AK122" s="493">
        <v>59</v>
      </c>
      <c r="AL122" s="199"/>
      <c r="AM122" s="491">
        <v>31</v>
      </c>
      <c r="AN122" s="492">
        <v>21</v>
      </c>
      <c r="AO122" s="492">
        <v>27</v>
      </c>
      <c r="AP122" s="492">
        <v>33</v>
      </c>
      <c r="AQ122" s="493">
        <v>32</v>
      </c>
      <c r="AR122" s="493">
        <v>22</v>
      </c>
      <c r="AS122" s="493">
        <v>28</v>
      </c>
      <c r="AT122" s="493">
        <v>25</v>
      </c>
      <c r="AU122" s="199"/>
      <c r="AV122" s="491"/>
      <c r="AW122" s="492"/>
      <c r="AX122" s="492"/>
      <c r="AY122" s="492"/>
      <c r="AZ122" s="493"/>
      <c r="BA122" s="493"/>
      <c r="BB122" s="493"/>
      <c r="BC122" s="493"/>
      <c r="BD122" s="199"/>
      <c r="BE122" s="491">
        <v>4</v>
      </c>
      <c r="BF122" s="492">
        <v>7</v>
      </c>
      <c r="BG122" s="492">
        <v>1</v>
      </c>
      <c r="BH122" s="492">
        <v>6</v>
      </c>
      <c r="BI122" s="493">
        <v>3</v>
      </c>
      <c r="BJ122" s="493">
        <v>6</v>
      </c>
      <c r="BK122" s="493">
        <v>11</v>
      </c>
      <c r="BL122" s="493">
        <v>4</v>
      </c>
      <c r="BM122" s="199"/>
      <c r="BN122" s="491"/>
      <c r="BO122" s="492"/>
      <c r="BP122" s="492"/>
      <c r="BQ122" s="492"/>
      <c r="BR122" s="493"/>
      <c r="BS122" s="493"/>
      <c r="BT122" s="493"/>
      <c r="BU122" s="493"/>
      <c r="BV122" s="199"/>
      <c r="BW122" s="491">
        <v>24</v>
      </c>
      <c r="BX122" s="492">
        <v>30</v>
      </c>
      <c r="BY122" s="492">
        <v>36</v>
      </c>
      <c r="BZ122" s="492">
        <v>32</v>
      </c>
      <c r="CA122" s="493">
        <v>53</v>
      </c>
      <c r="CB122" s="493">
        <v>58</v>
      </c>
      <c r="CC122" s="493">
        <v>68</v>
      </c>
      <c r="CD122" s="493">
        <v>86</v>
      </c>
      <c r="CE122" s="199"/>
      <c r="CF122" s="491">
        <v>5</v>
      </c>
      <c r="CG122" s="492">
        <v>4</v>
      </c>
      <c r="CH122" s="492">
        <v>13</v>
      </c>
      <c r="CI122" s="492">
        <v>6</v>
      </c>
      <c r="CJ122" s="493">
        <v>5</v>
      </c>
      <c r="CK122" s="493">
        <v>2</v>
      </c>
      <c r="CL122" s="493">
        <v>2</v>
      </c>
      <c r="CM122" s="493">
        <v>5</v>
      </c>
      <c r="CN122" s="199"/>
      <c r="CO122" s="491">
        <v>7</v>
      </c>
      <c r="CP122" s="492">
        <v>2</v>
      </c>
      <c r="CQ122" s="492">
        <v>3</v>
      </c>
      <c r="CR122" s="492">
        <v>3</v>
      </c>
      <c r="CS122" s="493">
        <v>2</v>
      </c>
      <c r="CT122" s="493">
        <v>4</v>
      </c>
      <c r="CU122" s="493">
        <v>4</v>
      </c>
      <c r="CV122" s="493">
        <v>2</v>
      </c>
      <c r="CW122" s="199"/>
      <c r="CX122" s="491">
        <v>955</v>
      </c>
      <c r="CY122" s="492">
        <v>1017</v>
      </c>
      <c r="CZ122" s="492">
        <v>1467</v>
      </c>
      <c r="DA122" s="492">
        <v>968</v>
      </c>
      <c r="DB122" s="493">
        <v>834</v>
      </c>
      <c r="DC122" s="493">
        <v>709</v>
      </c>
      <c r="DD122" s="493">
        <v>600</v>
      </c>
      <c r="DE122" s="493">
        <v>391</v>
      </c>
      <c r="DF122" s="199"/>
      <c r="DG122" s="491">
        <v>42</v>
      </c>
      <c r="DH122" s="492">
        <v>32</v>
      </c>
      <c r="DI122" s="492">
        <v>84</v>
      </c>
      <c r="DJ122" s="492">
        <v>53</v>
      </c>
      <c r="DK122" s="493">
        <v>46</v>
      </c>
      <c r="DL122" s="493">
        <v>35</v>
      </c>
      <c r="DM122" s="493">
        <v>27</v>
      </c>
      <c r="DN122" s="493">
        <v>20</v>
      </c>
      <c r="DO122" s="199"/>
      <c r="DP122" s="491">
        <v>75</v>
      </c>
      <c r="DQ122" s="492">
        <v>59</v>
      </c>
      <c r="DR122" s="492">
        <v>77</v>
      </c>
      <c r="DS122" s="492">
        <v>43</v>
      </c>
      <c r="DT122" s="493">
        <v>43</v>
      </c>
      <c r="DU122" s="493">
        <v>27</v>
      </c>
      <c r="DV122" s="493">
        <v>31</v>
      </c>
      <c r="DW122" s="493">
        <v>16</v>
      </c>
      <c r="DX122" s="199"/>
      <c r="DY122" s="491">
        <v>164</v>
      </c>
      <c r="DZ122" s="492">
        <v>198</v>
      </c>
      <c r="EA122" s="492">
        <v>323</v>
      </c>
      <c r="EB122" s="492">
        <v>150</v>
      </c>
      <c r="EC122" s="493">
        <v>155</v>
      </c>
      <c r="ED122" s="493">
        <v>125</v>
      </c>
      <c r="EE122" s="493">
        <v>104</v>
      </c>
      <c r="EF122" s="493">
        <v>36</v>
      </c>
      <c r="EG122" s="199"/>
      <c r="EH122" s="491">
        <v>15</v>
      </c>
      <c r="EI122" s="492">
        <v>11</v>
      </c>
      <c r="EJ122" s="492">
        <v>23</v>
      </c>
      <c r="EK122" s="492">
        <v>10</v>
      </c>
      <c r="EL122" s="493">
        <v>8</v>
      </c>
      <c r="EM122" s="493">
        <v>5</v>
      </c>
      <c r="EN122" s="493">
        <v>2</v>
      </c>
      <c r="EO122" s="493">
        <v>9</v>
      </c>
      <c r="EP122" s="199"/>
      <c r="EQ122" s="491"/>
      <c r="ER122" s="492">
        <v>3</v>
      </c>
      <c r="ES122" s="492">
        <v>12</v>
      </c>
      <c r="ET122" s="492">
        <v>5</v>
      </c>
      <c r="EU122" s="493">
        <v>7</v>
      </c>
      <c r="EV122" s="493">
        <v>9</v>
      </c>
      <c r="EW122" s="493">
        <v>4</v>
      </c>
      <c r="EX122" s="493">
        <v>5</v>
      </c>
      <c r="EY122" s="199"/>
      <c r="EZ122" s="491">
        <v>3</v>
      </c>
      <c r="FA122" s="492">
        <v>4</v>
      </c>
      <c r="FB122" s="492">
        <v>8</v>
      </c>
      <c r="FC122" s="492">
        <v>8</v>
      </c>
      <c r="FD122" s="493">
        <v>6</v>
      </c>
      <c r="FE122" s="493"/>
      <c r="FF122" s="493">
        <v>1</v>
      </c>
      <c r="FG122" s="493">
        <v>3</v>
      </c>
      <c r="FH122" s="199"/>
      <c r="FI122" s="491">
        <v>108</v>
      </c>
      <c r="FJ122" s="492">
        <v>90</v>
      </c>
      <c r="FK122" s="492">
        <v>133</v>
      </c>
      <c r="FL122" s="492">
        <v>76</v>
      </c>
      <c r="FM122" s="493">
        <v>70</v>
      </c>
      <c r="FN122" s="493">
        <v>58</v>
      </c>
      <c r="FO122" s="493">
        <v>53</v>
      </c>
      <c r="FP122" s="493">
        <v>71</v>
      </c>
      <c r="FQ122" s="199"/>
      <c r="FR122" s="491">
        <v>3</v>
      </c>
      <c r="FS122" s="492">
        <v>3</v>
      </c>
      <c r="FT122" s="492">
        <v>2</v>
      </c>
      <c r="FU122" s="492">
        <v>4</v>
      </c>
      <c r="FV122" s="493">
        <v>3</v>
      </c>
      <c r="FW122" s="493">
        <v>8</v>
      </c>
      <c r="FX122" s="493"/>
      <c r="FY122" s="493"/>
      <c r="FZ122" s="199"/>
      <c r="GA122" s="491">
        <v>8</v>
      </c>
      <c r="GB122" s="492">
        <v>5</v>
      </c>
      <c r="GC122" s="492">
        <v>9</v>
      </c>
      <c r="GD122" s="492">
        <v>2</v>
      </c>
      <c r="GE122" s="493">
        <v>8</v>
      </c>
      <c r="GF122" s="493">
        <v>5</v>
      </c>
      <c r="GG122" s="493">
        <v>3</v>
      </c>
      <c r="GH122" s="493">
        <v>12</v>
      </c>
      <c r="GI122" s="199"/>
      <c r="GJ122" s="491">
        <v>1183</v>
      </c>
      <c r="GK122" s="492">
        <v>1222</v>
      </c>
      <c r="GL122" s="492">
        <v>1769</v>
      </c>
      <c r="GM122" s="492">
        <v>1178</v>
      </c>
      <c r="GN122" s="493">
        <v>1064</v>
      </c>
      <c r="GO122" s="493">
        <v>908</v>
      </c>
      <c r="GP122" s="493">
        <v>819</v>
      </c>
      <c r="GQ122" s="493">
        <v>647</v>
      </c>
      <c r="GR122" s="199"/>
      <c r="GS122" s="491">
        <v>356</v>
      </c>
      <c r="GT122" s="492">
        <v>342</v>
      </c>
      <c r="GU122" s="492">
        <v>594</v>
      </c>
      <c r="GV122" s="492">
        <v>331</v>
      </c>
      <c r="GW122" s="493">
        <v>235</v>
      </c>
      <c r="GX122" s="493">
        <v>214</v>
      </c>
      <c r="GY122" s="493">
        <v>211</v>
      </c>
      <c r="GZ122" s="493">
        <v>185</v>
      </c>
      <c r="HA122" s="199"/>
      <c r="HB122" s="491">
        <v>10</v>
      </c>
      <c r="HC122" s="492">
        <v>7</v>
      </c>
      <c r="HD122" s="492">
        <v>6</v>
      </c>
      <c r="HE122" s="492">
        <v>4</v>
      </c>
      <c r="HF122" s="493">
        <v>8</v>
      </c>
      <c r="HG122" s="493">
        <v>6</v>
      </c>
      <c r="HH122" s="493">
        <v>2</v>
      </c>
      <c r="HI122" s="493">
        <v>2</v>
      </c>
      <c r="HJ122" s="199"/>
      <c r="HK122" s="491">
        <v>9</v>
      </c>
      <c r="HL122" s="492">
        <v>10</v>
      </c>
      <c r="HM122" s="492">
        <v>3</v>
      </c>
      <c r="HN122" s="492">
        <v>2</v>
      </c>
      <c r="HO122" s="493">
        <v>4</v>
      </c>
      <c r="HP122" s="493">
        <v>4</v>
      </c>
      <c r="HQ122" s="493">
        <v>1</v>
      </c>
      <c r="HR122" s="493">
        <v>2</v>
      </c>
      <c r="HS122" s="199"/>
      <c r="HT122" s="491">
        <v>507</v>
      </c>
      <c r="HU122" s="492">
        <v>473</v>
      </c>
      <c r="HV122" s="492">
        <v>720</v>
      </c>
      <c r="HW122" s="492">
        <v>450</v>
      </c>
      <c r="HX122" s="493">
        <v>387</v>
      </c>
      <c r="HY122" s="493">
        <v>367</v>
      </c>
      <c r="HZ122" s="493">
        <v>353</v>
      </c>
      <c r="IA122" s="493">
        <v>338</v>
      </c>
      <c r="IB122" s="199"/>
      <c r="IC122" s="491">
        <v>2116</v>
      </c>
      <c r="ID122" s="492">
        <v>2821</v>
      </c>
      <c r="IE122" s="492">
        <v>3735</v>
      </c>
      <c r="IF122" s="492">
        <v>1983</v>
      </c>
      <c r="IG122" s="493">
        <v>1778</v>
      </c>
      <c r="IH122" s="493">
        <v>1586</v>
      </c>
      <c r="II122" s="493">
        <v>1414</v>
      </c>
      <c r="IJ122" s="493">
        <v>1721</v>
      </c>
      <c r="IK122" s="199"/>
      <c r="IL122" s="491">
        <v>226</v>
      </c>
      <c r="IM122" s="492">
        <v>249</v>
      </c>
      <c r="IN122" s="492">
        <v>428</v>
      </c>
      <c r="IO122" s="492">
        <v>144</v>
      </c>
      <c r="IP122" s="493">
        <v>111</v>
      </c>
      <c r="IQ122" s="493">
        <v>169</v>
      </c>
      <c r="IR122" s="493">
        <v>140</v>
      </c>
      <c r="IS122" s="493">
        <v>59</v>
      </c>
      <c r="IT122" s="199"/>
      <c r="IU122" s="533">
        <v>2806.8499873983578</v>
      </c>
      <c r="IV122" s="534">
        <v>3678.4936561958039</v>
      </c>
      <c r="IW122" s="534">
        <v>4796.6404253406454</v>
      </c>
      <c r="IX122" s="534">
        <v>2568.2869021253446</v>
      </c>
      <c r="IY122" s="535">
        <v>2275.1119641714649</v>
      </c>
      <c r="IZ122" s="535">
        <v>1988.7702623167268</v>
      </c>
      <c r="JA122" s="535">
        <v>1732.1638573108585</v>
      </c>
      <c r="JB122" s="535">
        <v>2084.8476038183844</v>
      </c>
      <c r="JC122" s="536"/>
      <c r="JD122" s="537">
        <v>672.52974650801855</v>
      </c>
      <c r="JE122" s="538">
        <v>616.77685196051584</v>
      </c>
      <c r="JF122" s="538">
        <v>924.65357596928084</v>
      </c>
      <c r="JG122" s="538">
        <v>582.81851031588758</v>
      </c>
      <c r="JH122" s="538">
        <v>495.20153550863722</v>
      </c>
      <c r="JI122" s="539">
        <v>462.09727610459879</v>
      </c>
      <c r="JJ122" s="539">
        <v>432.42845942767542</v>
      </c>
      <c r="JK122" s="539">
        <v>409.45873915782335</v>
      </c>
      <c r="JL122" s="536"/>
      <c r="JM122" s="537">
        <v>1569.2360751853769</v>
      </c>
      <c r="JN122" s="538">
        <v>1593.4488648958782</v>
      </c>
      <c r="JO122" s="538">
        <v>2271.8224665134139</v>
      </c>
      <c r="JP122" s="538">
        <v>1525.6893447824791</v>
      </c>
      <c r="JQ122" s="538">
        <v>1361.4843250159947</v>
      </c>
      <c r="JR122" s="539">
        <v>1134.6452016222272</v>
      </c>
      <c r="JS122" s="539">
        <v>1003.28302626421</v>
      </c>
      <c r="JT122" s="539">
        <v>783.78640306246075</v>
      </c>
      <c r="JU122" s="536"/>
      <c r="JV122" s="537">
        <v>472.22996007269154</v>
      </c>
      <c r="JW122" s="538">
        <v>445.95704729491842</v>
      </c>
      <c r="JX122" s="538">
        <v>762.83920017465675</v>
      </c>
      <c r="JY122" s="538">
        <v>428.695393143464</v>
      </c>
      <c r="JZ122" s="538">
        <v>300.7037747920665</v>
      </c>
      <c r="KA122" s="539">
        <v>267.29682366550242</v>
      </c>
      <c r="KB122" s="539">
        <v>258.47706781654256</v>
      </c>
      <c r="KC122" s="539">
        <v>224.11203178756602</v>
      </c>
      <c r="KD122" s="536"/>
    </row>
    <row r="123" spans="1:290" ht="15" customHeight="1" thickBot="1" x14ac:dyDescent="0.25">
      <c r="A123" s="930"/>
      <c r="B123" s="494" t="s">
        <v>729</v>
      </c>
      <c r="C123" s="495">
        <v>6</v>
      </c>
      <c r="D123" s="496">
        <v>3</v>
      </c>
      <c r="E123" s="496">
        <v>1</v>
      </c>
      <c r="F123" s="496">
        <v>9</v>
      </c>
      <c r="G123" s="497">
        <v>6</v>
      </c>
      <c r="H123" s="497"/>
      <c r="I123" s="497">
        <v>1</v>
      </c>
      <c r="J123" s="497">
        <v>2</v>
      </c>
      <c r="K123" s="199"/>
      <c r="L123" s="495">
        <v>3</v>
      </c>
      <c r="M123" s="496">
        <v>1</v>
      </c>
      <c r="N123" s="496"/>
      <c r="O123" s="496">
        <v>5</v>
      </c>
      <c r="P123" s="497">
        <v>3</v>
      </c>
      <c r="Q123" s="497"/>
      <c r="R123" s="497"/>
      <c r="S123" s="497"/>
      <c r="T123" s="199"/>
      <c r="U123" s="495">
        <v>2</v>
      </c>
      <c r="V123" s="496">
        <v>2</v>
      </c>
      <c r="W123" s="496">
        <v>1</v>
      </c>
      <c r="X123" s="496">
        <v>3</v>
      </c>
      <c r="Y123" s="497">
        <v>3</v>
      </c>
      <c r="Z123" s="497"/>
      <c r="AA123" s="497">
        <v>1</v>
      </c>
      <c r="AB123" s="497">
        <v>2</v>
      </c>
      <c r="AC123" s="199"/>
      <c r="AD123" s="495">
        <v>76</v>
      </c>
      <c r="AE123" s="496">
        <v>82</v>
      </c>
      <c r="AF123" s="496">
        <v>64</v>
      </c>
      <c r="AG123" s="496">
        <v>82</v>
      </c>
      <c r="AH123" s="497">
        <v>100</v>
      </c>
      <c r="AI123" s="497">
        <v>57</v>
      </c>
      <c r="AJ123" s="497">
        <v>74</v>
      </c>
      <c r="AK123" s="497">
        <v>51</v>
      </c>
      <c r="AL123" s="199"/>
      <c r="AM123" s="495">
        <v>50</v>
      </c>
      <c r="AN123" s="496">
        <v>50</v>
      </c>
      <c r="AO123" s="496">
        <v>46</v>
      </c>
      <c r="AP123" s="496">
        <v>53</v>
      </c>
      <c r="AQ123" s="497">
        <v>53</v>
      </c>
      <c r="AR123" s="497">
        <v>34</v>
      </c>
      <c r="AS123" s="497">
        <v>56</v>
      </c>
      <c r="AT123" s="497">
        <v>33</v>
      </c>
      <c r="AU123" s="199"/>
      <c r="AV123" s="495"/>
      <c r="AW123" s="496"/>
      <c r="AX123" s="496"/>
      <c r="AY123" s="496"/>
      <c r="AZ123" s="497"/>
      <c r="BA123" s="497"/>
      <c r="BB123" s="497"/>
      <c r="BC123" s="497">
        <v>1</v>
      </c>
      <c r="BD123" s="199"/>
      <c r="BE123" s="495">
        <v>1</v>
      </c>
      <c r="BF123" s="496">
        <v>6</v>
      </c>
      <c r="BG123" s="496">
        <v>1</v>
      </c>
      <c r="BH123" s="496">
        <v>6</v>
      </c>
      <c r="BI123" s="497">
        <v>10</v>
      </c>
      <c r="BJ123" s="497">
        <v>3</v>
      </c>
      <c r="BK123" s="497">
        <v>2</v>
      </c>
      <c r="BL123" s="497">
        <v>8</v>
      </c>
      <c r="BM123" s="199"/>
      <c r="BN123" s="495">
        <v>1</v>
      </c>
      <c r="BO123" s="496"/>
      <c r="BP123" s="496">
        <v>1</v>
      </c>
      <c r="BQ123" s="496">
        <v>2</v>
      </c>
      <c r="BR123" s="497"/>
      <c r="BS123" s="497"/>
      <c r="BT123" s="497"/>
      <c r="BU123" s="497"/>
      <c r="BV123" s="199"/>
      <c r="BW123" s="495">
        <v>27</v>
      </c>
      <c r="BX123" s="496">
        <v>16</v>
      </c>
      <c r="BY123" s="496">
        <v>25</v>
      </c>
      <c r="BZ123" s="496">
        <v>29</v>
      </c>
      <c r="CA123" s="497">
        <v>22</v>
      </c>
      <c r="CB123" s="497">
        <v>16</v>
      </c>
      <c r="CC123" s="497">
        <v>30</v>
      </c>
      <c r="CD123" s="497">
        <v>28</v>
      </c>
      <c r="CE123" s="199"/>
      <c r="CF123" s="495">
        <v>5</v>
      </c>
      <c r="CG123" s="496">
        <v>7</v>
      </c>
      <c r="CH123" s="496">
        <v>6</v>
      </c>
      <c r="CI123" s="496">
        <v>5</v>
      </c>
      <c r="CJ123" s="497">
        <v>5</v>
      </c>
      <c r="CK123" s="497">
        <v>1</v>
      </c>
      <c r="CL123" s="497"/>
      <c r="CM123" s="497">
        <v>3</v>
      </c>
      <c r="CN123" s="199"/>
      <c r="CO123" s="495">
        <v>18</v>
      </c>
      <c r="CP123" s="496"/>
      <c r="CQ123" s="496">
        <v>6</v>
      </c>
      <c r="CR123" s="496">
        <v>3</v>
      </c>
      <c r="CS123" s="497">
        <v>2</v>
      </c>
      <c r="CT123" s="497">
        <v>3</v>
      </c>
      <c r="CU123" s="497">
        <v>4</v>
      </c>
      <c r="CV123" s="497">
        <v>21</v>
      </c>
      <c r="CW123" s="199"/>
      <c r="CX123" s="495">
        <v>1563</v>
      </c>
      <c r="CY123" s="496">
        <v>1866</v>
      </c>
      <c r="CZ123" s="496">
        <v>1799</v>
      </c>
      <c r="DA123" s="496">
        <v>1347</v>
      </c>
      <c r="DB123" s="497">
        <v>1224</v>
      </c>
      <c r="DC123" s="497">
        <v>1132</v>
      </c>
      <c r="DD123" s="497">
        <v>880</v>
      </c>
      <c r="DE123" s="497">
        <v>703</v>
      </c>
      <c r="DF123" s="199"/>
      <c r="DG123" s="495">
        <v>62</v>
      </c>
      <c r="DH123" s="496">
        <v>38</v>
      </c>
      <c r="DI123" s="496">
        <v>56</v>
      </c>
      <c r="DJ123" s="496">
        <v>51</v>
      </c>
      <c r="DK123" s="497">
        <v>30</v>
      </c>
      <c r="DL123" s="497">
        <v>21</v>
      </c>
      <c r="DM123" s="497">
        <v>16</v>
      </c>
      <c r="DN123" s="497">
        <v>9</v>
      </c>
      <c r="DO123" s="199"/>
      <c r="DP123" s="495">
        <v>100</v>
      </c>
      <c r="DQ123" s="496">
        <v>140</v>
      </c>
      <c r="DR123" s="496">
        <v>126</v>
      </c>
      <c r="DS123" s="496">
        <v>47</v>
      </c>
      <c r="DT123" s="497">
        <v>84</v>
      </c>
      <c r="DU123" s="497">
        <v>72</v>
      </c>
      <c r="DV123" s="497">
        <v>58</v>
      </c>
      <c r="DW123" s="497">
        <v>44</v>
      </c>
      <c r="DX123" s="199"/>
      <c r="DY123" s="495">
        <v>143</v>
      </c>
      <c r="DZ123" s="496">
        <v>434</v>
      </c>
      <c r="EA123" s="496">
        <v>343</v>
      </c>
      <c r="EB123" s="496">
        <v>326</v>
      </c>
      <c r="EC123" s="497">
        <v>319</v>
      </c>
      <c r="ED123" s="497">
        <v>297</v>
      </c>
      <c r="EE123" s="497">
        <v>246</v>
      </c>
      <c r="EF123" s="497">
        <v>191</v>
      </c>
      <c r="EG123" s="199"/>
      <c r="EH123" s="495">
        <v>30</v>
      </c>
      <c r="EI123" s="496">
        <v>30</v>
      </c>
      <c r="EJ123" s="496">
        <v>21</v>
      </c>
      <c r="EK123" s="496">
        <v>13</v>
      </c>
      <c r="EL123" s="497">
        <v>6</v>
      </c>
      <c r="EM123" s="497">
        <v>13</v>
      </c>
      <c r="EN123" s="497">
        <v>6</v>
      </c>
      <c r="EO123" s="497">
        <v>4</v>
      </c>
      <c r="EP123" s="199"/>
      <c r="EQ123" s="495">
        <v>1</v>
      </c>
      <c r="ER123" s="496">
        <v>3</v>
      </c>
      <c r="ES123" s="496">
        <v>1</v>
      </c>
      <c r="ET123" s="496">
        <v>5</v>
      </c>
      <c r="EU123" s="497">
        <v>4</v>
      </c>
      <c r="EV123" s="497"/>
      <c r="EW123" s="497">
        <v>8</v>
      </c>
      <c r="EX123" s="497">
        <v>5</v>
      </c>
      <c r="EY123" s="199"/>
      <c r="EZ123" s="495"/>
      <c r="FA123" s="496">
        <v>6</v>
      </c>
      <c r="FB123" s="496">
        <v>6</v>
      </c>
      <c r="FC123" s="496">
        <v>2</v>
      </c>
      <c r="FD123" s="497">
        <v>1</v>
      </c>
      <c r="FE123" s="497">
        <v>1</v>
      </c>
      <c r="FF123" s="497">
        <v>1</v>
      </c>
      <c r="FG123" s="497"/>
      <c r="FH123" s="199"/>
      <c r="FI123" s="495">
        <v>214</v>
      </c>
      <c r="FJ123" s="496">
        <v>172</v>
      </c>
      <c r="FK123" s="496">
        <v>138</v>
      </c>
      <c r="FL123" s="496">
        <v>92</v>
      </c>
      <c r="FM123" s="497">
        <v>104</v>
      </c>
      <c r="FN123" s="497">
        <v>99</v>
      </c>
      <c r="FO123" s="497">
        <v>73</v>
      </c>
      <c r="FP123" s="497">
        <v>65</v>
      </c>
      <c r="FQ123" s="199"/>
      <c r="FR123" s="495">
        <v>12</v>
      </c>
      <c r="FS123" s="496">
        <v>10</v>
      </c>
      <c r="FT123" s="496">
        <v>6</v>
      </c>
      <c r="FU123" s="496">
        <v>7</v>
      </c>
      <c r="FV123" s="497">
        <v>4</v>
      </c>
      <c r="FW123" s="497">
        <v>10</v>
      </c>
      <c r="FX123" s="497">
        <v>6</v>
      </c>
      <c r="FY123" s="497">
        <v>2</v>
      </c>
      <c r="FZ123" s="199"/>
      <c r="GA123" s="495">
        <v>20</v>
      </c>
      <c r="GB123" s="496">
        <v>10</v>
      </c>
      <c r="GC123" s="496">
        <v>20</v>
      </c>
      <c r="GD123" s="496">
        <v>14</v>
      </c>
      <c r="GE123" s="497">
        <v>8</v>
      </c>
      <c r="GF123" s="497">
        <v>9</v>
      </c>
      <c r="GG123" s="497">
        <v>3</v>
      </c>
      <c r="GH123" s="497">
        <v>9</v>
      </c>
      <c r="GI123" s="199"/>
      <c r="GJ123" s="495">
        <v>1974</v>
      </c>
      <c r="GK123" s="496">
        <v>2211</v>
      </c>
      <c r="GL123" s="496">
        <v>2095</v>
      </c>
      <c r="GM123" s="496">
        <v>1616</v>
      </c>
      <c r="GN123" s="497">
        <v>1496</v>
      </c>
      <c r="GO123" s="497">
        <v>1344</v>
      </c>
      <c r="GP123" s="497">
        <v>1088</v>
      </c>
      <c r="GQ123" s="497">
        <v>901</v>
      </c>
      <c r="GR123" s="199"/>
      <c r="GS123" s="495">
        <v>1086</v>
      </c>
      <c r="GT123" s="496">
        <v>762</v>
      </c>
      <c r="GU123" s="496">
        <v>648</v>
      </c>
      <c r="GV123" s="496">
        <v>363</v>
      </c>
      <c r="GW123" s="497">
        <v>294</v>
      </c>
      <c r="GX123" s="497">
        <v>211</v>
      </c>
      <c r="GY123" s="497">
        <v>160</v>
      </c>
      <c r="GZ123" s="497">
        <v>173</v>
      </c>
      <c r="HA123" s="199"/>
      <c r="HB123" s="495">
        <v>11</v>
      </c>
      <c r="HC123" s="496">
        <v>8</v>
      </c>
      <c r="HD123" s="496">
        <v>7</v>
      </c>
      <c r="HE123" s="496">
        <v>6</v>
      </c>
      <c r="HF123" s="497">
        <v>11</v>
      </c>
      <c r="HG123" s="497">
        <v>4</v>
      </c>
      <c r="HH123" s="497">
        <v>8</v>
      </c>
      <c r="HI123" s="497">
        <v>17</v>
      </c>
      <c r="HJ123" s="199"/>
      <c r="HK123" s="495">
        <v>4</v>
      </c>
      <c r="HL123" s="496">
        <v>3</v>
      </c>
      <c r="HM123" s="496">
        <v>4</v>
      </c>
      <c r="HN123" s="496">
        <v>2</v>
      </c>
      <c r="HO123" s="497">
        <v>4</v>
      </c>
      <c r="HP123" s="497">
        <v>3</v>
      </c>
      <c r="HQ123" s="497">
        <v>2</v>
      </c>
      <c r="HR123" s="497">
        <v>3</v>
      </c>
      <c r="HS123" s="199"/>
      <c r="HT123" s="495">
        <v>1333</v>
      </c>
      <c r="HU123" s="496">
        <v>958</v>
      </c>
      <c r="HV123" s="496">
        <v>846</v>
      </c>
      <c r="HW123" s="496">
        <v>621</v>
      </c>
      <c r="HX123" s="497">
        <v>560</v>
      </c>
      <c r="HY123" s="497">
        <v>442</v>
      </c>
      <c r="HZ123" s="497">
        <v>502</v>
      </c>
      <c r="IA123" s="497">
        <v>639</v>
      </c>
      <c r="IB123" s="199"/>
      <c r="IC123" s="495">
        <v>3101</v>
      </c>
      <c r="ID123" s="496">
        <v>3616</v>
      </c>
      <c r="IE123" s="496">
        <v>3725</v>
      </c>
      <c r="IF123" s="496">
        <v>2841</v>
      </c>
      <c r="IG123" s="497">
        <v>2400</v>
      </c>
      <c r="IH123" s="497">
        <v>3104</v>
      </c>
      <c r="II123" s="497">
        <v>2036</v>
      </c>
      <c r="IJ123" s="497">
        <v>2112</v>
      </c>
      <c r="IK123" s="199"/>
      <c r="IL123" s="495">
        <v>436</v>
      </c>
      <c r="IM123" s="496">
        <v>609</v>
      </c>
      <c r="IN123" s="496">
        <v>521</v>
      </c>
      <c r="IO123" s="496">
        <v>311</v>
      </c>
      <c r="IP123" s="497">
        <v>239</v>
      </c>
      <c r="IQ123" s="497">
        <v>413</v>
      </c>
      <c r="IR123" s="497">
        <v>332</v>
      </c>
      <c r="IS123" s="497">
        <v>278</v>
      </c>
      <c r="IT123" s="199"/>
      <c r="IU123" s="540">
        <v>3218.7749763859624</v>
      </c>
      <c r="IV123" s="541">
        <v>3708.4136686220618</v>
      </c>
      <c r="IW123" s="541">
        <v>3774.3304996301663</v>
      </c>
      <c r="IX123" s="541">
        <v>2912.6810814135883</v>
      </c>
      <c r="IY123" s="542">
        <v>2445.6854033342847</v>
      </c>
      <c r="IZ123" s="542">
        <v>3049.6678420433445</v>
      </c>
      <c r="JA123" s="542">
        <v>1792.0326720298553</v>
      </c>
      <c r="JB123" s="542">
        <v>1814.6512467135224</v>
      </c>
      <c r="JC123" s="536"/>
      <c r="JD123" s="537">
        <v>1383.6269085851297</v>
      </c>
      <c r="JE123" s="538">
        <v>982.4834885342741</v>
      </c>
      <c r="JF123" s="538">
        <v>857.20365172808602</v>
      </c>
      <c r="JG123" s="538">
        <v>636.66840955925318</v>
      </c>
      <c r="JH123" s="538">
        <v>570.65992744466644</v>
      </c>
      <c r="JI123" s="539">
        <v>432.41045202339069</v>
      </c>
      <c r="JJ123" s="539">
        <v>441.84695548083863</v>
      </c>
      <c r="JK123" s="539">
        <v>549.03510731531287</v>
      </c>
      <c r="JL123" s="536"/>
      <c r="JM123" s="537">
        <v>2048.9718811305675</v>
      </c>
      <c r="JN123" s="538">
        <v>2267.5062558969521</v>
      </c>
      <c r="JO123" s="538">
        <v>2122.7442675772345</v>
      </c>
      <c r="JP123" s="538">
        <v>1656.7731881606333</v>
      </c>
      <c r="JQ123" s="538">
        <v>1524.4772347450373</v>
      </c>
      <c r="JR123" s="539">
        <v>1303.0280649827803</v>
      </c>
      <c r="JS123" s="539">
        <v>957.62846128118019</v>
      </c>
      <c r="JT123" s="539">
        <v>774.14809341329715</v>
      </c>
      <c r="JU123" s="536"/>
      <c r="JV123" s="537">
        <v>1127.2459285247194</v>
      </c>
      <c r="JW123" s="538">
        <v>781.47434056692782</v>
      </c>
      <c r="JX123" s="538">
        <v>656.58152047257659</v>
      </c>
      <c r="JY123" s="538">
        <v>372.15882877618185</v>
      </c>
      <c r="JZ123" s="538">
        <v>299.59646190844984</v>
      </c>
      <c r="KA123" s="539">
        <v>206.43033497556019</v>
      </c>
      <c r="KB123" s="539">
        <v>140.8277148942912</v>
      </c>
      <c r="KC123" s="539">
        <v>148.64330761431788</v>
      </c>
      <c r="KD123" s="536"/>
    </row>
    <row r="124" spans="1:290" ht="15" customHeight="1" thickBot="1" x14ac:dyDescent="0.25">
      <c r="A124" s="931"/>
      <c r="B124" s="508" t="s">
        <v>788</v>
      </c>
      <c r="C124" s="500">
        <v>39</v>
      </c>
      <c r="D124" s="501">
        <v>34</v>
      </c>
      <c r="E124" s="501">
        <v>35</v>
      </c>
      <c r="F124" s="501">
        <v>37</v>
      </c>
      <c r="G124" s="502">
        <v>39</v>
      </c>
      <c r="H124" s="502">
        <v>31</v>
      </c>
      <c r="I124" s="502">
        <v>28</v>
      </c>
      <c r="J124" s="502">
        <v>28</v>
      </c>
      <c r="K124" s="503"/>
      <c r="L124" s="500">
        <v>22</v>
      </c>
      <c r="M124" s="501">
        <v>14</v>
      </c>
      <c r="N124" s="501">
        <v>17</v>
      </c>
      <c r="O124" s="501">
        <v>16</v>
      </c>
      <c r="P124" s="502">
        <v>17</v>
      </c>
      <c r="Q124" s="502">
        <v>8</v>
      </c>
      <c r="R124" s="502">
        <v>11</v>
      </c>
      <c r="S124" s="502">
        <v>13</v>
      </c>
      <c r="T124" s="503"/>
      <c r="U124" s="500">
        <v>15</v>
      </c>
      <c r="V124" s="501">
        <v>19</v>
      </c>
      <c r="W124" s="501">
        <v>15</v>
      </c>
      <c r="X124" s="501">
        <v>20</v>
      </c>
      <c r="Y124" s="502">
        <v>20</v>
      </c>
      <c r="Z124" s="502">
        <v>22</v>
      </c>
      <c r="AA124" s="502">
        <v>15</v>
      </c>
      <c r="AB124" s="502">
        <v>15</v>
      </c>
      <c r="AC124" s="503"/>
      <c r="AD124" s="500">
        <v>1109</v>
      </c>
      <c r="AE124" s="501">
        <v>898</v>
      </c>
      <c r="AF124" s="501">
        <v>891</v>
      </c>
      <c r="AG124" s="501">
        <v>1078</v>
      </c>
      <c r="AH124" s="502">
        <v>1171</v>
      </c>
      <c r="AI124" s="502">
        <v>1139</v>
      </c>
      <c r="AJ124" s="502">
        <v>1012</v>
      </c>
      <c r="AK124" s="502">
        <v>899</v>
      </c>
      <c r="AL124" s="503"/>
      <c r="AM124" s="500">
        <v>726</v>
      </c>
      <c r="AN124" s="501">
        <v>540</v>
      </c>
      <c r="AO124" s="501">
        <v>537</v>
      </c>
      <c r="AP124" s="501">
        <v>608</v>
      </c>
      <c r="AQ124" s="502">
        <v>568</v>
      </c>
      <c r="AR124" s="502">
        <v>496</v>
      </c>
      <c r="AS124" s="502">
        <v>467</v>
      </c>
      <c r="AT124" s="502">
        <v>408</v>
      </c>
      <c r="AU124" s="503"/>
      <c r="AV124" s="500">
        <v>4</v>
      </c>
      <c r="AW124" s="501"/>
      <c r="AX124" s="501">
        <v>2</v>
      </c>
      <c r="AY124" s="501">
        <v>1</v>
      </c>
      <c r="AZ124" s="502"/>
      <c r="BA124" s="502">
        <v>1</v>
      </c>
      <c r="BB124" s="502"/>
      <c r="BC124" s="502">
        <v>3</v>
      </c>
      <c r="BD124" s="503"/>
      <c r="BE124" s="500">
        <v>127</v>
      </c>
      <c r="BF124" s="501">
        <v>105</v>
      </c>
      <c r="BG124" s="501">
        <v>125</v>
      </c>
      <c r="BH124" s="501">
        <v>128</v>
      </c>
      <c r="BI124" s="502">
        <v>119</v>
      </c>
      <c r="BJ124" s="502">
        <v>163</v>
      </c>
      <c r="BK124" s="502">
        <v>104</v>
      </c>
      <c r="BL124" s="502">
        <v>72</v>
      </c>
      <c r="BM124" s="503"/>
      <c r="BN124" s="500">
        <v>1</v>
      </c>
      <c r="BO124" s="501"/>
      <c r="BP124" s="501">
        <v>1</v>
      </c>
      <c r="BQ124" s="501">
        <v>5</v>
      </c>
      <c r="BR124" s="502">
        <v>4</v>
      </c>
      <c r="BS124" s="502">
        <v>35</v>
      </c>
      <c r="BT124" s="502">
        <v>16</v>
      </c>
      <c r="BU124" s="502">
        <v>4</v>
      </c>
      <c r="BV124" s="503"/>
      <c r="BW124" s="500">
        <v>412</v>
      </c>
      <c r="BX124" s="501">
        <v>412</v>
      </c>
      <c r="BY124" s="501">
        <v>467</v>
      </c>
      <c r="BZ124" s="501">
        <v>613</v>
      </c>
      <c r="CA124" s="502">
        <v>714</v>
      </c>
      <c r="CB124" s="502">
        <v>731</v>
      </c>
      <c r="CC124" s="502">
        <v>729</v>
      </c>
      <c r="CD124" s="502">
        <v>693</v>
      </c>
      <c r="CE124" s="503"/>
      <c r="CF124" s="500">
        <v>81</v>
      </c>
      <c r="CG124" s="501">
        <v>76</v>
      </c>
      <c r="CH124" s="501">
        <v>63</v>
      </c>
      <c r="CI124" s="501">
        <v>64</v>
      </c>
      <c r="CJ124" s="502">
        <v>70</v>
      </c>
      <c r="CK124" s="502">
        <v>50</v>
      </c>
      <c r="CL124" s="502">
        <v>27</v>
      </c>
      <c r="CM124" s="502">
        <v>41</v>
      </c>
      <c r="CN124" s="503"/>
      <c r="CO124" s="500">
        <v>68</v>
      </c>
      <c r="CP124" s="501">
        <v>44</v>
      </c>
      <c r="CQ124" s="501">
        <v>52</v>
      </c>
      <c r="CR124" s="501">
        <v>41</v>
      </c>
      <c r="CS124" s="502">
        <v>34</v>
      </c>
      <c r="CT124" s="502">
        <v>34</v>
      </c>
      <c r="CU124" s="502">
        <v>31</v>
      </c>
      <c r="CV124" s="502">
        <v>63</v>
      </c>
      <c r="CW124" s="503"/>
      <c r="CX124" s="500">
        <v>18597</v>
      </c>
      <c r="CY124" s="501">
        <v>19712</v>
      </c>
      <c r="CZ124" s="501">
        <v>22018</v>
      </c>
      <c r="DA124" s="501">
        <v>17543</v>
      </c>
      <c r="DB124" s="502">
        <v>16107</v>
      </c>
      <c r="DC124" s="502">
        <v>11546</v>
      </c>
      <c r="DD124" s="502">
        <v>9114</v>
      </c>
      <c r="DE124" s="502">
        <v>7275</v>
      </c>
      <c r="DF124" s="503"/>
      <c r="DG124" s="500">
        <v>518</v>
      </c>
      <c r="DH124" s="501">
        <v>547</v>
      </c>
      <c r="DI124" s="501">
        <v>650</v>
      </c>
      <c r="DJ124" s="501">
        <v>515</v>
      </c>
      <c r="DK124" s="502">
        <v>416</v>
      </c>
      <c r="DL124" s="502">
        <v>202</v>
      </c>
      <c r="DM124" s="502">
        <v>157</v>
      </c>
      <c r="DN124" s="502">
        <v>119</v>
      </c>
      <c r="DO124" s="503"/>
      <c r="DP124" s="500">
        <v>1222</v>
      </c>
      <c r="DQ124" s="501">
        <v>1171</v>
      </c>
      <c r="DR124" s="501">
        <v>1169</v>
      </c>
      <c r="DS124" s="501">
        <v>734</v>
      </c>
      <c r="DT124" s="502">
        <v>780</v>
      </c>
      <c r="DU124" s="502">
        <v>553</v>
      </c>
      <c r="DV124" s="502">
        <v>538</v>
      </c>
      <c r="DW124" s="502">
        <v>427</v>
      </c>
      <c r="DX124" s="503"/>
      <c r="DY124" s="500">
        <v>2924</v>
      </c>
      <c r="DZ124" s="501">
        <v>3134</v>
      </c>
      <c r="EA124" s="501">
        <v>3692</v>
      </c>
      <c r="EB124" s="501">
        <v>2928</v>
      </c>
      <c r="EC124" s="502">
        <v>3578</v>
      </c>
      <c r="ED124" s="502">
        <v>2606</v>
      </c>
      <c r="EE124" s="502">
        <v>2111</v>
      </c>
      <c r="EF124" s="502">
        <v>1507</v>
      </c>
      <c r="EG124" s="503"/>
      <c r="EH124" s="500">
        <v>314</v>
      </c>
      <c r="EI124" s="501">
        <v>286</v>
      </c>
      <c r="EJ124" s="501">
        <v>240</v>
      </c>
      <c r="EK124" s="501">
        <v>196</v>
      </c>
      <c r="EL124" s="502">
        <v>149</v>
      </c>
      <c r="EM124" s="502">
        <v>98</v>
      </c>
      <c r="EN124" s="502">
        <v>89</v>
      </c>
      <c r="EO124" s="502">
        <v>89</v>
      </c>
      <c r="EP124" s="503"/>
      <c r="EQ124" s="500">
        <v>26</v>
      </c>
      <c r="ER124" s="501">
        <v>42</v>
      </c>
      <c r="ES124" s="501">
        <v>62</v>
      </c>
      <c r="ET124" s="501">
        <v>67</v>
      </c>
      <c r="EU124" s="502">
        <v>82</v>
      </c>
      <c r="EV124" s="502">
        <v>65</v>
      </c>
      <c r="EW124" s="502">
        <v>71</v>
      </c>
      <c r="EX124" s="502">
        <v>83</v>
      </c>
      <c r="EY124" s="503"/>
      <c r="EZ124" s="500">
        <v>65</v>
      </c>
      <c r="FA124" s="501">
        <v>83</v>
      </c>
      <c r="FB124" s="501">
        <v>98</v>
      </c>
      <c r="FC124" s="501">
        <v>58</v>
      </c>
      <c r="FD124" s="502">
        <v>34</v>
      </c>
      <c r="FE124" s="502">
        <v>40</v>
      </c>
      <c r="FF124" s="502">
        <v>16</v>
      </c>
      <c r="FG124" s="502">
        <v>25</v>
      </c>
      <c r="FH124" s="503"/>
      <c r="FI124" s="500">
        <v>1852</v>
      </c>
      <c r="FJ124" s="501">
        <v>1665</v>
      </c>
      <c r="FK124" s="501">
        <v>1514</v>
      </c>
      <c r="FL124" s="501">
        <v>990</v>
      </c>
      <c r="FM124" s="502">
        <v>926</v>
      </c>
      <c r="FN124" s="502">
        <v>771</v>
      </c>
      <c r="FO124" s="502">
        <v>706</v>
      </c>
      <c r="FP124" s="502">
        <v>650</v>
      </c>
      <c r="FQ124" s="503"/>
      <c r="FR124" s="500">
        <v>107</v>
      </c>
      <c r="FS124" s="501">
        <v>111</v>
      </c>
      <c r="FT124" s="501">
        <v>78</v>
      </c>
      <c r="FU124" s="501">
        <v>112</v>
      </c>
      <c r="FV124" s="502">
        <v>101</v>
      </c>
      <c r="FW124" s="502">
        <v>95</v>
      </c>
      <c r="FX124" s="502">
        <v>57</v>
      </c>
      <c r="FY124" s="502">
        <v>47</v>
      </c>
      <c r="FZ124" s="503"/>
      <c r="GA124" s="500">
        <v>160</v>
      </c>
      <c r="GB124" s="501">
        <v>123</v>
      </c>
      <c r="GC124" s="501">
        <v>119</v>
      </c>
      <c r="GD124" s="501">
        <v>88</v>
      </c>
      <c r="GE124" s="502">
        <v>89</v>
      </c>
      <c r="GF124" s="502">
        <v>93</v>
      </c>
      <c r="GG124" s="502">
        <v>58</v>
      </c>
      <c r="GH124" s="502">
        <v>89</v>
      </c>
      <c r="GI124" s="503"/>
      <c r="GJ124" s="500">
        <v>22958</v>
      </c>
      <c r="GK124" s="501">
        <v>23591</v>
      </c>
      <c r="GL124" s="501">
        <v>25763</v>
      </c>
      <c r="GM124" s="501">
        <v>21020</v>
      </c>
      <c r="GN124" s="502">
        <v>19639</v>
      </c>
      <c r="GO124" s="502">
        <v>14891</v>
      </c>
      <c r="GP124" s="502">
        <v>12058</v>
      </c>
      <c r="GQ124" s="502">
        <v>10058</v>
      </c>
      <c r="GR124" s="503"/>
      <c r="GS124" s="500">
        <v>7584</v>
      </c>
      <c r="GT124" s="501">
        <v>7490</v>
      </c>
      <c r="GU124" s="501">
        <v>7857</v>
      </c>
      <c r="GV124" s="501">
        <v>5470</v>
      </c>
      <c r="GW124" s="502">
        <v>3172</v>
      </c>
      <c r="GX124" s="502">
        <v>2521</v>
      </c>
      <c r="GY124" s="502">
        <v>2295</v>
      </c>
      <c r="GZ124" s="502">
        <v>2043</v>
      </c>
      <c r="HA124" s="503"/>
      <c r="HB124" s="500">
        <v>93</v>
      </c>
      <c r="HC124" s="501">
        <v>80</v>
      </c>
      <c r="HD124" s="501">
        <v>69</v>
      </c>
      <c r="HE124" s="501">
        <v>57</v>
      </c>
      <c r="HF124" s="502">
        <v>79</v>
      </c>
      <c r="HG124" s="502">
        <v>67</v>
      </c>
      <c r="HH124" s="502">
        <v>58</v>
      </c>
      <c r="HI124" s="502">
        <v>44</v>
      </c>
      <c r="HJ124" s="503"/>
      <c r="HK124" s="500">
        <v>35</v>
      </c>
      <c r="HL124" s="501">
        <v>37</v>
      </c>
      <c r="HM124" s="501">
        <v>32</v>
      </c>
      <c r="HN124" s="501">
        <v>31</v>
      </c>
      <c r="HO124" s="502">
        <v>24</v>
      </c>
      <c r="HP124" s="502">
        <v>28</v>
      </c>
      <c r="HQ124" s="502">
        <v>19</v>
      </c>
      <c r="HR124" s="502">
        <v>13</v>
      </c>
      <c r="HS124" s="503"/>
      <c r="HT124" s="500">
        <v>10298</v>
      </c>
      <c r="HU124" s="501">
        <v>9659</v>
      </c>
      <c r="HV124" s="501">
        <v>9924</v>
      </c>
      <c r="HW124" s="501">
        <v>7967</v>
      </c>
      <c r="HX124" s="502">
        <v>5802</v>
      </c>
      <c r="HY124" s="502">
        <v>5139</v>
      </c>
      <c r="HZ124" s="502">
        <v>5124</v>
      </c>
      <c r="IA124" s="502">
        <v>5362</v>
      </c>
      <c r="IB124" s="503"/>
      <c r="IC124" s="500">
        <v>36012</v>
      </c>
      <c r="ID124" s="501">
        <v>41983</v>
      </c>
      <c r="IE124" s="501">
        <v>46726</v>
      </c>
      <c r="IF124" s="501">
        <v>32620</v>
      </c>
      <c r="IG124" s="502">
        <v>31319</v>
      </c>
      <c r="IH124" s="502">
        <v>26551</v>
      </c>
      <c r="II124" s="502">
        <v>45339</v>
      </c>
      <c r="IJ124" s="502">
        <v>21190</v>
      </c>
      <c r="IK124" s="503"/>
      <c r="IL124" s="500">
        <v>5628</v>
      </c>
      <c r="IM124" s="501">
        <v>5481</v>
      </c>
      <c r="IN124" s="501">
        <v>6477</v>
      </c>
      <c r="IO124" s="501">
        <v>3517</v>
      </c>
      <c r="IP124" s="502">
        <v>2597</v>
      </c>
      <c r="IQ124" s="502">
        <v>3617</v>
      </c>
      <c r="IR124" s="502">
        <v>2812</v>
      </c>
      <c r="IS124" s="502">
        <v>2087</v>
      </c>
      <c r="IT124" s="503"/>
      <c r="IU124" s="547">
        <v>2928.0905454190652</v>
      </c>
      <c r="IV124" s="548">
        <v>3392.3984353094515</v>
      </c>
      <c r="IW124" s="548">
        <v>3752.9476775192602</v>
      </c>
      <c r="IX124" s="548">
        <v>2677.7827761596882</v>
      </c>
      <c r="IY124" s="549">
        <v>2565.5581659769255</v>
      </c>
      <c r="IZ124" s="549">
        <v>2165.457563116021</v>
      </c>
      <c r="JA124" s="549">
        <v>3672.5390246253464</v>
      </c>
      <c r="JB124" s="549">
        <v>1698.7714971957043</v>
      </c>
      <c r="JC124" s="550"/>
      <c r="JD124" s="551">
        <v>837.3174618661983</v>
      </c>
      <c r="JE124" s="552">
        <v>780.48678004558974</v>
      </c>
      <c r="JF124" s="552">
        <v>797.07770302831705</v>
      </c>
      <c r="JG124" s="552">
        <v>654.01273383397427</v>
      </c>
      <c r="JH124" s="552">
        <v>475.28236785970569</v>
      </c>
      <c r="JI124" s="553">
        <v>419.12871141777077</v>
      </c>
      <c r="JJ124" s="553">
        <v>415.05304400582889</v>
      </c>
      <c r="JK124" s="553">
        <v>429.86374553862038</v>
      </c>
      <c r="JL124" s="550"/>
      <c r="JM124" s="551">
        <v>1866.6861807656032</v>
      </c>
      <c r="JN124" s="552">
        <v>1906.2494697231084</v>
      </c>
      <c r="JO124" s="552">
        <v>2069.2374912453174</v>
      </c>
      <c r="JP124" s="552">
        <v>1725.5362953671568</v>
      </c>
      <c r="JQ124" s="552">
        <v>1608.7677391238815</v>
      </c>
      <c r="JR124" s="553">
        <v>1214.4864062506372</v>
      </c>
      <c r="JS124" s="553">
        <v>976.71928271317029</v>
      </c>
      <c r="JT124" s="553">
        <v>806.33523920690868</v>
      </c>
      <c r="JU124" s="550"/>
      <c r="JV124" s="551">
        <v>616.64552639281874</v>
      </c>
      <c r="JW124" s="552">
        <v>605.22269205315934</v>
      </c>
      <c r="JX124" s="552">
        <v>631.06000732501877</v>
      </c>
      <c r="JY124" s="552">
        <v>449.0334698219956</v>
      </c>
      <c r="JZ124" s="552">
        <v>259.84068784056984</v>
      </c>
      <c r="KA124" s="553">
        <v>205.60877242346763</v>
      </c>
      <c r="KB124" s="553">
        <v>185.89905074031563</v>
      </c>
      <c r="KC124" s="553">
        <v>163.78434019682982</v>
      </c>
      <c r="KD124" s="550"/>
    </row>
    <row r="125" spans="1:290" ht="15" customHeight="1" x14ac:dyDescent="0.2">
      <c r="A125" s="929" t="s">
        <v>556</v>
      </c>
      <c r="B125" s="485" t="s">
        <v>730</v>
      </c>
      <c r="C125" s="486">
        <v>3</v>
      </c>
      <c r="D125" s="487">
        <v>1</v>
      </c>
      <c r="E125" s="487">
        <v>4</v>
      </c>
      <c r="F125" s="487">
        <v>9</v>
      </c>
      <c r="G125" s="488">
        <v>5</v>
      </c>
      <c r="H125" s="488">
        <v>2</v>
      </c>
      <c r="I125" s="488">
        <v>5</v>
      </c>
      <c r="J125" s="488">
        <v>1</v>
      </c>
      <c r="K125" s="489"/>
      <c r="L125" s="486">
        <v>1</v>
      </c>
      <c r="M125" s="487"/>
      <c r="N125" s="487">
        <v>3</v>
      </c>
      <c r="O125" s="487">
        <v>3</v>
      </c>
      <c r="P125" s="488">
        <v>3</v>
      </c>
      <c r="Q125" s="488">
        <v>1</v>
      </c>
      <c r="R125" s="488">
        <v>3</v>
      </c>
      <c r="S125" s="488">
        <v>1</v>
      </c>
      <c r="T125" s="489"/>
      <c r="U125" s="486">
        <v>1</v>
      </c>
      <c r="V125" s="487"/>
      <c r="W125" s="487">
        <v>1</v>
      </c>
      <c r="X125" s="487">
        <v>2</v>
      </c>
      <c r="Y125" s="488">
        <v>2</v>
      </c>
      <c r="Z125" s="488">
        <v>1</v>
      </c>
      <c r="AA125" s="488">
        <v>1</v>
      </c>
      <c r="AB125" s="488"/>
      <c r="AC125" s="489"/>
      <c r="AD125" s="486">
        <v>166</v>
      </c>
      <c r="AE125" s="487">
        <v>152</v>
      </c>
      <c r="AF125" s="487">
        <v>176</v>
      </c>
      <c r="AG125" s="487">
        <v>164</v>
      </c>
      <c r="AH125" s="488">
        <v>182</v>
      </c>
      <c r="AI125" s="488">
        <v>120</v>
      </c>
      <c r="AJ125" s="488">
        <v>131</v>
      </c>
      <c r="AK125" s="488">
        <v>98</v>
      </c>
      <c r="AL125" s="489"/>
      <c r="AM125" s="486">
        <v>111</v>
      </c>
      <c r="AN125" s="487">
        <v>95</v>
      </c>
      <c r="AO125" s="487">
        <v>92</v>
      </c>
      <c r="AP125" s="487">
        <v>91</v>
      </c>
      <c r="AQ125" s="488">
        <v>91</v>
      </c>
      <c r="AR125" s="488">
        <v>66</v>
      </c>
      <c r="AS125" s="488">
        <v>74</v>
      </c>
      <c r="AT125" s="488">
        <v>40</v>
      </c>
      <c r="AU125" s="489"/>
      <c r="AV125" s="486">
        <v>1</v>
      </c>
      <c r="AW125" s="487"/>
      <c r="AX125" s="487"/>
      <c r="AY125" s="487"/>
      <c r="AZ125" s="488"/>
      <c r="BA125" s="488"/>
      <c r="BB125" s="488"/>
      <c r="BC125" s="488"/>
      <c r="BD125" s="489"/>
      <c r="BE125" s="486">
        <v>10</v>
      </c>
      <c r="BF125" s="487">
        <v>25</v>
      </c>
      <c r="BG125" s="487">
        <v>22</v>
      </c>
      <c r="BH125" s="487">
        <v>20</v>
      </c>
      <c r="BI125" s="488">
        <v>11</v>
      </c>
      <c r="BJ125" s="488">
        <v>17</v>
      </c>
      <c r="BK125" s="488">
        <v>45</v>
      </c>
      <c r="BL125" s="488">
        <v>6</v>
      </c>
      <c r="BM125" s="489"/>
      <c r="BN125" s="486"/>
      <c r="BO125" s="487"/>
      <c r="BP125" s="487"/>
      <c r="BQ125" s="487"/>
      <c r="BR125" s="488"/>
      <c r="BS125" s="488"/>
      <c r="BT125" s="488"/>
      <c r="BU125" s="488"/>
      <c r="BV125" s="489"/>
      <c r="BW125" s="486">
        <v>55</v>
      </c>
      <c r="BX125" s="487">
        <v>98</v>
      </c>
      <c r="BY125" s="487">
        <v>132</v>
      </c>
      <c r="BZ125" s="487">
        <v>145</v>
      </c>
      <c r="CA125" s="488">
        <v>153</v>
      </c>
      <c r="CB125" s="488">
        <v>79</v>
      </c>
      <c r="CC125" s="488">
        <v>85</v>
      </c>
      <c r="CD125" s="488">
        <v>70</v>
      </c>
      <c r="CE125" s="489"/>
      <c r="CF125" s="486">
        <v>9</v>
      </c>
      <c r="CG125" s="487">
        <v>4</v>
      </c>
      <c r="CH125" s="487">
        <v>5</v>
      </c>
      <c r="CI125" s="487">
        <v>7</v>
      </c>
      <c r="CJ125" s="488">
        <v>5</v>
      </c>
      <c r="CK125" s="488">
        <v>10</v>
      </c>
      <c r="CL125" s="488">
        <v>5</v>
      </c>
      <c r="CM125" s="488">
        <v>4</v>
      </c>
      <c r="CN125" s="489"/>
      <c r="CO125" s="486">
        <v>5</v>
      </c>
      <c r="CP125" s="487">
        <v>3</v>
      </c>
      <c r="CQ125" s="487">
        <v>1</v>
      </c>
      <c r="CR125" s="487">
        <v>5</v>
      </c>
      <c r="CS125" s="488"/>
      <c r="CT125" s="488">
        <v>2</v>
      </c>
      <c r="CU125" s="488">
        <v>10</v>
      </c>
      <c r="CV125" s="488">
        <v>10</v>
      </c>
      <c r="CW125" s="489"/>
      <c r="CX125" s="486">
        <v>2253</v>
      </c>
      <c r="CY125" s="487">
        <v>1922</v>
      </c>
      <c r="CZ125" s="487">
        <v>1770</v>
      </c>
      <c r="DA125" s="487">
        <v>2438</v>
      </c>
      <c r="DB125" s="488">
        <v>1589</v>
      </c>
      <c r="DC125" s="488">
        <v>1302</v>
      </c>
      <c r="DD125" s="488">
        <v>796</v>
      </c>
      <c r="DE125" s="488">
        <v>645</v>
      </c>
      <c r="DF125" s="489"/>
      <c r="DG125" s="486">
        <v>9</v>
      </c>
      <c r="DH125" s="487">
        <v>11</v>
      </c>
      <c r="DI125" s="487">
        <v>7</v>
      </c>
      <c r="DJ125" s="487">
        <v>11</v>
      </c>
      <c r="DK125" s="488">
        <v>3</v>
      </c>
      <c r="DL125" s="488">
        <v>2</v>
      </c>
      <c r="DM125" s="488">
        <v>3</v>
      </c>
      <c r="DN125" s="488">
        <v>1</v>
      </c>
      <c r="DO125" s="489"/>
      <c r="DP125" s="486">
        <v>122</v>
      </c>
      <c r="DQ125" s="487">
        <v>45</v>
      </c>
      <c r="DR125" s="487">
        <v>49</v>
      </c>
      <c r="DS125" s="487">
        <v>122</v>
      </c>
      <c r="DT125" s="488">
        <v>59</v>
      </c>
      <c r="DU125" s="488">
        <v>38</v>
      </c>
      <c r="DV125" s="488">
        <v>22</v>
      </c>
      <c r="DW125" s="488">
        <v>37</v>
      </c>
      <c r="DX125" s="489"/>
      <c r="DY125" s="486">
        <v>414</v>
      </c>
      <c r="DZ125" s="487">
        <v>298</v>
      </c>
      <c r="EA125" s="487">
        <v>260</v>
      </c>
      <c r="EB125" s="487">
        <v>418</v>
      </c>
      <c r="EC125" s="488">
        <v>320</v>
      </c>
      <c r="ED125" s="488">
        <v>373</v>
      </c>
      <c r="EE125" s="488">
        <v>204</v>
      </c>
      <c r="EF125" s="488">
        <v>150</v>
      </c>
      <c r="EG125" s="489"/>
      <c r="EH125" s="486">
        <v>13</v>
      </c>
      <c r="EI125" s="487">
        <v>15</v>
      </c>
      <c r="EJ125" s="487">
        <v>21</v>
      </c>
      <c r="EK125" s="487">
        <v>20</v>
      </c>
      <c r="EL125" s="488">
        <v>20</v>
      </c>
      <c r="EM125" s="488">
        <v>21</v>
      </c>
      <c r="EN125" s="488">
        <v>7</v>
      </c>
      <c r="EO125" s="488">
        <v>4</v>
      </c>
      <c r="EP125" s="489"/>
      <c r="EQ125" s="486">
        <v>4</v>
      </c>
      <c r="ER125" s="487">
        <v>9</v>
      </c>
      <c r="ES125" s="487">
        <v>4</v>
      </c>
      <c r="ET125" s="487">
        <v>9</v>
      </c>
      <c r="EU125" s="488">
        <v>3</v>
      </c>
      <c r="EV125" s="488">
        <v>8</v>
      </c>
      <c r="EW125" s="488">
        <v>11</v>
      </c>
      <c r="EX125" s="488">
        <v>12</v>
      </c>
      <c r="EY125" s="489"/>
      <c r="EZ125" s="486">
        <v>7</v>
      </c>
      <c r="FA125" s="487">
        <v>6</v>
      </c>
      <c r="FB125" s="487">
        <v>15</v>
      </c>
      <c r="FC125" s="487">
        <v>2</v>
      </c>
      <c r="FD125" s="488">
        <v>3</v>
      </c>
      <c r="FE125" s="488">
        <v>8</v>
      </c>
      <c r="FF125" s="488">
        <v>8</v>
      </c>
      <c r="FG125" s="488">
        <v>2</v>
      </c>
      <c r="FH125" s="489"/>
      <c r="FI125" s="486">
        <v>172</v>
      </c>
      <c r="FJ125" s="487">
        <v>138</v>
      </c>
      <c r="FK125" s="487">
        <v>123</v>
      </c>
      <c r="FL125" s="487">
        <v>110</v>
      </c>
      <c r="FM125" s="488">
        <v>67</v>
      </c>
      <c r="FN125" s="488">
        <v>68</v>
      </c>
      <c r="FO125" s="488">
        <v>40</v>
      </c>
      <c r="FP125" s="488">
        <v>47</v>
      </c>
      <c r="FQ125" s="489"/>
      <c r="FR125" s="486">
        <v>12</v>
      </c>
      <c r="FS125" s="487">
        <v>14</v>
      </c>
      <c r="FT125" s="487">
        <v>7</v>
      </c>
      <c r="FU125" s="487">
        <v>9</v>
      </c>
      <c r="FV125" s="488">
        <v>5</v>
      </c>
      <c r="FW125" s="488">
        <v>1</v>
      </c>
      <c r="FX125" s="488">
        <v>3</v>
      </c>
      <c r="FY125" s="488">
        <v>4</v>
      </c>
      <c r="FZ125" s="489"/>
      <c r="GA125" s="486">
        <v>18</v>
      </c>
      <c r="GB125" s="487">
        <v>7</v>
      </c>
      <c r="GC125" s="487">
        <v>1</v>
      </c>
      <c r="GD125" s="487">
        <v>2</v>
      </c>
      <c r="GE125" s="488">
        <v>8</v>
      </c>
      <c r="GF125" s="488">
        <v>8</v>
      </c>
      <c r="GG125" s="488">
        <v>6</v>
      </c>
      <c r="GH125" s="488">
        <v>4</v>
      </c>
      <c r="GI125" s="489"/>
      <c r="GJ125" s="486">
        <v>2727</v>
      </c>
      <c r="GK125" s="487">
        <v>2394</v>
      </c>
      <c r="GL125" s="487">
        <v>2281</v>
      </c>
      <c r="GM125" s="487">
        <v>2940</v>
      </c>
      <c r="GN125" s="488">
        <v>2051</v>
      </c>
      <c r="GO125" s="488">
        <v>1646</v>
      </c>
      <c r="GP125" s="488">
        <v>1152</v>
      </c>
      <c r="GQ125" s="488">
        <v>907</v>
      </c>
      <c r="GR125" s="489"/>
      <c r="GS125" s="486">
        <v>693</v>
      </c>
      <c r="GT125" s="487">
        <v>690</v>
      </c>
      <c r="GU125" s="487">
        <v>645</v>
      </c>
      <c r="GV125" s="487">
        <v>731</v>
      </c>
      <c r="GW125" s="488">
        <v>309</v>
      </c>
      <c r="GX125" s="488">
        <v>237</v>
      </c>
      <c r="GY125" s="488">
        <v>176</v>
      </c>
      <c r="GZ125" s="488">
        <v>214</v>
      </c>
      <c r="HA125" s="489"/>
      <c r="HB125" s="486">
        <v>9</v>
      </c>
      <c r="HC125" s="487">
        <v>11</v>
      </c>
      <c r="HD125" s="487">
        <v>2</v>
      </c>
      <c r="HE125" s="487">
        <v>10</v>
      </c>
      <c r="HF125" s="488">
        <v>8</v>
      </c>
      <c r="HG125" s="488">
        <v>8</v>
      </c>
      <c r="HH125" s="488">
        <v>8</v>
      </c>
      <c r="HI125" s="488">
        <v>4</v>
      </c>
      <c r="HJ125" s="489"/>
      <c r="HK125" s="486">
        <v>5</v>
      </c>
      <c r="HL125" s="487">
        <v>2</v>
      </c>
      <c r="HM125" s="487">
        <v>2</v>
      </c>
      <c r="HN125" s="487">
        <v>3</v>
      </c>
      <c r="HO125" s="488">
        <v>2</v>
      </c>
      <c r="HP125" s="488">
        <v>3</v>
      </c>
      <c r="HQ125" s="488">
        <v>1</v>
      </c>
      <c r="HR125" s="488">
        <v>1</v>
      </c>
      <c r="HS125" s="489"/>
      <c r="HT125" s="486">
        <v>917</v>
      </c>
      <c r="HU125" s="487">
        <v>879</v>
      </c>
      <c r="HV125" s="487">
        <v>808</v>
      </c>
      <c r="HW125" s="487">
        <v>899</v>
      </c>
      <c r="HX125" s="488">
        <v>458</v>
      </c>
      <c r="HY125" s="488">
        <v>436</v>
      </c>
      <c r="HZ125" s="488">
        <v>441</v>
      </c>
      <c r="IA125" s="488">
        <v>419</v>
      </c>
      <c r="IB125" s="489"/>
      <c r="IC125" s="486">
        <v>6071</v>
      </c>
      <c r="ID125" s="487">
        <v>4751</v>
      </c>
      <c r="IE125" s="487">
        <v>4631</v>
      </c>
      <c r="IF125" s="487">
        <v>4398</v>
      </c>
      <c r="IG125" s="488">
        <v>3145</v>
      </c>
      <c r="IH125" s="488">
        <v>4617</v>
      </c>
      <c r="II125" s="488">
        <v>2000</v>
      </c>
      <c r="IJ125" s="488">
        <v>1974</v>
      </c>
      <c r="IK125" s="489"/>
      <c r="IL125" s="486">
        <v>822</v>
      </c>
      <c r="IM125" s="487">
        <v>651</v>
      </c>
      <c r="IN125" s="487">
        <v>599</v>
      </c>
      <c r="IO125" s="487">
        <v>611</v>
      </c>
      <c r="IP125" s="488">
        <v>256</v>
      </c>
      <c r="IQ125" s="488">
        <v>525</v>
      </c>
      <c r="IR125" s="488">
        <v>304</v>
      </c>
      <c r="IS125" s="488">
        <v>244</v>
      </c>
      <c r="IT125" s="489"/>
      <c r="IU125" s="526">
        <v>5031.0347970929224</v>
      </c>
      <c r="IV125" s="527">
        <v>3956.4630835595681</v>
      </c>
      <c r="IW125" s="527">
        <v>3880.5419854364454</v>
      </c>
      <c r="IX125" s="527">
        <v>3761.3855035279025</v>
      </c>
      <c r="IY125" s="528">
        <v>2711.8848677686665</v>
      </c>
      <c r="IZ125" s="528">
        <v>4030.4774608555026</v>
      </c>
      <c r="JA125" s="528">
        <v>1756.1421070193001</v>
      </c>
      <c r="JB125" s="528">
        <v>1750.6518384504868</v>
      </c>
      <c r="JC125" s="529"/>
      <c r="JD125" s="530">
        <v>759.91746152762471</v>
      </c>
      <c r="JE125" s="531">
        <v>731.9998001365733</v>
      </c>
      <c r="JF125" s="531">
        <v>677.06282103922445</v>
      </c>
      <c r="JG125" s="531">
        <v>768.86893307675859</v>
      </c>
      <c r="JH125" s="531">
        <v>394.92631778634313</v>
      </c>
      <c r="JI125" s="532">
        <v>380.08616551036846</v>
      </c>
      <c r="JJ125" s="532">
        <v>387.22933459775567</v>
      </c>
      <c r="JK125" s="532">
        <v>371.59225952925732</v>
      </c>
      <c r="JL125" s="529"/>
      <c r="JM125" s="530">
        <v>2259.8635960587048</v>
      </c>
      <c r="JN125" s="531">
        <v>1993.6376809180395</v>
      </c>
      <c r="JO125" s="531">
        <v>1911.3617509783055</v>
      </c>
      <c r="JP125" s="531">
        <v>2514.4323284156512</v>
      </c>
      <c r="JQ125" s="531">
        <v>1768.5455846720301</v>
      </c>
      <c r="JR125" s="532">
        <v>1437.6006268319068</v>
      </c>
      <c r="JS125" s="532">
        <v>1011.5378536431168</v>
      </c>
      <c r="JT125" s="532">
        <v>804.37751645116089</v>
      </c>
      <c r="JU125" s="529"/>
      <c r="JV125" s="530">
        <v>574.28876863538051</v>
      </c>
      <c r="JW125" s="531">
        <v>574.6073516430439</v>
      </c>
      <c r="JX125" s="531">
        <v>540.47712818106402</v>
      </c>
      <c r="JY125" s="531">
        <v>625.18708573872141</v>
      </c>
      <c r="JZ125" s="531">
        <v>266.4459218252839</v>
      </c>
      <c r="KA125" s="532">
        <v>206.68041948070345</v>
      </c>
      <c r="KB125" s="532">
        <v>154.5405054176984</v>
      </c>
      <c r="KC125" s="532">
        <v>189.78697742067084</v>
      </c>
      <c r="KD125" s="529"/>
    </row>
    <row r="126" spans="1:290" ht="15" customHeight="1" x14ac:dyDescent="0.2">
      <c r="A126" s="930"/>
      <c r="B126" s="490" t="s">
        <v>731</v>
      </c>
      <c r="C126" s="491">
        <v>3</v>
      </c>
      <c r="D126" s="492"/>
      <c r="E126" s="492">
        <v>3</v>
      </c>
      <c r="F126" s="492"/>
      <c r="G126" s="493">
        <v>1</v>
      </c>
      <c r="H126" s="493"/>
      <c r="I126" s="493">
        <v>1</v>
      </c>
      <c r="J126" s="493">
        <v>2</v>
      </c>
      <c r="K126" s="199"/>
      <c r="L126" s="491">
        <v>2</v>
      </c>
      <c r="M126" s="492"/>
      <c r="N126" s="492">
        <v>2</v>
      </c>
      <c r="O126" s="492"/>
      <c r="P126" s="493">
        <v>1</v>
      </c>
      <c r="Q126" s="493"/>
      <c r="R126" s="493">
        <v>1</v>
      </c>
      <c r="S126" s="493">
        <v>1</v>
      </c>
      <c r="T126" s="199"/>
      <c r="U126" s="491">
        <v>1</v>
      </c>
      <c r="V126" s="492"/>
      <c r="W126" s="492">
        <v>1</v>
      </c>
      <c r="X126" s="492"/>
      <c r="Y126" s="493"/>
      <c r="Z126" s="493"/>
      <c r="AA126" s="493"/>
      <c r="AB126" s="493">
        <v>1</v>
      </c>
      <c r="AC126" s="199"/>
      <c r="AD126" s="491">
        <v>72</v>
      </c>
      <c r="AE126" s="492">
        <v>56</v>
      </c>
      <c r="AF126" s="492">
        <v>54</v>
      </c>
      <c r="AG126" s="492">
        <v>42</v>
      </c>
      <c r="AH126" s="493">
        <v>46</v>
      </c>
      <c r="AI126" s="493">
        <v>44</v>
      </c>
      <c r="AJ126" s="493">
        <v>38</v>
      </c>
      <c r="AK126" s="493">
        <v>45</v>
      </c>
      <c r="AL126" s="199"/>
      <c r="AM126" s="491">
        <v>32</v>
      </c>
      <c r="AN126" s="492">
        <v>24</v>
      </c>
      <c r="AO126" s="492">
        <v>24</v>
      </c>
      <c r="AP126" s="492">
        <v>19</v>
      </c>
      <c r="AQ126" s="493">
        <v>19</v>
      </c>
      <c r="AR126" s="493">
        <v>11</v>
      </c>
      <c r="AS126" s="493">
        <v>10</v>
      </c>
      <c r="AT126" s="493">
        <v>17</v>
      </c>
      <c r="AU126" s="199"/>
      <c r="AV126" s="491"/>
      <c r="AW126" s="492"/>
      <c r="AX126" s="492"/>
      <c r="AY126" s="492"/>
      <c r="AZ126" s="493"/>
      <c r="BA126" s="493"/>
      <c r="BB126" s="493">
        <v>1</v>
      </c>
      <c r="BC126" s="493"/>
      <c r="BD126" s="199"/>
      <c r="BE126" s="491">
        <v>6</v>
      </c>
      <c r="BF126" s="492">
        <v>22</v>
      </c>
      <c r="BG126" s="492">
        <v>4</v>
      </c>
      <c r="BH126" s="492"/>
      <c r="BI126" s="493">
        <v>1</v>
      </c>
      <c r="BJ126" s="493">
        <v>3</v>
      </c>
      <c r="BK126" s="493">
        <v>2</v>
      </c>
      <c r="BL126" s="493">
        <v>7</v>
      </c>
      <c r="BM126" s="199"/>
      <c r="BN126" s="491"/>
      <c r="BO126" s="492"/>
      <c r="BP126" s="492"/>
      <c r="BQ126" s="492"/>
      <c r="BR126" s="493"/>
      <c r="BS126" s="493"/>
      <c r="BT126" s="493"/>
      <c r="BU126" s="493"/>
      <c r="BV126" s="199"/>
      <c r="BW126" s="491">
        <v>27</v>
      </c>
      <c r="BX126" s="492">
        <v>25</v>
      </c>
      <c r="BY126" s="492">
        <v>38</v>
      </c>
      <c r="BZ126" s="492">
        <v>41</v>
      </c>
      <c r="CA126" s="493">
        <v>38</v>
      </c>
      <c r="CB126" s="493">
        <v>16</v>
      </c>
      <c r="CC126" s="493">
        <v>20</v>
      </c>
      <c r="CD126" s="493">
        <v>29</v>
      </c>
      <c r="CE126" s="199"/>
      <c r="CF126" s="491">
        <v>3</v>
      </c>
      <c r="CG126" s="492">
        <v>2</v>
      </c>
      <c r="CH126" s="492">
        <v>3</v>
      </c>
      <c r="CI126" s="492">
        <v>1</v>
      </c>
      <c r="CJ126" s="493">
        <v>1</v>
      </c>
      <c r="CK126" s="493"/>
      <c r="CL126" s="493">
        <v>1</v>
      </c>
      <c r="CM126" s="493">
        <v>1</v>
      </c>
      <c r="CN126" s="199"/>
      <c r="CO126" s="491"/>
      <c r="CP126" s="492"/>
      <c r="CQ126" s="492"/>
      <c r="CR126" s="492"/>
      <c r="CS126" s="493"/>
      <c r="CT126" s="493"/>
      <c r="CU126" s="493"/>
      <c r="CV126" s="493"/>
      <c r="CW126" s="199"/>
      <c r="CX126" s="491">
        <v>303</v>
      </c>
      <c r="CY126" s="492">
        <v>386</v>
      </c>
      <c r="CZ126" s="492">
        <v>326</v>
      </c>
      <c r="DA126" s="492">
        <v>300</v>
      </c>
      <c r="DB126" s="493">
        <v>191</v>
      </c>
      <c r="DC126" s="493">
        <v>148</v>
      </c>
      <c r="DD126" s="493">
        <v>104</v>
      </c>
      <c r="DE126" s="493">
        <v>116</v>
      </c>
      <c r="DF126" s="199"/>
      <c r="DG126" s="491"/>
      <c r="DH126" s="492">
        <v>2</v>
      </c>
      <c r="DI126" s="492"/>
      <c r="DJ126" s="492"/>
      <c r="DK126" s="493">
        <v>1</v>
      </c>
      <c r="DL126" s="493"/>
      <c r="DM126" s="493"/>
      <c r="DN126" s="493"/>
      <c r="DO126" s="199"/>
      <c r="DP126" s="491">
        <v>4</v>
      </c>
      <c r="DQ126" s="492">
        <v>4</v>
      </c>
      <c r="DR126" s="492">
        <v>4</v>
      </c>
      <c r="DS126" s="492">
        <v>2</v>
      </c>
      <c r="DT126" s="493">
        <v>3</v>
      </c>
      <c r="DU126" s="493"/>
      <c r="DV126" s="493"/>
      <c r="DW126" s="493">
        <v>2</v>
      </c>
      <c r="DX126" s="199"/>
      <c r="DY126" s="491">
        <v>33</v>
      </c>
      <c r="DZ126" s="492">
        <v>34</v>
      </c>
      <c r="EA126" s="492">
        <v>34</v>
      </c>
      <c r="EB126" s="492">
        <v>53</v>
      </c>
      <c r="EC126" s="493">
        <v>49</v>
      </c>
      <c r="ED126" s="493">
        <v>24</v>
      </c>
      <c r="EE126" s="493">
        <v>16</v>
      </c>
      <c r="EF126" s="493">
        <v>11</v>
      </c>
      <c r="EG126" s="199"/>
      <c r="EH126" s="491">
        <v>6</v>
      </c>
      <c r="EI126" s="492">
        <v>1</v>
      </c>
      <c r="EJ126" s="492">
        <v>1</v>
      </c>
      <c r="EK126" s="492"/>
      <c r="EL126" s="493">
        <v>1</v>
      </c>
      <c r="EM126" s="493">
        <v>2</v>
      </c>
      <c r="EN126" s="493"/>
      <c r="EO126" s="493"/>
      <c r="EP126" s="199"/>
      <c r="EQ126" s="491"/>
      <c r="ER126" s="492">
        <v>2</v>
      </c>
      <c r="ES126" s="492"/>
      <c r="ET126" s="492"/>
      <c r="EU126" s="493"/>
      <c r="EV126" s="493">
        <v>4</v>
      </c>
      <c r="EW126" s="493">
        <v>1</v>
      </c>
      <c r="EX126" s="493">
        <v>2</v>
      </c>
      <c r="EY126" s="199"/>
      <c r="EZ126" s="491">
        <v>1</v>
      </c>
      <c r="FA126" s="492">
        <v>1</v>
      </c>
      <c r="FB126" s="492">
        <v>4</v>
      </c>
      <c r="FC126" s="492">
        <v>2</v>
      </c>
      <c r="FD126" s="493"/>
      <c r="FE126" s="493"/>
      <c r="FF126" s="493">
        <v>1</v>
      </c>
      <c r="FG126" s="493"/>
      <c r="FH126" s="199"/>
      <c r="FI126" s="491">
        <v>32</v>
      </c>
      <c r="FJ126" s="492">
        <v>19</v>
      </c>
      <c r="FK126" s="492">
        <v>13</v>
      </c>
      <c r="FL126" s="492">
        <v>11</v>
      </c>
      <c r="FM126" s="493">
        <v>2</v>
      </c>
      <c r="FN126" s="493">
        <v>9</v>
      </c>
      <c r="FO126" s="493">
        <v>4</v>
      </c>
      <c r="FP126" s="493">
        <v>7</v>
      </c>
      <c r="FQ126" s="199"/>
      <c r="FR126" s="491">
        <v>5</v>
      </c>
      <c r="FS126" s="492">
        <v>7</v>
      </c>
      <c r="FT126" s="492">
        <v>3</v>
      </c>
      <c r="FU126" s="492">
        <v>1</v>
      </c>
      <c r="FV126" s="493">
        <v>6</v>
      </c>
      <c r="FW126" s="493"/>
      <c r="FX126" s="493">
        <v>2</v>
      </c>
      <c r="FY126" s="493"/>
      <c r="FZ126" s="199"/>
      <c r="GA126" s="491">
        <v>2</v>
      </c>
      <c r="GB126" s="492">
        <v>2</v>
      </c>
      <c r="GC126" s="492">
        <v>1</v>
      </c>
      <c r="GD126" s="492">
        <v>2</v>
      </c>
      <c r="GE126" s="493">
        <v>1</v>
      </c>
      <c r="GF126" s="493">
        <v>3</v>
      </c>
      <c r="GG126" s="493">
        <v>8</v>
      </c>
      <c r="GH126" s="493">
        <v>7</v>
      </c>
      <c r="GI126" s="199"/>
      <c r="GJ126" s="491">
        <v>460</v>
      </c>
      <c r="GK126" s="492">
        <v>523</v>
      </c>
      <c r="GL126" s="492">
        <v>450</v>
      </c>
      <c r="GM126" s="492">
        <v>400</v>
      </c>
      <c r="GN126" s="493">
        <v>288</v>
      </c>
      <c r="GO126" s="493">
        <v>229</v>
      </c>
      <c r="GP126" s="493">
        <v>182</v>
      </c>
      <c r="GQ126" s="493">
        <v>216</v>
      </c>
      <c r="GR126" s="199"/>
      <c r="GS126" s="491">
        <v>121</v>
      </c>
      <c r="GT126" s="492">
        <v>129</v>
      </c>
      <c r="GU126" s="492">
        <v>123</v>
      </c>
      <c r="GV126" s="492">
        <v>116</v>
      </c>
      <c r="GW126" s="493">
        <v>41</v>
      </c>
      <c r="GX126" s="493">
        <v>44</v>
      </c>
      <c r="GY126" s="493">
        <v>41</v>
      </c>
      <c r="GZ126" s="493">
        <v>63</v>
      </c>
      <c r="HA126" s="199"/>
      <c r="HB126" s="491">
        <v>1</v>
      </c>
      <c r="HC126" s="492"/>
      <c r="HD126" s="492"/>
      <c r="HE126" s="492">
        <v>3</v>
      </c>
      <c r="HF126" s="493">
        <v>1</v>
      </c>
      <c r="HG126" s="493"/>
      <c r="HH126" s="493">
        <v>2</v>
      </c>
      <c r="HI126" s="493"/>
      <c r="HJ126" s="199"/>
      <c r="HK126" s="491"/>
      <c r="HL126" s="492"/>
      <c r="HM126" s="492">
        <v>1</v>
      </c>
      <c r="HN126" s="492">
        <v>1</v>
      </c>
      <c r="HO126" s="493"/>
      <c r="HP126" s="493"/>
      <c r="HQ126" s="493"/>
      <c r="HR126" s="493"/>
      <c r="HS126" s="199"/>
      <c r="HT126" s="491">
        <v>170</v>
      </c>
      <c r="HU126" s="492">
        <v>165</v>
      </c>
      <c r="HV126" s="492">
        <v>163</v>
      </c>
      <c r="HW126" s="492">
        <v>149</v>
      </c>
      <c r="HX126" s="493">
        <v>70</v>
      </c>
      <c r="HY126" s="493">
        <v>92</v>
      </c>
      <c r="HZ126" s="493">
        <v>123</v>
      </c>
      <c r="IA126" s="493">
        <v>142</v>
      </c>
      <c r="IB126" s="199"/>
      <c r="IC126" s="491">
        <v>818</v>
      </c>
      <c r="ID126" s="492">
        <v>886</v>
      </c>
      <c r="IE126" s="492">
        <v>798</v>
      </c>
      <c r="IF126" s="492">
        <v>651</v>
      </c>
      <c r="IG126" s="493">
        <v>513</v>
      </c>
      <c r="IH126" s="493">
        <v>411</v>
      </c>
      <c r="II126" s="493">
        <v>379</v>
      </c>
      <c r="IJ126" s="493">
        <v>377</v>
      </c>
      <c r="IK126" s="199"/>
      <c r="IL126" s="491">
        <v>102</v>
      </c>
      <c r="IM126" s="492">
        <v>124</v>
      </c>
      <c r="IN126" s="492">
        <v>128</v>
      </c>
      <c r="IO126" s="492">
        <v>66</v>
      </c>
      <c r="IP126" s="493">
        <v>26</v>
      </c>
      <c r="IQ126" s="493">
        <v>39</v>
      </c>
      <c r="IR126" s="493">
        <v>22</v>
      </c>
      <c r="IS126" s="493">
        <v>22</v>
      </c>
      <c r="IT126" s="199"/>
      <c r="IU126" s="533">
        <v>3375.2836806271916</v>
      </c>
      <c r="IV126" s="534">
        <v>3709.7517062345605</v>
      </c>
      <c r="IW126" s="534">
        <v>3379.4943463346458</v>
      </c>
      <c r="IX126" s="534">
        <v>2733.3417306965612</v>
      </c>
      <c r="IY126" s="535">
        <v>2174.0973046279028</v>
      </c>
      <c r="IZ126" s="535">
        <v>1766.8300232138251</v>
      </c>
      <c r="JA126" s="535">
        <v>1657.337764561833</v>
      </c>
      <c r="JB126" s="535">
        <v>1667.1088706111257</v>
      </c>
      <c r="JC126" s="536"/>
      <c r="JD126" s="537">
        <v>701.46482360222819</v>
      </c>
      <c r="JE126" s="538">
        <v>690.8679814093706</v>
      </c>
      <c r="JF126" s="538">
        <v>690.29771735908196</v>
      </c>
      <c r="JG126" s="538">
        <v>625.60356048200867</v>
      </c>
      <c r="JH126" s="538">
        <v>296.66045092388543</v>
      </c>
      <c r="JI126" s="539">
        <v>395.49479838362993</v>
      </c>
      <c r="JJ126" s="539">
        <v>537.86951198180861</v>
      </c>
      <c r="JK126" s="539">
        <v>627.92960113204208</v>
      </c>
      <c r="JL126" s="536"/>
      <c r="JM126" s="537">
        <v>1898.0812873942643</v>
      </c>
      <c r="JN126" s="538">
        <v>2189.8421471339448</v>
      </c>
      <c r="JO126" s="538">
        <v>1905.7298945496127</v>
      </c>
      <c r="JP126" s="538">
        <v>1679.4726455892851</v>
      </c>
      <c r="JQ126" s="538">
        <v>1220.5458552296998</v>
      </c>
      <c r="JR126" s="539">
        <v>984.43813945490501</v>
      </c>
      <c r="JS126" s="539">
        <v>795.87196081861123</v>
      </c>
      <c r="JT126" s="539">
        <v>955.16052003183859</v>
      </c>
      <c r="JU126" s="536"/>
      <c r="JV126" s="537">
        <v>499.2779038580565</v>
      </c>
      <c r="JW126" s="538">
        <v>540.13314910187171</v>
      </c>
      <c r="JX126" s="538">
        <v>520.89950451022742</v>
      </c>
      <c r="JY126" s="538">
        <v>487.04706722089264</v>
      </c>
      <c r="JZ126" s="538">
        <v>173.75826411256145</v>
      </c>
      <c r="KA126" s="539">
        <v>189.14968618347518</v>
      </c>
      <c r="KB126" s="539">
        <v>179.28983732726957</v>
      </c>
      <c r="KC126" s="539">
        <v>278.58848500928627</v>
      </c>
      <c r="KD126" s="536"/>
    </row>
    <row r="127" spans="1:290" ht="15" customHeight="1" x14ac:dyDescent="0.2">
      <c r="A127" s="930"/>
      <c r="B127" s="490" t="s">
        <v>732</v>
      </c>
      <c r="C127" s="491">
        <v>1</v>
      </c>
      <c r="D127" s="492"/>
      <c r="E127" s="492"/>
      <c r="F127" s="492"/>
      <c r="G127" s="493"/>
      <c r="H127" s="493">
        <v>1</v>
      </c>
      <c r="I127" s="493"/>
      <c r="J127" s="493"/>
      <c r="K127" s="199"/>
      <c r="L127" s="491">
        <v>1</v>
      </c>
      <c r="M127" s="492"/>
      <c r="N127" s="492"/>
      <c r="O127" s="492"/>
      <c r="P127" s="493"/>
      <c r="Q127" s="493">
        <v>1</v>
      </c>
      <c r="R127" s="493"/>
      <c r="S127" s="493"/>
      <c r="T127" s="199"/>
      <c r="U127" s="491"/>
      <c r="V127" s="492"/>
      <c r="W127" s="492"/>
      <c r="X127" s="492"/>
      <c r="Y127" s="493"/>
      <c r="Z127" s="493"/>
      <c r="AA127" s="493"/>
      <c r="AB127" s="493"/>
      <c r="AC127" s="199"/>
      <c r="AD127" s="491">
        <v>39</v>
      </c>
      <c r="AE127" s="492">
        <v>39</v>
      </c>
      <c r="AF127" s="492">
        <v>29</v>
      </c>
      <c r="AG127" s="492">
        <v>40</v>
      </c>
      <c r="AH127" s="493">
        <v>31</v>
      </c>
      <c r="AI127" s="493">
        <v>33</v>
      </c>
      <c r="AJ127" s="493">
        <v>35</v>
      </c>
      <c r="AK127" s="493">
        <v>29</v>
      </c>
      <c r="AL127" s="199"/>
      <c r="AM127" s="491">
        <v>23</v>
      </c>
      <c r="AN127" s="492">
        <v>20</v>
      </c>
      <c r="AO127" s="492">
        <v>17</v>
      </c>
      <c r="AP127" s="492">
        <v>20</v>
      </c>
      <c r="AQ127" s="493">
        <v>17</v>
      </c>
      <c r="AR127" s="493">
        <v>14</v>
      </c>
      <c r="AS127" s="493">
        <v>11</v>
      </c>
      <c r="AT127" s="493">
        <v>13</v>
      </c>
      <c r="AU127" s="199"/>
      <c r="AV127" s="491"/>
      <c r="AW127" s="492"/>
      <c r="AX127" s="492"/>
      <c r="AY127" s="492">
        <v>1</v>
      </c>
      <c r="AZ127" s="493"/>
      <c r="BA127" s="493"/>
      <c r="BB127" s="493"/>
      <c r="BC127" s="493"/>
      <c r="BD127" s="199"/>
      <c r="BE127" s="491">
        <v>4</v>
      </c>
      <c r="BF127" s="492">
        <v>8</v>
      </c>
      <c r="BG127" s="492">
        <v>2</v>
      </c>
      <c r="BH127" s="492">
        <v>15</v>
      </c>
      <c r="BI127" s="493">
        <v>16</v>
      </c>
      <c r="BJ127" s="493"/>
      <c r="BK127" s="493">
        <v>2</v>
      </c>
      <c r="BL127" s="493">
        <v>1</v>
      </c>
      <c r="BM127" s="199"/>
      <c r="BN127" s="491"/>
      <c r="BO127" s="492"/>
      <c r="BP127" s="492"/>
      <c r="BQ127" s="492"/>
      <c r="BR127" s="493"/>
      <c r="BS127" s="493">
        <v>1</v>
      </c>
      <c r="BT127" s="493"/>
      <c r="BU127" s="493"/>
      <c r="BV127" s="199"/>
      <c r="BW127" s="491">
        <v>18</v>
      </c>
      <c r="BX127" s="492">
        <v>27</v>
      </c>
      <c r="BY127" s="492">
        <v>36</v>
      </c>
      <c r="BZ127" s="492">
        <v>52</v>
      </c>
      <c r="CA127" s="493">
        <v>42</v>
      </c>
      <c r="CB127" s="493">
        <v>32</v>
      </c>
      <c r="CC127" s="493">
        <v>24</v>
      </c>
      <c r="CD127" s="493">
        <v>17</v>
      </c>
      <c r="CE127" s="199"/>
      <c r="CF127" s="491">
        <v>1</v>
      </c>
      <c r="CG127" s="492">
        <v>2</v>
      </c>
      <c r="CH127" s="492">
        <v>7</v>
      </c>
      <c r="CI127" s="492">
        <v>3</v>
      </c>
      <c r="CJ127" s="493">
        <v>1</v>
      </c>
      <c r="CK127" s="493">
        <v>1</v>
      </c>
      <c r="CL127" s="493">
        <v>1</v>
      </c>
      <c r="CM127" s="493">
        <v>1</v>
      </c>
      <c r="CN127" s="199"/>
      <c r="CO127" s="491">
        <v>1</v>
      </c>
      <c r="CP127" s="492">
        <v>1</v>
      </c>
      <c r="CQ127" s="492"/>
      <c r="CR127" s="492">
        <v>2</v>
      </c>
      <c r="CS127" s="493">
        <v>1</v>
      </c>
      <c r="CT127" s="493">
        <v>1</v>
      </c>
      <c r="CU127" s="493"/>
      <c r="CV127" s="493">
        <v>3</v>
      </c>
      <c r="CW127" s="199"/>
      <c r="CX127" s="491">
        <v>1000</v>
      </c>
      <c r="CY127" s="492">
        <v>853</v>
      </c>
      <c r="CZ127" s="492">
        <v>1221</v>
      </c>
      <c r="DA127" s="492">
        <v>734</v>
      </c>
      <c r="DB127" s="493">
        <v>564</v>
      </c>
      <c r="DC127" s="493">
        <v>460</v>
      </c>
      <c r="DD127" s="493">
        <v>352</v>
      </c>
      <c r="DE127" s="493">
        <v>343</v>
      </c>
      <c r="DF127" s="199"/>
      <c r="DG127" s="491">
        <v>7</v>
      </c>
      <c r="DH127" s="492">
        <v>10</v>
      </c>
      <c r="DI127" s="492">
        <v>15</v>
      </c>
      <c r="DJ127" s="492">
        <v>5</v>
      </c>
      <c r="DK127" s="493">
        <v>6</v>
      </c>
      <c r="DL127" s="493">
        <v>2</v>
      </c>
      <c r="DM127" s="493"/>
      <c r="DN127" s="493">
        <v>1</v>
      </c>
      <c r="DO127" s="199"/>
      <c r="DP127" s="491">
        <v>35</v>
      </c>
      <c r="DQ127" s="492">
        <v>23</v>
      </c>
      <c r="DR127" s="492">
        <v>23</v>
      </c>
      <c r="DS127" s="492">
        <v>25</v>
      </c>
      <c r="DT127" s="493">
        <v>29</v>
      </c>
      <c r="DU127" s="493">
        <v>19</v>
      </c>
      <c r="DV127" s="493">
        <v>13</v>
      </c>
      <c r="DW127" s="493">
        <v>16</v>
      </c>
      <c r="DX127" s="199"/>
      <c r="DY127" s="491">
        <v>187</v>
      </c>
      <c r="DZ127" s="492">
        <v>195</v>
      </c>
      <c r="EA127" s="492">
        <v>256</v>
      </c>
      <c r="EB127" s="492">
        <v>153</v>
      </c>
      <c r="EC127" s="493">
        <v>158</v>
      </c>
      <c r="ED127" s="493">
        <v>72</v>
      </c>
      <c r="EE127" s="493">
        <v>95</v>
      </c>
      <c r="EF127" s="493">
        <v>101</v>
      </c>
      <c r="EG127" s="199"/>
      <c r="EH127" s="491">
        <v>6</v>
      </c>
      <c r="EI127" s="492">
        <v>12</v>
      </c>
      <c r="EJ127" s="492">
        <v>9</v>
      </c>
      <c r="EK127" s="492">
        <v>6</v>
      </c>
      <c r="EL127" s="493">
        <v>6</v>
      </c>
      <c r="EM127" s="493">
        <v>2</v>
      </c>
      <c r="EN127" s="493">
        <v>7</v>
      </c>
      <c r="EO127" s="493">
        <v>1</v>
      </c>
      <c r="EP127" s="199"/>
      <c r="EQ127" s="491">
        <v>1</v>
      </c>
      <c r="ER127" s="492"/>
      <c r="ES127" s="492"/>
      <c r="ET127" s="492">
        <v>1</v>
      </c>
      <c r="EU127" s="493">
        <v>1</v>
      </c>
      <c r="EV127" s="493">
        <v>5</v>
      </c>
      <c r="EW127" s="493">
        <v>4</v>
      </c>
      <c r="EX127" s="493">
        <v>1</v>
      </c>
      <c r="EY127" s="199"/>
      <c r="EZ127" s="491">
        <v>5</v>
      </c>
      <c r="FA127" s="492">
        <v>7</v>
      </c>
      <c r="FB127" s="492">
        <v>6</v>
      </c>
      <c r="FC127" s="492">
        <v>3</v>
      </c>
      <c r="FD127" s="493"/>
      <c r="FE127" s="493"/>
      <c r="FF127" s="493"/>
      <c r="FG127" s="493"/>
      <c r="FH127" s="199"/>
      <c r="FI127" s="491">
        <v>62</v>
      </c>
      <c r="FJ127" s="492">
        <v>43</v>
      </c>
      <c r="FK127" s="492">
        <v>40</v>
      </c>
      <c r="FL127" s="492">
        <v>25</v>
      </c>
      <c r="FM127" s="493">
        <v>42</v>
      </c>
      <c r="FN127" s="493">
        <v>21</v>
      </c>
      <c r="FO127" s="493">
        <v>11</v>
      </c>
      <c r="FP127" s="493">
        <v>11</v>
      </c>
      <c r="FQ127" s="199"/>
      <c r="FR127" s="491">
        <v>3</v>
      </c>
      <c r="FS127" s="492"/>
      <c r="FT127" s="492">
        <v>2</v>
      </c>
      <c r="FU127" s="492"/>
      <c r="FV127" s="493">
        <v>2</v>
      </c>
      <c r="FW127" s="493">
        <v>1</v>
      </c>
      <c r="FX127" s="493">
        <v>1</v>
      </c>
      <c r="FY127" s="493">
        <v>1</v>
      </c>
      <c r="FZ127" s="199"/>
      <c r="GA127" s="491"/>
      <c r="GB127" s="492">
        <v>3</v>
      </c>
      <c r="GC127" s="492">
        <v>2</v>
      </c>
      <c r="GD127" s="492"/>
      <c r="GE127" s="493">
        <v>3</v>
      </c>
      <c r="GF127" s="493">
        <v>1</v>
      </c>
      <c r="GG127" s="493">
        <v>2</v>
      </c>
      <c r="GH127" s="493">
        <v>5</v>
      </c>
      <c r="GI127" s="199"/>
      <c r="GJ127" s="491">
        <v>1141</v>
      </c>
      <c r="GK127" s="492">
        <v>995</v>
      </c>
      <c r="GL127" s="492">
        <v>1354</v>
      </c>
      <c r="GM127" s="492">
        <v>881</v>
      </c>
      <c r="GN127" s="493">
        <v>709</v>
      </c>
      <c r="GO127" s="493">
        <v>559</v>
      </c>
      <c r="GP127" s="493">
        <v>439</v>
      </c>
      <c r="GQ127" s="493">
        <v>413</v>
      </c>
      <c r="GR127" s="199"/>
      <c r="GS127" s="491">
        <v>331</v>
      </c>
      <c r="GT127" s="492">
        <v>250</v>
      </c>
      <c r="GU127" s="492">
        <v>451</v>
      </c>
      <c r="GV127" s="492">
        <v>216</v>
      </c>
      <c r="GW127" s="493">
        <v>147</v>
      </c>
      <c r="GX127" s="493">
        <v>75</v>
      </c>
      <c r="GY127" s="493">
        <v>66</v>
      </c>
      <c r="GZ127" s="493">
        <v>73</v>
      </c>
      <c r="HA127" s="199"/>
      <c r="HB127" s="491">
        <v>1</v>
      </c>
      <c r="HC127" s="492"/>
      <c r="HD127" s="492">
        <v>1</v>
      </c>
      <c r="HE127" s="492">
        <v>1</v>
      </c>
      <c r="HF127" s="493">
        <v>1</v>
      </c>
      <c r="HG127" s="493"/>
      <c r="HH127" s="493">
        <v>1</v>
      </c>
      <c r="HI127" s="493">
        <v>2</v>
      </c>
      <c r="HJ127" s="199"/>
      <c r="HK127" s="491"/>
      <c r="HL127" s="492"/>
      <c r="HM127" s="492">
        <v>1</v>
      </c>
      <c r="HN127" s="492"/>
      <c r="HO127" s="493"/>
      <c r="HP127" s="493"/>
      <c r="HQ127" s="493">
        <v>2</v>
      </c>
      <c r="HR127" s="493">
        <v>1</v>
      </c>
      <c r="HS127" s="199"/>
      <c r="HT127" s="491">
        <v>386</v>
      </c>
      <c r="HU127" s="492">
        <v>329</v>
      </c>
      <c r="HV127" s="492">
        <v>505</v>
      </c>
      <c r="HW127" s="492">
        <v>287</v>
      </c>
      <c r="HX127" s="493">
        <v>244</v>
      </c>
      <c r="HY127" s="493">
        <v>159</v>
      </c>
      <c r="HZ127" s="493">
        <v>215</v>
      </c>
      <c r="IA127" s="493">
        <v>217</v>
      </c>
      <c r="IB127" s="199"/>
      <c r="IC127" s="491">
        <v>2420</v>
      </c>
      <c r="ID127" s="492">
        <v>2045</v>
      </c>
      <c r="IE127" s="492">
        <v>2279</v>
      </c>
      <c r="IF127" s="492">
        <v>1206</v>
      </c>
      <c r="IG127" s="493">
        <v>1175</v>
      </c>
      <c r="IH127" s="493">
        <v>818</v>
      </c>
      <c r="II127" s="493">
        <v>840</v>
      </c>
      <c r="IJ127" s="493">
        <v>736</v>
      </c>
      <c r="IK127" s="199"/>
      <c r="IL127" s="491">
        <v>295</v>
      </c>
      <c r="IM127" s="492">
        <v>283</v>
      </c>
      <c r="IN127" s="492">
        <v>437</v>
      </c>
      <c r="IO127" s="492">
        <v>174</v>
      </c>
      <c r="IP127" s="493">
        <v>129</v>
      </c>
      <c r="IQ127" s="493">
        <v>130</v>
      </c>
      <c r="IR127" s="493">
        <v>135</v>
      </c>
      <c r="IS127" s="493">
        <v>130</v>
      </c>
      <c r="IT127" s="199"/>
      <c r="IU127" s="533">
        <v>6129.064937696282</v>
      </c>
      <c r="IV127" s="534">
        <v>5231.9185406912784</v>
      </c>
      <c r="IW127" s="534">
        <v>5856.2031041216978</v>
      </c>
      <c r="IX127" s="534">
        <v>3035.4895544928268</v>
      </c>
      <c r="IY127" s="535">
        <v>2986.0228716645488</v>
      </c>
      <c r="IZ127" s="535">
        <v>2410.4906438780017</v>
      </c>
      <c r="JA127" s="535">
        <v>2500.5209418628883</v>
      </c>
      <c r="JB127" s="535">
        <v>2211.804303401851</v>
      </c>
      <c r="JC127" s="536"/>
      <c r="JD127" s="537">
        <v>977.61118427717554</v>
      </c>
      <c r="JE127" s="538">
        <v>841.71207818456264</v>
      </c>
      <c r="JF127" s="538">
        <v>1297.6667694521534</v>
      </c>
      <c r="JG127" s="538">
        <v>722.37603825824306</v>
      </c>
      <c r="JH127" s="538">
        <v>620.07623888182968</v>
      </c>
      <c r="JI127" s="539">
        <v>468.54280241638423</v>
      </c>
      <c r="JJ127" s="539">
        <v>640.01428869109634</v>
      </c>
      <c r="JK127" s="539">
        <v>652.12164923668706</v>
      </c>
      <c r="JL127" s="536"/>
      <c r="JM127" s="537">
        <v>2889.7781379799412</v>
      </c>
      <c r="JN127" s="538">
        <v>2545.6033975490573</v>
      </c>
      <c r="JO127" s="538">
        <v>3479.28872443211</v>
      </c>
      <c r="JP127" s="538">
        <v>2217.4679083815754</v>
      </c>
      <c r="JQ127" s="538">
        <v>1801.7789072426938</v>
      </c>
      <c r="JR127" s="539">
        <v>1647.266833652571</v>
      </c>
      <c r="JS127" s="539">
        <v>1306.8198731878665</v>
      </c>
      <c r="JT127" s="539">
        <v>1241.1347517730496</v>
      </c>
      <c r="JU127" s="536"/>
      <c r="JV127" s="537">
        <v>838.31425387498723</v>
      </c>
      <c r="JW127" s="538">
        <v>639.59884360529077</v>
      </c>
      <c r="JX127" s="538">
        <v>1158.906362421626</v>
      </c>
      <c r="JY127" s="538">
        <v>543.66977095393906</v>
      </c>
      <c r="JZ127" s="538">
        <v>373.57052096569248</v>
      </c>
      <c r="KA127" s="539">
        <v>221.01075585678507</v>
      </c>
      <c r="KB127" s="539">
        <v>196.4695025749412</v>
      </c>
      <c r="KC127" s="539">
        <v>219.37732900589015</v>
      </c>
      <c r="KD127" s="536"/>
    </row>
    <row r="128" spans="1:290" ht="15" customHeight="1" x14ac:dyDescent="0.2">
      <c r="A128" s="930"/>
      <c r="B128" s="490" t="s">
        <v>624</v>
      </c>
      <c r="C128" s="491">
        <v>1</v>
      </c>
      <c r="D128" s="492">
        <v>2</v>
      </c>
      <c r="E128" s="492">
        <v>2</v>
      </c>
      <c r="F128" s="492">
        <v>1</v>
      </c>
      <c r="G128" s="493">
        <v>2</v>
      </c>
      <c r="H128" s="493">
        <v>1</v>
      </c>
      <c r="I128" s="493">
        <v>2</v>
      </c>
      <c r="J128" s="493"/>
      <c r="K128" s="199"/>
      <c r="L128" s="491">
        <v>1</v>
      </c>
      <c r="M128" s="492">
        <v>1</v>
      </c>
      <c r="N128" s="492">
        <v>1</v>
      </c>
      <c r="O128" s="492"/>
      <c r="P128" s="493">
        <v>2</v>
      </c>
      <c r="Q128" s="493">
        <v>1</v>
      </c>
      <c r="R128" s="493">
        <v>2</v>
      </c>
      <c r="S128" s="493"/>
      <c r="T128" s="199"/>
      <c r="U128" s="491"/>
      <c r="V128" s="492">
        <v>1</v>
      </c>
      <c r="W128" s="492">
        <v>1</v>
      </c>
      <c r="X128" s="492">
        <v>1</v>
      </c>
      <c r="Y128" s="493"/>
      <c r="Z128" s="493"/>
      <c r="AA128" s="493"/>
      <c r="AB128" s="493"/>
      <c r="AC128" s="199"/>
      <c r="AD128" s="491">
        <v>45</v>
      </c>
      <c r="AE128" s="492">
        <v>35</v>
      </c>
      <c r="AF128" s="492">
        <v>47</v>
      </c>
      <c r="AG128" s="492">
        <v>64</v>
      </c>
      <c r="AH128" s="493">
        <v>74</v>
      </c>
      <c r="AI128" s="493">
        <v>71</v>
      </c>
      <c r="AJ128" s="493">
        <v>103</v>
      </c>
      <c r="AK128" s="493">
        <v>111</v>
      </c>
      <c r="AL128" s="199"/>
      <c r="AM128" s="491">
        <v>24</v>
      </c>
      <c r="AN128" s="492">
        <v>22</v>
      </c>
      <c r="AO128" s="492">
        <v>26</v>
      </c>
      <c r="AP128" s="492">
        <v>27</v>
      </c>
      <c r="AQ128" s="493">
        <v>21</v>
      </c>
      <c r="AR128" s="493">
        <v>15</v>
      </c>
      <c r="AS128" s="493">
        <v>28</v>
      </c>
      <c r="AT128" s="493">
        <v>21</v>
      </c>
      <c r="AU128" s="199"/>
      <c r="AV128" s="491"/>
      <c r="AW128" s="492"/>
      <c r="AX128" s="492"/>
      <c r="AY128" s="492"/>
      <c r="AZ128" s="493"/>
      <c r="BA128" s="493"/>
      <c r="BB128" s="493"/>
      <c r="BC128" s="493"/>
      <c r="BD128" s="199"/>
      <c r="BE128" s="491">
        <v>12</v>
      </c>
      <c r="BF128" s="492">
        <v>10</v>
      </c>
      <c r="BG128" s="492">
        <v>4</v>
      </c>
      <c r="BH128" s="492">
        <v>13</v>
      </c>
      <c r="BI128" s="493">
        <v>7</v>
      </c>
      <c r="BJ128" s="493">
        <v>5</v>
      </c>
      <c r="BK128" s="493">
        <v>7</v>
      </c>
      <c r="BL128" s="493">
        <v>2</v>
      </c>
      <c r="BM128" s="199"/>
      <c r="BN128" s="491"/>
      <c r="BO128" s="492"/>
      <c r="BP128" s="492"/>
      <c r="BQ128" s="492"/>
      <c r="BR128" s="493"/>
      <c r="BS128" s="493"/>
      <c r="BT128" s="493"/>
      <c r="BU128" s="493"/>
      <c r="BV128" s="199"/>
      <c r="BW128" s="491">
        <v>25</v>
      </c>
      <c r="BX128" s="492">
        <v>15</v>
      </c>
      <c r="BY128" s="492">
        <v>26</v>
      </c>
      <c r="BZ128" s="492">
        <v>26</v>
      </c>
      <c r="CA128" s="493">
        <v>20</v>
      </c>
      <c r="CB128" s="493">
        <v>33</v>
      </c>
      <c r="CC128" s="493">
        <v>55</v>
      </c>
      <c r="CD128" s="493">
        <v>44</v>
      </c>
      <c r="CE128" s="199"/>
      <c r="CF128" s="491">
        <v>6</v>
      </c>
      <c r="CG128" s="492">
        <v>3</v>
      </c>
      <c r="CH128" s="492">
        <v>1</v>
      </c>
      <c r="CI128" s="492">
        <v>1</v>
      </c>
      <c r="CJ128" s="493"/>
      <c r="CK128" s="493">
        <v>2</v>
      </c>
      <c r="CL128" s="493">
        <v>3</v>
      </c>
      <c r="CM128" s="493">
        <v>1</v>
      </c>
      <c r="CN128" s="199"/>
      <c r="CO128" s="491">
        <v>1</v>
      </c>
      <c r="CP128" s="492"/>
      <c r="CQ128" s="492"/>
      <c r="CR128" s="492"/>
      <c r="CS128" s="493">
        <v>2</v>
      </c>
      <c r="CT128" s="493"/>
      <c r="CU128" s="493">
        <v>2</v>
      </c>
      <c r="CV128" s="493">
        <v>2</v>
      </c>
      <c r="CW128" s="199"/>
      <c r="CX128" s="491">
        <v>1294</v>
      </c>
      <c r="CY128" s="492">
        <v>1901</v>
      </c>
      <c r="CZ128" s="492">
        <v>1314</v>
      </c>
      <c r="DA128" s="492">
        <v>1202</v>
      </c>
      <c r="DB128" s="493">
        <v>852</v>
      </c>
      <c r="DC128" s="493">
        <v>657</v>
      </c>
      <c r="DD128" s="493">
        <v>513</v>
      </c>
      <c r="DE128" s="493">
        <v>407</v>
      </c>
      <c r="DF128" s="199"/>
      <c r="DG128" s="491">
        <v>3</v>
      </c>
      <c r="DH128" s="492">
        <v>3</v>
      </c>
      <c r="DI128" s="492">
        <v>5</v>
      </c>
      <c r="DJ128" s="492">
        <v>5</v>
      </c>
      <c r="DK128" s="493">
        <v>2</v>
      </c>
      <c r="DL128" s="493"/>
      <c r="DM128" s="493">
        <v>2</v>
      </c>
      <c r="DN128" s="493"/>
      <c r="DO128" s="199"/>
      <c r="DP128" s="491">
        <v>20</v>
      </c>
      <c r="DQ128" s="492">
        <v>19</v>
      </c>
      <c r="DR128" s="492">
        <v>22</v>
      </c>
      <c r="DS128" s="492">
        <v>12</v>
      </c>
      <c r="DT128" s="493">
        <v>2</v>
      </c>
      <c r="DU128" s="493">
        <v>7</v>
      </c>
      <c r="DV128" s="493">
        <v>5</v>
      </c>
      <c r="DW128" s="493">
        <v>4</v>
      </c>
      <c r="DX128" s="199"/>
      <c r="DY128" s="491">
        <v>270</v>
      </c>
      <c r="DZ128" s="492">
        <v>252</v>
      </c>
      <c r="EA128" s="492">
        <v>246</v>
      </c>
      <c r="EB128" s="492">
        <v>313</v>
      </c>
      <c r="EC128" s="493">
        <v>244</v>
      </c>
      <c r="ED128" s="493">
        <v>189</v>
      </c>
      <c r="EE128" s="493">
        <v>117</v>
      </c>
      <c r="EF128" s="493">
        <v>95</v>
      </c>
      <c r="EG128" s="199"/>
      <c r="EH128" s="491">
        <v>4</v>
      </c>
      <c r="EI128" s="492">
        <v>10</v>
      </c>
      <c r="EJ128" s="492">
        <v>10</v>
      </c>
      <c r="EK128" s="492">
        <v>5</v>
      </c>
      <c r="EL128" s="493">
        <v>5</v>
      </c>
      <c r="EM128" s="493">
        <v>4</v>
      </c>
      <c r="EN128" s="493">
        <v>3</v>
      </c>
      <c r="EO128" s="493"/>
      <c r="EP128" s="199"/>
      <c r="EQ128" s="491">
        <v>4</v>
      </c>
      <c r="ER128" s="492">
        <v>9</v>
      </c>
      <c r="ES128" s="492">
        <v>4</v>
      </c>
      <c r="ET128" s="492">
        <v>4</v>
      </c>
      <c r="EU128" s="493">
        <v>4</v>
      </c>
      <c r="EV128" s="493"/>
      <c r="EW128" s="493">
        <v>2</v>
      </c>
      <c r="EX128" s="493"/>
      <c r="EY128" s="199"/>
      <c r="EZ128" s="491">
        <v>1</v>
      </c>
      <c r="FA128" s="492">
        <v>2</v>
      </c>
      <c r="FB128" s="492">
        <v>6</v>
      </c>
      <c r="FC128" s="492">
        <v>1</v>
      </c>
      <c r="FD128" s="493"/>
      <c r="FE128" s="493"/>
      <c r="FF128" s="493">
        <v>1</v>
      </c>
      <c r="FG128" s="493">
        <v>1</v>
      </c>
      <c r="FH128" s="199"/>
      <c r="FI128" s="491">
        <v>54</v>
      </c>
      <c r="FJ128" s="492">
        <v>59</v>
      </c>
      <c r="FK128" s="492">
        <v>43</v>
      </c>
      <c r="FL128" s="492">
        <v>24</v>
      </c>
      <c r="FM128" s="493">
        <v>12</v>
      </c>
      <c r="FN128" s="493">
        <v>29</v>
      </c>
      <c r="FO128" s="493">
        <v>30</v>
      </c>
      <c r="FP128" s="493">
        <v>33</v>
      </c>
      <c r="FQ128" s="199"/>
      <c r="FR128" s="491">
        <v>1</v>
      </c>
      <c r="FS128" s="492">
        <v>4</v>
      </c>
      <c r="FT128" s="492">
        <v>3</v>
      </c>
      <c r="FU128" s="492">
        <v>5</v>
      </c>
      <c r="FV128" s="493">
        <v>4</v>
      </c>
      <c r="FW128" s="493"/>
      <c r="FX128" s="493">
        <v>2</v>
      </c>
      <c r="FY128" s="493"/>
      <c r="FZ128" s="199"/>
      <c r="GA128" s="491">
        <v>4</v>
      </c>
      <c r="GB128" s="492">
        <v>4</v>
      </c>
      <c r="GC128" s="492">
        <v>3</v>
      </c>
      <c r="GD128" s="492">
        <v>8</v>
      </c>
      <c r="GE128" s="493">
        <v>3</v>
      </c>
      <c r="GF128" s="493">
        <v>6</v>
      </c>
      <c r="GG128" s="493">
        <v>3</v>
      </c>
      <c r="GH128" s="493">
        <v>3</v>
      </c>
      <c r="GI128" s="199"/>
      <c r="GJ128" s="491">
        <v>1452</v>
      </c>
      <c r="GK128" s="492">
        <v>2054</v>
      </c>
      <c r="GL128" s="492">
        <v>1463</v>
      </c>
      <c r="GM128" s="492">
        <v>1354</v>
      </c>
      <c r="GN128" s="493">
        <v>985</v>
      </c>
      <c r="GO128" s="493">
        <v>808</v>
      </c>
      <c r="GP128" s="493">
        <v>726</v>
      </c>
      <c r="GQ128" s="493">
        <v>604</v>
      </c>
      <c r="GR128" s="199"/>
      <c r="GS128" s="491">
        <v>491</v>
      </c>
      <c r="GT128" s="492">
        <v>490</v>
      </c>
      <c r="GU128" s="492">
        <v>321</v>
      </c>
      <c r="GV128" s="492">
        <v>219</v>
      </c>
      <c r="GW128" s="493">
        <v>150</v>
      </c>
      <c r="GX128" s="493">
        <v>94</v>
      </c>
      <c r="GY128" s="493">
        <v>94</v>
      </c>
      <c r="GZ128" s="493">
        <v>121</v>
      </c>
      <c r="HA128" s="199"/>
      <c r="HB128" s="491">
        <v>4</v>
      </c>
      <c r="HC128" s="492"/>
      <c r="HD128" s="492">
        <v>2</v>
      </c>
      <c r="HE128" s="492">
        <v>2</v>
      </c>
      <c r="HF128" s="493">
        <v>1</v>
      </c>
      <c r="HG128" s="493"/>
      <c r="HH128" s="493"/>
      <c r="HI128" s="493">
        <v>1</v>
      </c>
      <c r="HJ128" s="199"/>
      <c r="HK128" s="491">
        <v>2</v>
      </c>
      <c r="HL128" s="492">
        <v>1</v>
      </c>
      <c r="HM128" s="492">
        <v>1</v>
      </c>
      <c r="HN128" s="492">
        <v>2</v>
      </c>
      <c r="HO128" s="493"/>
      <c r="HP128" s="493"/>
      <c r="HQ128" s="493"/>
      <c r="HR128" s="493">
        <v>2</v>
      </c>
      <c r="HS128" s="199"/>
      <c r="HT128" s="491">
        <v>609</v>
      </c>
      <c r="HU128" s="492">
        <v>578</v>
      </c>
      <c r="HV128" s="492">
        <v>404</v>
      </c>
      <c r="HW128" s="492">
        <v>307</v>
      </c>
      <c r="HX128" s="493">
        <v>262</v>
      </c>
      <c r="HY128" s="493">
        <v>215</v>
      </c>
      <c r="HZ128" s="493">
        <v>225</v>
      </c>
      <c r="IA128" s="493">
        <v>276</v>
      </c>
      <c r="IB128" s="199"/>
      <c r="IC128" s="491">
        <v>2577</v>
      </c>
      <c r="ID128" s="492">
        <v>2859</v>
      </c>
      <c r="IE128" s="492">
        <v>2362</v>
      </c>
      <c r="IF128" s="492">
        <v>1728</v>
      </c>
      <c r="IG128" s="493">
        <v>1316</v>
      </c>
      <c r="IH128" s="493">
        <v>1168</v>
      </c>
      <c r="II128" s="493">
        <v>1083</v>
      </c>
      <c r="IJ128" s="493">
        <v>954</v>
      </c>
      <c r="IK128" s="199"/>
      <c r="IL128" s="491">
        <v>405</v>
      </c>
      <c r="IM128" s="492">
        <v>462</v>
      </c>
      <c r="IN128" s="492">
        <v>494</v>
      </c>
      <c r="IO128" s="492">
        <v>434</v>
      </c>
      <c r="IP128" s="493">
        <v>188</v>
      </c>
      <c r="IQ128" s="493">
        <v>259</v>
      </c>
      <c r="IR128" s="493">
        <v>169</v>
      </c>
      <c r="IS128" s="493">
        <v>151</v>
      </c>
      <c r="IT128" s="199"/>
      <c r="IU128" s="533">
        <v>8540.7483511748906</v>
      </c>
      <c r="IV128" s="534">
        <v>9543.6792736255302</v>
      </c>
      <c r="IW128" s="534">
        <v>7914.2234880214437</v>
      </c>
      <c r="IX128" s="534">
        <v>5727.5439177991384</v>
      </c>
      <c r="IY128" s="535">
        <v>4376.7460423041111</v>
      </c>
      <c r="IZ128" s="535">
        <v>3390.9444226683663</v>
      </c>
      <c r="JA128" s="535">
        <v>3208.8888888888887</v>
      </c>
      <c r="JB128" s="535">
        <v>2853.5534816941854</v>
      </c>
      <c r="JC128" s="536"/>
      <c r="JD128" s="537">
        <v>2018.360786133298</v>
      </c>
      <c r="JE128" s="538">
        <v>1929.4321861334579</v>
      </c>
      <c r="JF128" s="538">
        <v>1353.6605796615847</v>
      </c>
      <c r="JG128" s="538">
        <v>1017.5671196552867</v>
      </c>
      <c r="JH128" s="538">
        <v>871.35825462285493</v>
      </c>
      <c r="JI128" s="539">
        <v>625.93439983792723</v>
      </c>
      <c r="JJ128" s="539">
        <v>666.66666666666674</v>
      </c>
      <c r="JK128" s="539">
        <v>825.55635319454416</v>
      </c>
      <c r="JL128" s="536"/>
      <c r="JM128" s="537">
        <v>4812.2493620123951</v>
      </c>
      <c r="JN128" s="538">
        <v>6856.4943085088635</v>
      </c>
      <c r="JO128" s="538">
        <v>4901.9936337745012</v>
      </c>
      <c r="JP128" s="538">
        <v>4487.9018892940003</v>
      </c>
      <c r="JQ128" s="538">
        <v>3275.9079419981372</v>
      </c>
      <c r="JR128" s="539">
        <v>2342.8933609462283</v>
      </c>
      <c r="JS128" s="539">
        <v>2151.1111111111113</v>
      </c>
      <c r="JT128" s="539">
        <v>1806.6523091648721</v>
      </c>
      <c r="JU128" s="536"/>
      <c r="JV128" s="537">
        <v>1627.2826699366985</v>
      </c>
      <c r="JW128" s="538">
        <v>1635.6778048536237</v>
      </c>
      <c r="JX128" s="538">
        <v>1075.5570447311106</v>
      </c>
      <c r="JY128" s="538">
        <v>725.88664235996021</v>
      </c>
      <c r="JZ128" s="538">
        <v>498.86922974590925</v>
      </c>
      <c r="KA128" s="539">
        <v>273.57186100094145</v>
      </c>
      <c r="KB128" s="539">
        <v>278.51851851851853</v>
      </c>
      <c r="KC128" s="539">
        <v>361.9286910744197</v>
      </c>
      <c r="KD128" s="536"/>
    </row>
    <row r="129" spans="1:290" ht="15" customHeight="1" x14ac:dyDescent="0.2">
      <c r="A129" s="930"/>
      <c r="B129" s="490" t="s">
        <v>733</v>
      </c>
      <c r="C129" s="491">
        <v>2</v>
      </c>
      <c r="D129" s="492">
        <v>2</v>
      </c>
      <c r="E129" s="492"/>
      <c r="F129" s="492">
        <v>1</v>
      </c>
      <c r="G129" s="493">
        <v>3</v>
      </c>
      <c r="H129" s="493"/>
      <c r="I129" s="493">
        <v>1</v>
      </c>
      <c r="J129" s="493"/>
      <c r="K129" s="199"/>
      <c r="L129" s="491"/>
      <c r="M129" s="492">
        <v>1</v>
      </c>
      <c r="N129" s="492"/>
      <c r="O129" s="492">
        <v>1</v>
      </c>
      <c r="P129" s="493"/>
      <c r="Q129" s="493"/>
      <c r="R129" s="493"/>
      <c r="S129" s="493"/>
      <c r="T129" s="199"/>
      <c r="U129" s="491">
        <v>1</v>
      </c>
      <c r="V129" s="492">
        <v>1</v>
      </c>
      <c r="W129" s="492"/>
      <c r="X129" s="492"/>
      <c r="Y129" s="493">
        <v>3</v>
      </c>
      <c r="Z129" s="493"/>
      <c r="AA129" s="493">
        <v>1</v>
      </c>
      <c r="AB129" s="493"/>
      <c r="AC129" s="199"/>
      <c r="AD129" s="491">
        <v>118</v>
      </c>
      <c r="AE129" s="492">
        <v>81</v>
      </c>
      <c r="AF129" s="492">
        <v>94</v>
      </c>
      <c r="AG129" s="492">
        <v>78</v>
      </c>
      <c r="AH129" s="493">
        <v>87</v>
      </c>
      <c r="AI129" s="493">
        <v>72</v>
      </c>
      <c r="AJ129" s="493">
        <v>86</v>
      </c>
      <c r="AK129" s="493">
        <v>44</v>
      </c>
      <c r="AL129" s="199"/>
      <c r="AM129" s="491">
        <v>48</v>
      </c>
      <c r="AN129" s="492">
        <v>22</v>
      </c>
      <c r="AO129" s="492">
        <v>37</v>
      </c>
      <c r="AP129" s="492">
        <v>39</v>
      </c>
      <c r="AQ129" s="493">
        <v>34</v>
      </c>
      <c r="AR129" s="493">
        <v>25</v>
      </c>
      <c r="AS129" s="493">
        <v>38</v>
      </c>
      <c r="AT129" s="493">
        <v>21</v>
      </c>
      <c r="AU129" s="199"/>
      <c r="AV129" s="491">
        <v>1</v>
      </c>
      <c r="AW129" s="492"/>
      <c r="AX129" s="492"/>
      <c r="AY129" s="492"/>
      <c r="AZ129" s="493"/>
      <c r="BA129" s="493"/>
      <c r="BB129" s="493"/>
      <c r="BC129" s="493"/>
      <c r="BD129" s="199"/>
      <c r="BE129" s="491">
        <v>20</v>
      </c>
      <c r="BF129" s="492">
        <v>25</v>
      </c>
      <c r="BG129" s="492">
        <v>14</v>
      </c>
      <c r="BH129" s="492">
        <v>15</v>
      </c>
      <c r="BI129" s="493">
        <v>16</v>
      </c>
      <c r="BJ129" s="493">
        <v>8</v>
      </c>
      <c r="BK129" s="493">
        <v>11</v>
      </c>
      <c r="BL129" s="493">
        <v>5</v>
      </c>
      <c r="BM129" s="199"/>
      <c r="BN129" s="491"/>
      <c r="BO129" s="492"/>
      <c r="BP129" s="492">
        <v>1</v>
      </c>
      <c r="BQ129" s="492">
        <v>1</v>
      </c>
      <c r="BR129" s="493"/>
      <c r="BS129" s="493"/>
      <c r="BT129" s="493"/>
      <c r="BU129" s="493"/>
      <c r="BV129" s="199"/>
      <c r="BW129" s="491">
        <v>71</v>
      </c>
      <c r="BX129" s="492">
        <v>98</v>
      </c>
      <c r="BY129" s="492">
        <v>79</v>
      </c>
      <c r="BZ129" s="492">
        <v>60</v>
      </c>
      <c r="CA129" s="493">
        <v>75</v>
      </c>
      <c r="CB129" s="493">
        <v>59</v>
      </c>
      <c r="CC129" s="493">
        <v>39</v>
      </c>
      <c r="CD129" s="493">
        <v>26</v>
      </c>
      <c r="CE129" s="199"/>
      <c r="CF129" s="491">
        <v>7</v>
      </c>
      <c r="CG129" s="492">
        <v>7</v>
      </c>
      <c r="CH129" s="492">
        <v>7</v>
      </c>
      <c r="CI129" s="492">
        <v>3</v>
      </c>
      <c r="CJ129" s="493">
        <v>7</v>
      </c>
      <c r="CK129" s="493">
        <v>2</v>
      </c>
      <c r="CL129" s="493">
        <v>3</v>
      </c>
      <c r="CM129" s="493">
        <v>1</v>
      </c>
      <c r="CN129" s="199"/>
      <c r="CO129" s="491">
        <v>1</v>
      </c>
      <c r="CP129" s="492"/>
      <c r="CQ129" s="492"/>
      <c r="CR129" s="492"/>
      <c r="CS129" s="493"/>
      <c r="CT129" s="493"/>
      <c r="CU129" s="493"/>
      <c r="CV129" s="493">
        <v>1</v>
      </c>
      <c r="CW129" s="199"/>
      <c r="CX129" s="491">
        <v>789</v>
      </c>
      <c r="CY129" s="492">
        <v>795</v>
      </c>
      <c r="CZ129" s="492">
        <v>746</v>
      </c>
      <c r="DA129" s="492">
        <v>662</v>
      </c>
      <c r="DB129" s="493">
        <v>550</v>
      </c>
      <c r="DC129" s="493">
        <v>419</v>
      </c>
      <c r="DD129" s="493">
        <v>163</v>
      </c>
      <c r="DE129" s="493">
        <v>191</v>
      </c>
      <c r="DF129" s="199"/>
      <c r="DG129" s="491"/>
      <c r="DH129" s="492"/>
      <c r="DI129" s="492">
        <v>3</v>
      </c>
      <c r="DJ129" s="492">
        <v>2</v>
      </c>
      <c r="DK129" s="493"/>
      <c r="DL129" s="493"/>
      <c r="DM129" s="493"/>
      <c r="DN129" s="493"/>
      <c r="DO129" s="199"/>
      <c r="DP129" s="491">
        <v>18</v>
      </c>
      <c r="DQ129" s="492">
        <v>18</v>
      </c>
      <c r="DR129" s="492">
        <v>11</v>
      </c>
      <c r="DS129" s="492">
        <v>25</v>
      </c>
      <c r="DT129" s="493">
        <v>15</v>
      </c>
      <c r="DU129" s="493">
        <v>10</v>
      </c>
      <c r="DV129" s="493">
        <v>3</v>
      </c>
      <c r="DW129" s="493">
        <v>8</v>
      </c>
      <c r="DX129" s="199"/>
      <c r="DY129" s="491">
        <v>106</v>
      </c>
      <c r="DZ129" s="492">
        <v>82</v>
      </c>
      <c r="EA129" s="492">
        <v>67</v>
      </c>
      <c r="EB129" s="492">
        <v>92</v>
      </c>
      <c r="EC129" s="493">
        <v>127</v>
      </c>
      <c r="ED129" s="493">
        <v>85</v>
      </c>
      <c r="EE129" s="493">
        <v>39</v>
      </c>
      <c r="EF129" s="493">
        <v>46</v>
      </c>
      <c r="EG129" s="199"/>
      <c r="EH129" s="491">
        <v>7</v>
      </c>
      <c r="EI129" s="492">
        <v>12</v>
      </c>
      <c r="EJ129" s="492">
        <v>7</v>
      </c>
      <c r="EK129" s="492">
        <v>1</v>
      </c>
      <c r="EL129" s="493">
        <v>6</v>
      </c>
      <c r="EM129" s="493">
        <v>1</v>
      </c>
      <c r="EN129" s="493">
        <v>1</v>
      </c>
      <c r="EO129" s="493"/>
      <c r="EP129" s="199"/>
      <c r="EQ129" s="491">
        <v>1</v>
      </c>
      <c r="ER129" s="492">
        <v>1</v>
      </c>
      <c r="ES129" s="492">
        <v>2</v>
      </c>
      <c r="ET129" s="492">
        <v>2</v>
      </c>
      <c r="EU129" s="493">
        <v>3</v>
      </c>
      <c r="EV129" s="493">
        <v>5</v>
      </c>
      <c r="EW129" s="493">
        <v>1</v>
      </c>
      <c r="EX129" s="493">
        <v>5</v>
      </c>
      <c r="EY129" s="199"/>
      <c r="EZ129" s="491">
        <v>2</v>
      </c>
      <c r="FA129" s="492">
        <v>4</v>
      </c>
      <c r="FB129" s="492">
        <v>2</v>
      </c>
      <c r="FC129" s="492">
        <v>1</v>
      </c>
      <c r="FD129" s="493">
        <v>1</v>
      </c>
      <c r="FE129" s="493"/>
      <c r="FF129" s="493"/>
      <c r="FG129" s="493">
        <v>1</v>
      </c>
      <c r="FH129" s="199"/>
      <c r="FI129" s="491">
        <v>70</v>
      </c>
      <c r="FJ129" s="492">
        <v>63</v>
      </c>
      <c r="FK129" s="492">
        <v>37</v>
      </c>
      <c r="FL129" s="492">
        <v>34</v>
      </c>
      <c r="FM129" s="493">
        <v>24</v>
      </c>
      <c r="FN129" s="493">
        <v>17</v>
      </c>
      <c r="FO129" s="493">
        <v>10</v>
      </c>
      <c r="FP129" s="493">
        <v>15</v>
      </c>
      <c r="FQ129" s="199"/>
      <c r="FR129" s="491">
        <v>3</v>
      </c>
      <c r="FS129" s="492">
        <v>5</v>
      </c>
      <c r="FT129" s="492">
        <v>2</v>
      </c>
      <c r="FU129" s="492">
        <v>2</v>
      </c>
      <c r="FV129" s="493">
        <v>2</v>
      </c>
      <c r="FW129" s="493">
        <v>4</v>
      </c>
      <c r="FX129" s="493">
        <v>3</v>
      </c>
      <c r="FY129" s="493">
        <v>3</v>
      </c>
      <c r="FZ129" s="199"/>
      <c r="GA129" s="491">
        <v>6</v>
      </c>
      <c r="GB129" s="492">
        <v>2</v>
      </c>
      <c r="GC129" s="492">
        <v>6</v>
      </c>
      <c r="GD129" s="492">
        <v>2</v>
      </c>
      <c r="GE129" s="493"/>
      <c r="GF129" s="493">
        <v>8</v>
      </c>
      <c r="GG129" s="493">
        <v>4</v>
      </c>
      <c r="GH129" s="493">
        <v>3</v>
      </c>
      <c r="GI129" s="199"/>
      <c r="GJ129" s="491">
        <v>1097</v>
      </c>
      <c r="GK129" s="492">
        <v>1095</v>
      </c>
      <c r="GL129" s="492">
        <v>997</v>
      </c>
      <c r="GM129" s="492">
        <v>862</v>
      </c>
      <c r="GN129" s="493">
        <v>774</v>
      </c>
      <c r="GO129" s="493">
        <v>595</v>
      </c>
      <c r="GP129" s="493">
        <v>322</v>
      </c>
      <c r="GQ129" s="493">
        <v>295</v>
      </c>
      <c r="GR129" s="199"/>
      <c r="GS129" s="491">
        <v>332</v>
      </c>
      <c r="GT129" s="492">
        <v>386</v>
      </c>
      <c r="GU129" s="492">
        <v>332</v>
      </c>
      <c r="GV129" s="492">
        <v>225</v>
      </c>
      <c r="GW129" s="493">
        <v>133</v>
      </c>
      <c r="GX129" s="493">
        <v>88</v>
      </c>
      <c r="GY129" s="493">
        <v>63</v>
      </c>
      <c r="GZ129" s="493">
        <v>60</v>
      </c>
      <c r="HA129" s="199"/>
      <c r="HB129" s="491">
        <v>5</v>
      </c>
      <c r="HC129" s="492">
        <v>2</v>
      </c>
      <c r="HD129" s="492"/>
      <c r="HE129" s="492">
        <v>2</v>
      </c>
      <c r="HF129" s="493">
        <v>3</v>
      </c>
      <c r="HG129" s="493">
        <v>5</v>
      </c>
      <c r="HH129" s="493">
        <v>1</v>
      </c>
      <c r="HI129" s="493"/>
      <c r="HJ129" s="199"/>
      <c r="HK129" s="491">
        <v>5</v>
      </c>
      <c r="HL129" s="492"/>
      <c r="HM129" s="492">
        <v>1</v>
      </c>
      <c r="HN129" s="492">
        <v>1</v>
      </c>
      <c r="HO129" s="493">
        <v>2</v>
      </c>
      <c r="HP129" s="493"/>
      <c r="HQ129" s="493"/>
      <c r="HR129" s="493"/>
      <c r="HS129" s="199"/>
      <c r="HT129" s="491">
        <v>454</v>
      </c>
      <c r="HU129" s="492">
        <v>491</v>
      </c>
      <c r="HV129" s="492">
        <v>422</v>
      </c>
      <c r="HW129" s="492">
        <v>312</v>
      </c>
      <c r="HX129" s="493">
        <v>247</v>
      </c>
      <c r="HY129" s="493">
        <v>194</v>
      </c>
      <c r="HZ129" s="493">
        <v>163</v>
      </c>
      <c r="IA129" s="493">
        <v>141</v>
      </c>
      <c r="IB129" s="199"/>
      <c r="IC129" s="491">
        <v>2039</v>
      </c>
      <c r="ID129" s="492">
        <v>1660</v>
      </c>
      <c r="IE129" s="492">
        <v>1568</v>
      </c>
      <c r="IF129" s="492">
        <v>1231</v>
      </c>
      <c r="IG129" s="493">
        <v>1178</v>
      </c>
      <c r="IH129" s="493">
        <v>1165</v>
      </c>
      <c r="II129" s="493">
        <v>624</v>
      </c>
      <c r="IJ129" s="493">
        <v>540</v>
      </c>
      <c r="IK129" s="199"/>
      <c r="IL129" s="491">
        <v>241</v>
      </c>
      <c r="IM129" s="492">
        <v>176</v>
      </c>
      <c r="IN129" s="492">
        <v>220</v>
      </c>
      <c r="IO129" s="492">
        <v>164</v>
      </c>
      <c r="IP129" s="493">
        <v>96</v>
      </c>
      <c r="IQ129" s="493">
        <v>154</v>
      </c>
      <c r="IR129" s="493">
        <v>58</v>
      </c>
      <c r="IS129" s="493">
        <v>71</v>
      </c>
      <c r="IT129" s="199"/>
      <c r="IU129" s="533">
        <v>4693.7225201998108</v>
      </c>
      <c r="IV129" s="534">
        <v>3886.7685967828797</v>
      </c>
      <c r="IW129" s="534">
        <v>3715.3756841930667</v>
      </c>
      <c r="IX129" s="534">
        <v>2868.9957349616611</v>
      </c>
      <c r="IY129" s="535">
        <v>2783.6854293681176</v>
      </c>
      <c r="IZ129" s="535">
        <v>2779.1693504138934</v>
      </c>
      <c r="JA129" s="535">
        <v>1504.3031749475665</v>
      </c>
      <c r="JB129" s="535">
        <v>1318.1019332161688</v>
      </c>
      <c r="JC129" s="536"/>
      <c r="JD129" s="537">
        <v>1045.0956469694529</v>
      </c>
      <c r="JE129" s="538">
        <v>1149.6405909761409</v>
      </c>
      <c r="JF129" s="538">
        <v>999.92891500604219</v>
      </c>
      <c r="JG129" s="538">
        <v>727.1540774232642</v>
      </c>
      <c r="JH129" s="538">
        <v>583.67597712557301</v>
      </c>
      <c r="JI129" s="539">
        <v>462.79729955390155</v>
      </c>
      <c r="JJ129" s="539">
        <v>392.95098960970085</v>
      </c>
      <c r="JK129" s="539">
        <v>344.1710603397774</v>
      </c>
      <c r="JL129" s="536"/>
      <c r="JM129" s="537">
        <v>2525.2641513777307</v>
      </c>
      <c r="JN129" s="538">
        <v>2563.8624177573811</v>
      </c>
      <c r="JO129" s="538">
        <v>2362.3912991967395</v>
      </c>
      <c r="JP129" s="538">
        <v>2008.9962010860697</v>
      </c>
      <c r="JQ129" s="538">
        <v>1829.0089323692043</v>
      </c>
      <c r="JR129" s="539">
        <v>1419.4040888379968</v>
      </c>
      <c r="JS129" s="539">
        <v>776.25901014922488</v>
      </c>
      <c r="JT129" s="539">
        <v>720.07420425698115</v>
      </c>
      <c r="JU129" s="536"/>
      <c r="JV129" s="537">
        <v>764.25496650629589</v>
      </c>
      <c r="JW129" s="538">
        <v>903.79077009529601</v>
      </c>
      <c r="JX129" s="538">
        <v>786.67393313271555</v>
      </c>
      <c r="JY129" s="538">
        <v>524.38995968023869</v>
      </c>
      <c r="JZ129" s="538">
        <v>314.28706460607782</v>
      </c>
      <c r="KA129" s="539">
        <v>209.92867196259454</v>
      </c>
      <c r="KB129" s="539">
        <v>151.87676285528315</v>
      </c>
      <c r="KC129" s="539">
        <v>146.45577035735209</v>
      </c>
      <c r="KD129" s="536"/>
    </row>
    <row r="130" spans="1:290" ht="15" customHeight="1" thickBot="1" x14ac:dyDescent="0.25">
      <c r="A130" s="930"/>
      <c r="B130" s="494" t="s">
        <v>734</v>
      </c>
      <c r="C130" s="495"/>
      <c r="D130" s="496"/>
      <c r="E130" s="496"/>
      <c r="F130" s="496"/>
      <c r="G130" s="497"/>
      <c r="H130" s="497"/>
      <c r="I130" s="497"/>
      <c r="J130" s="497"/>
      <c r="K130" s="199"/>
      <c r="L130" s="495"/>
      <c r="M130" s="496"/>
      <c r="N130" s="496"/>
      <c r="O130" s="496"/>
      <c r="P130" s="497"/>
      <c r="Q130" s="497"/>
      <c r="R130" s="497"/>
      <c r="S130" s="497"/>
      <c r="T130" s="199"/>
      <c r="U130" s="495"/>
      <c r="V130" s="496"/>
      <c r="W130" s="496"/>
      <c r="X130" s="496"/>
      <c r="Y130" s="497"/>
      <c r="Z130" s="497"/>
      <c r="AA130" s="497"/>
      <c r="AB130" s="497"/>
      <c r="AC130" s="199"/>
      <c r="AD130" s="495"/>
      <c r="AE130" s="496"/>
      <c r="AF130" s="496"/>
      <c r="AG130" s="496"/>
      <c r="AH130" s="497"/>
      <c r="AI130" s="497"/>
      <c r="AJ130" s="497"/>
      <c r="AK130" s="497"/>
      <c r="AL130" s="199"/>
      <c r="AM130" s="495"/>
      <c r="AN130" s="496"/>
      <c r="AO130" s="496"/>
      <c r="AP130" s="496"/>
      <c r="AQ130" s="497"/>
      <c r="AR130" s="497"/>
      <c r="AS130" s="497"/>
      <c r="AT130" s="497"/>
      <c r="AU130" s="199"/>
      <c r="AV130" s="495"/>
      <c r="AW130" s="496"/>
      <c r="AX130" s="496"/>
      <c r="AY130" s="496"/>
      <c r="AZ130" s="497"/>
      <c r="BA130" s="497"/>
      <c r="BB130" s="497"/>
      <c r="BC130" s="497"/>
      <c r="BD130" s="199"/>
      <c r="BE130" s="495"/>
      <c r="BF130" s="496"/>
      <c r="BG130" s="496"/>
      <c r="BH130" s="496"/>
      <c r="BI130" s="497"/>
      <c r="BJ130" s="497"/>
      <c r="BK130" s="497"/>
      <c r="BL130" s="497"/>
      <c r="BM130" s="199"/>
      <c r="BN130" s="495"/>
      <c r="BO130" s="496"/>
      <c r="BP130" s="496"/>
      <c r="BQ130" s="496"/>
      <c r="BR130" s="497"/>
      <c r="BS130" s="497"/>
      <c r="BT130" s="497"/>
      <c r="BU130" s="497"/>
      <c r="BV130" s="199"/>
      <c r="BW130" s="495"/>
      <c r="BX130" s="496"/>
      <c r="BY130" s="496"/>
      <c r="BZ130" s="496"/>
      <c r="CA130" s="497"/>
      <c r="CB130" s="497"/>
      <c r="CC130" s="497"/>
      <c r="CD130" s="497"/>
      <c r="CE130" s="199"/>
      <c r="CF130" s="495"/>
      <c r="CG130" s="496"/>
      <c r="CH130" s="496"/>
      <c r="CI130" s="496"/>
      <c r="CJ130" s="497"/>
      <c r="CK130" s="497"/>
      <c r="CL130" s="497"/>
      <c r="CM130" s="497"/>
      <c r="CN130" s="199"/>
      <c r="CO130" s="495"/>
      <c r="CP130" s="496"/>
      <c r="CQ130" s="496"/>
      <c r="CR130" s="496"/>
      <c r="CS130" s="497"/>
      <c r="CT130" s="497"/>
      <c r="CU130" s="497"/>
      <c r="CV130" s="497"/>
      <c r="CW130" s="199"/>
      <c r="CX130" s="495"/>
      <c r="CY130" s="496"/>
      <c r="CZ130" s="496"/>
      <c r="DA130" s="496">
        <v>17</v>
      </c>
      <c r="DB130" s="497"/>
      <c r="DC130" s="497">
        <v>1</v>
      </c>
      <c r="DD130" s="497">
        <v>1</v>
      </c>
      <c r="DE130" s="497"/>
      <c r="DF130" s="199"/>
      <c r="DG130" s="495"/>
      <c r="DH130" s="496"/>
      <c r="DI130" s="496"/>
      <c r="DJ130" s="496"/>
      <c r="DK130" s="497"/>
      <c r="DL130" s="497"/>
      <c r="DM130" s="497"/>
      <c r="DN130" s="497"/>
      <c r="DO130" s="199"/>
      <c r="DP130" s="495"/>
      <c r="DQ130" s="496"/>
      <c r="DR130" s="496"/>
      <c r="DS130" s="496"/>
      <c r="DT130" s="497"/>
      <c r="DU130" s="497"/>
      <c r="DV130" s="497"/>
      <c r="DW130" s="497"/>
      <c r="DX130" s="199"/>
      <c r="DY130" s="495"/>
      <c r="DZ130" s="496"/>
      <c r="EA130" s="496"/>
      <c r="EB130" s="496">
        <v>4</v>
      </c>
      <c r="EC130" s="497"/>
      <c r="ED130" s="497">
        <v>1</v>
      </c>
      <c r="EE130" s="497"/>
      <c r="EF130" s="497"/>
      <c r="EG130" s="199"/>
      <c r="EH130" s="495"/>
      <c r="EI130" s="496"/>
      <c r="EJ130" s="496"/>
      <c r="EK130" s="496"/>
      <c r="EL130" s="497"/>
      <c r="EM130" s="497"/>
      <c r="EN130" s="497"/>
      <c r="EO130" s="497"/>
      <c r="EP130" s="199"/>
      <c r="EQ130" s="495"/>
      <c r="ER130" s="496"/>
      <c r="ES130" s="496"/>
      <c r="ET130" s="496"/>
      <c r="EU130" s="497"/>
      <c r="EV130" s="497"/>
      <c r="EW130" s="497"/>
      <c r="EX130" s="497"/>
      <c r="EY130" s="199"/>
      <c r="EZ130" s="495"/>
      <c r="FA130" s="496"/>
      <c r="FB130" s="496"/>
      <c r="FC130" s="496"/>
      <c r="FD130" s="497"/>
      <c r="FE130" s="497"/>
      <c r="FF130" s="497"/>
      <c r="FG130" s="497"/>
      <c r="FH130" s="199"/>
      <c r="FI130" s="495"/>
      <c r="FJ130" s="496"/>
      <c r="FK130" s="496"/>
      <c r="FL130" s="496"/>
      <c r="FM130" s="497"/>
      <c r="FN130" s="497"/>
      <c r="FO130" s="497"/>
      <c r="FP130" s="497"/>
      <c r="FQ130" s="199"/>
      <c r="FR130" s="495"/>
      <c r="FS130" s="496"/>
      <c r="FT130" s="496"/>
      <c r="FU130" s="496"/>
      <c r="FV130" s="497"/>
      <c r="FW130" s="497"/>
      <c r="FX130" s="497"/>
      <c r="FY130" s="497"/>
      <c r="FZ130" s="199"/>
      <c r="GA130" s="495"/>
      <c r="GB130" s="496"/>
      <c r="GC130" s="496"/>
      <c r="GD130" s="496"/>
      <c r="GE130" s="497"/>
      <c r="GF130" s="497"/>
      <c r="GG130" s="497"/>
      <c r="GH130" s="497"/>
      <c r="GI130" s="199"/>
      <c r="GJ130" s="495"/>
      <c r="GK130" s="496"/>
      <c r="GL130" s="496"/>
      <c r="GM130" s="496">
        <v>17</v>
      </c>
      <c r="GN130" s="497"/>
      <c r="GO130" s="497">
        <v>1</v>
      </c>
      <c r="GP130" s="497">
        <v>1</v>
      </c>
      <c r="GQ130" s="497"/>
      <c r="GR130" s="199"/>
      <c r="GS130" s="495"/>
      <c r="GT130" s="496"/>
      <c r="GU130" s="496"/>
      <c r="GV130" s="496">
        <v>1</v>
      </c>
      <c r="GW130" s="497"/>
      <c r="GX130" s="497"/>
      <c r="GY130" s="497"/>
      <c r="GZ130" s="497"/>
      <c r="HA130" s="199"/>
      <c r="HB130" s="495"/>
      <c r="HC130" s="496"/>
      <c r="HD130" s="496"/>
      <c r="HE130" s="496"/>
      <c r="HF130" s="497"/>
      <c r="HG130" s="497"/>
      <c r="HH130" s="497"/>
      <c r="HI130" s="497"/>
      <c r="HJ130" s="199"/>
      <c r="HK130" s="495"/>
      <c r="HL130" s="496"/>
      <c r="HM130" s="496"/>
      <c r="HN130" s="496"/>
      <c r="HO130" s="497"/>
      <c r="HP130" s="497"/>
      <c r="HQ130" s="497"/>
      <c r="HR130" s="497"/>
      <c r="HS130" s="199"/>
      <c r="HT130" s="495"/>
      <c r="HU130" s="496"/>
      <c r="HV130" s="496"/>
      <c r="HW130" s="496">
        <v>2</v>
      </c>
      <c r="HX130" s="497"/>
      <c r="HY130" s="497"/>
      <c r="HZ130" s="497"/>
      <c r="IA130" s="497"/>
      <c r="IB130" s="199"/>
      <c r="IC130" s="495"/>
      <c r="ID130" s="496"/>
      <c r="IE130" s="496"/>
      <c r="IF130" s="496">
        <v>20</v>
      </c>
      <c r="IG130" s="497">
        <v>1</v>
      </c>
      <c r="IH130" s="497">
        <v>4</v>
      </c>
      <c r="II130" s="497">
        <v>5</v>
      </c>
      <c r="IJ130" s="497">
        <v>1</v>
      </c>
      <c r="IK130" s="199"/>
      <c r="IL130" s="495"/>
      <c r="IM130" s="496"/>
      <c r="IN130" s="496"/>
      <c r="IO130" s="496">
        <v>16</v>
      </c>
      <c r="IP130" s="497"/>
      <c r="IQ130" s="497">
        <v>1</v>
      </c>
      <c r="IR130" s="497"/>
      <c r="IS130" s="497"/>
      <c r="IT130" s="199"/>
      <c r="IU130" s="540">
        <v>0</v>
      </c>
      <c r="IV130" s="541">
        <v>0</v>
      </c>
      <c r="IW130" s="541">
        <v>0</v>
      </c>
      <c r="IX130" s="541">
        <v>30.985173594435064</v>
      </c>
      <c r="IY130" s="542">
        <v>1.5574140696787055</v>
      </c>
      <c r="IZ130" s="542">
        <v>4117.9970563367051</v>
      </c>
      <c r="JA130" s="542">
        <v>7.8694304106268786</v>
      </c>
      <c r="JB130" s="542">
        <v>1.5710919088766693</v>
      </c>
      <c r="JC130" s="536"/>
      <c r="JD130" s="537">
        <v>0</v>
      </c>
      <c r="JE130" s="538">
        <v>0</v>
      </c>
      <c r="JF130" s="538">
        <v>0</v>
      </c>
      <c r="JG130" s="538">
        <v>3.0985173594435058</v>
      </c>
      <c r="JH130" s="538">
        <v>0</v>
      </c>
      <c r="JI130" s="539">
        <v>676.41624651614325</v>
      </c>
      <c r="JJ130" s="539">
        <v>0</v>
      </c>
      <c r="JK130" s="539">
        <v>0</v>
      </c>
      <c r="JL130" s="536"/>
      <c r="JM130" s="537">
        <v>0</v>
      </c>
      <c r="JN130" s="538">
        <v>0</v>
      </c>
      <c r="JO130" s="538">
        <v>0</v>
      </c>
      <c r="JP130" s="538">
        <v>26.337397555269806</v>
      </c>
      <c r="JQ130" s="538">
        <v>0</v>
      </c>
      <c r="JR130" s="539">
        <v>2738.5463313813298</v>
      </c>
      <c r="JS130" s="539">
        <v>1.5738860821253757</v>
      </c>
      <c r="JT130" s="539">
        <v>0</v>
      </c>
      <c r="JU130" s="536"/>
      <c r="JV130" s="537">
        <v>0</v>
      </c>
      <c r="JW130" s="538">
        <v>0</v>
      </c>
      <c r="JX130" s="538">
        <v>0</v>
      </c>
      <c r="JY130" s="538">
        <v>1.5492586797217529</v>
      </c>
      <c r="JZ130" s="538">
        <v>0</v>
      </c>
      <c r="KA130" s="539">
        <v>314.72144803181664</v>
      </c>
      <c r="KB130" s="539">
        <v>0</v>
      </c>
      <c r="KC130" s="539">
        <v>0</v>
      </c>
      <c r="KD130" s="536"/>
    </row>
    <row r="131" spans="1:290" ht="15" customHeight="1" thickBot="1" x14ac:dyDescent="0.25">
      <c r="A131" s="931"/>
      <c r="B131" s="508" t="s">
        <v>789</v>
      </c>
      <c r="C131" s="500">
        <v>11</v>
      </c>
      <c r="D131" s="501">
        <v>8</v>
      </c>
      <c r="E131" s="501">
        <v>10</v>
      </c>
      <c r="F131" s="501">
        <v>12</v>
      </c>
      <c r="G131" s="502">
        <v>12</v>
      </c>
      <c r="H131" s="502">
        <v>7</v>
      </c>
      <c r="I131" s="502">
        <v>11</v>
      </c>
      <c r="J131" s="502">
        <v>3</v>
      </c>
      <c r="K131" s="503"/>
      <c r="L131" s="500">
        <v>5</v>
      </c>
      <c r="M131" s="501">
        <v>2</v>
      </c>
      <c r="N131" s="501">
        <v>7</v>
      </c>
      <c r="O131" s="501">
        <v>5</v>
      </c>
      <c r="P131" s="502">
        <v>7</v>
      </c>
      <c r="Q131" s="502">
        <v>4</v>
      </c>
      <c r="R131" s="502">
        <v>7</v>
      </c>
      <c r="S131" s="502">
        <v>2</v>
      </c>
      <c r="T131" s="503"/>
      <c r="U131" s="500">
        <v>3</v>
      </c>
      <c r="V131" s="501">
        <v>4</v>
      </c>
      <c r="W131" s="501">
        <v>3</v>
      </c>
      <c r="X131" s="501">
        <v>3</v>
      </c>
      <c r="Y131" s="502">
        <v>5</v>
      </c>
      <c r="Z131" s="502">
        <v>3</v>
      </c>
      <c r="AA131" s="502">
        <v>3</v>
      </c>
      <c r="AB131" s="502">
        <v>1</v>
      </c>
      <c r="AC131" s="503"/>
      <c r="AD131" s="500">
        <v>532</v>
      </c>
      <c r="AE131" s="501">
        <v>435</v>
      </c>
      <c r="AF131" s="501">
        <v>474</v>
      </c>
      <c r="AG131" s="501">
        <v>479</v>
      </c>
      <c r="AH131" s="502">
        <v>487</v>
      </c>
      <c r="AI131" s="502">
        <v>398</v>
      </c>
      <c r="AJ131" s="502">
        <v>457</v>
      </c>
      <c r="AK131" s="502">
        <v>392</v>
      </c>
      <c r="AL131" s="503"/>
      <c r="AM131" s="500">
        <v>287</v>
      </c>
      <c r="AN131" s="501">
        <v>228</v>
      </c>
      <c r="AO131" s="501">
        <v>239</v>
      </c>
      <c r="AP131" s="501">
        <v>261</v>
      </c>
      <c r="AQ131" s="502">
        <v>221</v>
      </c>
      <c r="AR131" s="502">
        <v>166</v>
      </c>
      <c r="AS131" s="502">
        <v>188</v>
      </c>
      <c r="AT131" s="502">
        <v>142</v>
      </c>
      <c r="AU131" s="503"/>
      <c r="AV131" s="500">
        <v>2</v>
      </c>
      <c r="AW131" s="501">
        <v>1</v>
      </c>
      <c r="AX131" s="501"/>
      <c r="AY131" s="501">
        <v>1</v>
      </c>
      <c r="AZ131" s="502"/>
      <c r="BA131" s="502"/>
      <c r="BB131" s="502">
        <v>1</v>
      </c>
      <c r="BC131" s="502"/>
      <c r="BD131" s="503"/>
      <c r="BE131" s="500">
        <v>55</v>
      </c>
      <c r="BF131" s="501">
        <v>96</v>
      </c>
      <c r="BG131" s="501">
        <v>50</v>
      </c>
      <c r="BH131" s="501">
        <v>63</v>
      </c>
      <c r="BI131" s="502">
        <v>53</v>
      </c>
      <c r="BJ131" s="502">
        <v>44</v>
      </c>
      <c r="BK131" s="502">
        <v>70</v>
      </c>
      <c r="BL131" s="502">
        <v>29</v>
      </c>
      <c r="BM131" s="503"/>
      <c r="BN131" s="500"/>
      <c r="BO131" s="501">
        <v>1</v>
      </c>
      <c r="BP131" s="501">
        <v>1</v>
      </c>
      <c r="BQ131" s="501">
        <v>1</v>
      </c>
      <c r="BR131" s="502"/>
      <c r="BS131" s="502">
        <v>1</v>
      </c>
      <c r="BT131" s="502">
        <v>2</v>
      </c>
      <c r="BU131" s="502">
        <v>2</v>
      </c>
      <c r="BV131" s="503"/>
      <c r="BW131" s="500">
        <v>232</v>
      </c>
      <c r="BX131" s="501">
        <v>315</v>
      </c>
      <c r="BY131" s="501">
        <v>368</v>
      </c>
      <c r="BZ131" s="501">
        <v>385</v>
      </c>
      <c r="CA131" s="502">
        <v>398</v>
      </c>
      <c r="CB131" s="502">
        <v>265</v>
      </c>
      <c r="CC131" s="502">
        <v>294</v>
      </c>
      <c r="CD131" s="502">
        <v>249</v>
      </c>
      <c r="CE131" s="503"/>
      <c r="CF131" s="500">
        <v>35</v>
      </c>
      <c r="CG131" s="501">
        <v>23</v>
      </c>
      <c r="CH131" s="501">
        <v>29</v>
      </c>
      <c r="CI131" s="501">
        <v>18</v>
      </c>
      <c r="CJ131" s="502">
        <v>14</v>
      </c>
      <c r="CK131" s="502">
        <v>15</v>
      </c>
      <c r="CL131" s="502">
        <v>15</v>
      </c>
      <c r="CM131" s="502">
        <v>14</v>
      </c>
      <c r="CN131" s="503"/>
      <c r="CO131" s="500">
        <v>8</v>
      </c>
      <c r="CP131" s="501">
        <v>7</v>
      </c>
      <c r="CQ131" s="501">
        <v>3</v>
      </c>
      <c r="CR131" s="501">
        <v>9</v>
      </c>
      <c r="CS131" s="502">
        <v>7</v>
      </c>
      <c r="CT131" s="502">
        <v>8</v>
      </c>
      <c r="CU131" s="502">
        <v>17</v>
      </c>
      <c r="CV131" s="502">
        <v>21</v>
      </c>
      <c r="CW131" s="503"/>
      <c r="CX131" s="500">
        <v>8189</v>
      </c>
      <c r="CY131" s="501">
        <v>8238</v>
      </c>
      <c r="CZ131" s="501">
        <v>8025</v>
      </c>
      <c r="DA131" s="501">
        <v>8139</v>
      </c>
      <c r="DB131" s="502">
        <v>5584</v>
      </c>
      <c r="DC131" s="502">
        <v>4480</v>
      </c>
      <c r="DD131" s="502">
        <v>2815</v>
      </c>
      <c r="DE131" s="502">
        <v>2689</v>
      </c>
      <c r="DF131" s="503"/>
      <c r="DG131" s="500">
        <v>65</v>
      </c>
      <c r="DH131" s="501">
        <v>52</v>
      </c>
      <c r="DI131" s="501">
        <v>81</v>
      </c>
      <c r="DJ131" s="501">
        <v>57</v>
      </c>
      <c r="DK131" s="502">
        <v>25</v>
      </c>
      <c r="DL131" s="502">
        <v>8</v>
      </c>
      <c r="DM131" s="502">
        <v>15</v>
      </c>
      <c r="DN131" s="502">
        <v>20</v>
      </c>
      <c r="DO131" s="503"/>
      <c r="DP131" s="500">
        <v>264</v>
      </c>
      <c r="DQ131" s="501">
        <v>166</v>
      </c>
      <c r="DR131" s="501">
        <v>226</v>
      </c>
      <c r="DS131" s="501">
        <v>265</v>
      </c>
      <c r="DT131" s="502">
        <v>188</v>
      </c>
      <c r="DU131" s="502">
        <v>143</v>
      </c>
      <c r="DV131" s="502">
        <v>56</v>
      </c>
      <c r="DW131" s="502">
        <v>83</v>
      </c>
      <c r="DX131" s="503"/>
      <c r="DY131" s="500">
        <v>1386</v>
      </c>
      <c r="DZ131" s="501">
        <v>1171</v>
      </c>
      <c r="EA131" s="501">
        <v>1197</v>
      </c>
      <c r="EB131" s="501">
        <v>1610</v>
      </c>
      <c r="EC131" s="502">
        <v>1381</v>
      </c>
      <c r="ED131" s="502">
        <v>1029</v>
      </c>
      <c r="EE131" s="502">
        <v>616</v>
      </c>
      <c r="EF131" s="502">
        <v>535</v>
      </c>
      <c r="EG131" s="503"/>
      <c r="EH131" s="500">
        <v>54</v>
      </c>
      <c r="EI131" s="501">
        <v>69</v>
      </c>
      <c r="EJ131" s="501">
        <v>60</v>
      </c>
      <c r="EK131" s="501">
        <v>52</v>
      </c>
      <c r="EL131" s="502">
        <v>44</v>
      </c>
      <c r="EM131" s="502">
        <v>35</v>
      </c>
      <c r="EN131" s="502">
        <v>22</v>
      </c>
      <c r="EO131" s="502">
        <v>12</v>
      </c>
      <c r="EP131" s="503"/>
      <c r="EQ131" s="500">
        <v>14</v>
      </c>
      <c r="ER131" s="501">
        <v>29</v>
      </c>
      <c r="ES131" s="501">
        <v>16</v>
      </c>
      <c r="ET131" s="501">
        <v>41</v>
      </c>
      <c r="EU131" s="502">
        <v>29</v>
      </c>
      <c r="EV131" s="502">
        <v>50</v>
      </c>
      <c r="EW131" s="502">
        <v>37</v>
      </c>
      <c r="EX131" s="502">
        <v>39</v>
      </c>
      <c r="EY131" s="503"/>
      <c r="EZ131" s="500">
        <v>23</v>
      </c>
      <c r="FA131" s="501">
        <v>24</v>
      </c>
      <c r="FB131" s="501">
        <v>42</v>
      </c>
      <c r="FC131" s="501">
        <v>17</v>
      </c>
      <c r="FD131" s="502">
        <v>4</v>
      </c>
      <c r="FE131" s="502">
        <v>9</v>
      </c>
      <c r="FF131" s="502">
        <v>11</v>
      </c>
      <c r="FG131" s="502">
        <v>5</v>
      </c>
      <c r="FH131" s="503"/>
      <c r="FI131" s="500">
        <v>551</v>
      </c>
      <c r="FJ131" s="501">
        <v>454</v>
      </c>
      <c r="FK131" s="501">
        <v>358</v>
      </c>
      <c r="FL131" s="501">
        <v>273</v>
      </c>
      <c r="FM131" s="502">
        <v>204</v>
      </c>
      <c r="FN131" s="502">
        <v>228</v>
      </c>
      <c r="FO131" s="502">
        <v>143</v>
      </c>
      <c r="FP131" s="502">
        <v>159</v>
      </c>
      <c r="FQ131" s="503"/>
      <c r="FR131" s="500">
        <v>30</v>
      </c>
      <c r="FS131" s="501">
        <v>34</v>
      </c>
      <c r="FT131" s="501">
        <v>24</v>
      </c>
      <c r="FU131" s="501">
        <v>17</v>
      </c>
      <c r="FV131" s="502">
        <v>19</v>
      </c>
      <c r="FW131" s="502">
        <v>13</v>
      </c>
      <c r="FX131" s="502">
        <v>13</v>
      </c>
      <c r="FY131" s="502">
        <v>9</v>
      </c>
      <c r="FZ131" s="503"/>
      <c r="GA131" s="500">
        <v>33</v>
      </c>
      <c r="GB131" s="501">
        <v>24</v>
      </c>
      <c r="GC131" s="501">
        <v>19</v>
      </c>
      <c r="GD131" s="501">
        <v>21</v>
      </c>
      <c r="GE131" s="502">
        <v>18</v>
      </c>
      <c r="GF131" s="502">
        <v>33</v>
      </c>
      <c r="GG131" s="502">
        <v>30</v>
      </c>
      <c r="GH131" s="502">
        <v>27</v>
      </c>
      <c r="GI131" s="503"/>
      <c r="GJ131" s="500">
        <v>9767</v>
      </c>
      <c r="GK131" s="501">
        <v>9757</v>
      </c>
      <c r="GL131" s="501">
        <v>9479</v>
      </c>
      <c r="GM131" s="501">
        <v>9527</v>
      </c>
      <c r="GN131" s="502">
        <v>6873</v>
      </c>
      <c r="GO131" s="502">
        <v>5586</v>
      </c>
      <c r="GP131" s="502">
        <v>3937</v>
      </c>
      <c r="GQ131" s="502">
        <v>3650</v>
      </c>
      <c r="GR131" s="503"/>
      <c r="GS131" s="500">
        <v>2734</v>
      </c>
      <c r="GT131" s="501">
        <v>2706</v>
      </c>
      <c r="GU131" s="501">
        <v>2722</v>
      </c>
      <c r="GV131" s="501">
        <v>2046</v>
      </c>
      <c r="GW131" s="502">
        <v>1086</v>
      </c>
      <c r="GX131" s="502">
        <v>739</v>
      </c>
      <c r="GY131" s="502">
        <v>553</v>
      </c>
      <c r="GZ131" s="502">
        <v>849</v>
      </c>
      <c r="HA131" s="503"/>
      <c r="HB131" s="500">
        <v>21</v>
      </c>
      <c r="HC131" s="501">
        <v>17</v>
      </c>
      <c r="HD131" s="501">
        <v>7</v>
      </c>
      <c r="HE131" s="501">
        <v>25</v>
      </c>
      <c r="HF131" s="502">
        <v>19</v>
      </c>
      <c r="HG131" s="502">
        <v>14</v>
      </c>
      <c r="HH131" s="502">
        <v>13</v>
      </c>
      <c r="HI131" s="502">
        <v>10</v>
      </c>
      <c r="HJ131" s="503"/>
      <c r="HK131" s="500">
        <v>12</v>
      </c>
      <c r="HL131" s="501">
        <v>5</v>
      </c>
      <c r="HM131" s="501">
        <v>11</v>
      </c>
      <c r="HN131" s="501">
        <v>8</v>
      </c>
      <c r="HO131" s="502">
        <v>6</v>
      </c>
      <c r="HP131" s="502">
        <v>5</v>
      </c>
      <c r="HQ131" s="502">
        <v>4</v>
      </c>
      <c r="HR131" s="502">
        <v>4</v>
      </c>
      <c r="HS131" s="503"/>
      <c r="HT131" s="500">
        <v>3499</v>
      </c>
      <c r="HU131" s="501">
        <v>3412</v>
      </c>
      <c r="HV131" s="501">
        <v>3329</v>
      </c>
      <c r="HW131" s="501">
        <v>2732</v>
      </c>
      <c r="HX131" s="502">
        <v>1849</v>
      </c>
      <c r="HY131" s="502">
        <v>1528</v>
      </c>
      <c r="HZ131" s="502">
        <v>1564</v>
      </c>
      <c r="IA131" s="502">
        <v>1774</v>
      </c>
      <c r="IB131" s="503"/>
      <c r="IC131" s="500">
        <v>20808</v>
      </c>
      <c r="ID131" s="501">
        <v>18372</v>
      </c>
      <c r="IE131" s="501">
        <v>18724</v>
      </c>
      <c r="IF131" s="501">
        <v>13151</v>
      </c>
      <c r="IG131" s="502">
        <v>10189</v>
      </c>
      <c r="IH131" s="502">
        <v>10809</v>
      </c>
      <c r="II131" s="502">
        <v>7068</v>
      </c>
      <c r="IJ131" s="502">
        <v>6485</v>
      </c>
      <c r="IK131" s="503"/>
      <c r="IL131" s="500">
        <v>2737</v>
      </c>
      <c r="IM131" s="501">
        <v>2533</v>
      </c>
      <c r="IN131" s="501">
        <v>2788</v>
      </c>
      <c r="IO131" s="501">
        <v>1922</v>
      </c>
      <c r="IP131" s="502">
        <v>1086</v>
      </c>
      <c r="IQ131" s="502">
        <v>1485</v>
      </c>
      <c r="IR131" s="502">
        <v>923</v>
      </c>
      <c r="IS131" s="502">
        <v>884</v>
      </c>
      <c r="IT131" s="503"/>
      <c r="IU131" s="547">
        <v>6490.7760357853631</v>
      </c>
      <c r="IV131" s="548">
        <v>5778.3215441567299</v>
      </c>
      <c r="IW131" s="548">
        <v>5928.1304416653475</v>
      </c>
      <c r="IX131" s="548">
        <v>4134.2865047029827</v>
      </c>
      <c r="IY131" s="549">
        <v>3229.354192550521</v>
      </c>
      <c r="IZ131" s="549">
        <v>3463.4905986849694</v>
      </c>
      <c r="JA131" s="549">
        <v>2286.5276676964886</v>
      </c>
      <c r="JB131" s="549">
        <v>2114.4578706088728</v>
      </c>
      <c r="JC131" s="550"/>
      <c r="JD131" s="551">
        <v>1091.4660394662142</v>
      </c>
      <c r="JE131" s="552">
        <v>1073.1348306478751</v>
      </c>
      <c r="JF131" s="552">
        <v>1053.9813202469527</v>
      </c>
      <c r="JG131" s="552">
        <v>858.86021829887829</v>
      </c>
      <c r="JH131" s="552">
        <v>586.03159309313116</v>
      </c>
      <c r="JI131" s="553">
        <v>489.61177118980788</v>
      </c>
      <c r="JJ131" s="553">
        <v>505.96056483832882</v>
      </c>
      <c r="JK131" s="553">
        <v>578.41916152045337</v>
      </c>
      <c r="JL131" s="550"/>
      <c r="JM131" s="551">
        <v>3046.6844262550771</v>
      </c>
      <c r="JN131" s="552">
        <v>3068.7504521193782</v>
      </c>
      <c r="JO131" s="552">
        <v>3001.1081209434856</v>
      </c>
      <c r="JP131" s="552">
        <v>2995.0077963885115</v>
      </c>
      <c r="JQ131" s="552">
        <v>2178.3640558837697</v>
      </c>
      <c r="JR131" s="553">
        <v>1789.9027184988656</v>
      </c>
      <c r="JS131" s="553">
        <v>1273.63602542743</v>
      </c>
      <c r="JT131" s="553">
        <v>1190.095794560121</v>
      </c>
      <c r="JU131" s="550"/>
      <c r="JV131" s="551">
        <v>852.83456756234057</v>
      </c>
      <c r="JW131" s="552">
        <v>851.08524376704293</v>
      </c>
      <c r="JX131" s="552">
        <v>861.80148804812404</v>
      </c>
      <c r="JY131" s="552">
        <v>643.20205221065339</v>
      </c>
      <c r="JZ131" s="552">
        <v>344.20243920991913</v>
      </c>
      <c r="KA131" s="553">
        <v>236.79522179925917</v>
      </c>
      <c r="KB131" s="553">
        <v>178.89782119923007</v>
      </c>
      <c r="KC131" s="553">
        <v>276.8195423511076</v>
      </c>
      <c r="KD131" s="550"/>
    </row>
    <row r="132" spans="1:290" ht="15" customHeight="1" x14ac:dyDescent="0.2">
      <c r="A132" s="929" t="s">
        <v>557</v>
      </c>
      <c r="B132" s="485" t="s">
        <v>775</v>
      </c>
      <c r="C132" s="486">
        <v>6</v>
      </c>
      <c r="D132" s="487">
        <v>1</v>
      </c>
      <c r="E132" s="487">
        <v>8</v>
      </c>
      <c r="F132" s="487">
        <v>2</v>
      </c>
      <c r="G132" s="488">
        <v>3</v>
      </c>
      <c r="H132" s="488">
        <v>3</v>
      </c>
      <c r="I132" s="488">
        <v>5</v>
      </c>
      <c r="J132" s="488">
        <v>1</v>
      </c>
      <c r="K132" s="489"/>
      <c r="L132" s="486">
        <v>3</v>
      </c>
      <c r="M132" s="487">
        <v>1</v>
      </c>
      <c r="N132" s="487">
        <v>4</v>
      </c>
      <c r="O132" s="487">
        <v>2</v>
      </c>
      <c r="P132" s="488">
        <v>1</v>
      </c>
      <c r="Q132" s="488"/>
      <c r="R132" s="488">
        <v>3</v>
      </c>
      <c r="S132" s="488">
        <v>1</v>
      </c>
      <c r="T132" s="489"/>
      <c r="U132" s="486">
        <v>3</v>
      </c>
      <c r="V132" s="487"/>
      <c r="W132" s="487">
        <v>3</v>
      </c>
      <c r="X132" s="487"/>
      <c r="Y132" s="488">
        <v>2</v>
      </c>
      <c r="Z132" s="488">
        <v>2</v>
      </c>
      <c r="AA132" s="488">
        <v>2</v>
      </c>
      <c r="AB132" s="488"/>
      <c r="AC132" s="489"/>
      <c r="AD132" s="486">
        <v>591</v>
      </c>
      <c r="AE132" s="487">
        <v>444</v>
      </c>
      <c r="AF132" s="487">
        <v>479</v>
      </c>
      <c r="AG132" s="487">
        <v>555</v>
      </c>
      <c r="AH132" s="488">
        <v>431</v>
      </c>
      <c r="AI132" s="488">
        <v>412</v>
      </c>
      <c r="AJ132" s="488">
        <v>321</v>
      </c>
      <c r="AK132" s="488">
        <v>283</v>
      </c>
      <c r="AL132" s="489"/>
      <c r="AM132" s="486">
        <v>491</v>
      </c>
      <c r="AN132" s="487">
        <v>327</v>
      </c>
      <c r="AO132" s="487">
        <v>313</v>
      </c>
      <c r="AP132" s="487">
        <v>371</v>
      </c>
      <c r="AQ132" s="488">
        <v>240</v>
      </c>
      <c r="AR132" s="488">
        <v>228</v>
      </c>
      <c r="AS132" s="488">
        <v>158</v>
      </c>
      <c r="AT132" s="488">
        <v>165</v>
      </c>
      <c r="AU132" s="489"/>
      <c r="AV132" s="486"/>
      <c r="AW132" s="487">
        <v>2</v>
      </c>
      <c r="AX132" s="487"/>
      <c r="AY132" s="487">
        <v>1</v>
      </c>
      <c r="AZ132" s="488"/>
      <c r="BA132" s="488">
        <v>1</v>
      </c>
      <c r="BB132" s="488">
        <v>1</v>
      </c>
      <c r="BC132" s="488"/>
      <c r="BD132" s="489"/>
      <c r="BE132" s="486">
        <v>67</v>
      </c>
      <c r="BF132" s="487">
        <v>67</v>
      </c>
      <c r="BG132" s="487">
        <v>72</v>
      </c>
      <c r="BH132" s="487">
        <v>68</v>
      </c>
      <c r="BI132" s="488">
        <v>64</v>
      </c>
      <c r="BJ132" s="488">
        <v>51</v>
      </c>
      <c r="BK132" s="488">
        <v>53</v>
      </c>
      <c r="BL132" s="488">
        <v>62</v>
      </c>
      <c r="BM132" s="489"/>
      <c r="BN132" s="486"/>
      <c r="BO132" s="487"/>
      <c r="BP132" s="487">
        <v>1</v>
      </c>
      <c r="BQ132" s="487">
        <v>2</v>
      </c>
      <c r="BR132" s="488">
        <v>1</v>
      </c>
      <c r="BS132" s="488"/>
      <c r="BT132" s="488"/>
      <c r="BU132" s="488"/>
      <c r="BV132" s="489"/>
      <c r="BW132" s="486">
        <v>265</v>
      </c>
      <c r="BX132" s="487">
        <v>317</v>
      </c>
      <c r="BY132" s="487">
        <v>378</v>
      </c>
      <c r="BZ132" s="487">
        <v>443</v>
      </c>
      <c r="CA132" s="488">
        <v>364</v>
      </c>
      <c r="CB132" s="488">
        <v>360</v>
      </c>
      <c r="CC132" s="488">
        <v>237</v>
      </c>
      <c r="CD132" s="488">
        <v>248</v>
      </c>
      <c r="CE132" s="489"/>
      <c r="CF132" s="486">
        <v>20</v>
      </c>
      <c r="CG132" s="487">
        <v>13</v>
      </c>
      <c r="CH132" s="487">
        <v>20</v>
      </c>
      <c r="CI132" s="487">
        <v>16</v>
      </c>
      <c r="CJ132" s="488">
        <v>21</v>
      </c>
      <c r="CK132" s="488">
        <v>7</v>
      </c>
      <c r="CL132" s="488">
        <v>7</v>
      </c>
      <c r="CM132" s="488">
        <v>11</v>
      </c>
      <c r="CN132" s="489"/>
      <c r="CO132" s="486">
        <v>15</v>
      </c>
      <c r="CP132" s="487">
        <v>14</v>
      </c>
      <c r="CQ132" s="487">
        <v>4</v>
      </c>
      <c r="CR132" s="487">
        <v>4</v>
      </c>
      <c r="CS132" s="488">
        <v>25</v>
      </c>
      <c r="CT132" s="488">
        <v>13</v>
      </c>
      <c r="CU132" s="488">
        <v>9</v>
      </c>
      <c r="CV132" s="488">
        <v>21</v>
      </c>
      <c r="CW132" s="489"/>
      <c r="CX132" s="486">
        <v>3547</v>
      </c>
      <c r="CY132" s="487">
        <v>3275</v>
      </c>
      <c r="CZ132" s="487">
        <v>3458</v>
      </c>
      <c r="DA132" s="487">
        <v>3459</v>
      </c>
      <c r="DB132" s="488">
        <v>2797</v>
      </c>
      <c r="DC132" s="488">
        <v>2395</v>
      </c>
      <c r="DD132" s="488">
        <v>2030</v>
      </c>
      <c r="DE132" s="488">
        <v>1792</v>
      </c>
      <c r="DF132" s="489"/>
      <c r="DG132" s="486">
        <v>14</v>
      </c>
      <c r="DH132" s="487">
        <v>15</v>
      </c>
      <c r="DI132" s="487">
        <v>18</v>
      </c>
      <c r="DJ132" s="487">
        <v>18</v>
      </c>
      <c r="DK132" s="488">
        <v>13</v>
      </c>
      <c r="DL132" s="488">
        <v>6</v>
      </c>
      <c r="DM132" s="488">
        <v>8</v>
      </c>
      <c r="DN132" s="488">
        <v>16</v>
      </c>
      <c r="DO132" s="489"/>
      <c r="DP132" s="486">
        <v>113</v>
      </c>
      <c r="DQ132" s="487">
        <v>155</v>
      </c>
      <c r="DR132" s="487">
        <v>92</v>
      </c>
      <c r="DS132" s="487">
        <v>71</v>
      </c>
      <c r="DT132" s="488">
        <v>84</v>
      </c>
      <c r="DU132" s="488">
        <v>71</v>
      </c>
      <c r="DV132" s="488">
        <v>34</v>
      </c>
      <c r="DW132" s="488">
        <v>43</v>
      </c>
      <c r="DX132" s="489"/>
      <c r="DY132" s="486">
        <v>552</v>
      </c>
      <c r="DZ132" s="487">
        <v>404</v>
      </c>
      <c r="EA132" s="487">
        <v>448</v>
      </c>
      <c r="EB132" s="487">
        <v>470</v>
      </c>
      <c r="EC132" s="488">
        <v>389</v>
      </c>
      <c r="ED132" s="488">
        <v>373</v>
      </c>
      <c r="EE132" s="488">
        <v>312</v>
      </c>
      <c r="EF132" s="488">
        <v>270</v>
      </c>
      <c r="EG132" s="489"/>
      <c r="EH132" s="486">
        <v>53</v>
      </c>
      <c r="EI132" s="487">
        <v>46</v>
      </c>
      <c r="EJ132" s="487">
        <v>41</v>
      </c>
      <c r="EK132" s="487">
        <v>44</v>
      </c>
      <c r="EL132" s="488">
        <v>44</v>
      </c>
      <c r="EM132" s="488">
        <v>24</v>
      </c>
      <c r="EN132" s="488">
        <v>12</v>
      </c>
      <c r="EO132" s="488">
        <v>22</v>
      </c>
      <c r="EP132" s="489"/>
      <c r="EQ132" s="486">
        <v>12</v>
      </c>
      <c r="ER132" s="487">
        <v>5</v>
      </c>
      <c r="ES132" s="487">
        <v>17</v>
      </c>
      <c r="ET132" s="487">
        <v>29</v>
      </c>
      <c r="EU132" s="488">
        <v>34</v>
      </c>
      <c r="EV132" s="488">
        <v>45</v>
      </c>
      <c r="EW132" s="488">
        <v>34</v>
      </c>
      <c r="EX132" s="488">
        <v>38</v>
      </c>
      <c r="EY132" s="489"/>
      <c r="EZ132" s="486">
        <v>59</v>
      </c>
      <c r="FA132" s="487">
        <v>20</v>
      </c>
      <c r="FB132" s="487">
        <v>29</v>
      </c>
      <c r="FC132" s="487">
        <v>30</v>
      </c>
      <c r="FD132" s="488">
        <v>16</v>
      </c>
      <c r="FE132" s="488">
        <v>14</v>
      </c>
      <c r="FF132" s="488">
        <v>26</v>
      </c>
      <c r="FG132" s="488">
        <v>8</v>
      </c>
      <c r="FH132" s="489"/>
      <c r="FI132" s="486">
        <v>242</v>
      </c>
      <c r="FJ132" s="487">
        <v>280</v>
      </c>
      <c r="FK132" s="487">
        <v>175</v>
      </c>
      <c r="FL132" s="487">
        <v>135</v>
      </c>
      <c r="FM132" s="488">
        <v>153</v>
      </c>
      <c r="FN132" s="488">
        <v>164</v>
      </c>
      <c r="FO132" s="488">
        <v>153</v>
      </c>
      <c r="FP132" s="488">
        <v>128</v>
      </c>
      <c r="FQ132" s="489"/>
      <c r="FR132" s="486">
        <v>26</v>
      </c>
      <c r="FS132" s="487">
        <v>30</v>
      </c>
      <c r="FT132" s="487">
        <v>15</v>
      </c>
      <c r="FU132" s="487">
        <v>17</v>
      </c>
      <c r="FV132" s="488">
        <v>12</v>
      </c>
      <c r="FW132" s="488">
        <v>18</v>
      </c>
      <c r="FX132" s="488">
        <v>27</v>
      </c>
      <c r="FY132" s="488">
        <v>11</v>
      </c>
      <c r="FZ132" s="489"/>
      <c r="GA132" s="486">
        <v>21</v>
      </c>
      <c r="GB132" s="487">
        <v>13</v>
      </c>
      <c r="GC132" s="487">
        <v>12</v>
      </c>
      <c r="GD132" s="487">
        <v>10</v>
      </c>
      <c r="GE132" s="488">
        <v>16</v>
      </c>
      <c r="GF132" s="488">
        <v>21</v>
      </c>
      <c r="GG132" s="488">
        <v>26</v>
      </c>
      <c r="GH132" s="488">
        <v>29</v>
      </c>
      <c r="GI132" s="489"/>
      <c r="GJ132" s="486">
        <v>4924</v>
      </c>
      <c r="GK132" s="487">
        <v>4525</v>
      </c>
      <c r="GL132" s="487">
        <v>4709</v>
      </c>
      <c r="GM132" s="487">
        <v>4814</v>
      </c>
      <c r="GN132" s="488">
        <v>3981</v>
      </c>
      <c r="GO132" s="488">
        <v>3527</v>
      </c>
      <c r="GP132" s="488">
        <v>2940</v>
      </c>
      <c r="GQ132" s="488">
        <v>2654</v>
      </c>
      <c r="GR132" s="489"/>
      <c r="GS132" s="486">
        <v>1515</v>
      </c>
      <c r="GT132" s="487">
        <v>1537</v>
      </c>
      <c r="GU132" s="487">
        <v>1524</v>
      </c>
      <c r="GV132" s="487">
        <v>1388</v>
      </c>
      <c r="GW132" s="488">
        <v>800</v>
      </c>
      <c r="GX132" s="488">
        <v>701</v>
      </c>
      <c r="GY132" s="488">
        <v>573</v>
      </c>
      <c r="GZ132" s="488">
        <v>565</v>
      </c>
      <c r="HA132" s="489"/>
      <c r="HB132" s="486">
        <v>31</v>
      </c>
      <c r="HC132" s="487">
        <v>23</v>
      </c>
      <c r="HD132" s="487">
        <v>18</v>
      </c>
      <c r="HE132" s="487">
        <v>17</v>
      </c>
      <c r="HF132" s="488">
        <v>23</v>
      </c>
      <c r="HG132" s="488">
        <v>16</v>
      </c>
      <c r="HH132" s="488">
        <v>22</v>
      </c>
      <c r="HI132" s="488">
        <v>17</v>
      </c>
      <c r="HJ132" s="489"/>
      <c r="HK132" s="486">
        <v>16</v>
      </c>
      <c r="HL132" s="487">
        <v>7</v>
      </c>
      <c r="HM132" s="487">
        <v>4</v>
      </c>
      <c r="HN132" s="487">
        <v>7</v>
      </c>
      <c r="HO132" s="488">
        <v>6</v>
      </c>
      <c r="HP132" s="488">
        <v>9</v>
      </c>
      <c r="HQ132" s="488">
        <v>7</v>
      </c>
      <c r="HR132" s="488">
        <v>4</v>
      </c>
      <c r="HS132" s="489"/>
      <c r="HT132" s="486">
        <v>2160</v>
      </c>
      <c r="HU132" s="487">
        <v>2009</v>
      </c>
      <c r="HV132" s="487">
        <v>1953</v>
      </c>
      <c r="HW132" s="487">
        <v>1856</v>
      </c>
      <c r="HX132" s="488">
        <v>1237</v>
      </c>
      <c r="HY132" s="488">
        <v>1071</v>
      </c>
      <c r="HZ132" s="488">
        <v>992</v>
      </c>
      <c r="IA132" s="488">
        <v>1344</v>
      </c>
      <c r="IB132" s="489"/>
      <c r="IC132" s="486">
        <v>9492</v>
      </c>
      <c r="ID132" s="487">
        <v>8450</v>
      </c>
      <c r="IE132" s="487">
        <v>8097</v>
      </c>
      <c r="IF132" s="487">
        <v>8149</v>
      </c>
      <c r="IG132" s="488">
        <v>6877</v>
      </c>
      <c r="IH132" s="488">
        <v>6387</v>
      </c>
      <c r="II132" s="488">
        <v>4915</v>
      </c>
      <c r="IJ132" s="488">
        <v>5069</v>
      </c>
      <c r="IK132" s="489"/>
      <c r="IL132" s="486">
        <v>967</v>
      </c>
      <c r="IM132" s="487">
        <v>775</v>
      </c>
      <c r="IN132" s="487">
        <v>723</v>
      </c>
      <c r="IO132" s="487">
        <v>486</v>
      </c>
      <c r="IP132" s="488">
        <v>273</v>
      </c>
      <c r="IQ132" s="488">
        <v>494</v>
      </c>
      <c r="IR132" s="488">
        <v>436</v>
      </c>
      <c r="IS132" s="488">
        <v>338</v>
      </c>
      <c r="IT132" s="489"/>
      <c r="IU132" s="526">
        <v>3921.2770176482254</v>
      </c>
      <c r="IV132" s="527">
        <v>3506.2095178028308</v>
      </c>
      <c r="IW132" s="527">
        <v>3379.0720384605752</v>
      </c>
      <c r="IX132" s="527">
        <v>3390.0208834272116</v>
      </c>
      <c r="IY132" s="528">
        <v>2873.7745610149518</v>
      </c>
      <c r="IZ132" s="528">
        <v>2599.5098441041337</v>
      </c>
      <c r="JA132" s="528">
        <v>1891.7961863852258</v>
      </c>
      <c r="JB132" s="528">
        <v>1958.4964125785773</v>
      </c>
      <c r="JC132" s="529"/>
      <c r="JD132" s="530">
        <v>892.32599643069602</v>
      </c>
      <c r="JE132" s="531">
        <v>833.60649955809311</v>
      </c>
      <c r="JF132" s="531">
        <v>815.03367804291759</v>
      </c>
      <c r="JG132" s="531">
        <v>772.10440049587737</v>
      </c>
      <c r="JH132" s="531">
        <v>516.92004245681187</v>
      </c>
      <c r="JI132" s="532">
        <v>434.04887612275127</v>
      </c>
      <c r="JJ132" s="532">
        <v>381.82336050745556</v>
      </c>
      <c r="JK132" s="532">
        <v>519.27780203306531</v>
      </c>
      <c r="JL132" s="529"/>
      <c r="JM132" s="530">
        <v>2034.1727807521977</v>
      </c>
      <c r="JN132" s="531">
        <v>1877.5855701843559</v>
      </c>
      <c r="JO132" s="531">
        <v>1965.1784894542238</v>
      </c>
      <c r="JP132" s="531">
        <v>2002.645788786182</v>
      </c>
      <c r="JQ132" s="531">
        <v>1663.5882692163041</v>
      </c>
      <c r="JR132" s="532">
        <v>1431.4239067326607</v>
      </c>
      <c r="JS132" s="532">
        <v>1131.6135886007253</v>
      </c>
      <c r="JT132" s="532">
        <v>1025.4191120504131</v>
      </c>
      <c r="JU132" s="529"/>
      <c r="JV132" s="530">
        <v>625.86753916319651</v>
      </c>
      <c r="JW132" s="531">
        <v>637.75668980626631</v>
      </c>
      <c r="JX132" s="531">
        <v>636.00170268172371</v>
      </c>
      <c r="JY132" s="531">
        <v>577.41428226739106</v>
      </c>
      <c r="JZ132" s="531">
        <v>334.30560546923971</v>
      </c>
      <c r="KA132" s="532">
        <v>282.54815839383724</v>
      </c>
      <c r="KB132" s="532">
        <v>220.5491790027944</v>
      </c>
      <c r="KC132" s="532">
        <v>218.29758790824545</v>
      </c>
      <c r="KD132" s="529"/>
    </row>
    <row r="133" spans="1:290" ht="15" customHeight="1" x14ac:dyDescent="0.2">
      <c r="A133" s="930"/>
      <c r="B133" s="490" t="s">
        <v>736</v>
      </c>
      <c r="C133" s="491">
        <v>1</v>
      </c>
      <c r="D133" s="492"/>
      <c r="E133" s="492"/>
      <c r="F133" s="492"/>
      <c r="G133" s="493"/>
      <c r="H133" s="493"/>
      <c r="I133" s="493">
        <v>1</v>
      </c>
      <c r="J133" s="493">
        <v>1</v>
      </c>
      <c r="K133" s="199"/>
      <c r="L133" s="491"/>
      <c r="M133" s="492"/>
      <c r="N133" s="492"/>
      <c r="O133" s="492"/>
      <c r="P133" s="493"/>
      <c r="Q133" s="493"/>
      <c r="R133" s="493">
        <v>1</v>
      </c>
      <c r="S133" s="493">
        <v>1</v>
      </c>
      <c r="T133" s="199"/>
      <c r="U133" s="491">
        <v>1</v>
      </c>
      <c r="V133" s="492"/>
      <c r="W133" s="492"/>
      <c r="X133" s="492"/>
      <c r="Y133" s="493"/>
      <c r="Z133" s="493"/>
      <c r="AA133" s="493"/>
      <c r="AB133" s="493"/>
      <c r="AC133" s="199"/>
      <c r="AD133" s="491">
        <v>122</v>
      </c>
      <c r="AE133" s="492">
        <v>105</v>
      </c>
      <c r="AF133" s="492">
        <v>118</v>
      </c>
      <c r="AG133" s="492">
        <v>161</v>
      </c>
      <c r="AH133" s="493">
        <v>97</v>
      </c>
      <c r="AI133" s="493">
        <v>92</v>
      </c>
      <c r="AJ133" s="493">
        <v>94</v>
      </c>
      <c r="AK133" s="493">
        <v>58</v>
      </c>
      <c r="AL133" s="199"/>
      <c r="AM133" s="491">
        <v>56</v>
      </c>
      <c r="AN133" s="492">
        <v>57</v>
      </c>
      <c r="AO133" s="492">
        <v>63</v>
      </c>
      <c r="AP133" s="492">
        <v>89</v>
      </c>
      <c r="AQ133" s="493">
        <v>50</v>
      </c>
      <c r="AR133" s="493">
        <v>36</v>
      </c>
      <c r="AS133" s="493">
        <v>40</v>
      </c>
      <c r="AT133" s="493">
        <v>29</v>
      </c>
      <c r="AU133" s="199"/>
      <c r="AV133" s="491"/>
      <c r="AW133" s="492"/>
      <c r="AX133" s="492"/>
      <c r="AY133" s="492">
        <v>1</v>
      </c>
      <c r="AZ133" s="493"/>
      <c r="BA133" s="493"/>
      <c r="BB133" s="493"/>
      <c r="BC133" s="493"/>
      <c r="BD133" s="199"/>
      <c r="BE133" s="491">
        <v>7</v>
      </c>
      <c r="BF133" s="492">
        <v>8</v>
      </c>
      <c r="BG133" s="492">
        <v>8</v>
      </c>
      <c r="BH133" s="492">
        <v>15</v>
      </c>
      <c r="BI133" s="493">
        <v>6</v>
      </c>
      <c r="BJ133" s="493">
        <v>14</v>
      </c>
      <c r="BK133" s="493">
        <v>15</v>
      </c>
      <c r="BL133" s="493">
        <v>4</v>
      </c>
      <c r="BM133" s="199"/>
      <c r="BN133" s="491">
        <v>7</v>
      </c>
      <c r="BO133" s="492">
        <v>3</v>
      </c>
      <c r="BP133" s="492"/>
      <c r="BQ133" s="492"/>
      <c r="BR133" s="493"/>
      <c r="BS133" s="493">
        <v>3</v>
      </c>
      <c r="BT133" s="493">
        <v>1</v>
      </c>
      <c r="BU133" s="493">
        <v>2</v>
      </c>
      <c r="BV133" s="199"/>
      <c r="BW133" s="491">
        <v>121</v>
      </c>
      <c r="BX133" s="492">
        <v>100</v>
      </c>
      <c r="BY133" s="492">
        <v>116</v>
      </c>
      <c r="BZ133" s="492">
        <v>145</v>
      </c>
      <c r="CA133" s="493">
        <v>90</v>
      </c>
      <c r="CB133" s="493">
        <v>95</v>
      </c>
      <c r="CC133" s="493">
        <v>67</v>
      </c>
      <c r="CD133" s="493">
        <v>48</v>
      </c>
      <c r="CE133" s="199"/>
      <c r="CF133" s="491">
        <v>7</v>
      </c>
      <c r="CG133" s="492">
        <v>3</v>
      </c>
      <c r="CH133" s="492">
        <v>3</v>
      </c>
      <c r="CI133" s="492">
        <v>4</v>
      </c>
      <c r="CJ133" s="493">
        <v>3</v>
      </c>
      <c r="CK133" s="493">
        <v>3</v>
      </c>
      <c r="CL133" s="493">
        <v>4</v>
      </c>
      <c r="CM133" s="493">
        <v>1</v>
      </c>
      <c r="CN133" s="199"/>
      <c r="CO133" s="491"/>
      <c r="CP133" s="492">
        <v>2</v>
      </c>
      <c r="CQ133" s="492"/>
      <c r="CR133" s="492"/>
      <c r="CS133" s="493"/>
      <c r="CT133" s="493">
        <v>1</v>
      </c>
      <c r="CU133" s="493"/>
      <c r="CV133" s="493"/>
      <c r="CW133" s="199"/>
      <c r="CX133" s="491">
        <v>300</v>
      </c>
      <c r="CY133" s="492">
        <v>254</v>
      </c>
      <c r="CZ133" s="492">
        <v>260</v>
      </c>
      <c r="DA133" s="492">
        <v>323</v>
      </c>
      <c r="DB133" s="493">
        <v>247</v>
      </c>
      <c r="DC133" s="493">
        <v>262</v>
      </c>
      <c r="DD133" s="493">
        <v>217</v>
      </c>
      <c r="DE133" s="493">
        <v>192</v>
      </c>
      <c r="DF133" s="199"/>
      <c r="DG133" s="491">
        <v>1</v>
      </c>
      <c r="DH133" s="492">
        <v>4</v>
      </c>
      <c r="DI133" s="492">
        <v>2</v>
      </c>
      <c r="DJ133" s="492">
        <v>6</v>
      </c>
      <c r="DK133" s="493">
        <v>2</v>
      </c>
      <c r="DL133" s="493">
        <v>1</v>
      </c>
      <c r="DM133" s="493"/>
      <c r="DN133" s="493"/>
      <c r="DO133" s="199"/>
      <c r="DP133" s="491">
        <v>7</v>
      </c>
      <c r="DQ133" s="492">
        <v>1</v>
      </c>
      <c r="DR133" s="492">
        <v>3</v>
      </c>
      <c r="DS133" s="492">
        <v>5</v>
      </c>
      <c r="DT133" s="493">
        <v>2</v>
      </c>
      <c r="DU133" s="493">
        <v>11</v>
      </c>
      <c r="DV133" s="493">
        <v>2</v>
      </c>
      <c r="DW133" s="493">
        <v>1</v>
      </c>
      <c r="DX133" s="199"/>
      <c r="DY133" s="491">
        <v>20</v>
      </c>
      <c r="DZ133" s="492">
        <v>30</v>
      </c>
      <c r="EA133" s="492">
        <v>24</v>
      </c>
      <c r="EB133" s="492">
        <v>45</v>
      </c>
      <c r="EC133" s="493">
        <v>30</v>
      </c>
      <c r="ED133" s="493">
        <v>57</v>
      </c>
      <c r="EE133" s="493">
        <v>42</v>
      </c>
      <c r="EF133" s="493">
        <v>39</v>
      </c>
      <c r="EG133" s="199"/>
      <c r="EH133" s="491">
        <v>4</v>
      </c>
      <c r="EI133" s="492">
        <v>4</v>
      </c>
      <c r="EJ133" s="492">
        <v>4</v>
      </c>
      <c r="EK133" s="492">
        <v>2</v>
      </c>
      <c r="EL133" s="493">
        <v>6</v>
      </c>
      <c r="EM133" s="493">
        <v>7</v>
      </c>
      <c r="EN133" s="493">
        <v>2</v>
      </c>
      <c r="EO133" s="493">
        <v>3</v>
      </c>
      <c r="EP133" s="199"/>
      <c r="EQ133" s="491">
        <v>1</v>
      </c>
      <c r="ER133" s="492"/>
      <c r="ES133" s="492">
        <v>1</v>
      </c>
      <c r="ET133" s="492">
        <v>2</v>
      </c>
      <c r="EU133" s="493"/>
      <c r="EV133" s="493">
        <v>3</v>
      </c>
      <c r="EW133" s="493">
        <v>4</v>
      </c>
      <c r="EX133" s="493">
        <v>6</v>
      </c>
      <c r="EY133" s="199"/>
      <c r="EZ133" s="491">
        <v>1</v>
      </c>
      <c r="FA133" s="492">
        <v>4</v>
      </c>
      <c r="FB133" s="492">
        <v>7</v>
      </c>
      <c r="FC133" s="492">
        <v>3</v>
      </c>
      <c r="FD133" s="493">
        <v>2</v>
      </c>
      <c r="FE133" s="493">
        <v>1</v>
      </c>
      <c r="FF133" s="493">
        <v>2</v>
      </c>
      <c r="FG133" s="493"/>
      <c r="FH133" s="199"/>
      <c r="FI133" s="491">
        <v>20</v>
      </c>
      <c r="FJ133" s="492">
        <v>20</v>
      </c>
      <c r="FK133" s="492">
        <v>11</v>
      </c>
      <c r="FL133" s="492">
        <v>9</v>
      </c>
      <c r="FM133" s="493">
        <v>5</v>
      </c>
      <c r="FN133" s="493">
        <v>17</v>
      </c>
      <c r="FO133" s="493">
        <v>22</v>
      </c>
      <c r="FP133" s="493">
        <v>6</v>
      </c>
      <c r="FQ133" s="199"/>
      <c r="FR133" s="491">
        <v>8</v>
      </c>
      <c r="FS133" s="492">
        <v>5</v>
      </c>
      <c r="FT133" s="492">
        <v>6</v>
      </c>
      <c r="FU133" s="492">
        <v>7</v>
      </c>
      <c r="FV133" s="493">
        <v>6</v>
      </c>
      <c r="FW133" s="493">
        <v>1</v>
      </c>
      <c r="FX133" s="493"/>
      <c r="FY133" s="493">
        <v>1</v>
      </c>
      <c r="FZ133" s="199"/>
      <c r="GA133" s="491">
        <v>4</v>
      </c>
      <c r="GB133" s="492">
        <v>3</v>
      </c>
      <c r="GC133" s="492">
        <v>4</v>
      </c>
      <c r="GD133" s="492">
        <v>4</v>
      </c>
      <c r="GE133" s="493">
        <v>2</v>
      </c>
      <c r="GF133" s="493">
        <v>5</v>
      </c>
      <c r="GG133" s="493">
        <v>8</v>
      </c>
      <c r="GH133" s="493">
        <v>6</v>
      </c>
      <c r="GI133" s="199"/>
      <c r="GJ133" s="491">
        <v>603</v>
      </c>
      <c r="GK133" s="492">
        <v>511</v>
      </c>
      <c r="GL133" s="492">
        <v>538</v>
      </c>
      <c r="GM133" s="492">
        <v>675</v>
      </c>
      <c r="GN133" s="493">
        <v>464</v>
      </c>
      <c r="GO133" s="493">
        <v>504</v>
      </c>
      <c r="GP133" s="493">
        <v>437</v>
      </c>
      <c r="GQ133" s="493">
        <v>328</v>
      </c>
      <c r="GR133" s="199"/>
      <c r="GS133" s="491">
        <v>206</v>
      </c>
      <c r="GT133" s="492">
        <v>160</v>
      </c>
      <c r="GU133" s="492">
        <v>166</v>
      </c>
      <c r="GV133" s="492">
        <v>239</v>
      </c>
      <c r="GW133" s="493">
        <v>107</v>
      </c>
      <c r="GX133" s="493">
        <v>132</v>
      </c>
      <c r="GY133" s="493">
        <v>92</v>
      </c>
      <c r="GZ133" s="493">
        <v>64</v>
      </c>
      <c r="HA133" s="199"/>
      <c r="HB133" s="491">
        <v>2</v>
      </c>
      <c r="HC133" s="492">
        <v>2</v>
      </c>
      <c r="HD133" s="492">
        <v>1</v>
      </c>
      <c r="HE133" s="492">
        <v>3</v>
      </c>
      <c r="HF133" s="493">
        <v>4</v>
      </c>
      <c r="HG133" s="493">
        <v>1</v>
      </c>
      <c r="HH133" s="493">
        <v>4</v>
      </c>
      <c r="HI133" s="493"/>
      <c r="HJ133" s="199"/>
      <c r="HK133" s="491">
        <v>2</v>
      </c>
      <c r="HL133" s="492"/>
      <c r="HM133" s="492">
        <v>1</v>
      </c>
      <c r="HN133" s="492">
        <v>2</v>
      </c>
      <c r="HO133" s="493">
        <v>1</v>
      </c>
      <c r="HP133" s="493"/>
      <c r="HQ133" s="493"/>
      <c r="HR133" s="493">
        <v>1</v>
      </c>
      <c r="HS133" s="199"/>
      <c r="HT133" s="491">
        <v>288</v>
      </c>
      <c r="HU133" s="492">
        <v>229</v>
      </c>
      <c r="HV133" s="492">
        <v>229</v>
      </c>
      <c r="HW133" s="492">
        <v>295</v>
      </c>
      <c r="HX133" s="493">
        <v>178</v>
      </c>
      <c r="HY133" s="493">
        <v>193</v>
      </c>
      <c r="HZ133" s="493">
        <v>155</v>
      </c>
      <c r="IA133" s="493">
        <v>117</v>
      </c>
      <c r="IB133" s="199"/>
      <c r="IC133" s="491">
        <v>975</v>
      </c>
      <c r="ID133" s="492">
        <v>896</v>
      </c>
      <c r="IE133" s="492">
        <v>820</v>
      </c>
      <c r="IF133" s="492">
        <v>1009</v>
      </c>
      <c r="IG133" s="493">
        <v>811</v>
      </c>
      <c r="IH133" s="493">
        <v>845</v>
      </c>
      <c r="II133" s="493">
        <v>836</v>
      </c>
      <c r="IJ133" s="493">
        <v>704</v>
      </c>
      <c r="IK133" s="199"/>
      <c r="IL133" s="491">
        <v>60</v>
      </c>
      <c r="IM133" s="492">
        <v>57</v>
      </c>
      <c r="IN133" s="492">
        <v>59</v>
      </c>
      <c r="IO133" s="492">
        <v>64</v>
      </c>
      <c r="IP133" s="493">
        <v>37</v>
      </c>
      <c r="IQ133" s="493">
        <v>78</v>
      </c>
      <c r="IR133" s="493">
        <v>56</v>
      </c>
      <c r="IS133" s="493">
        <v>49</v>
      </c>
      <c r="IT133" s="199"/>
      <c r="IU133" s="533">
        <v>2619.840928632846</v>
      </c>
      <c r="IV133" s="534">
        <v>2436.0403469182461</v>
      </c>
      <c r="IW133" s="534">
        <v>2241.662110442865</v>
      </c>
      <c r="IX133" s="534">
        <v>2641.6378678395645</v>
      </c>
      <c r="IY133" s="535">
        <v>2111.8691734805479</v>
      </c>
      <c r="IZ133" s="535">
        <v>2141.7527211817983</v>
      </c>
      <c r="JA133" s="535">
        <v>2076.6574757185085</v>
      </c>
      <c r="JB133" s="535">
        <v>1730.835423120421</v>
      </c>
      <c r="JC133" s="536"/>
      <c r="JD133" s="537">
        <v>773.86070507308682</v>
      </c>
      <c r="JE133" s="538">
        <v>622.60406187977492</v>
      </c>
      <c r="JF133" s="538">
        <v>626.02515035538545</v>
      </c>
      <c r="JG133" s="538">
        <v>772.33218138024927</v>
      </c>
      <c r="JH133" s="538">
        <v>463.51752512889959</v>
      </c>
      <c r="JI133" s="539">
        <v>487.57117355051639</v>
      </c>
      <c r="JJ133" s="539">
        <v>385.02620662245073</v>
      </c>
      <c r="JK133" s="539">
        <v>287.65304617200178</v>
      </c>
      <c r="JL133" s="536"/>
      <c r="JM133" s="537">
        <v>1620.2708512467755</v>
      </c>
      <c r="JN133" s="538">
        <v>1389.304260351812</v>
      </c>
      <c r="JO133" s="538">
        <v>1470.7490431930016</v>
      </c>
      <c r="JP133" s="538">
        <v>1767.2007540056552</v>
      </c>
      <c r="JQ133" s="538">
        <v>1208.2704025831988</v>
      </c>
      <c r="JR133" s="539">
        <v>1280.7072234769125</v>
      </c>
      <c r="JS133" s="539">
        <v>1085.5254986710386</v>
      </c>
      <c r="JT133" s="539">
        <v>806.41195849928704</v>
      </c>
      <c r="JU133" s="536"/>
      <c r="JV133" s="537">
        <v>553.52536543422184</v>
      </c>
      <c r="JW133" s="538">
        <v>435.00720480682958</v>
      </c>
      <c r="JX133" s="538">
        <v>453.7998906506287</v>
      </c>
      <c r="JY133" s="538">
        <v>625.71997067755785</v>
      </c>
      <c r="JZ133" s="538">
        <v>278.63132128534971</v>
      </c>
      <c r="KA133" s="539">
        <v>333.45052792178222</v>
      </c>
      <c r="KB133" s="539">
        <v>228.53168393074498</v>
      </c>
      <c r="KC133" s="539">
        <v>157.34867482912918</v>
      </c>
      <c r="KD133" s="536"/>
    </row>
    <row r="134" spans="1:290" ht="15" customHeight="1" x14ac:dyDescent="0.2">
      <c r="A134" s="930"/>
      <c r="B134" s="490" t="s">
        <v>737</v>
      </c>
      <c r="C134" s="491"/>
      <c r="D134" s="492">
        <v>3</v>
      </c>
      <c r="E134" s="492">
        <v>1</v>
      </c>
      <c r="F134" s="492">
        <v>2</v>
      </c>
      <c r="G134" s="493"/>
      <c r="H134" s="493">
        <v>1</v>
      </c>
      <c r="I134" s="493"/>
      <c r="J134" s="493"/>
      <c r="K134" s="199"/>
      <c r="L134" s="491"/>
      <c r="M134" s="492">
        <v>1</v>
      </c>
      <c r="N134" s="492">
        <v>1</v>
      </c>
      <c r="O134" s="492">
        <v>1</v>
      </c>
      <c r="P134" s="493"/>
      <c r="Q134" s="493"/>
      <c r="R134" s="493"/>
      <c r="S134" s="493"/>
      <c r="T134" s="199"/>
      <c r="U134" s="491"/>
      <c r="V134" s="492">
        <v>2</v>
      </c>
      <c r="W134" s="492"/>
      <c r="X134" s="492">
        <v>1</v>
      </c>
      <c r="Y134" s="493"/>
      <c r="Z134" s="493"/>
      <c r="AA134" s="493"/>
      <c r="AB134" s="493"/>
      <c r="AC134" s="199"/>
      <c r="AD134" s="491">
        <v>116</v>
      </c>
      <c r="AE134" s="492">
        <v>105</v>
      </c>
      <c r="AF134" s="492">
        <v>117</v>
      </c>
      <c r="AG134" s="492">
        <v>158</v>
      </c>
      <c r="AH134" s="493">
        <v>169</v>
      </c>
      <c r="AI134" s="493">
        <v>136</v>
      </c>
      <c r="AJ134" s="493">
        <v>60</v>
      </c>
      <c r="AK134" s="493">
        <v>58</v>
      </c>
      <c r="AL134" s="199"/>
      <c r="AM134" s="491">
        <v>68</v>
      </c>
      <c r="AN134" s="492">
        <v>44</v>
      </c>
      <c r="AO134" s="492">
        <v>56</v>
      </c>
      <c r="AP134" s="492">
        <v>88</v>
      </c>
      <c r="AQ134" s="493">
        <v>101</v>
      </c>
      <c r="AR134" s="493">
        <v>91</v>
      </c>
      <c r="AS134" s="493">
        <v>37</v>
      </c>
      <c r="AT134" s="493">
        <v>39</v>
      </c>
      <c r="AU134" s="199"/>
      <c r="AV134" s="491"/>
      <c r="AW134" s="492"/>
      <c r="AX134" s="492"/>
      <c r="AY134" s="492"/>
      <c r="AZ134" s="493"/>
      <c r="BA134" s="493"/>
      <c r="BB134" s="493"/>
      <c r="BC134" s="493">
        <v>1</v>
      </c>
      <c r="BD134" s="199"/>
      <c r="BE134" s="491">
        <v>13</v>
      </c>
      <c r="BF134" s="492">
        <v>6</v>
      </c>
      <c r="BG134" s="492">
        <v>28</v>
      </c>
      <c r="BH134" s="492">
        <v>12</v>
      </c>
      <c r="BI134" s="493">
        <v>4</v>
      </c>
      <c r="BJ134" s="493">
        <v>17</v>
      </c>
      <c r="BK134" s="493">
        <v>12</v>
      </c>
      <c r="BL134" s="493">
        <v>7</v>
      </c>
      <c r="BM134" s="199"/>
      <c r="BN134" s="491"/>
      <c r="BO134" s="492"/>
      <c r="BP134" s="492"/>
      <c r="BQ134" s="492"/>
      <c r="BR134" s="493"/>
      <c r="BS134" s="493"/>
      <c r="BT134" s="493"/>
      <c r="BU134" s="493"/>
      <c r="BV134" s="199"/>
      <c r="BW134" s="491">
        <v>87</v>
      </c>
      <c r="BX134" s="492">
        <v>90</v>
      </c>
      <c r="BY134" s="492">
        <v>99</v>
      </c>
      <c r="BZ134" s="492">
        <v>125</v>
      </c>
      <c r="CA134" s="493">
        <v>133</v>
      </c>
      <c r="CB134" s="493">
        <v>83</v>
      </c>
      <c r="CC134" s="493">
        <v>65</v>
      </c>
      <c r="CD134" s="493">
        <v>41</v>
      </c>
      <c r="CE134" s="199"/>
      <c r="CF134" s="491">
        <v>4</v>
      </c>
      <c r="CG134" s="492">
        <v>7</v>
      </c>
      <c r="CH134" s="492">
        <v>4</v>
      </c>
      <c r="CI134" s="492">
        <v>3</v>
      </c>
      <c r="CJ134" s="493">
        <v>5</v>
      </c>
      <c r="CK134" s="493">
        <v>3</v>
      </c>
      <c r="CL134" s="493">
        <v>2</v>
      </c>
      <c r="CM134" s="493"/>
      <c r="CN134" s="199"/>
      <c r="CO134" s="491">
        <v>4</v>
      </c>
      <c r="CP134" s="492">
        <v>3</v>
      </c>
      <c r="CQ134" s="492">
        <v>2</v>
      </c>
      <c r="CR134" s="492"/>
      <c r="CS134" s="493"/>
      <c r="CT134" s="493">
        <v>1</v>
      </c>
      <c r="CU134" s="493">
        <v>3</v>
      </c>
      <c r="CV134" s="493">
        <v>1</v>
      </c>
      <c r="CW134" s="199"/>
      <c r="CX134" s="491">
        <v>552</v>
      </c>
      <c r="CY134" s="492">
        <v>779</v>
      </c>
      <c r="CZ134" s="492">
        <v>666</v>
      </c>
      <c r="DA134" s="492">
        <v>654</v>
      </c>
      <c r="DB134" s="493">
        <v>398</v>
      </c>
      <c r="DC134" s="493">
        <v>364</v>
      </c>
      <c r="DD134" s="493">
        <v>318</v>
      </c>
      <c r="DE134" s="493">
        <v>222</v>
      </c>
      <c r="DF134" s="199"/>
      <c r="DG134" s="491">
        <v>2</v>
      </c>
      <c r="DH134" s="492">
        <v>1</v>
      </c>
      <c r="DI134" s="492">
        <v>3</v>
      </c>
      <c r="DJ134" s="492">
        <v>1</v>
      </c>
      <c r="DK134" s="493"/>
      <c r="DL134" s="493">
        <v>1</v>
      </c>
      <c r="DM134" s="493"/>
      <c r="DN134" s="493"/>
      <c r="DO134" s="199"/>
      <c r="DP134" s="491">
        <v>15</v>
      </c>
      <c r="DQ134" s="492">
        <v>9</v>
      </c>
      <c r="DR134" s="492">
        <v>5</v>
      </c>
      <c r="DS134" s="492">
        <v>1</v>
      </c>
      <c r="DT134" s="493">
        <v>5</v>
      </c>
      <c r="DU134" s="493">
        <v>2</v>
      </c>
      <c r="DV134" s="493">
        <v>1</v>
      </c>
      <c r="DW134" s="493">
        <v>1</v>
      </c>
      <c r="DX134" s="199"/>
      <c r="DY134" s="491">
        <v>77</v>
      </c>
      <c r="DZ134" s="492">
        <v>97</v>
      </c>
      <c r="EA134" s="492">
        <v>97</v>
      </c>
      <c r="EB134" s="492">
        <v>89</v>
      </c>
      <c r="EC134" s="493">
        <v>63</v>
      </c>
      <c r="ED134" s="493">
        <v>62</v>
      </c>
      <c r="EE134" s="493">
        <v>42</v>
      </c>
      <c r="EF134" s="493">
        <v>34</v>
      </c>
      <c r="EG134" s="199"/>
      <c r="EH134" s="491">
        <v>13</v>
      </c>
      <c r="EI134" s="492">
        <v>5</v>
      </c>
      <c r="EJ134" s="492">
        <v>4</v>
      </c>
      <c r="EK134" s="492">
        <v>6</v>
      </c>
      <c r="EL134" s="493">
        <v>15</v>
      </c>
      <c r="EM134" s="493">
        <v>8</v>
      </c>
      <c r="EN134" s="493">
        <v>3</v>
      </c>
      <c r="EO134" s="493">
        <v>4</v>
      </c>
      <c r="EP134" s="199"/>
      <c r="EQ134" s="491"/>
      <c r="ER134" s="492">
        <v>1</v>
      </c>
      <c r="ES134" s="492">
        <v>2</v>
      </c>
      <c r="ET134" s="492">
        <v>1</v>
      </c>
      <c r="EU134" s="493">
        <v>9</v>
      </c>
      <c r="EV134" s="493">
        <v>7</v>
      </c>
      <c r="EW134" s="493">
        <v>6</v>
      </c>
      <c r="EX134" s="493">
        <v>3</v>
      </c>
      <c r="EY134" s="199"/>
      <c r="EZ134" s="491">
        <v>17</v>
      </c>
      <c r="FA134" s="492">
        <v>5</v>
      </c>
      <c r="FB134" s="492">
        <v>12</v>
      </c>
      <c r="FC134" s="492">
        <v>2</v>
      </c>
      <c r="FD134" s="493">
        <v>9</v>
      </c>
      <c r="FE134" s="493">
        <v>2</v>
      </c>
      <c r="FF134" s="493"/>
      <c r="FG134" s="493">
        <v>1</v>
      </c>
      <c r="FH134" s="199"/>
      <c r="FI134" s="491">
        <v>44</v>
      </c>
      <c r="FJ134" s="492">
        <v>48</v>
      </c>
      <c r="FK134" s="492">
        <v>26</v>
      </c>
      <c r="FL134" s="492">
        <v>27</v>
      </c>
      <c r="FM134" s="493">
        <v>34</v>
      </c>
      <c r="FN134" s="493">
        <v>56</v>
      </c>
      <c r="FO134" s="493">
        <v>13</v>
      </c>
      <c r="FP134" s="493">
        <v>7</v>
      </c>
      <c r="FQ134" s="199"/>
      <c r="FR134" s="491">
        <v>2</v>
      </c>
      <c r="FS134" s="492">
        <v>5</v>
      </c>
      <c r="FT134" s="492">
        <v>6</v>
      </c>
      <c r="FU134" s="492">
        <v>8</v>
      </c>
      <c r="FV134" s="493">
        <v>2</v>
      </c>
      <c r="FW134" s="493">
        <v>2</v>
      </c>
      <c r="FX134" s="493">
        <v>1</v>
      </c>
      <c r="FY134" s="493"/>
      <c r="FZ134" s="199"/>
      <c r="GA134" s="491">
        <v>4</v>
      </c>
      <c r="GB134" s="492">
        <v>5</v>
      </c>
      <c r="GC134" s="492">
        <v>15</v>
      </c>
      <c r="GD134" s="492">
        <v>7</v>
      </c>
      <c r="GE134" s="493">
        <v>7</v>
      </c>
      <c r="GF134" s="493">
        <v>11</v>
      </c>
      <c r="GG134" s="493">
        <v>11</v>
      </c>
      <c r="GH134" s="493">
        <v>8</v>
      </c>
      <c r="GI134" s="199"/>
      <c r="GJ134" s="491">
        <v>856</v>
      </c>
      <c r="GK134" s="492">
        <v>1062</v>
      </c>
      <c r="GL134" s="492">
        <v>982</v>
      </c>
      <c r="GM134" s="492">
        <v>1005</v>
      </c>
      <c r="GN134" s="493">
        <v>785</v>
      </c>
      <c r="GO134" s="493">
        <v>691</v>
      </c>
      <c r="GP134" s="493">
        <v>494</v>
      </c>
      <c r="GQ134" s="493">
        <v>352</v>
      </c>
      <c r="GR134" s="199"/>
      <c r="GS134" s="491">
        <v>268</v>
      </c>
      <c r="GT134" s="492">
        <v>280</v>
      </c>
      <c r="GU134" s="492">
        <v>271</v>
      </c>
      <c r="GV134" s="492">
        <v>291</v>
      </c>
      <c r="GW134" s="493">
        <v>193</v>
      </c>
      <c r="GX134" s="493">
        <v>135</v>
      </c>
      <c r="GY134" s="493">
        <v>77</v>
      </c>
      <c r="GZ134" s="493">
        <v>55</v>
      </c>
      <c r="HA134" s="199"/>
      <c r="HB134" s="491">
        <v>1</v>
      </c>
      <c r="HC134" s="492">
        <v>1</v>
      </c>
      <c r="HD134" s="492">
        <v>8</v>
      </c>
      <c r="HE134" s="492"/>
      <c r="HF134" s="493">
        <v>2</v>
      </c>
      <c r="HG134" s="493">
        <v>9</v>
      </c>
      <c r="HH134" s="493">
        <v>3</v>
      </c>
      <c r="HI134" s="493">
        <v>1</v>
      </c>
      <c r="HJ134" s="199"/>
      <c r="HK134" s="491">
        <v>1</v>
      </c>
      <c r="HL134" s="492"/>
      <c r="HM134" s="492"/>
      <c r="HN134" s="492"/>
      <c r="HO134" s="493"/>
      <c r="HP134" s="493">
        <v>3</v>
      </c>
      <c r="HQ134" s="493">
        <v>4</v>
      </c>
      <c r="HR134" s="493">
        <v>4</v>
      </c>
      <c r="HS134" s="199"/>
      <c r="HT134" s="491">
        <v>382</v>
      </c>
      <c r="HU134" s="492">
        <v>386</v>
      </c>
      <c r="HV134" s="492">
        <v>404</v>
      </c>
      <c r="HW134" s="492">
        <v>412</v>
      </c>
      <c r="HX134" s="493">
        <v>316</v>
      </c>
      <c r="HY134" s="493">
        <v>278</v>
      </c>
      <c r="HZ134" s="493">
        <v>198</v>
      </c>
      <c r="IA134" s="493">
        <v>165</v>
      </c>
      <c r="IB134" s="199"/>
      <c r="IC134" s="491">
        <v>1447</v>
      </c>
      <c r="ID134" s="492">
        <v>1814</v>
      </c>
      <c r="IE134" s="492">
        <v>1513</v>
      </c>
      <c r="IF134" s="492">
        <v>1451</v>
      </c>
      <c r="IG134" s="493">
        <v>1212</v>
      </c>
      <c r="IH134" s="493">
        <v>1202</v>
      </c>
      <c r="II134" s="493">
        <v>985</v>
      </c>
      <c r="IJ134" s="493">
        <v>682</v>
      </c>
      <c r="IK134" s="199"/>
      <c r="IL134" s="491">
        <v>133</v>
      </c>
      <c r="IM134" s="492">
        <v>159</v>
      </c>
      <c r="IN134" s="492">
        <v>163</v>
      </c>
      <c r="IO134" s="492">
        <v>113</v>
      </c>
      <c r="IP134" s="493">
        <v>32</v>
      </c>
      <c r="IQ134" s="493">
        <v>81</v>
      </c>
      <c r="IR134" s="493">
        <v>68</v>
      </c>
      <c r="IS134" s="493">
        <v>51</v>
      </c>
      <c r="IT134" s="199"/>
      <c r="IU134" s="533">
        <v>2432.7505043712172</v>
      </c>
      <c r="IV134" s="534">
        <v>3085.6112538059842</v>
      </c>
      <c r="IW134" s="534">
        <v>2595.4643702610902</v>
      </c>
      <c r="IX134" s="534">
        <v>2412.3426823388586</v>
      </c>
      <c r="IY134" s="535">
        <v>2025.6718812675492</v>
      </c>
      <c r="IZ134" s="535">
        <v>2053.3930367498738</v>
      </c>
      <c r="JA134" s="535">
        <v>1743.0851722734433</v>
      </c>
      <c r="JB134" s="535">
        <v>1216.1632012553944</v>
      </c>
      <c r="JC134" s="536"/>
      <c r="JD134" s="537">
        <v>642.23268325487561</v>
      </c>
      <c r="JE134" s="538">
        <v>656.58541563898007</v>
      </c>
      <c r="JF134" s="538">
        <v>693.0387346896764</v>
      </c>
      <c r="JG134" s="538">
        <v>684.96566858966901</v>
      </c>
      <c r="JH134" s="538">
        <v>528.14547399384946</v>
      </c>
      <c r="JI134" s="539">
        <v>470.01893584917838</v>
      </c>
      <c r="JJ134" s="539">
        <v>350.38666407120991</v>
      </c>
      <c r="JK134" s="539">
        <v>294.23303256178895</v>
      </c>
      <c r="JL134" s="536"/>
      <c r="JM134" s="537">
        <v>1439.1392064559516</v>
      </c>
      <c r="JN134" s="538">
        <v>1806.4603922502511</v>
      </c>
      <c r="JO134" s="538">
        <v>1684.5644491714413</v>
      </c>
      <c r="JP134" s="538">
        <v>1670.8507207102364</v>
      </c>
      <c r="JQ134" s="538">
        <v>1312.0069528011766</v>
      </c>
      <c r="JR134" s="539">
        <v>1178.6796097937365</v>
      </c>
      <c r="JS134" s="539">
        <v>874.19703056150354</v>
      </c>
      <c r="JT134" s="539">
        <v>627.69713613181636</v>
      </c>
      <c r="JU134" s="536"/>
      <c r="JV134" s="537">
        <v>450.57162071284461</v>
      </c>
      <c r="JW134" s="538">
        <v>476.27957611117728</v>
      </c>
      <c r="JX134" s="538">
        <v>464.88489381411472</v>
      </c>
      <c r="JY134" s="538">
        <v>483.79856689221765</v>
      </c>
      <c r="JZ134" s="538">
        <v>322.56986228105359</v>
      </c>
      <c r="KA134" s="539">
        <v>230.91236747119433</v>
      </c>
      <c r="KB134" s="539">
        <v>136.26148047213718</v>
      </c>
      <c r="KC134" s="539">
        <v>98.077677520596311</v>
      </c>
      <c r="KD134" s="536"/>
    </row>
    <row r="135" spans="1:290" ht="15" customHeight="1" x14ac:dyDescent="0.2">
      <c r="A135" s="930"/>
      <c r="B135" s="490" t="s">
        <v>738</v>
      </c>
      <c r="C135" s="491">
        <v>2</v>
      </c>
      <c r="D135" s="492">
        <v>5</v>
      </c>
      <c r="E135" s="492">
        <v>3</v>
      </c>
      <c r="F135" s="492">
        <v>2</v>
      </c>
      <c r="G135" s="493">
        <v>3</v>
      </c>
      <c r="H135" s="493">
        <v>4</v>
      </c>
      <c r="I135" s="493">
        <v>1</v>
      </c>
      <c r="J135" s="493">
        <v>1</v>
      </c>
      <c r="K135" s="199"/>
      <c r="L135" s="491">
        <v>1</v>
      </c>
      <c r="M135" s="492">
        <v>1</v>
      </c>
      <c r="N135" s="492"/>
      <c r="O135" s="492">
        <v>1</v>
      </c>
      <c r="P135" s="493">
        <v>2</v>
      </c>
      <c r="Q135" s="493">
        <v>2</v>
      </c>
      <c r="R135" s="493">
        <v>1</v>
      </c>
      <c r="S135" s="493"/>
      <c r="T135" s="199"/>
      <c r="U135" s="491">
        <v>1</v>
      </c>
      <c r="V135" s="492">
        <v>4</v>
      </c>
      <c r="W135" s="492">
        <v>2</v>
      </c>
      <c r="X135" s="492">
        <v>1</v>
      </c>
      <c r="Y135" s="493">
        <v>1</v>
      </c>
      <c r="Z135" s="493">
        <v>2</v>
      </c>
      <c r="AA135" s="493"/>
      <c r="AB135" s="493"/>
      <c r="AC135" s="199"/>
      <c r="AD135" s="491">
        <v>270</v>
      </c>
      <c r="AE135" s="492">
        <v>199</v>
      </c>
      <c r="AF135" s="492">
        <v>274</v>
      </c>
      <c r="AG135" s="492">
        <v>294</v>
      </c>
      <c r="AH135" s="493">
        <v>259</v>
      </c>
      <c r="AI135" s="493">
        <v>277</v>
      </c>
      <c r="AJ135" s="493">
        <v>209</v>
      </c>
      <c r="AK135" s="493">
        <v>159</v>
      </c>
      <c r="AL135" s="199"/>
      <c r="AM135" s="491">
        <v>148</v>
      </c>
      <c r="AN135" s="492">
        <v>105</v>
      </c>
      <c r="AO135" s="492">
        <v>182</v>
      </c>
      <c r="AP135" s="492">
        <v>213</v>
      </c>
      <c r="AQ135" s="493">
        <v>199</v>
      </c>
      <c r="AR135" s="493">
        <v>184</v>
      </c>
      <c r="AS135" s="493">
        <v>151</v>
      </c>
      <c r="AT135" s="493">
        <v>117</v>
      </c>
      <c r="AU135" s="199"/>
      <c r="AV135" s="491"/>
      <c r="AW135" s="492"/>
      <c r="AX135" s="492"/>
      <c r="AY135" s="492"/>
      <c r="AZ135" s="493"/>
      <c r="BA135" s="493">
        <v>1</v>
      </c>
      <c r="BB135" s="493"/>
      <c r="BC135" s="493"/>
      <c r="BD135" s="199"/>
      <c r="BE135" s="491">
        <v>21</v>
      </c>
      <c r="BF135" s="492">
        <v>25</v>
      </c>
      <c r="BG135" s="492">
        <v>17</v>
      </c>
      <c r="BH135" s="492">
        <v>10</v>
      </c>
      <c r="BI135" s="493">
        <v>14</v>
      </c>
      <c r="BJ135" s="493">
        <v>16</v>
      </c>
      <c r="BK135" s="493">
        <v>9</v>
      </c>
      <c r="BL135" s="493">
        <v>7</v>
      </c>
      <c r="BM135" s="199"/>
      <c r="BN135" s="491">
        <v>2</v>
      </c>
      <c r="BO135" s="492">
        <v>1</v>
      </c>
      <c r="BP135" s="492"/>
      <c r="BQ135" s="492">
        <v>2</v>
      </c>
      <c r="BR135" s="493"/>
      <c r="BS135" s="493"/>
      <c r="BT135" s="493">
        <v>2</v>
      </c>
      <c r="BU135" s="493">
        <v>1</v>
      </c>
      <c r="BV135" s="199"/>
      <c r="BW135" s="491">
        <v>181</v>
      </c>
      <c r="BX135" s="492">
        <v>173</v>
      </c>
      <c r="BY135" s="492">
        <v>197</v>
      </c>
      <c r="BZ135" s="492">
        <v>165</v>
      </c>
      <c r="CA135" s="493">
        <v>158</v>
      </c>
      <c r="CB135" s="493">
        <v>167</v>
      </c>
      <c r="CC135" s="493">
        <v>122</v>
      </c>
      <c r="CD135" s="493">
        <v>79</v>
      </c>
      <c r="CE135" s="199"/>
      <c r="CF135" s="491">
        <v>7</v>
      </c>
      <c r="CG135" s="492">
        <v>7</v>
      </c>
      <c r="CH135" s="492">
        <v>11</v>
      </c>
      <c r="CI135" s="492">
        <v>10</v>
      </c>
      <c r="CJ135" s="493">
        <v>12</v>
      </c>
      <c r="CK135" s="493">
        <v>10</v>
      </c>
      <c r="CL135" s="493">
        <v>2</v>
      </c>
      <c r="CM135" s="493">
        <v>2</v>
      </c>
      <c r="CN135" s="199"/>
      <c r="CO135" s="491">
        <v>12</v>
      </c>
      <c r="CP135" s="492">
        <v>2</v>
      </c>
      <c r="CQ135" s="492">
        <v>2</v>
      </c>
      <c r="CR135" s="492">
        <v>2</v>
      </c>
      <c r="CS135" s="493">
        <v>3</v>
      </c>
      <c r="CT135" s="493">
        <v>2</v>
      </c>
      <c r="CU135" s="493">
        <v>3</v>
      </c>
      <c r="CV135" s="493">
        <v>2</v>
      </c>
      <c r="CW135" s="199"/>
      <c r="CX135" s="491">
        <v>824</v>
      </c>
      <c r="CY135" s="492">
        <v>946</v>
      </c>
      <c r="CZ135" s="492">
        <v>1007</v>
      </c>
      <c r="DA135" s="492">
        <v>890</v>
      </c>
      <c r="DB135" s="493">
        <v>831</v>
      </c>
      <c r="DC135" s="493">
        <v>697</v>
      </c>
      <c r="DD135" s="493">
        <v>655</v>
      </c>
      <c r="DE135" s="493">
        <v>547</v>
      </c>
      <c r="DF135" s="199"/>
      <c r="DG135" s="491">
        <v>6</v>
      </c>
      <c r="DH135" s="492"/>
      <c r="DI135" s="492">
        <v>1</v>
      </c>
      <c r="DJ135" s="492">
        <v>3</v>
      </c>
      <c r="DK135" s="493">
        <v>2</v>
      </c>
      <c r="DL135" s="493">
        <v>3</v>
      </c>
      <c r="DM135" s="493">
        <v>1</v>
      </c>
      <c r="DN135" s="493">
        <v>3</v>
      </c>
      <c r="DO135" s="199"/>
      <c r="DP135" s="491">
        <v>12</v>
      </c>
      <c r="DQ135" s="492">
        <v>9</v>
      </c>
      <c r="DR135" s="492">
        <v>10</v>
      </c>
      <c r="DS135" s="492">
        <v>6</v>
      </c>
      <c r="DT135" s="493">
        <v>3</v>
      </c>
      <c r="DU135" s="493">
        <v>9</v>
      </c>
      <c r="DV135" s="493">
        <v>4</v>
      </c>
      <c r="DW135" s="493">
        <v>5</v>
      </c>
      <c r="DX135" s="199"/>
      <c r="DY135" s="491">
        <v>88</v>
      </c>
      <c r="DZ135" s="492">
        <v>140</v>
      </c>
      <c r="EA135" s="492">
        <v>92</v>
      </c>
      <c r="EB135" s="492">
        <v>89</v>
      </c>
      <c r="EC135" s="493">
        <v>139</v>
      </c>
      <c r="ED135" s="493">
        <v>117</v>
      </c>
      <c r="EE135" s="493">
        <v>118</v>
      </c>
      <c r="EF135" s="493">
        <v>86</v>
      </c>
      <c r="EG135" s="199"/>
      <c r="EH135" s="491">
        <v>16</v>
      </c>
      <c r="EI135" s="492">
        <v>11</v>
      </c>
      <c r="EJ135" s="492">
        <v>11</v>
      </c>
      <c r="EK135" s="492">
        <v>8</v>
      </c>
      <c r="EL135" s="493">
        <v>6</v>
      </c>
      <c r="EM135" s="493">
        <v>4</v>
      </c>
      <c r="EN135" s="493">
        <v>7</v>
      </c>
      <c r="EO135" s="493">
        <v>4</v>
      </c>
      <c r="EP135" s="199"/>
      <c r="EQ135" s="491"/>
      <c r="ER135" s="492">
        <v>1</v>
      </c>
      <c r="ES135" s="492">
        <v>1</v>
      </c>
      <c r="ET135" s="492">
        <v>1</v>
      </c>
      <c r="EU135" s="493">
        <v>1</v>
      </c>
      <c r="EV135" s="493">
        <v>20</v>
      </c>
      <c r="EW135" s="493">
        <v>8</v>
      </c>
      <c r="EX135" s="493">
        <v>7</v>
      </c>
      <c r="EY135" s="199"/>
      <c r="EZ135" s="491">
        <v>3</v>
      </c>
      <c r="FA135" s="492">
        <v>9</v>
      </c>
      <c r="FB135" s="492">
        <v>3</v>
      </c>
      <c r="FC135" s="492">
        <v>9</v>
      </c>
      <c r="FD135" s="493">
        <v>4</v>
      </c>
      <c r="FE135" s="493">
        <v>9</v>
      </c>
      <c r="FF135" s="493">
        <v>4</v>
      </c>
      <c r="FG135" s="493">
        <v>1</v>
      </c>
      <c r="FH135" s="199"/>
      <c r="FI135" s="491">
        <v>64</v>
      </c>
      <c r="FJ135" s="492">
        <v>69</v>
      </c>
      <c r="FK135" s="492">
        <v>46</v>
      </c>
      <c r="FL135" s="492">
        <v>126</v>
      </c>
      <c r="FM135" s="493">
        <v>52</v>
      </c>
      <c r="FN135" s="493">
        <v>30</v>
      </c>
      <c r="FO135" s="493">
        <v>35</v>
      </c>
      <c r="FP135" s="493">
        <v>20</v>
      </c>
      <c r="FQ135" s="199"/>
      <c r="FR135" s="491">
        <v>13</v>
      </c>
      <c r="FS135" s="492">
        <v>6</v>
      </c>
      <c r="FT135" s="492">
        <v>7</v>
      </c>
      <c r="FU135" s="492">
        <v>8</v>
      </c>
      <c r="FV135" s="493">
        <v>5</v>
      </c>
      <c r="FW135" s="493">
        <v>1</v>
      </c>
      <c r="FX135" s="493">
        <v>3</v>
      </c>
      <c r="FY135" s="493">
        <v>4</v>
      </c>
      <c r="FZ135" s="199"/>
      <c r="GA135" s="491">
        <v>9</v>
      </c>
      <c r="GB135" s="492">
        <v>10</v>
      </c>
      <c r="GC135" s="492">
        <v>10</v>
      </c>
      <c r="GD135" s="492">
        <v>9</v>
      </c>
      <c r="GE135" s="493">
        <v>16</v>
      </c>
      <c r="GF135" s="493">
        <v>15</v>
      </c>
      <c r="GG135" s="493">
        <v>12</v>
      </c>
      <c r="GH135" s="493">
        <v>20</v>
      </c>
      <c r="GI135" s="199"/>
      <c r="GJ135" s="491">
        <v>1424</v>
      </c>
      <c r="GK135" s="492">
        <v>1464</v>
      </c>
      <c r="GL135" s="492">
        <v>1589</v>
      </c>
      <c r="GM135" s="492">
        <v>1536</v>
      </c>
      <c r="GN135" s="493">
        <v>1364</v>
      </c>
      <c r="GO135" s="493">
        <v>1252</v>
      </c>
      <c r="GP135" s="493">
        <v>1072</v>
      </c>
      <c r="GQ135" s="493">
        <v>854</v>
      </c>
      <c r="GR135" s="199"/>
      <c r="GS135" s="491">
        <v>510</v>
      </c>
      <c r="GT135" s="492">
        <v>450</v>
      </c>
      <c r="GU135" s="492">
        <v>505</v>
      </c>
      <c r="GV135" s="492">
        <v>528</v>
      </c>
      <c r="GW135" s="493">
        <v>301</v>
      </c>
      <c r="GX135" s="493">
        <v>254</v>
      </c>
      <c r="GY135" s="493">
        <v>198</v>
      </c>
      <c r="GZ135" s="493">
        <v>181</v>
      </c>
      <c r="HA135" s="199"/>
      <c r="HB135" s="491">
        <v>6</v>
      </c>
      <c r="HC135" s="492">
        <v>4</v>
      </c>
      <c r="HD135" s="492">
        <v>4</v>
      </c>
      <c r="HE135" s="492">
        <v>7</v>
      </c>
      <c r="HF135" s="493">
        <v>7</v>
      </c>
      <c r="HG135" s="493">
        <v>4</v>
      </c>
      <c r="HH135" s="493">
        <v>6</v>
      </c>
      <c r="HI135" s="493">
        <v>5</v>
      </c>
      <c r="HJ135" s="199"/>
      <c r="HK135" s="491">
        <v>2</v>
      </c>
      <c r="HL135" s="492">
        <v>2</v>
      </c>
      <c r="HM135" s="492"/>
      <c r="HN135" s="492">
        <v>4</v>
      </c>
      <c r="HO135" s="493">
        <v>3</v>
      </c>
      <c r="HP135" s="493">
        <v>6</v>
      </c>
      <c r="HQ135" s="493">
        <v>1</v>
      </c>
      <c r="HR135" s="493">
        <v>4</v>
      </c>
      <c r="HS135" s="199"/>
      <c r="HT135" s="491">
        <v>670</v>
      </c>
      <c r="HU135" s="492">
        <v>589</v>
      </c>
      <c r="HV135" s="492">
        <v>637</v>
      </c>
      <c r="HW135" s="492">
        <v>669</v>
      </c>
      <c r="HX135" s="493">
        <v>442</v>
      </c>
      <c r="HY135" s="493">
        <v>420</v>
      </c>
      <c r="HZ135" s="493">
        <v>377</v>
      </c>
      <c r="IA135" s="493">
        <v>313</v>
      </c>
      <c r="IB135" s="199"/>
      <c r="IC135" s="491">
        <v>2322</v>
      </c>
      <c r="ID135" s="492">
        <v>2355</v>
      </c>
      <c r="IE135" s="492">
        <v>2235</v>
      </c>
      <c r="IF135" s="492">
        <v>2102</v>
      </c>
      <c r="IG135" s="493">
        <v>1885</v>
      </c>
      <c r="IH135" s="493">
        <v>1978</v>
      </c>
      <c r="II135" s="493">
        <v>1691</v>
      </c>
      <c r="IJ135" s="493">
        <v>1303</v>
      </c>
      <c r="IK135" s="199"/>
      <c r="IL135" s="491">
        <v>241</v>
      </c>
      <c r="IM135" s="492">
        <v>315</v>
      </c>
      <c r="IN135" s="492">
        <v>244</v>
      </c>
      <c r="IO135" s="492">
        <v>144</v>
      </c>
      <c r="IP135" s="493">
        <v>112</v>
      </c>
      <c r="IQ135" s="493">
        <v>149</v>
      </c>
      <c r="IR135" s="493">
        <v>166</v>
      </c>
      <c r="IS135" s="493">
        <v>119</v>
      </c>
      <c r="IT135" s="199"/>
      <c r="IU135" s="533">
        <v>2964.1922512286969</v>
      </c>
      <c r="IV135" s="534">
        <v>3042.557039869771</v>
      </c>
      <c r="IW135" s="534">
        <v>2906.3341178918349</v>
      </c>
      <c r="IX135" s="534">
        <v>2631.7107371794873</v>
      </c>
      <c r="IY135" s="535">
        <v>2371.6658278812279</v>
      </c>
      <c r="IZ135" s="535">
        <v>2495.5269134567116</v>
      </c>
      <c r="JA135" s="535">
        <v>2152.6593171576237</v>
      </c>
      <c r="JB135" s="535">
        <v>1650.1608368582356</v>
      </c>
      <c r="JC135" s="536"/>
      <c r="JD135" s="537">
        <v>855.30095104359486</v>
      </c>
      <c r="JE135" s="538">
        <v>760.9622490374926</v>
      </c>
      <c r="JF135" s="538">
        <v>828.33773292935075</v>
      </c>
      <c r="JG135" s="538">
        <v>837.59014423076917</v>
      </c>
      <c r="JH135" s="538">
        <v>556.11474584801203</v>
      </c>
      <c r="JI135" s="539">
        <v>530.43679852902278</v>
      </c>
      <c r="JJ135" s="539">
        <v>479.92463782875473</v>
      </c>
      <c r="JK135" s="539">
        <v>396.39320179326762</v>
      </c>
      <c r="JL135" s="536"/>
      <c r="JM135" s="537">
        <v>1817.8336631135508</v>
      </c>
      <c r="JN135" s="538">
        <v>1891.423994212036</v>
      </c>
      <c r="JO135" s="538">
        <v>2066.2930260984904</v>
      </c>
      <c r="JP135" s="538">
        <v>1923.0769230769231</v>
      </c>
      <c r="JQ135" s="538">
        <v>1716.1550075490691</v>
      </c>
      <c r="JR135" s="539">
        <v>1577.12502876593</v>
      </c>
      <c r="JS135" s="539">
        <v>1364.6663441708888</v>
      </c>
      <c r="JT135" s="539">
        <v>1081.5328892378614</v>
      </c>
      <c r="JU135" s="536"/>
      <c r="JV135" s="537">
        <v>651.04997766004976</v>
      </c>
      <c r="JW135" s="538">
        <v>581.38032608976505</v>
      </c>
      <c r="JX135" s="538">
        <v>656.68846959077257</v>
      </c>
      <c r="JY135" s="538">
        <v>661.05769230769226</v>
      </c>
      <c r="JZ135" s="538">
        <v>378.71162556618015</v>
      </c>
      <c r="KA135" s="539">
        <v>321.01729296707936</v>
      </c>
      <c r="KB135" s="539">
        <v>252.05591058380222</v>
      </c>
      <c r="KC135" s="539">
        <v>229.22418378460526</v>
      </c>
      <c r="KD135" s="536"/>
    </row>
    <row r="136" spans="1:290" ht="15" customHeight="1" x14ac:dyDescent="0.2">
      <c r="A136" s="930"/>
      <c r="B136" s="490" t="s">
        <v>625</v>
      </c>
      <c r="C136" s="491">
        <v>1</v>
      </c>
      <c r="D136" s="492">
        <v>2</v>
      </c>
      <c r="E136" s="492"/>
      <c r="F136" s="492">
        <v>2</v>
      </c>
      <c r="G136" s="493"/>
      <c r="H136" s="493">
        <v>1</v>
      </c>
      <c r="I136" s="493">
        <v>2</v>
      </c>
      <c r="J136" s="493">
        <v>1</v>
      </c>
      <c r="K136" s="199"/>
      <c r="L136" s="491">
        <v>1</v>
      </c>
      <c r="M136" s="492"/>
      <c r="N136" s="492"/>
      <c r="O136" s="492"/>
      <c r="P136" s="493"/>
      <c r="Q136" s="493">
        <v>1</v>
      </c>
      <c r="R136" s="493"/>
      <c r="S136" s="493"/>
      <c r="T136" s="199"/>
      <c r="U136" s="491"/>
      <c r="V136" s="492">
        <v>1</v>
      </c>
      <c r="W136" s="492"/>
      <c r="X136" s="492">
        <v>2</v>
      </c>
      <c r="Y136" s="493"/>
      <c r="Z136" s="493"/>
      <c r="AA136" s="493"/>
      <c r="AB136" s="493">
        <v>1</v>
      </c>
      <c r="AC136" s="199"/>
      <c r="AD136" s="491">
        <v>64</v>
      </c>
      <c r="AE136" s="492">
        <v>60</v>
      </c>
      <c r="AF136" s="492">
        <v>63</v>
      </c>
      <c r="AG136" s="492">
        <v>100</v>
      </c>
      <c r="AH136" s="493">
        <v>56</v>
      </c>
      <c r="AI136" s="493">
        <v>57</v>
      </c>
      <c r="AJ136" s="493">
        <v>65</v>
      </c>
      <c r="AK136" s="493">
        <v>57</v>
      </c>
      <c r="AL136" s="199"/>
      <c r="AM136" s="491">
        <v>41</v>
      </c>
      <c r="AN136" s="492">
        <v>45</v>
      </c>
      <c r="AO136" s="492">
        <v>40</v>
      </c>
      <c r="AP136" s="492">
        <v>71</v>
      </c>
      <c r="AQ136" s="493">
        <v>41</v>
      </c>
      <c r="AR136" s="493">
        <v>36</v>
      </c>
      <c r="AS136" s="493">
        <v>44</v>
      </c>
      <c r="AT136" s="493">
        <v>43</v>
      </c>
      <c r="AU136" s="199"/>
      <c r="AV136" s="491"/>
      <c r="AW136" s="492"/>
      <c r="AX136" s="492"/>
      <c r="AY136" s="492"/>
      <c r="AZ136" s="493"/>
      <c r="BA136" s="493"/>
      <c r="BB136" s="493"/>
      <c r="BC136" s="493"/>
      <c r="BD136" s="199"/>
      <c r="BE136" s="491">
        <v>12</v>
      </c>
      <c r="BF136" s="492">
        <v>16</v>
      </c>
      <c r="BG136" s="492">
        <v>12</v>
      </c>
      <c r="BH136" s="492">
        <v>13</v>
      </c>
      <c r="BI136" s="493">
        <v>16</v>
      </c>
      <c r="BJ136" s="493">
        <v>27</v>
      </c>
      <c r="BK136" s="493">
        <v>36</v>
      </c>
      <c r="BL136" s="493">
        <v>8</v>
      </c>
      <c r="BM136" s="199"/>
      <c r="BN136" s="491"/>
      <c r="BO136" s="492"/>
      <c r="BP136" s="492"/>
      <c r="BQ136" s="492"/>
      <c r="BR136" s="493"/>
      <c r="BS136" s="493"/>
      <c r="BT136" s="493"/>
      <c r="BU136" s="493">
        <v>1</v>
      </c>
      <c r="BV136" s="199"/>
      <c r="BW136" s="491">
        <v>36</v>
      </c>
      <c r="BX136" s="492">
        <v>36</v>
      </c>
      <c r="BY136" s="492">
        <v>40</v>
      </c>
      <c r="BZ136" s="492">
        <v>67</v>
      </c>
      <c r="CA136" s="493">
        <v>45</v>
      </c>
      <c r="CB136" s="493">
        <v>38</v>
      </c>
      <c r="CC136" s="493">
        <v>31</v>
      </c>
      <c r="CD136" s="493">
        <v>33</v>
      </c>
      <c r="CE136" s="199"/>
      <c r="CF136" s="491">
        <v>8</v>
      </c>
      <c r="CG136" s="492">
        <v>1</v>
      </c>
      <c r="CH136" s="492">
        <v>1</v>
      </c>
      <c r="CI136" s="492">
        <v>4</v>
      </c>
      <c r="CJ136" s="493">
        <v>3</v>
      </c>
      <c r="CK136" s="493">
        <v>1</v>
      </c>
      <c r="CL136" s="493">
        <v>1</v>
      </c>
      <c r="CM136" s="493">
        <v>3</v>
      </c>
      <c r="CN136" s="199"/>
      <c r="CO136" s="491"/>
      <c r="CP136" s="492"/>
      <c r="CQ136" s="492"/>
      <c r="CR136" s="492"/>
      <c r="CS136" s="493">
        <v>4</v>
      </c>
      <c r="CT136" s="493">
        <v>7</v>
      </c>
      <c r="CU136" s="493">
        <v>4</v>
      </c>
      <c r="CV136" s="493">
        <v>3</v>
      </c>
      <c r="CW136" s="199"/>
      <c r="CX136" s="491">
        <v>532</v>
      </c>
      <c r="CY136" s="492">
        <v>633</v>
      </c>
      <c r="CZ136" s="492">
        <v>728</v>
      </c>
      <c r="DA136" s="492">
        <v>549</v>
      </c>
      <c r="DB136" s="493">
        <v>536</v>
      </c>
      <c r="DC136" s="493">
        <v>432</v>
      </c>
      <c r="DD136" s="493">
        <v>352</v>
      </c>
      <c r="DE136" s="493">
        <v>233</v>
      </c>
      <c r="DF136" s="199"/>
      <c r="DG136" s="491"/>
      <c r="DH136" s="492">
        <v>3</v>
      </c>
      <c r="DI136" s="492">
        <v>1</v>
      </c>
      <c r="DJ136" s="492">
        <v>2</v>
      </c>
      <c r="DK136" s="493">
        <v>1</v>
      </c>
      <c r="DL136" s="493">
        <v>1</v>
      </c>
      <c r="DM136" s="493"/>
      <c r="DN136" s="493"/>
      <c r="DO136" s="199"/>
      <c r="DP136" s="491">
        <v>6</v>
      </c>
      <c r="DQ136" s="492">
        <v>6</v>
      </c>
      <c r="DR136" s="492">
        <v>10</v>
      </c>
      <c r="DS136" s="492">
        <v>3</v>
      </c>
      <c r="DT136" s="493">
        <v>3</v>
      </c>
      <c r="DU136" s="493">
        <v>4</v>
      </c>
      <c r="DV136" s="493">
        <v>2</v>
      </c>
      <c r="DW136" s="493">
        <v>3</v>
      </c>
      <c r="DX136" s="199"/>
      <c r="DY136" s="491">
        <v>85</v>
      </c>
      <c r="DZ136" s="492">
        <v>84</v>
      </c>
      <c r="EA136" s="492">
        <v>119</v>
      </c>
      <c r="EB136" s="492">
        <v>83</v>
      </c>
      <c r="EC136" s="493">
        <v>112</v>
      </c>
      <c r="ED136" s="493">
        <v>104</v>
      </c>
      <c r="EE136" s="493">
        <v>74</v>
      </c>
      <c r="EF136" s="493">
        <v>46</v>
      </c>
      <c r="EG136" s="199"/>
      <c r="EH136" s="491">
        <v>4</v>
      </c>
      <c r="EI136" s="492">
        <v>9</v>
      </c>
      <c r="EJ136" s="492">
        <v>3</v>
      </c>
      <c r="EK136" s="492">
        <v>5</v>
      </c>
      <c r="EL136" s="493">
        <v>12</v>
      </c>
      <c r="EM136" s="493">
        <v>5</v>
      </c>
      <c r="EN136" s="493">
        <v>2</v>
      </c>
      <c r="EO136" s="493">
        <v>4</v>
      </c>
      <c r="EP136" s="199"/>
      <c r="EQ136" s="491"/>
      <c r="ER136" s="492"/>
      <c r="ES136" s="492">
        <v>3</v>
      </c>
      <c r="ET136" s="492">
        <v>3</v>
      </c>
      <c r="EU136" s="493">
        <v>2</v>
      </c>
      <c r="EV136" s="493"/>
      <c r="EW136" s="493">
        <v>2</v>
      </c>
      <c r="EX136" s="493">
        <v>1</v>
      </c>
      <c r="EY136" s="199"/>
      <c r="EZ136" s="491">
        <v>5</v>
      </c>
      <c r="FA136" s="492"/>
      <c r="FB136" s="492">
        <v>5</v>
      </c>
      <c r="FC136" s="492">
        <v>5</v>
      </c>
      <c r="FD136" s="493">
        <v>17</v>
      </c>
      <c r="FE136" s="493">
        <v>2</v>
      </c>
      <c r="FF136" s="493">
        <v>2</v>
      </c>
      <c r="FG136" s="493">
        <v>2</v>
      </c>
      <c r="FH136" s="199"/>
      <c r="FI136" s="491">
        <v>26</v>
      </c>
      <c r="FJ136" s="492">
        <v>31</v>
      </c>
      <c r="FK136" s="492">
        <v>28</v>
      </c>
      <c r="FL136" s="492">
        <v>20</v>
      </c>
      <c r="FM136" s="493">
        <v>19</v>
      </c>
      <c r="FN136" s="493">
        <v>8</v>
      </c>
      <c r="FO136" s="493">
        <v>14</v>
      </c>
      <c r="FP136" s="493">
        <v>19</v>
      </c>
      <c r="FQ136" s="199"/>
      <c r="FR136" s="491">
        <v>3</v>
      </c>
      <c r="FS136" s="492">
        <v>5</v>
      </c>
      <c r="FT136" s="492">
        <v>6</v>
      </c>
      <c r="FU136" s="492">
        <v>2</v>
      </c>
      <c r="FV136" s="493">
        <v>1</v>
      </c>
      <c r="FW136" s="493">
        <v>1</v>
      </c>
      <c r="FX136" s="493">
        <v>1</v>
      </c>
      <c r="FY136" s="493">
        <v>1</v>
      </c>
      <c r="FZ136" s="199"/>
      <c r="GA136" s="491">
        <v>2</v>
      </c>
      <c r="GB136" s="492">
        <v>1</v>
      </c>
      <c r="GC136" s="492"/>
      <c r="GD136" s="492"/>
      <c r="GE136" s="493"/>
      <c r="GF136" s="493">
        <v>6</v>
      </c>
      <c r="GG136" s="493">
        <v>3</v>
      </c>
      <c r="GH136" s="493">
        <v>3</v>
      </c>
      <c r="GI136" s="199"/>
      <c r="GJ136" s="491">
        <v>693</v>
      </c>
      <c r="GK136" s="492">
        <v>794</v>
      </c>
      <c r="GL136" s="492">
        <v>889</v>
      </c>
      <c r="GM136" s="492">
        <v>770</v>
      </c>
      <c r="GN136" s="493">
        <v>711</v>
      </c>
      <c r="GO136" s="493">
        <v>585</v>
      </c>
      <c r="GP136" s="493">
        <v>515</v>
      </c>
      <c r="GQ136" s="493">
        <v>369</v>
      </c>
      <c r="GR136" s="199"/>
      <c r="GS136" s="491">
        <v>128</v>
      </c>
      <c r="GT136" s="492">
        <v>125</v>
      </c>
      <c r="GU136" s="492">
        <v>148</v>
      </c>
      <c r="GV136" s="492">
        <v>142</v>
      </c>
      <c r="GW136" s="493">
        <v>84</v>
      </c>
      <c r="GX136" s="493">
        <v>53</v>
      </c>
      <c r="GY136" s="493">
        <v>74</v>
      </c>
      <c r="GZ136" s="493">
        <v>72</v>
      </c>
      <c r="HA136" s="199"/>
      <c r="HB136" s="491">
        <v>2</v>
      </c>
      <c r="HC136" s="492">
        <v>4</v>
      </c>
      <c r="HD136" s="492">
        <v>2</v>
      </c>
      <c r="HE136" s="492">
        <v>2</v>
      </c>
      <c r="HF136" s="493">
        <v>5</v>
      </c>
      <c r="HG136" s="493"/>
      <c r="HH136" s="493">
        <v>1</v>
      </c>
      <c r="HI136" s="493">
        <v>3</v>
      </c>
      <c r="HJ136" s="199"/>
      <c r="HK136" s="491">
        <v>2</v>
      </c>
      <c r="HL136" s="492">
        <v>2</v>
      </c>
      <c r="HM136" s="492"/>
      <c r="HN136" s="492">
        <v>2</v>
      </c>
      <c r="HO136" s="493"/>
      <c r="HP136" s="493">
        <v>1</v>
      </c>
      <c r="HQ136" s="493">
        <v>4</v>
      </c>
      <c r="HR136" s="493">
        <v>3</v>
      </c>
      <c r="HS136" s="199"/>
      <c r="HT136" s="491">
        <v>200</v>
      </c>
      <c r="HU136" s="492">
        <v>180</v>
      </c>
      <c r="HV136" s="492">
        <v>190</v>
      </c>
      <c r="HW136" s="492">
        <v>195</v>
      </c>
      <c r="HX136" s="493">
        <v>374</v>
      </c>
      <c r="HY136" s="493">
        <v>106</v>
      </c>
      <c r="HZ136" s="493">
        <v>136</v>
      </c>
      <c r="IA136" s="493">
        <v>125</v>
      </c>
      <c r="IB136" s="199"/>
      <c r="IC136" s="491">
        <v>970</v>
      </c>
      <c r="ID136" s="492">
        <v>1056</v>
      </c>
      <c r="IE136" s="492">
        <v>1137</v>
      </c>
      <c r="IF136" s="492">
        <v>1164</v>
      </c>
      <c r="IG136" s="493">
        <v>1156</v>
      </c>
      <c r="IH136" s="493">
        <v>787</v>
      </c>
      <c r="II136" s="493">
        <v>721</v>
      </c>
      <c r="IJ136" s="493">
        <v>551</v>
      </c>
      <c r="IK136" s="199"/>
      <c r="IL136" s="491">
        <v>181</v>
      </c>
      <c r="IM136" s="492">
        <v>196</v>
      </c>
      <c r="IN136" s="492">
        <v>232</v>
      </c>
      <c r="IO136" s="492">
        <v>125</v>
      </c>
      <c r="IP136" s="493">
        <v>85</v>
      </c>
      <c r="IQ136" s="493">
        <v>150</v>
      </c>
      <c r="IR136" s="493">
        <v>108</v>
      </c>
      <c r="IS136" s="493">
        <v>63</v>
      </c>
      <c r="IT136" s="199"/>
      <c r="IU136" s="533">
        <v>3520.9989473302116</v>
      </c>
      <c r="IV136" s="534">
        <v>3892.6570333235031</v>
      </c>
      <c r="IW136" s="534">
        <v>4224.4101801969164</v>
      </c>
      <c r="IX136" s="534">
        <v>4262.7993847506041</v>
      </c>
      <c r="IY136" s="535">
        <v>4246.7212813636534</v>
      </c>
      <c r="IZ136" s="535">
        <v>2911.6874468163824</v>
      </c>
      <c r="JA136" s="535">
        <v>2689.7966797239324</v>
      </c>
      <c r="JB136" s="535">
        <v>2080.7371322835238</v>
      </c>
      <c r="JC136" s="536"/>
      <c r="JD136" s="537">
        <v>725.97916439798178</v>
      </c>
      <c r="JE136" s="538">
        <v>663.52108522559718</v>
      </c>
      <c r="JF136" s="538">
        <v>705.92606353334577</v>
      </c>
      <c r="JG136" s="538">
        <v>714.12876290925067</v>
      </c>
      <c r="JH136" s="538">
        <v>1373.9392380882407</v>
      </c>
      <c r="JI136" s="539">
        <v>392.17137148988127</v>
      </c>
      <c r="JJ136" s="539">
        <v>507.36802835291923</v>
      </c>
      <c r="JK136" s="539">
        <v>472.03655451078129</v>
      </c>
      <c r="JL136" s="536"/>
      <c r="JM136" s="537">
        <v>2515.517804639007</v>
      </c>
      <c r="JN136" s="538">
        <v>2926.8652314951341</v>
      </c>
      <c r="JO136" s="538">
        <v>3302.9908972691806</v>
      </c>
      <c r="JP136" s="538">
        <v>2819.8930637955032</v>
      </c>
      <c r="JQ136" s="538">
        <v>2611.9540060982331</v>
      </c>
      <c r="JR136" s="539">
        <v>2164.3420030337784</v>
      </c>
      <c r="JS136" s="539">
        <v>1921.2833426599516</v>
      </c>
      <c r="JT136" s="539">
        <v>1393.4519089158266</v>
      </c>
      <c r="JU136" s="536"/>
      <c r="JV136" s="537">
        <v>464.62666521470834</v>
      </c>
      <c r="JW136" s="538">
        <v>460.77853140666474</v>
      </c>
      <c r="JX136" s="538">
        <v>549.87924948913246</v>
      </c>
      <c r="JY136" s="538">
        <v>520.03222734930057</v>
      </c>
      <c r="JZ136" s="538">
        <v>308.58528342088829</v>
      </c>
      <c r="KA136" s="539">
        <v>196.08568574494063</v>
      </c>
      <c r="KB136" s="539">
        <v>276.06789778026484</v>
      </c>
      <c r="KC136" s="539">
        <v>271.89305539821004</v>
      </c>
      <c r="KD136" s="536"/>
    </row>
    <row r="137" spans="1:290" ht="15" customHeight="1" x14ac:dyDescent="0.2">
      <c r="A137" s="930"/>
      <c r="B137" s="490" t="s">
        <v>739</v>
      </c>
      <c r="C137" s="491">
        <v>4</v>
      </c>
      <c r="D137" s="492">
        <v>3</v>
      </c>
      <c r="E137" s="492">
        <v>1</v>
      </c>
      <c r="F137" s="492">
        <v>2</v>
      </c>
      <c r="G137" s="493">
        <v>2</v>
      </c>
      <c r="H137" s="493"/>
      <c r="I137" s="493">
        <v>1</v>
      </c>
      <c r="J137" s="493"/>
      <c r="K137" s="199"/>
      <c r="L137" s="491">
        <v>1</v>
      </c>
      <c r="M137" s="492">
        <v>1</v>
      </c>
      <c r="N137" s="492">
        <v>1</v>
      </c>
      <c r="O137" s="492"/>
      <c r="P137" s="493"/>
      <c r="Q137" s="493"/>
      <c r="R137" s="493"/>
      <c r="S137" s="493"/>
      <c r="T137" s="199"/>
      <c r="U137" s="491">
        <v>3</v>
      </c>
      <c r="V137" s="492">
        <v>1</v>
      </c>
      <c r="W137" s="492"/>
      <c r="X137" s="492">
        <v>2</v>
      </c>
      <c r="Y137" s="493">
        <v>1</v>
      </c>
      <c r="Z137" s="493"/>
      <c r="AA137" s="493">
        <v>1</v>
      </c>
      <c r="AB137" s="493"/>
      <c r="AC137" s="199"/>
      <c r="AD137" s="491">
        <v>177</v>
      </c>
      <c r="AE137" s="492">
        <v>131</v>
      </c>
      <c r="AF137" s="492">
        <v>160</v>
      </c>
      <c r="AG137" s="492">
        <v>127</v>
      </c>
      <c r="AH137" s="493">
        <v>103</v>
      </c>
      <c r="AI137" s="493">
        <v>108</v>
      </c>
      <c r="AJ137" s="493">
        <v>109</v>
      </c>
      <c r="AK137" s="493">
        <v>82</v>
      </c>
      <c r="AL137" s="199"/>
      <c r="AM137" s="491">
        <v>104</v>
      </c>
      <c r="AN137" s="492">
        <v>96</v>
      </c>
      <c r="AO137" s="492">
        <v>114</v>
      </c>
      <c r="AP137" s="492">
        <v>79</v>
      </c>
      <c r="AQ137" s="493">
        <v>70</v>
      </c>
      <c r="AR137" s="493">
        <v>82</v>
      </c>
      <c r="AS137" s="493">
        <v>79</v>
      </c>
      <c r="AT137" s="493">
        <v>59</v>
      </c>
      <c r="AU137" s="199"/>
      <c r="AV137" s="491"/>
      <c r="AW137" s="492"/>
      <c r="AX137" s="492"/>
      <c r="AY137" s="492">
        <v>1</v>
      </c>
      <c r="AZ137" s="493"/>
      <c r="BA137" s="493"/>
      <c r="BB137" s="493"/>
      <c r="BC137" s="493"/>
      <c r="BD137" s="199"/>
      <c r="BE137" s="491">
        <v>64</v>
      </c>
      <c r="BF137" s="492">
        <v>18</v>
      </c>
      <c r="BG137" s="492">
        <v>30</v>
      </c>
      <c r="BH137" s="492">
        <v>19</v>
      </c>
      <c r="BI137" s="493">
        <v>18</v>
      </c>
      <c r="BJ137" s="493">
        <v>17</v>
      </c>
      <c r="BK137" s="493">
        <v>18</v>
      </c>
      <c r="BL137" s="493">
        <v>4</v>
      </c>
      <c r="BM137" s="199"/>
      <c r="BN137" s="491"/>
      <c r="BO137" s="492">
        <v>1</v>
      </c>
      <c r="BP137" s="492"/>
      <c r="BQ137" s="492"/>
      <c r="BR137" s="493">
        <v>1</v>
      </c>
      <c r="BS137" s="493"/>
      <c r="BT137" s="493"/>
      <c r="BU137" s="493">
        <v>1</v>
      </c>
      <c r="BV137" s="199"/>
      <c r="BW137" s="491">
        <v>143</v>
      </c>
      <c r="BX137" s="492">
        <v>116</v>
      </c>
      <c r="BY137" s="492">
        <v>125</v>
      </c>
      <c r="BZ137" s="492">
        <v>120</v>
      </c>
      <c r="CA137" s="493">
        <v>126</v>
      </c>
      <c r="CB137" s="493">
        <v>88</v>
      </c>
      <c r="CC137" s="493">
        <v>73</v>
      </c>
      <c r="CD137" s="493">
        <v>67</v>
      </c>
      <c r="CE137" s="199"/>
      <c r="CF137" s="491">
        <v>8</v>
      </c>
      <c r="CG137" s="492">
        <v>8</v>
      </c>
      <c r="CH137" s="492">
        <v>5</v>
      </c>
      <c r="CI137" s="492">
        <v>2</v>
      </c>
      <c r="CJ137" s="493">
        <v>2</v>
      </c>
      <c r="CK137" s="493">
        <v>5</v>
      </c>
      <c r="CL137" s="493">
        <v>1</v>
      </c>
      <c r="CM137" s="493">
        <v>1</v>
      </c>
      <c r="CN137" s="199"/>
      <c r="CO137" s="491">
        <v>2</v>
      </c>
      <c r="CP137" s="492">
        <v>3</v>
      </c>
      <c r="CQ137" s="492">
        <v>1</v>
      </c>
      <c r="CR137" s="492">
        <v>1</v>
      </c>
      <c r="CS137" s="493"/>
      <c r="CT137" s="493">
        <v>1</v>
      </c>
      <c r="CU137" s="493">
        <v>1</v>
      </c>
      <c r="CV137" s="493">
        <v>1</v>
      </c>
      <c r="CW137" s="199"/>
      <c r="CX137" s="491">
        <v>1123</v>
      </c>
      <c r="CY137" s="492">
        <v>850</v>
      </c>
      <c r="CZ137" s="492">
        <v>1090</v>
      </c>
      <c r="DA137" s="492">
        <v>864</v>
      </c>
      <c r="DB137" s="493">
        <v>660</v>
      </c>
      <c r="DC137" s="493">
        <v>572</v>
      </c>
      <c r="DD137" s="493">
        <v>423</v>
      </c>
      <c r="DE137" s="493">
        <v>461</v>
      </c>
      <c r="DF137" s="199"/>
      <c r="DG137" s="491">
        <v>3</v>
      </c>
      <c r="DH137" s="492">
        <v>1</v>
      </c>
      <c r="DI137" s="492">
        <v>6</v>
      </c>
      <c r="DJ137" s="492">
        <v>1</v>
      </c>
      <c r="DK137" s="493"/>
      <c r="DL137" s="493">
        <v>1</v>
      </c>
      <c r="DM137" s="493"/>
      <c r="DN137" s="493"/>
      <c r="DO137" s="199"/>
      <c r="DP137" s="491">
        <v>5</v>
      </c>
      <c r="DQ137" s="492">
        <v>7</v>
      </c>
      <c r="DR137" s="492">
        <v>6</v>
      </c>
      <c r="DS137" s="492">
        <v>3</v>
      </c>
      <c r="DT137" s="493">
        <v>2</v>
      </c>
      <c r="DU137" s="493">
        <v>2</v>
      </c>
      <c r="DV137" s="493"/>
      <c r="DW137" s="493">
        <v>2</v>
      </c>
      <c r="DX137" s="199"/>
      <c r="DY137" s="491">
        <v>164</v>
      </c>
      <c r="DZ137" s="492">
        <v>173</v>
      </c>
      <c r="EA137" s="492">
        <v>162</v>
      </c>
      <c r="EB137" s="492">
        <v>160</v>
      </c>
      <c r="EC137" s="493">
        <v>128</v>
      </c>
      <c r="ED137" s="493">
        <v>117</v>
      </c>
      <c r="EE137" s="493">
        <v>83</v>
      </c>
      <c r="EF137" s="493">
        <v>76</v>
      </c>
      <c r="EG137" s="199"/>
      <c r="EH137" s="491">
        <v>13</v>
      </c>
      <c r="EI137" s="492">
        <v>8</v>
      </c>
      <c r="EJ137" s="492">
        <v>5</v>
      </c>
      <c r="EK137" s="492">
        <v>18</v>
      </c>
      <c r="EL137" s="493">
        <v>11</v>
      </c>
      <c r="EM137" s="493">
        <v>3</v>
      </c>
      <c r="EN137" s="493">
        <v>4</v>
      </c>
      <c r="EO137" s="493">
        <v>3</v>
      </c>
      <c r="EP137" s="199"/>
      <c r="EQ137" s="491">
        <v>2</v>
      </c>
      <c r="ER137" s="492">
        <v>1</v>
      </c>
      <c r="ES137" s="492">
        <v>1</v>
      </c>
      <c r="ET137" s="492">
        <v>7</v>
      </c>
      <c r="EU137" s="493">
        <v>11</v>
      </c>
      <c r="EV137" s="493">
        <v>4</v>
      </c>
      <c r="EW137" s="493">
        <v>10</v>
      </c>
      <c r="EX137" s="493">
        <v>7</v>
      </c>
      <c r="EY137" s="199"/>
      <c r="EZ137" s="491">
        <v>5</v>
      </c>
      <c r="FA137" s="492">
        <v>12</v>
      </c>
      <c r="FB137" s="492">
        <v>5</v>
      </c>
      <c r="FC137" s="492">
        <v>5</v>
      </c>
      <c r="FD137" s="493">
        <v>7</v>
      </c>
      <c r="FE137" s="493">
        <v>3</v>
      </c>
      <c r="FF137" s="493">
        <v>1</v>
      </c>
      <c r="FG137" s="493"/>
      <c r="FH137" s="199"/>
      <c r="FI137" s="491">
        <v>89</v>
      </c>
      <c r="FJ137" s="492">
        <v>45</v>
      </c>
      <c r="FK137" s="492">
        <v>38</v>
      </c>
      <c r="FL137" s="492">
        <v>15</v>
      </c>
      <c r="FM137" s="493">
        <v>22</v>
      </c>
      <c r="FN137" s="493">
        <v>24</v>
      </c>
      <c r="FO137" s="493">
        <v>43</v>
      </c>
      <c r="FP137" s="493">
        <v>15</v>
      </c>
      <c r="FQ137" s="199"/>
      <c r="FR137" s="491">
        <v>3</v>
      </c>
      <c r="FS137" s="492">
        <v>15</v>
      </c>
      <c r="FT137" s="492">
        <v>18</v>
      </c>
      <c r="FU137" s="492">
        <v>4</v>
      </c>
      <c r="FV137" s="493">
        <v>1</v>
      </c>
      <c r="FW137" s="493">
        <v>2</v>
      </c>
      <c r="FX137" s="493">
        <v>3</v>
      </c>
      <c r="FY137" s="493">
        <v>5</v>
      </c>
      <c r="FZ137" s="199"/>
      <c r="GA137" s="491">
        <v>17</v>
      </c>
      <c r="GB137" s="492">
        <v>5</v>
      </c>
      <c r="GC137" s="492">
        <v>7</v>
      </c>
      <c r="GD137" s="492">
        <v>5</v>
      </c>
      <c r="GE137" s="493">
        <v>13</v>
      </c>
      <c r="GF137" s="493">
        <v>10</v>
      </c>
      <c r="GG137" s="493">
        <v>10</v>
      </c>
      <c r="GH137" s="493">
        <v>16</v>
      </c>
      <c r="GI137" s="199"/>
      <c r="GJ137" s="491">
        <v>1650</v>
      </c>
      <c r="GK137" s="492">
        <v>1216</v>
      </c>
      <c r="GL137" s="492">
        <v>1486</v>
      </c>
      <c r="GM137" s="492">
        <v>1189</v>
      </c>
      <c r="GN137" s="493">
        <v>977</v>
      </c>
      <c r="GO137" s="493">
        <v>837</v>
      </c>
      <c r="GP137" s="493">
        <v>697</v>
      </c>
      <c r="GQ137" s="493">
        <v>663</v>
      </c>
      <c r="GR137" s="199"/>
      <c r="GS137" s="491">
        <v>461</v>
      </c>
      <c r="GT137" s="492">
        <v>294</v>
      </c>
      <c r="GU137" s="492">
        <v>402</v>
      </c>
      <c r="GV137" s="492">
        <v>245</v>
      </c>
      <c r="GW137" s="493">
        <v>104</v>
      </c>
      <c r="GX137" s="493">
        <v>90</v>
      </c>
      <c r="GY137" s="493">
        <v>73</v>
      </c>
      <c r="GZ137" s="493">
        <v>47</v>
      </c>
      <c r="HA137" s="199"/>
      <c r="HB137" s="491">
        <v>5</v>
      </c>
      <c r="HC137" s="492">
        <v>4</v>
      </c>
      <c r="HD137" s="492">
        <v>3</v>
      </c>
      <c r="HE137" s="492">
        <v>3</v>
      </c>
      <c r="HF137" s="493">
        <v>5</v>
      </c>
      <c r="HG137" s="493">
        <v>1</v>
      </c>
      <c r="HH137" s="493">
        <v>3</v>
      </c>
      <c r="HI137" s="493">
        <v>1</v>
      </c>
      <c r="HJ137" s="199"/>
      <c r="HK137" s="491"/>
      <c r="HL137" s="492">
        <v>4</v>
      </c>
      <c r="HM137" s="492">
        <v>4</v>
      </c>
      <c r="HN137" s="492"/>
      <c r="HO137" s="493">
        <v>1</v>
      </c>
      <c r="HP137" s="493">
        <v>2</v>
      </c>
      <c r="HQ137" s="493">
        <v>1</v>
      </c>
      <c r="HR137" s="493">
        <v>4</v>
      </c>
      <c r="HS137" s="199"/>
      <c r="HT137" s="491">
        <v>572</v>
      </c>
      <c r="HU137" s="492">
        <v>382</v>
      </c>
      <c r="HV137" s="492">
        <v>519</v>
      </c>
      <c r="HW137" s="492">
        <v>366</v>
      </c>
      <c r="HX137" s="493">
        <v>206</v>
      </c>
      <c r="HY137" s="493">
        <v>189</v>
      </c>
      <c r="HZ137" s="493">
        <v>154</v>
      </c>
      <c r="IA137" s="493">
        <v>143</v>
      </c>
      <c r="IB137" s="199"/>
      <c r="IC137" s="491">
        <v>2707</v>
      </c>
      <c r="ID137" s="492">
        <v>2002</v>
      </c>
      <c r="IE137" s="492">
        <v>5022</v>
      </c>
      <c r="IF137" s="492">
        <v>1638</v>
      </c>
      <c r="IG137" s="493">
        <v>1566</v>
      </c>
      <c r="IH137" s="493">
        <v>1351</v>
      </c>
      <c r="II137" s="493">
        <v>1109</v>
      </c>
      <c r="IJ137" s="493">
        <v>1008</v>
      </c>
      <c r="IK137" s="199"/>
      <c r="IL137" s="491">
        <v>328</v>
      </c>
      <c r="IM137" s="492">
        <v>311</v>
      </c>
      <c r="IN137" s="492">
        <v>344</v>
      </c>
      <c r="IO137" s="492">
        <v>198</v>
      </c>
      <c r="IP137" s="493">
        <v>89</v>
      </c>
      <c r="IQ137" s="493">
        <v>142</v>
      </c>
      <c r="IR137" s="493">
        <v>110</v>
      </c>
      <c r="IS137" s="493">
        <v>92</v>
      </c>
      <c r="IT137" s="199"/>
      <c r="IU137" s="533">
        <v>4641.9507510803214</v>
      </c>
      <c r="IV137" s="534">
        <v>3477.6868692132643</v>
      </c>
      <c r="IW137" s="534">
        <v>8794.7882736156353</v>
      </c>
      <c r="IX137" s="534">
        <v>2775.941837409121</v>
      </c>
      <c r="IY137" s="535">
        <v>2663.9902014153513</v>
      </c>
      <c r="IZ137" s="535">
        <v>2525.5210887299636</v>
      </c>
      <c r="JA137" s="535">
        <v>2558.7780623428166</v>
      </c>
      <c r="JB137" s="535">
        <v>2344.2950834922553</v>
      </c>
      <c r="JC137" s="536"/>
      <c r="JD137" s="537">
        <v>980.86288497153453</v>
      </c>
      <c r="JE137" s="538">
        <v>663.57461740233123</v>
      </c>
      <c r="JF137" s="538">
        <v>908.89986340233258</v>
      </c>
      <c r="JG137" s="538">
        <v>620.26539224159842</v>
      </c>
      <c r="JH137" s="538">
        <v>350.43549265106151</v>
      </c>
      <c r="JI137" s="539">
        <v>355.09929045356074</v>
      </c>
      <c r="JJ137" s="539">
        <v>355.32175076717198</v>
      </c>
      <c r="JK137" s="539">
        <v>332.57360807479421</v>
      </c>
      <c r="JL137" s="536"/>
      <c r="JM137" s="537">
        <v>2829.4121681871184</v>
      </c>
      <c r="JN137" s="538">
        <v>2112.3212951864784</v>
      </c>
      <c r="JO137" s="538">
        <v>2602.3606878918426</v>
      </c>
      <c r="JP137" s="538">
        <v>2015.0151676919688</v>
      </c>
      <c r="JQ137" s="538">
        <v>1662.0168753402286</v>
      </c>
      <c r="JR137" s="539">
        <v>1595.8722515954712</v>
      </c>
      <c r="JS137" s="539">
        <v>1608.1770148358366</v>
      </c>
      <c r="JT137" s="539">
        <v>1541.9321828922275</v>
      </c>
      <c r="JU137" s="536"/>
      <c r="JV137" s="537">
        <v>790.52061183894648</v>
      </c>
      <c r="JW137" s="538">
        <v>510.709260513836</v>
      </c>
      <c r="JX137" s="538">
        <v>704.003362404119</v>
      </c>
      <c r="JY137" s="538">
        <v>415.20497568085142</v>
      </c>
      <c r="JZ137" s="538">
        <v>176.91888949373978</v>
      </c>
      <c r="KA137" s="539">
        <v>167.3559773241675</v>
      </c>
      <c r="KB137" s="539">
        <v>168.43173900002307</v>
      </c>
      <c r="KC137" s="539">
        <v>109.30740964696032</v>
      </c>
      <c r="KD137" s="536"/>
    </row>
    <row r="138" spans="1:290" ht="15" customHeight="1" x14ac:dyDescent="0.2">
      <c r="A138" s="930"/>
      <c r="B138" s="490" t="s">
        <v>740</v>
      </c>
      <c r="C138" s="491">
        <v>1</v>
      </c>
      <c r="D138" s="492">
        <v>1</v>
      </c>
      <c r="E138" s="492"/>
      <c r="F138" s="492"/>
      <c r="G138" s="493">
        <v>1</v>
      </c>
      <c r="H138" s="493"/>
      <c r="I138" s="493"/>
      <c r="J138" s="493">
        <v>1</v>
      </c>
      <c r="K138" s="199"/>
      <c r="L138" s="491">
        <v>1</v>
      </c>
      <c r="M138" s="492">
        <v>1</v>
      </c>
      <c r="N138" s="492"/>
      <c r="O138" s="492"/>
      <c r="P138" s="493"/>
      <c r="Q138" s="493"/>
      <c r="R138" s="493"/>
      <c r="S138" s="493">
        <v>1</v>
      </c>
      <c r="T138" s="199"/>
      <c r="U138" s="491"/>
      <c r="V138" s="492"/>
      <c r="W138" s="492"/>
      <c r="X138" s="492"/>
      <c r="Y138" s="493"/>
      <c r="Z138" s="493"/>
      <c r="AA138" s="493"/>
      <c r="AB138" s="493"/>
      <c r="AC138" s="199"/>
      <c r="AD138" s="491">
        <v>119</v>
      </c>
      <c r="AE138" s="492">
        <v>112</v>
      </c>
      <c r="AF138" s="492">
        <v>87</v>
      </c>
      <c r="AG138" s="492">
        <v>113</v>
      </c>
      <c r="AH138" s="493">
        <v>77</v>
      </c>
      <c r="AI138" s="493">
        <v>75</v>
      </c>
      <c r="AJ138" s="493">
        <v>61</v>
      </c>
      <c r="AK138" s="493">
        <v>58</v>
      </c>
      <c r="AL138" s="199"/>
      <c r="AM138" s="491">
        <v>85</v>
      </c>
      <c r="AN138" s="492">
        <v>90</v>
      </c>
      <c r="AO138" s="492">
        <v>61</v>
      </c>
      <c r="AP138" s="492">
        <v>60</v>
      </c>
      <c r="AQ138" s="493">
        <v>37</v>
      </c>
      <c r="AR138" s="493">
        <v>55</v>
      </c>
      <c r="AS138" s="493">
        <v>38</v>
      </c>
      <c r="AT138" s="493">
        <v>29</v>
      </c>
      <c r="AU138" s="199"/>
      <c r="AV138" s="491"/>
      <c r="AW138" s="492"/>
      <c r="AX138" s="492"/>
      <c r="AY138" s="492"/>
      <c r="AZ138" s="493"/>
      <c r="BA138" s="493"/>
      <c r="BB138" s="493"/>
      <c r="BC138" s="493"/>
      <c r="BD138" s="199"/>
      <c r="BE138" s="491">
        <v>6</v>
      </c>
      <c r="BF138" s="492">
        <v>2</v>
      </c>
      <c r="BG138" s="492">
        <v>3</v>
      </c>
      <c r="BH138" s="492">
        <v>21</v>
      </c>
      <c r="BI138" s="493">
        <v>2</v>
      </c>
      <c r="BJ138" s="493">
        <v>9</v>
      </c>
      <c r="BK138" s="493">
        <v>22</v>
      </c>
      <c r="BL138" s="493">
        <v>3</v>
      </c>
      <c r="BM138" s="199"/>
      <c r="BN138" s="491">
        <v>7</v>
      </c>
      <c r="BO138" s="492">
        <v>2</v>
      </c>
      <c r="BP138" s="492">
        <v>2</v>
      </c>
      <c r="BQ138" s="492">
        <v>3</v>
      </c>
      <c r="BR138" s="493">
        <v>9</v>
      </c>
      <c r="BS138" s="493">
        <v>12</v>
      </c>
      <c r="BT138" s="493">
        <v>1</v>
      </c>
      <c r="BU138" s="493">
        <v>6</v>
      </c>
      <c r="BV138" s="199"/>
      <c r="BW138" s="491">
        <v>104</v>
      </c>
      <c r="BX138" s="492">
        <v>112</v>
      </c>
      <c r="BY138" s="492">
        <v>86</v>
      </c>
      <c r="BZ138" s="492">
        <v>109</v>
      </c>
      <c r="CA138" s="493">
        <v>92</v>
      </c>
      <c r="CB138" s="493">
        <v>102</v>
      </c>
      <c r="CC138" s="493">
        <v>67</v>
      </c>
      <c r="CD138" s="493">
        <v>65</v>
      </c>
      <c r="CE138" s="199"/>
      <c r="CF138" s="491">
        <v>2</v>
      </c>
      <c r="CG138" s="492">
        <v>1</v>
      </c>
      <c r="CH138" s="492">
        <v>2</v>
      </c>
      <c r="CI138" s="492">
        <v>2</v>
      </c>
      <c r="CJ138" s="493">
        <v>4</v>
      </c>
      <c r="CK138" s="493">
        <v>6</v>
      </c>
      <c r="CL138" s="493">
        <v>3</v>
      </c>
      <c r="CM138" s="493"/>
      <c r="CN138" s="199"/>
      <c r="CO138" s="491"/>
      <c r="CP138" s="492">
        <v>1</v>
      </c>
      <c r="CQ138" s="492">
        <v>1</v>
      </c>
      <c r="CR138" s="492"/>
      <c r="CS138" s="493">
        <v>1</v>
      </c>
      <c r="CT138" s="493"/>
      <c r="CU138" s="493">
        <v>3</v>
      </c>
      <c r="CV138" s="493">
        <v>2</v>
      </c>
      <c r="CW138" s="199"/>
      <c r="CX138" s="491">
        <v>462</v>
      </c>
      <c r="CY138" s="492">
        <v>483</v>
      </c>
      <c r="CZ138" s="492">
        <v>426</v>
      </c>
      <c r="DA138" s="492">
        <v>421</v>
      </c>
      <c r="DB138" s="493">
        <v>310</v>
      </c>
      <c r="DC138" s="493">
        <v>283</v>
      </c>
      <c r="DD138" s="493">
        <v>291</v>
      </c>
      <c r="DE138" s="493">
        <v>258</v>
      </c>
      <c r="DF138" s="199"/>
      <c r="DG138" s="491"/>
      <c r="DH138" s="492"/>
      <c r="DI138" s="492">
        <v>1</v>
      </c>
      <c r="DJ138" s="492">
        <v>1</v>
      </c>
      <c r="DK138" s="493">
        <v>1</v>
      </c>
      <c r="DL138" s="493"/>
      <c r="DM138" s="493">
        <v>2</v>
      </c>
      <c r="DN138" s="493"/>
      <c r="DO138" s="199"/>
      <c r="DP138" s="491">
        <v>8</v>
      </c>
      <c r="DQ138" s="492">
        <v>6</v>
      </c>
      <c r="DR138" s="492">
        <v>4</v>
      </c>
      <c r="DS138" s="492"/>
      <c r="DT138" s="493">
        <v>5</v>
      </c>
      <c r="DU138" s="493">
        <v>1</v>
      </c>
      <c r="DV138" s="493"/>
      <c r="DW138" s="493">
        <v>3</v>
      </c>
      <c r="DX138" s="199"/>
      <c r="DY138" s="491">
        <v>47</v>
      </c>
      <c r="DZ138" s="492">
        <v>51</v>
      </c>
      <c r="EA138" s="492">
        <v>56</v>
      </c>
      <c r="EB138" s="492">
        <v>70</v>
      </c>
      <c r="EC138" s="493">
        <v>30</v>
      </c>
      <c r="ED138" s="493">
        <v>41</v>
      </c>
      <c r="EE138" s="493">
        <v>36</v>
      </c>
      <c r="EF138" s="493">
        <v>40</v>
      </c>
      <c r="EG138" s="199"/>
      <c r="EH138" s="491">
        <v>3</v>
      </c>
      <c r="EI138" s="492">
        <v>5</v>
      </c>
      <c r="EJ138" s="492">
        <v>4</v>
      </c>
      <c r="EK138" s="492">
        <v>4</v>
      </c>
      <c r="EL138" s="493">
        <v>2</v>
      </c>
      <c r="EM138" s="493">
        <v>4</v>
      </c>
      <c r="EN138" s="493">
        <v>3</v>
      </c>
      <c r="EO138" s="493">
        <v>2</v>
      </c>
      <c r="EP138" s="199"/>
      <c r="EQ138" s="491"/>
      <c r="ER138" s="492">
        <v>3</v>
      </c>
      <c r="ES138" s="492"/>
      <c r="ET138" s="492">
        <v>5</v>
      </c>
      <c r="EU138" s="493">
        <v>3</v>
      </c>
      <c r="EV138" s="493">
        <v>7</v>
      </c>
      <c r="EW138" s="493">
        <v>1</v>
      </c>
      <c r="EX138" s="493">
        <v>3</v>
      </c>
      <c r="EY138" s="199"/>
      <c r="EZ138" s="491">
        <v>6</v>
      </c>
      <c r="FA138" s="492">
        <v>4</v>
      </c>
      <c r="FB138" s="492">
        <v>3</v>
      </c>
      <c r="FC138" s="492">
        <v>14</v>
      </c>
      <c r="FD138" s="493"/>
      <c r="FE138" s="493">
        <v>1</v>
      </c>
      <c r="FF138" s="493">
        <v>1</v>
      </c>
      <c r="FG138" s="493"/>
      <c r="FH138" s="199"/>
      <c r="FI138" s="491">
        <v>23</v>
      </c>
      <c r="FJ138" s="492">
        <v>38</v>
      </c>
      <c r="FK138" s="492">
        <v>22</v>
      </c>
      <c r="FL138" s="492">
        <v>13</v>
      </c>
      <c r="FM138" s="493">
        <v>12</v>
      </c>
      <c r="FN138" s="493">
        <v>19</v>
      </c>
      <c r="FO138" s="493">
        <v>9</v>
      </c>
      <c r="FP138" s="493">
        <v>13</v>
      </c>
      <c r="FQ138" s="199"/>
      <c r="FR138" s="491">
        <v>1</v>
      </c>
      <c r="FS138" s="492">
        <v>8</v>
      </c>
      <c r="FT138" s="492">
        <v>5</v>
      </c>
      <c r="FU138" s="492">
        <v>5</v>
      </c>
      <c r="FV138" s="493">
        <v>1</v>
      </c>
      <c r="FW138" s="493"/>
      <c r="FX138" s="493">
        <v>2</v>
      </c>
      <c r="FY138" s="493">
        <v>3</v>
      </c>
      <c r="FZ138" s="199"/>
      <c r="GA138" s="491">
        <v>5</v>
      </c>
      <c r="GB138" s="492">
        <v>2</v>
      </c>
      <c r="GC138" s="492">
        <v>1</v>
      </c>
      <c r="GD138" s="492"/>
      <c r="GE138" s="493">
        <v>6</v>
      </c>
      <c r="GF138" s="493">
        <v>4</v>
      </c>
      <c r="GG138" s="493">
        <v>5</v>
      </c>
      <c r="GH138" s="493">
        <v>10</v>
      </c>
      <c r="GI138" s="199"/>
      <c r="GJ138" s="491">
        <v>739</v>
      </c>
      <c r="GK138" s="492">
        <v>774</v>
      </c>
      <c r="GL138" s="492">
        <v>642</v>
      </c>
      <c r="GM138" s="492">
        <v>710</v>
      </c>
      <c r="GN138" s="493">
        <v>520</v>
      </c>
      <c r="GO138" s="493">
        <v>522</v>
      </c>
      <c r="GP138" s="493">
        <v>469</v>
      </c>
      <c r="GQ138" s="493">
        <v>424</v>
      </c>
      <c r="GR138" s="199"/>
      <c r="GS138" s="491">
        <v>210</v>
      </c>
      <c r="GT138" s="492">
        <v>216</v>
      </c>
      <c r="GU138" s="492">
        <v>194</v>
      </c>
      <c r="GV138" s="492">
        <v>164</v>
      </c>
      <c r="GW138" s="493">
        <v>69</v>
      </c>
      <c r="GX138" s="493">
        <v>78</v>
      </c>
      <c r="GY138" s="493">
        <v>59</v>
      </c>
      <c r="GZ138" s="493">
        <v>65</v>
      </c>
      <c r="HA138" s="199"/>
      <c r="HB138" s="491">
        <v>1</v>
      </c>
      <c r="HC138" s="492">
        <v>2</v>
      </c>
      <c r="HD138" s="492"/>
      <c r="HE138" s="492">
        <v>2</v>
      </c>
      <c r="HF138" s="493">
        <v>3</v>
      </c>
      <c r="HG138" s="493">
        <v>5</v>
      </c>
      <c r="HH138" s="493">
        <v>2</v>
      </c>
      <c r="HI138" s="493">
        <v>1</v>
      </c>
      <c r="HJ138" s="199"/>
      <c r="HK138" s="491">
        <v>6</v>
      </c>
      <c r="HL138" s="492">
        <v>1</v>
      </c>
      <c r="HM138" s="492"/>
      <c r="HN138" s="492">
        <v>2</v>
      </c>
      <c r="HO138" s="493">
        <v>1</v>
      </c>
      <c r="HP138" s="493">
        <v>1</v>
      </c>
      <c r="HQ138" s="493">
        <v>1</v>
      </c>
      <c r="HR138" s="493">
        <v>1</v>
      </c>
      <c r="HS138" s="199"/>
      <c r="HT138" s="491">
        <v>272</v>
      </c>
      <c r="HU138" s="492">
        <v>279</v>
      </c>
      <c r="HV138" s="492">
        <v>241</v>
      </c>
      <c r="HW138" s="492">
        <v>236</v>
      </c>
      <c r="HX138" s="493">
        <v>158</v>
      </c>
      <c r="HY138" s="493">
        <v>158</v>
      </c>
      <c r="HZ138" s="493">
        <v>158</v>
      </c>
      <c r="IA138" s="493">
        <v>137</v>
      </c>
      <c r="IB138" s="199"/>
      <c r="IC138" s="491">
        <v>1233</v>
      </c>
      <c r="ID138" s="492">
        <v>1237</v>
      </c>
      <c r="IE138" s="492">
        <v>1165</v>
      </c>
      <c r="IF138" s="492">
        <v>1112</v>
      </c>
      <c r="IG138" s="493">
        <v>808</v>
      </c>
      <c r="IH138" s="493">
        <v>1531</v>
      </c>
      <c r="II138" s="493">
        <v>857</v>
      </c>
      <c r="IJ138" s="493">
        <v>824</v>
      </c>
      <c r="IK138" s="199"/>
      <c r="IL138" s="491">
        <v>127</v>
      </c>
      <c r="IM138" s="492">
        <v>130</v>
      </c>
      <c r="IN138" s="492">
        <v>90</v>
      </c>
      <c r="IO138" s="492">
        <v>84</v>
      </c>
      <c r="IP138" s="493">
        <v>41</v>
      </c>
      <c r="IQ138" s="493">
        <v>78</v>
      </c>
      <c r="IR138" s="493">
        <v>73</v>
      </c>
      <c r="IS138" s="493">
        <v>60</v>
      </c>
      <c r="IT138" s="199"/>
      <c r="IU138" s="533">
        <v>3443.7493017539941</v>
      </c>
      <c r="IV138" s="534">
        <v>3482.054890921886</v>
      </c>
      <c r="IW138" s="534">
        <v>3293.4724224691145</v>
      </c>
      <c r="IX138" s="534">
        <v>3017.1478185370088</v>
      </c>
      <c r="IY138" s="535">
        <v>2202.4750586054624</v>
      </c>
      <c r="IZ138" s="535">
        <v>4056.8224094802517</v>
      </c>
      <c r="JA138" s="535">
        <v>2231.3059779212663</v>
      </c>
      <c r="JB138" s="535">
        <v>2129.4740922599817</v>
      </c>
      <c r="JC138" s="536"/>
      <c r="JD138" s="537">
        <v>759.69165456373582</v>
      </c>
      <c r="JE138" s="538">
        <v>785.36242083040111</v>
      </c>
      <c r="JF138" s="538">
        <v>681.31060413309592</v>
      </c>
      <c r="JG138" s="538">
        <v>640.32993271109183</v>
      </c>
      <c r="JH138" s="538">
        <v>430.68200403423651</v>
      </c>
      <c r="JI138" s="539">
        <v>419.77734137680352</v>
      </c>
      <c r="JJ138" s="539">
        <v>411.37263070193706</v>
      </c>
      <c r="JK138" s="539">
        <v>354.05091097040963</v>
      </c>
      <c r="JL138" s="536"/>
      <c r="JM138" s="537">
        <v>2064.0151938330914</v>
      </c>
      <c r="JN138" s="538">
        <v>2178.7473610133711</v>
      </c>
      <c r="JO138" s="538">
        <v>1814.9436010516495</v>
      </c>
      <c r="JP138" s="538">
        <v>1926.4163229867595</v>
      </c>
      <c r="JQ138" s="538">
        <v>1417.4344436569809</v>
      </c>
      <c r="JR138" s="539">
        <v>1379.0862527904335</v>
      </c>
      <c r="JS138" s="539">
        <v>1221.0997708810664</v>
      </c>
      <c r="JT138" s="539">
        <v>1095.7488047551365</v>
      </c>
      <c r="JU138" s="536"/>
      <c r="JV138" s="537">
        <v>586.52664506759015</v>
      </c>
      <c r="JW138" s="538">
        <v>608.02251935256857</v>
      </c>
      <c r="JX138" s="538">
        <v>548.44090125236767</v>
      </c>
      <c r="JY138" s="538">
        <v>444.97503798567396</v>
      </c>
      <c r="JZ138" s="538">
        <v>188.08264733140709</v>
      </c>
      <c r="KA138" s="539">
        <v>207.07201129063981</v>
      </c>
      <c r="KB138" s="539">
        <v>153.61383045198917</v>
      </c>
      <c r="KC138" s="539">
        <v>167.98035921953741</v>
      </c>
      <c r="KD138" s="536"/>
    </row>
    <row r="139" spans="1:290" ht="15" customHeight="1" thickBot="1" x14ac:dyDescent="0.25">
      <c r="A139" s="930"/>
      <c r="B139" s="494" t="s">
        <v>741</v>
      </c>
      <c r="C139" s="495">
        <v>1</v>
      </c>
      <c r="D139" s="496">
        <v>2</v>
      </c>
      <c r="E139" s="496"/>
      <c r="F139" s="496"/>
      <c r="G139" s="497"/>
      <c r="H139" s="497"/>
      <c r="I139" s="497"/>
      <c r="J139" s="497"/>
      <c r="K139" s="199"/>
      <c r="L139" s="495"/>
      <c r="M139" s="496"/>
      <c r="N139" s="496"/>
      <c r="O139" s="496"/>
      <c r="P139" s="497"/>
      <c r="Q139" s="497"/>
      <c r="R139" s="497"/>
      <c r="S139" s="497"/>
      <c r="T139" s="199"/>
      <c r="U139" s="495">
        <v>1</v>
      </c>
      <c r="V139" s="496">
        <v>1</v>
      </c>
      <c r="W139" s="496"/>
      <c r="X139" s="496"/>
      <c r="Y139" s="497"/>
      <c r="Z139" s="497"/>
      <c r="AA139" s="497"/>
      <c r="AB139" s="497"/>
      <c r="AC139" s="199"/>
      <c r="AD139" s="495">
        <v>67</v>
      </c>
      <c r="AE139" s="496">
        <v>68</v>
      </c>
      <c r="AF139" s="496">
        <v>52</v>
      </c>
      <c r="AG139" s="496">
        <v>61</v>
      </c>
      <c r="AH139" s="497">
        <v>49</v>
      </c>
      <c r="AI139" s="497">
        <v>69</v>
      </c>
      <c r="AJ139" s="497">
        <v>43</v>
      </c>
      <c r="AK139" s="497">
        <v>25</v>
      </c>
      <c r="AL139" s="199"/>
      <c r="AM139" s="495">
        <v>41</v>
      </c>
      <c r="AN139" s="496">
        <v>36</v>
      </c>
      <c r="AO139" s="496">
        <v>27</v>
      </c>
      <c r="AP139" s="496">
        <v>45</v>
      </c>
      <c r="AQ139" s="497">
        <v>31</v>
      </c>
      <c r="AR139" s="497">
        <v>48</v>
      </c>
      <c r="AS139" s="497">
        <v>29</v>
      </c>
      <c r="AT139" s="497">
        <v>13</v>
      </c>
      <c r="AU139" s="199"/>
      <c r="AV139" s="495"/>
      <c r="AW139" s="496"/>
      <c r="AX139" s="496"/>
      <c r="AY139" s="496"/>
      <c r="AZ139" s="497"/>
      <c r="BA139" s="497">
        <v>1</v>
      </c>
      <c r="BB139" s="497"/>
      <c r="BC139" s="497"/>
      <c r="BD139" s="199"/>
      <c r="BE139" s="495">
        <v>7</v>
      </c>
      <c r="BF139" s="496">
        <v>22</v>
      </c>
      <c r="BG139" s="496">
        <v>8</v>
      </c>
      <c r="BH139" s="496">
        <v>7</v>
      </c>
      <c r="BI139" s="497">
        <v>6</v>
      </c>
      <c r="BJ139" s="497">
        <v>17</v>
      </c>
      <c r="BK139" s="497">
        <v>11</v>
      </c>
      <c r="BL139" s="497">
        <v>5</v>
      </c>
      <c r="BM139" s="199"/>
      <c r="BN139" s="495">
        <v>3</v>
      </c>
      <c r="BO139" s="496">
        <v>1</v>
      </c>
      <c r="BP139" s="496">
        <v>2</v>
      </c>
      <c r="BQ139" s="496">
        <v>2</v>
      </c>
      <c r="BR139" s="497">
        <v>5</v>
      </c>
      <c r="BS139" s="497">
        <v>4</v>
      </c>
      <c r="BT139" s="497">
        <v>5</v>
      </c>
      <c r="BU139" s="497"/>
      <c r="BV139" s="199"/>
      <c r="BW139" s="495">
        <v>52</v>
      </c>
      <c r="BX139" s="496">
        <v>51</v>
      </c>
      <c r="BY139" s="496">
        <v>44</v>
      </c>
      <c r="BZ139" s="496">
        <v>45</v>
      </c>
      <c r="CA139" s="497">
        <v>53</v>
      </c>
      <c r="CB139" s="497">
        <v>64</v>
      </c>
      <c r="CC139" s="497">
        <v>26</v>
      </c>
      <c r="CD139" s="497">
        <v>33</v>
      </c>
      <c r="CE139" s="199"/>
      <c r="CF139" s="495">
        <v>1</v>
      </c>
      <c r="CG139" s="496">
        <v>2</v>
      </c>
      <c r="CH139" s="496">
        <v>1</v>
      </c>
      <c r="CI139" s="496">
        <v>1</v>
      </c>
      <c r="CJ139" s="497">
        <v>2</v>
      </c>
      <c r="CK139" s="497">
        <v>4</v>
      </c>
      <c r="CL139" s="497"/>
      <c r="CM139" s="497"/>
      <c r="CN139" s="199"/>
      <c r="CO139" s="495"/>
      <c r="CP139" s="496"/>
      <c r="CQ139" s="496"/>
      <c r="CR139" s="496"/>
      <c r="CS139" s="497">
        <v>3</v>
      </c>
      <c r="CT139" s="497"/>
      <c r="CU139" s="497"/>
      <c r="CV139" s="497"/>
      <c r="CW139" s="199"/>
      <c r="CX139" s="495">
        <v>369</v>
      </c>
      <c r="CY139" s="496">
        <v>375</v>
      </c>
      <c r="CZ139" s="496">
        <v>309</v>
      </c>
      <c r="DA139" s="496">
        <v>329</v>
      </c>
      <c r="DB139" s="497">
        <v>219</v>
      </c>
      <c r="DC139" s="497">
        <v>144</v>
      </c>
      <c r="DD139" s="497">
        <v>113</v>
      </c>
      <c r="DE139" s="497">
        <v>117</v>
      </c>
      <c r="DF139" s="199"/>
      <c r="DG139" s="495"/>
      <c r="DH139" s="496">
        <v>1</v>
      </c>
      <c r="DI139" s="496">
        <v>2</v>
      </c>
      <c r="DJ139" s="496"/>
      <c r="DK139" s="497">
        <v>1</v>
      </c>
      <c r="DL139" s="497"/>
      <c r="DM139" s="497">
        <v>2</v>
      </c>
      <c r="DN139" s="497">
        <v>1</v>
      </c>
      <c r="DO139" s="199"/>
      <c r="DP139" s="495">
        <v>3</v>
      </c>
      <c r="DQ139" s="496">
        <v>2</v>
      </c>
      <c r="DR139" s="496">
        <v>3</v>
      </c>
      <c r="DS139" s="496">
        <v>3</v>
      </c>
      <c r="DT139" s="497"/>
      <c r="DU139" s="497"/>
      <c r="DV139" s="497"/>
      <c r="DW139" s="497"/>
      <c r="DX139" s="199"/>
      <c r="DY139" s="495">
        <v>50</v>
      </c>
      <c r="DZ139" s="496">
        <v>35</v>
      </c>
      <c r="EA139" s="496">
        <v>13</v>
      </c>
      <c r="EB139" s="496">
        <v>27</v>
      </c>
      <c r="EC139" s="497">
        <v>30</v>
      </c>
      <c r="ED139" s="497">
        <v>16</v>
      </c>
      <c r="EE139" s="497">
        <v>14</v>
      </c>
      <c r="EF139" s="497">
        <v>21</v>
      </c>
      <c r="EG139" s="199"/>
      <c r="EH139" s="495">
        <v>2</v>
      </c>
      <c r="EI139" s="496">
        <v>2</v>
      </c>
      <c r="EJ139" s="496">
        <v>3</v>
      </c>
      <c r="EK139" s="496">
        <v>4</v>
      </c>
      <c r="EL139" s="497">
        <v>4</v>
      </c>
      <c r="EM139" s="497">
        <v>2</v>
      </c>
      <c r="EN139" s="497">
        <v>1</v>
      </c>
      <c r="EO139" s="497">
        <v>3</v>
      </c>
      <c r="EP139" s="199"/>
      <c r="EQ139" s="495">
        <v>2</v>
      </c>
      <c r="ER139" s="496"/>
      <c r="ES139" s="496">
        <v>1</v>
      </c>
      <c r="ET139" s="496">
        <v>2</v>
      </c>
      <c r="EU139" s="497">
        <v>2</v>
      </c>
      <c r="EV139" s="497">
        <v>2</v>
      </c>
      <c r="EW139" s="497">
        <v>1</v>
      </c>
      <c r="EX139" s="497"/>
      <c r="EY139" s="199"/>
      <c r="EZ139" s="495">
        <v>2</v>
      </c>
      <c r="FA139" s="496">
        <v>7</v>
      </c>
      <c r="FB139" s="496"/>
      <c r="FC139" s="496">
        <v>2</v>
      </c>
      <c r="FD139" s="497">
        <v>4</v>
      </c>
      <c r="FE139" s="497"/>
      <c r="FF139" s="497"/>
      <c r="FG139" s="497">
        <v>2</v>
      </c>
      <c r="FH139" s="199"/>
      <c r="FI139" s="495">
        <v>20</v>
      </c>
      <c r="FJ139" s="496">
        <v>29</v>
      </c>
      <c r="FK139" s="496">
        <v>17</v>
      </c>
      <c r="FL139" s="496">
        <v>24</v>
      </c>
      <c r="FM139" s="497">
        <v>17</v>
      </c>
      <c r="FN139" s="497">
        <v>12</v>
      </c>
      <c r="FO139" s="497">
        <v>9</v>
      </c>
      <c r="FP139" s="497">
        <v>9</v>
      </c>
      <c r="FQ139" s="199"/>
      <c r="FR139" s="495">
        <v>3</v>
      </c>
      <c r="FS139" s="496">
        <v>6</v>
      </c>
      <c r="FT139" s="496">
        <v>3</v>
      </c>
      <c r="FU139" s="496">
        <v>8</v>
      </c>
      <c r="FV139" s="497">
        <v>4</v>
      </c>
      <c r="FW139" s="497">
        <v>5</v>
      </c>
      <c r="FX139" s="497">
        <v>1</v>
      </c>
      <c r="FY139" s="497">
        <v>2</v>
      </c>
      <c r="FZ139" s="199"/>
      <c r="GA139" s="495">
        <v>1</v>
      </c>
      <c r="GB139" s="496">
        <v>5</v>
      </c>
      <c r="GC139" s="496">
        <v>3</v>
      </c>
      <c r="GD139" s="496">
        <v>3</v>
      </c>
      <c r="GE139" s="497">
        <v>3</v>
      </c>
      <c r="GF139" s="497">
        <v>9</v>
      </c>
      <c r="GG139" s="497">
        <v>2</v>
      </c>
      <c r="GH139" s="497">
        <v>3</v>
      </c>
      <c r="GI139" s="199"/>
      <c r="GJ139" s="495">
        <v>530</v>
      </c>
      <c r="GK139" s="496">
        <v>570</v>
      </c>
      <c r="GL139" s="496">
        <v>443</v>
      </c>
      <c r="GM139" s="496">
        <v>488</v>
      </c>
      <c r="GN139" s="497">
        <v>371</v>
      </c>
      <c r="GO139" s="497">
        <v>332</v>
      </c>
      <c r="GP139" s="497">
        <v>212</v>
      </c>
      <c r="GQ139" s="497">
        <v>199</v>
      </c>
      <c r="GR139" s="199"/>
      <c r="GS139" s="495">
        <v>171</v>
      </c>
      <c r="GT139" s="496">
        <v>199</v>
      </c>
      <c r="GU139" s="496">
        <v>158</v>
      </c>
      <c r="GV139" s="496">
        <v>122</v>
      </c>
      <c r="GW139" s="497">
        <v>69</v>
      </c>
      <c r="GX139" s="497">
        <v>90</v>
      </c>
      <c r="GY139" s="497">
        <v>44</v>
      </c>
      <c r="GZ139" s="497">
        <v>42</v>
      </c>
      <c r="HA139" s="199"/>
      <c r="HB139" s="495">
        <v>5</v>
      </c>
      <c r="HC139" s="496"/>
      <c r="HD139" s="496">
        <v>1</v>
      </c>
      <c r="HE139" s="496"/>
      <c r="HF139" s="497">
        <v>1</v>
      </c>
      <c r="HG139" s="497"/>
      <c r="HH139" s="497">
        <v>1</v>
      </c>
      <c r="HI139" s="497">
        <v>1</v>
      </c>
      <c r="HJ139" s="199"/>
      <c r="HK139" s="495"/>
      <c r="HL139" s="496"/>
      <c r="HM139" s="496">
        <v>1</v>
      </c>
      <c r="HN139" s="496"/>
      <c r="HO139" s="497">
        <v>1</v>
      </c>
      <c r="HP139" s="497">
        <v>1</v>
      </c>
      <c r="HQ139" s="497"/>
      <c r="HR139" s="497">
        <v>1</v>
      </c>
      <c r="HS139" s="199"/>
      <c r="HT139" s="495">
        <v>236</v>
      </c>
      <c r="HU139" s="496">
        <v>254</v>
      </c>
      <c r="HV139" s="496">
        <v>218</v>
      </c>
      <c r="HW139" s="496">
        <v>174</v>
      </c>
      <c r="HX139" s="497">
        <v>129</v>
      </c>
      <c r="HY139" s="497">
        <v>143</v>
      </c>
      <c r="HZ139" s="497">
        <v>80</v>
      </c>
      <c r="IA139" s="497">
        <v>97</v>
      </c>
      <c r="IB139" s="199"/>
      <c r="IC139" s="495">
        <v>1148</v>
      </c>
      <c r="ID139" s="496">
        <v>1299</v>
      </c>
      <c r="IE139" s="496">
        <v>1038</v>
      </c>
      <c r="IF139" s="496">
        <v>968</v>
      </c>
      <c r="IG139" s="497">
        <v>882</v>
      </c>
      <c r="IH139" s="497">
        <v>895</v>
      </c>
      <c r="II139" s="497">
        <v>582</v>
      </c>
      <c r="IJ139" s="497">
        <v>873</v>
      </c>
      <c r="IK139" s="199"/>
      <c r="IL139" s="495">
        <v>100</v>
      </c>
      <c r="IM139" s="496">
        <v>75</v>
      </c>
      <c r="IN139" s="496">
        <v>44</v>
      </c>
      <c r="IO139" s="496">
        <v>62</v>
      </c>
      <c r="IP139" s="497">
        <v>22</v>
      </c>
      <c r="IQ139" s="497">
        <v>24</v>
      </c>
      <c r="IR139" s="497">
        <v>17</v>
      </c>
      <c r="IS139" s="497">
        <v>26</v>
      </c>
      <c r="IT139" s="199"/>
      <c r="IU139" s="540">
        <v>5298.8691437802909</v>
      </c>
      <c r="IV139" s="541">
        <v>6097.7327137022958</v>
      </c>
      <c r="IW139" s="541">
        <v>4923.1644849174727</v>
      </c>
      <c r="IX139" s="541">
        <v>4423.1208590358692</v>
      </c>
      <c r="IY139" s="542">
        <v>4069.7674418604656</v>
      </c>
      <c r="IZ139" s="542">
        <v>4297.6842301653851</v>
      </c>
      <c r="JA139" s="542">
        <v>3000.7733952049498</v>
      </c>
      <c r="JB139" s="542">
        <v>4511.8610780918907</v>
      </c>
      <c r="JC139" s="536"/>
      <c r="JD139" s="537">
        <v>1089.3145626586661</v>
      </c>
      <c r="JE139" s="538">
        <v>1192.3203304698868</v>
      </c>
      <c r="JF139" s="538">
        <v>1033.9594004932651</v>
      </c>
      <c r="JG139" s="538">
        <v>795.06511309115831</v>
      </c>
      <c r="JH139" s="538">
        <v>595.23809523809518</v>
      </c>
      <c r="JI139" s="539">
        <v>690.25927544849776</v>
      </c>
      <c r="JJ139" s="539">
        <v>412.47744263985567</v>
      </c>
      <c r="JK139" s="539">
        <v>501.31789756576563</v>
      </c>
      <c r="JL139" s="536"/>
      <c r="JM139" s="537">
        <v>2446.3420263097159</v>
      </c>
      <c r="JN139" s="538">
        <v>2675.6794817631321</v>
      </c>
      <c r="JO139" s="538">
        <v>2101.1193321950295</v>
      </c>
      <c r="JP139" s="538">
        <v>2229.8377884395704</v>
      </c>
      <c r="JQ139" s="538">
        <v>1711.8863049095607</v>
      </c>
      <c r="JR139" s="539">
        <v>1596.5671231507672</v>
      </c>
      <c r="JS139" s="539">
        <v>1093.0652229956174</v>
      </c>
      <c r="JT139" s="539">
        <v>1028.4769238720346</v>
      </c>
      <c r="JU139" s="536"/>
      <c r="JV139" s="537">
        <v>789.29148396030462</v>
      </c>
      <c r="JW139" s="538">
        <v>934.14073135239164</v>
      </c>
      <c r="JX139" s="538">
        <v>749.38341870612783</v>
      </c>
      <c r="JY139" s="538">
        <v>557.45944710989261</v>
      </c>
      <c r="JZ139" s="538">
        <v>318.38316722037649</v>
      </c>
      <c r="KA139" s="539">
        <v>430.40701860169639</v>
      </c>
      <c r="KB139" s="539">
        <v>226.86259345192062</v>
      </c>
      <c r="KC139" s="539">
        <v>217.06548142022842</v>
      </c>
      <c r="KD139" s="536"/>
    </row>
    <row r="140" spans="1:290" ht="15" customHeight="1" thickBot="1" x14ac:dyDescent="0.25">
      <c r="A140" s="931"/>
      <c r="B140" s="508" t="s">
        <v>790</v>
      </c>
      <c r="C140" s="500">
        <v>16</v>
      </c>
      <c r="D140" s="501">
        <v>17</v>
      </c>
      <c r="E140" s="501">
        <v>13</v>
      </c>
      <c r="F140" s="501">
        <v>10</v>
      </c>
      <c r="G140" s="502">
        <v>9</v>
      </c>
      <c r="H140" s="502">
        <v>9</v>
      </c>
      <c r="I140" s="502">
        <v>10</v>
      </c>
      <c r="J140" s="502">
        <v>5</v>
      </c>
      <c r="K140" s="503"/>
      <c r="L140" s="500">
        <v>7</v>
      </c>
      <c r="M140" s="501">
        <v>5</v>
      </c>
      <c r="N140" s="501">
        <v>6</v>
      </c>
      <c r="O140" s="501">
        <v>4</v>
      </c>
      <c r="P140" s="502">
        <v>3</v>
      </c>
      <c r="Q140" s="502">
        <v>3</v>
      </c>
      <c r="R140" s="502">
        <v>5</v>
      </c>
      <c r="S140" s="502">
        <v>3</v>
      </c>
      <c r="T140" s="503"/>
      <c r="U140" s="500">
        <v>9</v>
      </c>
      <c r="V140" s="501">
        <v>9</v>
      </c>
      <c r="W140" s="501">
        <v>5</v>
      </c>
      <c r="X140" s="501">
        <v>6</v>
      </c>
      <c r="Y140" s="502">
        <v>4</v>
      </c>
      <c r="Z140" s="502">
        <v>4</v>
      </c>
      <c r="AA140" s="502">
        <v>3</v>
      </c>
      <c r="AB140" s="502">
        <v>1</v>
      </c>
      <c r="AC140" s="503"/>
      <c r="AD140" s="500">
        <v>1526</v>
      </c>
      <c r="AE140" s="501">
        <v>1224</v>
      </c>
      <c r="AF140" s="501">
        <v>1350</v>
      </c>
      <c r="AG140" s="501">
        <v>1569</v>
      </c>
      <c r="AH140" s="502">
        <v>1241</v>
      </c>
      <c r="AI140" s="502">
        <v>1226</v>
      </c>
      <c r="AJ140" s="502">
        <v>962</v>
      </c>
      <c r="AK140" s="502">
        <v>780</v>
      </c>
      <c r="AL140" s="503"/>
      <c r="AM140" s="500">
        <v>1034</v>
      </c>
      <c r="AN140" s="501">
        <v>800</v>
      </c>
      <c r="AO140" s="501">
        <v>856</v>
      </c>
      <c r="AP140" s="501">
        <v>1016</v>
      </c>
      <c r="AQ140" s="502">
        <v>769</v>
      </c>
      <c r="AR140" s="502">
        <v>760</v>
      </c>
      <c r="AS140" s="502">
        <v>576</v>
      </c>
      <c r="AT140" s="502">
        <v>494</v>
      </c>
      <c r="AU140" s="503"/>
      <c r="AV140" s="500"/>
      <c r="AW140" s="501">
        <v>2</v>
      </c>
      <c r="AX140" s="501"/>
      <c r="AY140" s="501">
        <v>3</v>
      </c>
      <c r="AZ140" s="502"/>
      <c r="BA140" s="502">
        <v>3</v>
      </c>
      <c r="BB140" s="502">
        <v>1</v>
      </c>
      <c r="BC140" s="502">
        <v>1</v>
      </c>
      <c r="BD140" s="503"/>
      <c r="BE140" s="500">
        <v>197</v>
      </c>
      <c r="BF140" s="501">
        <v>164</v>
      </c>
      <c r="BG140" s="501">
        <v>178</v>
      </c>
      <c r="BH140" s="501">
        <v>165</v>
      </c>
      <c r="BI140" s="502">
        <v>130</v>
      </c>
      <c r="BJ140" s="502">
        <v>168</v>
      </c>
      <c r="BK140" s="502">
        <v>176</v>
      </c>
      <c r="BL140" s="502">
        <v>100</v>
      </c>
      <c r="BM140" s="503"/>
      <c r="BN140" s="500">
        <v>19</v>
      </c>
      <c r="BO140" s="501">
        <v>8</v>
      </c>
      <c r="BP140" s="501">
        <v>5</v>
      </c>
      <c r="BQ140" s="501">
        <v>9</v>
      </c>
      <c r="BR140" s="502">
        <v>16</v>
      </c>
      <c r="BS140" s="502">
        <v>19</v>
      </c>
      <c r="BT140" s="502">
        <v>9</v>
      </c>
      <c r="BU140" s="502">
        <v>11</v>
      </c>
      <c r="BV140" s="503"/>
      <c r="BW140" s="500">
        <v>989</v>
      </c>
      <c r="BX140" s="501">
        <v>995</v>
      </c>
      <c r="BY140" s="501">
        <v>1085</v>
      </c>
      <c r="BZ140" s="501">
        <v>1219</v>
      </c>
      <c r="CA140" s="502">
        <v>1061</v>
      </c>
      <c r="CB140" s="502">
        <v>997</v>
      </c>
      <c r="CC140" s="502">
        <v>688</v>
      </c>
      <c r="CD140" s="502">
        <v>614</v>
      </c>
      <c r="CE140" s="503"/>
      <c r="CF140" s="500">
        <v>57</v>
      </c>
      <c r="CG140" s="501">
        <v>42</v>
      </c>
      <c r="CH140" s="501">
        <v>47</v>
      </c>
      <c r="CI140" s="501">
        <v>42</v>
      </c>
      <c r="CJ140" s="502">
        <v>52</v>
      </c>
      <c r="CK140" s="502">
        <v>39</v>
      </c>
      <c r="CL140" s="502">
        <v>20</v>
      </c>
      <c r="CM140" s="502">
        <v>18</v>
      </c>
      <c r="CN140" s="503"/>
      <c r="CO140" s="500">
        <v>33</v>
      </c>
      <c r="CP140" s="501">
        <v>25</v>
      </c>
      <c r="CQ140" s="501">
        <v>10</v>
      </c>
      <c r="CR140" s="501">
        <v>7</v>
      </c>
      <c r="CS140" s="502">
        <v>36</v>
      </c>
      <c r="CT140" s="502">
        <v>25</v>
      </c>
      <c r="CU140" s="502">
        <v>23</v>
      </c>
      <c r="CV140" s="502">
        <v>30</v>
      </c>
      <c r="CW140" s="503"/>
      <c r="CX140" s="500">
        <v>7709</v>
      </c>
      <c r="CY140" s="501">
        <v>7595</v>
      </c>
      <c r="CZ140" s="501">
        <v>7944</v>
      </c>
      <c r="DA140" s="501">
        <v>7489</v>
      </c>
      <c r="DB140" s="502">
        <v>5998</v>
      </c>
      <c r="DC140" s="502">
        <v>5149</v>
      </c>
      <c r="DD140" s="502">
        <v>4399</v>
      </c>
      <c r="DE140" s="502">
        <v>3822</v>
      </c>
      <c r="DF140" s="503"/>
      <c r="DG140" s="500">
        <v>26</v>
      </c>
      <c r="DH140" s="501">
        <v>25</v>
      </c>
      <c r="DI140" s="501">
        <v>34</v>
      </c>
      <c r="DJ140" s="501">
        <v>32</v>
      </c>
      <c r="DK140" s="502">
        <v>20</v>
      </c>
      <c r="DL140" s="502">
        <v>13</v>
      </c>
      <c r="DM140" s="502">
        <v>13</v>
      </c>
      <c r="DN140" s="502">
        <v>20</v>
      </c>
      <c r="DO140" s="503"/>
      <c r="DP140" s="500">
        <v>169</v>
      </c>
      <c r="DQ140" s="501">
        <v>195</v>
      </c>
      <c r="DR140" s="501">
        <v>133</v>
      </c>
      <c r="DS140" s="501">
        <v>92</v>
      </c>
      <c r="DT140" s="502">
        <v>104</v>
      </c>
      <c r="DU140" s="502">
        <v>100</v>
      </c>
      <c r="DV140" s="502">
        <v>43</v>
      </c>
      <c r="DW140" s="502">
        <v>58</v>
      </c>
      <c r="DX140" s="503"/>
      <c r="DY140" s="500">
        <v>1083</v>
      </c>
      <c r="DZ140" s="501">
        <v>1014</v>
      </c>
      <c r="EA140" s="501">
        <v>1011</v>
      </c>
      <c r="EB140" s="501">
        <v>1033</v>
      </c>
      <c r="EC140" s="502">
        <v>921</v>
      </c>
      <c r="ED140" s="502">
        <v>887</v>
      </c>
      <c r="EE140" s="502">
        <v>721</v>
      </c>
      <c r="EF140" s="502">
        <v>612</v>
      </c>
      <c r="EG140" s="503"/>
      <c r="EH140" s="500">
        <v>108</v>
      </c>
      <c r="EI140" s="501">
        <v>90</v>
      </c>
      <c r="EJ140" s="501">
        <v>75</v>
      </c>
      <c r="EK140" s="501">
        <v>91</v>
      </c>
      <c r="EL140" s="502">
        <v>100</v>
      </c>
      <c r="EM140" s="502">
        <v>57</v>
      </c>
      <c r="EN140" s="502">
        <v>34</v>
      </c>
      <c r="EO140" s="502">
        <v>45</v>
      </c>
      <c r="EP140" s="503"/>
      <c r="EQ140" s="500">
        <v>17</v>
      </c>
      <c r="ER140" s="501">
        <v>11</v>
      </c>
      <c r="ES140" s="501">
        <v>26</v>
      </c>
      <c r="ET140" s="501">
        <v>50</v>
      </c>
      <c r="EU140" s="502">
        <v>62</v>
      </c>
      <c r="EV140" s="502">
        <v>88</v>
      </c>
      <c r="EW140" s="502">
        <v>66</v>
      </c>
      <c r="EX140" s="502">
        <v>65</v>
      </c>
      <c r="EY140" s="503"/>
      <c r="EZ140" s="500">
        <v>98</v>
      </c>
      <c r="FA140" s="501">
        <v>61</v>
      </c>
      <c r="FB140" s="501">
        <v>64</v>
      </c>
      <c r="FC140" s="501">
        <v>70</v>
      </c>
      <c r="FD140" s="502">
        <v>59</v>
      </c>
      <c r="FE140" s="502">
        <v>32</v>
      </c>
      <c r="FF140" s="502">
        <v>36</v>
      </c>
      <c r="FG140" s="502">
        <v>14</v>
      </c>
      <c r="FH140" s="503"/>
      <c r="FI140" s="500">
        <v>528</v>
      </c>
      <c r="FJ140" s="501">
        <v>560</v>
      </c>
      <c r="FK140" s="501">
        <v>363</v>
      </c>
      <c r="FL140" s="501">
        <v>369</v>
      </c>
      <c r="FM140" s="502">
        <v>314</v>
      </c>
      <c r="FN140" s="502">
        <v>330</v>
      </c>
      <c r="FO140" s="502">
        <v>298</v>
      </c>
      <c r="FP140" s="502">
        <v>217</v>
      </c>
      <c r="FQ140" s="503"/>
      <c r="FR140" s="500">
        <v>59</v>
      </c>
      <c r="FS140" s="501">
        <v>80</v>
      </c>
      <c r="FT140" s="501">
        <v>66</v>
      </c>
      <c r="FU140" s="501">
        <v>59</v>
      </c>
      <c r="FV140" s="502">
        <v>32</v>
      </c>
      <c r="FW140" s="502">
        <v>30</v>
      </c>
      <c r="FX140" s="502">
        <v>38</v>
      </c>
      <c r="FY140" s="502">
        <v>27</v>
      </c>
      <c r="FZ140" s="503"/>
      <c r="GA140" s="500">
        <v>63</v>
      </c>
      <c r="GB140" s="501">
        <v>44</v>
      </c>
      <c r="GC140" s="501">
        <v>52</v>
      </c>
      <c r="GD140" s="501">
        <v>38</v>
      </c>
      <c r="GE140" s="502">
        <v>63</v>
      </c>
      <c r="GF140" s="502">
        <v>81</v>
      </c>
      <c r="GG140" s="502">
        <v>77</v>
      </c>
      <c r="GH140" s="502">
        <v>95</v>
      </c>
      <c r="GI140" s="503"/>
      <c r="GJ140" s="500">
        <v>11419</v>
      </c>
      <c r="GK140" s="501">
        <v>10916</v>
      </c>
      <c r="GL140" s="501">
        <v>11278</v>
      </c>
      <c r="GM140" s="501">
        <v>11187</v>
      </c>
      <c r="GN140" s="502">
        <v>9173</v>
      </c>
      <c r="GO140" s="502">
        <v>8250</v>
      </c>
      <c r="GP140" s="502">
        <v>6836</v>
      </c>
      <c r="GQ140" s="502">
        <v>5843</v>
      </c>
      <c r="GR140" s="503"/>
      <c r="GS140" s="500">
        <v>3469</v>
      </c>
      <c r="GT140" s="501">
        <v>3261</v>
      </c>
      <c r="GU140" s="501">
        <v>3368</v>
      </c>
      <c r="GV140" s="501">
        <v>3119</v>
      </c>
      <c r="GW140" s="502">
        <v>1727</v>
      </c>
      <c r="GX140" s="502">
        <v>1533</v>
      </c>
      <c r="GY140" s="502">
        <v>1190</v>
      </c>
      <c r="GZ140" s="502">
        <v>1091</v>
      </c>
      <c r="HA140" s="503"/>
      <c r="HB140" s="500">
        <v>53</v>
      </c>
      <c r="HC140" s="501">
        <v>40</v>
      </c>
      <c r="HD140" s="501">
        <v>37</v>
      </c>
      <c r="HE140" s="501">
        <v>34</v>
      </c>
      <c r="HF140" s="502">
        <v>50</v>
      </c>
      <c r="HG140" s="502">
        <v>36</v>
      </c>
      <c r="HH140" s="502">
        <v>42</v>
      </c>
      <c r="HI140" s="502">
        <v>29</v>
      </c>
      <c r="HJ140" s="503"/>
      <c r="HK140" s="500">
        <v>29</v>
      </c>
      <c r="HL140" s="501">
        <v>16</v>
      </c>
      <c r="HM140" s="501">
        <v>10</v>
      </c>
      <c r="HN140" s="501">
        <v>17</v>
      </c>
      <c r="HO140" s="502">
        <v>13</v>
      </c>
      <c r="HP140" s="502">
        <v>23</v>
      </c>
      <c r="HQ140" s="502">
        <v>18</v>
      </c>
      <c r="HR140" s="502">
        <v>22</v>
      </c>
      <c r="HS140" s="503"/>
      <c r="HT140" s="500">
        <v>4780</v>
      </c>
      <c r="HU140" s="501">
        <v>4308</v>
      </c>
      <c r="HV140" s="501">
        <v>4391</v>
      </c>
      <c r="HW140" s="501">
        <v>4203</v>
      </c>
      <c r="HX140" s="502">
        <v>3040</v>
      </c>
      <c r="HY140" s="502">
        <v>2558</v>
      </c>
      <c r="HZ140" s="502">
        <v>2250</v>
      </c>
      <c r="IA140" s="502">
        <v>2441</v>
      </c>
      <c r="IB140" s="503"/>
      <c r="IC140" s="500">
        <v>20294</v>
      </c>
      <c r="ID140" s="501">
        <v>19109</v>
      </c>
      <c r="IE140" s="501">
        <v>21027</v>
      </c>
      <c r="IF140" s="501">
        <v>17593</v>
      </c>
      <c r="IG140" s="502">
        <v>15197</v>
      </c>
      <c r="IH140" s="502">
        <v>14976</v>
      </c>
      <c r="II140" s="502">
        <v>11696</v>
      </c>
      <c r="IJ140" s="502">
        <v>11014</v>
      </c>
      <c r="IK140" s="503"/>
      <c r="IL140" s="500">
        <v>2137</v>
      </c>
      <c r="IM140" s="501">
        <v>2018</v>
      </c>
      <c r="IN140" s="501">
        <v>1899</v>
      </c>
      <c r="IO140" s="501">
        <v>1276</v>
      </c>
      <c r="IP140" s="502">
        <v>691</v>
      </c>
      <c r="IQ140" s="502">
        <v>1196</v>
      </c>
      <c r="IR140" s="502">
        <v>1034</v>
      </c>
      <c r="IS140" s="502">
        <v>798</v>
      </c>
      <c r="IT140" s="503"/>
      <c r="IU140" s="547">
        <v>3621.1545084212275</v>
      </c>
      <c r="IV140" s="548">
        <v>3439.9887667958005</v>
      </c>
      <c r="IW140" s="548">
        <v>3810.1295411427668</v>
      </c>
      <c r="IX140" s="548">
        <v>3121.2465825605473</v>
      </c>
      <c r="IY140" s="549">
        <v>2707.0838061274112</v>
      </c>
      <c r="IZ140" s="549">
        <v>2663.0770133562846</v>
      </c>
      <c r="JA140" s="549">
        <v>2077.1655640900412</v>
      </c>
      <c r="JB140" s="549">
        <v>1959.5842421956454</v>
      </c>
      <c r="JC140" s="550"/>
      <c r="JD140" s="551">
        <v>852.91803243586605</v>
      </c>
      <c r="JE140" s="552">
        <v>775.52313608018778</v>
      </c>
      <c r="JF140" s="552">
        <v>795.65695606400777</v>
      </c>
      <c r="JG140" s="552">
        <v>745.67153904973441</v>
      </c>
      <c r="JH140" s="552">
        <v>541.5236408914476</v>
      </c>
      <c r="JI140" s="553">
        <v>454.8711939212991</v>
      </c>
      <c r="JJ140" s="553">
        <v>399.59152865959243</v>
      </c>
      <c r="JK140" s="553">
        <v>434.29681634279734</v>
      </c>
      <c r="JL140" s="550"/>
      <c r="JM140" s="551">
        <v>2037.54623690066</v>
      </c>
      <c r="JN140" s="552">
        <v>1965.0906577185074</v>
      </c>
      <c r="JO140" s="552">
        <v>2043.5935209496422</v>
      </c>
      <c r="JP140" s="552">
        <v>1984.7317409824841</v>
      </c>
      <c r="JQ140" s="552">
        <v>1634.0119598346216</v>
      </c>
      <c r="JR140" s="553">
        <v>1467.0396207391391</v>
      </c>
      <c r="JS140" s="553">
        <v>1214.0478621853217</v>
      </c>
      <c r="JT140" s="553">
        <v>1039.5724284682362</v>
      </c>
      <c r="JU140" s="550"/>
      <c r="JV140" s="551">
        <v>618.99009508787026</v>
      </c>
      <c r="JW140" s="552">
        <v>587.04293100220343</v>
      </c>
      <c r="JX140" s="552">
        <v>610.28754908302847</v>
      </c>
      <c r="JY140" s="552">
        <v>553.35463485513253</v>
      </c>
      <c r="JZ140" s="552">
        <v>307.63530520379283</v>
      </c>
      <c r="KA140" s="553">
        <v>272.60263498098186</v>
      </c>
      <c r="KB140" s="553">
        <v>211.33951960218442</v>
      </c>
      <c r="KC140" s="553">
        <v>194.10808137238507</v>
      </c>
      <c r="KD140" s="550"/>
    </row>
    <row r="141" spans="1:290" ht="15" customHeight="1" x14ac:dyDescent="0.2">
      <c r="A141" s="929" t="s">
        <v>558</v>
      </c>
      <c r="B141" s="485" t="s">
        <v>742</v>
      </c>
      <c r="C141" s="486">
        <v>2</v>
      </c>
      <c r="D141" s="487">
        <v>5</v>
      </c>
      <c r="E141" s="487">
        <v>2</v>
      </c>
      <c r="F141" s="487">
        <v>6</v>
      </c>
      <c r="G141" s="488">
        <v>7</v>
      </c>
      <c r="H141" s="488">
        <v>3</v>
      </c>
      <c r="I141" s="488">
        <v>1</v>
      </c>
      <c r="J141" s="488">
        <v>4</v>
      </c>
      <c r="K141" s="489"/>
      <c r="L141" s="486"/>
      <c r="M141" s="487">
        <v>4</v>
      </c>
      <c r="N141" s="487">
        <v>2</v>
      </c>
      <c r="O141" s="487">
        <v>2</v>
      </c>
      <c r="P141" s="488">
        <v>5</v>
      </c>
      <c r="Q141" s="488">
        <v>1</v>
      </c>
      <c r="R141" s="488">
        <v>1</v>
      </c>
      <c r="S141" s="488">
        <v>4</v>
      </c>
      <c r="T141" s="489"/>
      <c r="U141" s="486">
        <v>1</v>
      </c>
      <c r="V141" s="487">
        <v>1</v>
      </c>
      <c r="W141" s="487"/>
      <c r="X141" s="487">
        <v>4</v>
      </c>
      <c r="Y141" s="488">
        <v>1</v>
      </c>
      <c r="Z141" s="488">
        <v>2</v>
      </c>
      <c r="AA141" s="488"/>
      <c r="AB141" s="488"/>
      <c r="AC141" s="489"/>
      <c r="AD141" s="486">
        <v>168</v>
      </c>
      <c r="AE141" s="487">
        <v>160</v>
      </c>
      <c r="AF141" s="487">
        <v>138</v>
      </c>
      <c r="AG141" s="487">
        <v>118</v>
      </c>
      <c r="AH141" s="488">
        <v>90</v>
      </c>
      <c r="AI141" s="488">
        <v>134</v>
      </c>
      <c r="AJ141" s="488">
        <v>95</v>
      </c>
      <c r="AK141" s="488">
        <v>86</v>
      </c>
      <c r="AL141" s="489"/>
      <c r="AM141" s="486">
        <v>63</v>
      </c>
      <c r="AN141" s="487">
        <v>53</v>
      </c>
      <c r="AO141" s="487">
        <v>56</v>
      </c>
      <c r="AP141" s="487">
        <v>42</v>
      </c>
      <c r="AQ141" s="488">
        <v>30</v>
      </c>
      <c r="AR141" s="488">
        <v>51</v>
      </c>
      <c r="AS141" s="488">
        <v>28</v>
      </c>
      <c r="AT141" s="488">
        <v>27</v>
      </c>
      <c r="AU141" s="489"/>
      <c r="AV141" s="486">
        <v>2</v>
      </c>
      <c r="AW141" s="487">
        <v>1</v>
      </c>
      <c r="AX141" s="487">
        <v>2</v>
      </c>
      <c r="AY141" s="487"/>
      <c r="AZ141" s="488"/>
      <c r="BA141" s="488"/>
      <c r="BB141" s="488"/>
      <c r="BC141" s="488"/>
      <c r="BD141" s="489"/>
      <c r="BE141" s="486">
        <v>26</v>
      </c>
      <c r="BF141" s="487">
        <v>35</v>
      </c>
      <c r="BG141" s="487">
        <v>29</v>
      </c>
      <c r="BH141" s="487">
        <v>11</v>
      </c>
      <c r="BI141" s="488">
        <v>24</v>
      </c>
      <c r="BJ141" s="488">
        <v>30</v>
      </c>
      <c r="BK141" s="488">
        <v>31</v>
      </c>
      <c r="BL141" s="488">
        <v>13</v>
      </c>
      <c r="BM141" s="489"/>
      <c r="BN141" s="486"/>
      <c r="BO141" s="487"/>
      <c r="BP141" s="487"/>
      <c r="BQ141" s="487"/>
      <c r="BR141" s="488"/>
      <c r="BS141" s="488"/>
      <c r="BT141" s="488"/>
      <c r="BU141" s="488"/>
      <c r="BV141" s="489"/>
      <c r="BW141" s="486">
        <v>241</v>
      </c>
      <c r="BX141" s="487">
        <v>240</v>
      </c>
      <c r="BY141" s="487">
        <v>251</v>
      </c>
      <c r="BZ141" s="487">
        <v>197</v>
      </c>
      <c r="CA141" s="488">
        <v>188</v>
      </c>
      <c r="CB141" s="488">
        <v>173</v>
      </c>
      <c r="CC141" s="488">
        <v>171</v>
      </c>
      <c r="CD141" s="488">
        <v>130</v>
      </c>
      <c r="CE141" s="489"/>
      <c r="CF141" s="486">
        <v>12</v>
      </c>
      <c r="CG141" s="487">
        <v>8</v>
      </c>
      <c r="CH141" s="487">
        <v>7</v>
      </c>
      <c r="CI141" s="487">
        <v>5</v>
      </c>
      <c r="CJ141" s="488">
        <v>4</v>
      </c>
      <c r="CK141" s="488">
        <v>5</v>
      </c>
      <c r="CL141" s="488">
        <v>1</v>
      </c>
      <c r="CM141" s="488">
        <v>1</v>
      </c>
      <c r="CN141" s="489"/>
      <c r="CO141" s="486">
        <v>18</v>
      </c>
      <c r="CP141" s="487">
        <v>22</v>
      </c>
      <c r="CQ141" s="487">
        <v>2</v>
      </c>
      <c r="CR141" s="487">
        <v>1</v>
      </c>
      <c r="CS141" s="488"/>
      <c r="CT141" s="488"/>
      <c r="CU141" s="488">
        <v>4</v>
      </c>
      <c r="CV141" s="488">
        <v>2</v>
      </c>
      <c r="CW141" s="489"/>
      <c r="CX141" s="486">
        <v>2888</v>
      </c>
      <c r="CY141" s="487">
        <v>2894</v>
      </c>
      <c r="CZ141" s="487">
        <v>3321</v>
      </c>
      <c r="DA141" s="487">
        <v>2730</v>
      </c>
      <c r="DB141" s="488">
        <v>2244</v>
      </c>
      <c r="DC141" s="488">
        <v>2002</v>
      </c>
      <c r="DD141" s="488">
        <v>1449</v>
      </c>
      <c r="DE141" s="488">
        <v>1089</v>
      </c>
      <c r="DF141" s="489"/>
      <c r="DG141" s="486">
        <v>29</v>
      </c>
      <c r="DH141" s="487">
        <v>12</v>
      </c>
      <c r="DI141" s="487">
        <v>38</v>
      </c>
      <c r="DJ141" s="487">
        <v>15</v>
      </c>
      <c r="DK141" s="488">
        <v>7</v>
      </c>
      <c r="DL141" s="488">
        <v>7</v>
      </c>
      <c r="DM141" s="488">
        <v>9</v>
      </c>
      <c r="DN141" s="488">
        <v>8</v>
      </c>
      <c r="DO141" s="489"/>
      <c r="DP141" s="486">
        <v>205</v>
      </c>
      <c r="DQ141" s="487">
        <v>87</v>
      </c>
      <c r="DR141" s="487">
        <v>121</v>
      </c>
      <c r="DS141" s="487">
        <v>110</v>
      </c>
      <c r="DT141" s="488">
        <v>54</v>
      </c>
      <c r="DU141" s="488">
        <v>66</v>
      </c>
      <c r="DV141" s="488">
        <v>63</v>
      </c>
      <c r="DW141" s="488">
        <v>55</v>
      </c>
      <c r="DX141" s="489"/>
      <c r="DY141" s="486">
        <v>272</v>
      </c>
      <c r="DZ141" s="487">
        <v>310</v>
      </c>
      <c r="EA141" s="487">
        <v>321</v>
      </c>
      <c r="EB141" s="487">
        <v>287</v>
      </c>
      <c r="EC141" s="488">
        <v>273</v>
      </c>
      <c r="ED141" s="488">
        <v>360</v>
      </c>
      <c r="EE141" s="488">
        <v>353</v>
      </c>
      <c r="EF141" s="488">
        <v>169</v>
      </c>
      <c r="EG141" s="489"/>
      <c r="EH141" s="486">
        <v>37</v>
      </c>
      <c r="EI141" s="487">
        <v>29</v>
      </c>
      <c r="EJ141" s="487">
        <v>37</v>
      </c>
      <c r="EK141" s="487">
        <v>21</v>
      </c>
      <c r="EL141" s="488">
        <v>22</v>
      </c>
      <c r="EM141" s="488">
        <v>17</v>
      </c>
      <c r="EN141" s="488">
        <v>15</v>
      </c>
      <c r="EO141" s="488">
        <v>11</v>
      </c>
      <c r="EP141" s="489"/>
      <c r="EQ141" s="486">
        <v>4</v>
      </c>
      <c r="ER141" s="487">
        <v>19</v>
      </c>
      <c r="ES141" s="487">
        <v>40</v>
      </c>
      <c r="ET141" s="487">
        <v>29</v>
      </c>
      <c r="EU141" s="488">
        <v>21</v>
      </c>
      <c r="EV141" s="488">
        <v>12</v>
      </c>
      <c r="EW141" s="488">
        <v>19</v>
      </c>
      <c r="EX141" s="488">
        <v>20</v>
      </c>
      <c r="EY141" s="489"/>
      <c r="EZ141" s="486">
        <v>15</v>
      </c>
      <c r="FA141" s="487">
        <v>10</v>
      </c>
      <c r="FB141" s="487">
        <v>14</v>
      </c>
      <c r="FC141" s="487">
        <v>5</v>
      </c>
      <c r="FD141" s="488">
        <v>7</v>
      </c>
      <c r="FE141" s="488">
        <v>5</v>
      </c>
      <c r="FF141" s="488">
        <v>4</v>
      </c>
      <c r="FG141" s="488">
        <v>4</v>
      </c>
      <c r="FH141" s="489"/>
      <c r="FI141" s="486">
        <v>211</v>
      </c>
      <c r="FJ141" s="487">
        <v>227</v>
      </c>
      <c r="FK141" s="487">
        <v>173</v>
      </c>
      <c r="FL141" s="487">
        <v>91</v>
      </c>
      <c r="FM141" s="488">
        <v>130</v>
      </c>
      <c r="FN141" s="488">
        <v>139</v>
      </c>
      <c r="FO141" s="488">
        <v>84</v>
      </c>
      <c r="FP141" s="488">
        <v>58</v>
      </c>
      <c r="FQ141" s="489"/>
      <c r="FR141" s="486">
        <v>8</v>
      </c>
      <c r="FS141" s="487">
        <v>13</v>
      </c>
      <c r="FT141" s="487">
        <v>2</v>
      </c>
      <c r="FU141" s="487">
        <v>6</v>
      </c>
      <c r="FV141" s="488">
        <v>11</v>
      </c>
      <c r="FW141" s="488">
        <v>7</v>
      </c>
      <c r="FX141" s="488">
        <v>9</v>
      </c>
      <c r="FY141" s="488"/>
      <c r="FZ141" s="489"/>
      <c r="GA141" s="486">
        <v>15</v>
      </c>
      <c r="GB141" s="487">
        <v>5</v>
      </c>
      <c r="GC141" s="487">
        <v>11</v>
      </c>
      <c r="GD141" s="487">
        <v>5</v>
      </c>
      <c r="GE141" s="488">
        <v>7</v>
      </c>
      <c r="GF141" s="488">
        <v>7</v>
      </c>
      <c r="GG141" s="488">
        <v>6</v>
      </c>
      <c r="GH141" s="488">
        <v>7</v>
      </c>
      <c r="GI141" s="489"/>
      <c r="GJ141" s="486">
        <v>3645</v>
      </c>
      <c r="GK141" s="487">
        <v>3667</v>
      </c>
      <c r="GL141" s="487">
        <v>4027</v>
      </c>
      <c r="GM141" s="487">
        <v>3225</v>
      </c>
      <c r="GN141" s="488">
        <v>2755</v>
      </c>
      <c r="GO141" s="488">
        <v>2534</v>
      </c>
      <c r="GP141" s="488">
        <v>1889</v>
      </c>
      <c r="GQ141" s="488">
        <v>1425</v>
      </c>
      <c r="GR141" s="489"/>
      <c r="GS141" s="486">
        <v>1256</v>
      </c>
      <c r="GT141" s="487">
        <v>1251</v>
      </c>
      <c r="GU141" s="487">
        <v>1387</v>
      </c>
      <c r="GV141" s="487">
        <v>946</v>
      </c>
      <c r="GW141" s="488">
        <v>537</v>
      </c>
      <c r="GX141" s="488">
        <v>473</v>
      </c>
      <c r="GY141" s="488">
        <v>319</v>
      </c>
      <c r="GZ141" s="488">
        <v>296</v>
      </c>
      <c r="HA141" s="489"/>
      <c r="HB141" s="486">
        <v>15</v>
      </c>
      <c r="HC141" s="487">
        <v>10</v>
      </c>
      <c r="HD141" s="487">
        <v>12</v>
      </c>
      <c r="HE141" s="487">
        <v>13</v>
      </c>
      <c r="HF141" s="488">
        <v>11</v>
      </c>
      <c r="HG141" s="488">
        <v>6</v>
      </c>
      <c r="HH141" s="488">
        <v>4</v>
      </c>
      <c r="HI141" s="488">
        <v>4</v>
      </c>
      <c r="HJ141" s="489"/>
      <c r="HK141" s="486">
        <v>11</v>
      </c>
      <c r="HL141" s="487">
        <v>6</v>
      </c>
      <c r="HM141" s="487">
        <v>4</v>
      </c>
      <c r="HN141" s="487">
        <v>4</v>
      </c>
      <c r="HO141" s="488">
        <v>3</v>
      </c>
      <c r="HP141" s="488">
        <v>4</v>
      </c>
      <c r="HQ141" s="488">
        <v>1</v>
      </c>
      <c r="HR141" s="488">
        <v>2</v>
      </c>
      <c r="HS141" s="489"/>
      <c r="HT141" s="486">
        <v>1480</v>
      </c>
      <c r="HU141" s="487">
        <v>1504</v>
      </c>
      <c r="HV141" s="487">
        <v>1583</v>
      </c>
      <c r="HW141" s="487">
        <v>1138</v>
      </c>
      <c r="HX141" s="488">
        <v>758</v>
      </c>
      <c r="HY141" s="488">
        <v>671</v>
      </c>
      <c r="HZ141" s="488">
        <v>529</v>
      </c>
      <c r="IA141" s="488">
        <v>536</v>
      </c>
      <c r="IB141" s="489"/>
      <c r="IC141" s="486">
        <v>5743</v>
      </c>
      <c r="ID141" s="487">
        <v>6282</v>
      </c>
      <c r="IE141" s="487">
        <v>6684</v>
      </c>
      <c r="IF141" s="487">
        <v>4400</v>
      </c>
      <c r="IG141" s="488">
        <v>4173</v>
      </c>
      <c r="IH141" s="488">
        <v>3749</v>
      </c>
      <c r="II141" s="488">
        <v>2944</v>
      </c>
      <c r="IJ141" s="488">
        <v>2528</v>
      </c>
      <c r="IK141" s="489"/>
      <c r="IL141" s="486">
        <v>581</v>
      </c>
      <c r="IM141" s="487">
        <v>617</v>
      </c>
      <c r="IN141" s="487">
        <v>751</v>
      </c>
      <c r="IO141" s="487">
        <v>478</v>
      </c>
      <c r="IP141" s="488">
        <v>249</v>
      </c>
      <c r="IQ141" s="488">
        <v>560</v>
      </c>
      <c r="IR141" s="488">
        <v>500</v>
      </c>
      <c r="IS141" s="488">
        <v>353</v>
      </c>
      <c r="IT141" s="489"/>
      <c r="IU141" s="526">
        <v>4342.2047482231965</v>
      </c>
      <c r="IV141" s="527">
        <v>4783.1880306087487</v>
      </c>
      <c r="IW141" s="527">
        <v>5121.8390804597702</v>
      </c>
      <c r="IX141" s="527">
        <v>3398.418190805734</v>
      </c>
      <c r="IY141" s="528">
        <v>3236.9162031973565</v>
      </c>
      <c r="IZ141" s="528">
        <v>2965.4181799328826</v>
      </c>
      <c r="JA141" s="528">
        <v>2530.1225528111518</v>
      </c>
      <c r="JB141" s="528">
        <v>2184.6401133800564</v>
      </c>
      <c r="JC141" s="529"/>
      <c r="JD141" s="530">
        <v>1119.0080145168608</v>
      </c>
      <c r="JE141" s="531">
        <v>1145.1631324475577</v>
      </c>
      <c r="JF141" s="531">
        <v>1213.0268199233717</v>
      </c>
      <c r="JG141" s="531">
        <v>878.95452298566488</v>
      </c>
      <c r="JH141" s="531">
        <v>587.96608723306883</v>
      </c>
      <c r="JI141" s="532">
        <v>529.36919861232695</v>
      </c>
      <c r="JJ141" s="532">
        <v>454.63139620825382</v>
      </c>
      <c r="JK141" s="532">
        <v>463.19901138121452</v>
      </c>
      <c r="JL141" s="529"/>
      <c r="JM141" s="530">
        <v>2755.9352789959171</v>
      </c>
      <c r="JN141" s="531">
        <v>2792.0965469981343</v>
      </c>
      <c r="JO141" s="531">
        <v>3085.8237547892722</v>
      </c>
      <c r="JP141" s="531">
        <v>2490.8860603064754</v>
      </c>
      <c r="JQ141" s="531">
        <v>2137.0007524104285</v>
      </c>
      <c r="JR141" s="532">
        <v>1996.818514986393</v>
      </c>
      <c r="JS141" s="532">
        <v>1623.4380102786226</v>
      </c>
      <c r="JT141" s="532">
        <v>1231.4525955564004</v>
      </c>
      <c r="JU141" s="529"/>
      <c r="JV141" s="530">
        <v>949.6446393467412</v>
      </c>
      <c r="JW141" s="531">
        <v>952.5259831728024</v>
      </c>
      <c r="JX141" s="531">
        <v>1062.8352490421455</v>
      </c>
      <c r="JY141" s="531">
        <v>730.65991102323278</v>
      </c>
      <c r="JZ141" s="531">
        <v>416.5406185279129</v>
      </c>
      <c r="KA141" s="532">
        <v>371.33843754519614</v>
      </c>
      <c r="KB141" s="532">
        <v>274.15390432974095</v>
      </c>
      <c r="KC141" s="532">
        <v>255.79646897171548</v>
      </c>
      <c r="KD141" s="529"/>
    </row>
    <row r="142" spans="1:290" ht="15" customHeight="1" x14ac:dyDescent="0.2">
      <c r="A142" s="930"/>
      <c r="B142" s="490" t="s">
        <v>743</v>
      </c>
      <c r="C142" s="491">
        <v>5</v>
      </c>
      <c r="D142" s="492">
        <v>6</v>
      </c>
      <c r="E142" s="492">
        <v>1</v>
      </c>
      <c r="F142" s="492">
        <v>2</v>
      </c>
      <c r="G142" s="493"/>
      <c r="H142" s="493">
        <v>2</v>
      </c>
      <c r="I142" s="493"/>
      <c r="J142" s="493"/>
      <c r="K142" s="199"/>
      <c r="L142" s="491">
        <v>1</v>
      </c>
      <c r="M142" s="492">
        <v>1</v>
      </c>
      <c r="N142" s="492"/>
      <c r="O142" s="492">
        <v>1</v>
      </c>
      <c r="P142" s="493"/>
      <c r="Q142" s="493">
        <v>1</v>
      </c>
      <c r="R142" s="493"/>
      <c r="S142" s="493"/>
      <c r="T142" s="199"/>
      <c r="U142" s="491">
        <v>4</v>
      </c>
      <c r="V142" s="492">
        <v>4</v>
      </c>
      <c r="W142" s="492">
        <v>1</v>
      </c>
      <c r="X142" s="492">
        <v>1</v>
      </c>
      <c r="Y142" s="493"/>
      <c r="Z142" s="493">
        <v>1</v>
      </c>
      <c r="AA142" s="493"/>
      <c r="AB142" s="493"/>
      <c r="AC142" s="199"/>
      <c r="AD142" s="491">
        <v>122</v>
      </c>
      <c r="AE142" s="492">
        <v>126</v>
      </c>
      <c r="AF142" s="492">
        <v>117</v>
      </c>
      <c r="AG142" s="492">
        <v>100</v>
      </c>
      <c r="AH142" s="493">
        <v>116</v>
      </c>
      <c r="AI142" s="493">
        <v>114</v>
      </c>
      <c r="AJ142" s="493">
        <v>94</v>
      </c>
      <c r="AK142" s="493">
        <v>81</v>
      </c>
      <c r="AL142" s="199"/>
      <c r="AM142" s="491">
        <v>52</v>
      </c>
      <c r="AN142" s="492">
        <v>43</v>
      </c>
      <c r="AO142" s="492">
        <v>40</v>
      </c>
      <c r="AP142" s="492">
        <v>38</v>
      </c>
      <c r="AQ142" s="493">
        <v>34</v>
      </c>
      <c r="AR142" s="493">
        <v>39</v>
      </c>
      <c r="AS142" s="493">
        <v>32</v>
      </c>
      <c r="AT142" s="493">
        <v>33</v>
      </c>
      <c r="AU142" s="199"/>
      <c r="AV142" s="491"/>
      <c r="AW142" s="492"/>
      <c r="AX142" s="492"/>
      <c r="AY142" s="492"/>
      <c r="AZ142" s="493"/>
      <c r="BA142" s="493"/>
      <c r="BB142" s="493"/>
      <c r="BC142" s="493"/>
      <c r="BD142" s="199"/>
      <c r="BE142" s="491">
        <v>14</v>
      </c>
      <c r="BF142" s="492">
        <v>51</v>
      </c>
      <c r="BG142" s="492">
        <v>22</v>
      </c>
      <c r="BH142" s="492">
        <v>23</v>
      </c>
      <c r="BI142" s="493">
        <v>48</v>
      </c>
      <c r="BJ142" s="493">
        <v>36</v>
      </c>
      <c r="BK142" s="493">
        <v>16</v>
      </c>
      <c r="BL142" s="493">
        <v>15</v>
      </c>
      <c r="BM142" s="199"/>
      <c r="BN142" s="491"/>
      <c r="BO142" s="492"/>
      <c r="BP142" s="492"/>
      <c r="BQ142" s="492"/>
      <c r="BR142" s="493"/>
      <c r="BS142" s="493"/>
      <c r="BT142" s="493"/>
      <c r="BU142" s="493"/>
      <c r="BV142" s="199"/>
      <c r="BW142" s="491">
        <v>196</v>
      </c>
      <c r="BX142" s="492">
        <v>183</v>
      </c>
      <c r="BY142" s="492">
        <v>179</v>
      </c>
      <c r="BZ142" s="492">
        <v>186</v>
      </c>
      <c r="CA142" s="493">
        <v>227</v>
      </c>
      <c r="CB142" s="493">
        <v>250</v>
      </c>
      <c r="CC142" s="493">
        <v>196</v>
      </c>
      <c r="CD142" s="493">
        <v>112</v>
      </c>
      <c r="CE142" s="199"/>
      <c r="CF142" s="491">
        <v>4</v>
      </c>
      <c r="CG142" s="492">
        <v>3</v>
      </c>
      <c r="CH142" s="492">
        <v>5</v>
      </c>
      <c r="CI142" s="492">
        <v>3</v>
      </c>
      <c r="CJ142" s="493">
        <v>8</v>
      </c>
      <c r="CK142" s="493">
        <v>5</v>
      </c>
      <c r="CL142" s="493">
        <v>2</v>
      </c>
      <c r="CM142" s="493">
        <v>4</v>
      </c>
      <c r="CN142" s="199"/>
      <c r="CO142" s="491">
        <v>4</v>
      </c>
      <c r="CP142" s="492">
        <v>1</v>
      </c>
      <c r="CQ142" s="492">
        <v>6</v>
      </c>
      <c r="CR142" s="492">
        <v>4</v>
      </c>
      <c r="CS142" s="493">
        <v>6</v>
      </c>
      <c r="CT142" s="493">
        <v>1</v>
      </c>
      <c r="CU142" s="493">
        <v>1</v>
      </c>
      <c r="CV142" s="493">
        <v>2</v>
      </c>
      <c r="CW142" s="199"/>
      <c r="CX142" s="491">
        <v>1763</v>
      </c>
      <c r="CY142" s="492">
        <v>1682</v>
      </c>
      <c r="CZ142" s="492">
        <v>2262</v>
      </c>
      <c r="DA142" s="492">
        <v>1806</v>
      </c>
      <c r="DB142" s="493">
        <v>1269</v>
      </c>
      <c r="DC142" s="493">
        <v>1167</v>
      </c>
      <c r="DD142" s="493">
        <v>1196</v>
      </c>
      <c r="DE142" s="493">
        <v>635</v>
      </c>
      <c r="DF142" s="199"/>
      <c r="DG142" s="491">
        <v>27</v>
      </c>
      <c r="DH142" s="492">
        <v>18</v>
      </c>
      <c r="DI142" s="492">
        <v>20</v>
      </c>
      <c r="DJ142" s="492">
        <v>9</v>
      </c>
      <c r="DK142" s="493">
        <v>9</v>
      </c>
      <c r="DL142" s="493">
        <v>2</v>
      </c>
      <c r="DM142" s="493">
        <v>2</v>
      </c>
      <c r="DN142" s="493">
        <v>2</v>
      </c>
      <c r="DO142" s="199"/>
      <c r="DP142" s="491">
        <v>78</v>
      </c>
      <c r="DQ142" s="492">
        <v>68</v>
      </c>
      <c r="DR142" s="492">
        <v>81</v>
      </c>
      <c r="DS142" s="492">
        <v>29</v>
      </c>
      <c r="DT142" s="493">
        <v>18</v>
      </c>
      <c r="DU142" s="493">
        <v>15</v>
      </c>
      <c r="DV142" s="493">
        <v>20</v>
      </c>
      <c r="DW142" s="493">
        <v>9</v>
      </c>
      <c r="DX142" s="199"/>
      <c r="DY142" s="491">
        <v>288</v>
      </c>
      <c r="DZ142" s="492">
        <v>273</v>
      </c>
      <c r="EA142" s="492">
        <v>398</v>
      </c>
      <c r="EB142" s="492">
        <v>392</v>
      </c>
      <c r="EC142" s="493">
        <v>339</v>
      </c>
      <c r="ED142" s="493">
        <v>328</v>
      </c>
      <c r="EE142" s="493">
        <v>414</v>
      </c>
      <c r="EF142" s="493">
        <v>190</v>
      </c>
      <c r="EG142" s="199"/>
      <c r="EH142" s="491">
        <v>10</v>
      </c>
      <c r="EI142" s="492">
        <v>19</v>
      </c>
      <c r="EJ142" s="492">
        <v>18</v>
      </c>
      <c r="EK142" s="492">
        <v>19</v>
      </c>
      <c r="EL142" s="493">
        <v>7</v>
      </c>
      <c r="EM142" s="493">
        <v>8</v>
      </c>
      <c r="EN142" s="493">
        <v>11</v>
      </c>
      <c r="EO142" s="493">
        <v>10</v>
      </c>
      <c r="EP142" s="199"/>
      <c r="EQ142" s="491">
        <v>4</v>
      </c>
      <c r="ER142" s="492">
        <v>1</v>
      </c>
      <c r="ES142" s="492">
        <v>2</v>
      </c>
      <c r="ET142" s="492">
        <v>3</v>
      </c>
      <c r="EU142" s="493">
        <v>5</v>
      </c>
      <c r="EV142" s="493">
        <v>4</v>
      </c>
      <c r="EW142" s="493">
        <v>11</v>
      </c>
      <c r="EX142" s="493">
        <v>5</v>
      </c>
      <c r="EY142" s="199"/>
      <c r="EZ142" s="491">
        <v>7</v>
      </c>
      <c r="FA142" s="492">
        <v>6</v>
      </c>
      <c r="FB142" s="492">
        <v>18</v>
      </c>
      <c r="FC142" s="492">
        <v>8</v>
      </c>
      <c r="FD142" s="493">
        <v>2</v>
      </c>
      <c r="FE142" s="493">
        <v>4</v>
      </c>
      <c r="FF142" s="493">
        <v>2</v>
      </c>
      <c r="FG142" s="493">
        <v>3</v>
      </c>
      <c r="FH142" s="199"/>
      <c r="FI142" s="491">
        <v>98</v>
      </c>
      <c r="FJ142" s="492">
        <v>91</v>
      </c>
      <c r="FK142" s="492">
        <v>82</v>
      </c>
      <c r="FL142" s="492">
        <v>44</v>
      </c>
      <c r="FM142" s="493">
        <v>36</v>
      </c>
      <c r="FN142" s="493">
        <v>42</v>
      </c>
      <c r="FO142" s="493">
        <v>26</v>
      </c>
      <c r="FP142" s="493">
        <v>33</v>
      </c>
      <c r="FQ142" s="199"/>
      <c r="FR142" s="491">
        <v>6</v>
      </c>
      <c r="FS142" s="492">
        <v>13</v>
      </c>
      <c r="FT142" s="492">
        <v>11</v>
      </c>
      <c r="FU142" s="492">
        <v>5</v>
      </c>
      <c r="FV142" s="493">
        <v>4</v>
      </c>
      <c r="FW142" s="493">
        <v>6</v>
      </c>
      <c r="FX142" s="493">
        <v>5</v>
      </c>
      <c r="FY142" s="493">
        <v>7</v>
      </c>
      <c r="FZ142" s="199"/>
      <c r="GA142" s="491">
        <v>14</v>
      </c>
      <c r="GB142" s="492">
        <v>2</v>
      </c>
      <c r="GC142" s="492">
        <v>9</v>
      </c>
      <c r="GD142" s="492">
        <v>4</v>
      </c>
      <c r="GE142" s="493">
        <v>6</v>
      </c>
      <c r="GF142" s="493">
        <v>8</v>
      </c>
      <c r="GG142" s="493">
        <v>6</v>
      </c>
      <c r="GH142" s="493">
        <v>2</v>
      </c>
      <c r="GI142" s="199"/>
      <c r="GJ142" s="491">
        <v>2247</v>
      </c>
      <c r="GK142" s="492">
        <v>2184</v>
      </c>
      <c r="GL142" s="492">
        <v>2732</v>
      </c>
      <c r="GM142" s="492">
        <v>2207</v>
      </c>
      <c r="GN142" s="493">
        <v>1734</v>
      </c>
      <c r="GO142" s="493">
        <v>1647</v>
      </c>
      <c r="GP142" s="493">
        <v>1566</v>
      </c>
      <c r="GQ142" s="493">
        <v>909</v>
      </c>
      <c r="GR142" s="199"/>
      <c r="GS142" s="491">
        <v>702</v>
      </c>
      <c r="GT142" s="492">
        <v>648</v>
      </c>
      <c r="GU142" s="492">
        <v>716</v>
      </c>
      <c r="GV142" s="492">
        <v>537</v>
      </c>
      <c r="GW142" s="493">
        <v>341</v>
      </c>
      <c r="GX142" s="493">
        <v>359</v>
      </c>
      <c r="GY142" s="493">
        <v>395</v>
      </c>
      <c r="GZ142" s="493">
        <v>183</v>
      </c>
      <c r="HA142" s="199"/>
      <c r="HB142" s="491">
        <v>16</v>
      </c>
      <c r="HC142" s="492">
        <v>5</v>
      </c>
      <c r="HD142" s="492">
        <v>8</v>
      </c>
      <c r="HE142" s="492">
        <v>5</v>
      </c>
      <c r="HF142" s="493">
        <v>4</v>
      </c>
      <c r="HG142" s="493">
        <v>7</v>
      </c>
      <c r="HH142" s="493">
        <v>5</v>
      </c>
      <c r="HI142" s="493">
        <v>5</v>
      </c>
      <c r="HJ142" s="199"/>
      <c r="HK142" s="491">
        <v>1</v>
      </c>
      <c r="HL142" s="492">
        <v>4</v>
      </c>
      <c r="HM142" s="492"/>
      <c r="HN142" s="492">
        <v>1</v>
      </c>
      <c r="HO142" s="493">
        <v>4</v>
      </c>
      <c r="HP142" s="493">
        <v>1</v>
      </c>
      <c r="HQ142" s="493">
        <v>2</v>
      </c>
      <c r="HR142" s="493"/>
      <c r="HS142" s="199"/>
      <c r="HT142" s="491">
        <v>858</v>
      </c>
      <c r="HU142" s="492">
        <v>787</v>
      </c>
      <c r="HV142" s="492">
        <v>874</v>
      </c>
      <c r="HW142" s="492">
        <v>698</v>
      </c>
      <c r="HX142" s="493">
        <v>594</v>
      </c>
      <c r="HY142" s="493">
        <v>529</v>
      </c>
      <c r="HZ142" s="493">
        <v>589</v>
      </c>
      <c r="IA142" s="493">
        <v>424</v>
      </c>
      <c r="IB142" s="199"/>
      <c r="IC142" s="491">
        <v>3797</v>
      </c>
      <c r="ID142" s="492">
        <v>3673</v>
      </c>
      <c r="IE142" s="492">
        <v>4345</v>
      </c>
      <c r="IF142" s="492">
        <v>2965</v>
      </c>
      <c r="IG142" s="493">
        <v>4499</v>
      </c>
      <c r="IH142" s="493">
        <v>2413</v>
      </c>
      <c r="II142" s="493">
        <v>2237</v>
      </c>
      <c r="IJ142" s="493">
        <v>1503</v>
      </c>
      <c r="IK142" s="199"/>
      <c r="IL142" s="491">
        <v>566</v>
      </c>
      <c r="IM142" s="492">
        <v>547</v>
      </c>
      <c r="IN142" s="492">
        <v>826</v>
      </c>
      <c r="IO142" s="492">
        <v>517</v>
      </c>
      <c r="IP142" s="493">
        <v>250</v>
      </c>
      <c r="IQ142" s="493">
        <v>374</v>
      </c>
      <c r="IR142" s="493">
        <v>464</v>
      </c>
      <c r="IS142" s="493">
        <v>237</v>
      </c>
      <c r="IT142" s="199"/>
      <c r="IU142" s="533">
        <v>4474.2175716440424</v>
      </c>
      <c r="IV142" s="534">
        <v>4363.1136927883299</v>
      </c>
      <c r="IW142" s="534">
        <v>5198.3633231240428</v>
      </c>
      <c r="IX142" s="534">
        <v>3526.0679288364572</v>
      </c>
      <c r="IY142" s="535">
        <v>5400.9603841536618</v>
      </c>
      <c r="IZ142" s="535">
        <v>2925.5931812946328</v>
      </c>
      <c r="JA142" s="535">
        <v>2736.5253345729457</v>
      </c>
      <c r="JB142" s="535">
        <v>1844.3980856546814</v>
      </c>
      <c r="JC142" s="536"/>
      <c r="JD142" s="537">
        <v>1011.029411764706</v>
      </c>
      <c r="JE142" s="538">
        <v>934.86808500528616</v>
      </c>
      <c r="JF142" s="538">
        <v>1045.6546707503828</v>
      </c>
      <c r="JG142" s="538">
        <v>830.08277043097701</v>
      </c>
      <c r="JH142" s="538">
        <v>713.0852340936375</v>
      </c>
      <c r="JI142" s="539">
        <v>641.3753803998593</v>
      </c>
      <c r="JJ142" s="539">
        <v>720.52455166002005</v>
      </c>
      <c r="JK142" s="539">
        <v>520.30924039759475</v>
      </c>
      <c r="JL142" s="536"/>
      <c r="JM142" s="537">
        <v>2647.7658371040725</v>
      </c>
      <c r="JN142" s="538">
        <v>2594.348027511493</v>
      </c>
      <c r="JO142" s="538">
        <v>3268.5681470137824</v>
      </c>
      <c r="JP142" s="538">
        <v>2624.6313385976596</v>
      </c>
      <c r="JQ142" s="538">
        <v>2081.6326530612246</v>
      </c>
      <c r="JR142" s="539">
        <v>1996.8719310369913</v>
      </c>
      <c r="JS142" s="539">
        <v>1915.6900643456561</v>
      </c>
      <c r="JT142" s="539">
        <v>1115.4742913240889</v>
      </c>
      <c r="JU142" s="536"/>
      <c r="JV142" s="537">
        <v>827.20588235294122</v>
      </c>
      <c r="JW142" s="538">
        <v>769.75161255835508</v>
      </c>
      <c r="JX142" s="538">
        <v>856.62327718223582</v>
      </c>
      <c r="JY142" s="538">
        <v>638.61668727999233</v>
      </c>
      <c r="JZ142" s="538">
        <v>409.36374549819931</v>
      </c>
      <c r="KA142" s="539">
        <v>435.26230919385546</v>
      </c>
      <c r="KB142" s="539">
        <v>483.20407114721212</v>
      </c>
      <c r="KC142" s="539">
        <v>224.56743158669775</v>
      </c>
      <c r="KD142" s="536"/>
    </row>
    <row r="143" spans="1:290" ht="15" customHeight="1" x14ac:dyDescent="0.2">
      <c r="A143" s="930"/>
      <c r="B143" s="490" t="s">
        <v>744</v>
      </c>
      <c r="C143" s="491">
        <v>3</v>
      </c>
      <c r="D143" s="492">
        <v>4</v>
      </c>
      <c r="E143" s="492">
        <v>1</v>
      </c>
      <c r="F143" s="492">
        <v>1</v>
      </c>
      <c r="G143" s="493">
        <v>1</v>
      </c>
      <c r="H143" s="493">
        <v>1</v>
      </c>
      <c r="I143" s="493">
        <v>1</v>
      </c>
      <c r="J143" s="493">
        <v>2</v>
      </c>
      <c r="K143" s="199"/>
      <c r="L143" s="491"/>
      <c r="M143" s="492">
        <v>1</v>
      </c>
      <c r="N143" s="492">
        <v>1</v>
      </c>
      <c r="O143" s="492">
        <v>1</v>
      </c>
      <c r="P143" s="493">
        <v>1</v>
      </c>
      <c r="Q143" s="493"/>
      <c r="R143" s="493"/>
      <c r="S143" s="493"/>
      <c r="T143" s="199"/>
      <c r="U143" s="491">
        <v>3</v>
      </c>
      <c r="V143" s="492">
        <v>3</v>
      </c>
      <c r="W143" s="492"/>
      <c r="X143" s="492"/>
      <c r="Y143" s="493"/>
      <c r="Z143" s="493">
        <v>1</v>
      </c>
      <c r="AA143" s="493">
        <v>1</v>
      </c>
      <c r="AB143" s="493">
        <v>2</v>
      </c>
      <c r="AC143" s="199"/>
      <c r="AD143" s="491">
        <v>99</v>
      </c>
      <c r="AE143" s="492">
        <v>87</v>
      </c>
      <c r="AF143" s="492">
        <v>74</v>
      </c>
      <c r="AG143" s="492">
        <v>77</v>
      </c>
      <c r="AH143" s="493">
        <v>81</v>
      </c>
      <c r="AI143" s="493">
        <v>83</v>
      </c>
      <c r="AJ143" s="493">
        <v>92</v>
      </c>
      <c r="AK143" s="493">
        <v>81</v>
      </c>
      <c r="AL143" s="199"/>
      <c r="AM143" s="491">
        <v>24</v>
      </c>
      <c r="AN143" s="492">
        <v>19</v>
      </c>
      <c r="AO143" s="492">
        <v>23</v>
      </c>
      <c r="AP143" s="492">
        <v>21</v>
      </c>
      <c r="AQ143" s="493">
        <v>30</v>
      </c>
      <c r="AR143" s="493">
        <v>20</v>
      </c>
      <c r="AS143" s="493">
        <v>24</v>
      </c>
      <c r="AT143" s="493">
        <v>34</v>
      </c>
      <c r="AU143" s="199"/>
      <c r="AV143" s="491">
        <v>1</v>
      </c>
      <c r="AW143" s="492"/>
      <c r="AX143" s="492"/>
      <c r="AY143" s="492"/>
      <c r="AZ143" s="493"/>
      <c r="BA143" s="493">
        <v>1</v>
      </c>
      <c r="BB143" s="493"/>
      <c r="BC143" s="493"/>
      <c r="BD143" s="199"/>
      <c r="BE143" s="491">
        <v>8</v>
      </c>
      <c r="BF143" s="492">
        <v>8</v>
      </c>
      <c r="BG143" s="492">
        <v>23</v>
      </c>
      <c r="BH143" s="492">
        <v>7</v>
      </c>
      <c r="BI143" s="493">
        <v>18</v>
      </c>
      <c r="BJ143" s="493">
        <v>40</v>
      </c>
      <c r="BK143" s="493">
        <v>16</v>
      </c>
      <c r="BL143" s="493">
        <v>10</v>
      </c>
      <c r="BM143" s="199"/>
      <c r="BN143" s="491"/>
      <c r="BO143" s="492"/>
      <c r="BP143" s="492"/>
      <c r="BQ143" s="492"/>
      <c r="BR143" s="493"/>
      <c r="BS143" s="493"/>
      <c r="BT143" s="493"/>
      <c r="BU143" s="493"/>
      <c r="BV143" s="199"/>
      <c r="BW143" s="491">
        <v>180</v>
      </c>
      <c r="BX143" s="492">
        <v>178</v>
      </c>
      <c r="BY143" s="492">
        <v>177</v>
      </c>
      <c r="BZ143" s="492">
        <v>172</v>
      </c>
      <c r="CA143" s="493">
        <v>152</v>
      </c>
      <c r="CB143" s="493">
        <v>167</v>
      </c>
      <c r="CC143" s="493">
        <v>222</v>
      </c>
      <c r="CD143" s="493">
        <v>138</v>
      </c>
      <c r="CE143" s="199"/>
      <c r="CF143" s="491">
        <v>8</v>
      </c>
      <c r="CG143" s="492">
        <v>7</v>
      </c>
      <c r="CH143" s="492">
        <v>10</v>
      </c>
      <c r="CI143" s="492">
        <v>6</v>
      </c>
      <c r="CJ143" s="493">
        <v>9</v>
      </c>
      <c r="CK143" s="493">
        <v>3</v>
      </c>
      <c r="CL143" s="493">
        <v>6</v>
      </c>
      <c r="CM143" s="493">
        <v>7</v>
      </c>
      <c r="CN143" s="199"/>
      <c r="CO143" s="491">
        <v>9</v>
      </c>
      <c r="CP143" s="492">
        <v>4</v>
      </c>
      <c r="CQ143" s="492"/>
      <c r="CR143" s="492">
        <v>1</v>
      </c>
      <c r="CS143" s="493">
        <v>1</v>
      </c>
      <c r="CT143" s="493">
        <v>2</v>
      </c>
      <c r="CU143" s="493">
        <v>3</v>
      </c>
      <c r="CV143" s="493">
        <v>7</v>
      </c>
      <c r="CW143" s="199"/>
      <c r="CX143" s="491">
        <v>1352</v>
      </c>
      <c r="CY143" s="492">
        <v>1255</v>
      </c>
      <c r="CZ143" s="492">
        <v>1497</v>
      </c>
      <c r="DA143" s="492">
        <v>1196</v>
      </c>
      <c r="DB143" s="493">
        <v>714</v>
      </c>
      <c r="DC143" s="493">
        <v>761</v>
      </c>
      <c r="DD143" s="493">
        <v>660</v>
      </c>
      <c r="DE143" s="493">
        <v>487</v>
      </c>
      <c r="DF143" s="199"/>
      <c r="DG143" s="491">
        <v>2</v>
      </c>
      <c r="DH143" s="492">
        <v>1</v>
      </c>
      <c r="DI143" s="492">
        <v>4</v>
      </c>
      <c r="DJ143" s="492">
        <v>4</v>
      </c>
      <c r="DK143" s="493">
        <v>1</v>
      </c>
      <c r="DL143" s="493">
        <v>1</v>
      </c>
      <c r="DM143" s="493">
        <v>1</v>
      </c>
      <c r="DN143" s="493">
        <v>1</v>
      </c>
      <c r="DO143" s="199"/>
      <c r="DP143" s="491">
        <v>30</v>
      </c>
      <c r="DQ143" s="492">
        <v>17</v>
      </c>
      <c r="DR143" s="492">
        <v>5</v>
      </c>
      <c r="DS143" s="492">
        <v>1</v>
      </c>
      <c r="DT143" s="493">
        <v>6</v>
      </c>
      <c r="DU143" s="493">
        <v>4</v>
      </c>
      <c r="DV143" s="493">
        <v>3</v>
      </c>
      <c r="DW143" s="493"/>
      <c r="DX143" s="199"/>
      <c r="DY143" s="491">
        <v>238</v>
      </c>
      <c r="DZ143" s="492">
        <v>181</v>
      </c>
      <c r="EA143" s="492">
        <v>249</v>
      </c>
      <c r="EB143" s="492">
        <v>210</v>
      </c>
      <c r="EC143" s="493">
        <v>112</v>
      </c>
      <c r="ED143" s="493">
        <v>160</v>
      </c>
      <c r="EE143" s="493">
        <v>189</v>
      </c>
      <c r="EF143" s="493">
        <v>125</v>
      </c>
      <c r="EG143" s="199"/>
      <c r="EH143" s="491">
        <v>14</v>
      </c>
      <c r="EI143" s="492">
        <v>7</v>
      </c>
      <c r="EJ143" s="492">
        <v>9</v>
      </c>
      <c r="EK143" s="492">
        <v>16</v>
      </c>
      <c r="EL143" s="493">
        <v>13</v>
      </c>
      <c r="EM143" s="493">
        <v>10</v>
      </c>
      <c r="EN143" s="493">
        <v>12</v>
      </c>
      <c r="EO143" s="493">
        <v>13</v>
      </c>
      <c r="EP143" s="199"/>
      <c r="EQ143" s="491">
        <v>2</v>
      </c>
      <c r="ER143" s="492"/>
      <c r="ES143" s="492">
        <v>2</v>
      </c>
      <c r="ET143" s="492">
        <v>7</v>
      </c>
      <c r="EU143" s="493">
        <v>4</v>
      </c>
      <c r="EV143" s="493">
        <v>5</v>
      </c>
      <c r="EW143" s="493">
        <v>6</v>
      </c>
      <c r="EX143" s="493">
        <v>6</v>
      </c>
      <c r="EY143" s="199"/>
      <c r="EZ143" s="491">
        <v>8</v>
      </c>
      <c r="FA143" s="492">
        <v>3</v>
      </c>
      <c r="FB143" s="492">
        <v>13</v>
      </c>
      <c r="FC143" s="492">
        <v>6</v>
      </c>
      <c r="FD143" s="493">
        <v>6</v>
      </c>
      <c r="FE143" s="493">
        <v>3</v>
      </c>
      <c r="FF143" s="493">
        <v>3</v>
      </c>
      <c r="FG143" s="493">
        <v>1</v>
      </c>
      <c r="FH143" s="199"/>
      <c r="FI143" s="491">
        <v>62</v>
      </c>
      <c r="FJ143" s="492">
        <v>56</v>
      </c>
      <c r="FK143" s="492">
        <v>30</v>
      </c>
      <c r="FL143" s="492">
        <v>20</v>
      </c>
      <c r="FM143" s="493">
        <v>27</v>
      </c>
      <c r="FN143" s="493">
        <v>21</v>
      </c>
      <c r="FO143" s="493">
        <v>32</v>
      </c>
      <c r="FP143" s="493">
        <v>26</v>
      </c>
      <c r="FQ143" s="199"/>
      <c r="FR143" s="491">
        <v>6</v>
      </c>
      <c r="FS143" s="492">
        <v>2</v>
      </c>
      <c r="FT143" s="492">
        <v>1</v>
      </c>
      <c r="FU143" s="492">
        <v>11</v>
      </c>
      <c r="FV143" s="493">
        <v>10</v>
      </c>
      <c r="FW143" s="493">
        <v>4</v>
      </c>
      <c r="FX143" s="493">
        <v>5</v>
      </c>
      <c r="FY143" s="493">
        <v>2</v>
      </c>
      <c r="FZ143" s="199"/>
      <c r="GA143" s="491">
        <v>5</v>
      </c>
      <c r="GB143" s="492">
        <v>2</v>
      </c>
      <c r="GC143" s="492">
        <v>4</v>
      </c>
      <c r="GD143" s="492">
        <v>5</v>
      </c>
      <c r="GE143" s="493">
        <v>5</v>
      </c>
      <c r="GF143" s="493">
        <v>5</v>
      </c>
      <c r="GG143" s="493">
        <v>7</v>
      </c>
      <c r="GH143" s="493">
        <v>5</v>
      </c>
      <c r="GI143" s="199"/>
      <c r="GJ143" s="491">
        <v>1756</v>
      </c>
      <c r="GK143" s="492">
        <v>1613</v>
      </c>
      <c r="GL143" s="492">
        <v>1841</v>
      </c>
      <c r="GM143" s="492">
        <v>1525</v>
      </c>
      <c r="GN143" s="493">
        <v>1041</v>
      </c>
      <c r="GO143" s="493">
        <v>1105</v>
      </c>
      <c r="GP143" s="493">
        <v>1065</v>
      </c>
      <c r="GQ143" s="493">
        <v>785</v>
      </c>
      <c r="GR143" s="199"/>
      <c r="GS143" s="491">
        <v>480</v>
      </c>
      <c r="GT143" s="492">
        <v>464</v>
      </c>
      <c r="GU143" s="492">
        <v>535</v>
      </c>
      <c r="GV143" s="492">
        <v>385</v>
      </c>
      <c r="GW143" s="493">
        <v>210</v>
      </c>
      <c r="GX143" s="493">
        <v>196</v>
      </c>
      <c r="GY143" s="493">
        <v>240</v>
      </c>
      <c r="GZ143" s="493">
        <v>181</v>
      </c>
      <c r="HA143" s="199"/>
      <c r="HB143" s="491">
        <v>6</v>
      </c>
      <c r="HC143" s="492">
        <v>2</v>
      </c>
      <c r="HD143" s="492">
        <v>2</v>
      </c>
      <c r="HE143" s="492">
        <v>1</v>
      </c>
      <c r="HF143" s="493">
        <v>1</v>
      </c>
      <c r="HG143" s="493"/>
      <c r="HH143" s="493">
        <v>3</v>
      </c>
      <c r="HI143" s="493">
        <v>2</v>
      </c>
      <c r="HJ143" s="199"/>
      <c r="HK143" s="491">
        <v>3</v>
      </c>
      <c r="HL143" s="492">
        <v>4</v>
      </c>
      <c r="HM143" s="492">
        <v>2</v>
      </c>
      <c r="HN143" s="492">
        <v>1</v>
      </c>
      <c r="HO143" s="493"/>
      <c r="HP143" s="493"/>
      <c r="HQ143" s="493"/>
      <c r="HR143" s="493"/>
      <c r="HS143" s="199"/>
      <c r="HT143" s="491">
        <v>555</v>
      </c>
      <c r="HU143" s="492">
        <v>558</v>
      </c>
      <c r="HV143" s="492">
        <v>623</v>
      </c>
      <c r="HW143" s="492">
        <v>457</v>
      </c>
      <c r="HX143" s="493">
        <v>295</v>
      </c>
      <c r="HY143" s="493">
        <v>287</v>
      </c>
      <c r="HZ143" s="493">
        <v>380</v>
      </c>
      <c r="IA143" s="493">
        <v>300</v>
      </c>
      <c r="IB143" s="199"/>
      <c r="IC143" s="491">
        <v>2363</v>
      </c>
      <c r="ID143" s="492">
        <v>2054</v>
      </c>
      <c r="IE143" s="492">
        <v>2443</v>
      </c>
      <c r="IF143" s="492">
        <v>1909</v>
      </c>
      <c r="IG143" s="493">
        <v>1375</v>
      </c>
      <c r="IH143" s="493">
        <v>1419</v>
      </c>
      <c r="II143" s="493">
        <v>1506</v>
      </c>
      <c r="IJ143" s="493">
        <v>1945</v>
      </c>
      <c r="IK143" s="199"/>
      <c r="IL143" s="491">
        <v>461</v>
      </c>
      <c r="IM143" s="492">
        <v>380</v>
      </c>
      <c r="IN143" s="492">
        <v>452</v>
      </c>
      <c r="IO143" s="492">
        <v>287</v>
      </c>
      <c r="IP143" s="493">
        <v>98</v>
      </c>
      <c r="IQ143" s="493">
        <v>207</v>
      </c>
      <c r="IR143" s="493">
        <v>227</v>
      </c>
      <c r="IS143" s="493">
        <v>158</v>
      </c>
      <c r="IT143" s="199"/>
      <c r="IU143" s="533">
        <v>4621.6432944121734</v>
      </c>
      <c r="IV143" s="534">
        <v>4066.2799675331103</v>
      </c>
      <c r="IW143" s="534">
        <v>4907.3962476397091</v>
      </c>
      <c r="IX143" s="534">
        <v>3750.4911591355599</v>
      </c>
      <c r="IY143" s="535">
        <v>2723.3654855513082</v>
      </c>
      <c r="IZ143" s="535">
        <v>2724.8584553528012</v>
      </c>
      <c r="JA143" s="535">
        <v>2421.805901744794</v>
      </c>
      <c r="JB143" s="535">
        <v>3152.7588666277638</v>
      </c>
      <c r="JC143" s="536"/>
      <c r="JD143" s="537">
        <v>1085.4896438420467</v>
      </c>
      <c r="JE143" s="538">
        <v>1104.6661255518381</v>
      </c>
      <c r="JF143" s="538">
        <v>1251.4563496846249</v>
      </c>
      <c r="JG143" s="538">
        <v>897.83889980353626</v>
      </c>
      <c r="JH143" s="538">
        <v>584.28568599100788</v>
      </c>
      <c r="JI143" s="539">
        <v>527.83867184091844</v>
      </c>
      <c r="JJ143" s="539">
        <v>611.07984240572478</v>
      </c>
      <c r="JK143" s="539">
        <v>486.28671464695589</v>
      </c>
      <c r="JL143" s="536"/>
      <c r="JM143" s="537">
        <v>3434.450116372313</v>
      </c>
      <c r="JN143" s="538">
        <v>3193.2373844356898</v>
      </c>
      <c r="JO143" s="538">
        <v>3698.1238198545657</v>
      </c>
      <c r="JP143" s="538">
        <v>2996.0707269155205</v>
      </c>
      <c r="JQ143" s="538">
        <v>2061.8352512428451</v>
      </c>
      <c r="JR143" s="539">
        <v>2124.6884608248597</v>
      </c>
      <c r="JS143" s="539">
        <v>1712.6316635844657</v>
      </c>
      <c r="JT143" s="539">
        <v>1272.4502366595345</v>
      </c>
      <c r="JU143" s="536"/>
      <c r="JV143" s="537">
        <v>938.80185413366189</v>
      </c>
      <c r="JW143" s="538">
        <v>918.57541622948554</v>
      </c>
      <c r="JX143" s="538">
        <v>1074.6856293439396</v>
      </c>
      <c r="JY143" s="538">
        <v>756.38506876227893</v>
      </c>
      <c r="JZ143" s="538">
        <v>415.93218324783618</v>
      </c>
      <c r="KA143" s="539">
        <v>362.81711078899122</v>
      </c>
      <c r="KB143" s="539">
        <v>385.94516362466834</v>
      </c>
      <c r="KC143" s="539">
        <v>293.39298450366334</v>
      </c>
      <c r="KD143" s="536"/>
    </row>
    <row r="144" spans="1:290" ht="15" customHeight="1" x14ac:dyDescent="0.2">
      <c r="A144" s="930"/>
      <c r="B144" s="490" t="s">
        <v>745</v>
      </c>
      <c r="C144" s="491">
        <v>2</v>
      </c>
      <c r="D144" s="492">
        <v>2</v>
      </c>
      <c r="E144" s="492">
        <v>2</v>
      </c>
      <c r="F144" s="492">
        <v>1</v>
      </c>
      <c r="G144" s="493">
        <v>1</v>
      </c>
      <c r="H144" s="493">
        <v>1</v>
      </c>
      <c r="I144" s="493"/>
      <c r="J144" s="493">
        <v>1</v>
      </c>
      <c r="K144" s="199"/>
      <c r="L144" s="491">
        <v>2</v>
      </c>
      <c r="M144" s="492"/>
      <c r="N144" s="492">
        <v>1</v>
      </c>
      <c r="O144" s="492"/>
      <c r="P144" s="493">
        <v>1</v>
      </c>
      <c r="Q144" s="493"/>
      <c r="R144" s="493"/>
      <c r="S144" s="493"/>
      <c r="T144" s="199"/>
      <c r="U144" s="491"/>
      <c r="V144" s="492">
        <v>2</v>
      </c>
      <c r="W144" s="492"/>
      <c r="X144" s="492"/>
      <c r="Y144" s="493"/>
      <c r="Z144" s="493">
        <v>1</v>
      </c>
      <c r="AA144" s="493"/>
      <c r="AB144" s="493"/>
      <c r="AC144" s="199"/>
      <c r="AD144" s="491">
        <v>41</v>
      </c>
      <c r="AE144" s="492">
        <v>57</v>
      </c>
      <c r="AF144" s="492">
        <v>71</v>
      </c>
      <c r="AG144" s="492">
        <v>56</v>
      </c>
      <c r="AH144" s="493">
        <v>53</v>
      </c>
      <c r="AI144" s="493">
        <v>78</v>
      </c>
      <c r="AJ144" s="493">
        <v>48</v>
      </c>
      <c r="AK144" s="493">
        <v>32</v>
      </c>
      <c r="AL144" s="199"/>
      <c r="AM144" s="491">
        <v>12</v>
      </c>
      <c r="AN144" s="492">
        <v>12</v>
      </c>
      <c r="AO144" s="492">
        <v>15</v>
      </c>
      <c r="AP144" s="492">
        <v>10</v>
      </c>
      <c r="AQ144" s="493">
        <v>6</v>
      </c>
      <c r="AR144" s="493">
        <v>20</v>
      </c>
      <c r="AS144" s="493">
        <v>16</v>
      </c>
      <c r="AT144" s="493">
        <v>14</v>
      </c>
      <c r="AU144" s="199"/>
      <c r="AV144" s="491"/>
      <c r="AW144" s="492"/>
      <c r="AX144" s="492"/>
      <c r="AY144" s="492"/>
      <c r="AZ144" s="493"/>
      <c r="BA144" s="493"/>
      <c r="BB144" s="493"/>
      <c r="BC144" s="493">
        <v>1</v>
      </c>
      <c r="BD144" s="199"/>
      <c r="BE144" s="491">
        <v>24</v>
      </c>
      <c r="BF144" s="492">
        <v>27</v>
      </c>
      <c r="BG144" s="492">
        <v>7</v>
      </c>
      <c r="BH144" s="492">
        <v>25</v>
      </c>
      <c r="BI144" s="493">
        <v>1</v>
      </c>
      <c r="BJ144" s="493">
        <v>18</v>
      </c>
      <c r="BK144" s="493">
        <v>11</v>
      </c>
      <c r="BL144" s="493">
        <v>3</v>
      </c>
      <c r="BM144" s="199"/>
      <c r="BN144" s="491"/>
      <c r="BO144" s="492"/>
      <c r="BP144" s="492"/>
      <c r="BQ144" s="492"/>
      <c r="BR144" s="493"/>
      <c r="BS144" s="493">
        <v>1</v>
      </c>
      <c r="BT144" s="493"/>
      <c r="BU144" s="493"/>
      <c r="BV144" s="199"/>
      <c r="BW144" s="491">
        <v>54</v>
      </c>
      <c r="BX144" s="492">
        <v>65</v>
      </c>
      <c r="BY144" s="492">
        <v>95</v>
      </c>
      <c r="BZ144" s="492">
        <v>69</v>
      </c>
      <c r="CA144" s="493">
        <v>75</v>
      </c>
      <c r="CB144" s="493">
        <v>83</v>
      </c>
      <c r="CC144" s="493">
        <v>76</v>
      </c>
      <c r="CD144" s="493">
        <v>36</v>
      </c>
      <c r="CE144" s="199"/>
      <c r="CF144" s="491">
        <v>1</v>
      </c>
      <c r="CG144" s="492">
        <v>2</v>
      </c>
      <c r="CH144" s="492">
        <v>1</v>
      </c>
      <c r="CI144" s="492">
        <v>1</v>
      </c>
      <c r="CJ144" s="493">
        <v>1</v>
      </c>
      <c r="CK144" s="493">
        <v>2</v>
      </c>
      <c r="CL144" s="493"/>
      <c r="CM144" s="493">
        <v>2</v>
      </c>
      <c r="CN144" s="199"/>
      <c r="CO144" s="491">
        <v>1</v>
      </c>
      <c r="CP144" s="492"/>
      <c r="CQ144" s="492">
        <v>1</v>
      </c>
      <c r="CR144" s="492">
        <v>3</v>
      </c>
      <c r="CS144" s="493"/>
      <c r="CT144" s="493"/>
      <c r="CU144" s="493">
        <v>1</v>
      </c>
      <c r="CV144" s="493">
        <v>2</v>
      </c>
      <c r="CW144" s="199"/>
      <c r="CX144" s="491">
        <v>595</v>
      </c>
      <c r="CY144" s="492">
        <v>513</v>
      </c>
      <c r="CZ144" s="492">
        <v>567</v>
      </c>
      <c r="DA144" s="492">
        <v>603</v>
      </c>
      <c r="DB144" s="493">
        <v>565</v>
      </c>
      <c r="DC144" s="493">
        <v>433</v>
      </c>
      <c r="DD144" s="493">
        <v>477</v>
      </c>
      <c r="DE144" s="493">
        <v>342</v>
      </c>
      <c r="DF144" s="199"/>
      <c r="DG144" s="491">
        <v>3</v>
      </c>
      <c r="DH144" s="492">
        <v>3</v>
      </c>
      <c r="DI144" s="492">
        <v>4</v>
      </c>
      <c r="DJ144" s="492">
        <v>1</v>
      </c>
      <c r="DK144" s="493"/>
      <c r="DL144" s="493"/>
      <c r="DM144" s="493">
        <v>1</v>
      </c>
      <c r="DN144" s="493"/>
      <c r="DO144" s="199"/>
      <c r="DP144" s="491">
        <v>5</v>
      </c>
      <c r="DQ144" s="492">
        <v>2</v>
      </c>
      <c r="DR144" s="492">
        <v>4</v>
      </c>
      <c r="DS144" s="492">
        <v>1</v>
      </c>
      <c r="DT144" s="493">
        <v>4</v>
      </c>
      <c r="DU144" s="493">
        <v>8</v>
      </c>
      <c r="DV144" s="493">
        <v>4</v>
      </c>
      <c r="DW144" s="493">
        <v>2</v>
      </c>
      <c r="DX144" s="199"/>
      <c r="DY144" s="491">
        <v>103</v>
      </c>
      <c r="DZ144" s="492">
        <v>93</v>
      </c>
      <c r="EA144" s="492">
        <v>99</v>
      </c>
      <c r="EB144" s="492">
        <v>111</v>
      </c>
      <c r="EC144" s="493">
        <v>106</v>
      </c>
      <c r="ED144" s="493">
        <v>106</v>
      </c>
      <c r="EE144" s="493">
        <v>191</v>
      </c>
      <c r="EF144" s="493">
        <v>92</v>
      </c>
      <c r="EG144" s="199"/>
      <c r="EH144" s="491">
        <v>1</v>
      </c>
      <c r="EI144" s="492">
        <v>8</v>
      </c>
      <c r="EJ144" s="492">
        <v>8</v>
      </c>
      <c r="EK144" s="492">
        <v>2</v>
      </c>
      <c r="EL144" s="493">
        <v>7</v>
      </c>
      <c r="EM144" s="493">
        <v>8</v>
      </c>
      <c r="EN144" s="493">
        <v>3</v>
      </c>
      <c r="EO144" s="493">
        <v>2</v>
      </c>
      <c r="EP144" s="199"/>
      <c r="EQ144" s="491"/>
      <c r="ER144" s="492">
        <v>1</v>
      </c>
      <c r="ES144" s="492">
        <v>2</v>
      </c>
      <c r="ET144" s="492">
        <v>1</v>
      </c>
      <c r="EU144" s="493">
        <v>2</v>
      </c>
      <c r="EV144" s="493">
        <v>3</v>
      </c>
      <c r="EW144" s="493">
        <v>6</v>
      </c>
      <c r="EX144" s="493">
        <v>5</v>
      </c>
      <c r="EY144" s="199"/>
      <c r="EZ144" s="491">
        <v>2</v>
      </c>
      <c r="FA144" s="492">
        <v>1</v>
      </c>
      <c r="FB144" s="492">
        <v>3</v>
      </c>
      <c r="FC144" s="492">
        <v>13</v>
      </c>
      <c r="FD144" s="493">
        <v>1</v>
      </c>
      <c r="FE144" s="493">
        <v>2</v>
      </c>
      <c r="FF144" s="493"/>
      <c r="FG144" s="493"/>
      <c r="FH144" s="199"/>
      <c r="FI144" s="491">
        <v>16</v>
      </c>
      <c r="FJ144" s="492">
        <v>25</v>
      </c>
      <c r="FK144" s="492">
        <v>16</v>
      </c>
      <c r="FL144" s="492">
        <v>15</v>
      </c>
      <c r="FM144" s="493">
        <v>4</v>
      </c>
      <c r="FN144" s="493">
        <v>10</v>
      </c>
      <c r="FO144" s="493">
        <v>14</v>
      </c>
      <c r="FP144" s="493">
        <v>9</v>
      </c>
      <c r="FQ144" s="199"/>
      <c r="FR144" s="491">
        <v>1</v>
      </c>
      <c r="FS144" s="492">
        <v>6</v>
      </c>
      <c r="FT144" s="492">
        <v>6</v>
      </c>
      <c r="FU144" s="492">
        <v>3</v>
      </c>
      <c r="FV144" s="493">
        <v>2</v>
      </c>
      <c r="FW144" s="493"/>
      <c r="FX144" s="493"/>
      <c r="FY144" s="493">
        <v>1</v>
      </c>
      <c r="FZ144" s="199"/>
      <c r="GA144" s="491">
        <v>3</v>
      </c>
      <c r="GB144" s="492">
        <v>4</v>
      </c>
      <c r="GC144" s="492">
        <v>3</v>
      </c>
      <c r="GD144" s="492">
        <v>4</v>
      </c>
      <c r="GE144" s="493">
        <v>6</v>
      </c>
      <c r="GF144" s="493">
        <v>7</v>
      </c>
      <c r="GG144" s="493">
        <v>7</v>
      </c>
      <c r="GH144" s="493">
        <v>5</v>
      </c>
      <c r="GI144" s="199"/>
      <c r="GJ144" s="491">
        <v>741</v>
      </c>
      <c r="GK144" s="492">
        <v>711</v>
      </c>
      <c r="GL144" s="492">
        <v>782</v>
      </c>
      <c r="GM144" s="492">
        <v>796</v>
      </c>
      <c r="GN144" s="493">
        <v>718</v>
      </c>
      <c r="GO144" s="493">
        <v>646</v>
      </c>
      <c r="GP144" s="493">
        <v>643</v>
      </c>
      <c r="GQ144" s="493">
        <v>440</v>
      </c>
      <c r="GR144" s="199"/>
      <c r="GS144" s="491">
        <v>120</v>
      </c>
      <c r="GT144" s="492">
        <v>167</v>
      </c>
      <c r="GU144" s="492">
        <v>213</v>
      </c>
      <c r="GV144" s="492">
        <v>132</v>
      </c>
      <c r="GW144" s="493">
        <v>70</v>
      </c>
      <c r="GX144" s="493">
        <v>130</v>
      </c>
      <c r="GY144" s="493">
        <v>148</v>
      </c>
      <c r="GZ144" s="493">
        <v>63</v>
      </c>
      <c r="HA144" s="199"/>
      <c r="HB144" s="491">
        <v>2</v>
      </c>
      <c r="HC144" s="492">
        <v>1</v>
      </c>
      <c r="HD144" s="492">
        <v>1</v>
      </c>
      <c r="HE144" s="492">
        <v>2</v>
      </c>
      <c r="HF144" s="493">
        <v>1</v>
      </c>
      <c r="HG144" s="493">
        <v>1</v>
      </c>
      <c r="HH144" s="493">
        <v>6</v>
      </c>
      <c r="HI144" s="493"/>
      <c r="HJ144" s="199"/>
      <c r="HK144" s="491">
        <v>1</v>
      </c>
      <c r="HL144" s="492">
        <v>3</v>
      </c>
      <c r="HM144" s="492">
        <v>1</v>
      </c>
      <c r="HN144" s="492"/>
      <c r="HO144" s="493">
        <v>2</v>
      </c>
      <c r="HP144" s="493">
        <v>1</v>
      </c>
      <c r="HQ144" s="493">
        <v>2</v>
      </c>
      <c r="HR144" s="493">
        <v>1</v>
      </c>
      <c r="HS144" s="199"/>
      <c r="HT144" s="491">
        <v>157</v>
      </c>
      <c r="HU144" s="492">
        <v>218</v>
      </c>
      <c r="HV144" s="492">
        <v>250</v>
      </c>
      <c r="HW144" s="492">
        <v>181</v>
      </c>
      <c r="HX144" s="493">
        <v>129</v>
      </c>
      <c r="HY144" s="493">
        <v>187</v>
      </c>
      <c r="HZ144" s="493">
        <v>242</v>
      </c>
      <c r="IA144" s="493">
        <v>166</v>
      </c>
      <c r="IB144" s="199"/>
      <c r="IC144" s="491">
        <v>1321</v>
      </c>
      <c r="ID144" s="492">
        <v>1083</v>
      </c>
      <c r="IE144" s="492">
        <v>1147</v>
      </c>
      <c r="IF144" s="492">
        <v>1098</v>
      </c>
      <c r="IG144" s="493">
        <v>1243</v>
      </c>
      <c r="IH144" s="493">
        <v>926</v>
      </c>
      <c r="II144" s="493">
        <v>1227</v>
      </c>
      <c r="IJ144" s="493">
        <v>699</v>
      </c>
      <c r="IK144" s="199"/>
      <c r="IL144" s="491">
        <v>194</v>
      </c>
      <c r="IM144" s="492">
        <v>175</v>
      </c>
      <c r="IN144" s="492">
        <v>196</v>
      </c>
      <c r="IO144" s="492">
        <v>147</v>
      </c>
      <c r="IP144" s="493">
        <v>103</v>
      </c>
      <c r="IQ144" s="493">
        <v>167</v>
      </c>
      <c r="IR144" s="493">
        <v>236</v>
      </c>
      <c r="IS144" s="493">
        <v>147</v>
      </c>
      <c r="IT144" s="199"/>
      <c r="IU144" s="533">
        <v>5119.7581582823041</v>
      </c>
      <c r="IV144" s="534">
        <v>4259.2519762457232</v>
      </c>
      <c r="IW144" s="534">
        <v>4576.2847111394831</v>
      </c>
      <c r="IX144" s="534">
        <v>4195.9645368388874</v>
      </c>
      <c r="IY144" s="535">
        <v>4820.4452028232381</v>
      </c>
      <c r="IZ144" s="535">
        <v>3410.5340153534025</v>
      </c>
      <c r="JA144" s="535">
        <v>3537.6542497981777</v>
      </c>
      <c r="JB144" s="535">
        <v>2034.7567898000175</v>
      </c>
      <c r="JC144" s="536"/>
      <c r="JD144" s="537">
        <v>608.47996279358188</v>
      </c>
      <c r="JE144" s="538">
        <v>857.35635348251856</v>
      </c>
      <c r="JF144" s="538">
        <v>997.4465368656239</v>
      </c>
      <c r="JG144" s="538">
        <v>691.68450015285839</v>
      </c>
      <c r="JH144" s="538">
        <v>500.27146513612036</v>
      </c>
      <c r="JI144" s="539">
        <v>688.50477191819732</v>
      </c>
      <c r="JJ144" s="539">
        <v>697.72805904739937</v>
      </c>
      <c r="JK144" s="539">
        <v>483.21835065350922</v>
      </c>
      <c r="JL144" s="536"/>
      <c r="JM144" s="537">
        <v>2871.8703976435936</v>
      </c>
      <c r="JN144" s="538">
        <v>2796.2402170920673</v>
      </c>
      <c r="JO144" s="538">
        <v>3120.0127673156717</v>
      </c>
      <c r="JP144" s="538">
        <v>3041.8832161418527</v>
      </c>
      <c r="JQ144" s="538">
        <v>2784.4566819204219</v>
      </c>
      <c r="JR144" s="539">
        <v>2405.1331565937908</v>
      </c>
      <c r="JS144" s="539">
        <v>1853.8807519317263</v>
      </c>
      <c r="JT144" s="539">
        <v>1280.8197246237592</v>
      </c>
      <c r="JU144" s="536"/>
      <c r="JV144" s="537">
        <v>465.08022633904352</v>
      </c>
      <c r="JW144" s="538">
        <v>656.7821606953238</v>
      </c>
      <c r="JX144" s="538">
        <v>849.82444940951154</v>
      </c>
      <c r="JY144" s="538">
        <v>504.43289513910116</v>
      </c>
      <c r="JZ144" s="538">
        <v>271.4651361203754</v>
      </c>
      <c r="KA144" s="539">
        <v>490.88289215456348</v>
      </c>
      <c r="KB144" s="539">
        <v>426.70972206204584</v>
      </c>
      <c r="KC144" s="539">
        <v>183.39009693476552</v>
      </c>
      <c r="KD144" s="536"/>
    </row>
    <row r="145" spans="1:290" ht="15" customHeight="1" x14ac:dyDescent="0.2">
      <c r="A145" s="930"/>
      <c r="B145" s="490" t="s">
        <v>746</v>
      </c>
      <c r="C145" s="491">
        <v>1</v>
      </c>
      <c r="D145" s="492"/>
      <c r="E145" s="492"/>
      <c r="F145" s="492">
        <v>2</v>
      </c>
      <c r="G145" s="493">
        <v>1</v>
      </c>
      <c r="H145" s="493"/>
      <c r="I145" s="493"/>
      <c r="J145" s="493">
        <v>1</v>
      </c>
      <c r="K145" s="199"/>
      <c r="L145" s="491">
        <v>1</v>
      </c>
      <c r="M145" s="492"/>
      <c r="N145" s="492"/>
      <c r="O145" s="492">
        <v>1</v>
      </c>
      <c r="P145" s="493"/>
      <c r="Q145" s="493"/>
      <c r="R145" s="493"/>
      <c r="S145" s="493">
        <v>1</v>
      </c>
      <c r="T145" s="199"/>
      <c r="U145" s="491"/>
      <c r="V145" s="492"/>
      <c r="W145" s="492"/>
      <c r="X145" s="492">
        <v>1</v>
      </c>
      <c r="Y145" s="493">
        <v>1</v>
      </c>
      <c r="Z145" s="493"/>
      <c r="AA145" s="493"/>
      <c r="AB145" s="493"/>
      <c r="AC145" s="199"/>
      <c r="AD145" s="491">
        <v>47</v>
      </c>
      <c r="AE145" s="492">
        <v>35</v>
      </c>
      <c r="AF145" s="492">
        <v>37</v>
      </c>
      <c r="AG145" s="492">
        <v>39</v>
      </c>
      <c r="AH145" s="493">
        <v>43</v>
      </c>
      <c r="AI145" s="493">
        <v>23</v>
      </c>
      <c r="AJ145" s="493">
        <v>26</v>
      </c>
      <c r="AK145" s="493">
        <v>18</v>
      </c>
      <c r="AL145" s="199"/>
      <c r="AM145" s="491">
        <v>24</v>
      </c>
      <c r="AN145" s="492">
        <v>15</v>
      </c>
      <c r="AO145" s="492">
        <v>10</v>
      </c>
      <c r="AP145" s="492">
        <v>14</v>
      </c>
      <c r="AQ145" s="493">
        <v>19</v>
      </c>
      <c r="AR145" s="493">
        <v>7</v>
      </c>
      <c r="AS145" s="493">
        <v>11</v>
      </c>
      <c r="AT145" s="493">
        <v>7</v>
      </c>
      <c r="AU145" s="199"/>
      <c r="AV145" s="491"/>
      <c r="AW145" s="492"/>
      <c r="AX145" s="492"/>
      <c r="AY145" s="492"/>
      <c r="AZ145" s="493"/>
      <c r="BA145" s="493"/>
      <c r="BB145" s="493"/>
      <c r="BC145" s="493"/>
      <c r="BD145" s="199"/>
      <c r="BE145" s="491">
        <v>6</v>
      </c>
      <c r="BF145" s="492">
        <v>7</v>
      </c>
      <c r="BG145" s="492">
        <v>8</v>
      </c>
      <c r="BH145" s="492">
        <v>9</v>
      </c>
      <c r="BI145" s="493">
        <v>3</v>
      </c>
      <c r="BJ145" s="493">
        <v>6</v>
      </c>
      <c r="BK145" s="493">
        <v>7</v>
      </c>
      <c r="BL145" s="493">
        <v>11</v>
      </c>
      <c r="BM145" s="199"/>
      <c r="BN145" s="491"/>
      <c r="BO145" s="492"/>
      <c r="BP145" s="492"/>
      <c r="BQ145" s="492"/>
      <c r="BR145" s="493"/>
      <c r="BS145" s="493"/>
      <c r="BT145" s="493"/>
      <c r="BU145" s="493"/>
      <c r="BV145" s="199"/>
      <c r="BW145" s="491">
        <v>84</v>
      </c>
      <c r="BX145" s="492">
        <v>61</v>
      </c>
      <c r="BY145" s="492">
        <v>74</v>
      </c>
      <c r="BZ145" s="492">
        <v>79</v>
      </c>
      <c r="CA145" s="493">
        <v>79</v>
      </c>
      <c r="CB145" s="493">
        <v>59</v>
      </c>
      <c r="CC145" s="493">
        <v>58</v>
      </c>
      <c r="CD145" s="493">
        <v>35</v>
      </c>
      <c r="CE145" s="199"/>
      <c r="CF145" s="491">
        <v>1</v>
      </c>
      <c r="CG145" s="492">
        <v>2</v>
      </c>
      <c r="CH145" s="492"/>
      <c r="CI145" s="492">
        <v>3</v>
      </c>
      <c r="CJ145" s="493">
        <v>2</v>
      </c>
      <c r="CK145" s="493">
        <v>2</v>
      </c>
      <c r="CL145" s="493"/>
      <c r="CM145" s="493"/>
      <c r="CN145" s="199"/>
      <c r="CO145" s="491"/>
      <c r="CP145" s="492">
        <v>2</v>
      </c>
      <c r="CQ145" s="492"/>
      <c r="CR145" s="492">
        <v>1</v>
      </c>
      <c r="CS145" s="493"/>
      <c r="CT145" s="493"/>
      <c r="CU145" s="493">
        <v>1</v>
      </c>
      <c r="CV145" s="493"/>
      <c r="CW145" s="199"/>
      <c r="CX145" s="491">
        <v>660</v>
      </c>
      <c r="CY145" s="492">
        <v>528</v>
      </c>
      <c r="CZ145" s="492">
        <v>695</v>
      </c>
      <c r="DA145" s="492">
        <v>452</v>
      </c>
      <c r="DB145" s="493">
        <v>475</v>
      </c>
      <c r="DC145" s="493">
        <v>300</v>
      </c>
      <c r="DD145" s="493">
        <v>214</v>
      </c>
      <c r="DE145" s="493">
        <v>187</v>
      </c>
      <c r="DF145" s="199"/>
      <c r="DG145" s="491">
        <v>1</v>
      </c>
      <c r="DH145" s="492">
        <v>4</v>
      </c>
      <c r="DI145" s="492">
        <v>2</v>
      </c>
      <c r="DJ145" s="492"/>
      <c r="DK145" s="493">
        <v>1</v>
      </c>
      <c r="DL145" s="493"/>
      <c r="DM145" s="493"/>
      <c r="DN145" s="493">
        <v>1</v>
      </c>
      <c r="DO145" s="199"/>
      <c r="DP145" s="491">
        <v>4</v>
      </c>
      <c r="DQ145" s="492">
        <v>2</v>
      </c>
      <c r="DR145" s="492">
        <v>6</v>
      </c>
      <c r="DS145" s="492">
        <v>6</v>
      </c>
      <c r="DT145" s="493">
        <v>12</v>
      </c>
      <c r="DU145" s="493">
        <v>3</v>
      </c>
      <c r="DV145" s="493">
        <v>1</v>
      </c>
      <c r="DW145" s="493">
        <v>1</v>
      </c>
      <c r="DX145" s="199"/>
      <c r="DY145" s="491">
        <v>56</v>
      </c>
      <c r="DZ145" s="492">
        <v>53</v>
      </c>
      <c r="EA145" s="492">
        <v>65</v>
      </c>
      <c r="EB145" s="492">
        <v>63</v>
      </c>
      <c r="EC145" s="493">
        <v>82</v>
      </c>
      <c r="ED145" s="493">
        <v>56</v>
      </c>
      <c r="EE145" s="493">
        <v>59</v>
      </c>
      <c r="EF145" s="493">
        <v>28</v>
      </c>
      <c r="EG145" s="199"/>
      <c r="EH145" s="491">
        <v>12</v>
      </c>
      <c r="EI145" s="492">
        <v>4</v>
      </c>
      <c r="EJ145" s="492">
        <v>4</v>
      </c>
      <c r="EK145" s="492">
        <v>6</v>
      </c>
      <c r="EL145" s="493">
        <v>2</v>
      </c>
      <c r="EM145" s="493">
        <v>1</v>
      </c>
      <c r="EN145" s="493">
        <v>1</v>
      </c>
      <c r="EO145" s="493"/>
      <c r="EP145" s="199"/>
      <c r="EQ145" s="491"/>
      <c r="ER145" s="492">
        <v>1</v>
      </c>
      <c r="ES145" s="492">
        <v>1</v>
      </c>
      <c r="ET145" s="492">
        <v>3</v>
      </c>
      <c r="EU145" s="493"/>
      <c r="EV145" s="493">
        <v>3</v>
      </c>
      <c r="EW145" s="493">
        <v>3</v>
      </c>
      <c r="EX145" s="493">
        <v>2</v>
      </c>
      <c r="EY145" s="199"/>
      <c r="EZ145" s="491">
        <v>6</v>
      </c>
      <c r="FA145" s="492">
        <v>3</v>
      </c>
      <c r="FB145" s="492">
        <v>3</v>
      </c>
      <c r="FC145" s="492"/>
      <c r="FD145" s="493"/>
      <c r="FE145" s="493">
        <v>1</v>
      </c>
      <c r="FF145" s="493">
        <v>3</v>
      </c>
      <c r="FG145" s="493"/>
      <c r="FH145" s="199"/>
      <c r="FI145" s="491">
        <v>32</v>
      </c>
      <c r="FJ145" s="492">
        <v>30</v>
      </c>
      <c r="FK145" s="492">
        <v>18</v>
      </c>
      <c r="FL145" s="492">
        <v>13</v>
      </c>
      <c r="FM145" s="493">
        <v>11</v>
      </c>
      <c r="FN145" s="493">
        <v>8</v>
      </c>
      <c r="FO145" s="493">
        <v>10</v>
      </c>
      <c r="FP145" s="493">
        <v>4</v>
      </c>
      <c r="FQ145" s="199"/>
      <c r="FR145" s="491">
        <v>3</v>
      </c>
      <c r="FS145" s="492"/>
      <c r="FT145" s="492">
        <v>2</v>
      </c>
      <c r="FU145" s="492">
        <v>3</v>
      </c>
      <c r="FV145" s="493">
        <v>1</v>
      </c>
      <c r="FW145" s="493">
        <v>5</v>
      </c>
      <c r="FX145" s="493">
        <v>2</v>
      </c>
      <c r="FY145" s="493"/>
      <c r="FZ145" s="199"/>
      <c r="GA145" s="491">
        <v>5</v>
      </c>
      <c r="GB145" s="492">
        <v>14</v>
      </c>
      <c r="GC145" s="492">
        <v>5</v>
      </c>
      <c r="GD145" s="492">
        <v>1</v>
      </c>
      <c r="GE145" s="493">
        <v>1</v>
      </c>
      <c r="GF145" s="493">
        <v>4</v>
      </c>
      <c r="GG145" s="493">
        <v>3</v>
      </c>
      <c r="GH145" s="493">
        <v>1</v>
      </c>
      <c r="GI145" s="199"/>
      <c r="GJ145" s="491">
        <v>857</v>
      </c>
      <c r="GK145" s="492">
        <v>687</v>
      </c>
      <c r="GL145" s="492">
        <v>847</v>
      </c>
      <c r="GM145" s="492">
        <v>611</v>
      </c>
      <c r="GN145" s="493">
        <v>618</v>
      </c>
      <c r="GO145" s="493">
        <v>412</v>
      </c>
      <c r="GP145" s="493">
        <v>328</v>
      </c>
      <c r="GQ145" s="493">
        <v>259</v>
      </c>
      <c r="GR145" s="199"/>
      <c r="GS145" s="491">
        <v>230</v>
      </c>
      <c r="GT145" s="492">
        <v>196</v>
      </c>
      <c r="GU145" s="492">
        <v>225</v>
      </c>
      <c r="GV145" s="492">
        <v>170</v>
      </c>
      <c r="GW145" s="493">
        <v>101</v>
      </c>
      <c r="GX145" s="493">
        <v>67</v>
      </c>
      <c r="GY145" s="493">
        <v>85</v>
      </c>
      <c r="GZ145" s="493">
        <v>44</v>
      </c>
      <c r="HA145" s="199"/>
      <c r="HB145" s="491">
        <v>2</v>
      </c>
      <c r="HC145" s="492">
        <v>3</v>
      </c>
      <c r="HD145" s="492">
        <v>4</v>
      </c>
      <c r="HE145" s="492">
        <v>2</v>
      </c>
      <c r="HF145" s="493"/>
      <c r="HG145" s="493"/>
      <c r="HH145" s="493">
        <v>5</v>
      </c>
      <c r="HI145" s="493"/>
      <c r="HJ145" s="199"/>
      <c r="HK145" s="491">
        <v>3</v>
      </c>
      <c r="HL145" s="492">
        <v>1</v>
      </c>
      <c r="HM145" s="492">
        <v>1</v>
      </c>
      <c r="HN145" s="492"/>
      <c r="HO145" s="493"/>
      <c r="HP145" s="493">
        <v>1</v>
      </c>
      <c r="HQ145" s="493"/>
      <c r="HR145" s="493"/>
      <c r="HS145" s="199"/>
      <c r="HT145" s="491">
        <v>357</v>
      </c>
      <c r="HU145" s="492">
        <v>265</v>
      </c>
      <c r="HV145" s="492">
        <v>274</v>
      </c>
      <c r="HW145" s="492">
        <v>215</v>
      </c>
      <c r="HX145" s="493">
        <v>149</v>
      </c>
      <c r="HY145" s="493">
        <v>119</v>
      </c>
      <c r="HZ145" s="493">
        <v>149</v>
      </c>
      <c r="IA145" s="493">
        <v>98</v>
      </c>
      <c r="IB145" s="199"/>
      <c r="IC145" s="491">
        <v>1498</v>
      </c>
      <c r="ID145" s="492">
        <v>1125</v>
      </c>
      <c r="IE145" s="492">
        <v>1198</v>
      </c>
      <c r="IF145" s="492">
        <v>841</v>
      </c>
      <c r="IG145" s="493">
        <v>836</v>
      </c>
      <c r="IH145" s="493">
        <v>683</v>
      </c>
      <c r="II145" s="493">
        <v>520</v>
      </c>
      <c r="IJ145" s="493">
        <v>416</v>
      </c>
      <c r="IK145" s="199"/>
      <c r="IL145" s="491">
        <v>223</v>
      </c>
      <c r="IM145" s="492">
        <v>151</v>
      </c>
      <c r="IN145" s="492">
        <v>202</v>
      </c>
      <c r="IO145" s="492">
        <v>123</v>
      </c>
      <c r="IP145" s="493">
        <v>70</v>
      </c>
      <c r="IQ145" s="493">
        <v>96</v>
      </c>
      <c r="IR145" s="493">
        <v>79</v>
      </c>
      <c r="IS145" s="493">
        <v>69</v>
      </c>
      <c r="IT145" s="199"/>
      <c r="IU145" s="533">
        <v>5408.9185773605341</v>
      </c>
      <c r="IV145" s="534">
        <v>4136.7898510755649</v>
      </c>
      <c r="IW145" s="534">
        <v>4476.8310911808667</v>
      </c>
      <c r="IX145" s="534">
        <v>3149.4588623001159</v>
      </c>
      <c r="IY145" s="535">
        <v>3173.0367783808401</v>
      </c>
      <c r="IZ145" s="535">
        <v>2612.2429085136378</v>
      </c>
      <c r="JA145" s="535">
        <v>1942.690626517727</v>
      </c>
      <c r="JB145" s="535">
        <v>1573.1356829526546</v>
      </c>
      <c r="JC145" s="536"/>
      <c r="JD145" s="537">
        <v>1289.0413432027442</v>
      </c>
      <c r="JE145" s="538">
        <v>974.4438315866887</v>
      </c>
      <c r="JF145" s="538">
        <v>1023.9162929745889</v>
      </c>
      <c r="JG145" s="538">
        <v>805.15297906602245</v>
      </c>
      <c r="JH145" s="538">
        <v>565.52928227122629</v>
      </c>
      <c r="JI145" s="539">
        <v>446.602716228752</v>
      </c>
      <c r="JJ145" s="539">
        <v>556.65558336757954</v>
      </c>
      <c r="JK145" s="539">
        <v>370.59446377250038</v>
      </c>
      <c r="JL145" s="536"/>
      <c r="JM145" s="537">
        <v>3094.4213756995846</v>
      </c>
      <c r="JN145" s="538">
        <v>2526.1996690568117</v>
      </c>
      <c r="JO145" s="538">
        <v>3165.1718983557548</v>
      </c>
      <c r="JP145" s="538">
        <v>2288.1324195783245</v>
      </c>
      <c r="JQ145" s="538">
        <v>2345.6180969370325</v>
      </c>
      <c r="JR145" s="539">
        <v>1596.8169588388662</v>
      </c>
      <c r="JS145" s="539">
        <v>1225.3894721111817</v>
      </c>
      <c r="JT145" s="539">
        <v>979.42822568446525</v>
      </c>
      <c r="JU145" s="536"/>
      <c r="JV145" s="537">
        <v>830.47481494854662</v>
      </c>
      <c r="JW145" s="538">
        <v>720.72072072072069</v>
      </c>
      <c r="JX145" s="538">
        <v>840.80717488789242</v>
      </c>
      <c r="JY145" s="538">
        <v>636.63258809871547</v>
      </c>
      <c r="JZ145" s="538">
        <v>383.34535241203929</v>
      </c>
      <c r="KA145" s="539">
        <v>250.52733536205309</v>
      </c>
      <c r="KB145" s="539">
        <v>317.55519856539769</v>
      </c>
      <c r="KC145" s="539">
        <v>166.38935108153078</v>
      </c>
      <c r="KD145" s="536"/>
    </row>
    <row r="146" spans="1:290" ht="15" customHeight="1" x14ac:dyDescent="0.2">
      <c r="A146" s="930"/>
      <c r="B146" s="490" t="s">
        <v>747</v>
      </c>
      <c r="C146" s="491"/>
      <c r="D146" s="492"/>
      <c r="E146" s="492"/>
      <c r="F146" s="492">
        <v>1</v>
      </c>
      <c r="G146" s="493">
        <v>3</v>
      </c>
      <c r="H146" s="493">
        <v>1</v>
      </c>
      <c r="I146" s="493">
        <v>1</v>
      </c>
      <c r="J146" s="493"/>
      <c r="K146" s="199"/>
      <c r="L146" s="491"/>
      <c r="M146" s="492"/>
      <c r="N146" s="492"/>
      <c r="O146" s="492">
        <v>1</v>
      </c>
      <c r="P146" s="493">
        <v>1</v>
      </c>
      <c r="Q146" s="493"/>
      <c r="R146" s="493">
        <v>1</v>
      </c>
      <c r="S146" s="493"/>
      <c r="T146" s="199"/>
      <c r="U146" s="491"/>
      <c r="V146" s="492"/>
      <c r="W146" s="492"/>
      <c r="X146" s="492"/>
      <c r="Y146" s="493">
        <v>2</v>
      </c>
      <c r="Z146" s="493">
        <v>1</v>
      </c>
      <c r="AA146" s="493"/>
      <c r="AB146" s="493"/>
      <c r="AC146" s="199"/>
      <c r="AD146" s="491">
        <v>68</v>
      </c>
      <c r="AE146" s="492">
        <v>84</v>
      </c>
      <c r="AF146" s="492">
        <v>59</v>
      </c>
      <c r="AG146" s="492">
        <v>77</v>
      </c>
      <c r="AH146" s="493">
        <v>65</v>
      </c>
      <c r="AI146" s="493">
        <v>67</v>
      </c>
      <c r="AJ146" s="493">
        <v>21</v>
      </c>
      <c r="AK146" s="493">
        <v>20</v>
      </c>
      <c r="AL146" s="199"/>
      <c r="AM146" s="491">
        <v>14</v>
      </c>
      <c r="AN146" s="492">
        <v>15</v>
      </c>
      <c r="AO146" s="492">
        <v>9</v>
      </c>
      <c r="AP146" s="492">
        <v>23</v>
      </c>
      <c r="AQ146" s="493">
        <v>12</v>
      </c>
      <c r="AR146" s="493">
        <v>16</v>
      </c>
      <c r="AS146" s="493">
        <v>10</v>
      </c>
      <c r="AT146" s="493">
        <v>4</v>
      </c>
      <c r="AU146" s="199"/>
      <c r="AV146" s="491"/>
      <c r="AW146" s="492"/>
      <c r="AX146" s="492">
        <v>1</v>
      </c>
      <c r="AY146" s="492"/>
      <c r="AZ146" s="493"/>
      <c r="BA146" s="493"/>
      <c r="BB146" s="493"/>
      <c r="BC146" s="493"/>
      <c r="BD146" s="199"/>
      <c r="BE146" s="491">
        <v>12</v>
      </c>
      <c r="BF146" s="492">
        <v>12</v>
      </c>
      <c r="BG146" s="492">
        <v>5</v>
      </c>
      <c r="BH146" s="492"/>
      <c r="BI146" s="493">
        <v>7</v>
      </c>
      <c r="BJ146" s="493">
        <v>9</v>
      </c>
      <c r="BK146" s="493">
        <v>7</v>
      </c>
      <c r="BL146" s="493">
        <v>2</v>
      </c>
      <c r="BM146" s="199"/>
      <c r="BN146" s="491"/>
      <c r="BO146" s="492"/>
      <c r="BP146" s="492"/>
      <c r="BQ146" s="492"/>
      <c r="BR146" s="493"/>
      <c r="BS146" s="493"/>
      <c r="BT146" s="493"/>
      <c r="BU146" s="493"/>
      <c r="BV146" s="199"/>
      <c r="BW146" s="491">
        <v>106</v>
      </c>
      <c r="BX146" s="492">
        <v>112</v>
      </c>
      <c r="BY146" s="492">
        <v>75</v>
      </c>
      <c r="BZ146" s="492">
        <v>87</v>
      </c>
      <c r="CA146" s="493">
        <v>78</v>
      </c>
      <c r="CB146" s="493">
        <v>87</v>
      </c>
      <c r="CC146" s="493">
        <v>45</v>
      </c>
      <c r="CD146" s="493">
        <v>28</v>
      </c>
      <c r="CE146" s="199"/>
      <c r="CF146" s="491">
        <v>3</v>
      </c>
      <c r="CG146" s="492">
        <v>8</v>
      </c>
      <c r="CH146" s="492">
        <v>4</v>
      </c>
      <c r="CI146" s="492">
        <v>12</v>
      </c>
      <c r="CJ146" s="493">
        <v>6</v>
      </c>
      <c r="CK146" s="493">
        <v>7</v>
      </c>
      <c r="CL146" s="493">
        <v>1</v>
      </c>
      <c r="CM146" s="493">
        <v>1</v>
      </c>
      <c r="CN146" s="199"/>
      <c r="CO146" s="491"/>
      <c r="CP146" s="492"/>
      <c r="CQ146" s="492"/>
      <c r="CR146" s="492"/>
      <c r="CS146" s="493">
        <v>1</v>
      </c>
      <c r="CT146" s="493"/>
      <c r="CU146" s="493"/>
      <c r="CV146" s="493"/>
      <c r="CW146" s="199"/>
      <c r="CX146" s="491">
        <v>456</v>
      </c>
      <c r="CY146" s="492">
        <v>502</v>
      </c>
      <c r="CZ146" s="492">
        <v>550</v>
      </c>
      <c r="DA146" s="492">
        <v>483</v>
      </c>
      <c r="DB146" s="493">
        <v>366</v>
      </c>
      <c r="DC146" s="493">
        <v>291</v>
      </c>
      <c r="DD146" s="493">
        <v>130</v>
      </c>
      <c r="DE146" s="493">
        <v>72</v>
      </c>
      <c r="DF146" s="199"/>
      <c r="DG146" s="491"/>
      <c r="DH146" s="492">
        <v>1</v>
      </c>
      <c r="DI146" s="492">
        <v>1</v>
      </c>
      <c r="DJ146" s="492"/>
      <c r="DK146" s="493">
        <v>1</v>
      </c>
      <c r="DL146" s="493"/>
      <c r="DM146" s="493"/>
      <c r="DN146" s="493"/>
      <c r="DO146" s="199"/>
      <c r="DP146" s="491">
        <v>9</v>
      </c>
      <c r="DQ146" s="492">
        <v>6</v>
      </c>
      <c r="DR146" s="492">
        <v>7</v>
      </c>
      <c r="DS146" s="492">
        <v>5</v>
      </c>
      <c r="DT146" s="493">
        <v>5</v>
      </c>
      <c r="DU146" s="493">
        <v>2</v>
      </c>
      <c r="DV146" s="493">
        <v>7</v>
      </c>
      <c r="DW146" s="493"/>
      <c r="DX146" s="199"/>
      <c r="DY146" s="491">
        <v>60</v>
      </c>
      <c r="DZ146" s="492">
        <v>55</v>
      </c>
      <c r="EA146" s="492">
        <v>52</v>
      </c>
      <c r="EB146" s="492">
        <v>78</v>
      </c>
      <c r="EC146" s="493">
        <v>69</v>
      </c>
      <c r="ED146" s="493">
        <v>95</v>
      </c>
      <c r="EE146" s="493">
        <v>44</v>
      </c>
      <c r="EF146" s="493">
        <v>21</v>
      </c>
      <c r="EG146" s="199"/>
      <c r="EH146" s="491">
        <v>8</v>
      </c>
      <c r="EI146" s="492">
        <v>9</v>
      </c>
      <c r="EJ146" s="492">
        <v>2</v>
      </c>
      <c r="EK146" s="492">
        <v>3</v>
      </c>
      <c r="EL146" s="493">
        <v>1</v>
      </c>
      <c r="EM146" s="493"/>
      <c r="EN146" s="493">
        <v>2</v>
      </c>
      <c r="EO146" s="493"/>
      <c r="EP146" s="199"/>
      <c r="EQ146" s="491">
        <v>1</v>
      </c>
      <c r="ER146" s="492"/>
      <c r="ES146" s="492">
        <v>1</v>
      </c>
      <c r="ET146" s="492">
        <v>1</v>
      </c>
      <c r="EU146" s="493">
        <v>1</v>
      </c>
      <c r="EV146" s="493"/>
      <c r="EW146" s="493">
        <v>1</v>
      </c>
      <c r="EX146" s="493"/>
      <c r="EY146" s="199"/>
      <c r="EZ146" s="491">
        <v>1</v>
      </c>
      <c r="FA146" s="492">
        <v>7</v>
      </c>
      <c r="FB146" s="492">
        <v>2</v>
      </c>
      <c r="FC146" s="492">
        <v>17</v>
      </c>
      <c r="FD146" s="493">
        <v>4</v>
      </c>
      <c r="FE146" s="493">
        <v>1</v>
      </c>
      <c r="FF146" s="493"/>
      <c r="FG146" s="493"/>
      <c r="FH146" s="199"/>
      <c r="FI146" s="491">
        <v>27</v>
      </c>
      <c r="FJ146" s="492">
        <v>22</v>
      </c>
      <c r="FK146" s="492">
        <v>17</v>
      </c>
      <c r="FL146" s="492">
        <v>13</v>
      </c>
      <c r="FM146" s="493">
        <v>17</v>
      </c>
      <c r="FN146" s="493">
        <v>10</v>
      </c>
      <c r="FO146" s="493">
        <v>10</v>
      </c>
      <c r="FP146" s="493">
        <v>3</v>
      </c>
      <c r="FQ146" s="199"/>
      <c r="FR146" s="491">
        <v>4</v>
      </c>
      <c r="FS146" s="492">
        <v>4</v>
      </c>
      <c r="FT146" s="492">
        <v>4</v>
      </c>
      <c r="FU146" s="492">
        <v>6</v>
      </c>
      <c r="FV146" s="493">
        <v>2</v>
      </c>
      <c r="FW146" s="493"/>
      <c r="FX146" s="493"/>
      <c r="FY146" s="493">
        <v>2</v>
      </c>
      <c r="FZ146" s="199"/>
      <c r="GA146" s="491">
        <v>5</v>
      </c>
      <c r="GB146" s="492">
        <v>2</v>
      </c>
      <c r="GC146" s="492">
        <v>3</v>
      </c>
      <c r="GD146" s="492">
        <v>3</v>
      </c>
      <c r="GE146" s="493">
        <v>1</v>
      </c>
      <c r="GF146" s="493">
        <v>2</v>
      </c>
      <c r="GG146" s="493">
        <v>4</v>
      </c>
      <c r="GH146" s="493">
        <v>1</v>
      </c>
      <c r="GI146" s="199"/>
      <c r="GJ146" s="491">
        <v>691</v>
      </c>
      <c r="GK146" s="492">
        <v>762</v>
      </c>
      <c r="GL146" s="492">
        <v>722</v>
      </c>
      <c r="GM146" s="492">
        <v>703</v>
      </c>
      <c r="GN146" s="493">
        <v>552</v>
      </c>
      <c r="GO146" s="493">
        <v>475</v>
      </c>
      <c r="GP146" s="493">
        <v>222</v>
      </c>
      <c r="GQ146" s="493">
        <v>129</v>
      </c>
      <c r="GR146" s="199"/>
      <c r="GS146" s="491">
        <v>184</v>
      </c>
      <c r="GT146" s="492">
        <v>191</v>
      </c>
      <c r="GU146" s="492">
        <v>187</v>
      </c>
      <c r="GV146" s="492">
        <v>174</v>
      </c>
      <c r="GW146" s="493">
        <v>102</v>
      </c>
      <c r="GX146" s="493">
        <v>71</v>
      </c>
      <c r="GY146" s="493">
        <v>19</v>
      </c>
      <c r="GZ146" s="493">
        <v>16</v>
      </c>
      <c r="HA146" s="199"/>
      <c r="HB146" s="491"/>
      <c r="HC146" s="492"/>
      <c r="HD146" s="492"/>
      <c r="HE146" s="492"/>
      <c r="HF146" s="493"/>
      <c r="HG146" s="493"/>
      <c r="HH146" s="493">
        <v>1</v>
      </c>
      <c r="HI146" s="493"/>
      <c r="HJ146" s="199"/>
      <c r="HK146" s="491"/>
      <c r="HL146" s="492">
        <v>1</v>
      </c>
      <c r="HM146" s="492">
        <v>1</v>
      </c>
      <c r="HN146" s="492"/>
      <c r="HO146" s="493"/>
      <c r="HP146" s="493">
        <v>2</v>
      </c>
      <c r="HQ146" s="493"/>
      <c r="HR146" s="493"/>
      <c r="HS146" s="199"/>
      <c r="HT146" s="491">
        <v>233</v>
      </c>
      <c r="HU146" s="492">
        <v>243</v>
      </c>
      <c r="HV146" s="492">
        <v>216</v>
      </c>
      <c r="HW146" s="492">
        <v>216</v>
      </c>
      <c r="HX146" s="493">
        <v>163</v>
      </c>
      <c r="HY146" s="493">
        <v>125</v>
      </c>
      <c r="HZ146" s="493">
        <v>73</v>
      </c>
      <c r="IA146" s="493">
        <v>44</v>
      </c>
      <c r="IB146" s="199"/>
      <c r="IC146" s="491">
        <v>1000</v>
      </c>
      <c r="ID146" s="492">
        <v>1053</v>
      </c>
      <c r="IE146" s="492">
        <v>970</v>
      </c>
      <c r="IF146" s="492">
        <v>905</v>
      </c>
      <c r="IG146" s="493">
        <v>762</v>
      </c>
      <c r="IH146" s="493">
        <v>727</v>
      </c>
      <c r="II146" s="493">
        <v>397</v>
      </c>
      <c r="IJ146" s="493">
        <v>243</v>
      </c>
      <c r="IK146" s="199"/>
      <c r="IL146" s="491">
        <v>148</v>
      </c>
      <c r="IM146" s="492">
        <v>108</v>
      </c>
      <c r="IN146" s="492">
        <v>97</v>
      </c>
      <c r="IO146" s="492">
        <v>85</v>
      </c>
      <c r="IP146" s="493">
        <v>57</v>
      </c>
      <c r="IQ146" s="493">
        <v>126</v>
      </c>
      <c r="IR146" s="493">
        <v>53</v>
      </c>
      <c r="IS146" s="493">
        <v>26</v>
      </c>
      <c r="IT146" s="199"/>
      <c r="IU146" s="533">
        <v>3695.354938841876</v>
      </c>
      <c r="IV146" s="534">
        <v>3930.8645662236822</v>
      </c>
      <c r="IW146" s="534">
        <v>3654.9983043822299</v>
      </c>
      <c r="IX146" s="534">
        <v>3244.3090159526796</v>
      </c>
      <c r="IY146" s="535">
        <v>2745.5501909634645</v>
      </c>
      <c r="IZ146" s="535">
        <v>2698.6247503141385</v>
      </c>
      <c r="JA146" s="535">
        <v>2071.4844769110359</v>
      </c>
      <c r="JB146" s="535">
        <v>1284.9664216593517</v>
      </c>
      <c r="JC146" s="536"/>
      <c r="JD146" s="537">
        <v>861.01770075015702</v>
      </c>
      <c r="JE146" s="538">
        <v>907.12259220546514</v>
      </c>
      <c r="JF146" s="538">
        <v>813.8965296356306</v>
      </c>
      <c r="JG146" s="538">
        <v>774.3323176196451</v>
      </c>
      <c r="JH146" s="538">
        <v>587.30273113785404</v>
      </c>
      <c r="JI146" s="539">
        <v>454.94422446699366</v>
      </c>
      <c r="JJ146" s="539">
        <v>380.90268719019048</v>
      </c>
      <c r="JK146" s="539">
        <v>232.66881709058219</v>
      </c>
      <c r="JL146" s="536"/>
      <c r="JM146" s="537">
        <v>2553.490262739736</v>
      </c>
      <c r="JN146" s="538">
        <v>2844.5572644467675</v>
      </c>
      <c r="JO146" s="538">
        <v>2720.5245110968763</v>
      </c>
      <c r="JP146" s="538">
        <v>2520.1649041046785</v>
      </c>
      <c r="JQ146" s="538">
        <v>1988.9025005404626</v>
      </c>
      <c r="JR146" s="539">
        <v>1690.2183405962296</v>
      </c>
      <c r="JS146" s="539">
        <v>1158.3615966605792</v>
      </c>
      <c r="JT146" s="539">
        <v>682.14266828829773</v>
      </c>
      <c r="JU146" s="536"/>
      <c r="JV146" s="537">
        <v>679.9453087469052</v>
      </c>
      <c r="JW146" s="538">
        <v>713.00582350306104</v>
      </c>
      <c r="JX146" s="538">
        <v>704.62338445306909</v>
      </c>
      <c r="JY146" s="538">
        <v>623.76770030471414</v>
      </c>
      <c r="JZ146" s="538">
        <v>367.51459249117244</v>
      </c>
      <c r="KA146" s="539">
        <v>245.95307668012151</v>
      </c>
      <c r="KB146" s="539">
        <v>99.139055570049578</v>
      </c>
      <c r="KC146" s="539">
        <v>84.606842578393525</v>
      </c>
      <c r="KD146" s="536"/>
    </row>
    <row r="147" spans="1:290" ht="15" customHeight="1" thickBot="1" x14ac:dyDescent="0.25">
      <c r="A147" s="930"/>
      <c r="B147" s="494" t="s">
        <v>748</v>
      </c>
      <c r="C147" s="495"/>
      <c r="D147" s="496">
        <v>3</v>
      </c>
      <c r="E147" s="496">
        <v>1</v>
      </c>
      <c r="F147" s="496"/>
      <c r="G147" s="497">
        <v>1</v>
      </c>
      <c r="H147" s="497">
        <v>1</v>
      </c>
      <c r="I147" s="497">
        <v>1</v>
      </c>
      <c r="J147" s="497">
        <v>1</v>
      </c>
      <c r="K147" s="498"/>
      <c r="L147" s="495"/>
      <c r="M147" s="496">
        <v>2</v>
      </c>
      <c r="N147" s="496"/>
      <c r="O147" s="496"/>
      <c r="P147" s="497"/>
      <c r="Q147" s="497"/>
      <c r="R147" s="497">
        <v>1</v>
      </c>
      <c r="S147" s="497">
        <v>1</v>
      </c>
      <c r="T147" s="498"/>
      <c r="U147" s="495"/>
      <c r="V147" s="496"/>
      <c r="W147" s="496"/>
      <c r="X147" s="496"/>
      <c r="Y147" s="497">
        <v>1</v>
      </c>
      <c r="Z147" s="497">
        <v>1</v>
      </c>
      <c r="AA147" s="497"/>
      <c r="AB147" s="497"/>
      <c r="AC147" s="498"/>
      <c r="AD147" s="495">
        <v>68</v>
      </c>
      <c r="AE147" s="496">
        <v>50</v>
      </c>
      <c r="AF147" s="496">
        <v>50</v>
      </c>
      <c r="AG147" s="496">
        <v>63</v>
      </c>
      <c r="AH147" s="497">
        <v>87</v>
      </c>
      <c r="AI147" s="497">
        <v>80</v>
      </c>
      <c r="AJ147" s="497">
        <v>78</v>
      </c>
      <c r="AK147" s="497">
        <v>59</v>
      </c>
      <c r="AL147" s="498"/>
      <c r="AM147" s="495">
        <v>29</v>
      </c>
      <c r="AN147" s="496">
        <v>18</v>
      </c>
      <c r="AO147" s="496">
        <v>23</v>
      </c>
      <c r="AP147" s="496">
        <v>10</v>
      </c>
      <c r="AQ147" s="497">
        <v>20</v>
      </c>
      <c r="AR147" s="497">
        <v>19</v>
      </c>
      <c r="AS147" s="497">
        <v>17</v>
      </c>
      <c r="AT147" s="497">
        <v>11</v>
      </c>
      <c r="AU147" s="498"/>
      <c r="AV147" s="495"/>
      <c r="AW147" s="496"/>
      <c r="AX147" s="496">
        <v>1</v>
      </c>
      <c r="AY147" s="496"/>
      <c r="AZ147" s="497"/>
      <c r="BA147" s="497"/>
      <c r="BB147" s="497">
        <v>1</v>
      </c>
      <c r="BC147" s="497"/>
      <c r="BD147" s="498"/>
      <c r="BE147" s="495">
        <v>23</v>
      </c>
      <c r="BF147" s="496">
        <v>35</v>
      </c>
      <c r="BG147" s="496">
        <v>33</v>
      </c>
      <c r="BH147" s="496">
        <v>10</v>
      </c>
      <c r="BI147" s="497">
        <v>21</v>
      </c>
      <c r="BJ147" s="497">
        <v>31</v>
      </c>
      <c r="BK147" s="497">
        <v>14</v>
      </c>
      <c r="BL147" s="497">
        <v>18</v>
      </c>
      <c r="BM147" s="498"/>
      <c r="BN147" s="495"/>
      <c r="BO147" s="496"/>
      <c r="BP147" s="496"/>
      <c r="BQ147" s="496"/>
      <c r="BR147" s="497"/>
      <c r="BS147" s="497"/>
      <c r="BT147" s="497"/>
      <c r="BU147" s="497"/>
      <c r="BV147" s="498"/>
      <c r="BW147" s="495">
        <v>64</v>
      </c>
      <c r="BX147" s="496">
        <v>56</v>
      </c>
      <c r="BY147" s="496">
        <v>52</v>
      </c>
      <c r="BZ147" s="496">
        <v>79</v>
      </c>
      <c r="CA147" s="497">
        <v>80</v>
      </c>
      <c r="CB147" s="497">
        <v>64</v>
      </c>
      <c r="CC147" s="497">
        <v>68</v>
      </c>
      <c r="CD147" s="497">
        <v>46</v>
      </c>
      <c r="CE147" s="498"/>
      <c r="CF147" s="495">
        <v>1</v>
      </c>
      <c r="CG147" s="496">
        <v>3</v>
      </c>
      <c r="CH147" s="496"/>
      <c r="CI147" s="496">
        <v>5</v>
      </c>
      <c r="CJ147" s="497">
        <v>2</v>
      </c>
      <c r="CK147" s="497">
        <v>6</v>
      </c>
      <c r="CL147" s="497">
        <v>1</v>
      </c>
      <c r="CM147" s="497"/>
      <c r="CN147" s="498"/>
      <c r="CO147" s="495">
        <v>1</v>
      </c>
      <c r="CP147" s="496"/>
      <c r="CQ147" s="496"/>
      <c r="CR147" s="496">
        <v>1</v>
      </c>
      <c r="CS147" s="497"/>
      <c r="CT147" s="497">
        <v>2</v>
      </c>
      <c r="CU147" s="497">
        <v>1</v>
      </c>
      <c r="CV147" s="497">
        <v>4</v>
      </c>
      <c r="CW147" s="498"/>
      <c r="CX147" s="495">
        <v>721</v>
      </c>
      <c r="CY147" s="496">
        <v>829</v>
      </c>
      <c r="CZ147" s="496">
        <v>931</v>
      </c>
      <c r="DA147" s="496">
        <v>776</v>
      </c>
      <c r="DB147" s="497">
        <v>691</v>
      </c>
      <c r="DC147" s="497">
        <v>452</v>
      </c>
      <c r="DD147" s="497">
        <v>333</v>
      </c>
      <c r="DE147" s="497">
        <v>274</v>
      </c>
      <c r="DF147" s="498"/>
      <c r="DG147" s="495"/>
      <c r="DH147" s="496"/>
      <c r="DI147" s="496">
        <v>1</v>
      </c>
      <c r="DJ147" s="496"/>
      <c r="DK147" s="497">
        <v>12</v>
      </c>
      <c r="DL147" s="497"/>
      <c r="DM147" s="497">
        <v>2</v>
      </c>
      <c r="DN147" s="497"/>
      <c r="DO147" s="498"/>
      <c r="DP147" s="495">
        <v>14</v>
      </c>
      <c r="DQ147" s="496">
        <v>4</v>
      </c>
      <c r="DR147" s="496">
        <v>12</v>
      </c>
      <c r="DS147" s="496">
        <v>5</v>
      </c>
      <c r="DT147" s="497">
        <v>7</v>
      </c>
      <c r="DU147" s="497">
        <v>4</v>
      </c>
      <c r="DV147" s="497">
        <v>3</v>
      </c>
      <c r="DW147" s="497"/>
      <c r="DX147" s="498"/>
      <c r="DY147" s="495">
        <v>114</v>
      </c>
      <c r="DZ147" s="496">
        <v>119</v>
      </c>
      <c r="EA147" s="496">
        <v>86</v>
      </c>
      <c r="EB147" s="496">
        <v>109</v>
      </c>
      <c r="EC147" s="497">
        <v>122</v>
      </c>
      <c r="ED147" s="497">
        <v>103</v>
      </c>
      <c r="EE147" s="497">
        <v>64</v>
      </c>
      <c r="EF147" s="497">
        <v>56</v>
      </c>
      <c r="EG147" s="498"/>
      <c r="EH147" s="495">
        <v>11</v>
      </c>
      <c r="EI147" s="496">
        <v>7</v>
      </c>
      <c r="EJ147" s="496">
        <v>10</v>
      </c>
      <c r="EK147" s="496">
        <v>14</v>
      </c>
      <c r="EL147" s="497">
        <v>11</v>
      </c>
      <c r="EM147" s="497">
        <v>8</v>
      </c>
      <c r="EN147" s="497">
        <v>6</v>
      </c>
      <c r="EO147" s="497">
        <v>2</v>
      </c>
      <c r="EP147" s="498"/>
      <c r="EQ147" s="495">
        <v>1</v>
      </c>
      <c r="ER147" s="496">
        <v>3</v>
      </c>
      <c r="ES147" s="496">
        <v>2</v>
      </c>
      <c r="ET147" s="496">
        <v>2</v>
      </c>
      <c r="EU147" s="497">
        <v>5</v>
      </c>
      <c r="EV147" s="497">
        <v>2</v>
      </c>
      <c r="EW147" s="497">
        <v>1</v>
      </c>
      <c r="EX147" s="497">
        <v>3</v>
      </c>
      <c r="EY147" s="498"/>
      <c r="EZ147" s="495">
        <v>2</v>
      </c>
      <c r="FA147" s="496">
        <v>3</v>
      </c>
      <c r="FB147" s="496">
        <v>9</v>
      </c>
      <c r="FC147" s="496">
        <v>16</v>
      </c>
      <c r="FD147" s="497">
        <v>1</v>
      </c>
      <c r="FE147" s="497">
        <v>4</v>
      </c>
      <c r="FF147" s="497"/>
      <c r="FG147" s="497"/>
      <c r="FH147" s="498"/>
      <c r="FI147" s="495">
        <v>46</v>
      </c>
      <c r="FJ147" s="496">
        <v>33</v>
      </c>
      <c r="FK147" s="496">
        <v>33</v>
      </c>
      <c r="FL147" s="496">
        <v>21</v>
      </c>
      <c r="FM147" s="497">
        <v>14</v>
      </c>
      <c r="FN147" s="497">
        <v>12</v>
      </c>
      <c r="FO147" s="497">
        <v>11</v>
      </c>
      <c r="FP147" s="497">
        <v>10</v>
      </c>
      <c r="FQ147" s="498"/>
      <c r="FR147" s="495">
        <v>5</v>
      </c>
      <c r="FS147" s="496">
        <v>12</v>
      </c>
      <c r="FT147" s="496">
        <v>2</v>
      </c>
      <c r="FU147" s="496">
        <v>7</v>
      </c>
      <c r="FV147" s="497">
        <v>4</v>
      </c>
      <c r="FW147" s="497">
        <v>26</v>
      </c>
      <c r="FX147" s="497">
        <v>1</v>
      </c>
      <c r="FY147" s="497">
        <v>1</v>
      </c>
      <c r="FZ147" s="498"/>
      <c r="GA147" s="495">
        <v>1</v>
      </c>
      <c r="GB147" s="496">
        <v>6</v>
      </c>
      <c r="GC147" s="496">
        <v>2</v>
      </c>
      <c r="GD147" s="496">
        <v>4</v>
      </c>
      <c r="GE147" s="497">
        <v>2</v>
      </c>
      <c r="GF147" s="497">
        <v>5</v>
      </c>
      <c r="GG147" s="497">
        <v>5</v>
      </c>
      <c r="GH147" s="497">
        <v>4</v>
      </c>
      <c r="GI147" s="498"/>
      <c r="GJ147" s="495">
        <v>944</v>
      </c>
      <c r="GK147" s="496">
        <v>1040</v>
      </c>
      <c r="GL147" s="496">
        <v>1125</v>
      </c>
      <c r="GM147" s="496">
        <v>998</v>
      </c>
      <c r="GN147" s="497">
        <v>919</v>
      </c>
      <c r="GO147" s="497">
        <v>693</v>
      </c>
      <c r="GP147" s="497">
        <v>520</v>
      </c>
      <c r="GQ147" s="497">
        <v>422</v>
      </c>
      <c r="GR147" s="498"/>
      <c r="GS147" s="495">
        <v>260</v>
      </c>
      <c r="GT147" s="496">
        <v>314</v>
      </c>
      <c r="GU147" s="496">
        <v>292</v>
      </c>
      <c r="GV147" s="496">
        <v>230</v>
      </c>
      <c r="GW147" s="497">
        <v>185</v>
      </c>
      <c r="GX147" s="497">
        <v>125</v>
      </c>
      <c r="GY147" s="497">
        <v>161</v>
      </c>
      <c r="GZ147" s="497">
        <v>150</v>
      </c>
      <c r="HA147" s="498"/>
      <c r="HB147" s="495">
        <v>5</v>
      </c>
      <c r="HC147" s="496">
        <v>9</v>
      </c>
      <c r="HD147" s="496">
        <v>3</v>
      </c>
      <c r="HE147" s="496">
        <v>4</v>
      </c>
      <c r="HF147" s="497"/>
      <c r="HG147" s="497">
        <v>4</v>
      </c>
      <c r="HH147" s="497">
        <v>1</v>
      </c>
      <c r="HI147" s="497"/>
      <c r="HJ147" s="498"/>
      <c r="HK147" s="495">
        <v>5</v>
      </c>
      <c r="HL147" s="496">
        <v>2</v>
      </c>
      <c r="HM147" s="496"/>
      <c r="HN147" s="496">
        <v>1</v>
      </c>
      <c r="HO147" s="497"/>
      <c r="HP147" s="497">
        <v>1</v>
      </c>
      <c r="HQ147" s="497">
        <v>1</v>
      </c>
      <c r="HR147" s="497"/>
      <c r="HS147" s="498"/>
      <c r="HT147" s="495">
        <v>365</v>
      </c>
      <c r="HU147" s="496">
        <v>411</v>
      </c>
      <c r="HV147" s="496">
        <v>377</v>
      </c>
      <c r="HW147" s="496">
        <v>309</v>
      </c>
      <c r="HX147" s="497">
        <v>280</v>
      </c>
      <c r="HY147" s="497">
        <v>249</v>
      </c>
      <c r="HZ147" s="497">
        <v>265</v>
      </c>
      <c r="IA147" s="497">
        <v>256</v>
      </c>
      <c r="IB147" s="498"/>
      <c r="IC147" s="495">
        <v>1416</v>
      </c>
      <c r="ID147" s="496">
        <v>1843</v>
      </c>
      <c r="IE147" s="496">
        <v>1733</v>
      </c>
      <c r="IF147" s="496">
        <v>1702</v>
      </c>
      <c r="IG147" s="497">
        <v>1242</v>
      </c>
      <c r="IH147" s="497">
        <v>1247</v>
      </c>
      <c r="II147" s="497">
        <v>828</v>
      </c>
      <c r="IJ147" s="497">
        <v>750</v>
      </c>
      <c r="IK147" s="498"/>
      <c r="IL147" s="495">
        <v>203</v>
      </c>
      <c r="IM147" s="496">
        <v>206</v>
      </c>
      <c r="IN147" s="496">
        <v>170</v>
      </c>
      <c r="IO147" s="496">
        <v>121</v>
      </c>
      <c r="IP147" s="497">
        <v>81</v>
      </c>
      <c r="IQ147" s="497">
        <v>133</v>
      </c>
      <c r="IR147" s="497">
        <v>77</v>
      </c>
      <c r="IS147" s="497">
        <v>73</v>
      </c>
      <c r="IT147" s="498"/>
      <c r="IU147" s="540">
        <v>3374.3208464398058</v>
      </c>
      <c r="IV147" s="541">
        <v>4461.2814988743921</v>
      </c>
      <c r="IW147" s="541">
        <v>4237.2674148512187</v>
      </c>
      <c r="IX147" s="541">
        <v>4108.3325287245343</v>
      </c>
      <c r="IY147" s="542">
        <v>3037.1203599550054</v>
      </c>
      <c r="IZ147" s="542">
        <v>3181.2953914211321</v>
      </c>
      <c r="JA147" s="542">
        <v>2337.0685032035904</v>
      </c>
      <c r="JB147" s="542">
        <v>2141.3887619917768</v>
      </c>
      <c r="JC147" s="543"/>
      <c r="JD147" s="544">
        <v>869.7931560385091</v>
      </c>
      <c r="JE147" s="545">
        <v>994.89240153954154</v>
      </c>
      <c r="JF147" s="545">
        <v>921.78292867796279</v>
      </c>
      <c r="JG147" s="545">
        <v>745.87235686009467</v>
      </c>
      <c r="JH147" s="545">
        <v>684.6970215679562</v>
      </c>
      <c r="JI147" s="546">
        <v>647.68141235211272</v>
      </c>
      <c r="JJ147" s="546">
        <v>747.974822885207</v>
      </c>
      <c r="JK147" s="546">
        <v>730.92736409319321</v>
      </c>
      <c r="JL147" s="543"/>
      <c r="JM147" s="544">
        <v>2249.5472309598704</v>
      </c>
      <c r="JN147" s="545">
        <v>2517.4892885672098</v>
      </c>
      <c r="JO147" s="545">
        <v>2750.6785006968385</v>
      </c>
      <c r="JP147" s="545">
        <v>2408.9987448102734</v>
      </c>
      <c r="JQ147" s="545">
        <v>2247.2734386462562</v>
      </c>
      <c r="JR147" s="546">
        <v>1712.0758084149691</v>
      </c>
      <c r="JS147" s="546">
        <v>1467.724180755878</v>
      </c>
      <c r="JT147" s="546">
        <v>1204.8880767473731</v>
      </c>
      <c r="JU147" s="543"/>
      <c r="JV147" s="544">
        <v>619.5786864931847</v>
      </c>
      <c r="JW147" s="545">
        <v>760.08811212509977</v>
      </c>
      <c r="JX147" s="545">
        <v>713.95388640309056</v>
      </c>
      <c r="JY147" s="545">
        <v>555.18007144926139</v>
      </c>
      <c r="JZ147" s="545">
        <v>452.38910353597106</v>
      </c>
      <c r="KA147" s="546">
        <v>318.12422955141329</v>
      </c>
      <c r="KB147" s="546">
        <v>454.42998673403139</v>
      </c>
      <c r="KC147" s="546">
        <v>428.2777523983554</v>
      </c>
      <c r="KD147" s="543"/>
    </row>
    <row r="148" spans="1:290" ht="15" customHeight="1" thickBot="1" x14ac:dyDescent="0.25">
      <c r="A148" s="931"/>
      <c r="B148" s="508" t="s">
        <v>791</v>
      </c>
      <c r="C148" s="500">
        <v>13</v>
      </c>
      <c r="D148" s="501">
        <v>20</v>
      </c>
      <c r="E148" s="501">
        <v>7</v>
      </c>
      <c r="F148" s="501">
        <v>13</v>
      </c>
      <c r="G148" s="502">
        <v>14</v>
      </c>
      <c r="H148" s="502">
        <v>9</v>
      </c>
      <c r="I148" s="502">
        <v>4</v>
      </c>
      <c r="J148" s="502">
        <v>9</v>
      </c>
      <c r="K148" s="503"/>
      <c r="L148" s="500">
        <v>4</v>
      </c>
      <c r="M148" s="501">
        <v>8</v>
      </c>
      <c r="N148" s="501">
        <v>4</v>
      </c>
      <c r="O148" s="501">
        <v>6</v>
      </c>
      <c r="P148" s="502">
        <v>8</v>
      </c>
      <c r="Q148" s="502">
        <v>2</v>
      </c>
      <c r="R148" s="502">
        <v>3</v>
      </c>
      <c r="S148" s="502">
        <v>6</v>
      </c>
      <c r="T148" s="503"/>
      <c r="U148" s="500">
        <v>8</v>
      </c>
      <c r="V148" s="501">
        <v>10</v>
      </c>
      <c r="W148" s="501">
        <v>1</v>
      </c>
      <c r="X148" s="501">
        <v>6</v>
      </c>
      <c r="Y148" s="502">
        <v>5</v>
      </c>
      <c r="Z148" s="502">
        <v>7</v>
      </c>
      <c r="AA148" s="502">
        <v>1</v>
      </c>
      <c r="AB148" s="502">
        <v>2</v>
      </c>
      <c r="AC148" s="503"/>
      <c r="AD148" s="500">
        <v>613</v>
      </c>
      <c r="AE148" s="501">
        <v>599</v>
      </c>
      <c r="AF148" s="501">
        <v>546</v>
      </c>
      <c r="AG148" s="501">
        <v>530</v>
      </c>
      <c r="AH148" s="502">
        <v>535</v>
      </c>
      <c r="AI148" s="502">
        <v>579</v>
      </c>
      <c r="AJ148" s="502">
        <v>454</v>
      </c>
      <c r="AK148" s="502">
        <v>377</v>
      </c>
      <c r="AL148" s="503"/>
      <c r="AM148" s="500">
        <v>218</v>
      </c>
      <c r="AN148" s="501">
        <v>175</v>
      </c>
      <c r="AO148" s="501">
        <v>176</v>
      </c>
      <c r="AP148" s="501">
        <v>158</v>
      </c>
      <c r="AQ148" s="502">
        <v>151</v>
      </c>
      <c r="AR148" s="502">
        <v>172</v>
      </c>
      <c r="AS148" s="502">
        <v>138</v>
      </c>
      <c r="AT148" s="502">
        <v>130</v>
      </c>
      <c r="AU148" s="503"/>
      <c r="AV148" s="500">
        <v>3</v>
      </c>
      <c r="AW148" s="501">
        <v>1</v>
      </c>
      <c r="AX148" s="501">
        <v>4</v>
      </c>
      <c r="AY148" s="501"/>
      <c r="AZ148" s="502"/>
      <c r="BA148" s="502">
        <v>1</v>
      </c>
      <c r="BB148" s="502">
        <v>1</v>
      </c>
      <c r="BC148" s="502">
        <v>1</v>
      </c>
      <c r="BD148" s="503"/>
      <c r="BE148" s="500">
        <v>113</v>
      </c>
      <c r="BF148" s="501">
        <v>175</v>
      </c>
      <c r="BG148" s="501">
        <v>127</v>
      </c>
      <c r="BH148" s="501">
        <v>85</v>
      </c>
      <c r="BI148" s="502">
        <v>122</v>
      </c>
      <c r="BJ148" s="502">
        <v>170</v>
      </c>
      <c r="BK148" s="502">
        <v>102</v>
      </c>
      <c r="BL148" s="502">
        <v>72</v>
      </c>
      <c r="BM148" s="503"/>
      <c r="BN148" s="500"/>
      <c r="BO148" s="501"/>
      <c r="BP148" s="501"/>
      <c r="BQ148" s="501"/>
      <c r="BR148" s="502"/>
      <c r="BS148" s="502">
        <v>1</v>
      </c>
      <c r="BT148" s="502"/>
      <c r="BU148" s="502"/>
      <c r="BV148" s="503"/>
      <c r="BW148" s="500">
        <v>925</v>
      </c>
      <c r="BX148" s="501">
        <v>895</v>
      </c>
      <c r="BY148" s="501">
        <v>903</v>
      </c>
      <c r="BZ148" s="501">
        <v>869</v>
      </c>
      <c r="CA148" s="502">
        <v>879</v>
      </c>
      <c r="CB148" s="502">
        <v>883</v>
      </c>
      <c r="CC148" s="502">
        <v>836</v>
      </c>
      <c r="CD148" s="502">
        <v>525</v>
      </c>
      <c r="CE148" s="503"/>
      <c r="CF148" s="500">
        <v>30</v>
      </c>
      <c r="CG148" s="501">
        <v>33</v>
      </c>
      <c r="CH148" s="501">
        <v>27</v>
      </c>
      <c r="CI148" s="501">
        <v>35</v>
      </c>
      <c r="CJ148" s="502">
        <v>32</v>
      </c>
      <c r="CK148" s="502">
        <v>30</v>
      </c>
      <c r="CL148" s="502">
        <v>11</v>
      </c>
      <c r="CM148" s="502">
        <v>15</v>
      </c>
      <c r="CN148" s="503"/>
      <c r="CO148" s="500">
        <v>33</v>
      </c>
      <c r="CP148" s="501">
        <v>29</v>
      </c>
      <c r="CQ148" s="501">
        <v>9</v>
      </c>
      <c r="CR148" s="501">
        <v>11</v>
      </c>
      <c r="CS148" s="502">
        <v>8</v>
      </c>
      <c r="CT148" s="502">
        <v>5</v>
      </c>
      <c r="CU148" s="502">
        <v>11</v>
      </c>
      <c r="CV148" s="502">
        <v>17</v>
      </c>
      <c r="CW148" s="503"/>
      <c r="CX148" s="500">
        <v>8435</v>
      </c>
      <c r="CY148" s="501">
        <v>8203</v>
      </c>
      <c r="CZ148" s="501">
        <v>9823</v>
      </c>
      <c r="DA148" s="501">
        <v>8046</v>
      </c>
      <c r="DB148" s="502">
        <v>6324</v>
      </c>
      <c r="DC148" s="502">
        <v>5406</v>
      </c>
      <c r="DD148" s="502">
        <v>4459</v>
      </c>
      <c r="DE148" s="502">
        <v>3086</v>
      </c>
      <c r="DF148" s="503"/>
      <c r="DG148" s="500">
        <v>62</v>
      </c>
      <c r="DH148" s="501">
        <v>39</v>
      </c>
      <c r="DI148" s="501">
        <v>70</v>
      </c>
      <c r="DJ148" s="501">
        <v>29</v>
      </c>
      <c r="DK148" s="502">
        <v>31</v>
      </c>
      <c r="DL148" s="502">
        <v>10</v>
      </c>
      <c r="DM148" s="502">
        <v>15</v>
      </c>
      <c r="DN148" s="502">
        <v>12</v>
      </c>
      <c r="DO148" s="503"/>
      <c r="DP148" s="500">
        <v>345</v>
      </c>
      <c r="DQ148" s="501">
        <v>186</v>
      </c>
      <c r="DR148" s="501">
        <v>236</v>
      </c>
      <c r="DS148" s="501">
        <v>157</v>
      </c>
      <c r="DT148" s="502">
        <v>106</v>
      </c>
      <c r="DU148" s="502">
        <v>102</v>
      </c>
      <c r="DV148" s="502">
        <v>101</v>
      </c>
      <c r="DW148" s="502">
        <v>67</v>
      </c>
      <c r="DX148" s="503"/>
      <c r="DY148" s="500">
        <v>1131</v>
      </c>
      <c r="DZ148" s="501">
        <v>1084</v>
      </c>
      <c r="EA148" s="501">
        <v>1270</v>
      </c>
      <c r="EB148" s="501">
        <v>1250</v>
      </c>
      <c r="EC148" s="502">
        <v>1103</v>
      </c>
      <c r="ED148" s="502">
        <v>1208</v>
      </c>
      <c r="EE148" s="502">
        <v>1314</v>
      </c>
      <c r="EF148" s="502">
        <v>681</v>
      </c>
      <c r="EG148" s="503"/>
      <c r="EH148" s="500">
        <v>93</v>
      </c>
      <c r="EI148" s="501">
        <v>83</v>
      </c>
      <c r="EJ148" s="501">
        <v>88</v>
      </c>
      <c r="EK148" s="501">
        <v>81</v>
      </c>
      <c r="EL148" s="502">
        <v>63</v>
      </c>
      <c r="EM148" s="502">
        <v>52</v>
      </c>
      <c r="EN148" s="502">
        <v>50</v>
      </c>
      <c r="EO148" s="502">
        <v>38</v>
      </c>
      <c r="EP148" s="503"/>
      <c r="EQ148" s="500">
        <v>12</v>
      </c>
      <c r="ER148" s="501">
        <v>25</v>
      </c>
      <c r="ES148" s="501">
        <v>50</v>
      </c>
      <c r="ET148" s="501">
        <v>46</v>
      </c>
      <c r="EU148" s="502">
        <v>38</v>
      </c>
      <c r="EV148" s="502">
        <v>29</v>
      </c>
      <c r="EW148" s="502">
        <v>47</v>
      </c>
      <c r="EX148" s="502">
        <v>41</v>
      </c>
      <c r="EY148" s="503"/>
      <c r="EZ148" s="500">
        <v>41</v>
      </c>
      <c r="FA148" s="501">
        <v>33</v>
      </c>
      <c r="FB148" s="501">
        <v>62</v>
      </c>
      <c r="FC148" s="501">
        <v>65</v>
      </c>
      <c r="FD148" s="502">
        <v>21</v>
      </c>
      <c r="FE148" s="502">
        <v>20</v>
      </c>
      <c r="FF148" s="502">
        <v>12</v>
      </c>
      <c r="FG148" s="502">
        <v>8</v>
      </c>
      <c r="FH148" s="503"/>
      <c r="FI148" s="500">
        <v>492</v>
      </c>
      <c r="FJ148" s="501">
        <v>484</v>
      </c>
      <c r="FK148" s="501">
        <v>369</v>
      </c>
      <c r="FL148" s="501">
        <v>217</v>
      </c>
      <c r="FM148" s="502">
        <v>239</v>
      </c>
      <c r="FN148" s="502">
        <v>242</v>
      </c>
      <c r="FO148" s="502">
        <v>187</v>
      </c>
      <c r="FP148" s="502">
        <v>143</v>
      </c>
      <c r="FQ148" s="503"/>
      <c r="FR148" s="500">
        <v>33</v>
      </c>
      <c r="FS148" s="501">
        <v>50</v>
      </c>
      <c r="FT148" s="501">
        <v>28</v>
      </c>
      <c r="FU148" s="501">
        <v>41</v>
      </c>
      <c r="FV148" s="502">
        <v>34</v>
      </c>
      <c r="FW148" s="502">
        <v>48</v>
      </c>
      <c r="FX148" s="502">
        <v>22</v>
      </c>
      <c r="FY148" s="502">
        <v>13</v>
      </c>
      <c r="FZ148" s="503"/>
      <c r="GA148" s="500">
        <v>48</v>
      </c>
      <c r="GB148" s="501">
        <v>35</v>
      </c>
      <c r="GC148" s="501">
        <v>37</v>
      </c>
      <c r="GD148" s="501">
        <v>26</v>
      </c>
      <c r="GE148" s="502">
        <v>28</v>
      </c>
      <c r="GF148" s="502">
        <v>38</v>
      </c>
      <c r="GG148" s="502">
        <v>38</v>
      </c>
      <c r="GH148" s="502">
        <v>25</v>
      </c>
      <c r="GI148" s="503"/>
      <c r="GJ148" s="500">
        <v>10881</v>
      </c>
      <c r="GK148" s="501">
        <v>10664</v>
      </c>
      <c r="GL148" s="501">
        <v>12076</v>
      </c>
      <c r="GM148" s="501">
        <v>10065</v>
      </c>
      <c r="GN148" s="502">
        <v>8337</v>
      </c>
      <c r="GO148" s="502">
        <v>7512</v>
      </c>
      <c r="GP148" s="502">
        <v>6233</v>
      </c>
      <c r="GQ148" s="502">
        <v>4369</v>
      </c>
      <c r="GR148" s="503"/>
      <c r="GS148" s="500">
        <v>3232</v>
      </c>
      <c r="GT148" s="501">
        <v>3231</v>
      </c>
      <c r="GU148" s="501">
        <v>3555</v>
      </c>
      <c r="GV148" s="501">
        <v>2574</v>
      </c>
      <c r="GW148" s="502">
        <v>1546</v>
      </c>
      <c r="GX148" s="502">
        <v>1421</v>
      </c>
      <c r="GY148" s="502">
        <v>1367</v>
      </c>
      <c r="GZ148" s="502">
        <v>933</v>
      </c>
      <c r="HA148" s="503"/>
      <c r="HB148" s="500">
        <v>46</v>
      </c>
      <c r="HC148" s="501">
        <v>30</v>
      </c>
      <c r="HD148" s="501">
        <v>30</v>
      </c>
      <c r="HE148" s="501">
        <v>27</v>
      </c>
      <c r="HF148" s="502">
        <v>17</v>
      </c>
      <c r="HG148" s="502">
        <v>18</v>
      </c>
      <c r="HH148" s="502">
        <v>25</v>
      </c>
      <c r="HI148" s="502">
        <v>11</v>
      </c>
      <c r="HJ148" s="503"/>
      <c r="HK148" s="500">
        <v>24</v>
      </c>
      <c r="HL148" s="501">
        <v>21</v>
      </c>
      <c r="HM148" s="501">
        <v>9</v>
      </c>
      <c r="HN148" s="501">
        <v>7</v>
      </c>
      <c r="HO148" s="502">
        <v>9</v>
      </c>
      <c r="HP148" s="502">
        <v>10</v>
      </c>
      <c r="HQ148" s="502">
        <v>6</v>
      </c>
      <c r="HR148" s="502">
        <v>3</v>
      </c>
      <c r="HS148" s="503"/>
      <c r="HT148" s="500">
        <v>4005</v>
      </c>
      <c r="HU148" s="501">
        <v>3986</v>
      </c>
      <c r="HV148" s="501">
        <v>4197</v>
      </c>
      <c r="HW148" s="501">
        <v>3214</v>
      </c>
      <c r="HX148" s="502">
        <v>2368</v>
      </c>
      <c r="HY148" s="502">
        <v>2167</v>
      </c>
      <c r="HZ148" s="502">
        <v>2227</v>
      </c>
      <c r="IA148" s="502">
        <v>1824</v>
      </c>
      <c r="IB148" s="503"/>
      <c r="IC148" s="500">
        <v>17138</v>
      </c>
      <c r="ID148" s="501">
        <v>17113</v>
      </c>
      <c r="IE148" s="501">
        <v>18520</v>
      </c>
      <c r="IF148" s="501">
        <v>13820</v>
      </c>
      <c r="IG148" s="502">
        <v>14130</v>
      </c>
      <c r="IH148" s="502">
        <v>11164</v>
      </c>
      <c r="II148" s="502">
        <v>9659</v>
      </c>
      <c r="IJ148" s="502">
        <v>8084</v>
      </c>
      <c r="IK148" s="503"/>
      <c r="IL148" s="500">
        <v>2376</v>
      </c>
      <c r="IM148" s="501">
        <v>2184</v>
      </c>
      <c r="IN148" s="501">
        <v>2694</v>
      </c>
      <c r="IO148" s="501">
        <v>1758</v>
      </c>
      <c r="IP148" s="502">
        <v>908</v>
      </c>
      <c r="IQ148" s="502">
        <v>1663</v>
      </c>
      <c r="IR148" s="502">
        <v>1636</v>
      </c>
      <c r="IS148" s="502">
        <v>1063</v>
      </c>
      <c r="IT148" s="503"/>
      <c r="IU148" s="547">
        <v>4385.6439127375088</v>
      </c>
      <c r="IV148" s="548">
        <v>4424.7993546251864</v>
      </c>
      <c r="IW148" s="548">
        <v>4833.8936334593136</v>
      </c>
      <c r="IX148" s="548">
        <v>3574.2550186988888</v>
      </c>
      <c r="IY148" s="549">
        <v>3684.5906923014741</v>
      </c>
      <c r="IZ148" s="549">
        <v>2938.6912768460925</v>
      </c>
      <c r="JA148" s="549">
        <v>2566.6030706765796</v>
      </c>
      <c r="JB148" s="549">
        <v>2163.6320326739483</v>
      </c>
      <c r="JC148" s="550"/>
      <c r="JD148" s="551">
        <v>1024.8864436056554</v>
      </c>
      <c r="JE148" s="552">
        <v>1030.634618566937</v>
      </c>
      <c r="JF148" s="552">
        <v>1095.4563487920486</v>
      </c>
      <c r="JG148" s="552">
        <v>831.23412663518286</v>
      </c>
      <c r="JH148" s="552">
        <v>617.48837645929871</v>
      </c>
      <c r="JI148" s="553">
        <v>570.41777113270177</v>
      </c>
      <c r="JJ148" s="553">
        <v>591.76157349588391</v>
      </c>
      <c r="JK148" s="553">
        <v>488.18219044993589</v>
      </c>
      <c r="JL148" s="550"/>
      <c r="JM148" s="551">
        <v>2784.4667647623314</v>
      </c>
      <c r="JN148" s="552">
        <v>2757.3225219261953</v>
      </c>
      <c r="JO148" s="552">
        <v>3151.9492180159114</v>
      </c>
      <c r="JP148" s="552">
        <v>2603.1025154272297</v>
      </c>
      <c r="JQ148" s="552">
        <v>2173.9867375596173</v>
      </c>
      <c r="JR148" s="553">
        <v>1977.3780787950418</v>
      </c>
      <c r="JS148" s="553">
        <v>1656.2415301301505</v>
      </c>
      <c r="JT148" s="553">
        <v>1169.335520874874</v>
      </c>
      <c r="JU148" s="550"/>
      <c r="JV148" s="551">
        <v>827.07440342908319</v>
      </c>
      <c r="JW148" s="552">
        <v>835.41907992718836</v>
      </c>
      <c r="JX148" s="552">
        <v>927.88832974880461</v>
      </c>
      <c r="JY148" s="552">
        <v>665.71146296171776</v>
      </c>
      <c r="JZ148" s="552">
        <v>403.14063767148474</v>
      </c>
      <c r="KA148" s="553">
        <v>374.04875532052108</v>
      </c>
      <c r="KB148" s="553">
        <v>363.24116343460867</v>
      </c>
      <c r="KC148" s="553">
        <v>249.71161386501657</v>
      </c>
      <c r="KD148" s="550"/>
    </row>
    <row r="149" spans="1:290" ht="15" customHeight="1" x14ac:dyDescent="0.2">
      <c r="A149" s="929" t="s">
        <v>559</v>
      </c>
      <c r="B149" s="485" t="s">
        <v>750</v>
      </c>
      <c r="C149" s="486">
        <v>2</v>
      </c>
      <c r="D149" s="487">
        <v>1</v>
      </c>
      <c r="E149" s="487">
        <v>2</v>
      </c>
      <c r="F149" s="487">
        <v>1</v>
      </c>
      <c r="G149" s="488"/>
      <c r="H149" s="488"/>
      <c r="I149" s="488"/>
      <c r="J149" s="488"/>
      <c r="K149" s="489"/>
      <c r="L149" s="486">
        <v>1</v>
      </c>
      <c r="M149" s="487">
        <v>1</v>
      </c>
      <c r="N149" s="487">
        <v>1</v>
      </c>
      <c r="O149" s="487">
        <v>1</v>
      </c>
      <c r="P149" s="488"/>
      <c r="Q149" s="488"/>
      <c r="R149" s="488"/>
      <c r="S149" s="488"/>
      <c r="T149" s="489"/>
      <c r="U149" s="486">
        <v>1</v>
      </c>
      <c r="V149" s="487"/>
      <c r="W149" s="487">
        <v>1</v>
      </c>
      <c r="X149" s="487"/>
      <c r="Y149" s="488"/>
      <c r="Z149" s="488"/>
      <c r="AA149" s="488"/>
      <c r="AB149" s="488"/>
      <c r="AC149" s="489"/>
      <c r="AD149" s="486">
        <v>152</v>
      </c>
      <c r="AE149" s="487">
        <v>157</v>
      </c>
      <c r="AF149" s="487">
        <v>132</v>
      </c>
      <c r="AG149" s="487">
        <v>116</v>
      </c>
      <c r="AH149" s="488">
        <v>109</v>
      </c>
      <c r="AI149" s="488">
        <v>134</v>
      </c>
      <c r="AJ149" s="488">
        <v>119</v>
      </c>
      <c r="AK149" s="488">
        <v>99</v>
      </c>
      <c r="AL149" s="489"/>
      <c r="AM149" s="486">
        <v>62</v>
      </c>
      <c r="AN149" s="487">
        <v>58</v>
      </c>
      <c r="AO149" s="487">
        <v>80</v>
      </c>
      <c r="AP149" s="487">
        <v>66</v>
      </c>
      <c r="AQ149" s="488">
        <v>63</v>
      </c>
      <c r="AR149" s="488">
        <v>72</v>
      </c>
      <c r="AS149" s="488">
        <v>66</v>
      </c>
      <c r="AT149" s="488">
        <v>35</v>
      </c>
      <c r="AU149" s="489"/>
      <c r="AV149" s="486">
        <v>1</v>
      </c>
      <c r="AW149" s="487"/>
      <c r="AX149" s="487"/>
      <c r="AY149" s="487"/>
      <c r="AZ149" s="488"/>
      <c r="BA149" s="488"/>
      <c r="BB149" s="488"/>
      <c r="BC149" s="488">
        <v>1</v>
      </c>
      <c r="BD149" s="489"/>
      <c r="BE149" s="486">
        <v>15</v>
      </c>
      <c r="BF149" s="487">
        <v>13</v>
      </c>
      <c r="BG149" s="487">
        <v>8</v>
      </c>
      <c r="BH149" s="487">
        <v>16</v>
      </c>
      <c r="BI149" s="488">
        <v>13</v>
      </c>
      <c r="BJ149" s="488">
        <v>5</v>
      </c>
      <c r="BK149" s="488">
        <v>10</v>
      </c>
      <c r="BL149" s="488">
        <v>4</v>
      </c>
      <c r="BM149" s="489"/>
      <c r="BN149" s="486"/>
      <c r="BO149" s="487"/>
      <c r="BP149" s="487"/>
      <c r="BQ149" s="487"/>
      <c r="BR149" s="488">
        <v>1</v>
      </c>
      <c r="BS149" s="488"/>
      <c r="BT149" s="488"/>
      <c r="BU149" s="488">
        <v>3</v>
      </c>
      <c r="BV149" s="489"/>
      <c r="BW149" s="486">
        <v>118</v>
      </c>
      <c r="BX149" s="487">
        <v>82</v>
      </c>
      <c r="BY149" s="487">
        <v>67</v>
      </c>
      <c r="BZ149" s="487">
        <v>50</v>
      </c>
      <c r="CA149" s="488">
        <v>60</v>
      </c>
      <c r="CB149" s="488">
        <v>45</v>
      </c>
      <c r="CC149" s="488">
        <v>45</v>
      </c>
      <c r="CD149" s="488">
        <v>41</v>
      </c>
      <c r="CE149" s="489"/>
      <c r="CF149" s="486">
        <v>3</v>
      </c>
      <c r="CG149" s="487">
        <v>9</v>
      </c>
      <c r="CH149" s="487">
        <v>8</v>
      </c>
      <c r="CI149" s="487">
        <v>6</v>
      </c>
      <c r="CJ149" s="488">
        <v>2</v>
      </c>
      <c r="CK149" s="488">
        <v>5</v>
      </c>
      <c r="CL149" s="488">
        <v>2</v>
      </c>
      <c r="CM149" s="488">
        <v>1</v>
      </c>
      <c r="CN149" s="489"/>
      <c r="CO149" s="486">
        <v>20</v>
      </c>
      <c r="CP149" s="487">
        <v>5</v>
      </c>
      <c r="CQ149" s="487">
        <v>3</v>
      </c>
      <c r="CR149" s="487">
        <v>1</v>
      </c>
      <c r="CS149" s="488">
        <v>3</v>
      </c>
      <c r="CT149" s="488">
        <v>3</v>
      </c>
      <c r="CU149" s="488">
        <v>2</v>
      </c>
      <c r="CV149" s="488">
        <v>4</v>
      </c>
      <c r="CW149" s="489"/>
      <c r="CX149" s="486">
        <v>1413</v>
      </c>
      <c r="CY149" s="487">
        <v>1091</v>
      </c>
      <c r="CZ149" s="487">
        <v>1080</v>
      </c>
      <c r="DA149" s="487">
        <v>1142</v>
      </c>
      <c r="DB149" s="488">
        <v>1092</v>
      </c>
      <c r="DC149" s="488">
        <v>992</v>
      </c>
      <c r="DD149" s="488">
        <v>777</v>
      </c>
      <c r="DE149" s="488">
        <v>597</v>
      </c>
      <c r="DF149" s="489"/>
      <c r="DG149" s="486">
        <v>9</v>
      </c>
      <c r="DH149" s="487">
        <v>9</v>
      </c>
      <c r="DI149" s="487">
        <v>7</v>
      </c>
      <c r="DJ149" s="487">
        <v>11</v>
      </c>
      <c r="DK149" s="488">
        <v>4</v>
      </c>
      <c r="DL149" s="488">
        <v>8</v>
      </c>
      <c r="DM149" s="488">
        <v>3</v>
      </c>
      <c r="DN149" s="488">
        <v>2</v>
      </c>
      <c r="DO149" s="489"/>
      <c r="DP149" s="486">
        <v>69</v>
      </c>
      <c r="DQ149" s="487">
        <v>16</v>
      </c>
      <c r="DR149" s="487">
        <v>16</v>
      </c>
      <c r="DS149" s="487">
        <v>12</v>
      </c>
      <c r="DT149" s="488">
        <v>24</v>
      </c>
      <c r="DU149" s="488">
        <v>23</v>
      </c>
      <c r="DV149" s="488">
        <v>7</v>
      </c>
      <c r="DW149" s="488">
        <v>16</v>
      </c>
      <c r="DX149" s="489"/>
      <c r="DY149" s="486">
        <v>127</v>
      </c>
      <c r="DZ149" s="487">
        <v>88</v>
      </c>
      <c r="EA149" s="487">
        <v>127</v>
      </c>
      <c r="EB149" s="487">
        <v>132</v>
      </c>
      <c r="EC149" s="488">
        <v>212</v>
      </c>
      <c r="ED149" s="488">
        <v>228</v>
      </c>
      <c r="EE149" s="488">
        <v>166</v>
      </c>
      <c r="EF149" s="488">
        <v>113</v>
      </c>
      <c r="EG149" s="489"/>
      <c r="EH149" s="486">
        <v>21</v>
      </c>
      <c r="EI149" s="487">
        <v>18</v>
      </c>
      <c r="EJ149" s="487">
        <v>17</v>
      </c>
      <c r="EK149" s="487">
        <v>22</v>
      </c>
      <c r="EL149" s="488">
        <v>11</v>
      </c>
      <c r="EM149" s="488">
        <v>6</v>
      </c>
      <c r="EN149" s="488">
        <v>6</v>
      </c>
      <c r="EO149" s="488">
        <v>10</v>
      </c>
      <c r="EP149" s="489"/>
      <c r="EQ149" s="486">
        <v>5</v>
      </c>
      <c r="ER149" s="487"/>
      <c r="ES149" s="487">
        <v>2</v>
      </c>
      <c r="ET149" s="487">
        <v>4</v>
      </c>
      <c r="EU149" s="488">
        <v>4</v>
      </c>
      <c r="EV149" s="488">
        <v>1</v>
      </c>
      <c r="EW149" s="488">
        <v>1</v>
      </c>
      <c r="EX149" s="488">
        <v>7</v>
      </c>
      <c r="EY149" s="489"/>
      <c r="EZ149" s="486">
        <v>17</v>
      </c>
      <c r="FA149" s="487">
        <v>4</v>
      </c>
      <c r="FB149" s="487">
        <v>11</v>
      </c>
      <c r="FC149" s="487">
        <v>8</v>
      </c>
      <c r="FD149" s="488">
        <v>5</v>
      </c>
      <c r="FE149" s="488"/>
      <c r="FF149" s="488">
        <v>5</v>
      </c>
      <c r="FG149" s="488">
        <v>3</v>
      </c>
      <c r="FH149" s="489"/>
      <c r="FI149" s="486">
        <v>99</v>
      </c>
      <c r="FJ149" s="487">
        <v>92</v>
      </c>
      <c r="FK149" s="487">
        <v>73</v>
      </c>
      <c r="FL149" s="487">
        <v>49</v>
      </c>
      <c r="FM149" s="488">
        <v>44</v>
      </c>
      <c r="FN149" s="488">
        <v>54</v>
      </c>
      <c r="FO149" s="488">
        <v>58</v>
      </c>
      <c r="FP149" s="488">
        <v>105</v>
      </c>
      <c r="FQ149" s="489"/>
      <c r="FR149" s="486">
        <v>23</v>
      </c>
      <c r="FS149" s="487">
        <v>8</v>
      </c>
      <c r="FT149" s="487">
        <v>5</v>
      </c>
      <c r="FU149" s="487">
        <v>4</v>
      </c>
      <c r="FV149" s="488">
        <v>4</v>
      </c>
      <c r="FW149" s="488">
        <v>2</v>
      </c>
      <c r="FX149" s="488">
        <v>3</v>
      </c>
      <c r="FY149" s="488">
        <v>3</v>
      </c>
      <c r="FZ149" s="489"/>
      <c r="GA149" s="486">
        <v>27</v>
      </c>
      <c r="GB149" s="487">
        <v>14</v>
      </c>
      <c r="GC149" s="487">
        <v>12</v>
      </c>
      <c r="GD149" s="487">
        <v>6</v>
      </c>
      <c r="GE149" s="488">
        <v>6</v>
      </c>
      <c r="GF149" s="488">
        <v>4</v>
      </c>
      <c r="GG149" s="488">
        <v>7</v>
      </c>
      <c r="GH149" s="488">
        <v>16</v>
      </c>
      <c r="GI149" s="489"/>
      <c r="GJ149" s="486">
        <v>1915</v>
      </c>
      <c r="GK149" s="487">
        <v>1494</v>
      </c>
      <c r="GL149" s="487">
        <v>1420</v>
      </c>
      <c r="GM149" s="487">
        <v>1425</v>
      </c>
      <c r="GN149" s="488">
        <v>1354</v>
      </c>
      <c r="GO149" s="488">
        <v>1251</v>
      </c>
      <c r="GP149" s="488">
        <v>1035</v>
      </c>
      <c r="GQ149" s="488">
        <v>893</v>
      </c>
      <c r="GR149" s="489"/>
      <c r="GS149" s="486">
        <v>541</v>
      </c>
      <c r="GT149" s="487">
        <v>480</v>
      </c>
      <c r="GU149" s="487">
        <v>386</v>
      </c>
      <c r="GV149" s="487">
        <v>299</v>
      </c>
      <c r="GW149" s="488">
        <v>236</v>
      </c>
      <c r="GX149" s="488">
        <v>224</v>
      </c>
      <c r="GY149" s="488">
        <v>186</v>
      </c>
      <c r="GZ149" s="488">
        <v>200</v>
      </c>
      <c r="HA149" s="489"/>
      <c r="HB149" s="486">
        <v>5</v>
      </c>
      <c r="HC149" s="487">
        <v>4</v>
      </c>
      <c r="HD149" s="487">
        <v>4</v>
      </c>
      <c r="HE149" s="487">
        <v>1</v>
      </c>
      <c r="HF149" s="488">
        <v>5</v>
      </c>
      <c r="HG149" s="488"/>
      <c r="HH149" s="488">
        <v>2</v>
      </c>
      <c r="HI149" s="488"/>
      <c r="HJ149" s="489"/>
      <c r="HK149" s="486">
        <v>5</v>
      </c>
      <c r="HL149" s="487"/>
      <c r="HM149" s="487">
        <v>2</v>
      </c>
      <c r="HN149" s="487">
        <v>1</v>
      </c>
      <c r="HO149" s="488">
        <v>2</v>
      </c>
      <c r="HP149" s="488">
        <v>1</v>
      </c>
      <c r="HQ149" s="488"/>
      <c r="HR149" s="488">
        <v>2</v>
      </c>
      <c r="HS149" s="489"/>
      <c r="HT149" s="486">
        <v>764</v>
      </c>
      <c r="HU149" s="487">
        <v>631</v>
      </c>
      <c r="HV149" s="487">
        <v>515</v>
      </c>
      <c r="HW149" s="487">
        <v>438</v>
      </c>
      <c r="HX149" s="488">
        <v>434</v>
      </c>
      <c r="HY149" s="488">
        <v>388</v>
      </c>
      <c r="HZ149" s="488">
        <v>352</v>
      </c>
      <c r="IA149" s="488">
        <v>371</v>
      </c>
      <c r="IB149" s="489"/>
      <c r="IC149" s="486">
        <v>4083</v>
      </c>
      <c r="ID149" s="487">
        <v>3229</v>
      </c>
      <c r="IE149" s="487">
        <v>2571</v>
      </c>
      <c r="IF149" s="487">
        <v>2181</v>
      </c>
      <c r="IG149" s="488">
        <v>2956</v>
      </c>
      <c r="IH149" s="488">
        <v>1966</v>
      </c>
      <c r="II149" s="488">
        <v>1834</v>
      </c>
      <c r="IJ149" s="488">
        <v>1618</v>
      </c>
      <c r="IK149" s="489"/>
      <c r="IL149" s="486">
        <v>364</v>
      </c>
      <c r="IM149" s="487">
        <v>255</v>
      </c>
      <c r="IN149" s="487">
        <v>286</v>
      </c>
      <c r="IO149" s="487">
        <v>203</v>
      </c>
      <c r="IP149" s="488">
        <v>224</v>
      </c>
      <c r="IQ149" s="488">
        <v>313</v>
      </c>
      <c r="IR149" s="488">
        <v>230</v>
      </c>
      <c r="IS149" s="488">
        <v>157</v>
      </c>
      <c r="IT149" s="489"/>
      <c r="IU149" s="526">
        <v>5003.7991127233508</v>
      </c>
      <c r="IV149" s="527">
        <v>3989.7691889487469</v>
      </c>
      <c r="IW149" s="527">
        <v>3210.1385940816581</v>
      </c>
      <c r="IX149" s="527">
        <v>2729.0472734552918</v>
      </c>
      <c r="IY149" s="528">
        <v>3727.7576705297806</v>
      </c>
      <c r="IZ149" s="528">
        <v>2517.9844298770804</v>
      </c>
      <c r="JA149" s="528">
        <v>2419.6208293204218</v>
      </c>
      <c r="JB149" s="528">
        <v>2151.7674282522539</v>
      </c>
      <c r="JC149" s="529"/>
      <c r="JD149" s="530">
        <v>936.29745827103602</v>
      </c>
      <c r="JE149" s="531">
        <v>779.66688083823465</v>
      </c>
      <c r="JF149" s="531">
        <v>643.02659508053443</v>
      </c>
      <c r="JG149" s="531">
        <v>548.06176330739004</v>
      </c>
      <c r="JH149" s="531">
        <v>547.30948207372285</v>
      </c>
      <c r="JI149" s="532">
        <v>495.94057092164485</v>
      </c>
      <c r="JJ149" s="532">
        <v>464.3983271105717</v>
      </c>
      <c r="JK149" s="532">
        <v>493.39043008750701</v>
      </c>
      <c r="JL149" s="529"/>
      <c r="JM149" s="530">
        <v>2346.8712468442855</v>
      </c>
      <c r="JN149" s="531">
        <v>1845.9941679434585</v>
      </c>
      <c r="JO149" s="531">
        <v>1773.0053689599199</v>
      </c>
      <c r="JP149" s="531">
        <v>1783.0776545959607</v>
      </c>
      <c r="JQ149" s="531">
        <v>1707.5046975295406</v>
      </c>
      <c r="JR149" s="532">
        <v>1602.0155439366229</v>
      </c>
      <c r="JS149" s="532">
        <v>1365.4893993165956</v>
      </c>
      <c r="JT149" s="532">
        <v>1187.5947549006569</v>
      </c>
      <c r="JU149" s="529"/>
      <c r="JV149" s="530">
        <v>663.00644623642734</v>
      </c>
      <c r="JW149" s="531">
        <v>593.09049572480603</v>
      </c>
      <c r="JX149" s="531">
        <v>481.95779747783746</v>
      </c>
      <c r="JY149" s="531">
        <v>374.13348682399459</v>
      </c>
      <c r="JZ149" s="531">
        <v>297.61529439953591</v>
      </c>
      <c r="KA149" s="532">
        <v>288.37872313287875</v>
      </c>
      <c r="KB149" s="532">
        <v>245.3922978481998</v>
      </c>
      <c r="KC149" s="532">
        <v>265.97866851078544</v>
      </c>
      <c r="KD149" s="529"/>
    </row>
    <row r="150" spans="1:290" ht="15" customHeight="1" x14ac:dyDescent="0.2">
      <c r="A150" s="930"/>
      <c r="B150" s="490" t="s">
        <v>751</v>
      </c>
      <c r="C150" s="491"/>
      <c r="D150" s="492">
        <v>3</v>
      </c>
      <c r="E150" s="492"/>
      <c r="F150" s="492"/>
      <c r="G150" s="493">
        <v>1</v>
      </c>
      <c r="H150" s="493">
        <v>1</v>
      </c>
      <c r="I150" s="493"/>
      <c r="J150" s="493"/>
      <c r="K150" s="199"/>
      <c r="L150" s="491"/>
      <c r="M150" s="492">
        <v>3</v>
      </c>
      <c r="N150" s="492"/>
      <c r="O150" s="492"/>
      <c r="P150" s="493"/>
      <c r="Q150" s="493">
        <v>1</v>
      </c>
      <c r="R150" s="493"/>
      <c r="S150" s="493"/>
      <c r="T150" s="199"/>
      <c r="U150" s="491"/>
      <c r="V150" s="492"/>
      <c r="W150" s="492"/>
      <c r="X150" s="492"/>
      <c r="Y150" s="493">
        <v>1</v>
      </c>
      <c r="Z150" s="493"/>
      <c r="AA150" s="493"/>
      <c r="AB150" s="493"/>
      <c r="AC150" s="199"/>
      <c r="AD150" s="491">
        <v>74</v>
      </c>
      <c r="AE150" s="492">
        <v>41</v>
      </c>
      <c r="AF150" s="492">
        <v>60</v>
      </c>
      <c r="AG150" s="492">
        <v>47</v>
      </c>
      <c r="AH150" s="493">
        <v>77</v>
      </c>
      <c r="AI150" s="493">
        <v>55</v>
      </c>
      <c r="AJ150" s="493">
        <v>65</v>
      </c>
      <c r="AK150" s="493">
        <v>69</v>
      </c>
      <c r="AL150" s="199"/>
      <c r="AM150" s="491">
        <v>29</v>
      </c>
      <c r="AN150" s="492">
        <v>6</v>
      </c>
      <c r="AO150" s="492">
        <v>14</v>
      </c>
      <c r="AP150" s="492">
        <v>9</v>
      </c>
      <c r="AQ150" s="493">
        <v>22</v>
      </c>
      <c r="AR150" s="493">
        <v>16</v>
      </c>
      <c r="AS150" s="493">
        <v>13</v>
      </c>
      <c r="AT150" s="493">
        <v>17</v>
      </c>
      <c r="AU150" s="199"/>
      <c r="AV150" s="491"/>
      <c r="AW150" s="492"/>
      <c r="AX150" s="492"/>
      <c r="AY150" s="492"/>
      <c r="AZ150" s="493"/>
      <c r="BA150" s="493"/>
      <c r="BB150" s="493"/>
      <c r="BC150" s="493"/>
      <c r="BD150" s="199"/>
      <c r="BE150" s="491">
        <v>20</v>
      </c>
      <c r="BF150" s="492">
        <v>8</v>
      </c>
      <c r="BG150" s="492">
        <v>13</v>
      </c>
      <c r="BH150" s="492">
        <v>4</v>
      </c>
      <c r="BI150" s="493">
        <v>1</v>
      </c>
      <c r="BJ150" s="493">
        <v>2</v>
      </c>
      <c r="BK150" s="493">
        <v>1</v>
      </c>
      <c r="BL150" s="493">
        <v>1</v>
      </c>
      <c r="BM150" s="199"/>
      <c r="BN150" s="491"/>
      <c r="BO150" s="492"/>
      <c r="BP150" s="492"/>
      <c r="BQ150" s="492"/>
      <c r="BR150" s="493"/>
      <c r="BS150" s="493"/>
      <c r="BT150" s="493"/>
      <c r="BU150" s="493"/>
      <c r="BV150" s="199"/>
      <c r="BW150" s="491">
        <v>61</v>
      </c>
      <c r="BX150" s="492">
        <v>19</v>
      </c>
      <c r="BY150" s="492">
        <v>28</v>
      </c>
      <c r="BZ150" s="492">
        <v>21</v>
      </c>
      <c r="CA150" s="493">
        <v>67</v>
      </c>
      <c r="CB150" s="493">
        <v>20</v>
      </c>
      <c r="CC150" s="493">
        <v>23</v>
      </c>
      <c r="CD150" s="493">
        <v>28</v>
      </c>
      <c r="CE150" s="199"/>
      <c r="CF150" s="491">
        <v>3</v>
      </c>
      <c r="CG150" s="492">
        <v>3</v>
      </c>
      <c r="CH150" s="492">
        <v>5</v>
      </c>
      <c r="CI150" s="492">
        <v>8</v>
      </c>
      <c r="CJ150" s="493">
        <v>1</v>
      </c>
      <c r="CK150" s="493">
        <v>1</v>
      </c>
      <c r="CL150" s="493">
        <v>3</v>
      </c>
      <c r="CM150" s="493">
        <v>1</v>
      </c>
      <c r="CN150" s="199"/>
      <c r="CO150" s="491">
        <v>5</v>
      </c>
      <c r="CP150" s="492">
        <v>17</v>
      </c>
      <c r="CQ150" s="492"/>
      <c r="CR150" s="492">
        <v>1</v>
      </c>
      <c r="CS150" s="493"/>
      <c r="CT150" s="493"/>
      <c r="CU150" s="493">
        <v>1</v>
      </c>
      <c r="CV150" s="493"/>
      <c r="CW150" s="199"/>
      <c r="CX150" s="491">
        <v>313</v>
      </c>
      <c r="CY150" s="492">
        <v>236</v>
      </c>
      <c r="CZ150" s="492">
        <v>339</v>
      </c>
      <c r="DA150" s="492">
        <v>228</v>
      </c>
      <c r="DB150" s="493">
        <v>198</v>
      </c>
      <c r="DC150" s="493">
        <v>181</v>
      </c>
      <c r="DD150" s="493">
        <v>124</v>
      </c>
      <c r="DE150" s="493">
        <v>134</v>
      </c>
      <c r="DF150" s="199"/>
      <c r="DG150" s="491"/>
      <c r="DH150" s="492"/>
      <c r="DI150" s="492"/>
      <c r="DJ150" s="492"/>
      <c r="DK150" s="493"/>
      <c r="DL150" s="493">
        <v>1</v>
      </c>
      <c r="DM150" s="493">
        <v>1</v>
      </c>
      <c r="DN150" s="493"/>
      <c r="DO150" s="199"/>
      <c r="DP150" s="491">
        <v>1</v>
      </c>
      <c r="DQ150" s="492">
        <v>1</v>
      </c>
      <c r="DR150" s="492">
        <v>5</v>
      </c>
      <c r="DS150" s="492">
        <v>4</v>
      </c>
      <c r="DT150" s="493">
        <v>5</v>
      </c>
      <c r="DU150" s="493">
        <v>1</v>
      </c>
      <c r="DV150" s="493">
        <v>2</v>
      </c>
      <c r="DW150" s="493"/>
      <c r="DX150" s="199"/>
      <c r="DY150" s="491">
        <v>50</v>
      </c>
      <c r="DZ150" s="492">
        <v>26</v>
      </c>
      <c r="EA150" s="492">
        <v>33</v>
      </c>
      <c r="EB150" s="492">
        <v>27</v>
      </c>
      <c r="EC150" s="493">
        <v>31</v>
      </c>
      <c r="ED150" s="493">
        <v>34</v>
      </c>
      <c r="EE150" s="493">
        <v>19</v>
      </c>
      <c r="EF150" s="493">
        <v>14</v>
      </c>
      <c r="EG150" s="199"/>
      <c r="EH150" s="491">
        <v>3</v>
      </c>
      <c r="EI150" s="492">
        <v>1</v>
      </c>
      <c r="EJ150" s="492"/>
      <c r="EK150" s="492">
        <v>2</v>
      </c>
      <c r="EL150" s="493">
        <v>3</v>
      </c>
      <c r="EM150" s="493"/>
      <c r="EN150" s="493">
        <v>2</v>
      </c>
      <c r="EO150" s="493">
        <v>1</v>
      </c>
      <c r="EP150" s="199"/>
      <c r="EQ150" s="491"/>
      <c r="ER150" s="492">
        <v>2</v>
      </c>
      <c r="ES150" s="492"/>
      <c r="ET150" s="492">
        <v>1</v>
      </c>
      <c r="EU150" s="493"/>
      <c r="EV150" s="493">
        <v>1</v>
      </c>
      <c r="EW150" s="493"/>
      <c r="EX150" s="493">
        <v>1</v>
      </c>
      <c r="EY150" s="199"/>
      <c r="EZ150" s="491">
        <v>6</v>
      </c>
      <c r="FA150" s="492">
        <v>2</v>
      </c>
      <c r="FB150" s="492">
        <v>5</v>
      </c>
      <c r="FC150" s="492">
        <v>4</v>
      </c>
      <c r="FD150" s="493">
        <v>4</v>
      </c>
      <c r="FE150" s="493"/>
      <c r="FF150" s="493">
        <v>2</v>
      </c>
      <c r="FG150" s="493">
        <v>1</v>
      </c>
      <c r="FH150" s="199"/>
      <c r="FI150" s="491">
        <v>34</v>
      </c>
      <c r="FJ150" s="492">
        <v>38</v>
      </c>
      <c r="FK150" s="492">
        <v>22</v>
      </c>
      <c r="FL150" s="492">
        <v>10</v>
      </c>
      <c r="FM150" s="493">
        <v>15</v>
      </c>
      <c r="FN150" s="493">
        <v>14</v>
      </c>
      <c r="FO150" s="493">
        <v>13</v>
      </c>
      <c r="FP150" s="493">
        <v>18</v>
      </c>
      <c r="FQ150" s="199"/>
      <c r="FR150" s="491">
        <v>1</v>
      </c>
      <c r="FS150" s="492">
        <v>2</v>
      </c>
      <c r="FT150" s="492">
        <v>3</v>
      </c>
      <c r="FU150" s="492">
        <v>2</v>
      </c>
      <c r="FV150" s="493">
        <v>1</v>
      </c>
      <c r="FW150" s="493"/>
      <c r="FX150" s="493"/>
      <c r="FY150" s="493"/>
      <c r="FZ150" s="199"/>
      <c r="GA150" s="491">
        <v>6</v>
      </c>
      <c r="GB150" s="492">
        <v>2</v>
      </c>
      <c r="GC150" s="492">
        <v>1</v>
      </c>
      <c r="GD150" s="492">
        <v>1</v>
      </c>
      <c r="GE150" s="493">
        <v>4</v>
      </c>
      <c r="GF150" s="493">
        <v>3</v>
      </c>
      <c r="GG150" s="493">
        <v>6</v>
      </c>
      <c r="GH150" s="493">
        <v>8</v>
      </c>
      <c r="GI150" s="199"/>
      <c r="GJ150" s="491">
        <v>526</v>
      </c>
      <c r="GK150" s="492">
        <v>374</v>
      </c>
      <c r="GL150" s="492">
        <v>476</v>
      </c>
      <c r="GM150" s="492">
        <v>329</v>
      </c>
      <c r="GN150" s="493">
        <v>372</v>
      </c>
      <c r="GO150" s="493">
        <v>278</v>
      </c>
      <c r="GP150" s="493">
        <v>240</v>
      </c>
      <c r="GQ150" s="493">
        <v>262</v>
      </c>
      <c r="GR150" s="199"/>
      <c r="GS150" s="491">
        <v>163</v>
      </c>
      <c r="GT150" s="492">
        <v>117</v>
      </c>
      <c r="GU150" s="492">
        <v>117</v>
      </c>
      <c r="GV150" s="492">
        <v>54</v>
      </c>
      <c r="GW150" s="493">
        <v>58</v>
      </c>
      <c r="GX150" s="493">
        <v>37</v>
      </c>
      <c r="GY150" s="493">
        <v>74</v>
      </c>
      <c r="GZ150" s="493">
        <v>66</v>
      </c>
      <c r="HA150" s="199"/>
      <c r="HB150" s="491"/>
      <c r="HC150" s="492"/>
      <c r="HD150" s="492"/>
      <c r="HE150" s="492">
        <v>1</v>
      </c>
      <c r="HF150" s="493"/>
      <c r="HG150" s="493"/>
      <c r="HH150" s="493">
        <v>1</v>
      </c>
      <c r="HI150" s="493"/>
      <c r="HJ150" s="199"/>
      <c r="HK150" s="491">
        <v>2</v>
      </c>
      <c r="HL150" s="492"/>
      <c r="HM150" s="492">
        <v>1</v>
      </c>
      <c r="HN150" s="492">
        <v>1</v>
      </c>
      <c r="HO150" s="493"/>
      <c r="HP150" s="493"/>
      <c r="HQ150" s="493"/>
      <c r="HR150" s="493">
        <v>1</v>
      </c>
      <c r="HS150" s="199"/>
      <c r="HT150" s="491">
        <v>235</v>
      </c>
      <c r="HU150" s="492">
        <v>154</v>
      </c>
      <c r="HV150" s="492">
        <v>166</v>
      </c>
      <c r="HW150" s="492">
        <v>109</v>
      </c>
      <c r="HX150" s="493">
        <v>130</v>
      </c>
      <c r="HY150" s="493">
        <v>94</v>
      </c>
      <c r="HZ150" s="493">
        <v>161</v>
      </c>
      <c r="IA150" s="493">
        <v>131</v>
      </c>
      <c r="IB150" s="199"/>
      <c r="IC150" s="491">
        <v>923</v>
      </c>
      <c r="ID150" s="492">
        <v>709</v>
      </c>
      <c r="IE150" s="492">
        <v>814</v>
      </c>
      <c r="IF150" s="492">
        <v>594</v>
      </c>
      <c r="IG150" s="493">
        <v>611</v>
      </c>
      <c r="IH150" s="493">
        <v>496</v>
      </c>
      <c r="II150" s="493">
        <v>451</v>
      </c>
      <c r="IJ150" s="493">
        <v>562</v>
      </c>
      <c r="IK150" s="199"/>
      <c r="IL150" s="491">
        <v>72</v>
      </c>
      <c r="IM150" s="492">
        <v>42</v>
      </c>
      <c r="IN150" s="492">
        <v>57</v>
      </c>
      <c r="IO150" s="492">
        <v>55</v>
      </c>
      <c r="IP150" s="493">
        <v>46</v>
      </c>
      <c r="IQ150" s="493">
        <v>57</v>
      </c>
      <c r="IR150" s="493">
        <v>26</v>
      </c>
      <c r="IS150" s="493">
        <v>28</v>
      </c>
      <c r="IT150" s="199"/>
      <c r="IU150" s="533">
        <v>2587.5360937456194</v>
      </c>
      <c r="IV150" s="534">
        <v>2012.0895649459376</v>
      </c>
      <c r="IW150" s="534">
        <v>2330.3083221207521</v>
      </c>
      <c r="IX150" s="534">
        <v>1680.9576364716868</v>
      </c>
      <c r="IY150" s="535">
        <v>1744.1694499157888</v>
      </c>
      <c r="IZ150" s="535">
        <v>1436.423546818588</v>
      </c>
      <c r="JA150" s="535">
        <v>1474.1452572399817</v>
      </c>
      <c r="JB150" s="535">
        <v>1856.9304477118783</v>
      </c>
      <c r="JC150" s="536"/>
      <c r="JD150" s="537">
        <v>658.79846373805049</v>
      </c>
      <c r="JE150" s="538">
        <v>437.04061072168457</v>
      </c>
      <c r="JF150" s="538">
        <v>475.22258166098879</v>
      </c>
      <c r="JG150" s="538">
        <v>308.45855618756542</v>
      </c>
      <c r="JH150" s="538">
        <v>371.09988296080616</v>
      </c>
      <c r="JI150" s="539">
        <v>265.11031480342541</v>
      </c>
      <c r="JJ150" s="539">
        <v>526.24697653134604</v>
      </c>
      <c r="JK150" s="539">
        <v>432.84321823888985</v>
      </c>
      <c r="JL150" s="536"/>
      <c r="JM150" s="537">
        <v>1474.5871996860194</v>
      </c>
      <c r="JN150" s="538">
        <v>1061.384340324091</v>
      </c>
      <c r="JO150" s="538">
        <v>1362.6864389797029</v>
      </c>
      <c r="JP150" s="538">
        <v>931.03545858448661</v>
      </c>
      <c r="JQ150" s="538">
        <v>1061.9165881647684</v>
      </c>
      <c r="JR150" s="539">
        <v>803.3045494897508</v>
      </c>
      <c r="JS150" s="539">
        <v>784.46754265542268</v>
      </c>
      <c r="JT150" s="539">
        <v>865.68643647777969</v>
      </c>
      <c r="JU150" s="536"/>
      <c r="JV150" s="537">
        <v>456.95382803958398</v>
      </c>
      <c r="JW150" s="538">
        <v>332.03734710673439</v>
      </c>
      <c r="JX150" s="538">
        <v>334.94603647190172</v>
      </c>
      <c r="JY150" s="538">
        <v>152.81433058833517</v>
      </c>
      <c r="JZ150" s="538">
        <v>165.5676400902058</v>
      </c>
      <c r="KA150" s="539">
        <v>99.596526555235258</v>
      </c>
      <c r="KB150" s="539">
        <v>241.87749231875532</v>
      </c>
      <c r="KC150" s="539">
        <v>218.07368247150171</v>
      </c>
      <c r="KD150" s="536"/>
    </row>
    <row r="151" spans="1:290" ht="15" customHeight="1" x14ac:dyDescent="0.2">
      <c r="A151" s="930"/>
      <c r="B151" s="490" t="s">
        <v>752</v>
      </c>
      <c r="C151" s="491">
        <v>1</v>
      </c>
      <c r="D151" s="492">
        <v>2</v>
      </c>
      <c r="E151" s="492"/>
      <c r="F151" s="492">
        <v>2</v>
      </c>
      <c r="G151" s="493"/>
      <c r="H151" s="493"/>
      <c r="I151" s="493"/>
      <c r="J151" s="493"/>
      <c r="K151" s="199"/>
      <c r="L151" s="491"/>
      <c r="M151" s="492">
        <v>2</v>
      </c>
      <c r="N151" s="492"/>
      <c r="O151" s="492">
        <v>1</v>
      </c>
      <c r="P151" s="493"/>
      <c r="Q151" s="493"/>
      <c r="R151" s="493"/>
      <c r="S151" s="493"/>
      <c r="T151" s="199"/>
      <c r="U151" s="491">
        <v>1</v>
      </c>
      <c r="V151" s="492"/>
      <c r="W151" s="492"/>
      <c r="X151" s="492"/>
      <c r="Y151" s="493"/>
      <c r="Z151" s="493"/>
      <c r="AA151" s="493"/>
      <c r="AB151" s="493"/>
      <c r="AC151" s="199"/>
      <c r="AD151" s="491">
        <v>52</v>
      </c>
      <c r="AE151" s="492">
        <v>81</v>
      </c>
      <c r="AF151" s="492">
        <v>91</v>
      </c>
      <c r="AG151" s="492">
        <v>60</v>
      </c>
      <c r="AH151" s="493">
        <v>61</v>
      </c>
      <c r="AI151" s="493">
        <v>34</v>
      </c>
      <c r="AJ151" s="493">
        <v>43</v>
      </c>
      <c r="AK151" s="493">
        <v>49</v>
      </c>
      <c r="AL151" s="199"/>
      <c r="AM151" s="491">
        <v>16</v>
      </c>
      <c r="AN151" s="492">
        <v>33</v>
      </c>
      <c r="AO151" s="492">
        <v>23</v>
      </c>
      <c r="AP151" s="492">
        <v>22</v>
      </c>
      <c r="AQ151" s="493">
        <v>20</v>
      </c>
      <c r="AR151" s="493">
        <v>7</v>
      </c>
      <c r="AS151" s="493">
        <v>11</v>
      </c>
      <c r="AT151" s="493">
        <v>14</v>
      </c>
      <c r="AU151" s="199"/>
      <c r="AV151" s="491"/>
      <c r="AW151" s="492"/>
      <c r="AX151" s="492"/>
      <c r="AY151" s="492"/>
      <c r="AZ151" s="493"/>
      <c r="BA151" s="493"/>
      <c r="BB151" s="493"/>
      <c r="BC151" s="493"/>
      <c r="BD151" s="199"/>
      <c r="BE151" s="491">
        <v>4</v>
      </c>
      <c r="BF151" s="492">
        <v>14</v>
      </c>
      <c r="BG151" s="492">
        <v>2</v>
      </c>
      <c r="BH151" s="492">
        <v>3</v>
      </c>
      <c r="BI151" s="493">
        <v>10</v>
      </c>
      <c r="BJ151" s="493">
        <v>14</v>
      </c>
      <c r="BK151" s="493">
        <v>1</v>
      </c>
      <c r="BL151" s="493">
        <v>9</v>
      </c>
      <c r="BM151" s="199"/>
      <c r="BN151" s="491"/>
      <c r="BO151" s="492"/>
      <c r="BP151" s="492"/>
      <c r="BQ151" s="492"/>
      <c r="BR151" s="493"/>
      <c r="BS151" s="493"/>
      <c r="BT151" s="493"/>
      <c r="BU151" s="493"/>
      <c r="BV151" s="199"/>
      <c r="BW151" s="491">
        <v>40</v>
      </c>
      <c r="BX151" s="492">
        <v>46</v>
      </c>
      <c r="BY151" s="492">
        <v>64</v>
      </c>
      <c r="BZ151" s="492">
        <v>56</v>
      </c>
      <c r="CA151" s="493">
        <v>46</v>
      </c>
      <c r="CB151" s="493">
        <v>24</v>
      </c>
      <c r="CC151" s="493">
        <v>22</v>
      </c>
      <c r="CD151" s="493">
        <v>34</v>
      </c>
      <c r="CE151" s="199"/>
      <c r="CF151" s="491">
        <v>4</v>
      </c>
      <c r="CG151" s="492">
        <v>9</v>
      </c>
      <c r="CH151" s="492">
        <v>7</v>
      </c>
      <c r="CI151" s="492">
        <v>3</v>
      </c>
      <c r="CJ151" s="493">
        <v>1</v>
      </c>
      <c r="CK151" s="493">
        <v>1</v>
      </c>
      <c r="CL151" s="493"/>
      <c r="CM151" s="493">
        <v>2</v>
      </c>
      <c r="CN151" s="199"/>
      <c r="CO151" s="491">
        <v>12</v>
      </c>
      <c r="CP151" s="492">
        <v>9</v>
      </c>
      <c r="CQ151" s="492"/>
      <c r="CR151" s="492">
        <v>1</v>
      </c>
      <c r="CS151" s="493"/>
      <c r="CT151" s="493"/>
      <c r="CU151" s="493"/>
      <c r="CV151" s="493">
        <v>4</v>
      </c>
      <c r="CW151" s="199"/>
      <c r="CX151" s="491">
        <v>508</v>
      </c>
      <c r="CY151" s="492">
        <v>546</v>
      </c>
      <c r="CZ151" s="492">
        <v>624</v>
      </c>
      <c r="DA151" s="492">
        <v>560</v>
      </c>
      <c r="DB151" s="493">
        <v>377</v>
      </c>
      <c r="DC151" s="493">
        <v>327</v>
      </c>
      <c r="DD151" s="493">
        <v>237</v>
      </c>
      <c r="DE151" s="493">
        <v>251</v>
      </c>
      <c r="DF151" s="199"/>
      <c r="DG151" s="491">
        <v>2</v>
      </c>
      <c r="DH151" s="492"/>
      <c r="DI151" s="492">
        <v>2</v>
      </c>
      <c r="DJ151" s="492">
        <v>2</v>
      </c>
      <c r="DK151" s="493">
        <v>1</v>
      </c>
      <c r="DL151" s="493">
        <v>1</v>
      </c>
      <c r="DM151" s="493">
        <v>2</v>
      </c>
      <c r="DN151" s="493">
        <v>1</v>
      </c>
      <c r="DO151" s="199"/>
      <c r="DP151" s="491">
        <v>10</v>
      </c>
      <c r="DQ151" s="492">
        <v>14</v>
      </c>
      <c r="DR151" s="492">
        <v>2</v>
      </c>
      <c r="DS151" s="492">
        <v>10</v>
      </c>
      <c r="DT151" s="493">
        <v>5</v>
      </c>
      <c r="DU151" s="493">
        <v>4</v>
      </c>
      <c r="DV151" s="493">
        <v>1</v>
      </c>
      <c r="DW151" s="493">
        <v>1</v>
      </c>
      <c r="DX151" s="199"/>
      <c r="DY151" s="491">
        <v>25</v>
      </c>
      <c r="DZ151" s="492">
        <v>80</v>
      </c>
      <c r="EA151" s="492">
        <v>74</v>
      </c>
      <c r="EB151" s="492">
        <v>77</v>
      </c>
      <c r="EC151" s="493">
        <v>74</v>
      </c>
      <c r="ED151" s="493">
        <v>88</v>
      </c>
      <c r="EE151" s="493">
        <v>59</v>
      </c>
      <c r="EF151" s="493">
        <v>54</v>
      </c>
      <c r="EG151" s="199"/>
      <c r="EH151" s="491">
        <v>6</v>
      </c>
      <c r="EI151" s="492">
        <v>9</v>
      </c>
      <c r="EJ151" s="492">
        <v>2</v>
      </c>
      <c r="EK151" s="492">
        <v>5</v>
      </c>
      <c r="EL151" s="493">
        <v>1</v>
      </c>
      <c r="EM151" s="493"/>
      <c r="EN151" s="493">
        <v>2</v>
      </c>
      <c r="EO151" s="493">
        <v>1</v>
      </c>
      <c r="EP151" s="199"/>
      <c r="EQ151" s="491">
        <v>1</v>
      </c>
      <c r="ER151" s="492">
        <v>4</v>
      </c>
      <c r="ES151" s="492"/>
      <c r="ET151" s="492">
        <v>1</v>
      </c>
      <c r="EU151" s="493">
        <v>2</v>
      </c>
      <c r="EV151" s="493"/>
      <c r="EW151" s="493"/>
      <c r="EX151" s="493"/>
      <c r="EY151" s="199"/>
      <c r="EZ151" s="491">
        <v>35</v>
      </c>
      <c r="FA151" s="492">
        <v>18</v>
      </c>
      <c r="FB151" s="492">
        <v>12</v>
      </c>
      <c r="FC151" s="492">
        <v>5</v>
      </c>
      <c r="FD151" s="493">
        <v>5</v>
      </c>
      <c r="FE151" s="493">
        <v>1</v>
      </c>
      <c r="FF151" s="493">
        <v>4</v>
      </c>
      <c r="FG151" s="493"/>
      <c r="FH151" s="199"/>
      <c r="FI151" s="491">
        <v>29</v>
      </c>
      <c r="FJ151" s="492">
        <v>36</v>
      </c>
      <c r="FK151" s="492">
        <v>24</v>
      </c>
      <c r="FL151" s="492">
        <v>23</v>
      </c>
      <c r="FM151" s="493">
        <v>9</v>
      </c>
      <c r="FN151" s="493">
        <v>15</v>
      </c>
      <c r="FO151" s="493">
        <v>35</v>
      </c>
      <c r="FP151" s="493">
        <v>13</v>
      </c>
      <c r="FQ151" s="199"/>
      <c r="FR151" s="491">
        <v>6</v>
      </c>
      <c r="FS151" s="492">
        <v>3</v>
      </c>
      <c r="FT151" s="492">
        <v>12</v>
      </c>
      <c r="FU151" s="492">
        <v>5</v>
      </c>
      <c r="FV151" s="493">
        <v>1</v>
      </c>
      <c r="FW151" s="493">
        <v>1</v>
      </c>
      <c r="FX151" s="493">
        <v>2</v>
      </c>
      <c r="FY151" s="493"/>
      <c r="FZ151" s="199"/>
      <c r="GA151" s="491">
        <v>4</v>
      </c>
      <c r="GB151" s="492">
        <v>3</v>
      </c>
      <c r="GC151" s="492">
        <v>2</v>
      </c>
      <c r="GD151" s="492">
        <v>6</v>
      </c>
      <c r="GE151" s="493">
        <v>9</v>
      </c>
      <c r="GF151" s="493">
        <v>3</v>
      </c>
      <c r="GG151" s="493">
        <v>2</v>
      </c>
      <c r="GH151" s="493">
        <v>6</v>
      </c>
      <c r="GI151" s="199"/>
      <c r="GJ151" s="491">
        <v>702</v>
      </c>
      <c r="GK151" s="492">
        <v>780</v>
      </c>
      <c r="GL151" s="492">
        <v>840</v>
      </c>
      <c r="GM151" s="492">
        <v>730</v>
      </c>
      <c r="GN151" s="493">
        <v>522</v>
      </c>
      <c r="GO151" s="493">
        <v>420</v>
      </c>
      <c r="GP151" s="493">
        <v>348</v>
      </c>
      <c r="GQ151" s="493">
        <v>369</v>
      </c>
      <c r="GR151" s="199"/>
      <c r="GS151" s="491">
        <v>215</v>
      </c>
      <c r="GT151" s="492">
        <v>198</v>
      </c>
      <c r="GU151" s="492">
        <v>201</v>
      </c>
      <c r="GV151" s="492">
        <v>194</v>
      </c>
      <c r="GW151" s="493">
        <v>94</v>
      </c>
      <c r="GX151" s="493">
        <v>54</v>
      </c>
      <c r="GY151" s="493">
        <v>85</v>
      </c>
      <c r="GZ151" s="493">
        <v>74</v>
      </c>
      <c r="HA151" s="199"/>
      <c r="HB151" s="491">
        <v>2</v>
      </c>
      <c r="HC151" s="492"/>
      <c r="HD151" s="492">
        <v>1</v>
      </c>
      <c r="HE151" s="492"/>
      <c r="HF151" s="493"/>
      <c r="HG151" s="493"/>
      <c r="HH151" s="493">
        <v>1</v>
      </c>
      <c r="HI151" s="493">
        <v>2</v>
      </c>
      <c r="HJ151" s="199"/>
      <c r="HK151" s="491">
        <v>1</v>
      </c>
      <c r="HL151" s="492"/>
      <c r="HM151" s="492">
        <v>2</v>
      </c>
      <c r="HN151" s="492">
        <v>1</v>
      </c>
      <c r="HO151" s="493"/>
      <c r="HP151" s="493"/>
      <c r="HQ151" s="493"/>
      <c r="HR151" s="493"/>
      <c r="HS151" s="199"/>
      <c r="HT151" s="491">
        <v>326</v>
      </c>
      <c r="HU151" s="492">
        <v>273</v>
      </c>
      <c r="HV151" s="492">
        <v>263</v>
      </c>
      <c r="HW151" s="492">
        <v>266</v>
      </c>
      <c r="HX151" s="493">
        <v>158</v>
      </c>
      <c r="HY151" s="493">
        <v>131</v>
      </c>
      <c r="HZ151" s="493">
        <v>153</v>
      </c>
      <c r="IA151" s="493">
        <v>157</v>
      </c>
      <c r="IB151" s="199"/>
      <c r="IC151" s="491">
        <v>1438</v>
      </c>
      <c r="ID151" s="492">
        <v>1320</v>
      </c>
      <c r="IE151" s="492">
        <v>1408</v>
      </c>
      <c r="IF151" s="492">
        <v>1139</v>
      </c>
      <c r="IG151" s="493">
        <v>795</v>
      </c>
      <c r="IH151" s="493">
        <v>809</v>
      </c>
      <c r="II151" s="493">
        <v>609</v>
      </c>
      <c r="IJ151" s="493">
        <v>607</v>
      </c>
      <c r="IK151" s="199"/>
      <c r="IL151" s="491">
        <v>69</v>
      </c>
      <c r="IM151" s="492">
        <v>170</v>
      </c>
      <c r="IN151" s="492">
        <v>164</v>
      </c>
      <c r="IO151" s="492">
        <v>141</v>
      </c>
      <c r="IP151" s="493">
        <v>81</v>
      </c>
      <c r="IQ151" s="493">
        <v>129</v>
      </c>
      <c r="IR151" s="493">
        <v>89</v>
      </c>
      <c r="IS151" s="493">
        <v>80</v>
      </c>
      <c r="IT151" s="199"/>
      <c r="IU151" s="533">
        <v>4323.251758763754</v>
      </c>
      <c r="IV151" s="534">
        <v>4018.3871655149319</v>
      </c>
      <c r="IW151" s="534">
        <v>4333.7745082951151</v>
      </c>
      <c r="IX151" s="534">
        <v>3522.7167290384436</v>
      </c>
      <c r="IY151" s="535">
        <v>2484.9185759384868</v>
      </c>
      <c r="IZ151" s="535">
        <v>2555.0326879954519</v>
      </c>
      <c r="JA151" s="535">
        <v>1952.4236983842011</v>
      </c>
      <c r="JB151" s="535">
        <v>1967.3300058339275</v>
      </c>
      <c r="JC151" s="536"/>
      <c r="JD151" s="537">
        <v>980.09740845409181</v>
      </c>
      <c r="JE151" s="538">
        <v>831.07552741331551</v>
      </c>
      <c r="JF151" s="538">
        <v>809.5047554556927</v>
      </c>
      <c r="JG151" s="538">
        <v>822.68889369993508</v>
      </c>
      <c r="JH151" s="538">
        <v>493.85803144437847</v>
      </c>
      <c r="JI151" s="539">
        <v>413.7321163503143</v>
      </c>
      <c r="JJ151" s="539">
        <v>490.51038727878944</v>
      </c>
      <c r="JK151" s="539">
        <v>508.84812341997798</v>
      </c>
      <c r="JL151" s="536"/>
      <c r="JM151" s="537">
        <v>2110.5165053213877</v>
      </c>
      <c r="JN151" s="538">
        <v>2374.501506895187</v>
      </c>
      <c r="JO151" s="538">
        <v>2585.4904736987901</v>
      </c>
      <c r="JP151" s="538">
        <v>2257.7552345900472</v>
      </c>
      <c r="JQ151" s="538">
        <v>1631.60691401244</v>
      </c>
      <c r="JR151" s="539">
        <v>1326.4693806651296</v>
      </c>
      <c r="JS151" s="539">
        <v>1115.670684790972</v>
      </c>
      <c r="JT151" s="539">
        <v>1195.9551435794388</v>
      </c>
      <c r="JU151" s="536"/>
      <c r="JV151" s="537">
        <v>646.38326017677832</v>
      </c>
      <c r="JW151" s="538">
        <v>602.75807482723985</v>
      </c>
      <c r="JX151" s="538">
        <v>618.6709347779248</v>
      </c>
      <c r="JY151" s="538">
        <v>600.00618563077978</v>
      </c>
      <c r="JZ151" s="538">
        <v>293.81427187197198</v>
      </c>
      <c r="KA151" s="539">
        <v>170.54606322837381</v>
      </c>
      <c r="KB151" s="539">
        <v>272.50577071043858</v>
      </c>
      <c r="KC151" s="539">
        <v>239.83924288584947</v>
      </c>
      <c r="KD151" s="536"/>
    </row>
    <row r="152" spans="1:290" ht="15" customHeight="1" x14ac:dyDescent="0.2">
      <c r="A152" s="930"/>
      <c r="B152" s="490" t="s">
        <v>753</v>
      </c>
      <c r="C152" s="491">
        <v>3</v>
      </c>
      <c r="D152" s="492"/>
      <c r="E152" s="492">
        <v>2</v>
      </c>
      <c r="F152" s="492">
        <v>1</v>
      </c>
      <c r="G152" s="493"/>
      <c r="H152" s="493"/>
      <c r="I152" s="493">
        <v>1</v>
      </c>
      <c r="J152" s="493">
        <v>1</v>
      </c>
      <c r="K152" s="199"/>
      <c r="L152" s="491"/>
      <c r="M152" s="492"/>
      <c r="N152" s="492"/>
      <c r="O152" s="492"/>
      <c r="P152" s="493"/>
      <c r="Q152" s="493"/>
      <c r="R152" s="493">
        <v>1</v>
      </c>
      <c r="S152" s="493">
        <v>1</v>
      </c>
      <c r="T152" s="199"/>
      <c r="U152" s="491">
        <v>3</v>
      </c>
      <c r="V152" s="492"/>
      <c r="W152" s="492">
        <v>2</v>
      </c>
      <c r="X152" s="492">
        <v>1</v>
      </c>
      <c r="Y152" s="493"/>
      <c r="Z152" s="493"/>
      <c r="AA152" s="493"/>
      <c r="AB152" s="493"/>
      <c r="AC152" s="199"/>
      <c r="AD152" s="491">
        <v>86</v>
      </c>
      <c r="AE152" s="492">
        <v>58</v>
      </c>
      <c r="AF152" s="492">
        <v>43</v>
      </c>
      <c r="AG152" s="492">
        <v>52</v>
      </c>
      <c r="AH152" s="493">
        <v>45</v>
      </c>
      <c r="AI152" s="493">
        <v>47</v>
      </c>
      <c r="AJ152" s="493">
        <v>38</v>
      </c>
      <c r="AK152" s="493">
        <v>34</v>
      </c>
      <c r="AL152" s="199"/>
      <c r="AM152" s="491">
        <v>44</v>
      </c>
      <c r="AN152" s="492">
        <v>24</v>
      </c>
      <c r="AO152" s="492">
        <v>12</v>
      </c>
      <c r="AP152" s="492">
        <v>28</v>
      </c>
      <c r="AQ152" s="493">
        <v>20</v>
      </c>
      <c r="AR152" s="493">
        <v>28</v>
      </c>
      <c r="AS152" s="493">
        <v>21</v>
      </c>
      <c r="AT152" s="493">
        <v>16</v>
      </c>
      <c r="AU152" s="199"/>
      <c r="AV152" s="491"/>
      <c r="AW152" s="492"/>
      <c r="AX152" s="492"/>
      <c r="AY152" s="492"/>
      <c r="AZ152" s="493">
        <v>1</v>
      </c>
      <c r="BA152" s="493"/>
      <c r="BB152" s="493"/>
      <c r="BC152" s="493"/>
      <c r="BD152" s="199"/>
      <c r="BE152" s="491">
        <v>1</v>
      </c>
      <c r="BF152" s="492">
        <v>2</v>
      </c>
      <c r="BG152" s="492">
        <v>2</v>
      </c>
      <c r="BH152" s="492"/>
      <c r="BI152" s="493">
        <v>8</v>
      </c>
      <c r="BJ152" s="493">
        <v>7</v>
      </c>
      <c r="BK152" s="493">
        <v>4</v>
      </c>
      <c r="BL152" s="493">
        <v>6</v>
      </c>
      <c r="BM152" s="199"/>
      <c r="BN152" s="491"/>
      <c r="BO152" s="492"/>
      <c r="BP152" s="492"/>
      <c r="BQ152" s="492"/>
      <c r="BR152" s="493">
        <v>1</v>
      </c>
      <c r="BS152" s="493"/>
      <c r="BT152" s="493">
        <v>1</v>
      </c>
      <c r="BU152" s="493"/>
      <c r="BV152" s="199"/>
      <c r="BW152" s="491">
        <v>101</v>
      </c>
      <c r="BX152" s="492">
        <v>86</v>
      </c>
      <c r="BY152" s="492">
        <v>62</v>
      </c>
      <c r="BZ152" s="492">
        <v>67</v>
      </c>
      <c r="CA152" s="493">
        <v>62</v>
      </c>
      <c r="CB152" s="493">
        <v>40</v>
      </c>
      <c r="CC152" s="493">
        <v>25</v>
      </c>
      <c r="CD152" s="493">
        <v>34</v>
      </c>
      <c r="CE152" s="199"/>
      <c r="CF152" s="491">
        <v>8</v>
      </c>
      <c r="CG152" s="492"/>
      <c r="CH152" s="492">
        <v>2</v>
      </c>
      <c r="CI152" s="492">
        <v>1</v>
      </c>
      <c r="CJ152" s="493">
        <v>1</v>
      </c>
      <c r="CK152" s="493"/>
      <c r="CL152" s="493"/>
      <c r="CM152" s="493"/>
      <c r="CN152" s="199"/>
      <c r="CO152" s="491">
        <v>5</v>
      </c>
      <c r="CP152" s="492"/>
      <c r="CQ152" s="492">
        <v>2</v>
      </c>
      <c r="CR152" s="492">
        <v>11</v>
      </c>
      <c r="CS152" s="493"/>
      <c r="CT152" s="493">
        <v>2</v>
      </c>
      <c r="CU152" s="493"/>
      <c r="CV152" s="493">
        <v>1</v>
      </c>
      <c r="CW152" s="199"/>
      <c r="CX152" s="491">
        <v>506</v>
      </c>
      <c r="CY152" s="492">
        <v>475</v>
      </c>
      <c r="CZ152" s="492">
        <v>445</v>
      </c>
      <c r="DA152" s="492">
        <v>369</v>
      </c>
      <c r="DB152" s="493">
        <v>334</v>
      </c>
      <c r="DC152" s="493">
        <v>296</v>
      </c>
      <c r="DD152" s="493">
        <v>273</v>
      </c>
      <c r="DE152" s="493">
        <v>222</v>
      </c>
      <c r="DF152" s="199"/>
      <c r="DG152" s="491"/>
      <c r="DH152" s="492">
        <v>7</v>
      </c>
      <c r="DI152" s="492">
        <v>1</v>
      </c>
      <c r="DJ152" s="492">
        <v>4</v>
      </c>
      <c r="DK152" s="493"/>
      <c r="DL152" s="493">
        <v>1</v>
      </c>
      <c r="DM152" s="493">
        <v>2</v>
      </c>
      <c r="DN152" s="493"/>
      <c r="DO152" s="199"/>
      <c r="DP152" s="491">
        <v>15</v>
      </c>
      <c r="DQ152" s="492">
        <v>14</v>
      </c>
      <c r="DR152" s="492">
        <v>23</v>
      </c>
      <c r="DS152" s="492">
        <v>6</v>
      </c>
      <c r="DT152" s="493">
        <v>7</v>
      </c>
      <c r="DU152" s="493">
        <v>4</v>
      </c>
      <c r="DV152" s="493">
        <v>6</v>
      </c>
      <c r="DW152" s="493">
        <v>4</v>
      </c>
      <c r="DX152" s="199"/>
      <c r="DY152" s="491">
        <v>52</v>
      </c>
      <c r="DZ152" s="492">
        <v>44</v>
      </c>
      <c r="EA152" s="492">
        <v>60</v>
      </c>
      <c r="EB152" s="492">
        <v>79</v>
      </c>
      <c r="EC152" s="493">
        <v>55</v>
      </c>
      <c r="ED152" s="493">
        <v>56</v>
      </c>
      <c r="EE152" s="493">
        <v>52</v>
      </c>
      <c r="EF152" s="493">
        <v>25</v>
      </c>
      <c r="EG152" s="199"/>
      <c r="EH152" s="491">
        <v>6</v>
      </c>
      <c r="EI152" s="492">
        <v>9</v>
      </c>
      <c r="EJ152" s="492">
        <v>2</v>
      </c>
      <c r="EK152" s="492">
        <v>9</v>
      </c>
      <c r="EL152" s="493"/>
      <c r="EM152" s="493">
        <v>4</v>
      </c>
      <c r="EN152" s="493">
        <v>1</v>
      </c>
      <c r="EO152" s="493">
        <v>3</v>
      </c>
      <c r="EP152" s="199"/>
      <c r="EQ152" s="491">
        <v>1</v>
      </c>
      <c r="ER152" s="492">
        <v>1</v>
      </c>
      <c r="ES152" s="492">
        <v>1</v>
      </c>
      <c r="ET152" s="492"/>
      <c r="EU152" s="493"/>
      <c r="EV152" s="493"/>
      <c r="EW152" s="493">
        <v>1</v>
      </c>
      <c r="EX152" s="493"/>
      <c r="EY152" s="199"/>
      <c r="EZ152" s="491">
        <v>3</v>
      </c>
      <c r="FA152" s="492">
        <v>3</v>
      </c>
      <c r="FB152" s="492">
        <v>3</v>
      </c>
      <c r="FC152" s="492">
        <v>3</v>
      </c>
      <c r="FD152" s="493">
        <v>2</v>
      </c>
      <c r="FE152" s="493"/>
      <c r="FF152" s="493"/>
      <c r="FG152" s="493"/>
      <c r="FH152" s="199"/>
      <c r="FI152" s="491">
        <v>38</v>
      </c>
      <c r="FJ152" s="492">
        <v>63</v>
      </c>
      <c r="FK152" s="492">
        <v>16</v>
      </c>
      <c r="FL152" s="492">
        <v>16</v>
      </c>
      <c r="FM152" s="493">
        <v>26</v>
      </c>
      <c r="FN152" s="493">
        <v>41</v>
      </c>
      <c r="FO152" s="493">
        <v>12</v>
      </c>
      <c r="FP152" s="493">
        <v>17</v>
      </c>
      <c r="FQ152" s="199"/>
      <c r="FR152" s="491">
        <v>5</v>
      </c>
      <c r="FS152" s="492">
        <v>8</v>
      </c>
      <c r="FT152" s="492">
        <v>3</v>
      </c>
      <c r="FU152" s="492">
        <v>4</v>
      </c>
      <c r="FV152" s="493">
        <v>1</v>
      </c>
      <c r="FW152" s="493">
        <v>3</v>
      </c>
      <c r="FX152" s="493">
        <v>1</v>
      </c>
      <c r="FY152" s="493"/>
      <c r="FZ152" s="199"/>
      <c r="GA152" s="491">
        <v>6</v>
      </c>
      <c r="GB152" s="492">
        <v>8</v>
      </c>
      <c r="GC152" s="492">
        <v>2</v>
      </c>
      <c r="GD152" s="492">
        <v>5</v>
      </c>
      <c r="GE152" s="493">
        <v>4</v>
      </c>
      <c r="GF152" s="493">
        <v>1</v>
      </c>
      <c r="GG152" s="493">
        <v>2</v>
      </c>
      <c r="GH152" s="493">
        <v>1</v>
      </c>
      <c r="GI152" s="199"/>
      <c r="GJ152" s="491">
        <v>769</v>
      </c>
      <c r="GK152" s="492">
        <v>713</v>
      </c>
      <c r="GL152" s="492">
        <v>585</v>
      </c>
      <c r="GM152" s="492">
        <v>538</v>
      </c>
      <c r="GN152" s="493">
        <v>484</v>
      </c>
      <c r="GO152" s="493">
        <v>441</v>
      </c>
      <c r="GP152" s="493">
        <v>359</v>
      </c>
      <c r="GQ152" s="493">
        <v>319</v>
      </c>
      <c r="GR152" s="199"/>
      <c r="GS152" s="491">
        <v>271</v>
      </c>
      <c r="GT152" s="492">
        <v>234</v>
      </c>
      <c r="GU152" s="492">
        <v>171</v>
      </c>
      <c r="GV152" s="492">
        <v>170</v>
      </c>
      <c r="GW152" s="493">
        <v>89</v>
      </c>
      <c r="GX152" s="493">
        <v>91</v>
      </c>
      <c r="GY152" s="493">
        <v>50</v>
      </c>
      <c r="GZ152" s="493">
        <v>65</v>
      </c>
      <c r="HA152" s="199"/>
      <c r="HB152" s="491">
        <v>2</v>
      </c>
      <c r="HC152" s="492"/>
      <c r="HD152" s="492"/>
      <c r="HE152" s="492">
        <v>3</v>
      </c>
      <c r="HF152" s="493">
        <v>2</v>
      </c>
      <c r="HG152" s="493"/>
      <c r="HH152" s="493">
        <v>1</v>
      </c>
      <c r="HI152" s="493"/>
      <c r="HJ152" s="199"/>
      <c r="HK152" s="491">
        <v>5</v>
      </c>
      <c r="HL152" s="492">
        <v>3</v>
      </c>
      <c r="HM152" s="492">
        <v>1</v>
      </c>
      <c r="HN152" s="492">
        <v>4</v>
      </c>
      <c r="HO152" s="493"/>
      <c r="HP152" s="493"/>
      <c r="HQ152" s="493"/>
      <c r="HR152" s="493">
        <v>1</v>
      </c>
      <c r="HS152" s="199"/>
      <c r="HT152" s="491">
        <v>396</v>
      </c>
      <c r="HU152" s="492">
        <v>318</v>
      </c>
      <c r="HV152" s="492">
        <v>252</v>
      </c>
      <c r="HW152" s="492">
        <v>288</v>
      </c>
      <c r="HX152" s="493">
        <v>183</v>
      </c>
      <c r="HY152" s="493">
        <v>184</v>
      </c>
      <c r="HZ152" s="493">
        <v>134</v>
      </c>
      <c r="IA152" s="493">
        <v>171</v>
      </c>
      <c r="IB152" s="199"/>
      <c r="IC152" s="491">
        <v>1357</v>
      </c>
      <c r="ID152" s="492">
        <v>1203</v>
      </c>
      <c r="IE152" s="492">
        <v>1010</v>
      </c>
      <c r="IF152" s="492">
        <v>913</v>
      </c>
      <c r="IG152" s="493">
        <v>773</v>
      </c>
      <c r="IH152" s="493">
        <v>755</v>
      </c>
      <c r="II152" s="493">
        <v>654</v>
      </c>
      <c r="IJ152" s="493">
        <v>634</v>
      </c>
      <c r="IK152" s="199"/>
      <c r="IL152" s="491">
        <v>117</v>
      </c>
      <c r="IM152" s="492">
        <v>106</v>
      </c>
      <c r="IN152" s="492">
        <v>135</v>
      </c>
      <c r="IO152" s="492">
        <v>74</v>
      </c>
      <c r="IP152" s="493">
        <v>56</v>
      </c>
      <c r="IQ152" s="493">
        <v>84</v>
      </c>
      <c r="IR152" s="493">
        <v>78</v>
      </c>
      <c r="IS152" s="493">
        <v>56</v>
      </c>
      <c r="IT152" s="199"/>
      <c r="IU152" s="533">
        <v>2843.1352008213034</v>
      </c>
      <c r="IV152" s="534">
        <v>2543.6630439379201</v>
      </c>
      <c r="IW152" s="534">
        <v>2151.0872574702362</v>
      </c>
      <c r="IX152" s="534">
        <v>1929.6614109988589</v>
      </c>
      <c r="IY152" s="535">
        <v>1641.8861512319459</v>
      </c>
      <c r="IZ152" s="535">
        <v>1604.8422578727595</v>
      </c>
      <c r="JA152" s="535">
        <v>1345.5128996420194</v>
      </c>
      <c r="JB152" s="535">
        <v>1310.9195045799474</v>
      </c>
      <c r="JC152" s="536"/>
      <c r="JD152" s="537">
        <v>829.68425904586309</v>
      </c>
      <c r="JE152" s="538">
        <v>672.38973231276691</v>
      </c>
      <c r="JF152" s="538">
        <v>536.70691968564313</v>
      </c>
      <c r="JG152" s="538">
        <v>608.69932789449217</v>
      </c>
      <c r="JH152" s="538">
        <v>388.70008496176723</v>
      </c>
      <c r="JI152" s="539">
        <v>393.11798982479445</v>
      </c>
      <c r="JJ152" s="539">
        <v>275.68612928445049</v>
      </c>
      <c r="JK152" s="539">
        <v>353.57608088828238</v>
      </c>
      <c r="JL152" s="536"/>
      <c r="JM152" s="537">
        <v>1611.179785874416</v>
      </c>
      <c r="JN152" s="538">
        <v>1507.5908149025247</v>
      </c>
      <c r="JO152" s="538">
        <v>1245.9267778416715</v>
      </c>
      <c r="JP152" s="538">
        <v>1137.0841611362387</v>
      </c>
      <c r="JQ152" s="538">
        <v>1028.0373831775701</v>
      </c>
      <c r="JR152" s="539">
        <v>938.91962000482511</v>
      </c>
      <c r="JS152" s="539">
        <v>738.59194338147552</v>
      </c>
      <c r="JT152" s="539">
        <v>659.59514504890103</v>
      </c>
      <c r="JU152" s="536"/>
      <c r="JV152" s="537">
        <v>567.78897525613354</v>
      </c>
      <c r="JW152" s="538">
        <v>494.77735019241339</v>
      </c>
      <c r="JX152" s="538">
        <v>364.19398121525779</v>
      </c>
      <c r="JY152" s="538">
        <v>359.30168660438767</v>
      </c>
      <c r="JZ152" s="538">
        <v>189.03993203058624</v>
      </c>
      <c r="KA152" s="539">
        <v>192.67152810043154</v>
      </c>
      <c r="KB152" s="539">
        <v>102.86795868822779</v>
      </c>
      <c r="KC152" s="539">
        <v>134.40026466513658</v>
      </c>
      <c r="KD152" s="536"/>
    </row>
    <row r="153" spans="1:290" ht="15" customHeight="1" thickBot="1" x14ac:dyDescent="0.25">
      <c r="A153" s="930"/>
      <c r="B153" s="494" t="s">
        <v>626</v>
      </c>
      <c r="C153" s="495">
        <v>1</v>
      </c>
      <c r="D153" s="496"/>
      <c r="E153" s="496"/>
      <c r="F153" s="496">
        <v>1</v>
      </c>
      <c r="G153" s="497">
        <v>3</v>
      </c>
      <c r="H153" s="497"/>
      <c r="I153" s="497">
        <v>1</v>
      </c>
      <c r="J153" s="497"/>
      <c r="K153" s="199"/>
      <c r="L153" s="495">
        <v>1</v>
      </c>
      <c r="M153" s="496"/>
      <c r="N153" s="496"/>
      <c r="O153" s="496">
        <v>1</v>
      </c>
      <c r="P153" s="497">
        <v>2</v>
      </c>
      <c r="Q153" s="497"/>
      <c r="R153" s="497"/>
      <c r="S153" s="497"/>
      <c r="T153" s="199"/>
      <c r="U153" s="495"/>
      <c r="V153" s="496"/>
      <c r="W153" s="496"/>
      <c r="X153" s="496"/>
      <c r="Y153" s="497">
        <v>1</v>
      </c>
      <c r="Z153" s="497"/>
      <c r="AA153" s="497"/>
      <c r="AB153" s="497"/>
      <c r="AC153" s="199"/>
      <c r="AD153" s="495">
        <v>70</v>
      </c>
      <c r="AE153" s="496">
        <v>48</v>
      </c>
      <c r="AF153" s="496">
        <v>38</v>
      </c>
      <c r="AG153" s="496">
        <v>64</v>
      </c>
      <c r="AH153" s="497">
        <v>78</v>
      </c>
      <c r="AI153" s="497">
        <v>75</v>
      </c>
      <c r="AJ153" s="497">
        <v>139</v>
      </c>
      <c r="AK153" s="497">
        <v>103</v>
      </c>
      <c r="AL153" s="199"/>
      <c r="AM153" s="495">
        <v>24</v>
      </c>
      <c r="AN153" s="496">
        <v>13</v>
      </c>
      <c r="AO153" s="496">
        <v>16</v>
      </c>
      <c r="AP153" s="496">
        <v>29</v>
      </c>
      <c r="AQ153" s="497">
        <v>25</v>
      </c>
      <c r="AR153" s="497">
        <v>25</v>
      </c>
      <c r="AS153" s="497">
        <v>36</v>
      </c>
      <c r="AT153" s="497">
        <v>19</v>
      </c>
      <c r="AU153" s="199"/>
      <c r="AV153" s="495"/>
      <c r="AW153" s="496"/>
      <c r="AX153" s="496"/>
      <c r="AY153" s="496"/>
      <c r="AZ153" s="497"/>
      <c r="BA153" s="497"/>
      <c r="BB153" s="497"/>
      <c r="BC153" s="497"/>
      <c r="BD153" s="199"/>
      <c r="BE153" s="495">
        <v>9</v>
      </c>
      <c r="BF153" s="496">
        <v>9</v>
      </c>
      <c r="BG153" s="496">
        <v>11</v>
      </c>
      <c r="BH153" s="496">
        <v>1</v>
      </c>
      <c r="BI153" s="497">
        <v>5</v>
      </c>
      <c r="BJ153" s="497">
        <v>9</v>
      </c>
      <c r="BK153" s="497">
        <v>3</v>
      </c>
      <c r="BL153" s="497">
        <v>2</v>
      </c>
      <c r="BM153" s="199"/>
      <c r="BN153" s="495"/>
      <c r="BO153" s="496"/>
      <c r="BP153" s="496"/>
      <c r="BQ153" s="496"/>
      <c r="BR153" s="497"/>
      <c r="BS153" s="497"/>
      <c r="BT153" s="497"/>
      <c r="BU153" s="497"/>
      <c r="BV153" s="199"/>
      <c r="BW153" s="495">
        <v>73</v>
      </c>
      <c r="BX153" s="496">
        <v>32</v>
      </c>
      <c r="BY153" s="496">
        <v>21</v>
      </c>
      <c r="BZ153" s="496">
        <v>46</v>
      </c>
      <c r="CA153" s="497">
        <v>58</v>
      </c>
      <c r="CB153" s="497">
        <v>70</v>
      </c>
      <c r="CC153" s="497">
        <v>59</v>
      </c>
      <c r="CD153" s="497">
        <v>62</v>
      </c>
      <c r="CE153" s="199"/>
      <c r="CF153" s="495">
        <v>7</v>
      </c>
      <c r="CG153" s="496">
        <v>5</v>
      </c>
      <c r="CH153" s="496">
        <v>6</v>
      </c>
      <c r="CI153" s="496">
        <v>3</v>
      </c>
      <c r="CJ153" s="497">
        <v>6</v>
      </c>
      <c r="CK153" s="497">
        <v>2</v>
      </c>
      <c r="CL153" s="497">
        <v>4</v>
      </c>
      <c r="CM153" s="497">
        <v>3</v>
      </c>
      <c r="CN153" s="199"/>
      <c r="CO153" s="495">
        <v>7</v>
      </c>
      <c r="CP153" s="496">
        <v>2</v>
      </c>
      <c r="CQ153" s="496">
        <v>6</v>
      </c>
      <c r="CR153" s="496">
        <v>12</v>
      </c>
      <c r="CS153" s="497">
        <v>2</v>
      </c>
      <c r="CT153" s="497">
        <v>3</v>
      </c>
      <c r="CU153" s="497"/>
      <c r="CV153" s="497">
        <v>3</v>
      </c>
      <c r="CW153" s="199"/>
      <c r="CX153" s="495">
        <v>503</v>
      </c>
      <c r="CY153" s="496">
        <v>481</v>
      </c>
      <c r="CZ153" s="496">
        <v>455</v>
      </c>
      <c r="DA153" s="496">
        <v>479</v>
      </c>
      <c r="DB153" s="497">
        <v>413</v>
      </c>
      <c r="DC153" s="497">
        <v>334</v>
      </c>
      <c r="DD153" s="497">
        <v>328</v>
      </c>
      <c r="DE153" s="497">
        <v>213</v>
      </c>
      <c r="DF153" s="199"/>
      <c r="DG153" s="495">
        <v>3</v>
      </c>
      <c r="DH153" s="496">
        <v>2</v>
      </c>
      <c r="DI153" s="496">
        <v>2</v>
      </c>
      <c r="DJ153" s="496">
        <v>3</v>
      </c>
      <c r="DK153" s="497">
        <v>1</v>
      </c>
      <c r="DL153" s="497">
        <v>1</v>
      </c>
      <c r="DM153" s="497">
        <v>1</v>
      </c>
      <c r="DN153" s="497"/>
      <c r="DO153" s="199"/>
      <c r="DP153" s="495">
        <v>4</v>
      </c>
      <c r="DQ153" s="496">
        <v>4</v>
      </c>
      <c r="DR153" s="496">
        <v>4</v>
      </c>
      <c r="DS153" s="496">
        <v>3</v>
      </c>
      <c r="DT153" s="497">
        <v>5</v>
      </c>
      <c r="DU153" s="497">
        <v>2</v>
      </c>
      <c r="DV153" s="497">
        <v>3</v>
      </c>
      <c r="DW153" s="497"/>
      <c r="DX153" s="199"/>
      <c r="DY153" s="495">
        <v>80</v>
      </c>
      <c r="DZ153" s="496">
        <v>76</v>
      </c>
      <c r="EA153" s="496">
        <v>72</v>
      </c>
      <c r="EB153" s="496">
        <v>87</v>
      </c>
      <c r="EC153" s="497">
        <v>92</v>
      </c>
      <c r="ED153" s="497">
        <v>98</v>
      </c>
      <c r="EE153" s="497">
        <v>68</v>
      </c>
      <c r="EF153" s="497">
        <v>48</v>
      </c>
      <c r="EG153" s="199"/>
      <c r="EH153" s="495">
        <v>6</v>
      </c>
      <c r="EI153" s="496">
        <v>6</v>
      </c>
      <c r="EJ153" s="496">
        <v>2</v>
      </c>
      <c r="EK153" s="496">
        <v>3</v>
      </c>
      <c r="EL153" s="497">
        <v>2</v>
      </c>
      <c r="EM153" s="497">
        <v>5</v>
      </c>
      <c r="EN153" s="497">
        <v>2</v>
      </c>
      <c r="EO153" s="497">
        <v>5</v>
      </c>
      <c r="EP153" s="199"/>
      <c r="EQ153" s="495">
        <v>2</v>
      </c>
      <c r="ER153" s="496"/>
      <c r="ES153" s="496">
        <v>2</v>
      </c>
      <c r="ET153" s="496">
        <v>1</v>
      </c>
      <c r="EU153" s="497">
        <v>1</v>
      </c>
      <c r="EV153" s="497">
        <v>1</v>
      </c>
      <c r="EW153" s="497">
        <v>1</v>
      </c>
      <c r="EX153" s="497">
        <v>5</v>
      </c>
      <c r="EY153" s="199"/>
      <c r="EZ153" s="495">
        <v>7</v>
      </c>
      <c r="FA153" s="496">
        <v>3</v>
      </c>
      <c r="FB153" s="496">
        <v>3</v>
      </c>
      <c r="FC153" s="496">
        <v>4</v>
      </c>
      <c r="FD153" s="497">
        <v>1</v>
      </c>
      <c r="FE153" s="497">
        <v>1</v>
      </c>
      <c r="FF153" s="497">
        <v>5</v>
      </c>
      <c r="FG153" s="497"/>
      <c r="FH153" s="199"/>
      <c r="FI153" s="495">
        <v>27</v>
      </c>
      <c r="FJ153" s="496">
        <v>23</v>
      </c>
      <c r="FK153" s="496">
        <v>31</v>
      </c>
      <c r="FL153" s="496">
        <v>17</v>
      </c>
      <c r="FM153" s="497">
        <v>16</v>
      </c>
      <c r="FN153" s="497">
        <v>14</v>
      </c>
      <c r="FO153" s="497">
        <v>22</v>
      </c>
      <c r="FP153" s="497">
        <v>11</v>
      </c>
      <c r="FQ153" s="199"/>
      <c r="FR153" s="495">
        <v>6</v>
      </c>
      <c r="FS153" s="496">
        <v>5</v>
      </c>
      <c r="FT153" s="496">
        <v>3</v>
      </c>
      <c r="FU153" s="496">
        <v>6</v>
      </c>
      <c r="FV153" s="497">
        <v>1</v>
      </c>
      <c r="FW153" s="497">
        <v>2</v>
      </c>
      <c r="FX153" s="497">
        <v>2</v>
      </c>
      <c r="FY153" s="497">
        <v>3</v>
      </c>
      <c r="FZ153" s="199"/>
      <c r="GA153" s="495">
        <v>4</v>
      </c>
      <c r="GB153" s="496">
        <v>6</v>
      </c>
      <c r="GC153" s="496">
        <v>5</v>
      </c>
      <c r="GD153" s="496">
        <v>2</v>
      </c>
      <c r="GE153" s="497">
        <v>3</v>
      </c>
      <c r="GF153" s="497">
        <v>3</v>
      </c>
      <c r="GG153" s="497">
        <v>1</v>
      </c>
      <c r="GH153" s="497">
        <v>4</v>
      </c>
      <c r="GI153" s="199"/>
      <c r="GJ153" s="495">
        <v>722</v>
      </c>
      <c r="GK153" s="496">
        <v>620</v>
      </c>
      <c r="GL153" s="496">
        <v>583</v>
      </c>
      <c r="GM153" s="496">
        <v>639</v>
      </c>
      <c r="GN153" s="497">
        <v>589</v>
      </c>
      <c r="GO153" s="497">
        <v>519</v>
      </c>
      <c r="GP153" s="497">
        <v>567</v>
      </c>
      <c r="GQ153" s="497">
        <v>414</v>
      </c>
      <c r="GR153" s="199"/>
      <c r="GS153" s="495">
        <v>209</v>
      </c>
      <c r="GT153" s="496">
        <v>156</v>
      </c>
      <c r="GU153" s="496">
        <v>123</v>
      </c>
      <c r="GV153" s="496">
        <v>147</v>
      </c>
      <c r="GW153" s="497">
        <v>89</v>
      </c>
      <c r="GX153" s="497">
        <v>107</v>
      </c>
      <c r="GY153" s="497">
        <v>94</v>
      </c>
      <c r="GZ153" s="497">
        <v>86</v>
      </c>
      <c r="HA153" s="199"/>
      <c r="HB153" s="495"/>
      <c r="HC153" s="496">
        <v>1</v>
      </c>
      <c r="HD153" s="496">
        <v>2</v>
      </c>
      <c r="HE153" s="496">
        <v>1</v>
      </c>
      <c r="HF153" s="497">
        <v>1</v>
      </c>
      <c r="HG153" s="497"/>
      <c r="HH153" s="497"/>
      <c r="HI153" s="497">
        <v>1</v>
      </c>
      <c r="HJ153" s="199"/>
      <c r="HK153" s="495">
        <v>1</v>
      </c>
      <c r="HL153" s="496">
        <v>1</v>
      </c>
      <c r="HM153" s="496"/>
      <c r="HN153" s="496"/>
      <c r="HO153" s="497">
        <v>2</v>
      </c>
      <c r="HP153" s="497"/>
      <c r="HQ153" s="497"/>
      <c r="HR153" s="497"/>
      <c r="HS153" s="199"/>
      <c r="HT153" s="495">
        <v>325</v>
      </c>
      <c r="HU153" s="496">
        <v>247</v>
      </c>
      <c r="HV153" s="496">
        <v>223</v>
      </c>
      <c r="HW153" s="496">
        <v>233</v>
      </c>
      <c r="HX153" s="497">
        <v>210</v>
      </c>
      <c r="HY153" s="497">
        <v>185</v>
      </c>
      <c r="HZ153" s="497">
        <v>200</v>
      </c>
      <c r="IA153" s="497">
        <v>220</v>
      </c>
      <c r="IB153" s="199"/>
      <c r="IC153" s="495">
        <v>1446</v>
      </c>
      <c r="ID153" s="496">
        <v>1244</v>
      </c>
      <c r="IE153" s="496">
        <v>1180</v>
      </c>
      <c r="IF153" s="496">
        <v>958</v>
      </c>
      <c r="IG153" s="497">
        <v>968</v>
      </c>
      <c r="IH153" s="497">
        <v>825</v>
      </c>
      <c r="II153" s="497">
        <v>957</v>
      </c>
      <c r="IJ153" s="497">
        <v>889</v>
      </c>
      <c r="IK153" s="199"/>
      <c r="IL153" s="495">
        <v>176</v>
      </c>
      <c r="IM153" s="496">
        <v>184</v>
      </c>
      <c r="IN153" s="496">
        <v>180</v>
      </c>
      <c r="IO153" s="496">
        <v>146</v>
      </c>
      <c r="IP153" s="497">
        <v>101</v>
      </c>
      <c r="IQ153" s="497">
        <v>133</v>
      </c>
      <c r="IR153" s="497">
        <v>146</v>
      </c>
      <c r="IS153" s="497">
        <v>66</v>
      </c>
      <c r="IT153" s="199"/>
      <c r="IU153" s="540">
        <v>4085.8999717434308</v>
      </c>
      <c r="IV153" s="541">
        <v>3567.4342576926388</v>
      </c>
      <c r="IW153" s="541">
        <v>3405.1885839609845</v>
      </c>
      <c r="IX153" s="541">
        <v>2734.0182648401828</v>
      </c>
      <c r="IY153" s="542">
        <v>2798.0922098569158</v>
      </c>
      <c r="IZ153" s="542">
        <v>2361.6126212482977</v>
      </c>
      <c r="JA153" s="542">
        <v>2556.8409522028373</v>
      </c>
      <c r="JB153" s="542">
        <v>2394.7418042722843</v>
      </c>
      <c r="JC153" s="536"/>
      <c r="JD153" s="537">
        <v>918.3385137044362</v>
      </c>
      <c r="JE153" s="538">
        <v>708.32496917209141</v>
      </c>
      <c r="JF153" s="538">
        <v>643.52292730788099</v>
      </c>
      <c r="JG153" s="538">
        <v>664.95433789954336</v>
      </c>
      <c r="JH153" s="538">
        <v>607.02413643590114</v>
      </c>
      <c r="JI153" s="539">
        <v>529.52148625451866</v>
      </c>
      <c r="JJ153" s="539">
        <v>534.34502658366512</v>
      </c>
      <c r="JK153" s="539">
        <v>592.62451849257877</v>
      </c>
      <c r="JL153" s="536"/>
      <c r="JM153" s="537">
        <v>2040.124328906471</v>
      </c>
      <c r="JN153" s="538">
        <v>1777.9817039947234</v>
      </c>
      <c r="JO153" s="538">
        <v>1682.3940207197068</v>
      </c>
      <c r="JP153" s="538">
        <v>1823.6301369863015</v>
      </c>
      <c r="JQ153" s="538">
        <v>1702.5581731464085</v>
      </c>
      <c r="JR153" s="539">
        <v>1481.6209468158086</v>
      </c>
      <c r="JS153" s="539">
        <v>1514.8681503646903</v>
      </c>
      <c r="JT153" s="539">
        <v>1115.2115938905799</v>
      </c>
      <c r="JU153" s="536"/>
      <c r="JV153" s="537">
        <v>590.56230573608366</v>
      </c>
      <c r="JW153" s="538">
        <v>447.36313842447873</v>
      </c>
      <c r="JX153" s="538">
        <v>354.94762358237381</v>
      </c>
      <c r="JY153" s="538">
        <v>419.52054794520546</v>
      </c>
      <c r="JZ153" s="538">
        <v>257.26261020378666</v>
      </c>
      <c r="KA153" s="539">
        <v>305.52436855394342</v>
      </c>
      <c r="KB153" s="539">
        <v>251.14216249432258</v>
      </c>
      <c r="KC153" s="539">
        <v>231.66231177437169</v>
      </c>
      <c r="KD153" s="536"/>
    </row>
    <row r="154" spans="1:290" ht="15" customHeight="1" thickBot="1" x14ac:dyDescent="0.25">
      <c r="A154" s="931"/>
      <c r="B154" s="508" t="s">
        <v>792</v>
      </c>
      <c r="C154" s="500">
        <v>7</v>
      </c>
      <c r="D154" s="501">
        <v>6</v>
      </c>
      <c r="E154" s="501">
        <v>4</v>
      </c>
      <c r="F154" s="501">
        <v>5</v>
      </c>
      <c r="G154" s="502">
        <v>4</v>
      </c>
      <c r="H154" s="502">
        <v>1</v>
      </c>
      <c r="I154" s="502">
        <v>2</v>
      </c>
      <c r="J154" s="502">
        <v>1</v>
      </c>
      <c r="K154" s="503"/>
      <c r="L154" s="500">
        <v>2</v>
      </c>
      <c r="M154" s="501">
        <v>6</v>
      </c>
      <c r="N154" s="501">
        <v>1</v>
      </c>
      <c r="O154" s="501">
        <v>3</v>
      </c>
      <c r="P154" s="502">
        <v>2</v>
      </c>
      <c r="Q154" s="502">
        <v>1</v>
      </c>
      <c r="R154" s="502">
        <v>1</v>
      </c>
      <c r="S154" s="502">
        <v>1</v>
      </c>
      <c r="T154" s="503"/>
      <c r="U154" s="500">
        <v>5</v>
      </c>
      <c r="V154" s="501"/>
      <c r="W154" s="501">
        <v>3</v>
      </c>
      <c r="X154" s="501">
        <v>1</v>
      </c>
      <c r="Y154" s="502">
        <v>2</v>
      </c>
      <c r="Z154" s="502"/>
      <c r="AA154" s="502"/>
      <c r="AB154" s="502"/>
      <c r="AC154" s="503"/>
      <c r="AD154" s="500">
        <v>434</v>
      </c>
      <c r="AE154" s="501">
        <v>385</v>
      </c>
      <c r="AF154" s="501">
        <v>364</v>
      </c>
      <c r="AG154" s="501">
        <v>339</v>
      </c>
      <c r="AH154" s="502">
        <v>370</v>
      </c>
      <c r="AI154" s="502">
        <v>345</v>
      </c>
      <c r="AJ154" s="502">
        <v>404</v>
      </c>
      <c r="AK154" s="502">
        <v>354</v>
      </c>
      <c r="AL154" s="503"/>
      <c r="AM154" s="500">
        <v>175</v>
      </c>
      <c r="AN154" s="501">
        <v>134</v>
      </c>
      <c r="AO154" s="501">
        <v>145</v>
      </c>
      <c r="AP154" s="501">
        <v>154</v>
      </c>
      <c r="AQ154" s="502">
        <v>150</v>
      </c>
      <c r="AR154" s="502">
        <v>148</v>
      </c>
      <c r="AS154" s="502">
        <v>147</v>
      </c>
      <c r="AT154" s="502">
        <v>101</v>
      </c>
      <c r="AU154" s="503"/>
      <c r="AV154" s="500">
        <v>1</v>
      </c>
      <c r="AW154" s="501"/>
      <c r="AX154" s="501"/>
      <c r="AY154" s="501"/>
      <c r="AZ154" s="502">
        <v>1</v>
      </c>
      <c r="BA154" s="502"/>
      <c r="BB154" s="502"/>
      <c r="BC154" s="502">
        <v>1</v>
      </c>
      <c r="BD154" s="503"/>
      <c r="BE154" s="500">
        <v>49</v>
      </c>
      <c r="BF154" s="501">
        <v>46</v>
      </c>
      <c r="BG154" s="501">
        <v>36</v>
      </c>
      <c r="BH154" s="501">
        <v>24</v>
      </c>
      <c r="BI154" s="502">
        <v>37</v>
      </c>
      <c r="BJ154" s="502">
        <v>37</v>
      </c>
      <c r="BK154" s="502">
        <v>19</v>
      </c>
      <c r="BL154" s="502">
        <v>22</v>
      </c>
      <c r="BM154" s="503"/>
      <c r="BN154" s="500"/>
      <c r="BO154" s="501"/>
      <c r="BP154" s="501"/>
      <c r="BQ154" s="501"/>
      <c r="BR154" s="502">
        <v>2</v>
      </c>
      <c r="BS154" s="502"/>
      <c r="BT154" s="502">
        <v>1</v>
      </c>
      <c r="BU154" s="502">
        <v>3</v>
      </c>
      <c r="BV154" s="503"/>
      <c r="BW154" s="500">
        <v>393</v>
      </c>
      <c r="BX154" s="501">
        <v>265</v>
      </c>
      <c r="BY154" s="501">
        <v>242</v>
      </c>
      <c r="BZ154" s="501">
        <v>240</v>
      </c>
      <c r="CA154" s="502">
        <v>293</v>
      </c>
      <c r="CB154" s="502">
        <v>199</v>
      </c>
      <c r="CC154" s="502">
        <v>174</v>
      </c>
      <c r="CD154" s="502">
        <v>199</v>
      </c>
      <c r="CE154" s="503"/>
      <c r="CF154" s="500">
        <v>25</v>
      </c>
      <c r="CG154" s="501">
        <v>26</v>
      </c>
      <c r="CH154" s="501">
        <v>28</v>
      </c>
      <c r="CI154" s="501">
        <v>21</v>
      </c>
      <c r="CJ154" s="502">
        <v>11</v>
      </c>
      <c r="CK154" s="502">
        <v>9</v>
      </c>
      <c r="CL154" s="502">
        <v>9</v>
      </c>
      <c r="CM154" s="502">
        <v>7</v>
      </c>
      <c r="CN154" s="503"/>
      <c r="CO154" s="500">
        <v>49</v>
      </c>
      <c r="CP154" s="501">
        <v>33</v>
      </c>
      <c r="CQ154" s="501">
        <v>11</v>
      </c>
      <c r="CR154" s="501">
        <v>26</v>
      </c>
      <c r="CS154" s="502">
        <v>5</v>
      </c>
      <c r="CT154" s="502">
        <v>8</v>
      </c>
      <c r="CU154" s="502">
        <v>3</v>
      </c>
      <c r="CV154" s="502">
        <v>12</v>
      </c>
      <c r="CW154" s="503"/>
      <c r="CX154" s="500">
        <v>3243</v>
      </c>
      <c r="CY154" s="501">
        <v>2829</v>
      </c>
      <c r="CZ154" s="501">
        <v>2943</v>
      </c>
      <c r="DA154" s="501">
        <v>2778</v>
      </c>
      <c r="DB154" s="502">
        <v>2414</v>
      </c>
      <c r="DC154" s="502">
        <v>2130</v>
      </c>
      <c r="DD154" s="502">
        <v>1739</v>
      </c>
      <c r="DE154" s="502">
        <v>1417</v>
      </c>
      <c r="DF154" s="503"/>
      <c r="DG154" s="500">
        <v>14</v>
      </c>
      <c r="DH154" s="501">
        <v>18</v>
      </c>
      <c r="DI154" s="501">
        <v>12</v>
      </c>
      <c r="DJ154" s="501">
        <v>20</v>
      </c>
      <c r="DK154" s="502">
        <v>6</v>
      </c>
      <c r="DL154" s="502">
        <v>12</v>
      </c>
      <c r="DM154" s="502">
        <v>9</v>
      </c>
      <c r="DN154" s="502">
        <v>3</v>
      </c>
      <c r="DO154" s="503"/>
      <c r="DP154" s="500">
        <v>99</v>
      </c>
      <c r="DQ154" s="501">
        <v>49</v>
      </c>
      <c r="DR154" s="501">
        <v>50</v>
      </c>
      <c r="DS154" s="501">
        <v>35</v>
      </c>
      <c r="DT154" s="502">
        <v>46</v>
      </c>
      <c r="DU154" s="502">
        <v>34</v>
      </c>
      <c r="DV154" s="502">
        <v>19</v>
      </c>
      <c r="DW154" s="502">
        <v>21</v>
      </c>
      <c r="DX154" s="503"/>
      <c r="DY154" s="500">
        <v>334</v>
      </c>
      <c r="DZ154" s="501">
        <v>314</v>
      </c>
      <c r="EA154" s="501">
        <v>366</v>
      </c>
      <c r="EB154" s="501">
        <v>402</v>
      </c>
      <c r="EC154" s="502">
        <v>464</v>
      </c>
      <c r="ED154" s="502">
        <v>504</v>
      </c>
      <c r="EE154" s="502">
        <v>364</v>
      </c>
      <c r="EF154" s="502">
        <v>254</v>
      </c>
      <c r="EG154" s="503"/>
      <c r="EH154" s="500">
        <v>42</v>
      </c>
      <c r="EI154" s="501">
        <v>43</v>
      </c>
      <c r="EJ154" s="501">
        <v>23</v>
      </c>
      <c r="EK154" s="501">
        <v>41</v>
      </c>
      <c r="EL154" s="502">
        <v>17</v>
      </c>
      <c r="EM154" s="502">
        <v>15</v>
      </c>
      <c r="EN154" s="502">
        <v>13</v>
      </c>
      <c r="EO154" s="502">
        <v>20</v>
      </c>
      <c r="EP154" s="503"/>
      <c r="EQ154" s="500">
        <v>9</v>
      </c>
      <c r="ER154" s="501">
        <v>7</v>
      </c>
      <c r="ES154" s="501">
        <v>5</v>
      </c>
      <c r="ET154" s="501">
        <v>7</v>
      </c>
      <c r="EU154" s="502">
        <v>7</v>
      </c>
      <c r="EV154" s="502">
        <v>3</v>
      </c>
      <c r="EW154" s="502">
        <v>3</v>
      </c>
      <c r="EX154" s="502">
        <v>13</v>
      </c>
      <c r="EY154" s="503"/>
      <c r="EZ154" s="500">
        <v>68</v>
      </c>
      <c r="FA154" s="501">
        <v>30</v>
      </c>
      <c r="FB154" s="501">
        <v>34</v>
      </c>
      <c r="FC154" s="501">
        <v>24</v>
      </c>
      <c r="FD154" s="502">
        <v>17</v>
      </c>
      <c r="FE154" s="502">
        <v>2</v>
      </c>
      <c r="FF154" s="502">
        <v>16</v>
      </c>
      <c r="FG154" s="502">
        <v>4</v>
      </c>
      <c r="FH154" s="503"/>
      <c r="FI154" s="500">
        <v>227</v>
      </c>
      <c r="FJ154" s="501">
        <v>252</v>
      </c>
      <c r="FK154" s="501">
        <v>166</v>
      </c>
      <c r="FL154" s="501">
        <v>115</v>
      </c>
      <c r="FM154" s="502">
        <v>110</v>
      </c>
      <c r="FN154" s="502">
        <v>138</v>
      </c>
      <c r="FO154" s="502">
        <v>140</v>
      </c>
      <c r="FP154" s="502">
        <v>164</v>
      </c>
      <c r="FQ154" s="503"/>
      <c r="FR154" s="500">
        <v>41</v>
      </c>
      <c r="FS154" s="501">
        <v>26</v>
      </c>
      <c r="FT154" s="501">
        <v>26</v>
      </c>
      <c r="FU154" s="501">
        <v>21</v>
      </c>
      <c r="FV154" s="502">
        <v>8</v>
      </c>
      <c r="FW154" s="502">
        <v>8</v>
      </c>
      <c r="FX154" s="502">
        <v>8</v>
      </c>
      <c r="FY154" s="502">
        <v>6</v>
      </c>
      <c r="FZ154" s="503"/>
      <c r="GA154" s="500">
        <v>47</v>
      </c>
      <c r="GB154" s="501">
        <v>33</v>
      </c>
      <c r="GC154" s="501">
        <v>22</v>
      </c>
      <c r="GD154" s="501">
        <v>20</v>
      </c>
      <c r="GE154" s="502">
        <v>26</v>
      </c>
      <c r="GF154" s="502">
        <v>14</v>
      </c>
      <c r="GG154" s="502">
        <v>18</v>
      </c>
      <c r="GH154" s="502">
        <v>35</v>
      </c>
      <c r="GI154" s="503"/>
      <c r="GJ154" s="500">
        <v>4634</v>
      </c>
      <c r="GK154" s="501">
        <v>3981</v>
      </c>
      <c r="GL154" s="501">
        <v>3904</v>
      </c>
      <c r="GM154" s="501">
        <v>3661</v>
      </c>
      <c r="GN154" s="502">
        <v>3321</v>
      </c>
      <c r="GO154" s="502">
        <v>2909</v>
      </c>
      <c r="GP154" s="502">
        <v>2549</v>
      </c>
      <c r="GQ154" s="502">
        <v>2257</v>
      </c>
      <c r="GR154" s="503"/>
      <c r="GS154" s="500">
        <v>1399</v>
      </c>
      <c r="GT154" s="501">
        <v>1185</v>
      </c>
      <c r="GU154" s="501">
        <v>998</v>
      </c>
      <c r="GV154" s="501">
        <v>864</v>
      </c>
      <c r="GW154" s="502">
        <v>566</v>
      </c>
      <c r="GX154" s="502">
        <v>513</v>
      </c>
      <c r="GY154" s="502">
        <v>489</v>
      </c>
      <c r="GZ154" s="502">
        <v>491</v>
      </c>
      <c r="HA154" s="503"/>
      <c r="HB154" s="500">
        <v>9</v>
      </c>
      <c r="HC154" s="501">
        <v>5</v>
      </c>
      <c r="HD154" s="501">
        <v>7</v>
      </c>
      <c r="HE154" s="501">
        <v>6</v>
      </c>
      <c r="HF154" s="502">
        <v>8</v>
      </c>
      <c r="HG154" s="502"/>
      <c r="HH154" s="502">
        <v>5</v>
      </c>
      <c r="HI154" s="502">
        <v>3</v>
      </c>
      <c r="HJ154" s="503"/>
      <c r="HK154" s="500">
        <v>14</v>
      </c>
      <c r="HL154" s="501">
        <v>4</v>
      </c>
      <c r="HM154" s="501">
        <v>6</v>
      </c>
      <c r="HN154" s="501">
        <v>7</v>
      </c>
      <c r="HO154" s="502">
        <v>4</v>
      </c>
      <c r="HP154" s="502">
        <v>1</v>
      </c>
      <c r="HQ154" s="502"/>
      <c r="HR154" s="502">
        <v>4</v>
      </c>
      <c r="HS154" s="503"/>
      <c r="HT154" s="500">
        <v>2046</v>
      </c>
      <c r="HU154" s="501">
        <v>1623</v>
      </c>
      <c r="HV154" s="501">
        <v>1419</v>
      </c>
      <c r="HW154" s="501">
        <v>1334</v>
      </c>
      <c r="HX154" s="502">
        <v>1115</v>
      </c>
      <c r="HY154" s="502">
        <v>982</v>
      </c>
      <c r="HZ154" s="502">
        <v>1000</v>
      </c>
      <c r="IA154" s="502">
        <v>1050</v>
      </c>
      <c r="IB154" s="503"/>
      <c r="IC154" s="500">
        <v>9247</v>
      </c>
      <c r="ID154" s="501">
        <v>7705</v>
      </c>
      <c r="IE154" s="501">
        <v>6983</v>
      </c>
      <c r="IF154" s="501">
        <v>5785</v>
      </c>
      <c r="IG154" s="502">
        <v>6103</v>
      </c>
      <c r="IH154" s="502">
        <v>4851</v>
      </c>
      <c r="II154" s="502">
        <v>4505</v>
      </c>
      <c r="IJ154" s="502">
        <v>4310</v>
      </c>
      <c r="IK154" s="503"/>
      <c r="IL154" s="500">
        <v>798</v>
      </c>
      <c r="IM154" s="501">
        <v>757</v>
      </c>
      <c r="IN154" s="501">
        <v>822</v>
      </c>
      <c r="IO154" s="501">
        <v>619</v>
      </c>
      <c r="IP154" s="502">
        <v>508</v>
      </c>
      <c r="IQ154" s="502">
        <v>716</v>
      </c>
      <c r="IR154" s="502">
        <v>569</v>
      </c>
      <c r="IS154" s="502">
        <v>387</v>
      </c>
      <c r="IT154" s="503"/>
      <c r="IU154" s="547">
        <v>3957.6289321634922</v>
      </c>
      <c r="IV154" s="548">
        <v>3332.8575198003314</v>
      </c>
      <c r="IW154" s="548">
        <v>3047.8011138462612</v>
      </c>
      <c r="IX154" s="548">
        <v>2515.851823503318</v>
      </c>
      <c r="IY154" s="549">
        <v>2676.8013473920596</v>
      </c>
      <c r="IZ154" s="549">
        <v>2147.0681963033776</v>
      </c>
      <c r="JA154" s="549">
        <v>2014.596320510871</v>
      </c>
      <c r="JB154" s="549">
        <v>1943.2008259730658</v>
      </c>
      <c r="JC154" s="550"/>
      <c r="JD154" s="551">
        <v>875.66873528782367</v>
      </c>
      <c r="JE154" s="552">
        <v>702.04124005657854</v>
      </c>
      <c r="JF154" s="552">
        <v>619.3369297648353</v>
      </c>
      <c r="JG154" s="552">
        <v>580.14629776204436</v>
      </c>
      <c r="JH154" s="552">
        <v>489.04366743276194</v>
      </c>
      <c r="JI154" s="553">
        <v>434.63635719849867</v>
      </c>
      <c r="JJ154" s="553">
        <v>447.19119212227997</v>
      </c>
      <c r="JK154" s="553">
        <v>473.40159333450561</v>
      </c>
      <c r="JL154" s="550"/>
      <c r="JM154" s="551">
        <v>1983.3083672159212</v>
      </c>
      <c r="JN154" s="552">
        <v>1722.0124317099439</v>
      </c>
      <c r="JO154" s="552">
        <v>1703.940362087327</v>
      </c>
      <c r="JP154" s="552">
        <v>1592.1406267667498</v>
      </c>
      <c r="JQ154" s="552">
        <v>1456.6045018333655</v>
      </c>
      <c r="JR154" s="553">
        <v>1287.5327526379151</v>
      </c>
      <c r="JS154" s="553">
        <v>1139.8903487196917</v>
      </c>
      <c r="JT154" s="553">
        <v>1017.5879963390277</v>
      </c>
      <c r="JU154" s="550"/>
      <c r="JV154" s="551">
        <v>598.75882730579929</v>
      </c>
      <c r="JW154" s="552">
        <v>512.58094237033004</v>
      </c>
      <c r="JX154" s="552">
        <v>435.58721346392218</v>
      </c>
      <c r="JY154" s="552">
        <v>375.74692748606174</v>
      </c>
      <c r="JZ154" s="552">
        <v>248.24996929770697</v>
      </c>
      <c r="KA154" s="553">
        <v>227.05544933078394</v>
      </c>
      <c r="KB154" s="553">
        <v>218.67649294779488</v>
      </c>
      <c r="KC154" s="553">
        <v>221.37160221642117</v>
      </c>
      <c r="KD154" s="550"/>
    </row>
    <row r="155" spans="1:290" ht="15" customHeight="1" x14ac:dyDescent="0.2">
      <c r="A155" s="929" t="s">
        <v>560</v>
      </c>
      <c r="B155" s="485" t="s">
        <v>754</v>
      </c>
      <c r="C155" s="486">
        <v>2</v>
      </c>
      <c r="D155" s="487">
        <v>2</v>
      </c>
      <c r="E155" s="487">
        <v>4</v>
      </c>
      <c r="F155" s="487">
        <v>4</v>
      </c>
      <c r="G155" s="488"/>
      <c r="H155" s="488">
        <v>1</v>
      </c>
      <c r="I155" s="488">
        <v>1</v>
      </c>
      <c r="J155" s="488">
        <v>2</v>
      </c>
      <c r="K155" s="489"/>
      <c r="L155" s="486">
        <v>2</v>
      </c>
      <c r="M155" s="487">
        <v>2</v>
      </c>
      <c r="N155" s="487"/>
      <c r="O155" s="487">
        <v>2</v>
      </c>
      <c r="P155" s="488"/>
      <c r="Q155" s="488">
        <v>1</v>
      </c>
      <c r="R155" s="488">
        <v>1</v>
      </c>
      <c r="S155" s="488">
        <v>1</v>
      </c>
      <c r="T155" s="489"/>
      <c r="U155" s="486"/>
      <c r="V155" s="487"/>
      <c r="W155" s="487">
        <v>4</v>
      </c>
      <c r="X155" s="487">
        <v>1</v>
      </c>
      <c r="Y155" s="488"/>
      <c r="Z155" s="488"/>
      <c r="AA155" s="488"/>
      <c r="AB155" s="488">
        <v>1</v>
      </c>
      <c r="AC155" s="489"/>
      <c r="AD155" s="486">
        <v>136</v>
      </c>
      <c r="AE155" s="487">
        <v>153</v>
      </c>
      <c r="AF155" s="487">
        <v>133</v>
      </c>
      <c r="AG155" s="487">
        <v>123</v>
      </c>
      <c r="AH155" s="488">
        <v>126</v>
      </c>
      <c r="AI155" s="488">
        <v>110</v>
      </c>
      <c r="AJ155" s="488">
        <v>68</v>
      </c>
      <c r="AK155" s="488">
        <v>69</v>
      </c>
      <c r="AL155" s="489"/>
      <c r="AM155" s="486">
        <v>58</v>
      </c>
      <c r="AN155" s="487">
        <v>51</v>
      </c>
      <c r="AO155" s="487">
        <v>43</v>
      </c>
      <c r="AP155" s="487">
        <v>55</v>
      </c>
      <c r="AQ155" s="488">
        <v>49</v>
      </c>
      <c r="AR155" s="488">
        <v>52</v>
      </c>
      <c r="AS155" s="488">
        <v>29</v>
      </c>
      <c r="AT155" s="488">
        <v>30</v>
      </c>
      <c r="AU155" s="489"/>
      <c r="AV155" s="486"/>
      <c r="AW155" s="487"/>
      <c r="AX155" s="487"/>
      <c r="AY155" s="487"/>
      <c r="AZ155" s="488"/>
      <c r="BA155" s="488">
        <v>1</v>
      </c>
      <c r="BB155" s="488"/>
      <c r="BC155" s="488"/>
      <c r="BD155" s="489"/>
      <c r="BE155" s="486">
        <v>14</v>
      </c>
      <c r="BF155" s="487">
        <v>26</v>
      </c>
      <c r="BG155" s="487">
        <v>7</v>
      </c>
      <c r="BH155" s="487">
        <v>5</v>
      </c>
      <c r="BI155" s="488">
        <v>7</v>
      </c>
      <c r="BJ155" s="488">
        <v>2</v>
      </c>
      <c r="BK155" s="488">
        <v>5</v>
      </c>
      <c r="BL155" s="488">
        <v>24</v>
      </c>
      <c r="BM155" s="489"/>
      <c r="BN155" s="486"/>
      <c r="BO155" s="487"/>
      <c r="BP155" s="487">
        <v>3</v>
      </c>
      <c r="BQ155" s="487">
        <v>1</v>
      </c>
      <c r="BR155" s="488">
        <v>5</v>
      </c>
      <c r="BS155" s="488"/>
      <c r="BT155" s="488">
        <v>2</v>
      </c>
      <c r="BU155" s="488"/>
      <c r="BV155" s="489"/>
      <c r="BW155" s="486">
        <v>275</v>
      </c>
      <c r="BX155" s="487">
        <v>241</v>
      </c>
      <c r="BY155" s="487">
        <v>278</v>
      </c>
      <c r="BZ155" s="487">
        <v>242</v>
      </c>
      <c r="CA155" s="488">
        <v>243</v>
      </c>
      <c r="CB155" s="488">
        <v>191</v>
      </c>
      <c r="CC155" s="488">
        <v>150</v>
      </c>
      <c r="CD155" s="488">
        <v>160</v>
      </c>
      <c r="CE155" s="489"/>
      <c r="CF155" s="486">
        <v>6</v>
      </c>
      <c r="CG155" s="487">
        <v>5</v>
      </c>
      <c r="CH155" s="487">
        <v>4</v>
      </c>
      <c r="CI155" s="487">
        <v>7</v>
      </c>
      <c r="CJ155" s="488">
        <v>2</v>
      </c>
      <c r="CK155" s="488"/>
      <c r="CL155" s="488">
        <v>3</v>
      </c>
      <c r="CM155" s="488">
        <v>1</v>
      </c>
      <c r="CN155" s="489"/>
      <c r="CO155" s="486">
        <v>12</v>
      </c>
      <c r="CP155" s="487">
        <v>22</v>
      </c>
      <c r="CQ155" s="487">
        <v>9</v>
      </c>
      <c r="CR155" s="487">
        <v>15</v>
      </c>
      <c r="CS155" s="488">
        <v>14</v>
      </c>
      <c r="CT155" s="488">
        <v>9</v>
      </c>
      <c r="CU155" s="488">
        <v>3</v>
      </c>
      <c r="CV155" s="488">
        <v>11</v>
      </c>
      <c r="CW155" s="489"/>
      <c r="CX155" s="486">
        <v>1956</v>
      </c>
      <c r="CY155" s="487">
        <v>1602</v>
      </c>
      <c r="CZ155" s="487">
        <v>1436</v>
      </c>
      <c r="DA155" s="487">
        <v>1064</v>
      </c>
      <c r="DB155" s="488">
        <v>1243</v>
      </c>
      <c r="DC155" s="488">
        <v>939</v>
      </c>
      <c r="DD155" s="488">
        <v>632</v>
      </c>
      <c r="DE155" s="488">
        <v>658</v>
      </c>
      <c r="DF155" s="489"/>
      <c r="DG155" s="486">
        <v>5</v>
      </c>
      <c r="DH155" s="487">
        <v>7</v>
      </c>
      <c r="DI155" s="487">
        <v>6</v>
      </c>
      <c r="DJ155" s="487">
        <v>4</v>
      </c>
      <c r="DK155" s="488">
        <v>3</v>
      </c>
      <c r="DL155" s="488">
        <v>1</v>
      </c>
      <c r="DM155" s="488">
        <v>3</v>
      </c>
      <c r="DN155" s="488">
        <v>2</v>
      </c>
      <c r="DO155" s="489"/>
      <c r="DP155" s="486">
        <v>107</v>
      </c>
      <c r="DQ155" s="487">
        <v>31</v>
      </c>
      <c r="DR155" s="487">
        <v>36</v>
      </c>
      <c r="DS155" s="487">
        <v>24</v>
      </c>
      <c r="DT155" s="488">
        <v>39</v>
      </c>
      <c r="DU155" s="488">
        <v>29</v>
      </c>
      <c r="DV155" s="488">
        <v>8</v>
      </c>
      <c r="DW155" s="488">
        <v>9</v>
      </c>
      <c r="DX155" s="489"/>
      <c r="DY155" s="486">
        <v>164</v>
      </c>
      <c r="DZ155" s="487">
        <v>120</v>
      </c>
      <c r="EA155" s="487">
        <v>137</v>
      </c>
      <c r="EB155" s="487">
        <v>87</v>
      </c>
      <c r="EC155" s="488">
        <v>89</v>
      </c>
      <c r="ED155" s="488">
        <v>123</v>
      </c>
      <c r="EE155" s="488">
        <v>104</v>
      </c>
      <c r="EF155" s="488">
        <v>65</v>
      </c>
      <c r="EG155" s="489"/>
      <c r="EH155" s="486">
        <v>46</v>
      </c>
      <c r="EI155" s="487">
        <v>20</v>
      </c>
      <c r="EJ155" s="487">
        <v>17</v>
      </c>
      <c r="EK155" s="487">
        <v>8</v>
      </c>
      <c r="EL155" s="488">
        <v>12</v>
      </c>
      <c r="EM155" s="488">
        <v>7</v>
      </c>
      <c r="EN155" s="488">
        <v>6</v>
      </c>
      <c r="EO155" s="488">
        <v>3</v>
      </c>
      <c r="EP155" s="489"/>
      <c r="EQ155" s="486">
        <v>1</v>
      </c>
      <c r="ER155" s="487">
        <v>6</v>
      </c>
      <c r="ES155" s="487">
        <v>7</v>
      </c>
      <c r="ET155" s="487">
        <v>6</v>
      </c>
      <c r="EU155" s="488">
        <v>4</v>
      </c>
      <c r="EV155" s="488">
        <v>13</v>
      </c>
      <c r="EW155" s="488">
        <v>12</v>
      </c>
      <c r="EX155" s="488">
        <v>18</v>
      </c>
      <c r="EY155" s="489"/>
      <c r="EZ155" s="486">
        <v>15</v>
      </c>
      <c r="FA155" s="487">
        <v>5</v>
      </c>
      <c r="FB155" s="487">
        <v>12</v>
      </c>
      <c r="FC155" s="487">
        <v>3</v>
      </c>
      <c r="FD155" s="488">
        <v>6</v>
      </c>
      <c r="FE155" s="488">
        <v>4</v>
      </c>
      <c r="FF155" s="488"/>
      <c r="FG155" s="488">
        <v>3</v>
      </c>
      <c r="FH155" s="489"/>
      <c r="FI155" s="486">
        <v>161</v>
      </c>
      <c r="FJ155" s="487">
        <v>131</v>
      </c>
      <c r="FK155" s="487">
        <v>101</v>
      </c>
      <c r="FL155" s="487">
        <v>90</v>
      </c>
      <c r="FM155" s="488">
        <v>94</v>
      </c>
      <c r="FN155" s="488">
        <v>77</v>
      </c>
      <c r="FO155" s="488">
        <v>70</v>
      </c>
      <c r="FP155" s="488">
        <v>86</v>
      </c>
      <c r="FQ155" s="489"/>
      <c r="FR155" s="486">
        <v>4</v>
      </c>
      <c r="FS155" s="487">
        <v>24</v>
      </c>
      <c r="FT155" s="487">
        <v>21</v>
      </c>
      <c r="FU155" s="487">
        <v>4</v>
      </c>
      <c r="FV155" s="488">
        <v>18</v>
      </c>
      <c r="FW155" s="488">
        <v>15</v>
      </c>
      <c r="FX155" s="488">
        <v>1</v>
      </c>
      <c r="FY155" s="488">
        <v>2</v>
      </c>
      <c r="FZ155" s="489"/>
      <c r="GA155" s="486">
        <v>8</v>
      </c>
      <c r="GB155" s="487">
        <v>7</v>
      </c>
      <c r="GC155" s="487">
        <v>4</v>
      </c>
      <c r="GD155" s="487">
        <v>6</v>
      </c>
      <c r="GE155" s="488">
        <v>10</v>
      </c>
      <c r="GF155" s="488">
        <v>10</v>
      </c>
      <c r="GG155" s="488">
        <v>8</v>
      </c>
      <c r="GH155" s="488">
        <v>21</v>
      </c>
      <c r="GI155" s="489"/>
      <c r="GJ155" s="486">
        <v>2636</v>
      </c>
      <c r="GK155" s="487">
        <v>2244</v>
      </c>
      <c r="GL155" s="487">
        <v>2036</v>
      </c>
      <c r="GM155" s="487">
        <v>1578</v>
      </c>
      <c r="GN155" s="488">
        <v>1784</v>
      </c>
      <c r="GO155" s="488">
        <v>1378</v>
      </c>
      <c r="GP155" s="488">
        <v>961</v>
      </c>
      <c r="GQ155" s="488">
        <v>1058</v>
      </c>
      <c r="GR155" s="489"/>
      <c r="GS155" s="486">
        <v>839</v>
      </c>
      <c r="GT155" s="487">
        <v>760</v>
      </c>
      <c r="GU155" s="487">
        <v>702</v>
      </c>
      <c r="GV155" s="487">
        <v>478</v>
      </c>
      <c r="GW155" s="488">
        <v>341</v>
      </c>
      <c r="GX155" s="488">
        <v>300</v>
      </c>
      <c r="GY155" s="488">
        <v>255</v>
      </c>
      <c r="GZ155" s="488">
        <v>201</v>
      </c>
      <c r="HA155" s="489"/>
      <c r="HB155" s="486">
        <v>6</v>
      </c>
      <c r="HC155" s="487">
        <v>13</v>
      </c>
      <c r="HD155" s="487">
        <v>9</v>
      </c>
      <c r="HE155" s="487">
        <v>6</v>
      </c>
      <c r="HF155" s="488">
        <v>6</v>
      </c>
      <c r="HG155" s="488">
        <v>7</v>
      </c>
      <c r="HH155" s="488">
        <v>9</v>
      </c>
      <c r="HI155" s="488">
        <v>7</v>
      </c>
      <c r="HJ155" s="489"/>
      <c r="HK155" s="486">
        <v>2</v>
      </c>
      <c r="HL155" s="487">
        <v>9</v>
      </c>
      <c r="HM155" s="487">
        <v>3</v>
      </c>
      <c r="HN155" s="487">
        <v>4</v>
      </c>
      <c r="HO155" s="488">
        <v>2</v>
      </c>
      <c r="HP155" s="488">
        <v>3</v>
      </c>
      <c r="HQ155" s="488">
        <v>3</v>
      </c>
      <c r="HR155" s="488">
        <v>5</v>
      </c>
      <c r="HS155" s="489"/>
      <c r="HT155" s="486">
        <v>1107</v>
      </c>
      <c r="HU155" s="487">
        <v>1040</v>
      </c>
      <c r="HV155" s="487">
        <v>966</v>
      </c>
      <c r="HW155" s="487">
        <v>829</v>
      </c>
      <c r="HX155" s="488">
        <v>638</v>
      </c>
      <c r="HY155" s="488">
        <v>582</v>
      </c>
      <c r="HZ155" s="488">
        <v>496</v>
      </c>
      <c r="IA155" s="488">
        <v>538</v>
      </c>
      <c r="IB155" s="489"/>
      <c r="IC155" s="486">
        <v>4275</v>
      </c>
      <c r="ID155" s="487">
        <v>4323</v>
      </c>
      <c r="IE155" s="487">
        <v>3808</v>
      </c>
      <c r="IF155" s="487">
        <v>2865</v>
      </c>
      <c r="IG155" s="488">
        <v>2965</v>
      </c>
      <c r="IH155" s="488">
        <v>2635</v>
      </c>
      <c r="II155" s="488">
        <v>1846</v>
      </c>
      <c r="IJ155" s="488">
        <v>2349</v>
      </c>
      <c r="IK155" s="489"/>
      <c r="IL155" s="486">
        <v>499</v>
      </c>
      <c r="IM155" s="487">
        <v>359</v>
      </c>
      <c r="IN155" s="487">
        <v>386</v>
      </c>
      <c r="IO155" s="487">
        <v>156</v>
      </c>
      <c r="IP155" s="488">
        <v>96</v>
      </c>
      <c r="IQ155" s="488">
        <v>225</v>
      </c>
      <c r="IR155" s="488">
        <v>147</v>
      </c>
      <c r="IS155" s="488">
        <v>107</v>
      </c>
      <c r="IT155" s="489"/>
      <c r="IU155" s="526">
        <v>3765.6572062787377</v>
      </c>
      <c r="IV155" s="527">
        <v>3809.1797442923985</v>
      </c>
      <c r="IW155" s="527">
        <v>3368.0337510945228</v>
      </c>
      <c r="IX155" s="527">
        <v>2592.6663288206764</v>
      </c>
      <c r="IY155" s="528">
        <v>2685.8830350025364</v>
      </c>
      <c r="IZ155" s="528">
        <v>2378.7599754450584</v>
      </c>
      <c r="JA155" s="528">
        <v>1665.3285099549837</v>
      </c>
      <c r="JB155" s="528">
        <v>2121.4721156017158</v>
      </c>
      <c r="JC155" s="529"/>
      <c r="JD155" s="530">
        <v>975.10702394165219</v>
      </c>
      <c r="JE155" s="531">
        <v>916.38837244138199</v>
      </c>
      <c r="JF155" s="531">
        <v>854.39091479971341</v>
      </c>
      <c r="JG155" s="531">
        <v>750.19908781582569</v>
      </c>
      <c r="JH155" s="531">
        <v>577.94043046597574</v>
      </c>
      <c r="JI155" s="532">
        <v>525.40353157837717</v>
      </c>
      <c r="JJ155" s="532">
        <v>447.45554763687539</v>
      </c>
      <c r="JK155" s="532">
        <v>485.88846240686388</v>
      </c>
      <c r="JL155" s="529"/>
      <c r="JM155" s="530">
        <v>2321.9350633335098</v>
      </c>
      <c r="JN155" s="531">
        <v>1977.2841420754435</v>
      </c>
      <c r="JO155" s="531">
        <v>1800.7659446503278</v>
      </c>
      <c r="JP155" s="531">
        <v>1428.0026062404979</v>
      </c>
      <c r="JQ155" s="531">
        <v>1616.0591347199074</v>
      </c>
      <c r="JR155" s="532">
        <v>1243.9966778608314</v>
      </c>
      <c r="JS155" s="532">
        <v>866.94512354644598</v>
      </c>
      <c r="JT155" s="532">
        <v>955.52043350643487</v>
      </c>
      <c r="JU155" s="529"/>
      <c r="JV155" s="530">
        <v>739.03775346616635</v>
      </c>
      <c r="JW155" s="531">
        <v>669.66842601485598</v>
      </c>
      <c r="JX155" s="531">
        <v>620.89277659358061</v>
      </c>
      <c r="JY155" s="531">
        <v>432.56352711214072</v>
      </c>
      <c r="JZ155" s="531">
        <v>308.89919559388358</v>
      </c>
      <c r="KA155" s="532">
        <v>270.82656266926659</v>
      </c>
      <c r="KB155" s="532">
        <v>230.04267066008714</v>
      </c>
      <c r="KC155" s="532">
        <v>181.53081959810339</v>
      </c>
      <c r="KD155" s="529"/>
    </row>
    <row r="156" spans="1:290" ht="15" customHeight="1" x14ac:dyDescent="0.2">
      <c r="A156" s="930"/>
      <c r="B156" s="490" t="s">
        <v>755</v>
      </c>
      <c r="C156" s="491"/>
      <c r="D156" s="492">
        <v>1</v>
      </c>
      <c r="E156" s="492">
        <v>1</v>
      </c>
      <c r="F156" s="492">
        <v>1</v>
      </c>
      <c r="G156" s="493">
        <v>1</v>
      </c>
      <c r="H156" s="493">
        <v>1</v>
      </c>
      <c r="I156" s="493">
        <v>1</v>
      </c>
      <c r="J156" s="493"/>
      <c r="K156" s="199"/>
      <c r="L156" s="491"/>
      <c r="M156" s="492"/>
      <c r="N156" s="492">
        <v>1</v>
      </c>
      <c r="O156" s="492">
        <v>1</v>
      </c>
      <c r="P156" s="493"/>
      <c r="Q156" s="493">
        <v>1</v>
      </c>
      <c r="R156" s="493">
        <v>1</v>
      </c>
      <c r="S156" s="493"/>
      <c r="T156" s="199"/>
      <c r="U156" s="491"/>
      <c r="V156" s="492"/>
      <c r="W156" s="492"/>
      <c r="X156" s="492"/>
      <c r="Y156" s="493">
        <v>1</v>
      </c>
      <c r="Z156" s="493"/>
      <c r="AA156" s="493"/>
      <c r="AB156" s="493"/>
      <c r="AC156" s="199"/>
      <c r="AD156" s="491">
        <v>9</v>
      </c>
      <c r="AE156" s="492">
        <v>13</v>
      </c>
      <c r="AF156" s="492">
        <v>15</v>
      </c>
      <c r="AG156" s="492">
        <v>12</v>
      </c>
      <c r="AH156" s="493">
        <v>13</v>
      </c>
      <c r="AI156" s="493">
        <v>19</v>
      </c>
      <c r="AJ156" s="493">
        <v>14</v>
      </c>
      <c r="AK156" s="493">
        <v>19</v>
      </c>
      <c r="AL156" s="199"/>
      <c r="AM156" s="491">
        <v>7</v>
      </c>
      <c r="AN156" s="492">
        <v>7</v>
      </c>
      <c r="AO156" s="492">
        <v>6</v>
      </c>
      <c r="AP156" s="492">
        <v>8</v>
      </c>
      <c r="AQ156" s="493">
        <v>6</v>
      </c>
      <c r="AR156" s="493">
        <v>7</v>
      </c>
      <c r="AS156" s="493">
        <v>5</v>
      </c>
      <c r="AT156" s="493">
        <v>1</v>
      </c>
      <c r="AU156" s="199"/>
      <c r="AV156" s="491"/>
      <c r="AW156" s="492"/>
      <c r="AX156" s="492"/>
      <c r="AY156" s="492"/>
      <c r="AZ156" s="493"/>
      <c r="BA156" s="493"/>
      <c r="BB156" s="493"/>
      <c r="BC156" s="493"/>
      <c r="BD156" s="199"/>
      <c r="BE156" s="491">
        <v>3</v>
      </c>
      <c r="BF156" s="492">
        <v>1</v>
      </c>
      <c r="BG156" s="492">
        <v>8</v>
      </c>
      <c r="BH156" s="492">
        <v>3</v>
      </c>
      <c r="BI156" s="493">
        <v>5</v>
      </c>
      <c r="BJ156" s="493"/>
      <c r="BK156" s="493"/>
      <c r="BL156" s="493"/>
      <c r="BM156" s="199"/>
      <c r="BN156" s="491"/>
      <c r="BO156" s="492"/>
      <c r="BP156" s="492"/>
      <c r="BQ156" s="492"/>
      <c r="BR156" s="493"/>
      <c r="BS156" s="493"/>
      <c r="BT156" s="493"/>
      <c r="BU156" s="493"/>
      <c r="BV156" s="199"/>
      <c r="BW156" s="491">
        <v>14</v>
      </c>
      <c r="BX156" s="492">
        <v>42</v>
      </c>
      <c r="BY156" s="492">
        <v>24</v>
      </c>
      <c r="BZ156" s="492">
        <v>28</v>
      </c>
      <c r="CA156" s="493">
        <v>37</v>
      </c>
      <c r="CB156" s="493">
        <v>38</v>
      </c>
      <c r="CC156" s="493">
        <v>28</v>
      </c>
      <c r="CD156" s="493">
        <v>26</v>
      </c>
      <c r="CE156" s="199"/>
      <c r="CF156" s="491">
        <v>1</v>
      </c>
      <c r="CG156" s="492">
        <v>1</v>
      </c>
      <c r="CH156" s="492">
        <v>1</v>
      </c>
      <c r="CI156" s="492"/>
      <c r="CJ156" s="493"/>
      <c r="CK156" s="493">
        <v>1</v>
      </c>
      <c r="CL156" s="493">
        <v>2</v>
      </c>
      <c r="CM156" s="493"/>
      <c r="CN156" s="199"/>
      <c r="CO156" s="491"/>
      <c r="CP156" s="492">
        <v>1</v>
      </c>
      <c r="CQ156" s="492"/>
      <c r="CR156" s="492"/>
      <c r="CS156" s="493">
        <v>2</v>
      </c>
      <c r="CT156" s="493"/>
      <c r="CU156" s="493"/>
      <c r="CV156" s="493"/>
      <c r="CW156" s="199"/>
      <c r="CX156" s="491">
        <v>306</v>
      </c>
      <c r="CY156" s="492">
        <v>231</v>
      </c>
      <c r="CZ156" s="492">
        <v>237</v>
      </c>
      <c r="DA156" s="492">
        <v>228</v>
      </c>
      <c r="DB156" s="493">
        <v>196</v>
      </c>
      <c r="DC156" s="493">
        <v>183</v>
      </c>
      <c r="DD156" s="493">
        <v>92</v>
      </c>
      <c r="DE156" s="493">
        <v>141</v>
      </c>
      <c r="DF156" s="199"/>
      <c r="DG156" s="491">
        <v>2</v>
      </c>
      <c r="DH156" s="492">
        <v>2</v>
      </c>
      <c r="DI156" s="492">
        <v>1</v>
      </c>
      <c r="DJ156" s="492"/>
      <c r="DK156" s="493">
        <v>2</v>
      </c>
      <c r="DL156" s="493">
        <v>4</v>
      </c>
      <c r="DM156" s="493"/>
      <c r="DN156" s="493">
        <v>6</v>
      </c>
      <c r="DO156" s="199"/>
      <c r="DP156" s="491">
        <v>7</v>
      </c>
      <c r="DQ156" s="492">
        <v>2</v>
      </c>
      <c r="DR156" s="492">
        <v>2</v>
      </c>
      <c r="DS156" s="492">
        <v>5</v>
      </c>
      <c r="DT156" s="493">
        <v>11</v>
      </c>
      <c r="DU156" s="493">
        <v>4</v>
      </c>
      <c r="DV156" s="493">
        <v>2</v>
      </c>
      <c r="DW156" s="493">
        <v>1</v>
      </c>
      <c r="DX156" s="199"/>
      <c r="DY156" s="491">
        <v>52</v>
      </c>
      <c r="DZ156" s="492">
        <v>21</v>
      </c>
      <c r="EA156" s="492">
        <v>30</v>
      </c>
      <c r="EB156" s="492">
        <v>30</v>
      </c>
      <c r="EC156" s="493">
        <v>27</v>
      </c>
      <c r="ED156" s="493">
        <v>35</v>
      </c>
      <c r="EE156" s="493">
        <v>14</v>
      </c>
      <c r="EF156" s="493">
        <v>17</v>
      </c>
      <c r="EG156" s="199"/>
      <c r="EH156" s="491">
        <v>8</v>
      </c>
      <c r="EI156" s="492">
        <v>3</v>
      </c>
      <c r="EJ156" s="492">
        <v>3</v>
      </c>
      <c r="EK156" s="492">
        <v>2</v>
      </c>
      <c r="EL156" s="493">
        <v>3</v>
      </c>
      <c r="EM156" s="493">
        <v>3</v>
      </c>
      <c r="EN156" s="493">
        <v>1</v>
      </c>
      <c r="EO156" s="493">
        <v>1</v>
      </c>
      <c r="EP156" s="199"/>
      <c r="EQ156" s="491">
        <v>1</v>
      </c>
      <c r="ER156" s="492">
        <v>2</v>
      </c>
      <c r="ES156" s="492"/>
      <c r="ET156" s="492"/>
      <c r="EU156" s="493">
        <v>1</v>
      </c>
      <c r="EV156" s="493">
        <v>2</v>
      </c>
      <c r="EW156" s="493">
        <v>1</v>
      </c>
      <c r="EX156" s="493">
        <v>1</v>
      </c>
      <c r="EY156" s="199"/>
      <c r="EZ156" s="491"/>
      <c r="FA156" s="492"/>
      <c r="FB156" s="492">
        <v>1</v>
      </c>
      <c r="FC156" s="492"/>
      <c r="FD156" s="493"/>
      <c r="FE156" s="493">
        <v>2</v>
      </c>
      <c r="FF156" s="493">
        <v>1</v>
      </c>
      <c r="FG156" s="493"/>
      <c r="FH156" s="199"/>
      <c r="FI156" s="491">
        <v>13</v>
      </c>
      <c r="FJ156" s="492">
        <v>42</v>
      </c>
      <c r="FK156" s="492">
        <v>22</v>
      </c>
      <c r="FL156" s="492">
        <v>10</v>
      </c>
      <c r="FM156" s="493">
        <v>18</v>
      </c>
      <c r="FN156" s="493">
        <v>39</v>
      </c>
      <c r="FO156" s="493">
        <v>7</v>
      </c>
      <c r="FP156" s="493">
        <v>8</v>
      </c>
      <c r="FQ156" s="199"/>
      <c r="FR156" s="491">
        <v>1</v>
      </c>
      <c r="FS156" s="492">
        <v>2</v>
      </c>
      <c r="FT156" s="492">
        <v>2</v>
      </c>
      <c r="FU156" s="492">
        <v>1</v>
      </c>
      <c r="FV156" s="493"/>
      <c r="FW156" s="493">
        <v>1</v>
      </c>
      <c r="FX156" s="493"/>
      <c r="FY156" s="493">
        <v>1</v>
      </c>
      <c r="FZ156" s="199"/>
      <c r="GA156" s="491">
        <v>2</v>
      </c>
      <c r="GB156" s="492">
        <v>6</v>
      </c>
      <c r="GC156" s="492"/>
      <c r="GD156" s="492">
        <v>1</v>
      </c>
      <c r="GE156" s="493">
        <v>3</v>
      </c>
      <c r="GF156" s="493">
        <v>4</v>
      </c>
      <c r="GG156" s="493">
        <v>4</v>
      </c>
      <c r="GH156" s="493">
        <v>5</v>
      </c>
      <c r="GI156" s="199"/>
      <c r="GJ156" s="491">
        <v>358</v>
      </c>
      <c r="GK156" s="492">
        <v>345</v>
      </c>
      <c r="GL156" s="492">
        <v>314</v>
      </c>
      <c r="GM156" s="492">
        <v>286</v>
      </c>
      <c r="GN156" s="493">
        <v>279</v>
      </c>
      <c r="GO156" s="493">
        <v>293</v>
      </c>
      <c r="GP156" s="493">
        <v>151</v>
      </c>
      <c r="GQ156" s="493">
        <v>202</v>
      </c>
      <c r="GR156" s="199"/>
      <c r="GS156" s="491">
        <v>86</v>
      </c>
      <c r="GT156" s="492">
        <v>110</v>
      </c>
      <c r="GU156" s="492">
        <v>96</v>
      </c>
      <c r="GV156" s="492">
        <v>77</v>
      </c>
      <c r="GW156" s="493">
        <v>47</v>
      </c>
      <c r="GX156" s="493">
        <v>59</v>
      </c>
      <c r="GY156" s="493">
        <v>38</v>
      </c>
      <c r="GZ156" s="493">
        <v>73</v>
      </c>
      <c r="HA156" s="199"/>
      <c r="HB156" s="491">
        <v>3</v>
      </c>
      <c r="HC156" s="492">
        <v>1</v>
      </c>
      <c r="HD156" s="492">
        <v>1</v>
      </c>
      <c r="HE156" s="492">
        <v>1</v>
      </c>
      <c r="HF156" s="493"/>
      <c r="HG156" s="493"/>
      <c r="HH156" s="493"/>
      <c r="HI156" s="493"/>
      <c r="HJ156" s="199"/>
      <c r="HK156" s="491"/>
      <c r="HL156" s="492"/>
      <c r="HM156" s="492">
        <v>1</v>
      </c>
      <c r="HN156" s="492">
        <v>1</v>
      </c>
      <c r="HO156" s="493">
        <v>1</v>
      </c>
      <c r="HP156" s="493"/>
      <c r="HQ156" s="493"/>
      <c r="HR156" s="493">
        <v>1</v>
      </c>
      <c r="HS156" s="199"/>
      <c r="HT156" s="491">
        <v>153</v>
      </c>
      <c r="HU156" s="492">
        <v>176</v>
      </c>
      <c r="HV156" s="492">
        <v>148</v>
      </c>
      <c r="HW156" s="492">
        <v>116</v>
      </c>
      <c r="HX156" s="493">
        <v>95</v>
      </c>
      <c r="HY156" s="493">
        <v>107</v>
      </c>
      <c r="HZ156" s="493">
        <v>96</v>
      </c>
      <c r="IA156" s="493">
        <v>144</v>
      </c>
      <c r="IB156" s="199"/>
      <c r="IC156" s="491">
        <v>649</v>
      </c>
      <c r="ID156" s="492">
        <v>579</v>
      </c>
      <c r="IE156" s="492">
        <v>513</v>
      </c>
      <c r="IF156" s="492">
        <v>485</v>
      </c>
      <c r="IG156" s="493">
        <v>483</v>
      </c>
      <c r="IH156" s="493">
        <v>475</v>
      </c>
      <c r="II156" s="493">
        <v>317</v>
      </c>
      <c r="IJ156" s="493">
        <v>378</v>
      </c>
      <c r="IK156" s="199"/>
      <c r="IL156" s="491">
        <v>136</v>
      </c>
      <c r="IM156" s="492">
        <v>70</v>
      </c>
      <c r="IN156" s="492">
        <v>67</v>
      </c>
      <c r="IO156" s="492">
        <v>47</v>
      </c>
      <c r="IP156" s="493">
        <v>41</v>
      </c>
      <c r="IQ156" s="493">
        <v>50</v>
      </c>
      <c r="IR156" s="493">
        <v>39</v>
      </c>
      <c r="IS156" s="493">
        <v>29</v>
      </c>
      <c r="IT156" s="199"/>
      <c r="IU156" s="533">
        <v>2640.0357970955538</v>
      </c>
      <c r="IV156" s="534">
        <v>2390.8824379568073</v>
      </c>
      <c r="IW156" s="534">
        <v>2131.1952141581155</v>
      </c>
      <c r="IX156" s="534">
        <v>1956.6708355186186</v>
      </c>
      <c r="IY156" s="535">
        <v>1968.6162624821684</v>
      </c>
      <c r="IZ156" s="535">
        <v>1953.7676867390587</v>
      </c>
      <c r="JA156" s="535">
        <v>1317.1015456207413</v>
      </c>
      <c r="JB156" s="535">
        <v>1582.1857603281569</v>
      </c>
      <c r="JC156" s="536"/>
      <c r="JD156" s="537">
        <v>622.38132042468374</v>
      </c>
      <c r="JE156" s="538">
        <v>726.76219184870126</v>
      </c>
      <c r="JF156" s="538">
        <v>614.84774209629848</v>
      </c>
      <c r="JG156" s="538">
        <v>467.98725138177269</v>
      </c>
      <c r="JH156" s="538">
        <v>387.20195638883229</v>
      </c>
      <c r="JI156" s="539">
        <v>440.11187890753536</v>
      </c>
      <c r="JJ156" s="539">
        <v>398.86986870533491</v>
      </c>
      <c r="JK156" s="539">
        <v>602.73743250596465</v>
      </c>
      <c r="JL156" s="536"/>
      <c r="JM156" s="537">
        <v>1456.2909327584102</v>
      </c>
      <c r="JN156" s="538">
        <v>1424.6190692488747</v>
      </c>
      <c r="JO156" s="538">
        <v>1304.4742636367414</v>
      </c>
      <c r="JP156" s="538">
        <v>1153.830637027474</v>
      </c>
      <c r="JQ156" s="538">
        <v>1137.1510087629918</v>
      </c>
      <c r="JR156" s="539">
        <v>1205.1661730832509</v>
      </c>
      <c r="JS156" s="539">
        <v>627.38906431776627</v>
      </c>
      <c r="JT156" s="539">
        <v>845.50667615420036</v>
      </c>
      <c r="JU156" s="536"/>
      <c r="JV156" s="537">
        <v>349.835252003417</v>
      </c>
      <c r="JW156" s="538">
        <v>454.22636990543833</v>
      </c>
      <c r="JX156" s="538">
        <v>398.82015703543681</v>
      </c>
      <c r="JY156" s="538">
        <v>310.64670996893534</v>
      </c>
      <c r="JZ156" s="538">
        <v>191.56307316079071</v>
      </c>
      <c r="KA156" s="539">
        <v>242.67851266864099</v>
      </c>
      <c r="KB156" s="539">
        <v>157.88598969586172</v>
      </c>
      <c r="KC156" s="539">
        <v>305.55439286760702</v>
      </c>
      <c r="KD156" s="536"/>
    </row>
    <row r="157" spans="1:290" ht="15" customHeight="1" x14ac:dyDescent="0.2">
      <c r="A157" s="930"/>
      <c r="B157" s="490" t="s">
        <v>756</v>
      </c>
      <c r="C157" s="491"/>
      <c r="D157" s="492">
        <v>1</v>
      </c>
      <c r="E157" s="492"/>
      <c r="F157" s="492"/>
      <c r="G157" s="493"/>
      <c r="H157" s="493"/>
      <c r="I157" s="493">
        <v>2</v>
      </c>
      <c r="J157" s="493"/>
      <c r="K157" s="199"/>
      <c r="L157" s="491"/>
      <c r="M157" s="492"/>
      <c r="N157" s="492"/>
      <c r="O157" s="492"/>
      <c r="P157" s="493"/>
      <c r="Q157" s="493"/>
      <c r="R157" s="493"/>
      <c r="S157" s="493"/>
      <c r="T157" s="199"/>
      <c r="U157" s="491"/>
      <c r="V157" s="492">
        <v>1</v>
      </c>
      <c r="W157" s="492"/>
      <c r="X157" s="492"/>
      <c r="Y157" s="493"/>
      <c r="Z157" s="493"/>
      <c r="AA157" s="493"/>
      <c r="AB157" s="493"/>
      <c r="AC157" s="199"/>
      <c r="AD157" s="491">
        <v>41</v>
      </c>
      <c r="AE157" s="492">
        <v>31</v>
      </c>
      <c r="AF157" s="492">
        <v>50</v>
      </c>
      <c r="AG157" s="492">
        <v>31</v>
      </c>
      <c r="AH157" s="493">
        <v>60</v>
      </c>
      <c r="AI157" s="493">
        <v>52</v>
      </c>
      <c r="AJ157" s="493">
        <v>50</v>
      </c>
      <c r="AK157" s="493">
        <v>53</v>
      </c>
      <c r="AL157" s="199"/>
      <c r="AM157" s="491">
        <v>11</v>
      </c>
      <c r="AN157" s="492">
        <v>13</v>
      </c>
      <c r="AO157" s="492">
        <v>12</v>
      </c>
      <c r="AP157" s="492">
        <v>12</v>
      </c>
      <c r="AQ157" s="493">
        <v>11</v>
      </c>
      <c r="AR157" s="493">
        <v>9</v>
      </c>
      <c r="AS157" s="493">
        <v>11</v>
      </c>
      <c r="AT157" s="493">
        <v>8</v>
      </c>
      <c r="AU157" s="199"/>
      <c r="AV157" s="491">
        <v>1</v>
      </c>
      <c r="AW157" s="492"/>
      <c r="AX157" s="492"/>
      <c r="AY157" s="492"/>
      <c r="AZ157" s="493">
        <v>1</v>
      </c>
      <c r="BA157" s="493"/>
      <c r="BB157" s="493"/>
      <c r="BC157" s="493"/>
      <c r="BD157" s="199"/>
      <c r="BE157" s="491">
        <v>9</v>
      </c>
      <c r="BF157" s="492">
        <v>9</v>
      </c>
      <c r="BG157" s="492">
        <v>15</v>
      </c>
      <c r="BH157" s="492">
        <v>12</v>
      </c>
      <c r="BI157" s="493"/>
      <c r="BJ157" s="493">
        <v>2</v>
      </c>
      <c r="BK157" s="493">
        <v>11</v>
      </c>
      <c r="BL157" s="493">
        <v>10</v>
      </c>
      <c r="BM157" s="199"/>
      <c r="BN157" s="491">
        <v>1</v>
      </c>
      <c r="BO157" s="492">
        <v>4</v>
      </c>
      <c r="BP157" s="492">
        <v>2</v>
      </c>
      <c r="BQ157" s="492">
        <v>6</v>
      </c>
      <c r="BR157" s="493">
        <v>1</v>
      </c>
      <c r="BS157" s="493">
        <v>5</v>
      </c>
      <c r="BT157" s="493">
        <v>1</v>
      </c>
      <c r="BU157" s="493"/>
      <c r="BV157" s="199"/>
      <c r="BW157" s="491">
        <v>73</v>
      </c>
      <c r="BX157" s="492">
        <v>58</v>
      </c>
      <c r="BY157" s="492">
        <v>49</v>
      </c>
      <c r="BZ157" s="492">
        <v>32</v>
      </c>
      <c r="CA157" s="493">
        <v>45</v>
      </c>
      <c r="CB157" s="493">
        <v>50</v>
      </c>
      <c r="CC157" s="493">
        <v>33</v>
      </c>
      <c r="CD157" s="493">
        <v>29</v>
      </c>
      <c r="CE157" s="199"/>
      <c r="CF157" s="491">
        <v>1</v>
      </c>
      <c r="CG157" s="492"/>
      <c r="CH157" s="492">
        <v>1</v>
      </c>
      <c r="CI157" s="492">
        <v>1</v>
      </c>
      <c r="CJ157" s="493"/>
      <c r="CK157" s="493"/>
      <c r="CL157" s="493">
        <v>2</v>
      </c>
      <c r="CM157" s="493">
        <v>1</v>
      </c>
      <c r="CN157" s="199"/>
      <c r="CO157" s="491">
        <v>13</v>
      </c>
      <c r="CP157" s="492">
        <v>9</v>
      </c>
      <c r="CQ157" s="492">
        <v>4</v>
      </c>
      <c r="CR157" s="492">
        <v>5</v>
      </c>
      <c r="CS157" s="493">
        <v>2</v>
      </c>
      <c r="CT157" s="493">
        <v>4</v>
      </c>
      <c r="CU157" s="493">
        <v>5</v>
      </c>
      <c r="CV157" s="493">
        <v>2</v>
      </c>
      <c r="CW157" s="199"/>
      <c r="CX157" s="491">
        <v>402</v>
      </c>
      <c r="CY157" s="492">
        <v>420</v>
      </c>
      <c r="CZ157" s="492">
        <v>476</v>
      </c>
      <c r="DA157" s="492">
        <v>230</v>
      </c>
      <c r="DB157" s="493">
        <v>208</v>
      </c>
      <c r="DC157" s="493">
        <v>169</v>
      </c>
      <c r="DD157" s="493">
        <v>201</v>
      </c>
      <c r="DE157" s="493">
        <v>134</v>
      </c>
      <c r="DF157" s="199"/>
      <c r="DG157" s="491">
        <v>1</v>
      </c>
      <c r="DH157" s="492">
        <v>1</v>
      </c>
      <c r="DI157" s="492">
        <v>3</v>
      </c>
      <c r="DJ157" s="492">
        <v>1</v>
      </c>
      <c r="DK157" s="493">
        <v>1</v>
      </c>
      <c r="DL157" s="493">
        <v>1</v>
      </c>
      <c r="DM157" s="493"/>
      <c r="DN157" s="493">
        <v>2</v>
      </c>
      <c r="DO157" s="199"/>
      <c r="DP157" s="491">
        <v>11</v>
      </c>
      <c r="DQ157" s="492">
        <v>21</v>
      </c>
      <c r="DR157" s="492">
        <v>36</v>
      </c>
      <c r="DS157" s="492">
        <v>3</v>
      </c>
      <c r="DT157" s="493">
        <v>13</v>
      </c>
      <c r="DU157" s="493">
        <v>6</v>
      </c>
      <c r="DV157" s="493">
        <v>1</v>
      </c>
      <c r="DW157" s="493">
        <v>3</v>
      </c>
      <c r="DX157" s="199"/>
      <c r="DY157" s="491">
        <v>43</v>
      </c>
      <c r="DZ157" s="492">
        <v>45</v>
      </c>
      <c r="EA157" s="492">
        <v>42</v>
      </c>
      <c r="EB157" s="492">
        <v>23</v>
      </c>
      <c r="EC157" s="493">
        <v>33</v>
      </c>
      <c r="ED157" s="493">
        <v>26</v>
      </c>
      <c r="EE157" s="493">
        <v>14</v>
      </c>
      <c r="EF157" s="493">
        <v>11</v>
      </c>
      <c r="EG157" s="199"/>
      <c r="EH157" s="491">
        <v>1</v>
      </c>
      <c r="EI157" s="492">
        <v>3</v>
      </c>
      <c r="EJ157" s="492">
        <v>6</v>
      </c>
      <c r="EK157" s="492">
        <v>4</v>
      </c>
      <c r="EL157" s="493">
        <v>2</v>
      </c>
      <c r="EM157" s="493"/>
      <c r="EN157" s="493">
        <v>1</v>
      </c>
      <c r="EO157" s="493"/>
      <c r="EP157" s="199"/>
      <c r="EQ157" s="491">
        <v>1</v>
      </c>
      <c r="ER157" s="492"/>
      <c r="ES157" s="492"/>
      <c r="ET157" s="492">
        <v>1</v>
      </c>
      <c r="EU157" s="493"/>
      <c r="EV157" s="493"/>
      <c r="EW157" s="493">
        <v>3</v>
      </c>
      <c r="EX157" s="493"/>
      <c r="EY157" s="199"/>
      <c r="EZ157" s="491"/>
      <c r="FA157" s="492">
        <v>2</v>
      </c>
      <c r="FB157" s="492">
        <v>2</v>
      </c>
      <c r="FC157" s="492"/>
      <c r="FD157" s="493">
        <v>3</v>
      </c>
      <c r="FE157" s="493"/>
      <c r="FF157" s="493">
        <v>3</v>
      </c>
      <c r="FG157" s="493">
        <v>1</v>
      </c>
      <c r="FH157" s="199"/>
      <c r="FI157" s="491">
        <v>52</v>
      </c>
      <c r="FJ157" s="492">
        <v>52</v>
      </c>
      <c r="FK157" s="492">
        <v>41</v>
      </c>
      <c r="FL157" s="492">
        <v>19</v>
      </c>
      <c r="FM157" s="493">
        <v>20</v>
      </c>
      <c r="FN157" s="493">
        <v>13</v>
      </c>
      <c r="FO157" s="493">
        <v>12</v>
      </c>
      <c r="FP157" s="493">
        <v>19</v>
      </c>
      <c r="FQ157" s="199"/>
      <c r="FR157" s="491">
        <v>2</v>
      </c>
      <c r="FS157" s="492"/>
      <c r="FT157" s="492">
        <v>5</v>
      </c>
      <c r="FU157" s="492">
        <v>7</v>
      </c>
      <c r="FV157" s="493">
        <v>5</v>
      </c>
      <c r="FW157" s="493">
        <v>4</v>
      </c>
      <c r="FX157" s="493">
        <v>1</v>
      </c>
      <c r="FY157" s="493">
        <v>4</v>
      </c>
      <c r="FZ157" s="199"/>
      <c r="GA157" s="491">
        <v>2</v>
      </c>
      <c r="GB157" s="492">
        <v>5</v>
      </c>
      <c r="GC157" s="492">
        <v>4</v>
      </c>
      <c r="GD157" s="492">
        <v>5</v>
      </c>
      <c r="GE157" s="493">
        <v>1</v>
      </c>
      <c r="GF157" s="493">
        <v>2</v>
      </c>
      <c r="GG157" s="493">
        <v>6</v>
      </c>
      <c r="GH157" s="493">
        <v>4</v>
      </c>
      <c r="GI157" s="199"/>
      <c r="GJ157" s="491">
        <v>598</v>
      </c>
      <c r="GK157" s="492">
        <v>594</v>
      </c>
      <c r="GL157" s="492">
        <v>655</v>
      </c>
      <c r="GM157" s="492">
        <v>353</v>
      </c>
      <c r="GN157" s="493">
        <v>347</v>
      </c>
      <c r="GO157" s="493">
        <v>301</v>
      </c>
      <c r="GP157" s="493">
        <v>331</v>
      </c>
      <c r="GQ157" s="493">
        <v>257</v>
      </c>
      <c r="GR157" s="199"/>
      <c r="GS157" s="491">
        <v>165</v>
      </c>
      <c r="GT157" s="492">
        <v>164</v>
      </c>
      <c r="GU157" s="492">
        <v>209</v>
      </c>
      <c r="GV157" s="492">
        <v>98</v>
      </c>
      <c r="GW157" s="493">
        <v>68</v>
      </c>
      <c r="GX157" s="493">
        <v>50</v>
      </c>
      <c r="GY157" s="493">
        <v>67</v>
      </c>
      <c r="GZ157" s="493">
        <v>61</v>
      </c>
      <c r="HA157" s="199"/>
      <c r="HB157" s="491">
        <v>4</v>
      </c>
      <c r="HC157" s="492">
        <v>1</v>
      </c>
      <c r="HD157" s="492">
        <v>2</v>
      </c>
      <c r="HE157" s="492">
        <v>3</v>
      </c>
      <c r="HF157" s="493">
        <v>2</v>
      </c>
      <c r="HG157" s="493">
        <v>9</v>
      </c>
      <c r="HH157" s="493">
        <v>2</v>
      </c>
      <c r="HI157" s="493">
        <v>1</v>
      </c>
      <c r="HJ157" s="199"/>
      <c r="HK157" s="491">
        <v>1</v>
      </c>
      <c r="HL157" s="492">
        <v>4</v>
      </c>
      <c r="HM157" s="492">
        <v>3</v>
      </c>
      <c r="HN157" s="492">
        <v>1</v>
      </c>
      <c r="HO157" s="493">
        <v>1</v>
      </c>
      <c r="HP157" s="493"/>
      <c r="HQ157" s="493">
        <v>2</v>
      </c>
      <c r="HR157" s="493">
        <v>1</v>
      </c>
      <c r="HS157" s="199"/>
      <c r="HT157" s="491">
        <v>278</v>
      </c>
      <c r="HU157" s="492">
        <v>267</v>
      </c>
      <c r="HV157" s="492">
        <v>274</v>
      </c>
      <c r="HW157" s="492">
        <v>199</v>
      </c>
      <c r="HX157" s="493">
        <v>155</v>
      </c>
      <c r="HY157" s="493">
        <v>123</v>
      </c>
      <c r="HZ157" s="493">
        <v>151</v>
      </c>
      <c r="IA157" s="493">
        <v>176</v>
      </c>
      <c r="IB157" s="199"/>
      <c r="IC157" s="491">
        <v>1058</v>
      </c>
      <c r="ID157" s="492">
        <v>1085</v>
      </c>
      <c r="IE157" s="492">
        <v>1095</v>
      </c>
      <c r="IF157" s="492">
        <v>689</v>
      </c>
      <c r="IG157" s="493">
        <v>719</v>
      </c>
      <c r="IH157" s="493">
        <v>578</v>
      </c>
      <c r="II157" s="493">
        <v>651</v>
      </c>
      <c r="IJ157" s="493">
        <v>558</v>
      </c>
      <c r="IK157" s="199"/>
      <c r="IL157" s="491">
        <v>124</v>
      </c>
      <c r="IM157" s="492">
        <v>103</v>
      </c>
      <c r="IN157" s="492">
        <v>115</v>
      </c>
      <c r="IO157" s="492">
        <v>19</v>
      </c>
      <c r="IP157" s="493">
        <v>22</v>
      </c>
      <c r="IQ157" s="493">
        <v>43</v>
      </c>
      <c r="IR157" s="493">
        <v>31</v>
      </c>
      <c r="IS157" s="493">
        <v>21</v>
      </c>
      <c r="IT157" s="199"/>
      <c r="IU157" s="533">
        <v>2496.0483167008751</v>
      </c>
      <c r="IV157" s="534">
        <v>2588.1398788225752</v>
      </c>
      <c r="IW157" s="534">
        <v>2623.8857471484712</v>
      </c>
      <c r="IX157" s="534">
        <v>1638.72041859912</v>
      </c>
      <c r="IY157" s="535">
        <v>1715.2126720580166</v>
      </c>
      <c r="IZ157" s="535">
        <v>1391.8655332675125</v>
      </c>
      <c r="JA157" s="535">
        <v>1577.1877119875955</v>
      </c>
      <c r="JB157" s="535">
        <v>1360.9756097560976</v>
      </c>
      <c r="JC157" s="536"/>
      <c r="JD157" s="537">
        <v>655.86146695920922</v>
      </c>
      <c r="JE157" s="538">
        <v>636.89709460426502</v>
      </c>
      <c r="JF157" s="538">
        <v>656.57049745998279</v>
      </c>
      <c r="JG157" s="538">
        <v>473.30241408015223</v>
      </c>
      <c r="JH157" s="538">
        <v>369.76072902502443</v>
      </c>
      <c r="JI157" s="539">
        <v>296.19283839429767</v>
      </c>
      <c r="JJ157" s="539">
        <v>365.83002228898147</v>
      </c>
      <c r="JK157" s="539">
        <v>429.26829268292687</v>
      </c>
      <c r="JL157" s="536"/>
      <c r="JM157" s="537">
        <v>1410.8099181352775</v>
      </c>
      <c r="JN157" s="538">
        <v>1416.9171318162303</v>
      </c>
      <c r="JO157" s="538">
        <v>1569.5389629061631</v>
      </c>
      <c r="JP157" s="538">
        <v>839.5766440718279</v>
      </c>
      <c r="JQ157" s="538">
        <v>827.78692239795794</v>
      </c>
      <c r="JR157" s="539">
        <v>724.82962891612681</v>
      </c>
      <c r="JS157" s="539">
        <v>801.91879058048255</v>
      </c>
      <c r="JT157" s="539">
        <v>626.82926829268297</v>
      </c>
      <c r="JU157" s="536"/>
      <c r="JV157" s="537">
        <v>389.27029513766013</v>
      </c>
      <c r="JW157" s="538">
        <v>391.20270979437998</v>
      </c>
      <c r="JX157" s="538">
        <v>500.81472251509632</v>
      </c>
      <c r="JY157" s="538">
        <v>233.08360090379355</v>
      </c>
      <c r="JZ157" s="538">
        <v>162.21761015291395</v>
      </c>
      <c r="KA157" s="539">
        <v>120.40359284321045</v>
      </c>
      <c r="KB157" s="539">
        <v>162.32193041961432</v>
      </c>
      <c r="KC157" s="539">
        <v>148.78048780487805</v>
      </c>
      <c r="KD157" s="536"/>
    </row>
    <row r="158" spans="1:290" ht="15" customHeight="1" x14ac:dyDescent="0.2">
      <c r="A158" s="930"/>
      <c r="B158" s="490" t="s">
        <v>757</v>
      </c>
      <c r="C158" s="491"/>
      <c r="D158" s="492">
        <v>1</v>
      </c>
      <c r="E158" s="492"/>
      <c r="F158" s="492"/>
      <c r="G158" s="493"/>
      <c r="H158" s="493"/>
      <c r="I158" s="493">
        <v>1</v>
      </c>
      <c r="J158" s="493"/>
      <c r="K158" s="199"/>
      <c r="L158" s="491"/>
      <c r="M158" s="492">
        <v>1</v>
      </c>
      <c r="N158" s="492"/>
      <c r="O158" s="492"/>
      <c r="P158" s="493"/>
      <c r="Q158" s="493"/>
      <c r="R158" s="493"/>
      <c r="S158" s="493"/>
      <c r="T158" s="199"/>
      <c r="U158" s="491"/>
      <c r="V158" s="492"/>
      <c r="W158" s="492"/>
      <c r="X158" s="492"/>
      <c r="Y158" s="493"/>
      <c r="Z158" s="493"/>
      <c r="AA158" s="493">
        <v>1</v>
      </c>
      <c r="AB158" s="493"/>
      <c r="AC158" s="199"/>
      <c r="AD158" s="491">
        <v>29</v>
      </c>
      <c r="AE158" s="492">
        <v>32</v>
      </c>
      <c r="AF158" s="492">
        <v>14</v>
      </c>
      <c r="AG158" s="492">
        <v>21</v>
      </c>
      <c r="AH158" s="493">
        <v>19</v>
      </c>
      <c r="AI158" s="493">
        <v>23</v>
      </c>
      <c r="AJ158" s="493">
        <v>29</v>
      </c>
      <c r="AK158" s="493">
        <v>31</v>
      </c>
      <c r="AL158" s="199"/>
      <c r="AM158" s="491">
        <v>20</v>
      </c>
      <c r="AN158" s="492">
        <v>17</v>
      </c>
      <c r="AO158" s="492">
        <v>8</v>
      </c>
      <c r="AP158" s="492">
        <v>10</v>
      </c>
      <c r="AQ158" s="493">
        <v>11</v>
      </c>
      <c r="AR158" s="493">
        <v>12</v>
      </c>
      <c r="AS158" s="493">
        <v>11</v>
      </c>
      <c r="AT158" s="493">
        <v>14</v>
      </c>
      <c r="AU158" s="199"/>
      <c r="AV158" s="491"/>
      <c r="AW158" s="492"/>
      <c r="AX158" s="492"/>
      <c r="AY158" s="492"/>
      <c r="AZ158" s="493"/>
      <c r="BA158" s="493"/>
      <c r="BB158" s="493"/>
      <c r="BC158" s="493"/>
      <c r="BD158" s="199"/>
      <c r="BE158" s="491">
        <v>8</v>
      </c>
      <c r="BF158" s="492">
        <v>13</v>
      </c>
      <c r="BG158" s="492">
        <v>7</v>
      </c>
      <c r="BH158" s="492">
        <v>1</v>
      </c>
      <c r="BI158" s="493"/>
      <c r="BJ158" s="493">
        <v>2</v>
      </c>
      <c r="BK158" s="493">
        <v>3</v>
      </c>
      <c r="BL158" s="493">
        <v>3</v>
      </c>
      <c r="BM158" s="199"/>
      <c r="BN158" s="491"/>
      <c r="BO158" s="492">
        <v>1</v>
      </c>
      <c r="BP158" s="492"/>
      <c r="BQ158" s="492"/>
      <c r="BR158" s="493"/>
      <c r="BS158" s="493"/>
      <c r="BT158" s="493">
        <v>1</v>
      </c>
      <c r="BU158" s="493"/>
      <c r="BV158" s="199"/>
      <c r="BW158" s="491">
        <v>49</v>
      </c>
      <c r="BX158" s="492">
        <v>54</v>
      </c>
      <c r="BY158" s="492">
        <v>45</v>
      </c>
      <c r="BZ158" s="492">
        <v>40</v>
      </c>
      <c r="CA158" s="493">
        <v>50</v>
      </c>
      <c r="CB158" s="493">
        <v>45</v>
      </c>
      <c r="CC158" s="493">
        <v>48</v>
      </c>
      <c r="CD158" s="493">
        <v>34</v>
      </c>
      <c r="CE158" s="199"/>
      <c r="CF158" s="491">
        <v>3</v>
      </c>
      <c r="CG158" s="492">
        <v>1</v>
      </c>
      <c r="CH158" s="492">
        <v>1</v>
      </c>
      <c r="CI158" s="492"/>
      <c r="CJ158" s="493">
        <v>2</v>
      </c>
      <c r="CK158" s="493"/>
      <c r="CL158" s="493">
        <v>4</v>
      </c>
      <c r="CM158" s="493">
        <v>1</v>
      </c>
      <c r="CN158" s="199"/>
      <c r="CO158" s="491"/>
      <c r="CP158" s="492"/>
      <c r="CQ158" s="492"/>
      <c r="CR158" s="492"/>
      <c r="CS158" s="493">
        <v>1</v>
      </c>
      <c r="CT158" s="493">
        <v>2</v>
      </c>
      <c r="CU158" s="493">
        <v>2</v>
      </c>
      <c r="CV158" s="493">
        <v>2</v>
      </c>
      <c r="CW158" s="199"/>
      <c r="CX158" s="491">
        <v>342</v>
      </c>
      <c r="CY158" s="492">
        <v>269</v>
      </c>
      <c r="CZ158" s="492">
        <v>337</v>
      </c>
      <c r="DA158" s="492">
        <v>304</v>
      </c>
      <c r="DB158" s="493">
        <v>289</v>
      </c>
      <c r="DC158" s="493">
        <v>254</v>
      </c>
      <c r="DD158" s="493">
        <v>203</v>
      </c>
      <c r="DE158" s="493">
        <v>226</v>
      </c>
      <c r="DF158" s="199"/>
      <c r="DG158" s="491"/>
      <c r="DH158" s="492"/>
      <c r="DI158" s="492">
        <v>4</v>
      </c>
      <c r="DJ158" s="492">
        <v>3</v>
      </c>
      <c r="DK158" s="493">
        <v>2</v>
      </c>
      <c r="DL158" s="493">
        <v>4</v>
      </c>
      <c r="DM158" s="493"/>
      <c r="DN158" s="493">
        <v>1</v>
      </c>
      <c r="DO158" s="199"/>
      <c r="DP158" s="491">
        <v>3</v>
      </c>
      <c r="DQ158" s="492">
        <v>18</v>
      </c>
      <c r="DR158" s="492">
        <v>9</v>
      </c>
      <c r="DS158" s="492">
        <v>7</v>
      </c>
      <c r="DT158" s="493">
        <v>4</v>
      </c>
      <c r="DU158" s="493">
        <v>4</v>
      </c>
      <c r="DV158" s="493">
        <v>2</v>
      </c>
      <c r="DW158" s="493">
        <v>5</v>
      </c>
      <c r="DX158" s="199"/>
      <c r="DY158" s="491">
        <v>31</v>
      </c>
      <c r="DZ158" s="492">
        <v>31</v>
      </c>
      <c r="EA158" s="492">
        <v>42</v>
      </c>
      <c r="EB158" s="492">
        <v>50</v>
      </c>
      <c r="EC158" s="493">
        <v>39</v>
      </c>
      <c r="ED158" s="493">
        <v>36</v>
      </c>
      <c r="EE158" s="493">
        <v>26</v>
      </c>
      <c r="EF158" s="493">
        <v>29</v>
      </c>
      <c r="EG158" s="199"/>
      <c r="EH158" s="491">
        <v>3</v>
      </c>
      <c r="EI158" s="492">
        <v>2</v>
      </c>
      <c r="EJ158" s="492">
        <v>3</v>
      </c>
      <c r="EK158" s="492">
        <v>1</v>
      </c>
      <c r="EL158" s="493">
        <v>4</v>
      </c>
      <c r="EM158" s="493"/>
      <c r="EN158" s="493"/>
      <c r="EO158" s="493">
        <v>1</v>
      </c>
      <c r="EP158" s="199"/>
      <c r="EQ158" s="491"/>
      <c r="ER158" s="492">
        <v>2</v>
      </c>
      <c r="ES158" s="492">
        <v>2</v>
      </c>
      <c r="ET158" s="492"/>
      <c r="EU158" s="493"/>
      <c r="EV158" s="493">
        <v>2</v>
      </c>
      <c r="EW158" s="493">
        <v>3</v>
      </c>
      <c r="EX158" s="493">
        <v>6</v>
      </c>
      <c r="EY158" s="199"/>
      <c r="EZ158" s="491"/>
      <c r="FA158" s="492">
        <v>2</v>
      </c>
      <c r="FB158" s="492">
        <v>4</v>
      </c>
      <c r="FC158" s="492"/>
      <c r="FD158" s="493">
        <v>2</v>
      </c>
      <c r="FE158" s="493"/>
      <c r="FF158" s="493"/>
      <c r="FG158" s="493"/>
      <c r="FH158" s="199"/>
      <c r="FI158" s="491">
        <v>25</v>
      </c>
      <c r="FJ158" s="492">
        <v>17</v>
      </c>
      <c r="FK158" s="492">
        <v>11</v>
      </c>
      <c r="FL158" s="492">
        <v>18</v>
      </c>
      <c r="FM158" s="493">
        <v>13</v>
      </c>
      <c r="FN158" s="493">
        <v>8</v>
      </c>
      <c r="FO158" s="493">
        <v>7</v>
      </c>
      <c r="FP158" s="493">
        <v>9</v>
      </c>
      <c r="FQ158" s="199"/>
      <c r="FR158" s="491">
        <v>4</v>
      </c>
      <c r="FS158" s="492">
        <v>1</v>
      </c>
      <c r="FT158" s="492"/>
      <c r="FU158" s="492">
        <v>1</v>
      </c>
      <c r="FV158" s="493">
        <v>3</v>
      </c>
      <c r="FW158" s="493">
        <v>3</v>
      </c>
      <c r="FX158" s="493"/>
      <c r="FY158" s="493">
        <v>2</v>
      </c>
      <c r="FZ158" s="199"/>
      <c r="GA158" s="491"/>
      <c r="GB158" s="492">
        <v>2</v>
      </c>
      <c r="GC158" s="492">
        <v>2</v>
      </c>
      <c r="GD158" s="492">
        <v>5</v>
      </c>
      <c r="GE158" s="493">
        <v>7</v>
      </c>
      <c r="GF158" s="493">
        <v>5</v>
      </c>
      <c r="GG158" s="493">
        <v>4</v>
      </c>
      <c r="GH158" s="493">
        <v>12</v>
      </c>
      <c r="GI158" s="199"/>
      <c r="GJ158" s="491">
        <v>463</v>
      </c>
      <c r="GK158" s="492">
        <v>397</v>
      </c>
      <c r="GL158" s="492">
        <v>426</v>
      </c>
      <c r="GM158" s="492">
        <v>391</v>
      </c>
      <c r="GN158" s="493">
        <v>390</v>
      </c>
      <c r="GO158" s="493">
        <v>344</v>
      </c>
      <c r="GP158" s="493">
        <v>305</v>
      </c>
      <c r="GQ158" s="493">
        <v>327</v>
      </c>
      <c r="GR158" s="199"/>
      <c r="GS158" s="491">
        <v>127</v>
      </c>
      <c r="GT158" s="492">
        <v>128</v>
      </c>
      <c r="GU158" s="492">
        <v>130</v>
      </c>
      <c r="GV158" s="492">
        <v>102</v>
      </c>
      <c r="GW158" s="493">
        <v>82</v>
      </c>
      <c r="GX158" s="493">
        <v>79</v>
      </c>
      <c r="GY158" s="493">
        <v>64</v>
      </c>
      <c r="GZ158" s="493">
        <v>85</v>
      </c>
      <c r="HA158" s="199"/>
      <c r="HB158" s="491">
        <v>2</v>
      </c>
      <c r="HC158" s="492">
        <v>2</v>
      </c>
      <c r="HD158" s="492">
        <v>4</v>
      </c>
      <c r="HE158" s="492"/>
      <c r="HF158" s="493"/>
      <c r="HG158" s="493">
        <v>2</v>
      </c>
      <c r="HH158" s="493"/>
      <c r="HI158" s="493"/>
      <c r="HJ158" s="199"/>
      <c r="HK158" s="491"/>
      <c r="HL158" s="492"/>
      <c r="HM158" s="492"/>
      <c r="HN158" s="492">
        <v>1</v>
      </c>
      <c r="HO158" s="493">
        <v>1</v>
      </c>
      <c r="HP158" s="493">
        <v>1</v>
      </c>
      <c r="HQ158" s="493"/>
      <c r="HR158" s="493"/>
      <c r="HS158" s="199"/>
      <c r="HT158" s="491">
        <v>200</v>
      </c>
      <c r="HU158" s="492">
        <v>223</v>
      </c>
      <c r="HV158" s="492">
        <v>201</v>
      </c>
      <c r="HW158" s="492">
        <v>198</v>
      </c>
      <c r="HX158" s="493">
        <v>161</v>
      </c>
      <c r="HY158" s="493">
        <v>172</v>
      </c>
      <c r="HZ158" s="493">
        <v>152</v>
      </c>
      <c r="IA158" s="493">
        <v>163</v>
      </c>
      <c r="IB158" s="199"/>
      <c r="IC158" s="491">
        <v>841</v>
      </c>
      <c r="ID158" s="492">
        <v>838</v>
      </c>
      <c r="IE158" s="492">
        <v>771</v>
      </c>
      <c r="IF158" s="492">
        <v>747</v>
      </c>
      <c r="IG158" s="493">
        <v>667</v>
      </c>
      <c r="IH158" s="493">
        <v>617</v>
      </c>
      <c r="II158" s="493">
        <v>589</v>
      </c>
      <c r="IJ158" s="493">
        <v>615</v>
      </c>
      <c r="IK158" s="199"/>
      <c r="IL158" s="491">
        <v>129</v>
      </c>
      <c r="IM158" s="492">
        <v>70</v>
      </c>
      <c r="IN158" s="492">
        <v>108</v>
      </c>
      <c r="IO158" s="492">
        <v>93</v>
      </c>
      <c r="IP158" s="493">
        <v>40</v>
      </c>
      <c r="IQ158" s="493">
        <v>50</v>
      </c>
      <c r="IR158" s="493">
        <v>40</v>
      </c>
      <c r="IS158" s="493">
        <v>40</v>
      </c>
      <c r="IT158" s="199"/>
      <c r="IU158" s="533">
        <v>2148.0932798651374</v>
      </c>
      <c r="IV158" s="534">
        <v>2168.8493193229465</v>
      </c>
      <c r="IW158" s="534">
        <v>1996.1681855840927</v>
      </c>
      <c r="IX158" s="534">
        <v>1913.6181985859205</v>
      </c>
      <c r="IY158" s="535">
        <v>1718.4078320237022</v>
      </c>
      <c r="IZ158" s="535">
        <v>1594.870102393435</v>
      </c>
      <c r="JA158" s="535">
        <v>1530.9039871081768</v>
      </c>
      <c r="JB158" s="535">
        <v>1595.9931489074584</v>
      </c>
      <c r="JC158" s="536"/>
      <c r="JD158" s="537">
        <v>510.84263492631101</v>
      </c>
      <c r="JE158" s="538">
        <v>577.15202650240701</v>
      </c>
      <c r="JF158" s="538">
        <v>520.40182270091134</v>
      </c>
      <c r="JG158" s="538">
        <v>507.22410083000307</v>
      </c>
      <c r="JH158" s="538">
        <v>414.78809738503162</v>
      </c>
      <c r="JI158" s="539">
        <v>446.09160898647178</v>
      </c>
      <c r="JJ158" s="539">
        <v>395.07199667307788</v>
      </c>
      <c r="JK158" s="539">
        <v>423.00306223075728</v>
      </c>
      <c r="JL158" s="536"/>
      <c r="JM158" s="537">
        <v>1182.6006998544099</v>
      </c>
      <c r="JN158" s="538">
        <v>1027.4858947150474</v>
      </c>
      <c r="JO158" s="538">
        <v>1102.9411764705883</v>
      </c>
      <c r="JP158" s="538">
        <v>1001.6395122451071</v>
      </c>
      <c r="JQ158" s="538">
        <v>1004.7661986345486</v>
      </c>
      <c r="JR158" s="539">
        <v>889.54171208647745</v>
      </c>
      <c r="JS158" s="539">
        <v>792.74315121900509</v>
      </c>
      <c r="JT158" s="539">
        <v>848.60123527274607</v>
      </c>
      <c r="JU158" s="536"/>
      <c r="JV158" s="537">
        <v>324.38507317820745</v>
      </c>
      <c r="JW158" s="538">
        <v>331.28008696102285</v>
      </c>
      <c r="JX158" s="538">
        <v>336.57829328914664</v>
      </c>
      <c r="JY158" s="538">
        <v>261.29726406394099</v>
      </c>
      <c r="JZ158" s="538">
        <v>211.25853407187944</v>
      </c>
      <c r="KA158" s="539">
        <v>204.92325766922477</v>
      </c>
      <c r="KB158" s="539">
        <v>166.3461038623486</v>
      </c>
      <c r="KC158" s="539">
        <v>220.58441895468937</v>
      </c>
      <c r="KD158" s="536"/>
    </row>
    <row r="159" spans="1:290" ht="15" customHeight="1" x14ac:dyDescent="0.2">
      <c r="A159" s="930"/>
      <c r="B159" s="490" t="s">
        <v>758</v>
      </c>
      <c r="C159" s="491">
        <v>1</v>
      </c>
      <c r="D159" s="492"/>
      <c r="E159" s="492"/>
      <c r="F159" s="492"/>
      <c r="G159" s="493">
        <v>1</v>
      </c>
      <c r="H159" s="493"/>
      <c r="I159" s="493"/>
      <c r="J159" s="493"/>
      <c r="K159" s="199"/>
      <c r="L159" s="491">
        <v>1</v>
      </c>
      <c r="M159" s="492"/>
      <c r="N159" s="492"/>
      <c r="O159" s="492"/>
      <c r="P159" s="493">
        <v>1</v>
      </c>
      <c r="Q159" s="493"/>
      <c r="R159" s="493"/>
      <c r="S159" s="493"/>
      <c r="T159" s="199"/>
      <c r="U159" s="491"/>
      <c r="V159" s="492"/>
      <c r="W159" s="492"/>
      <c r="X159" s="492"/>
      <c r="Y159" s="493"/>
      <c r="Z159" s="493"/>
      <c r="AA159" s="493"/>
      <c r="AB159" s="493"/>
      <c r="AC159" s="199"/>
      <c r="AD159" s="491">
        <v>35</v>
      </c>
      <c r="AE159" s="492">
        <v>24</v>
      </c>
      <c r="AF159" s="492">
        <v>23</v>
      </c>
      <c r="AG159" s="492">
        <v>36</v>
      </c>
      <c r="AH159" s="493">
        <v>23</v>
      </c>
      <c r="AI159" s="493">
        <v>21</v>
      </c>
      <c r="AJ159" s="493">
        <v>38</v>
      </c>
      <c r="AK159" s="493">
        <v>37</v>
      </c>
      <c r="AL159" s="199"/>
      <c r="AM159" s="491">
        <v>12</v>
      </c>
      <c r="AN159" s="492">
        <v>10</v>
      </c>
      <c r="AO159" s="492">
        <v>6</v>
      </c>
      <c r="AP159" s="492">
        <v>12</v>
      </c>
      <c r="AQ159" s="493">
        <v>11</v>
      </c>
      <c r="AR159" s="493">
        <v>10</v>
      </c>
      <c r="AS159" s="493">
        <v>5</v>
      </c>
      <c r="AT159" s="493">
        <v>10</v>
      </c>
      <c r="AU159" s="199"/>
      <c r="AV159" s="491">
        <v>1</v>
      </c>
      <c r="AW159" s="492"/>
      <c r="AX159" s="492"/>
      <c r="AY159" s="492"/>
      <c r="AZ159" s="493"/>
      <c r="BA159" s="493"/>
      <c r="BB159" s="493"/>
      <c r="BC159" s="493"/>
      <c r="BD159" s="199"/>
      <c r="BE159" s="491">
        <v>2</v>
      </c>
      <c r="BF159" s="492"/>
      <c r="BG159" s="492">
        <v>1</v>
      </c>
      <c r="BH159" s="492">
        <v>6</v>
      </c>
      <c r="BI159" s="493">
        <v>4</v>
      </c>
      <c r="BJ159" s="493">
        <v>3</v>
      </c>
      <c r="BK159" s="493">
        <v>8</v>
      </c>
      <c r="BL159" s="493"/>
      <c r="BM159" s="199"/>
      <c r="BN159" s="491"/>
      <c r="BO159" s="492"/>
      <c r="BP159" s="492"/>
      <c r="BQ159" s="492"/>
      <c r="BR159" s="493"/>
      <c r="BS159" s="493">
        <v>1</v>
      </c>
      <c r="BT159" s="493"/>
      <c r="BU159" s="493"/>
      <c r="BV159" s="199"/>
      <c r="BW159" s="491">
        <v>51</v>
      </c>
      <c r="BX159" s="492">
        <v>51</v>
      </c>
      <c r="BY159" s="492">
        <v>36</v>
      </c>
      <c r="BZ159" s="492">
        <v>58</v>
      </c>
      <c r="CA159" s="493">
        <v>32</v>
      </c>
      <c r="CB159" s="493">
        <v>33</v>
      </c>
      <c r="CC159" s="493">
        <v>37</v>
      </c>
      <c r="CD159" s="493">
        <v>26</v>
      </c>
      <c r="CE159" s="199"/>
      <c r="CF159" s="491"/>
      <c r="CG159" s="492"/>
      <c r="CH159" s="492">
        <v>2</v>
      </c>
      <c r="CI159" s="492">
        <v>1</v>
      </c>
      <c r="CJ159" s="493"/>
      <c r="CK159" s="493">
        <v>1</v>
      </c>
      <c r="CL159" s="493"/>
      <c r="CM159" s="493"/>
      <c r="CN159" s="199"/>
      <c r="CO159" s="491">
        <v>2</v>
      </c>
      <c r="CP159" s="492">
        <v>2</v>
      </c>
      <c r="CQ159" s="492">
        <v>2</v>
      </c>
      <c r="CR159" s="492">
        <v>3</v>
      </c>
      <c r="CS159" s="493">
        <v>2</v>
      </c>
      <c r="CT159" s="493">
        <v>2</v>
      </c>
      <c r="CU159" s="493">
        <v>3</v>
      </c>
      <c r="CV159" s="493">
        <v>4</v>
      </c>
      <c r="CW159" s="199"/>
      <c r="CX159" s="491">
        <v>310</v>
      </c>
      <c r="CY159" s="492">
        <v>286</v>
      </c>
      <c r="CZ159" s="492">
        <v>192</v>
      </c>
      <c r="DA159" s="492">
        <v>249</v>
      </c>
      <c r="DB159" s="493">
        <v>195</v>
      </c>
      <c r="DC159" s="493">
        <v>206</v>
      </c>
      <c r="DD159" s="493">
        <v>128</v>
      </c>
      <c r="DE159" s="493">
        <v>135</v>
      </c>
      <c r="DF159" s="199"/>
      <c r="DG159" s="491">
        <v>1</v>
      </c>
      <c r="DH159" s="492">
        <v>4</v>
      </c>
      <c r="DI159" s="492">
        <v>1</v>
      </c>
      <c r="DJ159" s="492">
        <v>1</v>
      </c>
      <c r="DK159" s="493">
        <v>1</v>
      </c>
      <c r="DL159" s="493">
        <v>2</v>
      </c>
      <c r="DM159" s="493">
        <v>1</v>
      </c>
      <c r="DN159" s="493"/>
      <c r="DO159" s="199"/>
      <c r="DP159" s="491">
        <v>16</v>
      </c>
      <c r="DQ159" s="492">
        <v>14</v>
      </c>
      <c r="DR159" s="492">
        <v>7</v>
      </c>
      <c r="DS159" s="492">
        <v>4</v>
      </c>
      <c r="DT159" s="493">
        <v>1</v>
      </c>
      <c r="DU159" s="493">
        <v>1</v>
      </c>
      <c r="DV159" s="493">
        <v>3</v>
      </c>
      <c r="DW159" s="493">
        <v>2</v>
      </c>
      <c r="DX159" s="199"/>
      <c r="DY159" s="491">
        <v>32</v>
      </c>
      <c r="DZ159" s="492">
        <v>23</v>
      </c>
      <c r="EA159" s="492">
        <v>17</v>
      </c>
      <c r="EB159" s="492">
        <v>25</v>
      </c>
      <c r="EC159" s="493">
        <v>30</v>
      </c>
      <c r="ED159" s="493">
        <v>27</v>
      </c>
      <c r="EE159" s="493">
        <v>22</v>
      </c>
      <c r="EF159" s="493">
        <v>24</v>
      </c>
      <c r="EG159" s="199"/>
      <c r="EH159" s="491">
        <v>2</v>
      </c>
      <c r="EI159" s="492">
        <v>3</v>
      </c>
      <c r="EJ159" s="492">
        <v>1</v>
      </c>
      <c r="EK159" s="492">
        <v>5</v>
      </c>
      <c r="EL159" s="493">
        <v>2</v>
      </c>
      <c r="EM159" s="493">
        <v>1</v>
      </c>
      <c r="EN159" s="493"/>
      <c r="EO159" s="493"/>
      <c r="EP159" s="199"/>
      <c r="EQ159" s="491"/>
      <c r="ER159" s="492"/>
      <c r="ES159" s="492"/>
      <c r="ET159" s="492"/>
      <c r="EU159" s="493">
        <v>3</v>
      </c>
      <c r="EV159" s="493">
        <v>1</v>
      </c>
      <c r="EW159" s="493"/>
      <c r="EX159" s="493"/>
      <c r="EY159" s="199"/>
      <c r="EZ159" s="491"/>
      <c r="FA159" s="492">
        <v>1</v>
      </c>
      <c r="FB159" s="492">
        <v>3</v>
      </c>
      <c r="FC159" s="492"/>
      <c r="FD159" s="493"/>
      <c r="FE159" s="493"/>
      <c r="FF159" s="493"/>
      <c r="FG159" s="493">
        <v>1</v>
      </c>
      <c r="FH159" s="199"/>
      <c r="FI159" s="491">
        <v>30</v>
      </c>
      <c r="FJ159" s="492">
        <v>36</v>
      </c>
      <c r="FK159" s="492">
        <v>22</v>
      </c>
      <c r="FL159" s="492">
        <v>19</v>
      </c>
      <c r="FM159" s="493">
        <v>9</v>
      </c>
      <c r="FN159" s="493">
        <v>13</v>
      </c>
      <c r="FO159" s="493">
        <v>12</v>
      </c>
      <c r="FP159" s="493">
        <v>10</v>
      </c>
      <c r="FQ159" s="199"/>
      <c r="FR159" s="491">
        <v>4</v>
      </c>
      <c r="FS159" s="492">
        <v>2</v>
      </c>
      <c r="FT159" s="492">
        <v>1</v>
      </c>
      <c r="FU159" s="492">
        <v>3</v>
      </c>
      <c r="FV159" s="493">
        <v>2</v>
      </c>
      <c r="FW159" s="493">
        <v>3</v>
      </c>
      <c r="FX159" s="493">
        <v>1</v>
      </c>
      <c r="FY159" s="493">
        <v>2</v>
      </c>
      <c r="FZ159" s="199"/>
      <c r="GA159" s="491">
        <v>6</v>
      </c>
      <c r="GB159" s="492">
        <v>2</v>
      </c>
      <c r="GC159" s="492">
        <v>3</v>
      </c>
      <c r="GD159" s="492"/>
      <c r="GE159" s="493">
        <v>4</v>
      </c>
      <c r="GF159" s="493">
        <v>1</v>
      </c>
      <c r="GG159" s="493">
        <v>2</v>
      </c>
      <c r="GH159" s="493"/>
      <c r="GI159" s="199"/>
      <c r="GJ159" s="491">
        <v>443</v>
      </c>
      <c r="GK159" s="492">
        <v>407</v>
      </c>
      <c r="GL159" s="492">
        <v>286</v>
      </c>
      <c r="GM159" s="492">
        <v>380</v>
      </c>
      <c r="GN159" s="493">
        <v>277</v>
      </c>
      <c r="GO159" s="493">
        <v>286</v>
      </c>
      <c r="GP159" s="493">
        <v>229</v>
      </c>
      <c r="GQ159" s="493">
        <v>215</v>
      </c>
      <c r="GR159" s="199"/>
      <c r="GS159" s="491">
        <v>125</v>
      </c>
      <c r="GT159" s="492">
        <v>113</v>
      </c>
      <c r="GU159" s="492">
        <v>89</v>
      </c>
      <c r="GV159" s="492">
        <v>101</v>
      </c>
      <c r="GW159" s="493">
        <v>35</v>
      </c>
      <c r="GX159" s="493">
        <v>74</v>
      </c>
      <c r="GY159" s="493">
        <v>65</v>
      </c>
      <c r="GZ159" s="493">
        <v>27</v>
      </c>
      <c r="HA159" s="199"/>
      <c r="HB159" s="491">
        <v>2</v>
      </c>
      <c r="HC159" s="492">
        <v>3</v>
      </c>
      <c r="HD159" s="492">
        <v>4</v>
      </c>
      <c r="HE159" s="492">
        <v>1</v>
      </c>
      <c r="HF159" s="493"/>
      <c r="HG159" s="493">
        <v>2</v>
      </c>
      <c r="HH159" s="493">
        <v>1</v>
      </c>
      <c r="HI159" s="493"/>
      <c r="HJ159" s="199"/>
      <c r="HK159" s="491">
        <v>1</v>
      </c>
      <c r="HL159" s="492">
        <v>2</v>
      </c>
      <c r="HM159" s="492"/>
      <c r="HN159" s="492"/>
      <c r="HO159" s="493"/>
      <c r="HP159" s="493">
        <v>1</v>
      </c>
      <c r="HQ159" s="493">
        <v>1</v>
      </c>
      <c r="HR159" s="493"/>
      <c r="HS159" s="199"/>
      <c r="HT159" s="491">
        <v>178</v>
      </c>
      <c r="HU159" s="492">
        <v>162</v>
      </c>
      <c r="HV159" s="492">
        <v>137</v>
      </c>
      <c r="HW159" s="492">
        <v>155</v>
      </c>
      <c r="HX159" s="493">
        <v>83</v>
      </c>
      <c r="HY159" s="493">
        <v>134</v>
      </c>
      <c r="HZ159" s="493">
        <v>115</v>
      </c>
      <c r="IA159" s="493">
        <v>77</v>
      </c>
      <c r="IB159" s="199"/>
      <c r="IC159" s="491">
        <v>698</v>
      </c>
      <c r="ID159" s="492">
        <v>749</v>
      </c>
      <c r="IE159" s="492">
        <v>598</v>
      </c>
      <c r="IF159" s="492">
        <v>618</v>
      </c>
      <c r="IG159" s="493">
        <v>515</v>
      </c>
      <c r="IH159" s="493">
        <v>470</v>
      </c>
      <c r="II159" s="493">
        <v>418</v>
      </c>
      <c r="IJ159" s="493">
        <v>374</v>
      </c>
      <c r="IK159" s="199"/>
      <c r="IL159" s="491">
        <v>108</v>
      </c>
      <c r="IM159" s="492">
        <v>77</v>
      </c>
      <c r="IN159" s="492">
        <v>59</v>
      </c>
      <c r="IO159" s="492">
        <v>83</v>
      </c>
      <c r="IP159" s="493">
        <v>22</v>
      </c>
      <c r="IQ159" s="493">
        <v>39</v>
      </c>
      <c r="IR159" s="493">
        <v>30</v>
      </c>
      <c r="IS159" s="493">
        <v>34</v>
      </c>
      <c r="IT159" s="199"/>
      <c r="IU159" s="533">
        <v>2699.8800912853444</v>
      </c>
      <c r="IV159" s="534">
        <v>2878.2231103254812</v>
      </c>
      <c r="IW159" s="534">
        <v>2317.470159665168</v>
      </c>
      <c r="IX159" s="534">
        <v>2442.7842997746948</v>
      </c>
      <c r="IY159" s="535">
        <v>2026.2826565942714</v>
      </c>
      <c r="IZ159" s="535">
        <v>1851.6160564646941</v>
      </c>
      <c r="JA159" s="535">
        <v>1629.6931654255525</v>
      </c>
      <c r="JB159" s="535">
        <v>1462.0225948946484</v>
      </c>
      <c r="JC159" s="536"/>
      <c r="JD159" s="537">
        <v>688.50810350829693</v>
      </c>
      <c r="JE159" s="538">
        <v>622.52622679936985</v>
      </c>
      <c r="JF159" s="538">
        <v>530.92543791660205</v>
      </c>
      <c r="JG159" s="538">
        <v>612.67243764575676</v>
      </c>
      <c r="JH159" s="538">
        <v>326.5659427132515</v>
      </c>
      <c r="JI159" s="539">
        <v>525.42289540187699</v>
      </c>
      <c r="JJ159" s="539">
        <v>448.36055986588167</v>
      </c>
      <c r="JK159" s="539">
        <v>301.00465189007468</v>
      </c>
      <c r="JL159" s="536"/>
      <c r="JM159" s="537">
        <v>1713.5342126639075</v>
      </c>
      <c r="JN159" s="538">
        <v>1564.0010759712563</v>
      </c>
      <c r="JO159" s="538">
        <v>1108.3552937529064</v>
      </c>
      <c r="JP159" s="538">
        <v>1502.0356535831456</v>
      </c>
      <c r="JQ159" s="538">
        <v>1089.8646521875983</v>
      </c>
      <c r="JR159" s="539">
        <v>1125.6413358381637</v>
      </c>
      <c r="JS159" s="539">
        <v>892.82233225466882</v>
      </c>
      <c r="JT159" s="539">
        <v>840.46753449826031</v>
      </c>
      <c r="JU159" s="536"/>
      <c r="JV159" s="537">
        <v>483.5028816771748</v>
      </c>
      <c r="JW159" s="538">
        <v>434.23125696499255</v>
      </c>
      <c r="JX159" s="538">
        <v>344.9077662377926</v>
      </c>
      <c r="JY159" s="538">
        <v>399.22526582078348</v>
      </c>
      <c r="JZ159" s="538">
        <v>137.70853005980484</v>
      </c>
      <c r="KA159" s="539">
        <v>289.99842003069415</v>
      </c>
      <c r="KB159" s="539">
        <v>253.42118601115052</v>
      </c>
      <c r="KC159" s="539">
        <v>105.54708572768851</v>
      </c>
      <c r="KD159" s="536"/>
    </row>
    <row r="160" spans="1:290" ht="15" customHeight="1" thickBot="1" x14ac:dyDescent="0.25">
      <c r="A160" s="930"/>
      <c r="B160" s="494" t="s">
        <v>759</v>
      </c>
      <c r="C160" s="495"/>
      <c r="D160" s="496"/>
      <c r="E160" s="496"/>
      <c r="F160" s="496">
        <v>1</v>
      </c>
      <c r="G160" s="497"/>
      <c r="H160" s="497"/>
      <c r="I160" s="497">
        <v>1</v>
      </c>
      <c r="J160" s="497"/>
      <c r="K160" s="498"/>
      <c r="L160" s="495"/>
      <c r="M160" s="496"/>
      <c r="N160" s="496"/>
      <c r="O160" s="496">
        <v>1</v>
      </c>
      <c r="P160" s="497"/>
      <c r="Q160" s="497"/>
      <c r="R160" s="497"/>
      <c r="S160" s="497"/>
      <c r="T160" s="498"/>
      <c r="U160" s="495"/>
      <c r="V160" s="496"/>
      <c r="W160" s="496"/>
      <c r="X160" s="496"/>
      <c r="Y160" s="497"/>
      <c r="Z160" s="497"/>
      <c r="AA160" s="497"/>
      <c r="AB160" s="497"/>
      <c r="AC160" s="498"/>
      <c r="AD160" s="495">
        <v>52</v>
      </c>
      <c r="AE160" s="496">
        <v>50</v>
      </c>
      <c r="AF160" s="496">
        <v>39</v>
      </c>
      <c r="AG160" s="496">
        <v>26</v>
      </c>
      <c r="AH160" s="497">
        <v>30</v>
      </c>
      <c r="AI160" s="497">
        <v>42</v>
      </c>
      <c r="AJ160" s="497">
        <v>48</v>
      </c>
      <c r="AK160" s="497">
        <v>54</v>
      </c>
      <c r="AL160" s="498"/>
      <c r="AM160" s="495">
        <v>8</v>
      </c>
      <c r="AN160" s="496">
        <v>6</v>
      </c>
      <c r="AO160" s="496">
        <v>8</v>
      </c>
      <c r="AP160" s="496">
        <v>7</v>
      </c>
      <c r="AQ160" s="497">
        <v>7</v>
      </c>
      <c r="AR160" s="497">
        <v>3</v>
      </c>
      <c r="AS160" s="497">
        <v>4</v>
      </c>
      <c r="AT160" s="497">
        <v>9</v>
      </c>
      <c r="AU160" s="498"/>
      <c r="AV160" s="495"/>
      <c r="AW160" s="496"/>
      <c r="AX160" s="496">
        <v>1</v>
      </c>
      <c r="AY160" s="496"/>
      <c r="AZ160" s="497"/>
      <c r="BA160" s="497"/>
      <c r="BB160" s="497"/>
      <c r="BC160" s="497"/>
      <c r="BD160" s="498"/>
      <c r="BE160" s="495">
        <v>10</v>
      </c>
      <c r="BF160" s="496">
        <v>3</v>
      </c>
      <c r="BG160" s="496">
        <v>2</v>
      </c>
      <c r="BH160" s="496">
        <v>5</v>
      </c>
      <c r="BI160" s="497">
        <v>1</v>
      </c>
      <c r="BJ160" s="497">
        <v>10</v>
      </c>
      <c r="BK160" s="497"/>
      <c r="BL160" s="497">
        <v>4</v>
      </c>
      <c r="BM160" s="498"/>
      <c r="BN160" s="495"/>
      <c r="BO160" s="496"/>
      <c r="BP160" s="496"/>
      <c r="BQ160" s="496"/>
      <c r="BR160" s="497">
        <v>3</v>
      </c>
      <c r="BS160" s="497"/>
      <c r="BT160" s="497"/>
      <c r="BU160" s="497"/>
      <c r="BV160" s="498"/>
      <c r="BW160" s="495">
        <v>66</v>
      </c>
      <c r="BX160" s="496">
        <v>61</v>
      </c>
      <c r="BY160" s="496">
        <v>48</v>
      </c>
      <c r="BZ160" s="496">
        <v>46</v>
      </c>
      <c r="CA160" s="497">
        <v>42</v>
      </c>
      <c r="CB160" s="497">
        <v>38</v>
      </c>
      <c r="CC160" s="497">
        <v>40</v>
      </c>
      <c r="CD160" s="497">
        <v>36</v>
      </c>
      <c r="CE160" s="498"/>
      <c r="CF160" s="495">
        <v>3</v>
      </c>
      <c r="CG160" s="496">
        <v>1</v>
      </c>
      <c r="CH160" s="496"/>
      <c r="CI160" s="496"/>
      <c r="CJ160" s="497">
        <v>1</v>
      </c>
      <c r="CK160" s="497"/>
      <c r="CL160" s="497">
        <v>1</v>
      </c>
      <c r="CM160" s="497">
        <v>1</v>
      </c>
      <c r="CN160" s="498"/>
      <c r="CO160" s="495"/>
      <c r="CP160" s="496">
        <v>3</v>
      </c>
      <c r="CQ160" s="496"/>
      <c r="CR160" s="496"/>
      <c r="CS160" s="497"/>
      <c r="CT160" s="497"/>
      <c r="CU160" s="497">
        <v>3</v>
      </c>
      <c r="CV160" s="497">
        <v>2</v>
      </c>
      <c r="CW160" s="498"/>
      <c r="CX160" s="495">
        <v>225</v>
      </c>
      <c r="CY160" s="496">
        <v>209</v>
      </c>
      <c r="CZ160" s="496">
        <v>185</v>
      </c>
      <c r="DA160" s="496">
        <v>175</v>
      </c>
      <c r="DB160" s="497">
        <v>144</v>
      </c>
      <c r="DC160" s="497">
        <v>121</v>
      </c>
      <c r="DD160" s="497">
        <v>82</v>
      </c>
      <c r="DE160" s="497">
        <v>74</v>
      </c>
      <c r="DF160" s="498"/>
      <c r="DG160" s="495">
        <v>1</v>
      </c>
      <c r="DH160" s="496"/>
      <c r="DI160" s="496"/>
      <c r="DJ160" s="496"/>
      <c r="DK160" s="497"/>
      <c r="DL160" s="497"/>
      <c r="DM160" s="497">
        <v>1</v>
      </c>
      <c r="DN160" s="497">
        <v>1</v>
      </c>
      <c r="DO160" s="498"/>
      <c r="DP160" s="495">
        <v>4</v>
      </c>
      <c r="DQ160" s="496">
        <v>4</v>
      </c>
      <c r="DR160" s="496">
        <v>1</v>
      </c>
      <c r="DS160" s="496">
        <v>4</v>
      </c>
      <c r="DT160" s="497">
        <v>4</v>
      </c>
      <c r="DU160" s="497">
        <v>1</v>
      </c>
      <c r="DV160" s="497">
        <v>1</v>
      </c>
      <c r="DW160" s="497"/>
      <c r="DX160" s="498"/>
      <c r="DY160" s="495">
        <v>47</v>
      </c>
      <c r="DZ160" s="496">
        <v>37</v>
      </c>
      <c r="EA160" s="496">
        <v>47</v>
      </c>
      <c r="EB160" s="496">
        <v>34</v>
      </c>
      <c r="EC160" s="497">
        <v>28</v>
      </c>
      <c r="ED160" s="497">
        <v>35</v>
      </c>
      <c r="EE160" s="497">
        <v>29</v>
      </c>
      <c r="EF160" s="497">
        <v>25</v>
      </c>
      <c r="EG160" s="498"/>
      <c r="EH160" s="495">
        <v>2</v>
      </c>
      <c r="EI160" s="496">
        <v>3</v>
      </c>
      <c r="EJ160" s="496">
        <v>1</v>
      </c>
      <c r="EK160" s="496"/>
      <c r="EL160" s="497"/>
      <c r="EM160" s="497">
        <v>1</v>
      </c>
      <c r="EN160" s="497"/>
      <c r="EO160" s="497"/>
      <c r="EP160" s="498"/>
      <c r="EQ160" s="495"/>
      <c r="ER160" s="496"/>
      <c r="ES160" s="496"/>
      <c r="ET160" s="496"/>
      <c r="EU160" s="497">
        <v>1</v>
      </c>
      <c r="EV160" s="497"/>
      <c r="EW160" s="497">
        <v>1</v>
      </c>
      <c r="EX160" s="497">
        <v>2</v>
      </c>
      <c r="EY160" s="498"/>
      <c r="EZ160" s="495"/>
      <c r="FA160" s="496">
        <v>1</v>
      </c>
      <c r="FB160" s="496">
        <v>2</v>
      </c>
      <c r="FC160" s="496">
        <v>1</v>
      </c>
      <c r="FD160" s="497"/>
      <c r="FE160" s="497"/>
      <c r="FF160" s="497"/>
      <c r="FG160" s="497">
        <v>1</v>
      </c>
      <c r="FH160" s="498"/>
      <c r="FI160" s="495">
        <v>21</v>
      </c>
      <c r="FJ160" s="496">
        <v>15</v>
      </c>
      <c r="FK160" s="496">
        <v>8</v>
      </c>
      <c r="FL160" s="496">
        <v>12</v>
      </c>
      <c r="FM160" s="497">
        <v>4</v>
      </c>
      <c r="FN160" s="497">
        <v>1</v>
      </c>
      <c r="FO160" s="497">
        <v>6</v>
      </c>
      <c r="FP160" s="497">
        <v>1</v>
      </c>
      <c r="FQ160" s="498"/>
      <c r="FR160" s="495">
        <v>5</v>
      </c>
      <c r="FS160" s="496">
        <v>1</v>
      </c>
      <c r="FT160" s="496">
        <v>1</v>
      </c>
      <c r="FU160" s="496"/>
      <c r="FV160" s="497">
        <v>1</v>
      </c>
      <c r="FW160" s="497"/>
      <c r="FX160" s="497"/>
      <c r="FY160" s="497"/>
      <c r="FZ160" s="498"/>
      <c r="GA160" s="495">
        <v>2</v>
      </c>
      <c r="GB160" s="496">
        <v>3</v>
      </c>
      <c r="GC160" s="496">
        <v>2</v>
      </c>
      <c r="GD160" s="496">
        <v>1</v>
      </c>
      <c r="GE160" s="497">
        <v>4</v>
      </c>
      <c r="GF160" s="497"/>
      <c r="GG160" s="497">
        <v>1</v>
      </c>
      <c r="GH160" s="497">
        <v>2</v>
      </c>
      <c r="GI160" s="498"/>
      <c r="GJ160" s="495">
        <v>386</v>
      </c>
      <c r="GK160" s="496">
        <v>350</v>
      </c>
      <c r="GL160" s="496">
        <v>288</v>
      </c>
      <c r="GM160" s="496">
        <v>267</v>
      </c>
      <c r="GN160" s="497">
        <v>231</v>
      </c>
      <c r="GO160" s="497">
        <v>213</v>
      </c>
      <c r="GP160" s="497">
        <v>183</v>
      </c>
      <c r="GQ160" s="497">
        <v>177</v>
      </c>
      <c r="GR160" s="498"/>
      <c r="GS160" s="495">
        <v>130</v>
      </c>
      <c r="GT160" s="496">
        <v>106</v>
      </c>
      <c r="GU160" s="496">
        <v>94</v>
      </c>
      <c r="GV160" s="496">
        <v>66</v>
      </c>
      <c r="GW160" s="497">
        <v>37</v>
      </c>
      <c r="GX160" s="497">
        <v>29</v>
      </c>
      <c r="GY160" s="497">
        <v>34</v>
      </c>
      <c r="GZ160" s="497">
        <v>56</v>
      </c>
      <c r="HA160" s="498"/>
      <c r="HB160" s="495">
        <v>1</v>
      </c>
      <c r="HC160" s="496"/>
      <c r="HD160" s="496">
        <v>1</v>
      </c>
      <c r="HE160" s="496"/>
      <c r="HF160" s="497">
        <v>1</v>
      </c>
      <c r="HG160" s="497"/>
      <c r="HH160" s="497"/>
      <c r="HI160" s="497"/>
      <c r="HJ160" s="498"/>
      <c r="HK160" s="495">
        <v>1</v>
      </c>
      <c r="HL160" s="496">
        <v>5</v>
      </c>
      <c r="HM160" s="496"/>
      <c r="HN160" s="496"/>
      <c r="HO160" s="497"/>
      <c r="HP160" s="497"/>
      <c r="HQ160" s="497"/>
      <c r="HR160" s="497"/>
      <c r="HS160" s="498"/>
      <c r="HT160" s="495">
        <v>164</v>
      </c>
      <c r="HU160" s="496">
        <v>155</v>
      </c>
      <c r="HV160" s="496">
        <v>146</v>
      </c>
      <c r="HW160" s="496">
        <v>87</v>
      </c>
      <c r="HX160" s="497">
        <v>68</v>
      </c>
      <c r="HY160" s="497">
        <v>49</v>
      </c>
      <c r="HZ160" s="497">
        <v>64</v>
      </c>
      <c r="IA160" s="497">
        <v>93</v>
      </c>
      <c r="IB160" s="498"/>
      <c r="IC160" s="495">
        <v>532</v>
      </c>
      <c r="ID160" s="496">
        <v>879</v>
      </c>
      <c r="IE160" s="496">
        <v>401</v>
      </c>
      <c r="IF160" s="496">
        <v>368</v>
      </c>
      <c r="IG160" s="497">
        <v>328</v>
      </c>
      <c r="IH160" s="497">
        <v>290</v>
      </c>
      <c r="II160" s="497">
        <v>415</v>
      </c>
      <c r="IJ160" s="497">
        <v>288</v>
      </c>
      <c r="IK160" s="498"/>
      <c r="IL160" s="495">
        <v>98</v>
      </c>
      <c r="IM160" s="496">
        <v>73</v>
      </c>
      <c r="IN160" s="496">
        <v>71</v>
      </c>
      <c r="IO160" s="496">
        <v>49</v>
      </c>
      <c r="IP160" s="497">
        <v>27</v>
      </c>
      <c r="IQ160" s="497">
        <v>60</v>
      </c>
      <c r="IR160" s="497">
        <v>46</v>
      </c>
      <c r="IS160" s="497">
        <v>37</v>
      </c>
      <c r="IT160" s="498"/>
      <c r="IU160" s="540">
        <v>3837.2763993075591</v>
      </c>
      <c r="IV160" s="541">
        <v>6560.1910590342568</v>
      </c>
      <c r="IW160" s="541">
        <v>3046.1865694317835</v>
      </c>
      <c r="IX160" s="541">
        <v>2701.313954341922</v>
      </c>
      <c r="IY160" s="542">
        <v>2429.08983188921</v>
      </c>
      <c r="IZ160" s="542">
        <v>2176.1969082995647</v>
      </c>
      <c r="JA160" s="542">
        <v>3103.2677783593808</v>
      </c>
      <c r="JB160" s="542">
        <v>2152.7881596651218</v>
      </c>
      <c r="JC160" s="543"/>
      <c r="JD160" s="544">
        <v>1182.9197922677438</v>
      </c>
      <c r="JE160" s="545">
        <v>1156.8027464736174</v>
      </c>
      <c r="JF160" s="545">
        <v>1109.0853843816469</v>
      </c>
      <c r="JG160" s="545">
        <v>638.62585333626953</v>
      </c>
      <c r="JH160" s="545">
        <v>503.59179441605568</v>
      </c>
      <c r="JI160" s="546">
        <v>367.70223622992648</v>
      </c>
      <c r="JJ160" s="546">
        <v>478.5762356987961</v>
      </c>
      <c r="JK160" s="546">
        <v>695.17117655852894</v>
      </c>
      <c r="JL160" s="543"/>
      <c r="JM160" s="544">
        <v>2784.1892671667629</v>
      </c>
      <c r="JN160" s="545">
        <v>2612.1352339726845</v>
      </c>
      <c r="JO160" s="545">
        <v>2187.7848678213309</v>
      </c>
      <c r="JP160" s="545">
        <v>1959.9207223078618</v>
      </c>
      <c r="JQ160" s="545">
        <v>1710.7309486780714</v>
      </c>
      <c r="JR160" s="546">
        <v>1598.3791085096802</v>
      </c>
      <c r="JS160" s="546">
        <v>1368.428923951245</v>
      </c>
      <c r="JT160" s="546">
        <v>1323.0677231275229</v>
      </c>
      <c r="JU160" s="543"/>
      <c r="JV160" s="544">
        <v>937.68032313906531</v>
      </c>
      <c r="JW160" s="545">
        <v>791.10381371744165</v>
      </c>
      <c r="JX160" s="545">
        <v>714.06867213612884</v>
      </c>
      <c r="JY160" s="545">
        <v>484.47478528958379</v>
      </c>
      <c r="JZ160" s="545">
        <v>274.01318225579502</v>
      </c>
      <c r="KA160" s="546">
        <v>217.61969082995648</v>
      </c>
      <c r="KB160" s="546">
        <v>254.24362521498543</v>
      </c>
      <c r="KC160" s="546">
        <v>418.59769771266252</v>
      </c>
      <c r="KD160" s="543"/>
    </row>
    <row r="161" spans="1:290" ht="15" customHeight="1" thickBot="1" x14ac:dyDescent="0.25">
      <c r="A161" s="931"/>
      <c r="B161" s="509" t="s">
        <v>793</v>
      </c>
      <c r="C161" s="500">
        <v>3</v>
      </c>
      <c r="D161" s="501">
        <v>5</v>
      </c>
      <c r="E161" s="501">
        <v>5</v>
      </c>
      <c r="F161" s="501">
        <v>6</v>
      </c>
      <c r="G161" s="502">
        <v>2</v>
      </c>
      <c r="H161" s="502">
        <v>2</v>
      </c>
      <c r="I161" s="502">
        <v>6</v>
      </c>
      <c r="J161" s="502">
        <v>2</v>
      </c>
      <c r="K161" s="503"/>
      <c r="L161" s="500">
        <v>3</v>
      </c>
      <c r="M161" s="501">
        <v>3</v>
      </c>
      <c r="N161" s="501">
        <v>1</v>
      </c>
      <c r="O161" s="501">
        <v>4</v>
      </c>
      <c r="P161" s="502">
        <v>1</v>
      </c>
      <c r="Q161" s="502">
        <v>2</v>
      </c>
      <c r="R161" s="502">
        <v>2</v>
      </c>
      <c r="S161" s="502">
        <v>1</v>
      </c>
      <c r="T161" s="503"/>
      <c r="U161" s="500"/>
      <c r="V161" s="501">
        <v>1</v>
      </c>
      <c r="W161" s="501">
        <v>4</v>
      </c>
      <c r="X161" s="501">
        <v>1</v>
      </c>
      <c r="Y161" s="502">
        <v>1</v>
      </c>
      <c r="Z161" s="502"/>
      <c r="AA161" s="502">
        <v>1</v>
      </c>
      <c r="AB161" s="502">
        <v>1</v>
      </c>
      <c r="AC161" s="503"/>
      <c r="AD161" s="500">
        <v>302</v>
      </c>
      <c r="AE161" s="501">
        <v>303</v>
      </c>
      <c r="AF161" s="501">
        <v>274</v>
      </c>
      <c r="AG161" s="501">
        <v>249</v>
      </c>
      <c r="AH161" s="502">
        <v>271</v>
      </c>
      <c r="AI161" s="502">
        <v>267</v>
      </c>
      <c r="AJ161" s="502">
        <v>247</v>
      </c>
      <c r="AK161" s="502">
        <v>263</v>
      </c>
      <c r="AL161" s="503"/>
      <c r="AM161" s="500">
        <v>116</v>
      </c>
      <c r="AN161" s="501">
        <v>104</v>
      </c>
      <c r="AO161" s="501">
        <v>83</v>
      </c>
      <c r="AP161" s="501">
        <v>104</v>
      </c>
      <c r="AQ161" s="502">
        <v>95</v>
      </c>
      <c r="AR161" s="502">
        <v>93</v>
      </c>
      <c r="AS161" s="502">
        <v>65</v>
      </c>
      <c r="AT161" s="502">
        <v>72</v>
      </c>
      <c r="AU161" s="503"/>
      <c r="AV161" s="500">
        <v>2</v>
      </c>
      <c r="AW161" s="501"/>
      <c r="AX161" s="501">
        <v>1</v>
      </c>
      <c r="AY161" s="501"/>
      <c r="AZ161" s="502">
        <v>1</v>
      </c>
      <c r="BA161" s="502">
        <v>1</v>
      </c>
      <c r="BB161" s="502"/>
      <c r="BC161" s="502"/>
      <c r="BD161" s="503"/>
      <c r="BE161" s="500">
        <v>46</v>
      </c>
      <c r="BF161" s="501">
        <v>52</v>
      </c>
      <c r="BG161" s="501">
        <v>40</v>
      </c>
      <c r="BH161" s="501">
        <v>32</v>
      </c>
      <c r="BI161" s="502">
        <v>17</v>
      </c>
      <c r="BJ161" s="502">
        <v>19</v>
      </c>
      <c r="BK161" s="502">
        <v>27</v>
      </c>
      <c r="BL161" s="502">
        <v>41</v>
      </c>
      <c r="BM161" s="503"/>
      <c r="BN161" s="500">
        <v>1</v>
      </c>
      <c r="BO161" s="501">
        <v>5</v>
      </c>
      <c r="BP161" s="501">
        <v>5</v>
      </c>
      <c r="BQ161" s="501">
        <v>7</v>
      </c>
      <c r="BR161" s="502">
        <v>9</v>
      </c>
      <c r="BS161" s="502">
        <v>6</v>
      </c>
      <c r="BT161" s="502">
        <v>4</v>
      </c>
      <c r="BU161" s="502"/>
      <c r="BV161" s="503"/>
      <c r="BW161" s="500">
        <v>528</v>
      </c>
      <c r="BX161" s="501">
        <v>507</v>
      </c>
      <c r="BY161" s="501">
        <v>480</v>
      </c>
      <c r="BZ161" s="501">
        <v>446</v>
      </c>
      <c r="CA161" s="502">
        <v>449</v>
      </c>
      <c r="CB161" s="502">
        <v>395</v>
      </c>
      <c r="CC161" s="502">
        <v>336</v>
      </c>
      <c r="CD161" s="502">
        <v>311</v>
      </c>
      <c r="CE161" s="503"/>
      <c r="CF161" s="500">
        <v>14</v>
      </c>
      <c r="CG161" s="501">
        <v>8</v>
      </c>
      <c r="CH161" s="501">
        <v>9</v>
      </c>
      <c r="CI161" s="501">
        <v>9</v>
      </c>
      <c r="CJ161" s="502">
        <v>5</v>
      </c>
      <c r="CK161" s="502">
        <v>2</v>
      </c>
      <c r="CL161" s="502">
        <v>12</v>
      </c>
      <c r="CM161" s="502">
        <v>4</v>
      </c>
      <c r="CN161" s="503"/>
      <c r="CO161" s="500">
        <v>27</v>
      </c>
      <c r="CP161" s="501">
        <v>37</v>
      </c>
      <c r="CQ161" s="501">
        <v>15</v>
      </c>
      <c r="CR161" s="501">
        <v>23</v>
      </c>
      <c r="CS161" s="502">
        <v>21</v>
      </c>
      <c r="CT161" s="502">
        <v>17</v>
      </c>
      <c r="CU161" s="502">
        <v>16</v>
      </c>
      <c r="CV161" s="502">
        <v>21</v>
      </c>
      <c r="CW161" s="503"/>
      <c r="CX161" s="500">
        <v>3541</v>
      </c>
      <c r="CY161" s="501">
        <v>3017</v>
      </c>
      <c r="CZ161" s="501">
        <v>2863</v>
      </c>
      <c r="DA161" s="501">
        <v>2250</v>
      </c>
      <c r="DB161" s="502">
        <v>2275</v>
      </c>
      <c r="DC161" s="502">
        <v>1872</v>
      </c>
      <c r="DD161" s="502">
        <v>1338</v>
      </c>
      <c r="DE161" s="502">
        <v>1368</v>
      </c>
      <c r="DF161" s="503"/>
      <c r="DG161" s="500">
        <v>10</v>
      </c>
      <c r="DH161" s="501">
        <v>14</v>
      </c>
      <c r="DI161" s="501">
        <v>15</v>
      </c>
      <c r="DJ161" s="501">
        <v>9</v>
      </c>
      <c r="DK161" s="502">
        <v>9</v>
      </c>
      <c r="DL161" s="502">
        <v>12</v>
      </c>
      <c r="DM161" s="502">
        <v>5</v>
      </c>
      <c r="DN161" s="502">
        <v>12</v>
      </c>
      <c r="DO161" s="503"/>
      <c r="DP161" s="500">
        <v>148</v>
      </c>
      <c r="DQ161" s="501">
        <v>90</v>
      </c>
      <c r="DR161" s="501">
        <v>91</v>
      </c>
      <c r="DS161" s="501">
        <v>47</v>
      </c>
      <c r="DT161" s="502">
        <v>72</v>
      </c>
      <c r="DU161" s="502">
        <v>45</v>
      </c>
      <c r="DV161" s="502">
        <v>17</v>
      </c>
      <c r="DW161" s="502">
        <v>20</v>
      </c>
      <c r="DX161" s="503"/>
      <c r="DY161" s="500">
        <v>369</v>
      </c>
      <c r="DZ161" s="501">
        <v>277</v>
      </c>
      <c r="EA161" s="501">
        <v>315</v>
      </c>
      <c r="EB161" s="501">
        <v>249</v>
      </c>
      <c r="EC161" s="502">
        <v>246</v>
      </c>
      <c r="ED161" s="502">
        <v>282</v>
      </c>
      <c r="EE161" s="502">
        <v>209</v>
      </c>
      <c r="EF161" s="502">
        <v>171</v>
      </c>
      <c r="EG161" s="503"/>
      <c r="EH161" s="500">
        <v>62</v>
      </c>
      <c r="EI161" s="501">
        <v>34</v>
      </c>
      <c r="EJ161" s="501">
        <v>31</v>
      </c>
      <c r="EK161" s="501">
        <v>20</v>
      </c>
      <c r="EL161" s="502">
        <v>23</v>
      </c>
      <c r="EM161" s="502">
        <v>12</v>
      </c>
      <c r="EN161" s="502">
        <v>8</v>
      </c>
      <c r="EO161" s="502">
        <v>5</v>
      </c>
      <c r="EP161" s="503"/>
      <c r="EQ161" s="500">
        <v>3</v>
      </c>
      <c r="ER161" s="501">
        <v>10</v>
      </c>
      <c r="ES161" s="501">
        <v>9</v>
      </c>
      <c r="ET161" s="501">
        <v>7</v>
      </c>
      <c r="EU161" s="502">
        <v>9</v>
      </c>
      <c r="EV161" s="502">
        <v>18</v>
      </c>
      <c r="EW161" s="502">
        <v>20</v>
      </c>
      <c r="EX161" s="502">
        <v>27</v>
      </c>
      <c r="EY161" s="503"/>
      <c r="EZ161" s="500">
        <v>15</v>
      </c>
      <c r="FA161" s="501">
        <v>11</v>
      </c>
      <c r="FB161" s="501">
        <v>24</v>
      </c>
      <c r="FC161" s="501">
        <v>4</v>
      </c>
      <c r="FD161" s="502">
        <v>11</v>
      </c>
      <c r="FE161" s="502">
        <v>6</v>
      </c>
      <c r="FF161" s="502">
        <v>4</v>
      </c>
      <c r="FG161" s="502">
        <v>6</v>
      </c>
      <c r="FH161" s="503"/>
      <c r="FI161" s="500">
        <v>302</v>
      </c>
      <c r="FJ161" s="501">
        <v>293</v>
      </c>
      <c r="FK161" s="501">
        <v>205</v>
      </c>
      <c r="FL161" s="501">
        <v>168</v>
      </c>
      <c r="FM161" s="502">
        <v>158</v>
      </c>
      <c r="FN161" s="502">
        <v>151</v>
      </c>
      <c r="FO161" s="502">
        <v>114</v>
      </c>
      <c r="FP161" s="502">
        <v>133</v>
      </c>
      <c r="FQ161" s="503"/>
      <c r="FR161" s="500">
        <v>20</v>
      </c>
      <c r="FS161" s="501">
        <v>30</v>
      </c>
      <c r="FT161" s="501">
        <v>30</v>
      </c>
      <c r="FU161" s="501">
        <v>16</v>
      </c>
      <c r="FV161" s="502">
        <v>29</v>
      </c>
      <c r="FW161" s="502">
        <v>26</v>
      </c>
      <c r="FX161" s="502">
        <v>3</v>
      </c>
      <c r="FY161" s="502">
        <v>11</v>
      </c>
      <c r="FZ161" s="503"/>
      <c r="GA161" s="500">
        <v>20</v>
      </c>
      <c r="GB161" s="501">
        <v>25</v>
      </c>
      <c r="GC161" s="501">
        <v>15</v>
      </c>
      <c r="GD161" s="501">
        <v>18</v>
      </c>
      <c r="GE161" s="502">
        <v>29</v>
      </c>
      <c r="GF161" s="502">
        <v>22</v>
      </c>
      <c r="GG161" s="502">
        <v>25</v>
      </c>
      <c r="GH161" s="502">
        <v>44</v>
      </c>
      <c r="GI161" s="503"/>
      <c r="GJ161" s="500">
        <v>4884</v>
      </c>
      <c r="GK161" s="501">
        <v>4337</v>
      </c>
      <c r="GL161" s="501">
        <v>4005</v>
      </c>
      <c r="GM161" s="501">
        <v>3255</v>
      </c>
      <c r="GN161" s="502">
        <v>3308</v>
      </c>
      <c r="GO161" s="502">
        <v>2815</v>
      </c>
      <c r="GP161" s="502">
        <v>2160</v>
      </c>
      <c r="GQ161" s="502">
        <v>2236</v>
      </c>
      <c r="GR161" s="503"/>
      <c r="GS161" s="500">
        <v>1472</v>
      </c>
      <c r="GT161" s="501">
        <v>1381</v>
      </c>
      <c r="GU161" s="501">
        <v>1320</v>
      </c>
      <c r="GV161" s="501">
        <v>922</v>
      </c>
      <c r="GW161" s="502">
        <v>610</v>
      </c>
      <c r="GX161" s="502">
        <v>591</v>
      </c>
      <c r="GY161" s="502">
        <v>523</v>
      </c>
      <c r="GZ161" s="502">
        <v>503</v>
      </c>
      <c r="HA161" s="503"/>
      <c r="HB161" s="500">
        <v>18</v>
      </c>
      <c r="HC161" s="501">
        <v>20</v>
      </c>
      <c r="HD161" s="501">
        <v>21</v>
      </c>
      <c r="HE161" s="501">
        <v>11</v>
      </c>
      <c r="HF161" s="502">
        <v>9</v>
      </c>
      <c r="HG161" s="502">
        <v>20</v>
      </c>
      <c r="HH161" s="502">
        <v>12</v>
      </c>
      <c r="HI161" s="502">
        <v>8</v>
      </c>
      <c r="HJ161" s="503"/>
      <c r="HK161" s="500">
        <v>5</v>
      </c>
      <c r="HL161" s="501">
        <v>20</v>
      </c>
      <c r="HM161" s="501">
        <v>7</v>
      </c>
      <c r="HN161" s="501">
        <v>7</v>
      </c>
      <c r="HO161" s="502">
        <v>5</v>
      </c>
      <c r="HP161" s="502">
        <v>5</v>
      </c>
      <c r="HQ161" s="502">
        <v>6</v>
      </c>
      <c r="HR161" s="502">
        <v>7</v>
      </c>
      <c r="HS161" s="503"/>
      <c r="HT161" s="500">
        <v>2080</v>
      </c>
      <c r="HU161" s="501">
        <v>2023</v>
      </c>
      <c r="HV161" s="501">
        <v>1872</v>
      </c>
      <c r="HW161" s="501">
        <v>1584</v>
      </c>
      <c r="HX161" s="502">
        <v>1200</v>
      </c>
      <c r="HY161" s="502">
        <v>1167</v>
      </c>
      <c r="HZ161" s="502">
        <v>1074</v>
      </c>
      <c r="IA161" s="502">
        <v>1191</v>
      </c>
      <c r="IB161" s="503"/>
      <c r="IC161" s="500">
        <v>8053</v>
      </c>
      <c r="ID161" s="501">
        <v>8453</v>
      </c>
      <c r="IE161" s="501">
        <v>7186</v>
      </c>
      <c r="IF161" s="501">
        <v>5772</v>
      </c>
      <c r="IG161" s="502">
        <v>5677</v>
      </c>
      <c r="IH161" s="502">
        <v>5065</v>
      </c>
      <c r="II161" s="502">
        <v>4236</v>
      </c>
      <c r="IJ161" s="502">
        <v>4562</v>
      </c>
      <c r="IK161" s="503"/>
      <c r="IL161" s="500">
        <v>1094</v>
      </c>
      <c r="IM161" s="501">
        <v>752</v>
      </c>
      <c r="IN161" s="501">
        <v>806</v>
      </c>
      <c r="IO161" s="501">
        <v>447</v>
      </c>
      <c r="IP161" s="502">
        <v>248</v>
      </c>
      <c r="IQ161" s="502">
        <v>467</v>
      </c>
      <c r="IR161" s="502">
        <v>333</v>
      </c>
      <c r="IS161" s="502">
        <v>268</v>
      </c>
      <c r="IT161" s="503"/>
      <c r="IU161" s="547">
        <v>3104.9027621412374</v>
      </c>
      <c r="IV161" s="548">
        <v>3280.3234919747911</v>
      </c>
      <c r="IW161" s="548">
        <v>2802.018264199206</v>
      </c>
      <c r="IX161" s="548">
        <v>2260.9227008860375</v>
      </c>
      <c r="IY161" s="549">
        <v>2229.9473642862754</v>
      </c>
      <c r="IZ161" s="549">
        <v>1994.118040764261</v>
      </c>
      <c r="JA161" s="549">
        <v>1669.7610065868053</v>
      </c>
      <c r="JB161" s="549">
        <v>1802.3855335053279</v>
      </c>
      <c r="JC161" s="550"/>
      <c r="JD161" s="551">
        <v>801.96172175012714</v>
      </c>
      <c r="JE161" s="552">
        <v>785.05789947533447</v>
      </c>
      <c r="JF161" s="552">
        <v>729.94408441148255</v>
      </c>
      <c r="JG161" s="552">
        <v>620.46111541986886</v>
      </c>
      <c r="JH161" s="552">
        <v>471.36460051850105</v>
      </c>
      <c r="JI161" s="553">
        <v>459.45424552258487</v>
      </c>
      <c r="JJ161" s="553">
        <v>423.35300308645628</v>
      </c>
      <c r="JK161" s="553">
        <v>470.54826181605551</v>
      </c>
      <c r="JL161" s="550"/>
      <c r="JM161" s="551">
        <v>1883.0678120325103</v>
      </c>
      <c r="JN161" s="552">
        <v>1683.0430598242838</v>
      </c>
      <c r="JO161" s="552">
        <v>1561.6592190534122</v>
      </c>
      <c r="JP161" s="552">
        <v>1275.0005875578745</v>
      </c>
      <c r="JQ161" s="552">
        <v>1299.3950820960013</v>
      </c>
      <c r="JR161" s="553">
        <v>1108.2808064662181</v>
      </c>
      <c r="JS161" s="553">
        <v>851.43620732471641</v>
      </c>
      <c r="JT161" s="553">
        <v>883.41386517271224</v>
      </c>
      <c r="JU161" s="550"/>
      <c r="JV161" s="551">
        <v>567.5421415462439</v>
      </c>
      <c r="JW161" s="552">
        <v>535.91940641395797</v>
      </c>
      <c r="JX161" s="552">
        <v>514.70416208501979</v>
      </c>
      <c r="JY161" s="552">
        <v>361.15224016232264</v>
      </c>
      <c r="JZ161" s="552">
        <v>239.61033859690471</v>
      </c>
      <c r="KA161" s="553">
        <v>232.6799135422859</v>
      </c>
      <c r="KB161" s="553">
        <v>206.15793353279014</v>
      </c>
      <c r="KC161" s="553">
        <v>198.72861099368257</v>
      </c>
      <c r="KD161" s="550"/>
    </row>
    <row r="162" spans="1:290" ht="15" customHeight="1" x14ac:dyDescent="0.2">
      <c r="A162" s="929" t="s">
        <v>561</v>
      </c>
      <c r="B162" s="485" t="s">
        <v>760</v>
      </c>
      <c r="C162" s="486">
        <v>2</v>
      </c>
      <c r="D162" s="487"/>
      <c r="E162" s="487">
        <v>6</v>
      </c>
      <c r="F162" s="487">
        <v>2</v>
      </c>
      <c r="G162" s="488">
        <v>2</v>
      </c>
      <c r="H162" s="488">
        <v>1</v>
      </c>
      <c r="I162" s="488">
        <v>2</v>
      </c>
      <c r="J162" s="488"/>
      <c r="K162" s="489"/>
      <c r="L162" s="486">
        <v>1</v>
      </c>
      <c r="M162" s="487"/>
      <c r="N162" s="487"/>
      <c r="O162" s="487"/>
      <c r="P162" s="488">
        <v>1</v>
      </c>
      <c r="Q162" s="488">
        <v>1</v>
      </c>
      <c r="R162" s="488">
        <v>1</v>
      </c>
      <c r="S162" s="488"/>
      <c r="T162" s="489"/>
      <c r="U162" s="486"/>
      <c r="V162" s="487"/>
      <c r="W162" s="487">
        <v>4</v>
      </c>
      <c r="X162" s="487">
        <v>2</v>
      </c>
      <c r="Y162" s="488">
        <v>1</v>
      </c>
      <c r="Z162" s="488"/>
      <c r="AA162" s="488">
        <v>1</v>
      </c>
      <c r="AB162" s="488"/>
      <c r="AC162" s="489"/>
      <c r="AD162" s="486">
        <v>124</v>
      </c>
      <c r="AE162" s="487">
        <v>113</v>
      </c>
      <c r="AF162" s="487">
        <v>100</v>
      </c>
      <c r="AG162" s="487">
        <v>68</v>
      </c>
      <c r="AH162" s="488">
        <v>156</v>
      </c>
      <c r="AI162" s="488">
        <v>166</v>
      </c>
      <c r="AJ162" s="488">
        <v>185</v>
      </c>
      <c r="AK162" s="488">
        <v>152</v>
      </c>
      <c r="AL162" s="489"/>
      <c r="AM162" s="486">
        <v>50</v>
      </c>
      <c r="AN162" s="487">
        <v>46</v>
      </c>
      <c r="AO162" s="487">
        <v>52</v>
      </c>
      <c r="AP162" s="487">
        <v>31</v>
      </c>
      <c r="AQ162" s="488">
        <v>49</v>
      </c>
      <c r="AR162" s="488">
        <v>44</v>
      </c>
      <c r="AS162" s="488">
        <v>51</v>
      </c>
      <c r="AT162" s="488">
        <v>46</v>
      </c>
      <c r="AU162" s="489"/>
      <c r="AV162" s="486"/>
      <c r="AW162" s="487"/>
      <c r="AX162" s="487">
        <v>1</v>
      </c>
      <c r="AY162" s="487"/>
      <c r="AZ162" s="488"/>
      <c r="BA162" s="488"/>
      <c r="BB162" s="488"/>
      <c r="BC162" s="488"/>
      <c r="BD162" s="489"/>
      <c r="BE162" s="486">
        <v>28</v>
      </c>
      <c r="BF162" s="487">
        <v>43</v>
      </c>
      <c r="BG162" s="487">
        <v>24</v>
      </c>
      <c r="BH162" s="487">
        <v>27</v>
      </c>
      <c r="BI162" s="488">
        <v>33</v>
      </c>
      <c r="BJ162" s="488">
        <v>27</v>
      </c>
      <c r="BK162" s="488">
        <v>24</v>
      </c>
      <c r="BL162" s="488">
        <v>22</v>
      </c>
      <c r="BM162" s="489"/>
      <c r="BN162" s="486"/>
      <c r="BO162" s="487"/>
      <c r="BP162" s="487"/>
      <c r="BQ162" s="487">
        <v>1</v>
      </c>
      <c r="BR162" s="488"/>
      <c r="BS162" s="488"/>
      <c r="BT162" s="488"/>
      <c r="BU162" s="488">
        <v>3</v>
      </c>
      <c r="BV162" s="489"/>
      <c r="BW162" s="486">
        <v>74</v>
      </c>
      <c r="BX162" s="487">
        <v>70</v>
      </c>
      <c r="BY162" s="487">
        <v>54</v>
      </c>
      <c r="BZ162" s="487">
        <v>100</v>
      </c>
      <c r="CA162" s="488">
        <v>80</v>
      </c>
      <c r="CB162" s="488">
        <v>74</v>
      </c>
      <c r="CC162" s="488">
        <v>111</v>
      </c>
      <c r="CD162" s="488">
        <v>128</v>
      </c>
      <c r="CE162" s="489"/>
      <c r="CF162" s="486">
        <v>7</v>
      </c>
      <c r="CG162" s="487">
        <v>6</v>
      </c>
      <c r="CH162" s="487">
        <v>4</v>
      </c>
      <c r="CI162" s="487">
        <v>8</v>
      </c>
      <c r="CJ162" s="488">
        <v>3</v>
      </c>
      <c r="CK162" s="488">
        <v>4</v>
      </c>
      <c r="CL162" s="488">
        <v>4</v>
      </c>
      <c r="CM162" s="488">
        <v>1</v>
      </c>
      <c r="CN162" s="489"/>
      <c r="CO162" s="486">
        <v>1</v>
      </c>
      <c r="CP162" s="487"/>
      <c r="CQ162" s="487"/>
      <c r="CR162" s="487">
        <v>2</v>
      </c>
      <c r="CS162" s="488">
        <v>11</v>
      </c>
      <c r="CT162" s="488">
        <v>12</v>
      </c>
      <c r="CU162" s="488">
        <v>1</v>
      </c>
      <c r="CV162" s="488">
        <v>6</v>
      </c>
      <c r="CW162" s="489"/>
      <c r="CX162" s="486">
        <v>1282</v>
      </c>
      <c r="CY162" s="487">
        <v>994</v>
      </c>
      <c r="CZ162" s="487">
        <v>882</v>
      </c>
      <c r="DA162" s="487">
        <v>770</v>
      </c>
      <c r="DB162" s="488">
        <v>780</v>
      </c>
      <c r="DC162" s="488">
        <v>680</v>
      </c>
      <c r="DD162" s="488">
        <v>529</v>
      </c>
      <c r="DE162" s="488">
        <v>414</v>
      </c>
      <c r="DF162" s="489"/>
      <c r="DG162" s="486">
        <v>27</v>
      </c>
      <c r="DH162" s="487">
        <v>15</v>
      </c>
      <c r="DI162" s="487">
        <v>10</v>
      </c>
      <c r="DJ162" s="487">
        <v>16</v>
      </c>
      <c r="DK162" s="488">
        <v>20</v>
      </c>
      <c r="DL162" s="488">
        <v>6</v>
      </c>
      <c r="DM162" s="488">
        <v>5</v>
      </c>
      <c r="DN162" s="488">
        <v>1</v>
      </c>
      <c r="DO162" s="489"/>
      <c r="DP162" s="486">
        <v>76</v>
      </c>
      <c r="DQ162" s="487">
        <v>20</v>
      </c>
      <c r="DR162" s="487">
        <v>29</v>
      </c>
      <c r="DS162" s="487">
        <v>10</v>
      </c>
      <c r="DT162" s="488">
        <v>18</v>
      </c>
      <c r="DU162" s="488">
        <v>23</v>
      </c>
      <c r="DV162" s="488">
        <v>22</v>
      </c>
      <c r="DW162" s="488">
        <v>12</v>
      </c>
      <c r="DX162" s="489"/>
      <c r="DY162" s="486">
        <v>125</v>
      </c>
      <c r="DZ162" s="487">
        <v>89</v>
      </c>
      <c r="EA162" s="487">
        <v>93</v>
      </c>
      <c r="EB162" s="487">
        <v>131</v>
      </c>
      <c r="EC162" s="488">
        <v>128</v>
      </c>
      <c r="ED162" s="488">
        <v>108</v>
      </c>
      <c r="EE162" s="488">
        <v>82</v>
      </c>
      <c r="EF162" s="488">
        <v>49</v>
      </c>
      <c r="EG162" s="489"/>
      <c r="EH162" s="486">
        <v>25</v>
      </c>
      <c r="EI162" s="487">
        <v>10</v>
      </c>
      <c r="EJ162" s="487">
        <v>15</v>
      </c>
      <c r="EK162" s="487">
        <v>18</v>
      </c>
      <c r="EL162" s="488">
        <v>10</v>
      </c>
      <c r="EM162" s="488">
        <v>11</v>
      </c>
      <c r="EN162" s="488">
        <v>11</v>
      </c>
      <c r="EO162" s="488">
        <v>6</v>
      </c>
      <c r="EP162" s="489"/>
      <c r="EQ162" s="486">
        <v>1</v>
      </c>
      <c r="ER162" s="487">
        <v>1</v>
      </c>
      <c r="ES162" s="487">
        <v>1</v>
      </c>
      <c r="ET162" s="487"/>
      <c r="EU162" s="488">
        <v>1</v>
      </c>
      <c r="EV162" s="488">
        <v>19</v>
      </c>
      <c r="EW162" s="488">
        <v>10</v>
      </c>
      <c r="EX162" s="488">
        <v>17</v>
      </c>
      <c r="EY162" s="489"/>
      <c r="EZ162" s="486">
        <v>3</v>
      </c>
      <c r="FA162" s="487">
        <v>4</v>
      </c>
      <c r="FB162" s="487">
        <v>13</v>
      </c>
      <c r="FC162" s="487">
        <v>6</v>
      </c>
      <c r="FD162" s="488">
        <v>7</v>
      </c>
      <c r="FE162" s="488">
        <v>2</v>
      </c>
      <c r="FF162" s="488">
        <v>7</v>
      </c>
      <c r="FG162" s="488">
        <v>2</v>
      </c>
      <c r="FH162" s="489"/>
      <c r="FI162" s="486">
        <v>169</v>
      </c>
      <c r="FJ162" s="487">
        <v>134</v>
      </c>
      <c r="FK162" s="487">
        <v>84</v>
      </c>
      <c r="FL162" s="487">
        <v>96</v>
      </c>
      <c r="FM162" s="488">
        <v>88</v>
      </c>
      <c r="FN162" s="488">
        <v>93</v>
      </c>
      <c r="FO162" s="488">
        <v>63</v>
      </c>
      <c r="FP162" s="488">
        <v>67</v>
      </c>
      <c r="FQ162" s="489"/>
      <c r="FR162" s="486">
        <v>11</v>
      </c>
      <c r="FS162" s="487">
        <v>8</v>
      </c>
      <c r="FT162" s="487">
        <v>12</v>
      </c>
      <c r="FU162" s="487">
        <v>8</v>
      </c>
      <c r="FV162" s="488"/>
      <c r="FW162" s="488">
        <v>4</v>
      </c>
      <c r="FX162" s="488">
        <v>1</v>
      </c>
      <c r="FY162" s="488">
        <v>3</v>
      </c>
      <c r="FZ162" s="489"/>
      <c r="GA162" s="486">
        <v>17</v>
      </c>
      <c r="GB162" s="487">
        <v>7</v>
      </c>
      <c r="GC162" s="487">
        <v>8</v>
      </c>
      <c r="GD162" s="487">
        <v>8</v>
      </c>
      <c r="GE162" s="488">
        <v>10</v>
      </c>
      <c r="GF162" s="488">
        <v>7</v>
      </c>
      <c r="GG162" s="488">
        <v>7</v>
      </c>
      <c r="GH162" s="488">
        <v>9</v>
      </c>
      <c r="GI162" s="489"/>
      <c r="GJ162" s="486">
        <v>1744</v>
      </c>
      <c r="GK162" s="487">
        <v>1390</v>
      </c>
      <c r="GL162" s="487">
        <v>1203</v>
      </c>
      <c r="GM162" s="487">
        <v>1114</v>
      </c>
      <c r="GN162" s="488">
        <v>1181</v>
      </c>
      <c r="GO162" s="488">
        <v>1100</v>
      </c>
      <c r="GP162" s="488">
        <v>955</v>
      </c>
      <c r="GQ162" s="488">
        <v>830</v>
      </c>
      <c r="GR162" s="489"/>
      <c r="GS162" s="486">
        <v>581</v>
      </c>
      <c r="GT162" s="487">
        <v>462</v>
      </c>
      <c r="GU162" s="487">
        <v>370</v>
      </c>
      <c r="GV162" s="487">
        <v>302</v>
      </c>
      <c r="GW162" s="488">
        <v>208</v>
      </c>
      <c r="GX162" s="488">
        <v>203</v>
      </c>
      <c r="GY162" s="488">
        <v>183</v>
      </c>
      <c r="GZ162" s="488">
        <v>192</v>
      </c>
      <c r="HA162" s="489"/>
      <c r="HB162" s="486">
        <v>2</v>
      </c>
      <c r="HC162" s="487">
        <v>3</v>
      </c>
      <c r="HD162" s="487">
        <v>6</v>
      </c>
      <c r="HE162" s="487">
        <v>4</v>
      </c>
      <c r="HF162" s="488">
        <v>2</v>
      </c>
      <c r="HG162" s="488">
        <v>3</v>
      </c>
      <c r="HH162" s="488">
        <v>4</v>
      </c>
      <c r="HI162" s="488">
        <v>5</v>
      </c>
      <c r="HJ162" s="489"/>
      <c r="HK162" s="486">
        <v>3</v>
      </c>
      <c r="HL162" s="487">
        <v>7</v>
      </c>
      <c r="HM162" s="487">
        <v>5</v>
      </c>
      <c r="HN162" s="487">
        <v>2</v>
      </c>
      <c r="HO162" s="488">
        <v>2</v>
      </c>
      <c r="HP162" s="488">
        <v>3</v>
      </c>
      <c r="HQ162" s="488">
        <v>2</v>
      </c>
      <c r="HR162" s="488">
        <v>7</v>
      </c>
      <c r="HS162" s="489"/>
      <c r="HT162" s="486">
        <v>1009</v>
      </c>
      <c r="HU162" s="487">
        <v>645</v>
      </c>
      <c r="HV162" s="487">
        <v>491</v>
      </c>
      <c r="HW162" s="487">
        <v>478</v>
      </c>
      <c r="HX162" s="488">
        <v>408</v>
      </c>
      <c r="HY162" s="488">
        <v>398</v>
      </c>
      <c r="HZ162" s="488">
        <v>366</v>
      </c>
      <c r="IA162" s="488">
        <v>374</v>
      </c>
      <c r="IB162" s="489"/>
      <c r="IC162" s="486">
        <v>4067</v>
      </c>
      <c r="ID162" s="487">
        <v>3668</v>
      </c>
      <c r="IE162" s="487">
        <v>2808</v>
      </c>
      <c r="IF162" s="487">
        <v>1987</v>
      </c>
      <c r="IG162" s="488">
        <v>2088</v>
      </c>
      <c r="IH162" s="488">
        <v>2033</v>
      </c>
      <c r="II162" s="488">
        <v>2049</v>
      </c>
      <c r="IJ162" s="488">
        <v>1669</v>
      </c>
      <c r="IK162" s="489"/>
      <c r="IL162" s="486">
        <v>360</v>
      </c>
      <c r="IM162" s="487">
        <v>274</v>
      </c>
      <c r="IN162" s="487">
        <v>246</v>
      </c>
      <c r="IO162" s="487">
        <v>196</v>
      </c>
      <c r="IP162" s="488">
        <v>92</v>
      </c>
      <c r="IQ162" s="488">
        <v>205</v>
      </c>
      <c r="IR162" s="488">
        <v>109</v>
      </c>
      <c r="IS162" s="488">
        <v>71</v>
      </c>
      <c r="IT162" s="489"/>
      <c r="IU162" s="526">
        <v>3838.3857450262376</v>
      </c>
      <c r="IV162" s="527">
        <v>3455.910756851993</v>
      </c>
      <c r="IW162" s="527">
        <v>2658.2098736214325</v>
      </c>
      <c r="IX162" s="527">
        <v>1936.9114694012831</v>
      </c>
      <c r="IY162" s="528">
        <v>2042.3733787194083</v>
      </c>
      <c r="IZ162" s="528">
        <v>2001.2477956126004</v>
      </c>
      <c r="JA162" s="528">
        <v>2034.3728591427634</v>
      </c>
      <c r="JB162" s="528">
        <v>1663.8752641863061</v>
      </c>
      <c r="JC162" s="529"/>
      <c r="JD162" s="530">
        <v>952.28207935369403</v>
      </c>
      <c r="JE162" s="531">
        <v>607.70513581503144</v>
      </c>
      <c r="JF162" s="531">
        <v>464.80806550859091</v>
      </c>
      <c r="JG162" s="531">
        <v>465.95051956407303</v>
      </c>
      <c r="JH162" s="531">
        <v>399.08445331298782</v>
      </c>
      <c r="JI162" s="532">
        <v>392.12459451143161</v>
      </c>
      <c r="JJ162" s="532">
        <v>363.38724570339264</v>
      </c>
      <c r="JK162" s="532">
        <v>372.85161701957969</v>
      </c>
      <c r="JL162" s="529"/>
      <c r="JM162" s="530">
        <v>1645.9662501415683</v>
      </c>
      <c r="JN162" s="531">
        <v>1309.6281221440215</v>
      </c>
      <c r="JO162" s="531">
        <v>1138.8270932929427</v>
      </c>
      <c r="JP162" s="531">
        <v>1085.9181564735929</v>
      </c>
      <c r="JQ162" s="531">
        <v>1155.1929886339183</v>
      </c>
      <c r="JR162" s="532">
        <v>1082.8526979928718</v>
      </c>
      <c r="JS162" s="532">
        <v>948.18256734081945</v>
      </c>
      <c r="JT162" s="532">
        <v>827.45144953543081</v>
      </c>
      <c r="JU162" s="529"/>
      <c r="JV162" s="530">
        <v>548.34082071803391</v>
      </c>
      <c r="JW162" s="531">
        <v>435.28646937448769</v>
      </c>
      <c r="JX162" s="531">
        <v>350.2626970227671</v>
      </c>
      <c r="JY162" s="531">
        <v>294.38714834382858</v>
      </c>
      <c r="JZ162" s="531">
        <v>203.45481933603301</v>
      </c>
      <c r="KA162" s="532">
        <v>200.02731590896269</v>
      </c>
      <c r="KB162" s="532">
        <v>181.69362285169632</v>
      </c>
      <c r="KC162" s="532">
        <v>191.41045579614786</v>
      </c>
      <c r="KD162" s="529"/>
    </row>
    <row r="163" spans="1:290" ht="15" customHeight="1" x14ac:dyDescent="0.2">
      <c r="A163" s="930"/>
      <c r="B163" s="490" t="s">
        <v>761</v>
      </c>
      <c r="C163" s="491">
        <v>1</v>
      </c>
      <c r="D163" s="492"/>
      <c r="E163" s="492"/>
      <c r="F163" s="492"/>
      <c r="G163" s="493"/>
      <c r="H163" s="493">
        <v>2</v>
      </c>
      <c r="I163" s="493">
        <v>2</v>
      </c>
      <c r="J163" s="493">
        <v>1</v>
      </c>
      <c r="K163" s="199"/>
      <c r="L163" s="491"/>
      <c r="M163" s="492"/>
      <c r="N163" s="492"/>
      <c r="O163" s="492"/>
      <c r="P163" s="493"/>
      <c r="Q163" s="493">
        <v>1</v>
      </c>
      <c r="R163" s="493"/>
      <c r="S163" s="493">
        <v>1</v>
      </c>
      <c r="T163" s="199"/>
      <c r="U163" s="491">
        <v>1</v>
      </c>
      <c r="V163" s="492"/>
      <c r="W163" s="492"/>
      <c r="X163" s="492"/>
      <c r="Y163" s="493"/>
      <c r="Z163" s="493">
        <v>1</v>
      </c>
      <c r="AA163" s="493">
        <v>2</v>
      </c>
      <c r="AB163" s="493"/>
      <c r="AC163" s="199"/>
      <c r="AD163" s="491">
        <v>59</v>
      </c>
      <c r="AE163" s="492">
        <v>48</v>
      </c>
      <c r="AF163" s="492">
        <v>57</v>
      </c>
      <c r="AG163" s="492">
        <v>55</v>
      </c>
      <c r="AH163" s="493">
        <v>63</v>
      </c>
      <c r="AI163" s="493">
        <v>40</v>
      </c>
      <c r="AJ163" s="493">
        <v>45</v>
      </c>
      <c r="AK163" s="493">
        <v>33</v>
      </c>
      <c r="AL163" s="199"/>
      <c r="AM163" s="491">
        <v>35</v>
      </c>
      <c r="AN163" s="492">
        <v>22</v>
      </c>
      <c r="AO163" s="492">
        <v>30</v>
      </c>
      <c r="AP163" s="492">
        <v>23</v>
      </c>
      <c r="AQ163" s="493">
        <v>26</v>
      </c>
      <c r="AR163" s="493">
        <v>17</v>
      </c>
      <c r="AS163" s="493">
        <v>15</v>
      </c>
      <c r="AT163" s="493">
        <v>15</v>
      </c>
      <c r="AU163" s="199"/>
      <c r="AV163" s="491"/>
      <c r="AW163" s="492"/>
      <c r="AX163" s="492"/>
      <c r="AY163" s="492"/>
      <c r="AZ163" s="493">
        <v>1</v>
      </c>
      <c r="BA163" s="493">
        <v>1</v>
      </c>
      <c r="BB163" s="493"/>
      <c r="BC163" s="493"/>
      <c r="BD163" s="199"/>
      <c r="BE163" s="491">
        <v>22</v>
      </c>
      <c r="BF163" s="492">
        <v>36</v>
      </c>
      <c r="BG163" s="492">
        <v>30</v>
      </c>
      <c r="BH163" s="492">
        <v>9</v>
      </c>
      <c r="BI163" s="493">
        <v>13</v>
      </c>
      <c r="BJ163" s="493">
        <v>9</v>
      </c>
      <c r="BK163" s="493">
        <v>7</v>
      </c>
      <c r="BL163" s="493">
        <v>5</v>
      </c>
      <c r="BM163" s="199"/>
      <c r="BN163" s="491"/>
      <c r="BO163" s="492"/>
      <c r="BP163" s="492"/>
      <c r="BQ163" s="492"/>
      <c r="BR163" s="493"/>
      <c r="BS163" s="493"/>
      <c r="BT163" s="493"/>
      <c r="BU163" s="493"/>
      <c r="BV163" s="199"/>
      <c r="BW163" s="491">
        <v>32</v>
      </c>
      <c r="BX163" s="492">
        <v>53</v>
      </c>
      <c r="BY163" s="492">
        <v>42</v>
      </c>
      <c r="BZ163" s="492">
        <v>62</v>
      </c>
      <c r="CA163" s="493">
        <v>70</v>
      </c>
      <c r="CB163" s="493">
        <v>46</v>
      </c>
      <c r="CC163" s="493">
        <v>55</v>
      </c>
      <c r="CD163" s="493">
        <v>85</v>
      </c>
      <c r="CE163" s="199"/>
      <c r="CF163" s="491">
        <v>2</v>
      </c>
      <c r="CG163" s="492"/>
      <c r="CH163" s="492">
        <v>3</v>
      </c>
      <c r="CI163" s="492">
        <v>2</v>
      </c>
      <c r="CJ163" s="493">
        <v>2</v>
      </c>
      <c r="CK163" s="493">
        <v>2</v>
      </c>
      <c r="CL163" s="493">
        <v>2</v>
      </c>
      <c r="CM163" s="493">
        <v>1</v>
      </c>
      <c r="CN163" s="199"/>
      <c r="CO163" s="491">
        <v>1</v>
      </c>
      <c r="CP163" s="492">
        <v>1</v>
      </c>
      <c r="CQ163" s="492">
        <v>3</v>
      </c>
      <c r="CR163" s="492">
        <v>15</v>
      </c>
      <c r="CS163" s="493">
        <v>1</v>
      </c>
      <c r="CT163" s="493">
        <v>1</v>
      </c>
      <c r="CU163" s="493"/>
      <c r="CV163" s="493">
        <v>1</v>
      </c>
      <c r="CW163" s="199"/>
      <c r="CX163" s="491">
        <v>644</v>
      </c>
      <c r="CY163" s="492">
        <v>688</v>
      </c>
      <c r="CZ163" s="492">
        <v>601</v>
      </c>
      <c r="DA163" s="492">
        <v>573</v>
      </c>
      <c r="DB163" s="493">
        <v>497</v>
      </c>
      <c r="DC163" s="493">
        <v>327</v>
      </c>
      <c r="DD163" s="493">
        <v>336</v>
      </c>
      <c r="DE163" s="493">
        <v>261</v>
      </c>
      <c r="DF163" s="199"/>
      <c r="DG163" s="491">
        <v>3</v>
      </c>
      <c r="DH163" s="492"/>
      <c r="DI163" s="492">
        <v>1</v>
      </c>
      <c r="DJ163" s="492">
        <v>5</v>
      </c>
      <c r="DK163" s="493">
        <v>1</v>
      </c>
      <c r="DL163" s="493">
        <v>2</v>
      </c>
      <c r="DM163" s="493">
        <v>2</v>
      </c>
      <c r="DN163" s="493">
        <v>2</v>
      </c>
      <c r="DO163" s="199"/>
      <c r="DP163" s="491">
        <v>7</v>
      </c>
      <c r="DQ163" s="492">
        <v>24</v>
      </c>
      <c r="DR163" s="492">
        <v>24</v>
      </c>
      <c r="DS163" s="492">
        <v>18</v>
      </c>
      <c r="DT163" s="493">
        <v>5</v>
      </c>
      <c r="DU163" s="493">
        <v>3</v>
      </c>
      <c r="DV163" s="493">
        <v>8</v>
      </c>
      <c r="DW163" s="493">
        <v>15</v>
      </c>
      <c r="DX163" s="199"/>
      <c r="DY163" s="491">
        <v>54</v>
      </c>
      <c r="DZ163" s="492">
        <v>63</v>
      </c>
      <c r="EA163" s="492">
        <v>33</v>
      </c>
      <c r="EB163" s="492">
        <v>54</v>
      </c>
      <c r="EC163" s="493">
        <v>54</v>
      </c>
      <c r="ED163" s="493">
        <v>34</v>
      </c>
      <c r="EE163" s="493">
        <v>47</v>
      </c>
      <c r="EF163" s="493">
        <v>25</v>
      </c>
      <c r="EG163" s="199"/>
      <c r="EH163" s="491">
        <v>11</v>
      </c>
      <c r="EI163" s="492">
        <v>8</v>
      </c>
      <c r="EJ163" s="492">
        <v>6</v>
      </c>
      <c r="EK163" s="492">
        <v>8</v>
      </c>
      <c r="EL163" s="493">
        <v>9</v>
      </c>
      <c r="EM163" s="493">
        <v>4</v>
      </c>
      <c r="EN163" s="493">
        <v>3</v>
      </c>
      <c r="EO163" s="493">
        <v>2</v>
      </c>
      <c r="EP163" s="199"/>
      <c r="EQ163" s="491">
        <v>4</v>
      </c>
      <c r="ER163" s="492">
        <v>6</v>
      </c>
      <c r="ES163" s="492">
        <v>4</v>
      </c>
      <c r="ET163" s="492">
        <v>1</v>
      </c>
      <c r="EU163" s="493"/>
      <c r="EV163" s="493">
        <v>2</v>
      </c>
      <c r="EW163" s="493">
        <v>7</v>
      </c>
      <c r="EX163" s="493">
        <v>5</v>
      </c>
      <c r="EY163" s="199"/>
      <c r="EZ163" s="491">
        <v>2</v>
      </c>
      <c r="FA163" s="492">
        <v>8</v>
      </c>
      <c r="FB163" s="492">
        <v>9</v>
      </c>
      <c r="FC163" s="492">
        <v>3</v>
      </c>
      <c r="FD163" s="493">
        <v>4</v>
      </c>
      <c r="FE163" s="493">
        <v>10</v>
      </c>
      <c r="FF163" s="493">
        <v>1</v>
      </c>
      <c r="FG163" s="493">
        <v>4</v>
      </c>
      <c r="FH163" s="199"/>
      <c r="FI163" s="491">
        <v>69</v>
      </c>
      <c r="FJ163" s="492">
        <v>51</v>
      </c>
      <c r="FK163" s="492">
        <v>63</v>
      </c>
      <c r="FL163" s="492">
        <v>45</v>
      </c>
      <c r="FM163" s="493">
        <v>34</v>
      </c>
      <c r="FN163" s="493">
        <v>26</v>
      </c>
      <c r="FO163" s="493">
        <v>42</v>
      </c>
      <c r="FP163" s="493">
        <v>49</v>
      </c>
      <c r="FQ163" s="199"/>
      <c r="FR163" s="491">
        <v>17</v>
      </c>
      <c r="FS163" s="492">
        <v>23</v>
      </c>
      <c r="FT163" s="492">
        <v>6</v>
      </c>
      <c r="FU163" s="492">
        <v>25</v>
      </c>
      <c r="FV163" s="493">
        <v>6</v>
      </c>
      <c r="FW163" s="493">
        <v>10</v>
      </c>
      <c r="FX163" s="493">
        <v>1</v>
      </c>
      <c r="FY163" s="493">
        <v>3</v>
      </c>
      <c r="FZ163" s="199"/>
      <c r="GA163" s="491">
        <v>1</v>
      </c>
      <c r="GB163" s="492">
        <v>5</v>
      </c>
      <c r="GC163" s="492">
        <v>1</v>
      </c>
      <c r="GD163" s="492">
        <v>6</v>
      </c>
      <c r="GE163" s="493">
        <v>8</v>
      </c>
      <c r="GF163" s="493">
        <v>5</v>
      </c>
      <c r="GG163" s="493">
        <v>13</v>
      </c>
      <c r="GH163" s="493">
        <v>5</v>
      </c>
      <c r="GI163" s="199"/>
      <c r="GJ163" s="491">
        <v>865</v>
      </c>
      <c r="GK163" s="492">
        <v>927</v>
      </c>
      <c r="GL163" s="492">
        <v>825</v>
      </c>
      <c r="GM163" s="492">
        <v>804</v>
      </c>
      <c r="GN163" s="493">
        <v>707</v>
      </c>
      <c r="GO163" s="493">
        <v>484</v>
      </c>
      <c r="GP163" s="493">
        <v>514</v>
      </c>
      <c r="GQ163" s="493">
        <v>455</v>
      </c>
      <c r="GR163" s="199"/>
      <c r="GS163" s="491">
        <v>202</v>
      </c>
      <c r="GT163" s="492">
        <v>270</v>
      </c>
      <c r="GU163" s="492">
        <v>243</v>
      </c>
      <c r="GV163" s="492">
        <v>213</v>
      </c>
      <c r="GW163" s="493">
        <v>148</v>
      </c>
      <c r="GX163" s="493">
        <v>99</v>
      </c>
      <c r="GY163" s="493">
        <v>122</v>
      </c>
      <c r="GZ163" s="493">
        <v>151</v>
      </c>
      <c r="HA163" s="199"/>
      <c r="HB163" s="491">
        <v>4</v>
      </c>
      <c r="HC163" s="492">
        <v>8</v>
      </c>
      <c r="HD163" s="492">
        <v>4</v>
      </c>
      <c r="HE163" s="492">
        <v>1</v>
      </c>
      <c r="HF163" s="493">
        <v>4</v>
      </c>
      <c r="HG163" s="493"/>
      <c r="HH163" s="493">
        <v>8</v>
      </c>
      <c r="HI163" s="493">
        <v>4</v>
      </c>
      <c r="HJ163" s="199"/>
      <c r="HK163" s="491">
        <v>4</v>
      </c>
      <c r="HL163" s="492">
        <v>2</v>
      </c>
      <c r="HM163" s="492">
        <v>6</v>
      </c>
      <c r="HN163" s="492">
        <v>3</v>
      </c>
      <c r="HO163" s="493">
        <v>1</v>
      </c>
      <c r="HP163" s="493">
        <v>1</v>
      </c>
      <c r="HQ163" s="493">
        <v>1</v>
      </c>
      <c r="HR163" s="493">
        <v>2</v>
      </c>
      <c r="HS163" s="199"/>
      <c r="HT163" s="491">
        <v>286</v>
      </c>
      <c r="HU163" s="492">
        <v>362</v>
      </c>
      <c r="HV163" s="492">
        <v>333</v>
      </c>
      <c r="HW163" s="492">
        <v>302</v>
      </c>
      <c r="HX163" s="493">
        <v>256</v>
      </c>
      <c r="HY163" s="493">
        <v>174</v>
      </c>
      <c r="HZ163" s="493">
        <v>224</v>
      </c>
      <c r="IA163" s="493">
        <v>290</v>
      </c>
      <c r="IB163" s="199"/>
      <c r="IC163" s="491">
        <v>1616</v>
      </c>
      <c r="ID163" s="492">
        <v>1741</v>
      </c>
      <c r="IE163" s="492">
        <v>2135</v>
      </c>
      <c r="IF163" s="492">
        <v>1311</v>
      </c>
      <c r="IG163" s="493">
        <v>1219</v>
      </c>
      <c r="IH163" s="493">
        <v>877</v>
      </c>
      <c r="II163" s="493">
        <v>938</v>
      </c>
      <c r="IJ163" s="493">
        <v>871</v>
      </c>
      <c r="IK163" s="199"/>
      <c r="IL163" s="491">
        <v>138</v>
      </c>
      <c r="IM163" s="492">
        <v>153</v>
      </c>
      <c r="IN163" s="492">
        <v>118</v>
      </c>
      <c r="IO163" s="492">
        <v>79</v>
      </c>
      <c r="IP163" s="493">
        <v>58</v>
      </c>
      <c r="IQ163" s="493">
        <v>58</v>
      </c>
      <c r="IR163" s="493">
        <v>77</v>
      </c>
      <c r="IS163" s="493">
        <v>43</v>
      </c>
      <c r="IT163" s="199"/>
      <c r="IU163" s="533">
        <v>2681.6235770468952</v>
      </c>
      <c r="IV163" s="534">
        <v>2924.1828748026473</v>
      </c>
      <c r="IW163" s="534">
        <v>3625.895859515641</v>
      </c>
      <c r="IX163" s="534">
        <v>2224.6733412523331</v>
      </c>
      <c r="IY163" s="535">
        <v>2087.6147417454449</v>
      </c>
      <c r="IZ163" s="535">
        <v>1509.1839341077916</v>
      </c>
      <c r="JA163" s="535">
        <v>1628.9529895976241</v>
      </c>
      <c r="JB163" s="535">
        <v>1529.9221865064728</v>
      </c>
      <c r="JC163" s="536"/>
      <c r="JD163" s="537">
        <v>474.59427168032926</v>
      </c>
      <c r="JE163" s="538">
        <v>608.01504921226785</v>
      </c>
      <c r="JF163" s="538">
        <v>565.53785537176043</v>
      </c>
      <c r="JG163" s="538">
        <v>512.47242491091129</v>
      </c>
      <c r="JH163" s="538">
        <v>438.41622140019183</v>
      </c>
      <c r="JI163" s="539">
        <v>299.76784617697598</v>
      </c>
      <c r="JJ163" s="539">
        <v>389.00369900838791</v>
      </c>
      <c r="JK163" s="539">
        <v>509.38855807907822</v>
      </c>
      <c r="JL163" s="536"/>
      <c r="JM163" s="537">
        <v>1435.3987587534432</v>
      </c>
      <c r="JN163" s="538">
        <v>1556.9888138667741</v>
      </c>
      <c r="JO163" s="538">
        <v>1401.1072993444516</v>
      </c>
      <c r="JP163" s="538">
        <v>1364.3305616833532</v>
      </c>
      <c r="JQ163" s="538">
        <v>1210.7822989450608</v>
      </c>
      <c r="JR163" s="539">
        <v>835.56561801046371</v>
      </c>
      <c r="JS163" s="539">
        <v>892.62455933174726</v>
      </c>
      <c r="JT163" s="539">
        <v>799.2130825033812</v>
      </c>
      <c r="JU163" s="536"/>
      <c r="JV163" s="537">
        <v>335.2029471308619</v>
      </c>
      <c r="JW163" s="538">
        <v>453.49188753401188</v>
      </c>
      <c r="JX163" s="538">
        <v>412.68978635236573</v>
      </c>
      <c r="JY163" s="538">
        <v>361.44578313253015</v>
      </c>
      <c r="JZ163" s="538">
        <v>253.45937799698589</v>
      </c>
      <c r="KA163" s="539">
        <v>170.55759835738209</v>
      </c>
      <c r="KB163" s="539">
        <v>211.86808606706839</v>
      </c>
      <c r="KC163" s="539">
        <v>265.23335265496831</v>
      </c>
      <c r="KD163" s="536"/>
    </row>
    <row r="164" spans="1:290" ht="15" customHeight="1" x14ac:dyDescent="0.2">
      <c r="A164" s="930"/>
      <c r="B164" s="490" t="s">
        <v>762</v>
      </c>
      <c r="C164" s="491"/>
      <c r="D164" s="492">
        <v>1</v>
      </c>
      <c r="E164" s="492">
        <v>1</v>
      </c>
      <c r="F164" s="492"/>
      <c r="G164" s="493"/>
      <c r="H164" s="493"/>
      <c r="I164" s="493">
        <v>1</v>
      </c>
      <c r="J164" s="493"/>
      <c r="K164" s="199"/>
      <c r="L164" s="491"/>
      <c r="M164" s="492"/>
      <c r="N164" s="492">
        <v>1</v>
      </c>
      <c r="O164" s="492"/>
      <c r="P164" s="493"/>
      <c r="Q164" s="493"/>
      <c r="R164" s="493"/>
      <c r="S164" s="493"/>
      <c r="T164" s="199"/>
      <c r="U164" s="491"/>
      <c r="V164" s="492">
        <v>1</v>
      </c>
      <c r="W164" s="492"/>
      <c r="X164" s="492"/>
      <c r="Y164" s="493"/>
      <c r="Z164" s="493"/>
      <c r="AA164" s="493">
        <v>1</v>
      </c>
      <c r="AB164" s="493"/>
      <c r="AC164" s="199"/>
      <c r="AD164" s="491">
        <v>40</v>
      </c>
      <c r="AE164" s="492">
        <v>48</v>
      </c>
      <c r="AF164" s="492">
        <v>48</v>
      </c>
      <c r="AG164" s="492">
        <v>38</v>
      </c>
      <c r="AH164" s="493">
        <v>64</v>
      </c>
      <c r="AI164" s="493">
        <v>94</v>
      </c>
      <c r="AJ164" s="493">
        <v>92</v>
      </c>
      <c r="AK164" s="493">
        <v>77</v>
      </c>
      <c r="AL164" s="199"/>
      <c r="AM164" s="491">
        <v>19</v>
      </c>
      <c r="AN164" s="492">
        <v>20</v>
      </c>
      <c r="AO164" s="492">
        <v>26</v>
      </c>
      <c r="AP164" s="492">
        <v>18</v>
      </c>
      <c r="AQ164" s="493">
        <v>19</v>
      </c>
      <c r="AR164" s="493">
        <v>9</v>
      </c>
      <c r="AS164" s="493">
        <v>7</v>
      </c>
      <c r="AT164" s="493">
        <v>14</v>
      </c>
      <c r="AU164" s="199"/>
      <c r="AV164" s="491"/>
      <c r="AW164" s="492"/>
      <c r="AX164" s="492">
        <v>1</v>
      </c>
      <c r="AY164" s="492"/>
      <c r="AZ164" s="493"/>
      <c r="BA164" s="493"/>
      <c r="BB164" s="493"/>
      <c r="BC164" s="493"/>
      <c r="BD164" s="199"/>
      <c r="BE164" s="491">
        <v>16</v>
      </c>
      <c r="BF164" s="492">
        <v>9</v>
      </c>
      <c r="BG164" s="492">
        <v>8</v>
      </c>
      <c r="BH164" s="492">
        <v>7</v>
      </c>
      <c r="BI164" s="493">
        <v>6</v>
      </c>
      <c r="BJ164" s="493">
        <v>7</v>
      </c>
      <c r="BK164" s="493">
        <v>6</v>
      </c>
      <c r="BL164" s="493">
        <v>5</v>
      </c>
      <c r="BM164" s="199"/>
      <c r="BN164" s="491"/>
      <c r="BO164" s="492"/>
      <c r="BP164" s="492"/>
      <c r="BQ164" s="492"/>
      <c r="BR164" s="493"/>
      <c r="BS164" s="493"/>
      <c r="BT164" s="493"/>
      <c r="BU164" s="493"/>
      <c r="BV164" s="199"/>
      <c r="BW164" s="491">
        <v>52</v>
      </c>
      <c r="BX164" s="492">
        <v>40</v>
      </c>
      <c r="BY164" s="492">
        <v>37</v>
      </c>
      <c r="BZ164" s="492">
        <v>23</v>
      </c>
      <c r="CA164" s="493">
        <v>43</v>
      </c>
      <c r="CB164" s="493">
        <v>23</v>
      </c>
      <c r="CC164" s="493">
        <v>16</v>
      </c>
      <c r="CD164" s="493">
        <v>14</v>
      </c>
      <c r="CE164" s="199"/>
      <c r="CF164" s="491">
        <v>5</v>
      </c>
      <c r="CG164" s="492">
        <v>2</v>
      </c>
      <c r="CH164" s="492">
        <v>2</v>
      </c>
      <c r="CI164" s="492"/>
      <c r="CJ164" s="493">
        <v>2</v>
      </c>
      <c r="CK164" s="493">
        <v>1</v>
      </c>
      <c r="CL164" s="493">
        <v>2</v>
      </c>
      <c r="CM164" s="493">
        <v>2</v>
      </c>
      <c r="CN164" s="199"/>
      <c r="CO164" s="491"/>
      <c r="CP164" s="492">
        <v>6</v>
      </c>
      <c r="CQ164" s="492">
        <v>1</v>
      </c>
      <c r="CR164" s="492">
        <v>1</v>
      </c>
      <c r="CS164" s="493">
        <v>1</v>
      </c>
      <c r="CT164" s="493">
        <v>1</v>
      </c>
      <c r="CU164" s="493">
        <v>2</v>
      </c>
      <c r="CV164" s="493">
        <v>1</v>
      </c>
      <c r="CW164" s="199"/>
      <c r="CX164" s="491">
        <v>447</v>
      </c>
      <c r="CY164" s="492">
        <v>617</v>
      </c>
      <c r="CZ164" s="492">
        <v>722</v>
      </c>
      <c r="DA164" s="492">
        <v>453</v>
      </c>
      <c r="DB164" s="493">
        <v>468</v>
      </c>
      <c r="DC164" s="493">
        <v>279</v>
      </c>
      <c r="DD164" s="493">
        <v>159</v>
      </c>
      <c r="DE164" s="493">
        <v>186</v>
      </c>
      <c r="DF164" s="199"/>
      <c r="DG164" s="491">
        <v>6</v>
      </c>
      <c r="DH164" s="492">
        <v>5</v>
      </c>
      <c r="DI164" s="492">
        <v>1</v>
      </c>
      <c r="DJ164" s="492">
        <v>8</v>
      </c>
      <c r="DK164" s="493">
        <v>2</v>
      </c>
      <c r="DL164" s="493">
        <v>2</v>
      </c>
      <c r="DM164" s="493"/>
      <c r="DN164" s="493">
        <v>2</v>
      </c>
      <c r="DO164" s="199"/>
      <c r="DP164" s="491">
        <v>18</v>
      </c>
      <c r="DQ164" s="492">
        <v>26</v>
      </c>
      <c r="DR164" s="492">
        <v>8</v>
      </c>
      <c r="DS164" s="492">
        <v>5</v>
      </c>
      <c r="DT164" s="493">
        <v>16</v>
      </c>
      <c r="DU164" s="493">
        <v>9</v>
      </c>
      <c r="DV164" s="493">
        <v>2</v>
      </c>
      <c r="DW164" s="493">
        <v>4</v>
      </c>
      <c r="DX164" s="199"/>
      <c r="DY164" s="491">
        <v>39</v>
      </c>
      <c r="DZ164" s="492">
        <v>50</v>
      </c>
      <c r="EA164" s="492">
        <v>42</v>
      </c>
      <c r="EB164" s="492">
        <v>48</v>
      </c>
      <c r="EC164" s="493">
        <v>47</v>
      </c>
      <c r="ED164" s="493">
        <v>35</v>
      </c>
      <c r="EE164" s="493">
        <v>21</v>
      </c>
      <c r="EF164" s="493">
        <v>36</v>
      </c>
      <c r="EG164" s="199"/>
      <c r="EH164" s="491">
        <v>5</v>
      </c>
      <c r="EI164" s="492">
        <v>7</v>
      </c>
      <c r="EJ164" s="492">
        <v>3</v>
      </c>
      <c r="EK164" s="492">
        <v>6</v>
      </c>
      <c r="EL164" s="493">
        <v>1</v>
      </c>
      <c r="EM164" s="493">
        <v>4</v>
      </c>
      <c r="EN164" s="493">
        <v>1</v>
      </c>
      <c r="EO164" s="493">
        <v>3</v>
      </c>
      <c r="EP164" s="199"/>
      <c r="EQ164" s="491"/>
      <c r="ER164" s="492"/>
      <c r="ES164" s="492">
        <v>1</v>
      </c>
      <c r="ET164" s="492"/>
      <c r="EU164" s="493"/>
      <c r="EV164" s="493">
        <v>1</v>
      </c>
      <c r="EW164" s="493"/>
      <c r="EX164" s="493">
        <v>2</v>
      </c>
      <c r="EY164" s="199"/>
      <c r="EZ164" s="491"/>
      <c r="FA164" s="492"/>
      <c r="FB164" s="492">
        <v>6</v>
      </c>
      <c r="FC164" s="492">
        <v>2</v>
      </c>
      <c r="FD164" s="493">
        <v>1</v>
      </c>
      <c r="FE164" s="493">
        <v>1</v>
      </c>
      <c r="FF164" s="493">
        <v>1</v>
      </c>
      <c r="FG164" s="493"/>
      <c r="FH164" s="199"/>
      <c r="FI164" s="491">
        <v>67</v>
      </c>
      <c r="FJ164" s="492">
        <v>90</v>
      </c>
      <c r="FK164" s="492">
        <v>67</v>
      </c>
      <c r="FL164" s="492">
        <v>31</v>
      </c>
      <c r="FM164" s="493">
        <v>33</v>
      </c>
      <c r="FN164" s="493">
        <v>19</v>
      </c>
      <c r="FO164" s="493">
        <v>16</v>
      </c>
      <c r="FP164" s="493">
        <v>44</v>
      </c>
      <c r="FQ164" s="199"/>
      <c r="FR164" s="491">
        <v>4</v>
      </c>
      <c r="FS164" s="492">
        <v>39</v>
      </c>
      <c r="FT164" s="492">
        <v>6</v>
      </c>
      <c r="FU164" s="492">
        <v>6</v>
      </c>
      <c r="FV164" s="493">
        <v>1</v>
      </c>
      <c r="FW164" s="493">
        <v>1</v>
      </c>
      <c r="FX164" s="493"/>
      <c r="FY164" s="493"/>
      <c r="FZ164" s="199"/>
      <c r="GA164" s="491">
        <v>4</v>
      </c>
      <c r="GB164" s="492">
        <v>1</v>
      </c>
      <c r="GC164" s="492">
        <v>3</v>
      </c>
      <c r="GD164" s="492">
        <v>2</v>
      </c>
      <c r="GE164" s="493">
        <v>16</v>
      </c>
      <c r="GF164" s="493">
        <v>8</v>
      </c>
      <c r="GG164" s="493">
        <v>4</v>
      </c>
      <c r="GH164" s="493">
        <v>6</v>
      </c>
      <c r="GI164" s="199"/>
      <c r="GJ164" s="491">
        <v>640</v>
      </c>
      <c r="GK164" s="492">
        <v>860</v>
      </c>
      <c r="GL164" s="492">
        <v>905</v>
      </c>
      <c r="GM164" s="492">
        <v>569</v>
      </c>
      <c r="GN164" s="493">
        <v>636</v>
      </c>
      <c r="GO164" s="493">
        <v>439</v>
      </c>
      <c r="GP164" s="493">
        <v>300</v>
      </c>
      <c r="GQ164" s="493">
        <v>340</v>
      </c>
      <c r="GR164" s="199"/>
      <c r="GS164" s="491">
        <v>223</v>
      </c>
      <c r="GT164" s="492">
        <v>234</v>
      </c>
      <c r="GU164" s="492">
        <v>295</v>
      </c>
      <c r="GV164" s="492">
        <v>129</v>
      </c>
      <c r="GW164" s="493">
        <v>132</v>
      </c>
      <c r="GX164" s="493">
        <v>48</v>
      </c>
      <c r="GY164" s="493">
        <v>33</v>
      </c>
      <c r="GZ164" s="493">
        <v>45</v>
      </c>
      <c r="HA164" s="199"/>
      <c r="HB164" s="491">
        <v>8</v>
      </c>
      <c r="HC164" s="492">
        <v>1</v>
      </c>
      <c r="HD164" s="492">
        <v>1</v>
      </c>
      <c r="HE164" s="492">
        <v>1</v>
      </c>
      <c r="HF164" s="493">
        <v>4</v>
      </c>
      <c r="HG164" s="493">
        <v>1</v>
      </c>
      <c r="HH164" s="493">
        <v>5</v>
      </c>
      <c r="HI164" s="493">
        <v>4</v>
      </c>
      <c r="HJ164" s="199"/>
      <c r="HK164" s="491">
        <v>2</v>
      </c>
      <c r="HL164" s="492">
        <v>1</v>
      </c>
      <c r="HM164" s="492"/>
      <c r="HN164" s="492">
        <v>1</v>
      </c>
      <c r="HO164" s="493">
        <v>1</v>
      </c>
      <c r="HP164" s="493">
        <v>2</v>
      </c>
      <c r="HQ164" s="493">
        <v>1</v>
      </c>
      <c r="HR164" s="493"/>
      <c r="HS164" s="199"/>
      <c r="HT164" s="491">
        <v>359</v>
      </c>
      <c r="HU164" s="492">
        <v>336</v>
      </c>
      <c r="HV164" s="492">
        <v>392</v>
      </c>
      <c r="HW164" s="492">
        <v>224</v>
      </c>
      <c r="HX164" s="493">
        <v>225</v>
      </c>
      <c r="HY164" s="493">
        <v>165</v>
      </c>
      <c r="HZ164" s="493">
        <v>210</v>
      </c>
      <c r="IA164" s="493">
        <v>234</v>
      </c>
      <c r="IB164" s="199"/>
      <c r="IC164" s="491">
        <v>1441</v>
      </c>
      <c r="ID164" s="492">
        <v>1876</v>
      </c>
      <c r="IE164" s="492">
        <v>1702</v>
      </c>
      <c r="IF164" s="492">
        <v>1083</v>
      </c>
      <c r="IG164" s="493">
        <v>1031</v>
      </c>
      <c r="IH164" s="493">
        <v>837</v>
      </c>
      <c r="II164" s="493">
        <v>851</v>
      </c>
      <c r="IJ164" s="493">
        <v>752</v>
      </c>
      <c r="IK164" s="199"/>
      <c r="IL164" s="491">
        <v>133</v>
      </c>
      <c r="IM164" s="492">
        <v>177</v>
      </c>
      <c r="IN164" s="492">
        <v>124</v>
      </c>
      <c r="IO164" s="492">
        <v>128</v>
      </c>
      <c r="IP164" s="493">
        <v>65</v>
      </c>
      <c r="IQ164" s="493">
        <v>81</v>
      </c>
      <c r="IR164" s="493">
        <v>56</v>
      </c>
      <c r="IS164" s="493">
        <v>65</v>
      </c>
      <c r="IT164" s="199"/>
      <c r="IU164" s="533">
        <v>2770.3014457090126</v>
      </c>
      <c r="IV164" s="534">
        <v>3659.4881398252182</v>
      </c>
      <c r="IW164" s="534">
        <v>3348.0210874183654</v>
      </c>
      <c r="IX164" s="534">
        <v>2083.0929024812463</v>
      </c>
      <c r="IY164" s="535">
        <v>1999.6896698863416</v>
      </c>
      <c r="IZ164" s="535">
        <v>1671.9012635178162</v>
      </c>
      <c r="JA164" s="535">
        <v>1752.3989950990488</v>
      </c>
      <c r="JB164" s="535">
        <v>1566.6993062355466</v>
      </c>
      <c r="JC164" s="536"/>
      <c r="JD164" s="537">
        <v>690.17225469086429</v>
      </c>
      <c r="JE164" s="538">
        <v>655.43071161048692</v>
      </c>
      <c r="JF164" s="538">
        <v>771.10708946415934</v>
      </c>
      <c r="JG164" s="538">
        <v>430.85208693979615</v>
      </c>
      <c r="JH164" s="538">
        <v>436.40172233213082</v>
      </c>
      <c r="JI164" s="539">
        <v>330.01361335588291</v>
      </c>
      <c r="JJ164" s="539">
        <v>432.43688480705083</v>
      </c>
      <c r="JK164" s="539">
        <v>487.51015646159294</v>
      </c>
      <c r="JL164" s="536"/>
      <c r="JM164" s="537">
        <v>1230.3906490310674</v>
      </c>
      <c r="JN164" s="538">
        <v>1677.5905118601747</v>
      </c>
      <c r="JO164" s="538">
        <v>1780.2344795027145</v>
      </c>
      <c r="JP164" s="538">
        <v>1094.4412386997499</v>
      </c>
      <c r="JQ164" s="538">
        <v>1233.5622017921564</v>
      </c>
      <c r="JR164" s="539">
        <v>875.81630246958093</v>
      </c>
      <c r="JS164" s="539">
        <v>617.76697829578677</v>
      </c>
      <c r="JT164" s="539">
        <v>708.34809058522058</v>
      </c>
      <c r="JU164" s="536"/>
      <c r="JV164" s="537">
        <v>428.71424177176249</v>
      </c>
      <c r="JW164" s="538">
        <v>456.46067415730334</v>
      </c>
      <c r="JX164" s="538">
        <v>580.2974270202219</v>
      </c>
      <c r="JY164" s="538">
        <v>248.12463935372188</v>
      </c>
      <c r="JZ164" s="538">
        <v>256.02234376818336</v>
      </c>
      <c r="KA164" s="539">
        <v>94.32044767731378</v>
      </c>
      <c r="KB164" s="539">
        <v>67.954367612536558</v>
      </c>
      <c r="KC164" s="539">
        <v>93.751953165690949</v>
      </c>
      <c r="KD164" s="536"/>
    </row>
    <row r="165" spans="1:290" ht="15" customHeight="1" x14ac:dyDescent="0.2">
      <c r="A165" s="930"/>
      <c r="B165" s="490" t="s">
        <v>763</v>
      </c>
      <c r="C165" s="491"/>
      <c r="D165" s="492"/>
      <c r="E165" s="492">
        <v>4</v>
      </c>
      <c r="F165" s="492">
        <v>1</v>
      </c>
      <c r="G165" s="493"/>
      <c r="H165" s="493"/>
      <c r="I165" s="493"/>
      <c r="J165" s="493"/>
      <c r="K165" s="199"/>
      <c r="L165" s="491"/>
      <c r="M165" s="492"/>
      <c r="N165" s="492">
        <v>1</v>
      </c>
      <c r="O165" s="492">
        <v>1</v>
      </c>
      <c r="P165" s="493"/>
      <c r="Q165" s="493"/>
      <c r="R165" s="493"/>
      <c r="S165" s="493"/>
      <c r="T165" s="199"/>
      <c r="U165" s="491"/>
      <c r="V165" s="492"/>
      <c r="W165" s="492">
        <v>2</v>
      </c>
      <c r="X165" s="492"/>
      <c r="Y165" s="493"/>
      <c r="Z165" s="493"/>
      <c r="AA165" s="493"/>
      <c r="AB165" s="493"/>
      <c r="AC165" s="199"/>
      <c r="AD165" s="491">
        <v>45</v>
      </c>
      <c r="AE165" s="492">
        <v>41</v>
      </c>
      <c r="AF165" s="492">
        <v>69</v>
      </c>
      <c r="AG165" s="492">
        <v>60</v>
      </c>
      <c r="AH165" s="493">
        <v>35</v>
      </c>
      <c r="AI165" s="493">
        <v>67</v>
      </c>
      <c r="AJ165" s="493">
        <v>54</v>
      </c>
      <c r="AK165" s="493">
        <v>53</v>
      </c>
      <c r="AL165" s="199"/>
      <c r="AM165" s="491">
        <v>23</v>
      </c>
      <c r="AN165" s="492">
        <v>13</v>
      </c>
      <c r="AO165" s="492">
        <v>30</v>
      </c>
      <c r="AP165" s="492">
        <v>20</v>
      </c>
      <c r="AQ165" s="493">
        <v>10</v>
      </c>
      <c r="AR165" s="493">
        <v>29</v>
      </c>
      <c r="AS165" s="493">
        <v>20</v>
      </c>
      <c r="AT165" s="493">
        <v>17</v>
      </c>
      <c r="AU165" s="199"/>
      <c r="AV165" s="491"/>
      <c r="AW165" s="492"/>
      <c r="AX165" s="492"/>
      <c r="AY165" s="492"/>
      <c r="AZ165" s="493"/>
      <c r="BA165" s="493"/>
      <c r="BB165" s="493">
        <v>1</v>
      </c>
      <c r="BC165" s="493"/>
      <c r="BD165" s="199"/>
      <c r="BE165" s="491">
        <v>18</v>
      </c>
      <c r="BF165" s="492">
        <v>37</v>
      </c>
      <c r="BG165" s="492">
        <v>13</v>
      </c>
      <c r="BH165" s="492">
        <v>43</v>
      </c>
      <c r="BI165" s="493">
        <v>16</v>
      </c>
      <c r="BJ165" s="493">
        <v>25</v>
      </c>
      <c r="BK165" s="493">
        <v>20</v>
      </c>
      <c r="BL165" s="493">
        <v>32</v>
      </c>
      <c r="BM165" s="199"/>
      <c r="BN165" s="491"/>
      <c r="BO165" s="492"/>
      <c r="BP165" s="492"/>
      <c r="BQ165" s="492"/>
      <c r="BR165" s="493"/>
      <c r="BS165" s="493"/>
      <c r="BT165" s="493"/>
      <c r="BU165" s="493"/>
      <c r="BV165" s="199"/>
      <c r="BW165" s="491">
        <v>48</v>
      </c>
      <c r="BX165" s="492">
        <v>54</v>
      </c>
      <c r="BY165" s="492">
        <v>50</v>
      </c>
      <c r="BZ165" s="492">
        <v>34</v>
      </c>
      <c r="CA165" s="493">
        <v>35</v>
      </c>
      <c r="CB165" s="493">
        <v>61</v>
      </c>
      <c r="CC165" s="493">
        <v>49</v>
      </c>
      <c r="CD165" s="493">
        <v>43</v>
      </c>
      <c r="CE165" s="199"/>
      <c r="CF165" s="491">
        <v>1</v>
      </c>
      <c r="CG165" s="492">
        <v>2</v>
      </c>
      <c r="CH165" s="492">
        <v>2</v>
      </c>
      <c r="CI165" s="492"/>
      <c r="CJ165" s="493">
        <v>4</v>
      </c>
      <c r="CK165" s="493">
        <v>2</v>
      </c>
      <c r="CL165" s="493"/>
      <c r="CM165" s="493">
        <v>2</v>
      </c>
      <c r="CN165" s="199"/>
      <c r="CO165" s="491"/>
      <c r="CP165" s="492">
        <v>1</v>
      </c>
      <c r="CQ165" s="492">
        <v>1</v>
      </c>
      <c r="CR165" s="492">
        <v>1</v>
      </c>
      <c r="CS165" s="493">
        <v>2</v>
      </c>
      <c r="CT165" s="493"/>
      <c r="CU165" s="493">
        <v>2</v>
      </c>
      <c r="CV165" s="493"/>
      <c r="CW165" s="199"/>
      <c r="CX165" s="491">
        <v>419</v>
      </c>
      <c r="CY165" s="492">
        <v>409</v>
      </c>
      <c r="CZ165" s="492">
        <v>404</v>
      </c>
      <c r="DA165" s="492">
        <v>283</v>
      </c>
      <c r="DB165" s="493">
        <v>288</v>
      </c>
      <c r="DC165" s="493">
        <v>320</v>
      </c>
      <c r="DD165" s="493">
        <v>146</v>
      </c>
      <c r="DE165" s="493">
        <v>159</v>
      </c>
      <c r="DF165" s="199"/>
      <c r="DG165" s="491">
        <v>3</v>
      </c>
      <c r="DH165" s="492">
        <v>8</v>
      </c>
      <c r="DI165" s="492">
        <v>8</v>
      </c>
      <c r="DJ165" s="492">
        <v>5</v>
      </c>
      <c r="DK165" s="493">
        <v>2</v>
      </c>
      <c r="DL165" s="493">
        <v>6</v>
      </c>
      <c r="DM165" s="493"/>
      <c r="DN165" s="493"/>
      <c r="DO165" s="199"/>
      <c r="DP165" s="491">
        <v>9</v>
      </c>
      <c r="DQ165" s="492">
        <v>11</v>
      </c>
      <c r="DR165" s="492">
        <v>11</v>
      </c>
      <c r="DS165" s="492">
        <v>4</v>
      </c>
      <c r="DT165" s="493">
        <v>5</v>
      </c>
      <c r="DU165" s="493">
        <v>1</v>
      </c>
      <c r="DV165" s="493">
        <v>1</v>
      </c>
      <c r="DW165" s="493">
        <v>9</v>
      </c>
      <c r="DX165" s="199"/>
      <c r="DY165" s="491">
        <v>25</v>
      </c>
      <c r="DZ165" s="492">
        <v>32</v>
      </c>
      <c r="EA165" s="492">
        <v>38</v>
      </c>
      <c r="EB165" s="492">
        <v>18</v>
      </c>
      <c r="EC165" s="493">
        <v>31</v>
      </c>
      <c r="ED165" s="493">
        <v>73</v>
      </c>
      <c r="EE165" s="493">
        <v>23</v>
      </c>
      <c r="EF165" s="493">
        <v>27</v>
      </c>
      <c r="EG165" s="199"/>
      <c r="EH165" s="491">
        <v>3</v>
      </c>
      <c r="EI165" s="492"/>
      <c r="EJ165" s="492">
        <v>12</v>
      </c>
      <c r="EK165" s="492">
        <v>6</v>
      </c>
      <c r="EL165" s="493">
        <v>4</v>
      </c>
      <c r="EM165" s="493">
        <v>3</v>
      </c>
      <c r="EN165" s="493">
        <v>7</v>
      </c>
      <c r="EO165" s="493"/>
      <c r="EP165" s="199"/>
      <c r="EQ165" s="491"/>
      <c r="ER165" s="492">
        <v>1</v>
      </c>
      <c r="ES165" s="492"/>
      <c r="ET165" s="492">
        <v>2</v>
      </c>
      <c r="EU165" s="493">
        <v>1</v>
      </c>
      <c r="EV165" s="493">
        <v>4</v>
      </c>
      <c r="EW165" s="493">
        <v>7</v>
      </c>
      <c r="EX165" s="493">
        <v>6</v>
      </c>
      <c r="EY165" s="199"/>
      <c r="EZ165" s="491"/>
      <c r="FA165" s="492">
        <v>7</v>
      </c>
      <c r="FB165" s="492">
        <v>2</v>
      </c>
      <c r="FC165" s="492">
        <v>5</v>
      </c>
      <c r="FD165" s="493">
        <v>2</v>
      </c>
      <c r="FE165" s="493">
        <v>1</v>
      </c>
      <c r="FF165" s="493">
        <v>4</v>
      </c>
      <c r="FG165" s="493"/>
      <c r="FH165" s="199"/>
      <c r="FI165" s="491">
        <v>54</v>
      </c>
      <c r="FJ165" s="492">
        <v>117</v>
      </c>
      <c r="FK165" s="492">
        <v>29</v>
      </c>
      <c r="FL165" s="492">
        <v>22</v>
      </c>
      <c r="FM165" s="493">
        <v>29</v>
      </c>
      <c r="FN165" s="493">
        <v>25</v>
      </c>
      <c r="FO165" s="493">
        <v>23</v>
      </c>
      <c r="FP165" s="493">
        <v>30</v>
      </c>
      <c r="FQ165" s="199"/>
      <c r="FR165" s="491">
        <v>9</v>
      </c>
      <c r="FS165" s="492"/>
      <c r="FT165" s="492">
        <v>1</v>
      </c>
      <c r="FU165" s="492">
        <v>3</v>
      </c>
      <c r="FV165" s="493">
        <v>2</v>
      </c>
      <c r="FW165" s="493">
        <v>1</v>
      </c>
      <c r="FX165" s="493">
        <v>1</v>
      </c>
      <c r="FY165" s="493">
        <v>1</v>
      </c>
      <c r="FZ165" s="199"/>
      <c r="GA165" s="491">
        <v>7</v>
      </c>
      <c r="GB165" s="492">
        <v>9</v>
      </c>
      <c r="GC165" s="492">
        <v>8</v>
      </c>
      <c r="GD165" s="492">
        <v>2</v>
      </c>
      <c r="GE165" s="493">
        <v>5</v>
      </c>
      <c r="GF165" s="493">
        <v>3</v>
      </c>
      <c r="GG165" s="493">
        <v>1</v>
      </c>
      <c r="GH165" s="493">
        <v>3</v>
      </c>
      <c r="GI165" s="199"/>
      <c r="GJ165" s="491">
        <v>604</v>
      </c>
      <c r="GK165" s="492">
        <v>678</v>
      </c>
      <c r="GL165" s="492">
        <v>595</v>
      </c>
      <c r="GM165" s="492">
        <v>462</v>
      </c>
      <c r="GN165" s="493">
        <v>423</v>
      </c>
      <c r="GO165" s="493">
        <v>512</v>
      </c>
      <c r="GP165" s="493">
        <v>314</v>
      </c>
      <c r="GQ165" s="493">
        <v>329</v>
      </c>
      <c r="GR165" s="199"/>
      <c r="GS165" s="491">
        <v>170</v>
      </c>
      <c r="GT165" s="492">
        <v>251</v>
      </c>
      <c r="GU165" s="492">
        <v>185</v>
      </c>
      <c r="GV165" s="492">
        <v>117</v>
      </c>
      <c r="GW165" s="493">
        <v>78</v>
      </c>
      <c r="GX165" s="493">
        <v>112</v>
      </c>
      <c r="GY165" s="493">
        <v>80</v>
      </c>
      <c r="GZ165" s="493">
        <v>73</v>
      </c>
      <c r="HA165" s="199"/>
      <c r="HB165" s="491">
        <v>2</v>
      </c>
      <c r="HC165" s="492">
        <v>1</v>
      </c>
      <c r="HD165" s="492"/>
      <c r="HE165" s="492">
        <v>5</v>
      </c>
      <c r="HF165" s="493">
        <v>2</v>
      </c>
      <c r="HG165" s="493">
        <v>1</v>
      </c>
      <c r="HH165" s="493">
        <v>2</v>
      </c>
      <c r="HI165" s="493">
        <v>4</v>
      </c>
      <c r="HJ165" s="199"/>
      <c r="HK165" s="491">
        <v>2</v>
      </c>
      <c r="HL165" s="492"/>
      <c r="HM165" s="492">
        <v>1</v>
      </c>
      <c r="HN165" s="492">
        <v>1</v>
      </c>
      <c r="HO165" s="493">
        <v>1</v>
      </c>
      <c r="HP165" s="493">
        <v>5</v>
      </c>
      <c r="HQ165" s="493">
        <v>2</v>
      </c>
      <c r="HR165" s="493">
        <v>4</v>
      </c>
      <c r="HS165" s="199"/>
      <c r="HT165" s="491">
        <v>252</v>
      </c>
      <c r="HU165" s="492">
        <v>298</v>
      </c>
      <c r="HV165" s="492">
        <v>245</v>
      </c>
      <c r="HW165" s="492">
        <v>187</v>
      </c>
      <c r="HX165" s="493">
        <v>145</v>
      </c>
      <c r="HY165" s="493">
        <v>180</v>
      </c>
      <c r="HZ165" s="493">
        <v>160</v>
      </c>
      <c r="IA165" s="493">
        <v>176</v>
      </c>
      <c r="IB165" s="199"/>
      <c r="IC165" s="491">
        <v>1235</v>
      </c>
      <c r="ID165" s="492">
        <v>1059</v>
      </c>
      <c r="IE165" s="492">
        <v>1389</v>
      </c>
      <c r="IF165" s="492">
        <v>804</v>
      </c>
      <c r="IG165" s="493">
        <v>768</v>
      </c>
      <c r="IH165" s="493">
        <v>866</v>
      </c>
      <c r="II165" s="493">
        <v>609</v>
      </c>
      <c r="IJ165" s="493">
        <v>640</v>
      </c>
      <c r="IK165" s="199"/>
      <c r="IL165" s="491">
        <v>134</v>
      </c>
      <c r="IM165" s="492">
        <v>119</v>
      </c>
      <c r="IN165" s="492">
        <v>124</v>
      </c>
      <c r="IO165" s="492">
        <v>33</v>
      </c>
      <c r="IP165" s="493">
        <v>37</v>
      </c>
      <c r="IQ165" s="493">
        <v>121</v>
      </c>
      <c r="IR165" s="493">
        <v>52</v>
      </c>
      <c r="IS165" s="493">
        <v>41</v>
      </c>
      <c r="IT165" s="199"/>
      <c r="IU165" s="533">
        <v>3361.7334022919672</v>
      </c>
      <c r="IV165" s="534">
        <v>2913.3425034387897</v>
      </c>
      <c r="IW165" s="534">
        <v>3851.3794537640374</v>
      </c>
      <c r="IX165" s="534">
        <v>2227.3319112391614</v>
      </c>
      <c r="IY165" s="535">
        <v>2150.477417187019</v>
      </c>
      <c r="IZ165" s="535">
        <v>2401.4290216623149</v>
      </c>
      <c r="JA165" s="535">
        <v>1672.1581548599672</v>
      </c>
      <c r="JB165" s="535">
        <v>1771.2340519746492</v>
      </c>
      <c r="JC165" s="536"/>
      <c r="JD165" s="537">
        <v>685.95693714783454</v>
      </c>
      <c r="JE165" s="538">
        <v>819.80742778541958</v>
      </c>
      <c r="JF165" s="538">
        <v>679.32898932483022</v>
      </c>
      <c r="JG165" s="538">
        <v>518.04859129567558</v>
      </c>
      <c r="JH165" s="538">
        <v>406.01461652619497</v>
      </c>
      <c r="JI165" s="539">
        <v>497.71571214751583</v>
      </c>
      <c r="JJ165" s="539">
        <v>439.31905546403078</v>
      </c>
      <c r="JK165" s="539">
        <v>487.08936429302855</v>
      </c>
      <c r="JL165" s="536"/>
      <c r="JM165" s="537">
        <v>1644.1190080844926</v>
      </c>
      <c r="JN165" s="538">
        <v>1865.1994497936726</v>
      </c>
      <c r="JO165" s="538">
        <v>1649.7989740745875</v>
      </c>
      <c r="JP165" s="538">
        <v>1279.8847549657867</v>
      </c>
      <c r="JQ165" s="538">
        <v>1184.4426399350377</v>
      </c>
      <c r="JR165" s="539">
        <v>1418.9141454601836</v>
      </c>
      <c r="JS165" s="539">
        <v>862.16364634816046</v>
      </c>
      <c r="JT165" s="539">
        <v>910.52500484321808</v>
      </c>
      <c r="JU165" s="536"/>
      <c r="JV165" s="537">
        <v>462.74872744099952</v>
      </c>
      <c r="JW165" s="538">
        <v>690.50894085281982</v>
      </c>
      <c r="JX165" s="538">
        <v>512.96270622487179</v>
      </c>
      <c r="JY165" s="538">
        <v>324.12665872510183</v>
      </c>
      <c r="JZ165" s="538">
        <v>218.40786268305661</v>
      </c>
      <c r="KA165" s="539">
        <v>308.7412041979486</v>
      </c>
      <c r="KB165" s="539">
        <v>219.65952773201539</v>
      </c>
      <c r="KC165" s="539">
        <v>202.03138405335844</v>
      </c>
      <c r="KD165" s="536"/>
    </row>
    <row r="166" spans="1:290" ht="15" customHeight="1" x14ac:dyDescent="0.2">
      <c r="A166" s="930"/>
      <c r="B166" s="490" t="s">
        <v>764</v>
      </c>
      <c r="C166" s="491">
        <v>2</v>
      </c>
      <c r="D166" s="492">
        <v>5</v>
      </c>
      <c r="E166" s="492"/>
      <c r="F166" s="492">
        <v>2</v>
      </c>
      <c r="G166" s="493"/>
      <c r="H166" s="493">
        <v>1</v>
      </c>
      <c r="I166" s="493"/>
      <c r="J166" s="493"/>
      <c r="K166" s="199"/>
      <c r="L166" s="491"/>
      <c r="M166" s="492">
        <v>1</v>
      </c>
      <c r="N166" s="492"/>
      <c r="O166" s="492">
        <v>1</v>
      </c>
      <c r="P166" s="493"/>
      <c r="Q166" s="493">
        <v>1</v>
      </c>
      <c r="R166" s="493"/>
      <c r="S166" s="493"/>
      <c r="T166" s="199"/>
      <c r="U166" s="491">
        <v>2</v>
      </c>
      <c r="V166" s="492">
        <v>1</v>
      </c>
      <c r="W166" s="492"/>
      <c r="X166" s="492">
        <v>1</v>
      </c>
      <c r="Y166" s="493"/>
      <c r="Z166" s="493"/>
      <c r="AA166" s="493"/>
      <c r="AB166" s="493"/>
      <c r="AC166" s="199"/>
      <c r="AD166" s="491">
        <v>92</v>
      </c>
      <c r="AE166" s="492">
        <v>82</v>
      </c>
      <c r="AF166" s="492">
        <v>95</v>
      </c>
      <c r="AG166" s="492">
        <v>66</v>
      </c>
      <c r="AH166" s="493">
        <v>67</v>
      </c>
      <c r="AI166" s="493">
        <v>100</v>
      </c>
      <c r="AJ166" s="493">
        <v>76</v>
      </c>
      <c r="AK166" s="493">
        <v>51</v>
      </c>
      <c r="AL166" s="199"/>
      <c r="AM166" s="491">
        <v>34</v>
      </c>
      <c r="AN166" s="492">
        <v>38</v>
      </c>
      <c r="AO166" s="492">
        <v>43</v>
      </c>
      <c r="AP166" s="492">
        <v>27</v>
      </c>
      <c r="AQ166" s="493">
        <v>22</v>
      </c>
      <c r="AR166" s="493">
        <v>23</v>
      </c>
      <c r="AS166" s="493">
        <v>17</v>
      </c>
      <c r="AT166" s="493">
        <v>19</v>
      </c>
      <c r="AU166" s="199"/>
      <c r="AV166" s="491"/>
      <c r="AW166" s="492"/>
      <c r="AX166" s="492">
        <v>1</v>
      </c>
      <c r="AY166" s="492"/>
      <c r="AZ166" s="493"/>
      <c r="BA166" s="493"/>
      <c r="BB166" s="493">
        <v>1</v>
      </c>
      <c r="BC166" s="493"/>
      <c r="BD166" s="199"/>
      <c r="BE166" s="491">
        <v>4</v>
      </c>
      <c r="BF166" s="492">
        <v>8</v>
      </c>
      <c r="BG166" s="492">
        <v>7</v>
      </c>
      <c r="BH166" s="492">
        <v>3</v>
      </c>
      <c r="BI166" s="493">
        <v>14</v>
      </c>
      <c r="BJ166" s="493">
        <v>21</v>
      </c>
      <c r="BK166" s="493">
        <v>7</v>
      </c>
      <c r="BL166" s="493">
        <v>3</v>
      </c>
      <c r="BM166" s="199"/>
      <c r="BN166" s="491"/>
      <c r="BO166" s="492"/>
      <c r="BP166" s="492"/>
      <c r="BQ166" s="492"/>
      <c r="BR166" s="493"/>
      <c r="BS166" s="493"/>
      <c r="BT166" s="493">
        <v>1</v>
      </c>
      <c r="BU166" s="493"/>
      <c r="BV166" s="199"/>
      <c r="BW166" s="491">
        <v>108</v>
      </c>
      <c r="BX166" s="492">
        <v>104</v>
      </c>
      <c r="BY166" s="492">
        <v>152</v>
      </c>
      <c r="BZ166" s="492">
        <v>89</v>
      </c>
      <c r="CA166" s="493">
        <v>95</v>
      </c>
      <c r="CB166" s="493">
        <v>112</v>
      </c>
      <c r="CC166" s="493">
        <v>108</v>
      </c>
      <c r="CD166" s="493">
        <v>81</v>
      </c>
      <c r="CE166" s="199"/>
      <c r="CF166" s="491">
        <v>6</v>
      </c>
      <c r="CG166" s="492">
        <v>4</v>
      </c>
      <c r="CH166" s="492">
        <v>5</v>
      </c>
      <c r="CI166" s="492">
        <v>3</v>
      </c>
      <c r="CJ166" s="493">
        <v>1</v>
      </c>
      <c r="CK166" s="493"/>
      <c r="CL166" s="493">
        <v>1</v>
      </c>
      <c r="CM166" s="493">
        <v>2</v>
      </c>
      <c r="CN166" s="199"/>
      <c r="CO166" s="491"/>
      <c r="CP166" s="492"/>
      <c r="CQ166" s="492">
        <v>1</v>
      </c>
      <c r="CR166" s="492">
        <v>1</v>
      </c>
      <c r="CS166" s="493"/>
      <c r="CT166" s="493"/>
      <c r="CU166" s="493"/>
      <c r="CV166" s="493">
        <v>1</v>
      </c>
      <c r="CW166" s="199"/>
      <c r="CX166" s="491">
        <v>634</v>
      </c>
      <c r="CY166" s="492">
        <v>737</v>
      </c>
      <c r="CZ166" s="492">
        <v>769</v>
      </c>
      <c r="DA166" s="492">
        <v>692</v>
      </c>
      <c r="DB166" s="493">
        <v>442</v>
      </c>
      <c r="DC166" s="493">
        <v>265</v>
      </c>
      <c r="DD166" s="493">
        <v>279</v>
      </c>
      <c r="DE166" s="493">
        <v>205</v>
      </c>
      <c r="DF166" s="199"/>
      <c r="DG166" s="491">
        <v>8</v>
      </c>
      <c r="DH166" s="492">
        <v>5</v>
      </c>
      <c r="DI166" s="492">
        <v>5</v>
      </c>
      <c r="DJ166" s="492">
        <v>8</v>
      </c>
      <c r="DK166" s="493">
        <v>1</v>
      </c>
      <c r="DL166" s="493"/>
      <c r="DM166" s="493">
        <v>1</v>
      </c>
      <c r="DN166" s="493">
        <v>1</v>
      </c>
      <c r="DO166" s="199"/>
      <c r="DP166" s="491">
        <v>15</v>
      </c>
      <c r="DQ166" s="492">
        <v>21</v>
      </c>
      <c r="DR166" s="492">
        <v>33</v>
      </c>
      <c r="DS166" s="492">
        <v>15</v>
      </c>
      <c r="DT166" s="493">
        <v>7</v>
      </c>
      <c r="DU166" s="493">
        <v>3</v>
      </c>
      <c r="DV166" s="493">
        <v>1</v>
      </c>
      <c r="DW166" s="493"/>
      <c r="DX166" s="199"/>
      <c r="DY166" s="491">
        <v>43</v>
      </c>
      <c r="DZ166" s="492">
        <v>56</v>
      </c>
      <c r="EA166" s="492">
        <v>71</v>
      </c>
      <c r="EB166" s="492">
        <v>75</v>
      </c>
      <c r="EC166" s="493">
        <v>85</v>
      </c>
      <c r="ED166" s="493">
        <v>20</v>
      </c>
      <c r="EE166" s="493">
        <v>25</v>
      </c>
      <c r="EF166" s="493">
        <v>18</v>
      </c>
      <c r="EG166" s="199"/>
      <c r="EH166" s="491">
        <v>9</v>
      </c>
      <c r="EI166" s="492">
        <v>9</v>
      </c>
      <c r="EJ166" s="492">
        <v>9</v>
      </c>
      <c r="EK166" s="492">
        <v>6</v>
      </c>
      <c r="EL166" s="493">
        <v>5</v>
      </c>
      <c r="EM166" s="493">
        <v>1</v>
      </c>
      <c r="EN166" s="493">
        <v>1</v>
      </c>
      <c r="EO166" s="493"/>
      <c r="EP166" s="199"/>
      <c r="EQ166" s="491">
        <v>1</v>
      </c>
      <c r="ER166" s="492"/>
      <c r="ES166" s="492">
        <v>1</v>
      </c>
      <c r="ET166" s="492"/>
      <c r="EU166" s="493"/>
      <c r="EV166" s="493">
        <v>1</v>
      </c>
      <c r="EW166" s="493">
        <v>3</v>
      </c>
      <c r="EX166" s="493">
        <v>2</v>
      </c>
      <c r="EY166" s="199"/>
      <c r="EZ166" s="491">
        <v>3</v>
      </c>
      <c r="FA166" s="492">
        <v>2</v>
      </c>
      <c r="FB166" s="492">
        <v>8</v>
      </c>
      <c r="FC166" s="492">
        <v>3</v>
      </c>
      <c r="FD166" s="493">
        <v>1</v>
      </c>
      <c r="FE166" s="493">
        <v>3</v>
      </c>
      <c r="FF166" s="493">
        <v>1</v>
      </c>
      <c r="FG166" s="493">
        <v>2</v>
      </c>
      <c r="FH166" s="199"/>
      <c r="FI166" s="491">
        <v>54</v>
      </c>
      <c r="FJ166" s="492">
        <v>92</v>
      </c>
      <c r="FK166" s="492">
        <v>75</v>
      </c>
      <c r="FL166" s="492">
        <v>34</v>
      </c>
      <c r="FM166" s="493">
        <v>33</v>
      </c>
      <c r="FN166" s="493">
        <v>23</v>
      </c>
      <c r="FO166" s="493">
        <v>34</v>
      </c>
      <c r="FP166" s="493">
        <v>34</v>
      </c>
      <c r="FQ166" s="199"/>
      <c r="FR166" s="491">
        <v>5</v>
      </c>
      <c r="FS166" s="492">
        <v>9</v>
      </c>
      <c r="FT166" s="492">
        <v>7</v>
      </c>
      <c r="FU166" s="492">
        <v>4</v>
      </c>
      <c r="FV166" s="493">
        <v>6</v>
      </c>
      <c r="FW166" s="493">
        <v>1</v>
      </c>
      <c r="FX166" s="493">
        <v>3</v>
      </c>
      <c r="FY166" s="493">
        <v>2</v>
      </c>
      <c r="FZ166" s="199"/>
      <c r="GA166" s="491">
        <v>8</v>
      </c>
      <c r="GB166" s="492">
        <v>14</v>
      </c>
      <c r="GC166" s="492">
        <v>20</v>
      </c>
      <c r="GD166" s="492">
        <v>7</v>
      </c>
      <c r="GE166" s="493">
        <v>5</v>
      </c>
      <c r="GF166" s="493">
        <v>4</v>
      </c>
      <c r="GG166" s="493">
        <v>5</v>
      </c>
      <c r="GH166" s="493">
        <v>3</v>
      </c>
      <c r="GI166" s="199"/>
      <c r="GJ166" s="491">
        <v>926</v>
      </c>
      <c r="GK166" s="492">
        <v>1066</v>
      </c>
      <c r="GL166" s="492">
        <v>1149</v>
      </c>
      <c r="GM166" s="492">
        <v>910</v>
      </c>
      <c r="GN166" s="493">
        <v>669</v>
      </c>
      <c r="GO166" s="493">
        <v>532</v>
      </c>
      <c r="GP166" s="493">
        <v>519</v>
      </c>
      <c r="GQ166" s="493">
        <v>386</v>
      </c>
      <c r="GR166" s="199"/>
      <c r="GS166" s="491">
        <v>289</v>
      </c>
      <c r="GT166" s="492">
        <v>431</v>
      </c>
      <c r="GU166" s="492">
        <v>431</v>
      </c>
      <c r="GV166" s="492">
        <v>290</v>
      </c>
      <c r="GW166" s="493">
        <v>195</v>
      </c>
      <c r="GX166" s="493">
        <v>119</v>
      </c>
      <c r="GY166" s="493">
        <v>130</v>
      </c>
      <c r="GZ166" s="493">
        <v>123</v>
      </c>
      <c r="HA166" s="199"/>
      <c r="HB166" s="491">
        <v>2</v>
      </c>
      <c r="HC166" s="492">
        <v>1</v>
      </c>
      <c r="HD166" s="492">
        <v>3</v>
      </c>
      <c r="HE166" s="492">
        <v>2</v>
      </c>
      <c r="HF166" s="493">
        <v>1</v>
      </c>
      <c r="HG166" s="493">
        <v>3</v>
      </c>
      <c r="HH166" s="493">
        <v>2</v>
      </c>
      <c r="HI166" s="493">
        <v>1</v>
      </c>
      <c r="HJ166" s="199"/>
      <c r="HK166" s="491">
        <v>6</v>
      </c>
      <c r="HL166" s="492">
        <v>4</v>
      </c>
      <c r="HM166" s="492"/>
      <c r="HN166" s="492">
        <v>1</v>
      </c>
      <c r="HO166" s="493">
        <v>1</v>
      </c>
      <c r="HP166" s="493"/>
      <c r="HQ166" s="493">
        <v>1</v>
      </c>
      <c r="HR166" s="493">
        <v>2</v>
      </c>
      <c r="HS166" s="199"/>
      <c r="HT166" s="491">
        <v>370</v>
      </c>
      <c r="HU166" s="492">
        <v>527</v>
      </c>
      <c r="HV166" s="492">
        <v>517</v>
      </c>
      <c r="HW166" s="492">
        <v>373</v>
      </c>
      <c r="HX166" s="493">
        <v>270</v>
      </c>
      <c r="HY166" s="493">
        <v>219</v>
      </c>
      <c r="HZ166" s="493">
        <v>220</v>
      </c>
      <c r="IA166" s="493">
        <v>233</v>
      </c>
      <c r="IB166" s="199"/>
      <c r="IC166" s="491">
        <v>1545</v>
      </c>
      <c r="ID166" s="492">
        <v>2086</v>
      </c>
      <c r="IE166" s="492">
        <v>2279</v>
      </c>
      <c r="IF166" s="492">
        <v>1408</v>
      </c>
      <c r="IG166" s="493">
        <v>1161</v>
      </c>
      <c r="IH166" s="493">
        <v>942</v>
      </c>
      <c r="II166" s="493">
        <v>877</v>
      </c>
      <c r="IJ166" s="493">
        <v>746</v>
      </c>
      <c r="IK166" s="199"/>
      <c r="IL166" s="491">
        <v>142</v>
      </c>
      <c r="IM166" s="492">
        <v>169</v>
      </c>
      <c r="IN166" s="492">
        <v>164</v>
      </c>
      <c r="IO166" s="492">
        <v>167</v>
      </c>
      <c r="IP166" s="493">
        <v>59</v>
      </c>
      <c r="IQ166" s="493">
        <v>74</v>
      </c>
      <c r="IR166" s="493">
        <v>80</v>
      </c>
      <c r="IS166" s="493">
        <v>53</v>
      </c>
      <c r="IT166" s="199"/>
      <c r="IU166" s="533">
        <v>2909.5497259938606</v>
      </c>
      <c r="IV166" s="534">
        <v>3984.4899050675226</v>
      </c>
      <c r="IW166" s="534">
        <v>4381.6811505037304</v>
      </c>
      <c r="IX166" s="534">
        <v>2697.5247145375124</v>
      </c>
      <c r="IY166" s="535">
        <v>2247.3867595818815</v>
      </c>
      <c r="IZ166" s="535">
        <v>1815.943773293799</v>
      </c>
      <c r="JA166" s="535">
        <v>1671.0809626340963</v>
      </c>
      <c r="JB166" s="535">
        <v>1431.6694494021917</v>
      </c>
      <c r="JC166" s="536"/>
      <c r="JD166" s="537">
        <v>696.78537127361062</v>
      </c>
      <c r="JE166" s="538">
        <v>1006.6280824403568</v>
      </c>
      <c r="JF166" s="538">
        <v>994.00138429593176</v>
      </c>
      <c r="JG166" s="538">
        <v>714.61414667790632</v>
      </c>
      <c r="JH166" s="538">
        <v>522.64808362369342</v>
      </c>
      <c r="JI166" s="539">
        <v>422.24350607256349</v>
      </c>
      <c r="JJ166" s="539">
        <v>419.19932928107312</v>
      </c>
      <c r="JK166" s="539">
        <v>447.15681194465236</v>
      </c>
      <c r="JL166" s="536"/>
      <c r="JM166" s="537">
        <v>1743.8466318901717</v>
      </c>
      <c r="JN166" s="538">
        <v>2036.1774874410255</v>
      </c>
      <c r="JO166" s="538">
        <v>2209.1055910174578</v>
      </c>
      <c r="JP166" s="538">
        <v>1743.4286152195568</v>
      </c>
      <c r="JQ166" s="538">
        <v>1295.0058072009292</v>
      </c>
      <c r="JR166" s="539">
        <v>1024.7620536658483</v>
      </c>
      <c r="JS166" s="539">
        <v>988.9293268039861</v>
      </c>
      <c r="JT166" s="539">
        <v>740.78338802847986</v>
      </c>
      <c r="JU166" s="536"/>
      <c r="JV166" s="537">
        <v>544.24587107587422</v>
      </c>
      <c r="JW166" s="538">
        <v>823.25750195786293</v>
      </c>
      <c r="JX166" s="538">
        <v>828.65492578635701</v>
      </c>
      <c r="JY166" s="538">
        <v>555.59813012491384</v>
      </c>
      <c r="JZ166" s="538">
        <v>377.46806039488968</v>
      </c>
      <c r="KA166" s="539">
        <v>230.03845389174114</v>
      </c>
      <c r="KB166" s="539">
        <v>247.70869457517958</v>
      </c>
      <c r="KC166" s="539">
        <v>236.05273763601821</v>
      </c>
      <c r="KD166" s="536"/>
    </row>
    <row r="167" spans="1:290" ht="15" customHeight="1" x14ac:dyDescent="0.2">
      <c r="A167" s="930"/>
      <c r="B167" s="490" t="s">
        <v>765</v>
      </c>
      <c r="C167" s="491">
        <v>1</v>
      </c>
      <c r="D167" s="492">
        <v>1</v>
      </c>
      <c r="E167" s="492"/>
      <c r="F167" s="492"/>
      <c r="G167" s="493"/>
      <c r="H167" s="493"/>
      <c r="I167" s="493"/>
      <c r="J167" s="493"/>
      <c r="K167" s="199"/>
      <c r="L167" s="491"/>
      <c r="M167" s="492">
        <v>1</v>
      </c>
      <c r="N167" s="492"/>
      <c r="O167" s="492"/>
      <c r="P167" s="493"/>
      <c r="Q167" s="493"/>
      <c r="R167" s="493"/>
      <c r="S167" s="493"/>
      <c r="T167" s="199"/>
      <c r="U167" s="491">
        <v>1</v>
      </c>
      <c r="V167" s="492"/>
      <c r="W167" s="492"/>
      <c r="X167" s="492"/>
      <c r="Y167" s="493"/>
      <c r="Z167" s="493"/>
      <c r="AA167" s="493"/>
      <c r="AB167" s="493"/>
      <c r="AC167" s="199"/>
      <c r="AD167" s="491">
        <v>25</v>
      </c>
      <c r="AE167" s="492">
        <v>34</v>
      </c>
      <c r="AF167" s="492">
        <v>24</v>
      </c>
      <c r="AG167" s="492">
        <v>25</v>
      </c>
      <c r="AH167" s="493">
        <v>19</v>
      </c>
      <c r="AI167" s="493">
        <v>17</v>
      </c>
      <c r="AJ167" s="493">
        <v>18</v>
      </c>
      <c r="AK167" s="493">
        <v>30</v>
      </c>
      <c r="AL167" s="199"/>
      <c r="AM167" s="491">
        <v>10</v>
      </c>
      <c r="AN167" s="492">
        <v>12</v>
      </c>
      <c r="AO167" s="492">
        <v>9</v>
      </c>
      <c r="AP167" s="492">
        <v>4</v>
      </c>
      <c r="AQ167" s="493">
        <v>8</v>
      </c>
      <c r="AR167" s="493">
        <v>11</v>
      </c>
      <c r="AS167" s="493">
        <v>6</v>
      </c>
      <c r="AT167" s="493">
        <v>10</v>
      </c>
      <c r="AU167" s="199"/>
      <c r="AV167" s="491"/>
      <c r="AW167" s="492"/>
      <c r="AX167" s="492">
        <v>1</v>
      </c>
      <c r="AY167" s="492"/>
      <c r="AZ167" s="493"/>
      <c r="BA167" s="493"/>
      <c r="BB167" s="493"/>
      <c r="BC167" s="493"/>
      <c r="BD167" s="199"/>
      <c r="BE167" s="491">
        <v>3</v>
      </c>
      <c r="BF167" s="492">
        <v>2</v>
      </c>
      <c r="BG167" s="492">
        <v>1</v>
      </c>
      <c r="BH167" s="492">
        <v>4</v>
      </c>
      <c r="BI167" s="493">
        <v>1</v>
      </c>
      <c r="BJ167" s="493">
        <v>3</v>
      </c>
      <c r="BK167" s="493">
        <v>2</v>
      </c>
      <c r="BL167" s="493">
        <v>8</v>
      </c>
      <c r="BM167" s="199"/>
      <c r="BN167" s="491"/>
      <c r="BO167" s="492"/>
      <c r="BP167" s="492"/>
      <c r="BQ167" s="492"/>
      <c r="BR167" s="493"/>
      <c r="BS167" s="493"/>
      <c r="BT167" s="493"/>
      <c r="BU167" s="493"/>
      <c r="BV167" s="199"/>
      <c r="BW167" s="491">
        <v>42</v>
      </c>
      <c r="BX167" s="492">
        <v>53</v>
      </c>
      <c r="BY167" s="492">
        <v>40</v>
      </c>
      <c r="BZ167" s="492">
        <v>39</v>
      </c>
      <c r="CA167" s="493">
        <v>33</v>
      </c>
      <c r="CB167" s="493">
        <v>29</v>
      </c>
      <c r="CC167" s="493">
        <v>38</v>
      </c>
      <c r="CD167" s="493">
        <v>26</v>
      </c>
      <c r="CE167" s="199"/>
      <c r="CF167" s="491"/>
      <c r="CG167" s="492">
        <v>7</v>
      </c>
      <c r="CH167" s="492">
        <v>2</v>
      </c>
      <c r="CI167" s="492">
        <v>2</v>
      </c>
      <c r="CJ167" s="493">
        <v>2</v>
      </c>
      <c r="CK167" s="493">
        <v>6</v>
      </c>
      <c r="CL167" s="493">
        <v>1</v>
      </c>
      <c r="CM167" s="493">
        <v>1</v>
      </c>
      <c r="CN167" s="199"/>
      <c r="CO167" s="491">
        <v>2</v>
      </c>
      <c r="CP167" s="492">
        <v>1</v>
      </c>
      <c r="CQ167" s="492">
        <v>4</v>
      </c>
      <c r="CR167" s="492">
        <v>1</v>
      </c>
      <c r="CS167" s="493">
        <v>3</v>
      </c>
      <c r="CT167" s="493">
        <v>12</v>
      </c>
      <c r="CU167" s="493"/>
      <c r="CV167" s="493">
        <v>8</v>
      </c>
      <c r="CW167" s="199"/>
      <c r="CX167" s="491">
        <v>359</v>
      </c>
      <c r="CY167" s="492">
        <v>435</v>
      </c>
      <c r="CZ167" s="492">
        <v>393</v>
      </c>
      <c r="DA167" s="492">
        <v>216</v>
      </c>
      <c r="DB167" s="493">
        <v>415</v>
      </c>
      <c r="DC167" s="493">
        <v>198</v>
      </c>
      <c r="DD167" s="493">
        <v>179</v>
      </c>
      <c r="DE167" s="493">
        <v>134</v>
      </c>
      <c r="DF167" s="199"/>
      <c r="DG167" s="491">
        <v>5</v>
      </c>
      <c r="DH167" s="492">
        <v>3</v>
      </c>
      <c r="DI167" s="492">
        <v>4</v>
      </c>
      <c r="DJ167" s="492">
        <v>3</v>
      </c>
      <c r="DK167" s="493">
        <v>4</v>
      </c>
      <c r="DL167" s="493">
        <v>2</v>
      </c>
      <c r="DM167" s="493"/>
      <c r="DN167" s="493"/>
      <c r="DO167" s="199"/>
      <c r="DP167" s="491">
        <v>44</v>
      </c>
      <c r="DQ167" s="492">
        <v>20</v>
      </c>
      <c r="DR167" s="492">
        <v>24</v>
      </c>
      <c r="DS167" s="492">
        <v>5</v>
      </c>
      <c r="DT167" s="493">
        <v>15</v>
      </c>
      <c r="DU167" s="493">
        <v>11</v>
      </c>
      <c r="DV167" s="493">
        <v>16</v>
      </c>
      <c r="DW167" s="493">
        <v>1</v>
      </c>
      <c r="DX167" s="199"/>
      <c r="DY167" s="491">
        <v>15</v>
      </c>
      <c r="DZ167" s="492">
        <v>24</v>
      </c>
      <c r="EA167" s="492">
        <v>23</v>
      </c>
      <c r="EB167" s="492">
        <v>16</v>
      </c>
      <c r="EC167" s="493">
        <v>38</v>
      </c>
      <c r="ED167" s="493">
        <v>11</v>
      </c>
      <c r="EE167" s="493">
        <v>20</v>
      </c>
      <c r="EF167" s="493">
        <v>17</v>
      </c>
      <c r="EG167" s="199"/>
      <c r="EH167" s="491">
        <v>8</v>
      </c>
      <c r="EI167" s="492">
        <v>4</v>
      </c>
      <c r="EJ167" s="492">
        <v>3</v>
      </c>
      <c r="EK167" s="492">
        <v>4</v>
      </c>
      <c r="EL167" s="493"/>
      <c r="EM167" s="493"/>
      <c r="EN167" s="493"/>
      <c r="EO167" s="493">
        <v>1</v>
      </c>
      <c r="EP167" s="199"/>
      <c r="EQ167" s="491"/>
      <c r="ER167" s="492"/>
      <c r="ES167" s="492"/>
      <c r="ET167" s="492"/>
      <c r="EU167" s="493">
        <v>1</v>
      </c>
      <c r="EV167" s="493">
        <v>3</v>
      </c>
      <c r="EW167" s="493">
        <v>2</v>
      </c>
      <c r="EX167" s="493">
        <v>7</v>
      </c>
      <c r="EY167" s="199"/>
      <c r="EZ167" s="491">
        <v>1</v>
      </c>
      <c r="FA167" s="492">
        <v>12</v>
      </c>
      <c r="FB167" s="492">
        <v>5</v>
      </c>
      <c r="FC167" s="492"/>
      <c r="FD167" s="493">
        <v>1</v>
      </c>
      <c r="FE167" s="493"/>
      <c r="FF167" s="493">
        <v>2</v>
      </c>
      <c r="FG167" s="493"/>
      <c r="FH167" s="199"/>
      <c r="FI167" s="491">
        <v>45</v>
      </c>
      <c r="FJ167" s="492">
        <v>58</v>
      </c>
      <c r="FK167" s="492">
        <v>34</v>
      </c>
      <c r="FL167" s="492">
        <v>24</v>
      </c>
      <c r="FM167" s="493">
        <v>22</v>
      </c>
      <c r="FN167" s="493">
        <v>20</v>
      </c>
      <c r="FO167" s="493">
        <v>20</v>
      </c>
      <c r="FP167" s="493">
        <v>21</v>
      </c>
      <c r="FQ167" s="199"/>
      <c r="FR167" s="491">
        <v>2</v>
      </c>
      <c r="FS167" s="492">
        <v>7</v>
      </c>
      <c r="FT167" s="492">
        <v>10</v>
      </c>
      <c r="FU167" s="492">
        <v>4</v>
      </c>
      <c r="FV167" s="493"/>
      <c r="FW167" s="493">
        <v>3</v>
      </c>
      <c r="FX167" s="493"/>
      <c r="FY167" s="493">
        <v>3</v>
      </c>
      <c r="FZ167" s="199"/>
      <c r="GA167" s="491">
        <v>5</v>
      </c>
      <c r="GB167" s="492">
        <v>2</v>
      </c>
      <c r="GC167" s="492">
        <v>6</v>
      </c>
      <c r="GD167" s="492">
        <v>3</v>
      </c>
      <c r="GE167" s="493">
        <v>3</v>
      </c>
      <c r="GF167" s="493">
        <v>1</v>
      </c>
      <c r="GG167" s="493">
        <v>6</v>
      </c>
      <c r="GH167" s="493">
        <v>2</v>
      </c>
      <c r="GI167" s="199"/>
      <c r="GJ167" s="491">
        <v>493</v>
      </c>
      <c r="GK167" s="492">
        <v>616</v>
      </c>
      <c r="GL167" s="492">
        <v>522</v>
      </c>
      <c r="GM167" s="492">
        <v>322</v>
      </c>
      <c r="GN167" s="493">
        <v>500</v>
      </c>
      <c r="GO167" s="493">
        <v>292</v>
      </c>
      <c r="GP167" s="493">
        <v>268</v>
      </c>
      <c r="GQ167" s="493">
        <v>241</v>
      </c>
      <c r="GR167" s="199"/>
      <c r="GS167" s="491">
        <v>194</v>
      </c>
      <c r="GT167" s="492">
        <v>167</v>
      </c>
      <c r="GU167" s="492">
        <v>177</v>
      </c>
      <c r="GV167" s="492">
        <v>95</v>
      </c>
      <c r="GW167" s="493">
        <v>64</v>
      </c>
      <c r="GX167" s="493">
        <v>51</v>
      </c>
      <c r="GY167" s="493">
        <v>71</v>
      </c>
      <c r="GZ167" s="493">
        <v>34</v>
      </c>
      <c r="HA167" s="199"/>
      <c r="HB167" s="491"/>
      <c r="HC167" s="492">
        <v>1</v>
      </c>
      <c r="HD167" s="492">
        <v>2</v>
      </c>
      <c r="HE167" s="492">
        <v>1</v>
      </c>
      <c r="HF167" s="493">
        <v>2</v>
      </c>
      <c r="HG167" s="493">
        <v>1</v>
      </c>
      <c r="HH167" s="493"/>
      <c r="HI167" s="493">
        <v>1</v>
      </c>
      <c r="HJ167" s="199"/>
      <c r="HK167" s="491">
        <v>5</v>
      </c>
      <c r="HL167" s="492">
        <v>2</v>
      </c>
      <c r="HM167" s="492">
        <v>3</v>
      </c>
      <c r="HN167" s="492">
        <v>5</v>
      </c>
      <c r="HO167" s="493">
        <v>1</v>
      </c>
      <c r="HP167" s="493"/>
      <c r="HQ167" s="493"/>
      <c r="HR167" s="493"/>
      <c r="HS167" s="199"/>
      <c r="HT167" s="491">
        <v>281</v>
      </c>
      <c r="HU167" s="492">
        <v>243</v>
      </c>
      <c r="HV167" s="492">
        <v>289</v>
      </c>
      <c r="HW167" s="492">
        <v>217</v>
      </c>
      <c r="HX167" s="493">
        <v>233</v>
      </c>
      <c r="HY167" s="493">
        <v>177</v>
      </c>
      <c r="HZ167" s="493">
        <v>214</v>
      </c>
      <c r="IA167" s="493">
        <v>185</v>
      </c>
      <c r="IB167" s="199"/>
      <c r="IC167" s="491">
        <v>1244</v>
      </c>
      <c r="ID167" s="492">
        <v>1031</v>
      </c>
      <c r="IE167" s="492">
        <v>1053</v>
      </c>
      <c r="IF167" s="492">
        <v>632</v>
      </c>
      <c r="IG167" s="493">
        <v>956</v>
      </c>
      <c r="IH167" s="493">
        <v>622</v>
      </c>
      <c r="II167" s="493">
        <v>665</v>
      </c>
      <c r="IJ167" s="493">
        <v>683</v>
      </c>
      <c r="IK167" s="199"/>
      <c r="IL167" s="491">
        <v>63</v>
      </c>
      <c r="IM167" s="492">
        <v>113</v>
      </c>
      <c r="IN167" s="492">
        <v>57</v>
      </c>
      <c r="IO167" s="492">
        <v>28</v>
      </c>
      <c r="IP167" s="493">
        <v>60</v>
      </c>
      <c r="IQ167" s="493">
        <v>27</v>
      </c>
      <c r="IR167" s="493">
        <v>40</v>
      </c>
      <c r="IS167" s="493">
        <v>30</v>
      </c>
      <c r="IT167" s="199"/>
      <c r="IU167" s="533">
        <v>5602.5941271842912</v>
      </c>
      <c r="IV167" s="534">
        <v>4595.2932786592974</v>
      </c>
      <c r="IW167" s="534">
        <v>4689.5876013182506</v>
      </c>
      <c r="IX167" s="534">
        <v>2842.2378125562154</v>
      </c>
      <c r="IY167" s="535">
        <v>4293.7345609701324</v>
      </c>
      <c r="IZ167" s="535">
        <v>2735.7108774480484</v>
      </c>
      <c r="JA167" s="535">
        <v>2764.1532962008478</v>
      </c>
      <c r="JB167" s="535">
        <v>2822.3140495867769</v>
      </c>
      <c r="JC167" s="536"/>
      <c r="JD167" s="537">
        <v>1265.537740947577</v>
      </c>
      <c r="JE167" s="538">
        <v>1083.0807630593688</v>
      </c>
      <c r="JF167" s="538">
        <v>1287.0757994121316</v>
      </c>
      <c r="JG167" s="538">
        <v>975.89494513401689</v>
      </c>
      <c r="JH167" s="538">
        <v>1046.4855153828878</v>
      </c>
      <c r="JI167" s="539">
        <v>775.64419537748233</v>
      </c>
      <c r="JJ167" s="539">
        <v>889.51700058192694</v>
      </c>
      <c r="JK167" s="539">
        <v>764.46280991735534</v>
      </c>
      <c r="JL167" s="536"/>
      <c r="JM167" s="537">
        <v>2220.320662943614</v>
      </c>
      <c r="JN167" s="538">
        <v>2745.5874487430915</v>
      </c>
      <c r="JO167" s="538">
        <v>2324.7528280039191</v>
      </c>
      <c r="JP167" s="538">
        <v>1448.1021766504768</v>
      </c>
      <c r="JQ167" s="538">
        <v>2245.6770716370984</v>
      </c>
      <c r="JR167" s="539">
        <v>1277.9114406934439</v>
      </c>
      <c r="JS167" s="539">
        <v>1113.974561476432</v>
      </c>
      <c r="JT167" s="539">
        <v>995.86776859504141</v>
      </c>
      <c r="JU167" s="536"/>
      <c r="JV167" s="537">
        <v>873.71644748693927</v>
      </c>
      <c r="JW167" s="538">
        <v>744.33945444820824</v>
      </c>
      <c r="JX167" s="538">
        <v>788.2782577714438</v>
      </c>
      <c r="JY167" s="538">
        <v>427.2351142291779</v>
      </c>
      <c r="JZ167" s="538">
        <v>287.44666516954862</v>
      </c>
      <c r="KA167" s="539">
        <v>216.47615969208042</v>
      </c>
      <c r="KB167" s="539">
        <v>295.12012636129356</v>
      </c>
      <c r="KC167" s="539">
        <v>140.49586776859502</v>
      </c>
      <c r="KD167" s="536"/>
    </row>
    <row r="168" spans="1:290" ht="13.5" thickBot="1" x14ac:dyDescent="0.25">
      <c r="A168" s="930"/>
      <c r="B168" s="494" t="s">
        <v>1147</v>
      </c>
      <c r="C168" s="495">
        <v>1</v>
      </c>
      <c r="D168" s="496">
        <v>1</v>
      </c>
      <c r="E168" s="496"/>
      <c r="F168" s="496">
        <v>1</v>
      </c>
      <c r="G168" s="497">
        <v>1</v>
      </c>
      <c r="H168" s="497">
        <v>1</v>
      </c>
      <c r="I168" s="497"/>
      <c r="J168" s="497">
        <v>2</v>
      </c>
      <c r="K168" s="498"/>
      <c r="L168" s="495"/>
      <c r="M168" s="496">
        <v>1</v>
      </c>
      <c r="N168" s="496"/>
      <c r="O168" s="496">
        <v>1</v>
      </c>
      <c r="P168" s="497"/>
      <c r="Q168" s="497">
        <v>1</v>
      </c>
      <c r="R168" s="497"/>
      <c r="S168" s="497">
        <v>2</v>
      </c>
      <c r="T168" s="498"/>
      <c r="U168" s="495">
        <v>1</v>
      </c>
      <c r="V168" s="496"/>
      <c r="W168" s="496"/>
      <c r="X168" s="496"/>
      <c r="Y168" s="497"/>
      <c r="Z168" s="497"/>
      <c r="AA168" s="497"/>
      <c r="AB168" s="497"/>
      <c r="AC168" s="498"/>
      <c r="AD168" s="495">
        <v>18</v>
      </c>
      <c r="AE168" s="496">
        <v>23</v>
      </c>
      <c r="AF168" s="496">
        <v>18</v>
      </c>
      <c r="AG168" s="496">
        <v>14</v>
      </c>
      <c r="AH168" s="497">
        <v>20</v>
      </c>
      <c r="AI168" s="497">
        <v>26</v>
      </c>
      <c r="AJ168" s="497">
        <v>25</v>
      </c>
      <c r="AK168" s="497">
        <v>27</v>
      </c>
      <c r="AL168" s="498"/>
      <c r="AM168" s="495">
        <v>14</v>
      </c>
      <c r="AN168" s="496">
        <v>10</v>
      </c>
      <c r="AO168" s="496">
        <v>9</v>
      </c>
      <c r="AP168" s="496">
        <v>6</v>
      </c>
      <c r="AQ168" s="497">
        <v>10</v>
      </c>
      <c r="AR168" s="497">
        <v>11</v>
      </c>
      <c r="AS168" s="497">
        <v>8</v>
      </c>
      <c r="AT168" s="497">
        <v>5</v>
      </c>
      <c r="AU168" s="498"/>
      <c r="AV168" s="495"/>
      <c r="AW168" s="496"/>
      <c r="AX168" s="496"/>
      <c r="AY168" s="496"/>
      <c r="AZ168" s="497"/>
      <c r="BA168" s="497"/>
      <c r="BB168" s="497"/>
      <c r="BC168" s="497"/>
      <c r="BD168" s="498"/>
      <c r="BE168" s="495">
        <v>9</v>
      </c>
      <c r="BF168" s="496">
        <v>9</v>
      </c>
      <c r="BG168" s="496">
        <v>8</v>
      </c>
      <c r="BH168" s="496">
        <v>7</v>
      </c>
      <c r="BI168" s="497">
        <v>2</v>
      </c>
      <c r="BJ168" s="497">
        <v>1</v>
      </c>
      <c r="BK168" s="497">
        <v>5</v>
      </c>
      <c r="BL168" s="497">
        <v>5</v>
      </c>
      <c r="BM168" s="498"/>
      <c r="BN168" s="495"/>
      <c r="BO168" s="496"/>
      <c r="BP168" s="496"/>
      <c r="BQ168" s="496"/>
      <c r="BR168" s="497"/>
      <c r="BS168" s="497"/>
      <c r="BT168" s="497">
        <v>1</v>
      </c>
      <c r="BU168" s="497"/>
      <c r="BV168" s="498"/>
      <c r="BW168" s="495">
        <v>26</v>
      </c>
      <c r="BX168" s="496">
        <v>32</v>
      </c>
      <c r="BY168" s="496">
        <v>29</v>
      </c>
      <c r="BZ168" s="496">
        <v>22</v>
      </c>
      <c r="CA168" s="497">
        <v>27</v>
      </c>
      <c r="CB168" s="497">
        <v>26</v>
      </c>
      <c r="CC168" s="497">
        <v>33</v>
      </c>
      <c r="CD168" s="497">
        <v>22</v>
      </c>
      <c r="CE168" s="498"/>
      <c r="CF168" s="495"/>
      <c r="CG168" s="496">
        <v>3</v>
      </c>
      <c r="CH168" s="496">
        <v>4</v>
      </c>
      <c r="CI168" s="496">
        <v>3</v>
      </c>
      <c r="CJ168" s="497">
        <v>2</v>
      </c>
      <c r="CK168" s="497">
        <v>3</v>
      </c>
      <c r="CL168" s="497">
        <v>1</v>
      </c>
      <c r="CM168" s="497"/>
      <c r="CN168" s="498"/>
      <c r="CO168" s="495">
        <v>1</v>
      </c>
      <c r="CP168" s="496">
        <v>3</v>
      </c>
      <c r="CQ168" s="496">
        <v>4</v>
      </c>
      <c r="CR168" s="496">
        <v>2</v>
      </c>
      <c r="CS168" s="497">
        <v>1</v>
      </c>
      <c r="CT168" s="497"/>
      <c r="CU168" s="497">
        <v>1</v>
      </c>
      <c r="CV168" s="497"/>
      <c r="CW168" s="498"/>
      <c r="CX168" s="495">
        <v>498</v>
      </c>
      <c r="CY168" s="496">
        <v>419</v>
      </c>
      <c r="CZ168" s="496">
        <v>351</v>
      </c>
      <c r="DA168" s="496">
        <v>239</v>
      </c>
      <c r="DB168" s="497">
        <v>256</v>
      </c>
      <c r="DC168" s="497">
        <v>186</v>
      </c>
      <c r="DD168" s="497">
        <v>154</v>
      </c>
      <c r="DE168" s="497">
        <v>145</v>
      </c>
      <c r="DF168" s="498"/>
      <c r="DG168" s="495">
        <v>7</v>
      </c>
      <c r="DH168" s="496">
        <v>8</v>
      </c>
      <c r="DI168" s="496">
        <v>4</v>
      </c>
      <c r="DJ168" s="496">
        <v>5</v>
      </c>
      <c r="DK168" s="497">
        <v>1</v>
      </c>
      <c r="DL168" s="497">
        <v>3</v>
      </c>
      <c r="DM168" s="497">
        <v>2</v>
      </c>
      <c r="DN168" s="497">
        <v>2</v>
      </c>
      <c r="DO168" s="498"/>
      <c r="DP168" s="495">
        <v>20</v>
      </c>
      <c r="DQ168" s="496">
        <v>22</v>
      </c>
      <c r="DR168" s="496">
        <v>10</v>
      </c>
      <c r="DS168" s="496">
        <v>4</v>
      </c>
      <c r="DT168" s="497">
        <v>7</v>
      </c>
      <c r="DU168" s="497">
        <v>9</v>
      </c>
      <c r="DV168" s="497">
        <v>6</v>
      </c>
      <c r="DW168" s="497">
        <v>4</v>
      </c>
      <c r="DX168" s="498"/>
      <c r="DY168" s="495">
        <v>45</v>
      </c>
      <c r="DZ168" s="496">
        <v>53</v>
      </c>
      <c r="EA168" s="496">
        <v>24</v>
      </c>
      <c r="EB168" s="496">
        <v>20</v>
      </c>
      <c r="EC168" s="497">
        <v>95</v>
      </c>
      <c r="ED168" s="497">
        <v>21</v>
      </c>
      <c r="EE168" s="497">
        <v>17</v>
      </c>
      <c r="EF168" s="497">
        <v>19</v>
      </c>
      <c r="EG168" s="498"/>
      <c r="EH168" s="495">
        <v>5</v>
      </c>
      <c r="EI168" s="496">
        <v>3</v>
      </c>
      <c r="EJ168" s="496"/>
      <c r="EK168" s="496">
        <v>1</v>
      </c>
      <c r="EL168" s="497"/>
      <c r="EM168" s="497">
        <v>3</v>
      </c>
      <c r="EN168" s="497">
        <v>1</v>
      </c>
      <c r="EO168" s="497">
        <v>2</v>
      </c>
      <c r="EP168" s="498"/>
      <c r="EQ168" s="495"/>
      <c r="ER168" s="496"/>
      <c r="ES168" s="496">
        <v>1</v>
      </c>
      <c r="ET168" s="496">
        <v>2</v>
      </c>
      <c r="EU168" s="497">
        <v>1</v>
      </c>
      <c r="EV168" s="497"/>
      <c r="EW168" s="497">
        <v>2</v>
      </c>
      <c r="EX168" s="497">
        <v>2</v>
      </c>
      <c r="EY168" s="498"/>
      <c r="EZ168" s="495">
        <v>1</v>
      </c>
      <c r="FA168" s="496">
        <v>4</v>
      </c>
      <c r="FB168" s="496">
        <v>2</v>
      </c>
      <c r="FC168" s="496">
        <v>2</v>
      </c>
      <c r="FD168" s="497"/>
      <c r="FE168" s="497"/>
      <c r="FF168" s="497">
        <v>1</v>
      </c>
      <c r="FG168" s="497"/>
      <c r="FH168" s="498"/>
      <c r="FI168" s="495">
        <v>29</v>
      </c>
      <c r="FJ168" s="496">
        <v>22</v>
      </c>
      <c r="FK168" s="496">
        <v>30</v>
      </c>
      <c r="FL168" s="496">
        <v>13</v>
      </c>
      <c r="FM168" s="497">
        <v>14</v>
      </c>
      <c r="FN168" s="497">
        <v>9</v>
      </c>
      <c r="FO168" s="497">
        <v>10</v>
      </c>
      <c r="FP168" s="497">
        <v>17</v>
      </c>
      <c r="FQ168" s="498"/>
      <c r="FR168" s="495">
        <v>4</v>
      </c>
      <c r="FS168" s="496">
        <v>3</v>
      </c>
      <c r="FT168" s="496">
        <v>3</v>
      </c>
      <c r="FU168" s="496">
        <v>4</v>
      </c>
      <c r="FV168" s="497">
        <v>2</v>
      </c>
      <c r="FW168" s="497"/>
      <c r="FX168" s="497">
        <v>3</v>
      </c>
      <c r="FY168" s="497"/>
      <c r="FZ168" s="498"/>
      <c r="GA168" s="495">
        <v>2</v>
      </c>
      <c r="GB168" s="496">
        <v>5</v>
      </c>
      <c r="GC168" s="496">
        <v>1</v>
      </c>
      <c r="GD168" s="496">
        <v>5</v>
      </c>
      <c r="GE168" s="497">
        <v>1</v>
      </c>
      <c r="GF168" s="497">
        <v>2</v>
      </c>
      <c r="GG168" s="497"/>
      <c r="GH168" s="497">
        <v>1</v>
      </c>
      <c r="GI168" s="498"/>
      <c r="GJ168" s="495">
        <v>594</v>
      </c>
      <c r="GK168" s="496">
        <v>527</v>
      </c>
      <c r="GL168" s="496">
        <v>451</v>
      </c>
      <c r="GM168" s="496">
        <v>315</v>
      </c>
      <c r="GN168" s="497">
        <v>327</v>
      </c>
      <c r="GO168" s="497">
        <v>257</v>
      </c>
      <c r="GP168" s="497">
        <v>237</v>
      </c>
      <c r="GQ168" s="497">
        <v>223</v>
      </c>
      <c r="GR168" s="498"/>
      <c r="GS168" s="495">
        <v>145</v>
      </c>
      <c r="GT168" s="496">
        <v>146</v>
      </c>
      <c r="GU168" s="496">
        <v>131</v>
      </c>
      <c r="GV168" s="496">
        <v>51</v>
      </c>
      <c r="GW168" s="497">
        <v>26</v>
      </c>
      <c r="GX168" s="497">
        <v>42</v>
      </c>
      <c r="GY168" s="497">
        <v>71</v>
      </c>
      <c r="GZ168" s="497">
        <v>73</v>
      </c>
      <c r="HA168" s="498"/>
      <c r="HB168" s="495">
        <v>1</v>
      </c>
      <c r="HC168" s="496">
        <v>2</v>
      </c>
      <c r="HD168" s="496"/>
      <c r="HE168" s="496">
        <v>2</v>
      </c>
      <c r="HF168" s="497">
        <v>3</v>
      </c>
      <c r="HG168" s="497">
        <v>6</v>
      </c>
      <c r="HH168" s="497"/>
      <c r="HI168" s="497">
        <v>2</v>
      </c>
      <c r="HJ168" s="498"/>
      <c r="HK168" s="495"/>
      <c r="HL168" s="496">
        <v>2</v>
      </c>
      <c r="HM168" s="496"/>
      <c r="HN168" s="496">
        <v>2</v>
      </c>
      <c r="HO168" s="497"/>
      <c r="HP168" s="497">
        <v>1</v>
      </c>
      <c r="HQ168" s="497">
        <v>1</v>
      </c>
      <c r="HR168" s="497">
        <v>1</v>
      </c>
      <c r="HS168" s="498"/>
      <c r="HT168" s="495">
        <v>243</v>
      </c>
      <c r="HU168" s="496">
        <v>212</v>
      </c>
      <c r="HV168" s="496">
        <v>185</v>
      </c>
      <c r="HW168" s="496">
        <v>118</v>
      </c>
      <c r="HX168" s="497">
        <v>101</v>
      </c>
      <c r="HY168" s="497">
        <v>129</v>
      </c>
      <c r="HZ168" s="497">
        <v>175</v>
      </c>
      <c r="IA168" s="497">
        <v>201</v>
      </c>
      <c r="IB168" s="498"/>
      <c r="IC168" s="495">
        <v>1406</v>
      </c>
      <c r="ID168" s="496">
        <v>1170</v>
      </c>
      <c r="IE168" s="496">
        <v>904</v>
      </c>
      <c r="IF168" s="496">
        <v>617</v>
      </c>
      <c r="IG168" s="497">
        <v>543</v>
      </c>
      <c r="IH168" s="497">
        <v>563</v>
      </c>
      <c r="II168" s="497">
        <v>563</v>
      </c>
      <c r="IJ168" s="497">
        <v>538</v>
      </c>
      <c r="IK168" s="498"/>
      <c r="IL168" s="495">
        <v>230</v>
      </c>
      <c r="IM168" s="496">
        <v>166</v>
      </c>
      <c r="IN168" s="496">
        <v>88</v>
      </c>
      <c r="IO168" s="496">
        <v>75</v>
      </c>
      <c r="IP168" s="497">
        <v>70</v>
      </c>
      <c r="IQ168" s="497">
        <v>56</v>
      </c>
      <c r="IR168" s="497">
        <v>43</v>
      </c>
      <c r="IS168" s="497">
        <v>42</v>
      </c>
      <c r="IT168" s="498"/>
      <c r="IU168" s="540">
        <v>4927.9730819109036</v>
      </c>
      <c r="IV168" s="541">
        <v>4105.9835058782246</v>
      </c>
      <c r="IW168" s="541">
        <v>3151.9124158850809</v>
      </c>
      <c r="IX168" s="541">
        <v>2274.2351640250645</v>
      </c>
      <c r="IY168" s="542">
        <v>1997.4250505793634</v>
      </c>
      <c r="IZ168" s="542">
        <v>2128.2297581341727</v>
      </c>
      <c r="JA168" s="542">
        <v>2299.9305527186566</v>
      </c>
      <c r="JB168" s="542">
        <v>2167.3448011924424</v>
      </c>
      <c r="JC168" s="543"/>
      <c r="JD168" s="544">
        <v>851.70516280536958</v>
      </c>
      <c r="JE168" s="545">
        <v>743.99017371468676</v>
      </c>
      <c r="JF168" s="545">
        <v>645.02632404727865</v>
      </c>
      <c r="JG168" s="545">
        <v>434.9428676741615</v>
      </c>
      <c r="JH168" s="545">
        <v>371.52841640610632</v>
      </c>
      <c r="JI168" s="546">
        <v>491.60698212649936</v>
      </c>
      <c r="JJ168" s="546">
        <v>714.89848441521303</v>
      </c>
      <c r="JK168" s="546">
        <v>809.73290899568951</v>
      </c>
      <c r="JL168" s="543"/>
      <c r="JM168" s="544">
        <v>2081.9459535242368</v>
      </c>
      <c r="JN168" s="545">
        <v>1849.4472714511317</v>
      </c>
      <c r="JO168" s="545">
        <v>1572.4695791639065</v>
      </c>
      <c r="JP168" s="545">
        <v>1161.0762992996683</v>
      </c>
      <c r="JQ168" s="545">
        <v>1202.8692293544234</v>
      </c>
      <c r="JR168" s="546">
        <v>974.30709330634727</v>
      </c>
      <c r="JS168" s="546">
        <v>968.17680460803138</v>
      </c>
      <c r="JT168" s="546">
        <v>898.36039157233211</v>
      </c>
      <c r="JU168" s="543"/>
      <c r="JV168" s="544">
        <v>508.21913006904765</v>
      </c>
      <c r="JW168" s="545">
        <v>512.37059133181265</v>
      </c>
      <c r="JX168" s="545">
        <v>456.748370001046</v>
      </c>
      <c r="JY168" s="545">
        <v>187.98378179137487</v>
      </c>
      <c r="JZ168" s="545">
        <v>95.64097848077985</v>
      </c>
      <c r="KA168" s="546">
        <v>166.45980262087207</v>
      </c>
      <c r="KB168" s="546">
        <v>290.04452796274353</v>
      </c>
      <c r="KC168" s="546">
        <v>294.08210127704149</v>
      </c>
      <c r="KD168" s="543"/>
    </row>
    <row r="169" spans="1:290" ht="13.5" thickBot="1" x14ac:dyDescent="0.25">
      <c r="A169" s="931"/>
      <c r="B169" s="508" t="s">
        <v>794</v>
      </c>
      <c r="C169" s="500">
        <v>7</v>
      </c>
      <c r="D169" s="501">
        <v>8</v>
      </c>
      <c r="E169" s="501">
        <v>11</v>
      </c>
      <c r="F169" s="501">
        <v>6</v>
      </c>
      <c r="G169" s="502">
        <v>3</v>
      </c>
      <c r="H169" s="502">
        <v>5</v>
      </c>
      <c r="I169" s="502">
        <v>5</v>
      </c>
      <c r="J169" s="502">
        <v>3</v>
      </c>
      <c r="K169" s="503"/>
      <c r="L169" s="500">
        <v>1</v>
      </c>
      <c r="M169" s="501">
        <v>3</v>
      </c>
      <c r="N169" s="501">
        <v>2</v>
      </c>
      <c r="O169" s="501">
        <v>3</v>
      </c>
      <c r="P169" s="502">
        <v>1</v>
      </c>
      <c r="Q169" s="502">
        <v>4</v>
      </c>
      <c r="R169" s="502">
        <v>1</v>
      </c>
      <c r="S169" s="502">
        <v>3</v>
      </c>
      <c r="T169" s="503"/>
      <c r="U169" s="500">
        <v>5</v>
      </c>
      <c r="V169" s="501">
        <v>2</v>
      </c>
      <c r="W169" s="501">
        <v>6</v>
      </c>
      <c r="X169" s="501">
        <v>3</v>
      </c>
      <c r="Y169" s="502">
        <v>1</v>
      </c>
      <c r="Z169" s="502">
        <v>1</v>
      </c>
      <c r="AA169" s="502">
        <v>4</v>
      </c>
      <c r="AB169" s="502"/>
      <c r="AC169" s="503"/>
      <c r="AD169" s="500">
        <v>403</v>
      </c>
      <c r="AE169" s="501">
        <v>389</v>
      </c>
      <c r="AF169" s="501">
        <v>411</v>
      </c>
      <c r="AG169" s="501">
        <v>326</v>
      </c>
      <c r="AH169" s="502">
        <v>424</v>
      </c>
      <c r="AI169" s="502">
        <v>510</v>
      </c>
      <c r="AJ169" s="502">
        <v>495</v>
      </c>
      <c r="AK169" s="502">
        <v>423</v>
      </c>
      <c r="AL169" s="503"/>
      <c r="AM169" s="500">
        <v>185</v>
      </c>
      <c r="AN169" s="501">
        <v>161</v>
      </c>
      <c r="AO169" s="501">
        <v>199</v>
      </c>
      <c r="AP169" s="501">
        <v>129</v>
      </c>
      <c r="AQ169" s="502">
        <v>144</v>
      </c>
      <c r="AR169" s="502">
        <v>144</v>
      </c>
      <c r="AS169" s="502">
        <v>124</v>
      </c>
      <c r="AT169" s="502">
        <v>126</v>
      </c>
      <c r="AU169" s="503"/>
      <c r="AV169" s="500"/>
      <c r="AW169" s="501"/>
      <c r="AX169" s="501">
        <v>4</v>
      </c>
      <c r="AY169" s="501"/>
      <c r="AZ169" s="502">
        <v>1</v>
      </c>
      <c r="BA169" s="502">
        <v>1</v>
      </c>
      <c r="BB169" s="502">
        <v>2</v>
      </c>
      <c r="BC169" s="502"/>
      <c r="BD169" s="503"/>
      <c r="BE169" s="500">
        <v>100</v>
      </c>
      <c r="BF169" s="501">
        <v>144</v>
      </c>
      <c r="BG169" s="501">
        <v>91</v>
      </c>
      <c r="BH169" s="501">
        <v>100</v>
      </c>
      <c r="BI169" s="502">
        <v>85</v>
      </c>
      <c r="BJ169" s="502">
        <v>93</v>
      </c>
      <c r="BK169" s="502">
        <v>71</v>
      </c>
      <c r="BL169" s="502">
        <v>80</v>
      </c>
      <c r="BM169" s="503"/>
      <c r="BN169" s="500"/>
      <c r="BO169" s="501"/>
      <c r="BP169" s="501"/>
      <c r="BQ169" s="501">
        <v>1</v>
      </c>
      <c r="BR169" s="502"/>
      <c r="BS169" s="502"/>
      <c r="BT169" s="502">
        <v>2</v>
      </c>
      <c r="BU169" s="502">
        <v>3</v>
      </c>
      <c r="BV169" s="503"/>
      <c r="BW169" s="500">
        <v>382</v>
      </c>
      <c r="BX169" s="501">
        <v>406</v>
      </c>
      <c r="BY169" s="501">
        <v>404</v>
      </c>
      <c r="BZ169" s="501">
        <v>369</v>
      </c>
      <c r="CA169" s="502">
        <v>383</v>
      </c>
      <c r="CB169" s="502">
        <v>371</v>
      </c>
      <c r="CC169" s="502">
        <v>410</v>
      </c>
      <c r="CD169" s="502">
        <v>399</v>
      </c>
      <c r="CE169" s="503"/>
      <c r="CF169" s="500">
        <v>21</v>
      </c>
      <c r="CG169" s="501">
        <v>24</v>
      </c>
      <c r="CH169" s="501">
        <v>22</v>
      </c>
      <c r="CI169" s="501">
        <v>18</v>
      </c>
      <c r="CJ169" s="502">
        <v>16</v>
      </c>
      <c r="CK169" s="502">
        <v>18</v>
      </c>
      <c r="CL169" s="502">
        <v>11</v>
      </c>
      <c r="CM169" s="502">
        <v>9</v>
      </c>
      <c r="CN169" s="503"/>
      <c r="CO169" s="500">
        <v>5</v>
      </c>
      <c r="CP169" s="501">
        <v>12</v>
      </c>
      <c r="CQ169" s="501">
        <v>14</v>
      </c>
      <c r="CR169" s="501">
        <v>23</v>
      </c>
      <c r="CS169" s="502">
        <v>19</v>
      </c>
      <c r="CT169" s="502">
        <v>26</v>
      </c>
      <c r="CU169" s="502">
        <v>6</v>
      </c>
      <c r="CV169" s="502">
        <v>17</v>
      </c>
      <c r="CW169" s="503"/>
      <c r="CX169" s="500">
        <v>4283</v>
      </c>
      <c r="CY169" s="501">
        <v>4299</v>
      </c>
      <c r="CZ169" s="501">
        <v>4122</v>
      </c>
      <c r="DA169" s="501">
        <v>3226</v>
      </c>
      <c r="DB169" s="502">
        <v>3146</v>
      </c>
      <c r="DC169" s="502">
        <v>2255</v>
      </c>
      <c r="DD169" s="502">
        <v>1782</v>
      </c>
      <c r="DE169" s="502">
        <v>1504</v>
      </c>
      <c r="DF169" s="503"/>
      <c r="DG169" s="500">
        <v>59</v>
      </c>
      <c r="DH169" s="501">
        <v>44</v>
      </c>
      <c r="DI169" s="501">
        <v>33</v>
      </c>
      <c r="DJ169" s="501">
        <v>50</v>
      </c>
      <c r="DK169" s="502">
        <v>31</v>
      </c>
      <c r="DL169" s="502">
        <v>21</v>
      </c>
      <c r="DM169" s="502">
        <v>10</v>
      </c>
      <c r="DN169" s="502">
        <v>8</v>
      </c>
      <c r="DO169" s="503"/>
      <c r="DP169" s="500">
        <v>189</v>
      </c>
      <c r="DQ169" s="501">
        <v>144</v>
      </c>
      <c r="DR169" s="501">
        <v>139</v>
      </c>
      <c r="DS169" s="501">
        <v>61</v>
      </c>
      <c r="DT169" s="502">
        <v>73</v>
      </c>
      <c r="DU169" s="502">
        <v>59</v>
      </c>
      <c r="DV169" s="502">
        <v>56</v>
      </c>
      <c r="DW169" s="502">
        <v>45</v>
      </c>
      <c r="DX169" s="503"/>
      <c r="DY169" s="500">
        <v>346</v>
      </c>
      <c r="DZ169" s="501">
        <v>367</v>
      </c>
      <c r="EA169" s="501">
        <v>324</v>
      </c>
      <c r="EB169" s="501">
        <v>362</v>
      </c>
      <c r="EC169" s="502">
        <v>478</v>
      </c>
      <c r="ED169" s="502">
        <v>302</v>
      </c>
      <c r="EE169" s="502">
        <v>235</v>
      </c>
      <c r="EF169" s="502">
        <v>191</v>
      </c>
      <c r="EG169" s="503"/>
      <c r="EH169" s="500">
        <v>66</v>
      </c>
      <c r="EI169" s="501">
        <v>41</v>
      </c>
      <c r="EJ169" s="501">
        <v>48</v>
      </c>
      <c r="EK169" s="501">
        <v>49</v>
      </c>
      <c r="EL169" s="502">
        <v>29</v>
      </c>
      <c r="EM169" s="502">
        <v>26</v>
      </c>
      <c r="EN169" s="502">
        <v>24</v>
      </c>
      <c r="EO169" s="502">
        <v>14</v>
      </c>
      <c r="EP169" s="503"/>
      <c r="EQ169" s="500">
        <v>6</v>
      </c>
      <c r="ER169" s="501">
        <v>8</v>
      </c>
      <c r="ES169" s="501">
        <v>8</v>
      </c>
      <c r="ET169" s="501">
        <v>5</v>
      </c>
      <c r="EU169" s="502">
        <v>4</v>
      </c>
      <c r="EV169" s="502">
        <v>30</v>
      </c>
      <c r="EW169" s="502">
        <v>31</v>
      </c>
      <c r="EX169" s="502">
        <v>41</v>
      </c>
      <c r="EY169" s="503"/>
      <c r="EZ169" s="500">
        <v>10</v>
      </c>
      <c r="FA169" s="501">
        <v>37</v>
      </c>
      <c r="FB169" s="501">
        <v>45</v>
      </c>
      <c r="FC169" s="501">
        <v>21</v>
      </c>
      <c r="FD169" s="502">
        <v>16</v>
      </c>
      <c r="FE169" s="502">
        <v>17</v>
      </c>
      <c r="FF169" s="502">
        <v>17</v>
      </c>
      <c r="FG169" s="502">
        <v>8</v>
      </c>
      <c r="FH169" s="503"/>
      <c r="FI169" s="500">
        <v>487</v>
      </c>
      <c r="FJ169" s="501">
        <v>564</v>
      </c>
      <c r="FK169" s="501">
        <v>382</v>
      </c>
      <c r="FL169" s="501">
        <v>265</v>
      </c>
      <c r="FM169" s="502">
        <v>253</v>
      </c>
      <c r="FN169" s="502">
        <v>215</v>
      </c>
      <c r="FO169" s="502">
        <v>208</v>
      </c>
      <c r="FP169" s="502">
        <v>262</v>
      </c>
      <c r="FQ169" s="503"/>
      <c r="FR169" s="500">
        <v>52</v>
      </c>
      <c r="FS169" s="501">
        <v>89</v>
      </c>
      <c r="FT169" s="501">
        <v>45</v>
      </c>
      <c r="FU169" s="501">
        <v>54</v>
      </c>
      <c r="FV169" s="502">
        <v>17</v>
      </c>
      <c r="FW169" s="502">
        <v>20</v>
      </c>
      <c r="FX169" s="502">
        <v>9</v>
      </c>
      <c r="FY169" s="502">
        <v>12</v>
      </c>
      <c r="FZ169" s="503"/>
      <c r="GA169" s="500">
        <v>44</v>
      </c>
      <c r="GB169" s="501">
        <v>43</v>
      </c>
      <c r="GC169" s="501">
        <v>47</v>
      </c>
      <c r="GD169" s="501">
        <v>33</v>
      </c>
      <c r="GE169" s="502">
        <v>48</v>
      </c>
      <c r="GF169" s="502">
        <v>30</v>
      </c>
      <c r="GG169" s="502">
        <v>36</v>
      </c>
      <c r="GH169" s="502">
        <v>29</v>
      </c>
      <c r="GI169" s="503"/>
      <c r="GJ169" s="500">
        <v>5866</v>
      </c>
      <c r="GK169" s="501">
        <v>6064</v>
      </c>
      <c r="GL169" s="501">
        <v>5650</v>
      </c>
      <c r="GM169" s="501">
        <v>4496</v>
      </c>
      <c r="GN169" s="502">
        <v>4443</v>
      </c>
      <c r="GO169" s="502">
        <v>3616</v>
      </c>
      <c r="GP169" s="502">
        <v>3107</v>
      </c>
      <c r="GQ169" s="502">
        <v>2804</v>
      </c>
      <c r="GR169" s="503"/>
      <c r="GS169" s="500">
        <v>1804</v>
      </c>
      <c r="GT169" s="501">
        <v>1961</v>
      </c>
      <c r="GU169" s="501">
        <v>1832</v>
      </c>
      <c r="GV169" s="501">
        <v>1197</v>
      </c>
      <c r="GW169" s="502">
        <v>851</v>
      </c>
      <c r="GX169" s="502">
        <v>674</v>
      </c>
      <c r="GY169" s="502">
        <v>690</v>
      </c>
      <c r="GZ169" s="502">
        <v>691</v>
      </c>
      <c r="HA169" s="503"/>
      <c r="HB169" s="500">
        <v>19</v>
      </c>
      <c r="HC169" s="501">
        <v>17</v>
      </c>
      <c r="HD169" s="501">
        <v>16</v>
      </c>
      <c r="HE169" s="501">
        <v>16</v>
      </c>
      <c r="HF169" s="502">
        <v>18</v>
      </c>
      <c r="HG169" s="502">
        <v>15</v>
      </c>
      <c r="HH169" s="502">
        <v>21</v>
      </c>
      <c r="HI169" s="502">
        <v>21</v>
      </c>
      <c r="HJ169" s="503"/>
      <c r="HK169" s="500">
        <v>22</v>
      </c>
      <c r="HL169" s="501">
        <v>18</v>
      </c>
      <c r="HM169" s="501">
        <v>15</v>
      </c>
      <c r="HN169" s="501">
        <v>15</v>
      </c>
      <c r="HO169" s="502">
        <v>7</v>
      </c>
      <c r="HP169" s="502">
        <v>12</v>
      </c>
      <c r="HQ169" s="502">
        <v>8</v>
      </c>
      <c r="HR169" s="502">
        <v>16</v>
      </c>
      <c r="HS169" s="503"/>
      <c r="HT169" s="500">
        <v>2800</v>
      </c>
      <c r="HU169" s="501">
        <v>2623</v>
      </c>
      <c r="HV169" s="501">
        <v>2452</v>
      </c>
      <c r="HW169" s="501">
        <v>1899</v>
      </c>
      <c r="HX169" s="502">
        <v>1638</v>
      </c>
      <c r="HY169" s="502">
        <v>1442</v>
      </c>
      <c r="HZ169" s="502">
        <v>1569</v>
      </c>
      <c r="IA169" s="502">
        <v>1693</v>
      </c>
      <c r="IB169" s="503"/>
      <c r="IC169" s="500">
        <v>12554</v>
      </c>
      <c r="ID169" s="501">
        <v>12631</v>
      </c>
      <c r="IE169" s="501">
        <v>12270</v>
      </c>
      <c r="IF169" s="501">
        <v>7842</v>
      </c>
      <c r="IG169" s="502">
        <v>7766</v>
      </c>
      <c r="IH169" s="502">
        <v>6740</v>
      </c>
      <c r="II169" s="502">
        <v>6552</v>
      </c>
      <c r="IJ169" s="502">
        <v>5899</v>
      </c>
      <c r="IK169" s="503"/>
      <c r="IL169" s="500">
        <v>1200</v>
      </c>
      <c r="IM169" s="501">
        <v>1171</v>
      </c>
      <c r="IN169" s="501">
        <v>921</v>
      </c>
      <c r="IO169" s="501">
        <v>706</v>
      </c>
      <c r="IP169" s="502">
        <v>441</v>
      </c>
      <c r="IQ169" s="502">
        <v>622</v>
      </c>
      <c r="IR169" s="502">
        <v>457</v>
      </c>
      <c r="IS169" s="502">
        <v>345</v>
      </c>
      <c r="IT169" s="503"/>
      <c r="IU169" s="547">
        <v>3498.8169127135197</v>
      </c>
      <c r="IV169" s="548">
        <v>3542.3321451708343</v>
      </c>
      <c r="IW169" s="548">
        <v>3460.5784552902855</v>
      </c>
      <c r="IX169" s="548">
        <v>2233.1382683353977</v>
      </c>
      <c r="IY169" s="549">
        <v>2225.1702687911707</v>
      </c>
      <c r="IZ169" s="549">
        <v>1944.3410731954984</v>
      </c>
      <c r="JA169" s="549">
        <v>1902.9805229130238</v>
      </c>
      <c r="JB169" s="549">
        <v>1722.3307377204737</v>
      </c>
      <c r="JC169" s="550"/>
      <c r="JD169" s="551">
        <v>780.36381675942778</v>
      </c>
      <c r="JE169" s="552">
        <v>735.61374529198793</v>
      </c>
      <c r="JF169" s="552">
        <v>691.55161959020211</v>
      </c>
      <c r="JG169" s="552">
        <v>540.77143223271116</v>
      </c>
      <c r="JH169" s="552">
        <v>469.33156068502922</v>
      </c>
      <c r="JI169" s="553">
        <v>415.9851376183841</v>
      </c>
      <c r="JJ169" s="553">
        <v>455.7045849283478</v>
      </c>
      <c r="JK169" s="553">
        <v>494.30512611642007</v>
      </c>
      <c r="JL169" s="550"/>
      <c r="JM169" s="551">
        <v>1634.8621961110011</v>
      </c>
      <c r="JN169" s="552">
        <v>1700.6335308618429</v>
      </c>
      <c r="JO169" s="552">
        <v>1593.5018966903106</v>
      </c>
      <c r="JP169" s="552">
        <v>1280.309825865334</v>
      </c>
      <c r="JQ169" s="552">
        <v>1273.0403688178174</v>
      </c>
      <c r="JR169" s="553">
        <v>1043.1361009903446</v>
      </c>
      <c r="JS169" s="553">
        <v>902.40544638137442</v>
      </c>
      <c r="JT169" s="553">
        <v>818.68374106936915</v>
      </c>
      <c r="JU169" s="550"/>
      <c r="JV169" s="551">
        <v>502.77725908357422</v>
      </c>
      <c r="JW169" s="552">
        <v>549.95751220647662</v>
      </c>
      <c r="JX169" s="552">
        <v>516.68946455515913</v>
      </c>
      <c r="JY169" s="552">
        <v>340.86540515142451</v>
      </c>
      <c r="JZ169" s="552">
        <v>243.83465088092791</v>
      </c>
      <c r="KA169" s="553">
        <v>194.43410731954987</v>
      </c>
      <c r="KB169" s="553">
        <v>200.40545799908222</v>
      </c>
      <c r="KC169" s="553">
        <v>201.75123576281527</v>
      </c>
      <c r="KD169" s="550"/>
    </row>
    <row r="170" spans="1:290" x14ac:dyDescent="0.2">
      <c r="A170" s="929" t="s">
        <v>562</v>
      </c>
      <c r="B170" s="485" t="s">
        <v>766</v>
      </c>
      <c r="C170" s="486">
        <v>3</v>
      </c>
      <c r="D170" s="487">
        <v>2</v>
      </c>
      <c r="E170" s="487"/>
      <c r="F170" s="487"/>
      <c r="G170" s="488"/>
      <c r="H170" s="488">
        <v>4</v>
      </c>
      <c r="I170" s="488"/>
      <c r="J170" s="488">
        <v>1</v>
      </c>
      <c r="K170" s="489"/>
      <c r="L170" s="486">
        <v>2</v>
      </c>
      <c r="M170" s="487">
        <v>1</v>
      </c>
      <c r="N170" s="487"/>
      <c r="O170" s="487"/>
      <c r="P170" s="488"/>
      <c r="Q170" s="488">
        <v>2</v>
      </c>
      <c r="R170" s="488"/>
      <c r="S170" s="488">
        <v>1</v>
      </c>
      <c r="T170" s="489"/>
      <c r="U170" s="486"/>
      <c r="V170" s="487">
        <v>1</v>
      </c>
      <c r="W170" s="487"/>
      <c r="X170" s="487"/>
      <c r="Y170" s="488"/>
      <c r="Z170" s="488">
        <v>2</v>
      </c>
      <c r="AA170" s="488"/>
      <c r="AB170" s="488"/>
      <c r="AC170" s="489"/>
      <c r="AD170" s="486">
        <v>143</v>
      </c>
      <c r="AE170" s="487">
        <v>132</v>
      </c>
      <c r="AF170" s="487">
        <v>123</v>
      </c>
      <c r="AG170" s="487">
        <v>138</v>
      </c>
      <c r="AH170" s="488">
        <v>108</v>
      </c>
      <c r="AI170" s="488">
        <v>92</v>
      </c>
      <c r="AJ170" s="488">
        <v>71</v>
      </c>
      <c r="AK170" s="488">
        <v>74</v>
      </c>
      <c r="AL170" s="489"/>
      <c r="AM170" s="486">
        <v>55</v>
      </c>
      <c r="AN170" s="487">
        <v>59</v>
      </c>
      <c r="AO170" s="487">
        <v>47</v>
      </c>
      <c r="AP170" s="487">
        <v>45</v>
      </c>
      <c r="AQ170" s="488">
        <v>44</v>
      </c>
      <c r="AR170" s="488">
        <v>47</v>
      </c>
      <c r="AS170" s="488">
        <v>32</v>
      </c>
      <c r="AT170" s="488">
        <v>36</v>
      </c>
      <c r="AU170" s="489"/>
      <c r="AV170" s="486">
        <v>1</v>
      </c>
      <c r="AW170" s="487"/>
      <c r="AX170" s="487"/>
      <c r="AY170" s="487"/>
      <c r="AZ170" s="488"/>
      <c r="BA170" s="488"/>
      <c r="BB170" s="488"/>
      <c r="BC170" s="488"/>
      <c r="BD170" s="489"/>
      <c r="BE170" s="486">
        <v>11</v>
      </c>
      <c r="BF170" s="487">
        <v>2</v>
      </c>
      <c r="BG170" s="487">
        <v>5</v>
      </c>
      <c r="BH170" s="487">
        <v>2</v>
      </c>
      <c r="BI170" s="488">
        <v>3</v>
      </c>
      <c r="BJ170" s="488">
        <v>8</v>
      </c>
      <c r="BK170" s="488">
        <v>7</v>
      </c>
      <c r="BL170" s="488">
        <v>4</v>
      </c>
      <c r="BM170" s="489"/>
      <c r="BN170" s="486"/>
      <c r="BO170" s="487"/>
      <c r="BP170" s="487"/>
      <c r="BQ170" s="487">
        <v>1</v>
      </c>
      <c r="BR170" s="488"/>
      <c r="BS170" s="488"/>
      <c r="BT170" s="488"/>
      <c r="BU170" s="488"/>
      <c r="BV170" s="489"/>
      <c r="BW170" s="486">
        <v>156</v>
      </c>
      <c r="BX170" s="487">
        <v>146</v>
      </c>
      <c r="BY170" s="487">
        <v>131</v>
      </c>
      <c r="BZ170" s="487">
        <v>176</v>
      </c>
      <c r="CA170" s="488">
        <v>96</v>
      </c>
      <c r="CB170" s="488">
        <v>71</v>
      </c>
      <c r="CC170" s="488">
        <v>58</v>
      </c>
      <c r="CD170" s="488">
        <v>71</v>
      </c>
      <c r="CE170" s="489"/>
      <c r="CF170" s="486">
        <v>2</v>
      </c>
      <c r="CG170" s="487">
        <v>3</v>
      </c>
      <c r="CH170" s="487">
        <v>6</v>
      </c>
      <c r="CI170" s="487">
        <v>3</v>
      </c>
      <c r="CJ170" s="488">
        <v>1</v>
      </c>
      <c r="CK170" s="488">
        <v>2</v>
      </c>
      <c r="CL170" s="488">
        <v>4</v>
      </c>
      <c r="CM170" s="488">
        <v>1</v>
      </c>
      <c r="CN170" s="489"/>
      <c r="CO170" s="486">
        <v>6</v>
      </c>
      <c r="CP170" s="487">
        <v>15</v>
      </c>
      <c r="CQ170" s="487">
        <v>7</v>
      </c>
      <c r="CR170" s="487">
        <v>10</v>
      </c>
      <c r="CS170" s="488">
        <v>4</v>
      </c>
      <c r="CT170" s="488">
        <v>9</v>
      </c>
      <c r="CU170" s="488">
        <v>6</v>
      </c>
      <c r="CV170" s="488">
        <v>4</v>
      </c>
      <c r="CW170" s="489"/>
      <c r="CX170" s="486">
        <v>1335</v>
      </c>
      <c r="CY170" s="487">
        <v>1534</v>
      </c>
      <c r="CZ170" s="487">
        <v>1502</v>
      </c>
      <c r="DA170" s="487">
        <v>1029</v>
      </c>
      <c r="DB170" s="488">
        <v>759</v>
      </c>
      <c r="DC170" s="488">
        <v>791</v>
      </c>
      <c r="DD170" s="488">
        <v>1215</v>
      </c>
      <c r="DE170" s="488">
        <v>404</v>
      </c>
      <c r="DF170" s="489"/>
      <c r="DG170" s="486">
        <v>10</v>
      </c>
      <c r="DH170" s="487">
        <v>12</v>
      </c>
      <c r="DI170" s="487">
        <v>10</v>
      </c>
      <c r="DJ170" s="487">
        <v>7</v>
      </c>
      <c r="DK170" s="488">
        <v>1</v>
      </c>
      <c r="DL170" s="488">
        <v>2</v>
      </c>
      <c r="DM170" s="488"/>
      <c r="DN170" s="488"/>
      <c r="DO170" s="489"/>
      <c r="DP170" s="486">
        <v>29</v>
      </c>
      <c r="DQ170" s="487">
        <v>34</v>
      </c>
      <c r="DR170" s="487">
        <v>46</v>
      </c>
      <c r="DS170" s="487">
        <v>33</v>
      </c>
      <c r="DT170" s="488">
        <v>27</v>
      </c>
      <c r="DU170" s="488">
        <v>10</v>
      </c>
      <c r="DV170" s="488">
        <v>9</v>
      </c>
      <c r="DW170" s="488">
        <v>10</v>
      </c>
      <c r="DX170" s="489"/>
      <c r="DY170" s="486">
        <v>133</v>
      </c>
      <c r="DZ170" s="487">
        <v>134</v>
      </c>
      <c r="EA170" s="487">
        <v>148</v>
      </c>
      <c r="EB170" s="487">
        <v>180</v>
      </c>
      <c r="EC170" s="488">
        <v>145</v>
      </c>
      <c r="ED170" s="488">
        <v>137</v>
      </c>
      <c r="EE170" s="488">
        <v>61</v>
      </c>
      <c r="EF170" s="488">
        <v>20</v>
      </c>
      <c r="EG170" s="489"/>
      <c r="EH170" s="486">
        <v>13</v>
      </c>
      <c r="EI170" s="487">
        <v>14</v>
      </c>
      <c r="EJ170" s="487">
        <v>10</v>
      </c>
      <c r="EK170" s="487">
        <v>3</v>
      </c>
      <c r="EL170" s="488">
        <v>5</v>
      </c>
      <c r="EM170" s="488">
        <v>3</v>
      </c>
      <c r="EN170" s="488">
        <v>2</v>
      </c>
      <c r="EO170" s="488">
        <v>4</v>
      </c>
      <c r="EP170" s="489"/>
      <c r="EQ170" s="486">
        <v>1</v>
      </c>
      <c r="ER170" s="487">
        <v>3</v>
      </c>
      <c r="ES170" s="487">
        <v>4</v>
      </c>
      <c r="ET170" s="487">
        <v>3</v>
      </c>
      <c r="EU170" s="488">
        <v>5</v>
      </c>
      <c r="EV170" s="488">
        <v>5</v>
      </c>
      <c r="EW170" s="488">
        <v>2</v>
      </c>
      <c r="EX170" s="488">
        <v>6</v>
      </c>
      <c r="EY170" s="489"/>
      <c r="EZ170" s="486">
        <v>11</v>
      </c>
      <c r="FA170" s="487">
        <v>12</v>
      </c>
      <c r="FB170" s="487">
        <v>12</v>
      </c>
      <c r="FC170" s="487">
        <v>5</v>
      </c>
      <c r="FD170" s="488">
        <v>5</v>
      </c>
      <c r="FE170" s="488">
        <v>5</v>
      </c>
      <c r="FF170" s="488">
        <v>5</v>
      </c>
      <c r="FG170" s="488">
        <v>1</v>
      </c>
      <c r="FH170" s="489"/>
      <c r="FI170" s="486">
        <v>159</v>
      </c>
      <c r="FJ170" s="487">
        <v>162</v>
      </c>
      <c r="FK170" s="487">
        <v>120</v>
      </c>
      <c r="FL170" s="487">
        <v>55</v>
      </c>
      <c r="FM170" s="488">
        <v>49</v>
      </c>
      <c r="FN170" s="488">
        <v>59</v>
      </c>
      <c r="FO170" s="488">
        <v>39</v>
      </c>
      <c r="FP170" s="488">
        <v>42</v>
      </c>
      <c r="FQ170" s="489"/>
      <c r="FR170" s="486">
        <v>15</v>
      </c>
      <c r="FS170" s="487">
        <v>17</v>
      </c>
      <c r="FT170" s="487">
        <v>7</v>
      </c>
      <c r="FU170" s="487">
        <v>10</v>
      </c>
      <c r="FV170" s="488">
        <v>6</v>
      </c>
      <c r="FW170" s="488">
        <v>8</v>
      </c>
      <c r="FX170" s="488">
        <v>5</v>
      </c>
      <c r="FY170" s="488">
        <v>2</v>
      </c>
      <c r="FZ170" s="489"/>
      <c r="GA170" s="486">
        <v>10</v>
      </c>
      <c r="GB170" s="487">
        <v>16</v>
      </c>
      <c r="GC170" s="487">
        <v>10</v>
      </c>
      <c r="GD170" s="487">
        <v>8</v>
      </c>
      <c r="GE170" s="488">
        <v>8</v>
      </c>
      <c r="GF170" s="488">
        <v>4</v>
      </c>
      <c r="GG170" s="488">
        <v>3</v>
      </c>
      <c r="GH170" s="488">
        <v>3</v>
      </c>
      <c r="GI170" s="489"/>
      <c r="GJ170" s="486">
        <v>1865</v>
      </c>
      <c r="GK170" s="487">
        <v>2058</v>
      </c>
      <c r="GL170" s="487">
        <v>1937</v>
      </c>
      <c r="GM170" s="487">
        <v>1443</v>
      </c>
      <c r="GN170" s="488">
        <v>1049</v>
      </c>
      <c r="GO170" s="488">
        <v>1061</v>
      </c>
      <c r="GP170" s="488">
        <v>1417</v>
      </c>
      <c r="GQ170" s="488">
        <v>617</v>
      </c>
      <c r="GR170" s="489"/>
      <c r="GS170" s="486">
        <v>601</v>
      </c>
      <c r="GT170" s="487">
        <v>660</v>
      </c>
      <c r="GU170" s="487">
        <v>674</v>
      </c>
      <c r="GV170" s="487">
        <v>448</v>
      </c>
      <c r="GW170" s="488">
        <v>188</v>
      </c>
      <c r="GX170" s="488">
        <v>182</v>
      </c>
      <c r="GY170" s="488">
        <v>120</v>
      </c>
      <c r="GZ170" s="488">
        <v>120</v>
      </c>
      <c r="HA170" s="489"/>
      <c r="HB170" s="486">
        <v>20</v>
      </c>
      <c r="HC170" s="487">
        <v>10</v>
      </c>
      <c r="HD170" s="487">
        <v>10</v>
      </c>
      <c r="HE170" s="487">
        <v>9</v>
      </c>
      <c r="HF170" s="488">
        <v>3</v>
      </c>
      <c r="HG170" s="488">
        <v>4</v>
      </c>
      <c r="HH170" s="488">
        <v>7</v>
      </c>
      <c r="HI170" s="488">
        <v>6</v>
      </c>
      <c r="HJ170" s="489"/>
      <c r="HK170" s="486">
        <v>13</v>
      </c>
      <c r="HL170" s="487">
        <v>13</v>
      </c>
      <c r="HM170" s="487">
        <v>9</v>
      </c>
      <c r="HN170" s="487">
        <v>5</v>
      </c>
      <c r="HO170" s="488">
        <v>4</v>
      </c>
      <c r="HP170" s="488">
        <v>2</v>
      </c>
      <c r="HQ170" s="488">
        <v>2</v>
      </c>
      <c r="HR170" s="488">
        <v>3</v>
      </c>
      <c r="HS170" s="489"/>
      <c r="HT170" s="486">
        <v>859</v>
      </c>
      <c r="HU170" s="487">
        <v>895</v>
      </c>
      <c r="HV170" s="487">
        <v>861</v>
      </c>
      <c r="HW170" s="487">
        <v>636</v>
      </c>
      <c r="HX170" s="488">
        <v>405</v>
      </c>
      <c r="HY170" s="488">
        <v>350</v>
      </c>
      <c r="HZ170" s="488">
        <v>387</v>
      </c>
      <c r="IA170" s="488">
        <v>331</v>
      </c>
      <c r="IB170" s="489"/>
      <c r="IC170" s="486">
        <v>3622</v>
      </c>
      <c r="ID170" s="487">
        <v>4346</v>
      </c>
      <c r="IE170" s="487">
        <v>3638</v>
      </c>
      <c r="IF170" s="487">
        <v>2313</v>
      </c>
      <c r="IG170" s="488">
        <v>1973</v>
      </c>
      <c r="IH170" s="488">
        <v>2041</v>
      </c>
      <c r="II170" s="488">
        <v>23230</v>
      </c>
      <c r="IJ170" s="488">
        <v>1935</v>
      </c>
      <c r="IK170" s="489"/>
      <c r="IL170" s="486">
        <v>371</v>
      </c>
      <c r="IM170" s="487">
        <v>481</v>
      </c>
      <c r="IN170" s="487">
        <v>463</v>
      </c>
      <c r="IO170" s="487">
        <v>276</v>
      </c>
      <c r="IP170" s="488">
        <v>119</v>
      </c>
      <c r="IQ170" s="488">
        <v>256</v>
      </c>
      <c r="IR170" s="488">
        <v>172</v>
      </c>
      <c r="IS170" s="488">
        <v>88</v>
      </c>
      <c r="IT170" s="489"/>
      <c r="IU170" s="526">
        <v>3462.5826928224546</v>
      </c>
      <c r="IV170" s="527">
        <v>4160.3247082699136</v>
      </c>
      <c r="IW170" s="527">
        <v>3496.7992464291892</v>
      </c>
      <c r="IX170" s="527">
        <v>2288.1733194836029</v>
      </c>
      <c r="IY170" s="528">
        <v>1965.7659811892236</v>
      </c>
      <c r="IZ170" s="528">
        <v>2037.2720563035746</v>
      </c>
      <c r="JA170" s="528">
        <v>23128.696310161493</v>
      </c>
      <c r="JB170" s="528">
        <v>1944.1374459961819</v>
      </c>
      <c r="JC170" s="529"/>
      <c r="JD170" s="530">
        <v>821.19230622155931</v>
      </c>
      <c r="JE170" s="531">
        <v>856.7626815236016</v>
      </c>
      <c r="JF170" s="531">
        <v>827.58222956996474</v>
      </c>
      <c r="JG170" s="531">
        <v>629.17346787357167</v>
      </c>
      <c r="JH170" s="531">
        <v>403.51506456241032</v>
      </c>
      <c r="JI170" s="532">
        <v>348.83374401121353</v>
      </c>
      <c r="JJ170" s="532">
        <v>385.31233198590178</v>
      </c>
      <c r="JK170" s="532">
        <v>332.56304631769319</v>
      </c>
      <c r="JL170" s="529"/>
      <c r="JM170" s="530">
        <v>1782.9146112959352</v>
      </c>
      <c r="JN170" s="531">
        <v>1970.0755291347175</v>
      </c>
      <c r="JO170" s="531">
        <v>1861.8197197177954</v>
      </c>
      <c r="JP170" s="531">
        <v>1427.511500222585</v>
      </c>
      <c r="JQ170" s="531">
        <v>1045.1538338912801</v>
      </c>
      <c r="JR170" s="532">
        <v>1060.7488507988446</v>
      </c>
      <c r="JS170" s="532">
        <v>1410.820605746829</v>
      </c>
      <c r="JT170" s="532">
        <v>619.91359389128911</v>
      </c>
      <c r="JU170" s="529"/>
      <c r="JV170" s="530">
        <v>574.54781843906551</v>
      </c>
      <c r="JW170" s="531">
        <v>631.80264782746042</v>
      </c>
      <c r="JX170" s="531">
        <v>647.84021223014668</v>
      </c>
      <c r="JY170" s="531">
        <v>443.19137359647823</v>
      </c>
      <c r="JZ170" s="531">
        <v>187.31069663637814</v>
      </c>
      <c r="KA170" s="532">
        <v>181.44566833316782</v>
      </c>
      <c r="KB170" s="532">
        <v>119.47669208865172</v>
      </c>
      <c r="KC170" s="532">
        <v>120.56666331759268</v>
      </c>
      <c r="KD170" s="529"/>
    </row>
    <row r="171" spans="1:290" x14ac:dyDescent="0.2">
      <c r="A171" s="930"/>
      <c r="B171" s="490" t="s">
        <v>628</v>
      </c>
      <c r="C171" s="491"/>
      <c r="D171" s="492">
        <v>1</v>
      </c>
      <c r="E171" s="492"/>
      <c r="F171" s="492"/>
      <c r="G171" s="493"/>
      <c r="H171" s="493">
        <v>1</v>
      </c>
      <c r="I171" s="493">
        <v>1</v>
      </c>
      <c r="J171" s="493"/>
      <c r="K171" s="199"/>
      <c r="L171" s="491"/>
      <c r="M171" s="492"/>
      <c r="N171" s="492"/>
      <c r="O171" s="492"/>
      <c r="P171" s="493"/>
      <c r="Q171" s="493"/>
      <c r="R171" s="493">
        <v>1</v>
      </c>
      <c r="S171" s="493"/>
      <c r="T171" s="199"/>
      <c r="U171" s="491"/>
      <c r="V171" s="492">
        <v>1</v>
      </c>
      <c r="W171" s="492"/>
      <c r="X171" s="492"/>
      <c r="Y171" s="493"/>
      <c r="Z171" s="493">
        <v>1</v>
      </c>
      <c r="AA171" s="493"/>
      <c r="AB171" s="493"/>
      <c r="AC171" s="199"/>
      <c r="AD171" s="491">
        <v>49</v>
      </c>
      <c r="AE171" s="492">
        <v>36</v>
      </c>
      <c r="AF171" s="492">
        <v>24</v>
      </c>
      <c r="AG171" s="492">
        <v>31</v>
      </c>
      <c r="AH171" s="493">
        <v>23</v>
      </c>
      <c r="AI171" s="493">
        <v>24</v>
      </c>
      <c r="AJ171" s="493">
        <v>23</v>
      </c>
      <c r="AK171" s="493">
        <v>14</v>
      </c>
      <c r="AL171" s="199"/>
      <c r="AM171" s="491">
        <v>21</v>
      </c>
      <c r="AN171" s="492">
        <v>17</v>
      </c>
      <c r="AO171" s="492">
        <v>9</v>
      </c>
      <c r="AP171" s="492">
        <v>10</v>
      </c>
      <c r="AQ171" s="493">
        <v>4</v>
      </c>
      <c r="AR171" s="493">
        <v>7</v>
      </c>
      <c r="AS171" s="493">
        <v>6</v>
      </c>
      <c r="AT171" s="493">
        <v>5</v>
      </c>
      <c r="AU171" s="199"/>
      <c r="AV171" s="491"/>
      <c r="AW171" s="492"/>
      <c r="AX171" s="492"/>
      <c r="AY171" s="492"/>
      <c r="AZ171" s="493"/>
      <c r="BA171" s="493"/>
      <c r="BB171" s="493"/>
      <c r="BC171" s="493"/>
      <c r="BD171" s="199"/>
      <c r="BE171" s="491">
        <v>2</v>
      </c>
      <c r="BF171" s="492">
        <v>7</v>
      </c>
      <c r="BG171" s="492">
        <v>8</v>
      </c>
      <c r="BH171" s="492">
        <v>8</v>
      </c>
      <c r="BI171" s="493">
        <v>1</v>
      </c>
      <c r="BJ171" s="493">
        <v>1</v>
      </c>
      <c r="BK171" s="493">
        <v>2</v>
      </c>
      <c r="BL171" s="493"/>
      <c r="BM171" s="199"/>
      <c r="BN171" s="491"/>
      <c r="BO171" s="492">
        <v>2</v>
      </c>
      <c r="BP171" s="492"/>
      <c r="BQ171" s="492">
        <v>1</v>
      </c>
      <c r="BR171" s="493">
        <v>1</v>
      </c>
      <c r="BS171" s="493">
        <v>2</v>
      </c>
      <c r="BT171" s="493"/>
      <c r="BU171" s="493"/>
      <c r="BV171" s="199"/>
      <c r="BW171" s="491">
        <v>43</v>
      </c>
      <c r="BX171" s="492">
        <v>27</v>
      </c>
      <c r="BY171" s="492">
        <v>23</v>
      </c>
      <c r="BZ171" s="492">
        <v>47</v>
      </c>
      <c r="CA171" s="493">
        <v>45</v>
      </c>
      <c r="CB171" s="493">
        <v>41</v>
      </c>
      <c r="CC171" s="493">
        <v>27</v>
      </c>
      <c r="CD171" s="493">
        <v>18</v>
      </c>
      <c r="CE171" s="199"/>
      <c r="CF171" s="491">
        <v>4</v>
      </c>
      <c r="CG171" s="492"/>
      <c r="CH171" s="492"/>
      <c r="CI171" s="492">
        <v>2</v>
      </c>
      <c r="CJ171" s="493">
        <v>1</v>
      </c>
      <c r="CK171" s="493"/>
      <c r="CL171" s="493"/>
      <c r="CM171" s="493"/>
      <c r="CN171" s="199"/>
      <c r="CO171" s="491"/>
      <c r="CP171" s="492"/>
      <c r="CQ171" s="492">
        <v>1</v>
      </c>
      <c r="CR171" s="492"/>
      <c r="CS171" s="493"/>
      <c r="CT171" s="493"/>
      <c r="CU171" s="493"/>
      <c r="CV171" s="493"/>
      <c r="CW171" s="199"/>
      <c r="CX171" s="491">
        <v>314</v>
      </c>
      <c r="CY171" s="492">
        <v>311</v>
      </c>
      <c r="CZ171" s="492">
        <v>261</v>
      </c>
      <c r="DA171" s="492">
        <v>198</v>
      </c>
      <c r="DB171" s="493">
        <v>229</v>
      </c>
      <c r="DC171" s="493">
        <v>146</v>
      </c>
      <c r="DD171" s="493">
        <v>122</v>
      </c>
      <c r="DE171" s="493">
        <v>80</v>
      </c>
      <c r="DF171" s="199"/>
      <c r="DG171" s="491"/>
      <c r="DH171" s="492"/>
      <c r="DI171" s="492"/>
      <c r="DJ171" s="492">
        <v>1</v>
      </c>
      <c r="DK171" s="493"/>
      <c r="DL171" s="493">
        <v>1</v>
      </c>
      <c r="DM171" s="493"/>
      <c r="DN171" s="493"/>
      <c r="DO171" s="199"/>
      <c r="DP171" s="491">
        <v>2</v>
      </c>
      <c r="DQ171" s="492">
        <v>1</v>
      </c>
      <c r="DR171" s="492">
        <v>1</v>
      </c>
      <c r="DS171" s="492">
        <v>1</v>
      </c>
      <c r="DT171" s="493">
        <v>5</v>
      </c>
      <c r="DU171" s="493">
        <v>3</v>
      </c>
      <c r="DV171" s="493"/>
      <c r="DW171" s="493">
        <v>1</v>
      </c>
      <c r="DX171" s="199"/>
      <c r="DY171" s="491">
        <v>41</v>
      </c>
      <c r="DZ171" s="492">
        <v>18</v>
      </c>
      <c r="EA171" s="492">
        <v>25</v>
      </c>
      <c r="EB171" s="492">
        <v>23</v>
      </c>
      <c r="EC171" s="493">
        <v>28</v>
      </c>
      <c r="ED171" s="493">
        <v>21</v>
      </c>
      <c r="EE171" s="493">
        <v>14</v>
      </c>
      <c r="EF171" s="493">
        <v>19</v>
      </c>
      <c r="EG171" s="199"/>
      <c r="EH171" s="491">
        <v>3</v>
      </c>
      <c r="EI171" s="492"/>
      <c r="EJ171" s="492">
        <v>1</v>
      </c>
      <c r="EK171" s="492">
        <v>2</v>
      </c>
      <c r="EL171" s="493">
        <v>1</v>
      </c>
      <c r="EM171" s="493">
        <v>1</v>
      </c>
      <c r="EN171" s="493">
        <v>1</v>
      </c>
      <c r="EO171" s="493"/>
      <c r="EP171" s="199"/>
      <c r="EQ171" s="491">
        <v>1</v>
      </c>
      <c r="ER171" s="492"/>
      <c r="ES171" s="492">
        <v>3</v>
      </c>
      <c r="ET171" s="492">
        <v>1</v>
      </c>
      <c r="EU171" s="493"/>
      <c r="EV171" s="493">
        <v>2</v>
      </c>
      <c r="EW171" s="493">
        <v>1</v>
      </c>
      <c r="EX171" s="493"/>
      <c r="EY171" s="199"/>
      <c r="EZ171" s="491">
        <v>4</v>
      </c>
      <c r="FA171" s="492">
        <v>1</v>
      </c>
      <c r="FB171" s="492">
        <v>1</v>
      </c>
      <c r="FC171" s="492"/>
      <c r="FD171" s="493"/>
      <c r="FE171" s="493"/>
      <c r="FF171" s="493"/>
      <c r="FG171" s="493"/>
      <c r="FH171" s="199"/>
      <c r="FI171" s="491">
        <v>14</v>
      </c>
      <c r="FJ171" s="492">
        <v>19</v>
      </c>
      <c r="FK171" s="492">
        <v>21</v>
      </c>
      <c r="FL171" s="492">
        <v>7</v>
      </c>
      <c r="FM171" s="493">
        <v>10</v>
      </c>
      <c r="FN171" s="493">
        <v>8</v>
      </c>
      <c r="FO171" s="493">
        <v>4</v>
      </c>
      <c r="FP171" s="493">
        <v>5</v>
      </c>
      <c r="FQ171" s="199"/>
      <c r="FR171" s="491"/>
      <c r="FS171" s="492"/>
      <c r="FT171" s="492">
        <v>5</v>
      </c>
      <c r="FU171" s="492"/>
      <c r="FV171" s="493"/>
      <c r="FW171" s="493">
        <v>2</v>
      </c>
      <c r="FX171" s="493">
        <v>1</v>
      </c>
      <c r="FY171" s="493">
        <v>1</v>
      </c>
      <c r="FZ171" s="199"/>
      <c r="GA171" s="491">
        <v>6</v>
      </c>
      <c r="GB171" s="492">
        <v>5</v>
      </c>
      <c r="GC171" s="492">
        <v>2</v>
      </c>
      <c r="GD171" s="492">
        <v>1</v>
      </c>
      <c r="GE171" s="493">
        <v>2</v>
      </c>
      <c r="GF171" s="493"/>
      <c r="GG171" s="493">
        <v>2</v>
      </c>
      <c r="GH171" s="493">
        <v>1</v>
      </c>
      <c r="GI171" s="199"/>
      <c r="GJ171" s="491">
        <v>440</v>
      </c>
      <c r="GK171" s="492">
        <v>409</v>
      </c>
      <c r="GL171" s="492">
        <v>350</v>
      </c>
      <c r="GM171" s="492">
        <v>298</v>
      </c>
      <c r="GN171" s="493">
        <v>313</v>
      </c>
      <c r="GO171" s="493">
        <v>228</v>
      </c>
      <c r="GP171" s="493">
        <v>184</v>
      </c>
      <c r="GQ171" s="493">
        <v>119</v>
      </c>
      <c r="GR171" s="199"/>
      <c r="GS171" s="491">
        <v>129</v>
      </c>
      <c r="GT171" s="492">
        <v>122</v>
      </c>
      <c r="GU171" s="492">
        <v>109</v>
      </c>
      <c r="GV171" s="492">
        <v>73</v>
      </c>
      <c r="GW171" s="493">
        <v>43</v>
      </c>
      <c r="GX171" s="493">
        <v>35</v>
      </c>
      <c r="GY171" s="493">
        <v>34</v>
      </c>
      <c r="GZ171" s="493">
        <v>29</v>
      </c>
      <c r="HA171" s="199"/>
      <c r="HB171" s="491">
        <v>2</v>
      </c>
      <c r="HC171" s="492"/>
      <c r="HD171" s="492"/>
      <c r="HE171" s="492"/>
      <c r="HF171" s="493"/>
      <c r="HG171" s="493">
        <v>1</v>
      </c>
      <c r="HH171" s="493">
        <v>1</v>
      </c>
      <c r="HI171" s="493">
        <v>1</v>
      </c>
      <c r="HJ171" s="199"/>
      <c r="HK171" s="491">
        <v>4</v>
      </c>
      <c r="HL171" s="492"/>
      <c r="HM171" s="492">
        <v>1</v>
      </c>
      <c r="HN171" s="492"/>
      <c r="HO171" s="493"/>
      <c r="HP171" s="493"/>
      <c r="HQ171" s="493"/>
      <c r="HR171" s="493">
        <v>3</v>
      </c>
      <c r="HS171" s="199"/>
      <c r="HT171" s="491">
        <v>197</v>
      </c>
      <c r="HU171" s="492">
        <v>182</v>
      </c>
      <c r="HV171" s="492">
        <v>158</v>
      </c>
      <c r="HW171" s="492">
        <v>122</v>
      </c>
      <c r="HX171" s="493">
        <v>88</v>
      </c>
      <c r="HY171" s="493">
        <v>79</v>
      </c>
      <c r="HZ171" s="493">
        <v>110</v>
      </c>
      <c r="IA171" s="493">
        <v>86</v>
      </c>
      <c r="IB171" s="199"/>
      <c r="IC171" s="491">
        <v>744</v>
      </c>
      <c r="ID171" s="492">
        <v>709</v>
      </c>
      <c r="IE171" s="492">
        <v>599</v>
      </c>
      <c r="IF171" s="492">
        <v>511</v>
      </c>
      <c r="IG171" s="493">
        <v>477</v>
      </c>
      <c r="IH171" s="493">
        <v>444</v>
      </c>
      <c r="II171" s="493">
        <v>339</v>
      </c>
      <c r="IJ171" s="493">
        <v>252</v>
      </c>
      <c r="IK171" s="199"/>
      <c r="IL171" s="491">
        <v>109</v>
      </c>
      <c r="IM171" s="492">
        <v>104</v>
      </c>
      <c r="IN171" s="492">
        <v>72</v>
      </c>
      <c r="IO171" s="492">
        <v>46</v>
      </c>
      <c r="IP171" s="493">
        <v>73</v>
      </c>
      <c r="IQ171" s="493">
        <v>53</v>
      </c>
      <c r="IR171" s="493">
        <v>33</v>
      </c>
      <c r="IS171" s="493">
        <v>26</v>
      </c>
      <c r="IT171" s="199"/>
      <c r="IU171" s="533">
        <v>3486.737276220827</v>
      </c>
      <c r="IV171" s="534">
        <v>3380.3757032516451</v>
      </c>
      <c r="IW171" s="534">
        <v>2886.0515538424474</v>
      </c>
      <c r="IX171" s="534">
        <v>2434.1447149049686</v>
      </c>
      <c r="IY171" s="535">
        <v>2299.9035679845711</v>
      </c>
      <c r="IZ171" s="535">
        <v>2207.0593930983014</v>
      </c>
      <c r="JA171" s="535">
        <v>1773.9403453689167</v>
      </c>
      <c r="JB171" s="535">
        <v>1335.3823326797733</v>
      </c>
      <c r="JC171" s="536"/>
      <c r="JD171" s="537">
        <v>923.23554222513826</v>
      </c>
      <c r="JE171" s="538">
        <v>867.74101268236871</v>
      </c>
      <c r="JF171" s="538">
        <v>761.26234642254872</v>
      </c>
      <c r="JG171" s="538">
        <v>581.14609631782025</v>
      </c>
      <c r="JH171" s="538">
        <v>424.3008678881389</v>
      </c>
      <c r="JI171" s="539">
        <v>397.45176317771563</v>
      </c>
      <c r="JJ171" s="539">
        <v>575.61486132914706</v>
      </c>
      <c r="JK171" s="539">
        <v>455.72571670817655</v>
      </c>
      <c r="JL171" s="536"/>
      <c r="JM171" s="537">
        <v>2062.0489267972634</v>
      </c>
      <c r="JN171" s="538">
        <v>1950.033374654334</v>
      </c>
      <c r="JO171" s="538">
        <v>1686.3406408094434</v>
      </c>
      <c r="JP171" s="538">
        <v>1419.5207926451674</v>
      </c>
      <c r="JQ171" s="538">
        <v>1509.1610414657666</v>
      </c>
      <c r="JR171" s="539">
        <v>1140.9296203352674</v>
      </c>
      <c r="JS171" s="539">
        <v>962.84667713239151</v>
      </c>
      <c r="JT171" s="539">
        <v>630.59721265433734</v>
      </c>
      <c r="JU171" s="536"/>
      <c r="JV171" s="537">
        <v>604.55525353828853</v>
      </c>
      <c r="JW171" s="538">
        <v>581.67254696290649</v>
      </c>
      <c r="JX171" s="538">
        <v>525.17465670922672</v>
      </c>
      <c r="JY171" s="538">
        <v>347.73495927213833</v>
      </c>
      <c r="JZ171" s="538">
        <v>207.32883317261332</v>
      </c>
      <c r="KA171" s="539">
        <v>177.01505934376499</v>
      </c>
      <c r="KB171" s="539">
        <v>177.91732077446363</v>
      </c>
      <c r="KC171" s="539">
        <v>153.67495098298977</v>
      </c>
      <c r="KD171" s="536"/>
    </row>
    <row r="172" spans="1:290" x14ac:dyDescent="0.2">
      <c r="A172" s="930"/>
      <c r="B172" s="490" t="s">
        <v>767</v>
      </c>
      <c r="C172" s="491">
        <v>3</v>
      </c>
      <c r="D172" s="492">
        <v>1</v>
      </c>
      <c r="E172" s="492">
        <v>3</v>
      </c>
      <c r="F172" s="492">
        <v>1</v>
      </c>
      <c r="G172" s="493">
        <v>2</v>
      </c>
      <c r="H172" s="493">
        <v>1</v>
      </c>
      <c r="I172" s="493">
        <v>3</v>
      </c>
      <c r="J172" s="493">
        <v>3</v>
      </c>
      <c r="K172" s="199"/>
      <c r="L172" s="491">
        <v>1</v>
      </c>
      <c r="M172" s="492">
        <v>1</v>
      </c>
      <c r="N172" s="492">
        <v>2</v>
      </c>
      <c r="O172" s="492">
        <v>1</v>
      </c>
      <c r="P172" s="493">
        <v>1</v>
      </c>
      <c r="Q172" s="493">
        <v>1</v>
      </c>
      <c r="R172" s="493">
        <v>1</v>
      </c>
      <c r="S172" s="493">
        <v>1</v>
      </c>
      <c r="T172" s="199"/>
      <c r="U172" s="491">
        <v>1</v>
      </c>
      <c r="V172" s="492"/>
      <c r="W172" s="492">
        <v>1</v>
      </c>
      <c r="X172" s="492"/>
      <c r="Y172" s="493">
        <v>1</v>
      </c>
      <c r="Z172" s="493"/>
      <c r="AA172" s="493">
        <v>2</v>
      </c>
      <c r="AB172" s="493">
        <v>1</v>
      </c>
      <c r="AC172" s="199"/>
      <c r="AD172" s="491">
        <v>94</v>
      </c>
      <c r="AE172" s="492">
        <v>95</v>
      </c>
      <c r="AF172" s="492">
        <v>116</v>
      </c>
      <c r="AG172" s="492">
        <v>119</v>
      </c>
      <c r="AH172" s="493">
        <v>79</v>
      </c>
      <c r="AI172" s="493">
        <v>79</v>
      </c>
      <c r="AJ172" s="493">
        <v>74</v>
      </c>
      <c r="AK172" s="493">
        <v>72</v>
      </c>
      <c r="AL172" s="199"/>
      <c r="AM172" s="491">
        <v>48</v>
      </c>
      <c r="AN172" s="492">
        <v>58</v>
      </c>
      <c r="AO172" s="492">
        <v>58</v>
      </c>
      <c r="AP172" s="492">
        <v>55</v>
      </c>
      <c r="AQ172" s="493">
        <v>36</v>
      </c>
      <c r="AR172" s="493">
        <v>39</v>
      </c>
      <c r="AS172" s="493">
        <v>41</v>
      </c>
      <c r="AT172" s="493">
        <v>28</v>
      </c>
      <c r="AU172" s="199"/>
      <c r="AV172" s="491"/>
      <c r="AW172" s="492"/>
      <c r="AX172" s="492"/>
      <c r="AY172" s="492"/>
      <c r="AZ172" s="493">
        <v>1</v>
      </c>
      <c r="BA172" s="493"/>
      <c r="BB172" s="493"/>
      <c r="BC172" s="493"/>
      <c r="BD172" s="199"/>
      <c r="BE172" s="491">
        <v>18</v>
      </c>
      <c r="BF172" s="492">
        <v>11</v>
      </c>
      <c r="BG172" s="492">
        <v>6</v>
      </c>
      <c r="BH172" s="492">
        <v>7</v>
      </c>
      <c r="BI172" s="493">
        <v>11</v>
      </c>
      <c r="BJ172" s="493">
        <v>5</v>
      </c>
      <c r="BK172" s="493">
        <v>3</v>
      </c>
      <c r="BL172" s="493">
        <v>6</v>
      </c>
      <c r="BM172" s="199"/>
      <c r="BN172" s="491">
        <v>4</v>
      </c>
      <c r="BO172" s="492">
        <v>1</v>
      </c>
      <c r="BP172" s="492">
        <v>2</v>
      </c>
      <c r="BQ172" s="492">
        <v>18</v>
      </c>
      <c r="BR172" s="493">
        <v>24</v>
      </c>
      <c r="BS172" s="493">
        <v>55</v>
      </c>
      <c r="BT172" s="493">
        <v>13</v>
      </c>
      <c r="BU172" s="493">
        <v>8</v>
      </c>
      <c r="BV172" s="199"/>
      <c r="BW172" s="491">
        <v>58</v>
      </c>
      <c r="BX172" s="492">
        <v>54</v>
      </c>
      <c r="BY172" s="492">
        <v>77</v>
      </c>
      <c r="BZ172" s="492">
        <v>81</v>
      </c>
      <c r="CA172" s="493">
        <v>77</v>
      </c>
      <c r="CB172" s="493">
        <v>53</v>
      </c>
      <c r="CC172" s="493">
        <v>62</v>
      </c>
      <c r="CD172" s="493">
        <v>56</v>
      </c>
      <c r="CE172" s="199"/>
      <c r="CF172" s="491">
        <v>4</v>
      </c>
      <c r="CG172" s="492">
        <v>5</v>
      </c>
      <c r="CH172" s="492">
        <v>4</v>
      </c>
      <c r="CI172" s="492">
        <v>5</v>
      </c>
      <c r="CJ172" s="493">
        <v>4</v>
      </c>
      <c r="CK172" s="493">
        <v>2</v>
      </c>
      <c r="CL172" s="493">
        <v>2</v>
      </c>
      <c r="CM172" s="493"/>
      <c r="CN172" s="199"/>
      <c r="CO172" s="491">
        <v>4</v>
      </c>
      <c r="CP172" s="492">
        <v>3</v>
      </c>
      <c r="CQ172" s="492">
        <v>6</v>
      </c>
      <c r="CR172" s="492">
        <v>6</v>
      </c>
      <c r="CS172" s="493">
        <v>5</v>
      </c>
      <c r="CT172" s="493">
        <v>2</v>
      </c>
      <c r="CU172" s="493">
        <v>6</v>
      </c>
      <c r="CV172" s="493">
        <v>4</v>
      </c>
      <c r="CW172" s="199"/>
      <c r="CX172" s="491">
        <v>1378</v>
      </c>
      <c r="CY172" s="492">
        <v>1312</v>
      </c>
      <c r="CZ172" s="492">
        <v>1298</v>
      </c>
      <c r="DA172" s="492">
        <v>1246</v>
      </c>
      <c r="DB172" s="493">
        <v>903</v>
      </c>
      <c r="DC172" s="493">
        <v>820</v>
      </c>
      <c r="DD172" s="493">
        <v>505</v>
      </c>
      <c r="DE172" s="493">
        <v>487</v>
      </c>
      <c r="DF172" s="199"/>
      <c r="DG172" s="491">
        <v>9</v>
      </c>
      <c r="DH172" s="492">
        <v>6</v>
      </c>
      <c r="DI172" s="492">
        <v>2</v>
      </c>
      <c r="DJ172" s="492">
        <v>3</v>
      </c>
      <c r="DK172" s="493">
        <v>2</v>
      </c>
      <c r="DL172" s="493">
        <v>2</v>
      </c>
      <c r="DM172" s="493"/>
      <c r="DN172" s="493"/>
      <c r="DO172" s="199"/>
      <c r="DP172" s="491">
        <v>53</v>
      </c>
      <c r="DQ172" s="492">
        <v>36</v>
      </c>
      <c r="DR172" s="492">
        <v>30</v>
      </c>
      <c r="DS172" s="492">
        <v>42</v>
      </c>
      <c r="DT172" s="493">
        <v>11</v>
      </c>
      <c r="DU172" s="493">
        <v>17</v>
      </c>
      <c r="DV172" s="493">
        <v>4</v>
      </c>
      <c r="DW172" s="493">
        <v>8</v>
      </c>
      <c r="DX172" s="199"/>
      <c r="DY172" s="491">
        <v>192</v>
      </c>
      <c r="DZ172" s="492">
        <v>199</v>
      </c>
      <c r="EA172" s="492">
        <v>181</v>
      </c>
      <c r="EB172" s="492">
        <v>175</v>
      </c>
      <c r="EC172" s="493">
        <v>174</v>
      </c>
      <c r="ED172" s="493">
        <v>183</v>
      </c>
      <c r="EE172" s="493">
        <v>78</v>
      </c>
      <c r="EF172" s="493">
        <v>49</v>
      </c>
      <c r="EG172" s="199"/>
      <c r="EH172" s="491">
        <v>13</v>
      </c>
      <c r="EI172" s="492">
        <v>19</v>
      </c>
      <c r="EJ172" s="492">
        <v>18</v>
      </c>
      <c r="EK172" s="492">
        <v>16</v>
      </c>
      <c r="EL172" s="493">
        <v>8</v>
      </c>
      <c r="EM172" s="493">
        <v>5</v>
      </c>
      <c r="EN172" s="493">
        <v>3</v>
      </c>
      <c r="EO172" s="493">
        <v>3</v>
      </c>
      <c r="EP172" s="199"/>
      <c r="EQ172" s="491">
        <v>1</v>
      </c>
      <c r="ER172" s="492">
        <v>4</v>
      </c>
      <c r="ES172" s="492">
        <v>5</v>
      </c>
      <c r="ET172" s="492">
        <v>1</v>
      </c>
      <c r="EU172" s="493">
        <v>3</v>
      </c>
      <c r="EV172" s="493">
        <v>3</v>
      </c>
      <c r="EW172" s="493">
        <v>5</v>
      </c>
      <c r="EX172" s="493">
        <v>4</v>
      </c>
      <c r="EY172" s="199"/>
      <c r="EZ172" s="491">
        <v>12</v>
      </c>
      <c r="FA172" s="492">
        <v>5</v>
      </c>
      <c r="FB172" s="492">
        <v>18</v>
      </c>
      <c r="FC172" s="492">
        <v>4</v>
      </c>
      <c r="FD172" s="493">
        <v>6</v>
      </c>
      <c r="FE172" s="493">
        <v>5</v>
      </c>
      <c r="FF172" s="493"/>
      <c r="FG172" s="493"/>
      <c r="FH172" s="199"/>
      <c r="FI172" s="491">
        <v>154</v>
      </c>
      <c r="FJ172" s="492">
        <v>123</v>
      </c>
      <c r="FK172" s="492">
        <v>106</v>
      </c>
      <c r="FL172" s="492">
        <v>56</v>
      </c>
      <c r="FM172" s="493">
        <v>37</v>
      </c>
      <c r="FN172" s="493">
        <v>62</v>
      </c>
      <c r="FO172" s="493">
        <v>61</v>
      </c>
      <c r="FP172" s="493">
        <v>34</v>
      </c>
      <c r="FQ172" s="199"/>
      <c r="FR172" s="491">
        <v>15</v>
      </c>
      <c r="FS172" s="492">
        <v>20</v>
      </c>
      <c r="FT172" s="492">
        <v>17</v>
      </c>
      <c r="FU172" s="492">
        <v>11</v>
      </c>
      <c r="FV172" s="493">
        <v>5</v>
      </c>
      <c r="FW172" s="493">
        <v>3</v>
      </c>
      <c r="FX172" s="493">
        <v>3</v>
      </c>
      <c r="FY172" s="493"/>
      <c r="FZ172" s="199"/>
      <c r="GA172" s="491">
        <v>25</v>
      </c>
      <c r="GB172" s="492">
        <v>12</v>
      </c>
      <c r="GC172" s="492">
        <v>14</v>
      </c>
      <c r="GD172" s="492">
        <v>16</v>
      </c>
      <c r="GE172" s="493">
        <v>12</v>
      </c>
      <c r="GF172" s="493">
        <v>8</v>
      </c>
      <c r="GG172" s="493">
        <v>7</v>
      </c>
      <c r="GH172" s="493">
        <v>9</v>
      </c>
      <c r="GI172" s="199"/>
      <c r="GJ172" s="491">
        <v>1783</v>
      </c>
      <c r="GK172" s="492">
        <v>1665</v>
      </c>
      <c r="GL172" s="492">
        <v>1690</v>
      </c>
      <c r="GM172" s="492">
        <v>1587</v>
      </c>
      <c r="GN172" s="493">
        <v>1176</v>
      </c>
      <c r="GO172" s="493">
        <v>1103</v>
      </c>
      <c r="GP172" s="493">
        <v>747</v>
      </c>
      <c r="GQ172" s="493">
        <v>686</v>
      </c>
      <c r="GR172" s="199"/>
      <c r="GS172" s="491">
        <v>466</v>
      </c>
      <c r="GT172" s="492">
        <v>466</v>
      </c>
      <c r="GU172" s="492">
        <v>464</v>
      </c>
      <c r="GV172" s="492">
        <v>364</v>
      </c>
      <c r="GW172" s="493">
        <v>125</v>
      </c>
      <c r="GX172" s="493">
        <v>139</v>
      </c>
      <c r="GY172" s="493">
        <v>106</v>
      </c>
      <c r="GZ172" s="493">
        <v>96</v>
      </c>
      <c r="HA172" s="199"/>
      <c r="HB172" s="491">
        <v>6</v>
      </c>
      <c r="HC172" s="492">
        <v>5</v>
      </c>
      <c r="HD172" s="492">
        <v>5</v>
      </c>
      <c r="HE172" s="492">
        <v>3</v>
      </c>
      <c r="HF172" s="493">
        <v>4</v>
      </c>
      <c r="HG172" s="493">
        <v>1</v>
      </c>
      <c r="HH172" s="493">
        <v>2</v>
      </c>
      <c r="HI172" s="493">
        <v>1</v>
      </c>
      <c r="HJ172" s="199"/>
      <c r="HK172" s="491">
        <v>5</v>
      </c>
      <c r="HL172" s="492">
        <v>2</v>
      </c>
      <c r="HM172" s="492">
        <v>2</v>
      </c>
      <c r="HN172" s="492"/>
      <c r="HO172" s="493">
        <v>3</v>
      </c>
      <c r="HP172" s="493">
        <v>1</v>
      </c>
      <c r="HQ172" s="493"/>
      <c r="HR172" s="493">
        <v>1</v>
      </c>
      <c r="HS172" s="199"/>
      <c r="HT172" s="491">
        <v>698</v>
      </c>
      <c r="HU172" s="492">
        <v>671</v>
      </c>
      <c r="HV172" s="492">
        <v>628</v>
      </c>
      <c r="HW172" s="492">
        <v>566</v>
      </c>
      <c r="HX172" s="493">
        <v>382</v>
      </c>
      <c r="HY172" s="493">
        <v>323</v>
      </c>
      <c r="HZ172" s="493">
        <v>349</v>
      </c>
      <c r="IA172" s="493">
        <v>276</v>
      </c>
      <c r="IB172" s="199"/>
      <c r="IC172" s="491">
        <v>2977</v>
      </c>
      <c r="ID172" s="492">
        <v>2917</v>
      </c>
      <c r="IE172" s="492">
        <v>2884</v>
      </c>
      <c r="IF172" s="492">
        <v>2625</v>
      </c>
      <c r="IG172" s="493">
        <v>2395</v>
      </c>
      <c r="IH172" s="493">
        <v>2253</v>
      </c>
      <c r="II172" s="493">
        <v>1402</v>
      </c>
      <c r="IJ172" s="493">
        <v>1394</v>
      </c>
      <c r="IK172" s="199"/>
      <c r="IL172" s="491">
        <v>536</v>
      </c>
      <c r="IM172" s="492">
        <v>504</v>
      </c>
      <c r="IN172" s="492">
        <v>497</v>
      </c>
      <c r="IO172" s="492">
        <v>351</v>
      </c>
      <c r="IP172" s="493">
        <v>151</v>
      </c>
      <c r="IQ172" s="493">
        <v>423</v>
      </c>
      <c r="IR172" s="493">
        <v>176</v>
      </c>
      <c r="IS172" s="493">
        <v>154</v>
      </c>
      <c r="IT172" s="199"/>
      <c r="IU172" s="533">
        <v>3082.1953264932135</v>
      </c>
      <c r="IV172" s="534">
        <v>3047.8757862620942</v>
      </c>
      <c r="IW172" s="534">
        <v>3042.9002511131275</v>
      </c>
      <c r="IX172" s="534">
        <v>2779.6897336792499</v>
      </c>
      <c r="IY172" s="535">
        <v>2558.7333468659522</v>
      </c>
      <c r="IZ172" s="535">
        <v>2434.4387176245582</v>
      </c>
      <c r="JA172" s="535">
        <v>1534.1854153900026</v>
      </c>
      <c r="JB172" s="535">
        <v>1537.6130597838076</v>
      </c>
      <c r="JC172" s="536"/>
      <c r="JD172" s="537">
        <v>722.66454077670915</v>
      </c>
      <c r="JE172" s="538">
        <v>701.10546883163011</v>
      </c>
      <c r="JF172" s="538">
        <v>662.6010255544536</v>
      </c>
      <c r="JG172" s="538">
        <v>599.35405305236407</v>
      </c>
      <c r="JH172" s="538">
        <v>408.11529791348386</v>
      </c>
      <c r="JI172" s="539">
        <v>349.01185343663218</v>
      </c>
      <c r="JJ172" s="539">
        <v>381.90492865271818</v>
      </c>
      <c r="JK172" s="539">
        <v>304.43414956982133</v>
      </c>
      <c r="JL172" s="536"/>
      <c r="JM172" s="537">
        <v>1846.004120637353</v>
      </c>
      <c r="JN172" s="538">
        <v>1739.7028399473386</v>
      </c>
      <c r="JO172" s="538">
        <v>1783.1142248201058</v>
      </c>
      <c r="JP172" s="538">
        <v>1680.520993275798</v>
      </c>
      <c r="JQ172" s="538">
        <v>1256.3968333671648</v>
      </c>
      <c r="JR172" s="539">
        <v>1191.8268555436698</v>
      </c>
      <c r="JS172" s="539">
        <v>817.42974700166337</v>
      </c>
      <c r="JT172" s="539">
        <v>756.67328480035303</v>
      </c>
      <c r="JU172" s="536"/>
      <c r="JV172" s="537">
        <v>482.46658453000919</v>
      </c>
      <c r="JW172" s="538">
        <v>486.90782187114706</v>
      </c>
      <c r="JX172" s="538">
        <v>489.56508894469175</v>
      </c>
      <c r="JY172" s="538">
        <v>385.45030973685601</v>
      </c>
      <c r="JZ172" s="538">
        <v>133.54558177797244</v>
      </c>
      <c r="KA172" s="539">
        <v>150.19395550369001</v>
      </c>
      <c r="KB172" s="539">
        <v>115.99404709796025</v>
      </c>
      <c r="KC172" s="539">
        <v>105.89013898080742</v>
      </c>
      <c r="KD172" s="536"/>
    </row>
    <row r="173" spans="1:290" ht="13.5" thickBot="1" x14ac:dyDescent="0.25">
      <c r="A173" s="930"/>
      <c r="B173" s="494" t="s">
        <v>768</v>
      </c>
      <c r="C173" s="495">
        <v>1</v>
      </c>
      <c r="D173" s="496"/>
      <c r="E173" s="496"/>
      <c r="F173" s="496">
        <v>1</v>
      </c>
      <c r="G173" s="497">
        <v>1</v>
      </c>
      <c r="H173" s="497">
        <v>1</v>
      </c>
      <c r="I173" s="497"/>
      <c r="J173" s="497"/>
      <c r="K173" s="498"/>
      <c r="L173" s="495"/>
      <c r="M173" s="496"/>
      <c r="N173" s="496"/>
      <c r="O173" s="496">
        <v>1</v>
      </c>
      <c r="P173" s="497"/>
      <c r="Q173" s="497"/>
      <c r="R173" s="497"/>
      <c r="S173" s="497"/>
      <c r="T173" s="498"/>
      <c r="U173" s="495">
        <v>1</v>
      </c>
      <c r="V173" s="496"/>
      <c r="W173" s="496"/>
      <c r="X173" s="496"/>
      <c r="Y173" s="497">
        <v>1</v>
      </c>
      <c r="Z173" s="497">
        <v>1</v>
      </c>
      <c r="AA173" s="497"/>
      <c r="AB173" s="497"/>
      <c r="AC173" s="498"/>
      <c r="AD173" s="495">
        <v>62</v>
      </c>
      <c r="AE173" s="496">
        <v>66</v>
      </c>
      <c r="AF173" s="496">
        <v>66</v>
      </c>
      <c r="AG173" s="496">
        <v>78</v>
      </c>
      <c r="AH173" s="497">
        <v>55</v>
      </c>
      <c r="AI173" s="497">
        <v>53</v>
      </c>
      <c r="AJ173" s="497">
        <v>52</v>
      </c>
      <c r="AK173" s="497">
        <v>41</v>
      </c>
      <c r="AL173" s="498"/>
      <c r="AM173" s="495">
        <v>29</v>
      </c>
      <c r="AN173" s="496">
        <v>27</v>
      </c>
      <c r="AO173" s="496">
        <v>25</v>
      </c>
      <c r="AP173" s="496">
        <v>26</v>
      </c>
      <c r="AQ173" s="497">
        <v>17</v>
      </c>
      <c r="AR173" s="497">
        <v>12</v>
      </c>
      <c r="AS173" s="497">
        <v>19</v>
      </c>
      <c r="AT173" s="497">
        <v>10</v>
      </c>
      <c r="AU173" s="498"/>
      <c r="AV173" s="495"/>
      <c r="AW173" s="496"/>
      <c r="AX173" s="496"/>
      <c r="AY173" s="496"/>
      <c r="AZ173" s="497"/>
      <c r="BA173" s="497"/>
      <c r="BB173" s="497"/>
      <c r="BC173" s="497"/>
      <c r="BD173" s="498"/>
      <c r="BE173" s="495">
        <v>3</v>
      </c>
      <c r="BF173" s="496">
        <v>3</v>
      </c>
      <c r="BG173" s="496">
        <v>12</v>
      </c>
      <c r="BH173" s="496">
        <v>18</v>
      </c>
      <c r="BI173" s="497">
        <v>10</v>
      </c>
      <c r="BJ173" s="497">
        <v>2</v>
      </c>
      <c r="BK173" s="497">
        <v>6</v>
      </c>
      <c r="BL173" s="497">
        <v>5</v>
      </c>
      <c r="BM173" s="498"/>
      <c r="BN173" s="495"/>
      <c r="BO173" s="496"/>
      <c r="BP173" s="496"/>
      <c r="BQ173" s="496"/>
      <c r="BR173" s="497"/>
      <c r="BS173" s="497"/>
      <c r="BT173" s="497"/>
      <c r="BU173" s="497"/>
      <c r="BV173" s="498"/>
      <c r="BW173" s="495">
        <v>49</v>
      </c>
      <c r="BX173" s="496">
        <v>77</v>
      </c>
      <c r="BY173" s="496">
        <v>83</v>
      </c>
      <c r="BZ173" s="496">
        <v>75</v>
      </c>
      <c r="CA173" s="497">
        <v>64</v>
      </c>
      <c r="CB173" s="497">
        <v>58</v>
      </c>
      <c r="CC173" s="497">
        <v>64</v>
      </c>
      <c r="CD173" s="497">
        <v>55</v>
      </c>
      <c r="CE173" s="498"/>
      <c r="CF173" s="495">
        <v>1</v>
      </c>
      <c r="CG173" s="496"/>
      <c r="CH173" s="496"/>
      <c r="CI173" s="496">
        <v>1</v>
      </c>
      <c r="CJ173" s="497"/>
      <c r="CK173" s="497"/>
      <c r="CL173" s="497"/>
      <c r="CM173" s="497">
        <v>1</v>
      </c>
      <c r="CN173" s="498"/>
      <c r="CO173" s="495">
        <v>6</v>
      </c>
      <c r="CP173" s="496"/>
      <c r="CQ173" s="496">
        <v>4</v>
      </c>
      <c r="CR173" s="496">
        <v>1</v>
      </c>
      <c r="CS173" s="497">
        <v>12</v>
      </c>
      <c r="CT173" s="497">
        <v>3</v>
      </c>
      <c r="CU173" s="497">
        <v>3</v>
      </c>
      <c r="CV173" s="497">
        <v>2</v>
      </c>
      <c r="CW173" s="498"/>
      <c r="CX173" s="495">
        <v>1174</v>
      </c>
      <c r="CY173" s="496">
        <v>983</v>
      </c>
      <c r="CZ173" s="496">
        <v>868</v>
      </c>
      <c r="DA173" s="496">
        <v>917</v>
      </c>
      <c r="DB173" s="497">
        <v>849</v>
      </c>
      <c r="DC173" s="497">
        <v>527</v>
      </c>
      <c r="DD173" s="497">
        <v>522</v>
      </c>
      <c r="DE173" s="497">
        <v>455</v>
      </c>
      <c r="DF173" s="498"/>
      <c r="DG173" s="495">
        <v>6</v>
      </c>
      <c r="DH173" s="496">
        <v>7</v>
      </c>
      <c r="DI173" s="496">
        <v>9</v>
      </c>
      <c r="DJ173" s="496">
        <v>18</v>
      </c>
      <c r="DK173" s="497"/>
      <c r="DL173" s="497">
        <v>6</v>
      </c>
      <c r="DM173" s="497">
        <v>1</v>
      </c>
      <c r="DN173" s="497"/>
      <c r="DO173" s="498"/>
      <c r="DP173" s="495">
        <v>80</v>
      </c>
      <c r="DQ173" s="496">
        <v>41</v>
      </c>
      <c r="DR173" s="496">
        <v>34</v>
      </c>
      <c r="DS173" s="496">
        <v>17</v>
      </c>
      <c r="DT173" s="497">
        <v>20</v>
      </c>
      <c r="DU173" s="497">
        <v>10</v>
      </c>
      <c r="DV173" s="497">
        <v>14</v>
      </c>
      <c r="DW173" s="497">
        <v>10</v>
      </c>
      <c r="DX173" s="498"/>
      <c r="DY173" s="495">
        <v>133</v>
      </c>
      <c r="DZ173" s="496">
        <v>144</v>
      </c>
      <c r="EA173" s="496">
        <v>134</v>
      </c>
      <c r="EB173" s="496">
        <v>142</v>
      </c>
      <c r="EC173" s="497">
        <v>204</v>
      </c>
      <c r="ED173" s="497">
        <v>91</v>
      </c>
      <c r="EE173" s="497">
        <v>80</v>
      </c>
      <c r="EF173" s="497">
        <v>73</v>
      </c>
      <c r="EG173" s="498"/>
      <c r="EH173" s="495">
        <v>21</v>
      </c>
      <c r="EI173" s="496">
        <v>17</v>
      </c>
      <c r="EJ173" s="496">
        <v>4</v>
      </c>
      <c r="EK173" s="496">
        <v>8</v>
      </c>
      <c r="EL173" s="497">
        <v>5</v>
      </c>
      <c r="EM173" s="497">
        <v>4</v>
      </c>
      <c r="EN173" s="497">
        <v>2</v>
      </c>
      <c r="EO173" s="497">
        <v>1</v>
      </c>
      <c r="EP173" s="498"/>
      <c r="EQ173" s="495"/>
      <c r="ER173" s="496">
        <v>2</v>
      </c>
      <c r="ES173" s="496">
        <v>1</v>
      </c>
      <c r="ET173" s="496">
        <v>1</v>
      </c>
      <c r="EU173" s="497"/>
      <c r="EV173" s="497">
        <v>1</v>
      </c>
      <c r="EW173" s="497">
        <v>2</v>
      </c>
      <c r="EX173" s="497">
        <v>1</v>
      </c>
      <c r="EY173" s="498"/>
      <c r="EZ173" s="495">
        <v>3</v>
      </c>
      <c r="FA173" s="496">
        <v>2</v>
      </c>
      <c r="FB173" s="496">
        <v>7</v>
      </c>
      <c r="FC173" s="496">
        <v>4</v>
      </c>
      <c r="FD173" s="497">
        <v>6</v>
      </c>
      <c r="FE173" s="497"/>
      <c r="FF173" s="497">
        <v>3</v>
      </c>
      <c r="FG173" s="497"/>
      <c r="FH173" s="498"/>
      <c r="FI173" s="495">
        <v>103</v>
      </c>
      <c r="FJ173" s="496">
        <v>98</v>
      </c>
      <c r="FK173" s="496">
        <v>79</v>
      </c>
      <c r="FL173" s="496">
        <v>52</v>
      </c>
      <c r="FM173" s="497">
        <v>28</v>
      </c>
      <c r="FN173" s="497">
        <v>39</v>
      </c>
      <c r="FO173" s="497">
        <v>54</v>
      </c>
      <c r="FP173" s="497">
        <v>34</v>
      </c>
      <c r="FQ173" s="498"/>
      <c r="FR173" s="495">
        <v>8</v>
      </c>
      <c r="FS173" s="496">
        <v>6</v>
      </c>
      <c r="FT173" s="496">
        <v>2</v>
      </c>
      <c r="FU173" s="496">
        <v>7</v>
      </c>
      <c r="FV173" s="497">
        <v>2</v>
      </c>
      <c r="FW173" s="497">
        <v>4</v>
      </c>
      <c r="FX173" s="497">
        <v>1</v>
      </c>
      <c r="FY173" s="497"/>
      <c r="FZ173" s="498"/>
      <c r="GA173" s="495">
        <v>1</v>
      </c>
      <c r="GB173" s="496">
        <v>11</v>
      </c>
      <c r="GC173" s="496">
        <v>11</v>
      </c>
      <c r="GD173" s="496">
        <v>3</v>
      </c>
      <c r="GE173" s="497">
        <v>9</v>
      </c>
      <c r="GF173" s="497">
        <v>5</v>
      </c>
      <c r="GG173" s="497">
        <v>6</v>
      </c>
      <c r="GH173" s="497">
        <v>4</v>
      </c>
      <c r="GI173" s="498"/>
      <c r="GJ173" s="495">
        <v>1432</v>
      </c>
      <c r="GK173" s="496">
        <v>1265</v>
      </c>
      <c r="GL173" s="496">
        <v>1137</v>
      </c>
      <c r="GM173" s="496">
        <v>1166</v>
      </c>
      <c r="GN173" s="497">
        <v>1041</v>
      </c>
      <c r="GO173" s="497">
        <v>697</v>
      </c>
      <c r="GP173" s="497">
        <v>715</v>
      </c>
      <c r="GQ173" s="497">
        <v>599</v>
      </c>
      <c r="GR173" s="498"/>
      <c r="GS173" s="495">
        <v>575</v>
      </c>
      <c r="GT173" s="496">
        <v>397</v>
      </c>
      <c r="GU173" s="496">
        <v>370</v>
      </c>
      <c r="GV173" s="496">
        <v>268</v>
      </c>
      <c r="GW173" s="497">
        <v>128</v>
      </c>
      <c r="GX173" s="497">
        <v>103</v>
      </c>
      <c r="GY173" s="497">
        <v>120</v>
      </c>
      <c r="GZ173" s="497">
        <v>88</v>
      </c>
      <c r="HA173" s="498"/>
      <c r="HB173" s="495">
        <v>6</v>
      </c>
      <c r="HC173" s="496">
        <v>7</v>
      </c>
      <c r="HD173" s="496">
        <v>6</v>
      </c>
      <c r="HE173" s="496">
        <v>2</v>
      </c>
      <c r="HF173" s="497">
        <v>1</v>
      </c>
      <c r="HG173" s="497">
        <v>3</v>
      </c>
      <c r="HH173" s="497">
        <v>1</v>
      </c>
      <c r="HI173" s="497">
        <v>1</v>
      </c>
      <c r="HJ173" s="498"/>
      <c r="HK173" s="495">
        <v>2</v>
      </c>
      <c r="HL173" s="496">
        <v>2</v>
      </c>
      <c r="HM173" s="496">
        <v>4</v>
      </c>
      <c r="HN173" s="496">
        <v>3</v>
      </c>
      <c r="HO173" s="497">
        <v>2</v>
      </c>
      <c r="HP173" s="497">
        <v>1</v>
      </c>
      <c r="HQ173" s="497"/>
      <c r="HR173" s="497">
        <v>1</v>
      </c>
      <c r="HS173" s="498"/>
      <c r="HT173" s="495">
        <v>701</v>
      </c>
      <c r="HU173" s="496">
        <v>543</v>
      </c>
      <c r="HV173" s="496">
        <v>492</v>
      </c>
      <c r="HW173" s="496">
        <v>451</v>
      </c>
      <c r="HX173" s="497">
        <v>282</v>
      </c>
      <c r="HY173" s="497">
        <v>259</v>
      </c>
      <c r="HZ173" s="497">
        <v>311</v>
      </c>
      <c r="IA173" s="497">
        <v>272</v>
      </c>
      <c r="IB173" s="498"/>
      <c r="IC173" s="495">
        <v>2391</v>
      </c>
      <c r="ID173" s="496">
        <v>2661</v>
      </c>
      <c r="IE173" s="496">
        <v>2410</v>
      </c>
      <c r="IF173" s="496">
        <v>1872</v>
      </c>
      <c r="IG173" s="497">
        <v>1644</v>
      </c>
      <c r="IH173" s="497">
        <v>1191</v>
      </c>
      <c r="II173" s="497">
        <v>1377</v>
      </c>
      <c r="IJ173" s="497">
        <v>1123</v>
      </c>
      <c r="IK173" s="498"/>
      <c r="IL173" s="495">
        <v>283</v>
      </c>
      <c r="IM173" s="496">
        <v>305</v>
      </c>
      <c r="IN173" s="496">
        <v>272</v>
      </c>
      <c r="IO173" s="496">
        <v>187</v>
      </c>
      <c r="IP173" s="497">
        <v>146</v>
      </c>
      <c r="IQ173" s="497">
        <v>150</v>
      </c>
      <c r="IR173" s="497">
        <v>162</v>
      </c>
      <c r="IS173" s="497">
        <v>143</v>
      </c>
      <c r="IT173" s="498"/>
      <c r="IU173" s="540">
        <v>3619.3272985982862</v>
      </c>
      <c r="IV173" s="541">
        <v>4037.9362670713203</v>
      </c>
      <c r="IW173" s="541">
        <v>3674.7327813610232</v>
      </c>
      <c r="IX173" s="541">
        <v>2872.9281767955804</v>
      </c>
      <c r="IY173" s="542">
        <v>2532.5815694611333</v>
      </c>
      <c r="IZ173" s="542">
        <v>1846.8476646639831</v>
      </c>
      <c r="JA173" s="542">
        <v>2148.3735080739525</v>
      </c>
      <c r="JB173" s="542">
        <v>1761.9279225567566</v>
      </c>
      <c r="JC173" s="543"/>
      <c r="JD173" s="544">
        <v>1061.1243982925132</v>
      </c>
      <c r="JE173" s="545">
        <v>823.97572078907433</v>
      </c>
      <c r="JF173" s="545">
        <v>750.19441013677329</v>
      </c>
      <c r="JG173" s="545">
        <v>692.14241866175576</v>
      </c>
      <c r="JH173" s="545">
        <v>434.4209261484425</v>
      </c>
      <c r="JI173" s="546">
        <v>402.43963264710749</v>
      </c>
      <c r="JJ173" s="546">
        <v>485.21725563616502</v>
      </c>
      <c r="JK173" s="546">
        <v>426.75369094874253</v>
      </c>
      <c r="JL173" s="543"/>
      <c r="JM173" s="544">
        <v>2167.6606823892707</v>
      </c>
      <c r="JN173" s="545">
        <v>1919.5751138088015</v>
      </c>
      <c r="JO173" s="545">
        <v>1733.6809844014454</v>
      </c>
      <c r="JP173" s="545">
        <v>1789.4413750767342</v>
      </c>
      <c r="JQ173" s="545">
        <v>1603.6602273777612</v>
      </c>
      <c r="JR173" s="546">
        <v>1079.3579540703918</v>
      </c>
      <c r="JS173" s="546">
        <v>1115.5316327326625</v>
      </c>
      <c r="JT173" s="546">
        <v>939.79948852314988</v>
      </c>
      <c r="JU173" s="543"/>
      <c r="JV173" s="544">
        <v>870.39447791468615</v>
      </c>
      <c r="JW173" s="545">
        <v>602.42792109256447</v>
      </c>
      <c r="JX173" s="545">
        <v>564.17059298903678</v>
      </c>
      <c r="JY173" s="545">
        <v>411.29527317372623</v>
      </c>
      <c r="JZ173" s="545">
        <v>197.18396647872569</v>
      </c>
      <c r="KA173" s="546">
        <v>160.08046929321162</v>
      </c>
      <c r="KB173" s="546">
        <v>187.2220922068804</v>
      </c>
      <c r="KC173" s="546">
        <v>138.06737060106374</v>
      </c>
      <c r="KD173" s="543"/>
    </row>
    <row r="174" spans="1:290" ht="13.5" thickBot="1" x14ac:dyDescent="0.25">
      <c r="A174" s="931"/>
      <c r="B174" s="508" t="s">
        <v>795</v>
      </c>
      <c r="C174" s="510">
        <v>7</v>
      </c>
      <c r="D174" s="511">
        <v>4</v>
      </c>
      <c r="E174" s="511">
        <v>3</v>
      </c>
      <c r="F174" s="511">
        <v>2</v>
      </c>
      <c r="G174" s="512">
        <v>3</v>
      </c>
      <c r="H174" s="512">
        <v>7</v>
      </c>
      <c r="I174" s="512">
        <v>4</v>
      </c>
      <c r="J174" s="512">
        <v>4</v>
      </c>
      <c r="K174" s="513"/>
      <c r="L174" s="510">
        <v>3</v>
      </c>
      <c r="M174" s="511">
        <v>2</v>
      </c>
      <c r="N174" s="511">
        <v>2</v>
      </c>
      <c r="O174" s="511">
        <v>2</v>
      </c>
      <c r="P174" s="512">
        <v>1</v>
      </c>
      <c r="Q174" s="512">
        <v>3</v>
      </c>
      <c r="R174" s="512">
        <v>2</v>
      </c>
      <c r="S174" s="512">
        <v>2</v>
      </c>
      <c r="T174" s="513"/>
      <c r="U174" s="510">
        <v>2</v>
      </c>
      <c r="V174" s="511">
        <v>2</v>
      </c>
      <c r="W174" s="511">
        <v>1</v>
      </c>
      <c r="X174" s="511"/>
      <c r="Y174" s="512">
        <v>2</v>
      </c>
      <c r="Z174" s="512">
        <v>4</v>
      </c>
      <c r="AA174" s="512">
        <v>2</v>
      </c>
      <c r="AB174" s="512">
        <v>1</v>
      </c>
      <c r="AC174" s="513"/>
      <c r="AD174" s="510">
        <v>348</v>
      </c>
      <c r="AE174" s="511">
        <v>329</v>
      </c>
      <c r="AF174" s="511">
        <v>329</v>
      </c>
      <c r="AG174" s="511">
        <v>366</v>
      </c>
      <c r="AH174" s="512">
        <v>265</v>
      </c>
      <c r="AI174" s="512">
        <v>248</v>
      </c>
      <c r="AJ174" s="512">
        <v>220</v>
      </c>
      <c r="AK174" s="512">
        <v>201</v>
      </c>
      <c r="AL174" s="513"/>
      <c r="AM174" s="510">
        <v>153</v>
      </c>
      <c r="AN174" s="511">
        <v>161</v>
      </c>
      <c r="AO174" s="511">
        <v>139</v>
      </c>
      <c r="AP174" s="511">
        <v>136</v>
      </c>
      <c r="AQ174" s="512">
        <v>101</v>
      </c>
      <c r="AR174" s="512">
        <v>105</v>
      </c>
      <c r="AS174" s="512">
        <v>98</v>
      </c>
      <c r="AT174" s="512">
        <v>79</v>
      </c>
      <c r="AU174" s="513"/>
      <c r="AV174" s="510">
        <v>1</v>
      </c>
      <c r="AW174" s="511"/>
      <c r="AX174" s="511"/>
      <c r="AY174" s="511"/>
      <c r="AZ174" s="512">
        <v>1</v>
      </c>
      <c r="BA174" s="512"/>
      <c r="BB174" s="512"/>
      <c r="BC174" s="512"/>
      <c r="BD174" s="513"/>
      <c r="BE174" s="510">
        <v>34</v>
      </c>
      <c r="BF174" s="511">
        <v>23</v>
      </c>
      <c r="BG174" s="511">
        <v>31</v>
      </c>
      <c r="BH174" s="511">
        <v>35</v>
      </c>
      <c r="BI174" s="512">
        <v>25</v>
      </c>
      <c r="BJ174" s="512">
        <v>16</v>
      </c>
      <c r="BK174" s="512">
        <v>18</v>
      </c>
      <c r="BL174" s="512">
        <v>15</v>
      </c>
      <c r="BM174" s="513"/>
      <c r="BN174" s="510">
        <v>4</v>
      </c>
      <c r="BO174" s="511">
        <v>3</v>
      </c>
      <c r="BP174" s="511">
        <v>2</v>
      </c>
      <c r="BQ174" s="511">
        <v>20</v>
      </c>
      <c r="BR174" s="512">
        <v>25</v>
      </c>
      <c r="BS174" s="512">
        <v>57</v>
      </c>
      <c r="BT174" s="512">
        <v>13</v>
      </c>
      <c r="BU174" s="512">
        <v>8</v>
      </c>
      <c r="BV174" s="513"/>
      <c r="BW174" s="510">
        <v>306</v>
      </c>
      <c r="BX174" s="511">
        <v>304</v>
      </c>
      <c r="BY174" s="511">
        <v>314</v>
      </c>
      <c r="BZ174" s="511">
        <v>379</v>
      </c>
      <c r="CA174" s="512">
        <v>282</v>
      </c>
      <c r="CB174" s="512">
        <v>223</v>
      </c>
      <c r="CC174" s="512">
        <v>211</v>
      </c>
      <c r="CD174" s="512">
        <v>200</v>
      </c>
      <c r="CE174" s="513"/>
      <c r="CF174" s="510">
        <v>11</v>
      </c>
      <c r="CG174" s="511">
        <v>8</v>
      </c>
      <c r="CH174" s="511">
        <v>10</v>
      </c>
      <c r="CI174" s="511">
        <v>11</v>
      </c>
      <c r="CJ174" s="512">
        <v>6</v>
      </c>
      <c r="CK174" s="512">
        <v>4</v>
      </c>
      <c r="CL174" s="512">
        <v>6</v>
      </c>
      <c r="CM174" s="512">
        <v>2</v>
      </c>
      <c r="CN174" s="513"/>
      <c r="CO174" s="510">
        <v>16</v>
      </c>
      <c r="CP174" s="511">
        <v>18</v>
      </c>
      <c r="CQ174" s="511">
        <v>18</v>
      </c>
      <c r="CR174" s="511">
        <v>17</v>
      </c>
      <c r="CS174" s="512">
        <v>21</v>
      </c>
      <c r="CT174" s="512">
        <v>14</v>
      </c>
      <c r="CU174" s="512">
        <v>15</v>
      </c>
      <c r="CV174" s="512">
        <v>10</v>
      </c>
      <c r="CW174" s="513"/>
      <c r="CX174" s="510">
        <v>4201</v>
      </c>
      <c r="CY174" s="511">
        <v>4140</v>
      </c>
      <c r="CZ174" s="511">
        <v>3929</v>
      </c>
      <c r="DA174" s="511">
        <v>3390</v>
      </c>
      <c r="DB174" s="512">
        <v>2740</v>
      </c>
      <c r="DC174" s="512">
        <v>2284</v>
      </c>
      <c r="DD174" s="512">
        <v>2364</v>
      </c>
      <c r="DE174" s="512">
        <v>1426</v>
      </c>
      <c r="DF174" s="513"/>
      <c r="DG174" s="510">
        <v>25</v>
      </c>
      <c r="DH174" s="511">
        <v>25</v>
      </c>
      <c r="DI174" s="511">
        <v>21</v>
      </c>
      <c r="DJ174" s="511">
        <v>29</v>
      </c>
      <c r="DK174" s="512">
        <v>3</v>
      </c>
      <c r="DL174" s="512">
        <v>11</v>
      </c>
      <c r="DM174" s="512">
        <v>1</v>
      </c>
      <c r="DN174" s="512"/>
      <c r="DO174" s="513"/>
      <c r="DP174" s="510">
        <v>164</v>
      </c>
      <c r="DQ174" s="511">
        <v>112</v>
      </c>
      <c r="DR174" s="511">
        <v>111</v>
      </c>
      <c r="DS174" s="511">
        <v>93</v>
      </c>
      <c r="DT174" s="512">
        <v>63</v>
      </c>
      <c r="DU174" s="512">
        <v>40</v>
      </c>
      <c r="DV174" s="512">
        <v>27</v>
      </c>
      <c r="DW174" s="512">
        <v>29</v>
      </c>
      <c r="DX174" s="513"/>
      <c r="DY174" s="510">
        <v>499</v>
      </c>
      <c r="DZ174" s="511">
        <v>495</v>
      </c>
      <c r="EA174" s="511">
        <v>488</v>
      </c>
      <c r="EB174" s="511">
        <v>520</v>
      </c>
      <c r="EC174" s="512">
        <v>551</v>
      </c>
      <c r="ED174" s="512">
        <v>432</v>
      </c>
      <c r="EE174" s="512">
        <v>233</v>
      </c>
      <c r="EF174" s="512">
        <v>161</v>
      </c>
      <c r="EG174" s="513"/>
      <c r="EH174" s="510">
        <v>50</v>
      </c>
      <c r="EI174" s="511">
        <v>50</v>
      </c>
      <c r="EJ174" s="511">
        <v>33</v>
      </c>
      <c r="EK174" s="511">
        <v>29</v>
      </c>
      <c r="EL174" s="512">
        <v>19</v>
      </c>
      <c r="EM174" s="512">
        <v>13</v>
      </c>
      <c r="EN174" s="512">
        <v>8</v>
      </c>
      <c r="EO174" s="512">
        <v>8</v>
      </c>
      <c r="EP174" s="513"/>
      <c r="EQ174" s="510">
        <v>3</v>
      </c>
      <c r="ER174" s="511">
        <v>9</v>
      </c>
      <c r="ES174" s="511">
        <v>13</v>
      </c>
      <c r="ET174" s="511">
        <v>6</v>
      </c>
      <c r="EU174" s="512">
        <v>8</v>
      </c>
      <c r="EV174" s="512">
        <v>11</v>
      </c>
      <c r="EW174" s="512">
        <v>10</v>
      </c>
      <c r="EX174" s="512">
        <v>11</v>
      </c>
      <c r="EY174" s="513"/>
      <c r="EZ174" s="510">
        <v>30</v>
      </c>
      <c r="FA174" s="511">
        <v>20</v>
      </c>
      <c r="FB174" s="511">
        <v>38</v>
      </c>
      <c r="FC174" s="511">
        <v>13</v>
      </c>
      <c r="FD174" s="512">
        <v>17</v>
      </c>
      <c r="FE174" s="512">
        <v>10</v>
      </c>
      <c r="FF174" s="512">
        <v>8</v>
      </c>
      <c r="FG174" s="512">
        <v>1</v>
      </c>
      <c r="FH174" s="513"/>
      <c r="FI174" s="510">
        <v>430</v>
      </c>
      <c r="FJ174" s="511">
        <v>402</v>
      </c>
      <c r="FK174" s="511">
        <v>326</v>
      </c>
      <c r="FL174" s="511">
        <v>170</v>
      </c>
      <c r="FM174" s="512">
        <v>124</v>
      </c>
      <c r="FN174" s="512">
        <v>168</v>
      </c>
      <c r="FO174" s="512">
        <v>158</v>
      </c>
      <c r="FP174" s="512">
        <v>115</v>
      </c>
      <c r="FQ174" s="513"/>
      <c r="FR174" s="510">
        <v>38</v>
      </c>
      <c r="FS174" s="511">
        <v>43</v>
      </c>
      <c r="FT174" s="511">
        <v>31</v>
      </c>
      <c r="FU174" s="511">
        <v>28</v>
      </c>
      <c r="FV174" s="512">
        <v>13</v>
      </c>
      <c r="FW174" s="512">
        <v>17</v>
      </c>
      <c r="FX174" s="512">
        <v>10</v>
      </c>
      <c r="FY174" s="512">
        <v>3</v>
      </c>
      <c r="FZ174" s="513"/>
      <c r="GA174" s="510">
        <v>42</v>
      </c>
      <c r="GB174" s="511">
        <v>44</v>
      </c>
      <c r="GC174" s="511">
        <v>37</v>
      </c>
      <c r="GD174" s="511">
        <v>28</v>
      </c>
      <c r="GE174" s="512">
        <v>31</v>
      </c>
      <c r="GF174" s="512">
        <v>17</v>
      </c>
      <c r="GG174" s="512">
        <v>18</v>
      </c>
      <c r="GH174" s="512">
        <v>17</v>
      </c>
      <c r="GI174" s="513"/>
      <c r="GJ174" s="510">
        <v>5520</v>
      </c>
      <c r="GK174" s="511">
        <v>5397</v>
      </c>
      <c r="GL174" s="511">
        <v>5114</v>
      </c>
      <c r="GM174" s="511">
        <v>4494</v>
      </c>
      <c r="GN174" s="512">
        <v>3579</v>
      </c>
      <c r="GO174" s="512">
        <v>3089</v>
      </c>
      <c r="GP174" s="512">
        <v>3063</v>
      </c>
      <c r="GQ174" s="512">
        <v>2021</v>
      </c>
      <c r="GR174" s="513"/>
      <c r="GS174" s="510">
        <v>1771</v>
      </c>
      <c r="GT174" s="511">
        <v>1645</v>
      </c>
      <c r="GU174" s="511">
        <v>1617</v>
      </c>
      <c r="GV174" s="511">
        <v>1153</v>
      </c>
      <c r="GW174" s="512">
        <v>484</v>
      </c>
      <c r="GX174" s="512">
        <v>459</v>
      </c>
      <c r="GY174" s="512">
        <v>380</v>
      </c>
      <c r="GZ174" s="512">
        <v>333</v>
      </c>
      <c r="HA174" s="513"/>
      <c r="HB174" s="510">
        <v>34</v>
      </c>
      <c r="HC174" s="511">
        <v>22</v>
      </c>
      <c r="HD174" s="511">
        <v>21</v>
      </c>
      <c r="HE174" s="511">
        <v>14</v>
      </c>
      <c r="HF174" s="512">
        <v>8</v>
      </c>
      <c r="HG174" s="512">
        <v>9</v>
      </c>
      <c r="HH174" s="512">
        <v>11</v>
      </c>
      <c r="HI174" s="512">
        <v>9</v>
      </c>
      <c r="HJ174" s="513"/>
      <c r="HK174" s="510">
        <v>24</v>
      </c>
      <c r="HL174" s="511">
        <v>17</v>
      </c>
      <c r="HM174" s="511">
        <v>16</v>
      </c>
      <c r="HN174" s="511">
        <v>8</v>
      </c>
      <c r="HO174" s="512">
        <v>9</v>
      </c>
      <c r="HP174" s="512">
        <v>4</v>
      </c>
      <c r="HQ174" s="512">
        <v>2</v>
      </c>
      <c r="HR174" s="512">
        <v>8</v>
      </c>
      <c r="HS174" s="513"/>
      <c r="HT174" s="510">
        <v>2455</v>
      </c>
      <c r="HU174" s="511">
        <v>2291</v>
      </c>
      <c r="HV174" s="511">
        <v>2139</v>
      </c>
      <c r="HW174" s="511">
        <v>1775</v>
      </c>
      <c r="HX174" s="512">
        <v>1157</v>
      </c>
      <c r="HY174" s="512">
        <v>1011</v>
      </c>
      <c r="HZ174" s="512">
        <v>1157</v>
      </c>
      <c r="IA174" s="512">
        <v>965</v>
      </c>
      <c r="IB174" s="513"/>
      <c r="IC174" s="510">
        <v>9734</v>
      </c>
      <c r="ID174" s="511">
        <v>10633</v>
      </c>
      <c r="IE174" s="511">
        <v>9531</v>
      </c>
      <c r="IF174" s="511">
        <v>7321</v>
      </c>
      <c r="IG174" s="512">
        <v>6489</v>
      </c>
      <c r="IH174" s="512">
        <v>5929</v>
      </c>
      <c r="II174" s="512">
        <v>26348</v>
      </c>
      <c r="IJ174" s="512">
        <v>4704</v>
      </c>
      <c r="IK174" s="513"/>
      <c r="IL174" s="510">
        <v>1299</v>
      </c>
      <c r="IM174" s="511">
        <v>1394</v>
      </c>
      <c r="IN174" s="511">
        <v>1304</v>
      </c>
      <c r="IO174" s="511">
        <v>860</v>
      </c>
      <c r="IP174" s="512">
        <v>489</v>
      </c>
      <c r="IQ174" s="512">
        <v>882</v>
      </c>
      <c r="IR174" s="512">
        <v>543</v>
      </c>
      <c r="IS174" s="512">
        <v>411</v>
      </c>
      <c r="IT174" s="513"/>
      <c r="IU174" s="554">
        <v>3372.9395580596761</v>
      </c>
      <c r="IV174" s="555">
        <v>3704.3230456760834</v>
      </c>
      <c r="IW174" s="555">
        <v>3342.4044551365223</v>
      </c>
      <c r="IX174" s="555">
        <v>2599.1131560355448</v>
      </c>
      <c r="IY174" s="556">
        <v>2320.6245552046862</v>
      </c>
      <c r="IZ174" s="556">
        <v>2138.1946698402398</v>
      </c>
      <c r="JA174" s="556">
        <v>9580.1503125147701</v>
      </c>
      <c r="JB174" s="556">
        <v>1724.3528178359079</v>
      </c>
      <c r="JC174" s="557"/>
      <c r="JD174" s="558">
        <v>850.68487929284004</v>
      </c>
      <c r="JE174" s="559">
        <v>798.13825803102668</v>
      </c>
      <c r="JF174" s="559">
        <v>750.12098725600902</v>
      </c>
      <c r="JG174" s="559">
        <v>630.16334543956998</v>
      </c>
      <c r="JH174" s="559">
        <v>413.77139934840835</v>
      </c>
      <c r="JI174" s="560">
        <v>364.60023801795955</v>
      </c>
      <c r="JJ174" s="560">
        <v>420.68596901395136</v>
      </c>
      <c r="JK174" s="560">
        <v>353.74159634601426</v>
      </c>
      <c r="JL174" s="557"/>
      <c r="JM174" s="558">
        <v>1912.7415615871598</v>
      </c>
      <c r="JN174" s="559">
        <v>1880.2061015248585</v>
      </c>
      <c r="JO174" s="559">
        <v>1793.4168905223144</v>
      </c>
      <c r="JP174" s="559">
        <v>1595.4670841720717</v>
      </c>
      <c r="JQ174" s="559">
        <v>1279.9376303093809</v>
      </c>
      <c r="JR174" s="560">
        <v>1113.9961772873166</v>
      </c>
      <c r="JS174" s="560">
        <v>1113.7088358597521</v>
      </c>
      <c r="JT174" s="560">
        <v>740.84120851325895</v>
      </c>
      <c r="JU174" s="557"/>
      <c r="JV174" s="558">
        <v>613.67125100921373</v>
      </c>
      <c r="JW174" s="559">
        <v>573.08486881756392</v>
      </c>
      <c r="JX174" s="559">
        <v>567.06200859886235</v>
      </c>
      <c r="JY174" s="559">
        <v>409.3399083334221</v>
      </c>
      <c r="JZ174" s="559">
        <v>173.09019644306798</v>
      </c>
      <c r="KA174" s="560">
        <v>165.5306718597858</v>
      </c>
      <c r="KB174" s="560">
        <v>138.16825257156569</v>
      </c>
      <c r="KC174" s="560">
        <v>122.06834360955726</v>
      </c>
      <c r="KD174" s="557"/>
    </row>
    <row r="175" spans="1:290" ht="13.5" thickBot="1" x14ac:dyDescent="0.25">
      <c r="A175" s="249" t="s">
        <v>1148</v>
      </c>
      <c r="B175" s="200" t="s">
        <v>1148</v>
      </c>
      <c r="C175" s="481">
        <v>1</v>
      </c>
      <c r="D175" s="482">
        <v>1</v>
      </c>
      <c r="E175" s="482"/>
      <c r="F175" s="482"/>
      <c r="G175" s="482"/>
      <c r="H175" s="483"/>
      <c r="I175" s="483"/>
      <c r="J175" s="483"/>
      <c r="K175" s="484"/>
      <c r="L175" s="481">
        <v>1</v>
      </c>
      <c r="M175" s="482">
        <v>1</v>
      </c>
      <c r="N175" s="482"/>
      <c r="O175" s="482"/>
      <c r="P175" s="482"/>
      <c r="Q175" s="483"/>
      <c r="R175" s="483"/>
      <c r="S175" s="483"/>
      <c r="T175" s="484"/>
      <c r="U175" s="481"/>
      <c r="V175" s="482"/>
      <c r="W175" s="482"/>
      <c r="X175" s="482"/>
      <c r="Y175" s="482"/>
      <c r="Z175" s="483"/>
      <c r="AA175" s="483"/>
      <c r="AB175" s="483"/>
      <c r="AC175" s="484"/>
      <c r="AD175" s="481">
        <v>5</v>
      </c>
      <c r="AE175" s="482">
        <v>1</v>
      </c>
      <c r="AF175" s="482">
        <v>3</v>
      </c>
      <c r="AG175" s="482">
        <v>1</v>
      </c>
      <c r="AH175" s="482">
        <v>10</v>
      </c>
      <c r="AI175" s="483">
        <v>5</v>
      </c>
      <c r="AJ175" s="483">
        <v>8</v>
      </c>
      <c r="AK175" s="483">
        <v>7</v>
      </c>
      <c r="AL175" s="484"/>
      <c r="AM175" s="481">
        <v>3</v>
      </c>
      <c r="AN175" s="482">
        <v>1</v>
      </c>
      <c r="AO175" s="482">
        <v>1</v>
      </c>
      <c r="AP175" s="482">
        <v>1</v>
      </c>
      <c r="AQ175" s="482">
        <v>4</v>
      </c>
      <c r="AR175" s="483">
        <v>3</v>
      </c>
      <c r="AS175" s="483">
        <v>6</v>
      </c>
      <c r="AT175" s="483">
        <v>5</v>
      </c>
      <c r="AU175" s="484"/>
      <c r="AV175" s="481"/>
      <c r="AW175" s="482"/>
      <c r="AX175" s="482"/>
      <c r="AY175" s="482"/>
      <c r="AZ175" s="482"/>
      <c r="BA175" s="483"/>
      <c r="BB175" s="483"/>
      <c r="BC175" s="483"/>
      <c r="BD175" s="484"/>
      <c r="BE175" s="481">
        <v>1</v>
      </c>
      <c r="BF175" s="482">
        <v>1</v>
      </c>
      <c r="BG175" s="482"/>
      <c r="BH175" s="482"/>
      <c r="BI175" s="482"/>
      <c r="BJ175" s="483"/>
      <c r="BK175" s="483">
        <v>1</v>
      </c>
      <c r="BL175" s="483">
        <v>1</v>
      </c>
      <c r="BM175" s="484"/>
      <c r="BN175" s="481">
        <v>2</v>
      </c>
      <c r="BO175" s="482"/>
      <c r="BP175" s="482"/>
      <c r="BQ175" s="482">
        <v>1</v>
      </c>
      <c r="BR175" s="482"/>
      <c r="BS175" s="483"/>
      <c r="BT175" s="483">
        <v>1</v>
      </c>
      <c r="BU175" s="483">
        <v>4</v>
      </c>
      <c r="BV175" s="484"/>
      <c r="BW175" s="481">
        <v>3</v>
      </c>
      <c r="BX175" s="482"/>
      <c r="BY175" s="482">
        <v>3</v>
      </c>
      <c r="BZ175" s="482">
        <v>2</v>
      </c>
      <c r="CA175" s="482">
        <v>3</v>
      </c>
      <c r="CB175" s="483">
        <v>1</v>
      </c>
      <c r="CC175" s="483">
        <v>1</v>
      </c>
      <c r="CD175" s="483">
        <v>1</v>
      </c>
      <c r="CE175" s="484"/>
      <c r="CF175" s="481">
        <v>1</v>
      </c>
      <c r="CG175" s="482">
        <v>1</v>
      </c>
      <c r="CH175" s="482">
        <v>1</v>
      </c>
      <c r="CI175" s="482"/>
      <c r="CJ175" s="482"/>
      <c r="CK175" s="483"/>
      <c r="CL175" s="483"/>
      <c r="CM175" s="483"/>
      <c r="CN175" s="484"/>
      <c r="CO175" s="481">
        <v>1</v>
      </c>
      <c r="CP175" s="482"/>
      <c r="CQ175" s="482"/>
      <c r="CR175" s="482">
        <v>1</v>
      </c>
      <c r="CS175" s="482">
        <v>1</v>
      </c>
      <c r="CT175" s="483">
        <v>1</v>
      </c>
      <c r="CU175" s="483"/>
      <c r="CV175" s="483"/>
      <c r="CW175" s="484"/>
      <c r="CX175" s="481">
        <v>66</v>
      </c>
      <c r="CY175" s="482">
        <v>73</v>
      </c>
      <c r="CZ175" s="482">
        <v>45</v>
      </c>
      <c r="DA175" s="482">
        <v>61</v>
      </c>
      <c r="DB175" s="482">
        <v>81</v>
      </c>
      <c r="DC175" s="483">
        <v>89</v>
      </c>
      <c r="DD175" s="483">
        <v>81</v>
      </c>
      <c r="DE175" s="483">
        <v>69</v>
      </c>
      <c r="DF175" s="484"/>
      <c r="DG175" s="481">
        <v>3</v>
      </c>
      <c r="DH175" s="482">
        <v>6</v>
      </c>
      <c r="DI175" s="482">
        <v>2</v>
      </c>
      <c r="DJ175" s="482">
        <v>7</v>
      </c>
      <c r="DK175" s="482">
        <v>10</v>
      </c>
      <c r="DL175" s="483">
        <v>7</v>
      </c>
      <c r="DM175" s="483">
        <v>2</v>
      </c>
      <c r="DN175" s="483"/>
      <c r="DO175" s="484"/>
      <c r="DP175" s="481">
        <v>1</v>
      </c>
      <c r="DQ175" s="482">
        <v>1</v>
      </c>
      <c r="DR175" s="482"/>
      <c r="DS175" s="482"/>
      <c r="DT175" s="482">
        <v>1</v>
      </c>
      <c r="DU175" s="483">
        <v>2</v>
      </c>
      <c r="DV175" s="483"/>
      <c r="DW175" s="483">
        <v>4</v>
      </c>
      <c r="DX175" s="484"/>
      <c r="DY175" s="481">
        <v>2</v>
      </c>
      <c r="DZ175" s="482">
        <v>1</v>
      </c>
      <c r="EA175" s="482">
        <v>3</v>
      </c>
      <c r="EB175" s="482">
        <v>3</v>
      </c>
      <c r="EC175" s="482"/>
      <c r="ED175" s="483">
        <v>8</v>
      </c>
      <c r="EE175" s="483">
        <v>12</v>
      </c>
      <c r="EF175" s="483">
        <v>14</v>
      </c>
      <c r="EG175" s="484"/>
      <c r="EH175" s="481"/>
      <c r="EI175" s="482"/>
      <c r="EJ175" s="482">
        <v>1</v>
      </c>
      <c r="EK175" s="482"/>
      <c r="EL175" s="482">
        <v>3</v>
      </c>
      <c r="EM175" s="483"/>
      <c r="EN175" s="483">
        <v>2</v>
      </c>
      <c r="EO175" s="483"/>
      <c r="EP175" s="484"/>
      <c r="EQ175" s="481">
        <v>1</v>
      </c>
      <c r="ER175" s="482"/>
      <c r="ES175" s="482">
        <v>1</v>
      </c>
      <c r="ET175" s="482"/>
      <c r="EU175" s="482"/>
      <c r="EV175" s="483"/>
      <c r="EW175" s="483">
        <v>2</v>
      </c>
      <c r="EX175" s="483"/>
      <c r="EY175" s="484"/>
      <c r="EZ175" s="481"/>
      <c r="FA175" s="482"/>
      <c r="FB175" s="482"/>
      <c r="FC175" s="482"/>
      <c r="FD175" s="482">
        <v>1</v>
      </c>
      <c r="FE175" s="483"/>
      <c r="FF175" s="483"/>
      <c r="FG175" s="483"/>
      <c r="FH175" s="484"/>
      <c r="FI175" s="481">
        <v>2</v>
      </c>
      <c r="FJ175" s="482"/>
      <c r="FK175" s="482"/>
      <c r="FL175" s="482"/>
      <c r="FM175" s="482">
        <v>4</v>
      </c>
      <c r="FN175" s="483"/>
      <c r="FO175" s="483">
        <v>1</v>
      </c>
      <c r="FP175" s="483">
        <v>1</v>
      </c>
      <c r="FQ175" s="484"/>
      <c r="FR175" s="481"/>
      <c r="FS175" s="482">
        <v>4</v>
      </c>
      <c r="FT175" s="482">
        <v>2</v>
      </c>
      <c r="FU175" s="482"/>
      <c r="FV175" s="482">
        <v>2</v>
      </c>
      <c r="FW175" s="483">
        <v>1</v>
      </c>
      <c r="FX175" s="483">
        <v>2</v>
      </c>
      <c r="FY175" s="483">
        <v>1</v>
      </c>
      <c r="FZ175" s="484"/>
      <c r="GA175" s="481">
        <v>1</v>
      </c>
      <c r="GB175" s="482">
        <v>1</v>
      </c>
      <c r="GC175" s="482"/>
      <c r="GD175" s="482">
        <v>1</v>
      </c>
      <c r="GE175" s="482"/>
      <c r="GF175" s="483">
        <v>3</v>
      </c>
      <c r="GG175" s="483"/>
      <c r="GH175" s="483">
        <v>3</v>
      </c>
      <c r="GI175" s="484"/>
      <c r="GJ175" s="481">
        <v>84</v>
      </c>
      <c r="GK175" s="482">
        <v>82</v>
      </c>
      <c r="GL175" s="482">
        <v>56</v>
      </c>
      <c r="GM175" s="482">
        <v>67</v>
      </c>
      <c r="GN175" s="482">
        <v>105</v>
      </c>
      <c r="GO175" s="483">
        <v>100</v>
      </c>
      <c r="GP175" s="483">
        <v>99</v>
      </c>
      <c r="GQ175" s="483">
        <v>87</v>
      </c>
      <c r="GR175" s="484"/>
      <c r="GS175" s="481">
        <v>24</v>
      </c>
      <c r="GT175" s="482">
        <v>29</v>
      </c>
      <c r="GU175" s="482">
        <v>25</v>
      </c>
      <c r="GV175" s="482">
        <v>20</v>
      </c>
      <c r="GW175" s="482">
        <v>29</v>
      </c>
      <c r="GX175" s="483">
        <v>9</v>
      </c>
      <c r="GY175" s="483">
        <v>18</v>
      </c>
      <c r="GZ175" s="483">
        <v>26</v>
      </c>
      <c r="HA175" s="484"/>
      <c r="HB175" s="481"/>
      <c r="HC175" s="482"/>
      <c r="HD175" s="482"/>
      <c r="HE175" s="482">
        <v>1</v>
      </c>
      <c r="HF175" s="482">
        <v>1</v>
      </c>
      <c r="HG175" s="483"/>
      <c r="HH175" s="483"/>
      <c r="HI175" s="483"/>
      <c r="HJ175" s="484"/>
      <c r="HK175" s="481"/>
      <c r="HL175" s="482"/>
      <c r="HM175" s="482"/>
      <c r="HN175" s="482"/>
      <c r="HO175" s="482"/>
      <c r="HP175" s="483"/>
      <c r="HQ175" s="483"/>
      <c r="HR175" s="483"/>
      <c r="HS175" s="484"/>
      <c r="HT175" s="481">
        <v>36</v>
      </c>
      <c r="HU175" s="482">
        <v>40</v>
      </c>
      <c r="HV175" s="482">
        <v>33</v>
      </c>
      <c r="HW175" s="482">
        <v>54</v>
      </c>
      <c r="HX175" s="482">
        <v>40</v>
      </c>
      <c r="HY175" s="483">
        <v>17</v>
      </c>
      <c r="HZ175" s="483">
        <v>34</v>
      </c>
      <c r="IA175" s="483">
        <v>38</v>
      </c>
      <c r="IB175" s="484"/>
      <c r="IC175" s="481">
        <v>312</v>
      </c>
      <c r="ID175" s="482">
        <v>213</v>
      </c>
      <c r="IE175" s="482">
        <v>215</v>
      </c>
      <c r="IF175" s="482">
        <v>282</v>
      </c>
      <c r="IG175" s="482">
        <v>326</v>
      </c>
      <c r="IH175" s="483">
        <v>384</v>
      </c>
      <c r="II175" s="483">
        <v>468</v>
      </c>
      <c r="IJ175" s="483">
        <v>443</v>
      </c>
      <c r="IK175" s="484"/>
      <c r="IL175" s="481">
        <v>7</v>
      </c>
      <c r="IM175" s="482">
        <v>7</v>
      </c>
      <c r="IN175" s="482">
        <v>7</v>
      </c>
      <c r="IO175" s="482">
        <v>3</v>
      </c>
      <c r="IP175" s="482">
        <v>4</v>
      </c>
      <c r="IQ175" s="483">
        <v>20</v>
      </c>
      <c r="IR175" s="483">
        <v>31</v>
      </c>
      <c r="IS175" s="483">
        <v>20</v>
      </c>
      <c r="IT175" s="484"/>
      <c r="IU175" s="561" t="s">
        <v>6</v>
      </c>
      <c r="IV175" s="562" t="s">
        <v>6</v>
      </c>
      <c r="IW175" s="562" t="s">
        <v>6</v>
      </c>
      <c r="IX175" s="562" t="s">
        <v>6</v>
      </c>
      <c r="IY175" s="562" t="s">
        <v>6</v>
      </c>
      <c r="IZ175" s="563" t="s">
        <v>6</v>
      </c>
      <c r="JA175" s="563" t="s">
        <v>6</v>
      </c>
      <c r="JB175" s="563" t="s">
        <v>6</v>
      </c>
      <c r="JC175" s="564"/>
      <c r="JD175" s="565" t="s">
        <v>6</v>
      </c>
      <c r="JE175" s="566" t="s">
        <v>6</v>
      </c>
      <c r="JF175" s="566" t="s">
        <v>6</v>
      </c>
      <c r="JG175" s="566" t="s">
        <v>6</v>
      </c>
      <c r="JH175" s="566" t="s">
        <v>6</v>
      </c>
      <c r="JI175" s="567" t="s">
        <v>6</v>
      </c>
      <c r="JJ175" s="567" t="s">
        <v>6</v>
      </c>
      <c r="JK175" s="567" t="s">
        <v>6</v>
      </c>
      <c r="JL175" s="564"/>
      <c r="JM175" s="565" t="s">
        <v>6</v>
      </c>
      <c r="JN175" s="566" t="s">
        <v>6</v>
      </c>
      <c r="JO175" s="566" t="s">
        <v>6</v>
      </c>
      <c r="JP175" s="566" t="s">
        <v>6</v>
      </c>
      <c r="JQ175" s="566" t="s">
        <v>6</v>
      </c>
      <c r="JR175" s="567" t="s">
        <v>6</v>
      </c>
      <c r="JS175" s="567" t="s">
        <v>6</v>
      </c>
      <c r="JT175" s="567" t="s">
        <v>6</v>
      </c>
      <c r="JU175" s="564"/>
      <c r="JV175" s="565" t="s">
        <v>6</v>
      </c>
      <c r="JW175" s="566" t="s">
        <v>6</v>
      </c>
      <c r="JX175" s="566" t="s">
        <v>6</v>
      </c>
      <c r="JY175" s="566" t="s">
        <v>6</v>
      </c>
      <c r="JZ175" s="566" t="s">
        <v>6</v>
      </c>
      <c r="KA175" s="567" t="s">
        <v>6</v>
      </c>
      <c r="KB175" s="567" t="s">
        <v>6</v>
      </c>
      <c r="KC175" s="567" t="s">
        <v>6</v>
      </c>
      <c r="KD175" s="564"/>
    </row>
    <row r="176" spans="1:290" ht="13.5" thickBot="1" x14ac:dyDescent="0.25">
      <c r="A176" s="506" t="s">
        <v>1072</v>
      </c>
      <c r="B176" s="675" t="s">
        <v>1072</v>
      </c>
      <c r="C176" s="500">
        <v>306</v>
      </c>
      <c r="D176" s="501">
        <v>323</v>
      </c>
      <c r="E176" s="501">
        <v>239</v>
      </c>
      <c r="F176" s="501">
        <v>257</v>
      </c>
      <c r="G176" s="501">
        <v>253</v>
      </c>
      <c r="H176" s="502">
        <v>202</v>
      </c>
      <c r="I176" s="502">
        <v>219</v>
      </c>
      <c r="J176" s="502">
        <v>175</v>
      </c>
      <c r="K176" s="514"/>
      <c r="L176" s="500">
        <v>130</v>
      </c>
      <c r="M176" s="501">
        <v>140</v>
      </c>
      <c r="N176" s="501">
        <v>110</v>
      </c>
      <c r="O176" s="501">
        <v>133</v>
      </c>
      <c r="P176" s="501">
        <v>126</v>
      </c>
      <c r="Q176" s="502">
        <v>96</v>
      </c>
      <c r="R176" s="502">
        <v>96</v>
      </c>
      <c r="S176" s="502">
        <v>90</v>
      </c>
      <c r="T176" s="514"/>
      <c r="U176" s="500">
        <v>140</v>
      </c>
      <c r="V176" s="501">
        <v>130</v>
      </c>
      <c r="W176" s="501">
        <v>108</v>
      </c>
      <c r="X176" s="501">
        <v>103</v>
      </c>
      <c r="Y176" s="501">
        <v>105</v>
      </c>
      <c r="Z176" s="502">
        <v>86</v>
      </c>
      <c r="AA176" s="502">
        <v>96</v>
      </c>
      <c r="AB176" s="502">
        <v>69</v>
      </c>
      <c r="AC176" s="514"/>
      <c r="AD176" s="500">
        <v>14391</v>
      </c>
      <c r="AE176" s="501">
        <v>14088</v>
      </c>
      <c r="AF176" s="501">
        <v>13846</v>
      </c>
      <c r="AG176" s="501">
        <v>13220</v>
      </c>
      <c r="AH176" s="501">
        <v>13304</v>
      </c>
      <c r="AI176" s="502">
        <v>12472</v>
      </c>
      <c r="AJ176" s="502">
        <v>11494</v>
      </c>
      <c r="AK176" s="502">
        <v>10596</v>
      </c>
      <c r="AL176" s="514"/>
      <c r="AM176" s="500">
        <v>8075</v>
      </c>
      <c r="AN176" s="501">
        <v>7010</v>
      </c>
      <c r="AO176" s="501">
        <v>6848</v>
      </c>
      <c r="AP176" s="501">
        <v>7184</v>
      </c>
      <c r="AQ176" s="501">
        <v>6518</v>
      </c>
      <c r="AR176" s="502">
        <v>6145</v>
      </c>
      <c r="AS176" s="502">
        <v>5537</v>
      </c>
      <c r="AT176" s="502">
        <v>5024</v>
      </c>
      <c r="AU176" s="514"/>
      <c r="AV176" s="500">
        <v>34</v>
      </c>
      <c r="AW176" s="501">
        <v>29</v>
      </c>
      <c r="AX176" s="501">
        <v>19</v>
      </c>
      <c r="AY176" s="501">
        <v>21</v>
      </c>
      <c r="AZ176" s="501">
        <v>22</v>
      </c>
      <c r="BA176" s="502">
        <v>14</v>
      </c>
      <c r="BB176" s="502">
        <v>23</v>
      </c>
      <c r="BC176" s="502">
        <v>21</v>
      </c>
      <c r="BD176" s="514"/>
      <c r="BE176" s="500">
        <v>1962</v>
      </c>
      <c r="BF176" s="501">
        <v>2014</v>
      </c>
      <c r="BG176" s="501">
        <v>1690</v>
      </c>
      <c r="BH176" s="501">
        <v>1567</v>
      </c>
      <c r="BI176" s="501">
        <v>1478</v>
      </c>
      <c r="BJ176" s="502">
        <v>1603</v>
      </c>
      <c r="BK176" s="502">
        <v>1415</v>
      </c>
      <c r="BL176" s="502">
        <v>1244</v>
      </c>
      <c r="BM176" s="514"/>
      <c r="BN176" s="500">
        <v>152</v>
      </c>
      <c r="BO176" s="501">
        <v>153</v>
      </c>
      <c r="BP176" s="501">
        <v>188</v>
      </c>
      <c r="BQ176" s="501">
        <v>244</v>
      </c>
      <c r="BR176" s="501">
        <v>360</v>
      </c>
      <c r="BS176" s="502">
        <v>657</v>
      </c>
      <c r="BT176" s="502">
        <v>349</v>
      </c>
      <c r="BU176" s="502">
        <v>178</v>
      </c>
      <c r="BV176" s="514"/>
      <c r="BW176" s="500">
        <v>13204</v>
      </c>
      <c r="BX176" s="501">
        <v>12674</v>
      </c>
      <c r="BY176" s="501">
        <v>12806</v>
      </c>
      <c r="BZ176" s="501">
        <v>12970</v>
      </c>
      <c r="CA176" s="501">
        <v>13533</v>
      </c>
      <c r="CB176" s="502">
        <v>12622</v>
      </c>
      <c r="CC176" s="502">
        <v>11451</v>
      </c>
      <c r="CD176" s="502">
        <v>10477</v>
      </c>
      <c r="CE176" s="514"/>
      <c r="CF176" s="500">
        <v>804</v>
      </c>
      <c r="CG176" s="501">
        <v>698</v>
      </c>
      <c r="CH176" s="501">
        <v>633</v>
      </c>
      <c r="CI176" s="501">
        <v>595</v>
      </c>
      <c r="CJ176" s="501">
        <v>546</v>
      </c>
      <c r="CK176" s="502">
        <v>498</v>
      </c>
      <c r="CL176" s="502">
        <v>401</v>
      </c>
      <c r="CM176" s="502">
        <v>345</v>
      </c>
      <c r="CN176" s="514"/>
      <c r="CO176" s="500">
        <v>699</v>
      </c>
      <c r="CP176" s="501">
        <v>639</v>
      </c>
      <c r="CQ176" s="501">
        <v>490</v>
      </c>
      <c r="CR176" s="501">
        <v>448</v>
      </c>
      <c r="CS176" s="501">
        <v>417</v>
      </c>
      <c r="CT176" s="502">
        <v>440</v>
      </c>
      <c r="CU176" s="502">
        <v>463</v>
      </c>
      <c r="CV176" s="502">
        <v>613</v>
      </c>
      <c r="CW176" s="514"/>
      <c r="CX176" s="500">
        <v>185068</v>
      </c>
      <c r="CY176" s="501">
        <v>181990</v>
      </c>
      <c r="CZ176" s="501">
        <v>184831</v>
      </c>
      <c r="DA176" s="501">
        <v>167488</v>
      </c>
      <c r="DB176" s="501">
        <v>141424</v>
      </c>
      <c r="DC176" s="502">
        <v>111326</v>
      </c>
      <c r="DD176" s="502">
        <v>92072</v>
      </c>
      <c r="DE176" s="502">
        <v>78225</v>
      </c>
      <c r="DF176" s="514"/>
      <c r="DG176" s="500">
        <v>4778</v>
      </c>
      <c r="DH176" s="501">
        <v>4951</v>
      </c>
      <c r="DI176" s="501">
        <v>5637</v>
      </c>
      <c r="DJ176" s="501">
        <v>4683</v>
      </c>
      <c r="DK176" s="501">
        <v>3796</v>
      </c>
      <c r="DL176" s="502">
        <v>2414</v>
      </c>
      <c r="DM176" s="502">
        <v>1573</v>
      </c>
      <c r="DN176" s="502">
        <v>1356</v>
      </c>
      <c r="DO176" s="514"/>
      <c r="DP176" s="500">
        <v>12116</v>
      </c>
      <c r="DQ176" s="501">
        <v>10713</v>
      </c>
      <c r="DR176" s="501">
        <v>10270</v>
      </c>
      <c r="DS176" s="501">
        <v>8215</v>
      </c>
      <c r="DT176" s="501">
        <v>6775</v>
      </c>
      <c r="DU176" s="502">
        <v>5019</v>
      </c>
      <c r="DV176" s="502">
        <v>4125</v>
      </c>
      <c r="DW176" s="502">
        <v>3296</v>
      </c>
      <c r="DX176" s="514"/>
      <c r="DY176" s="500">
        <v>21976</v>
      </c>
      <c r="DZ176" s="501">
        <v>22534</v>
      </c>
      <c r="EA176" s="501">
        <v>23738</v>
      </c>
      <c r="EB176" s="501">
        <v>23552</v>
      </c>
      <c r="EC176" s="501">
        <v>24477</v>
      </c>
      <c r="ED176" s="502">
        <v>20285</v>
      </c>
      <c r="EE176" s="502">
        <v>16573</v>
      </c>
      <c r="EF176" s="502">
        <v>12323</v>
      </c>
      <c r="EG176" s="514"/>
      <c r="EH176" s="500">
        <v>3385</v>
      </c>
      <c r="EI176" s="501">
        <v>3202</v>
      </c>
      <c r="EJ176" s="501">
        <v>3036</v>
      </c>
      <c r="EK176" s="501">
        <v>2294</v>
      </c>
      <c r="EL176" s="501">
        <v>1952</v>
      </c>
      <c r="EM176" s="502">
        <v>1440</v>
      </c>
      <c r="EN176" s="502">
        <v>1133</v>
      </c>
      <c r="EO176" s="502">
        <v>853</v>
      </c>
      <c r="EP176" s="514"/>
      <c r="EQ176" s="500">
        <v>1039</v>
      </c>
      <c r="ER176" s="501">
        <v>1482</v>
      </c>
      <c r="ES176" s="501">
        <v>1948</v>
      </c>
      <c r="ET176" s="501">
        <v>2012</v>
      </c>
      <c r="EU176" s="501">
        <v>1932</v>
      </c>
      <c r="EV176" s="502">
        <v>1923</v>
      </c>
      <c r="EW176" s="502">
        <v>1769</v>
      </c>
      <c r="EX176" s="502">
        <v>1533</v>
      </c>
      <c r="EY176" s="514"/>
      <c r="EZ176" s="500">
        <v>858</v>
      </c>
      <c r="FA176" s="501">
        <v>726</v>
      </c>
      <c r="FB176" s="501">
        <v>1014</v>
      </c>
      <c r="FC176" s="501">
        <v>639</v>
      </c>
      <c r="FD176" s="501">
        <v>528</v>
      </c>
      <c r="FE176" s="502">
        <v>385</v>
      </c>
      <c r="FF176" s="502">
        <v>331</v>
      </c>
      <c r="FG176" s="502">
        <v>249</v>
      </c>
      <c r="FH176" s="514"/>
      <c r="FI176" s="500">
        <v>17634</v>
      </c>
      <c r="FJ176" s="501">
        <v>16100</v>
      </c>
      <c r="FK176" s="501">
        <v>12590</v>
      </c>
      <c r="FL176" s="501">
        <v>9189</v>
      </c>
      <c r="FM176" s="501">
        <v>8414</v>
      </c>
      <c r="FN176" s="502">
        <v>7276</v>
      </c>
      <c r="FO176" s="502">
        <v>6873</v>
      </c>
      <c r="FP176" s="502">
        <v>6459</v>
      </c>
      <c r="FQ176" s="514"/>
      <c r="FR176" s="500">
        <v>1076</v>
      </c>
      <c r="FS176" s="501">
        <v>1080</v>
      </c>
      <c r="FT176" s="501">
        <v>780</v>
      </c>
      <c r="FU176" s="501">
        <v>796</v>
      </c>
      <c r="FV176" s="501">
        <v>762</v>
      </c>
      <c r="FW176" s="502">
        <v>708</v>
      </c>
      <c r="FX176" s="502">
        <v>429</v>
      </c>
      <c r="FY176" s="502">
        <v>380</v>
      </c>
      <c r="FZ176" s="514"/>
      <c r="GA176" s="500">
        <v>1933</v>
      </c>
      <c r="GB176" s="501">
        <v>1602</v>
      </c>
      <c r="GC176" s="501">
        <v>1322</v>
      </c>
      <c r="GD176" s="501">
        <v>1054</v>
      </c>
      <c r="GE176" s="501">
        <v>1112</v>
      </c>
      <c r="GF176" s="502">
        <v>982</v>
      </c>
      <c r="GG176" s="502">
        <v>949</v>
      </c>
      <c r="GH176" s="502">
        <v>962</v>
      </c>
      <c r="GI176" s="514"/>
      <c r="GJ176" s="500">
        <v>242511</v>
      </c>
      <c r="GK176" s="501">
        <v>236771</v>
      </c>
      <c r="GL176" s="501">
        <v>235413</v>
      </c>
      <c r="GM176" s="501">
        <v>212773</v>
      </c>
      <c r="GN176" s="501">
        <v>186015</v>
      </c>
      <c r="GO176" s="502">
        <v>152534</v>
      </c>
      <c r="GP176" s="502">
        <v>129348</v>
      </c>
      <c r="GQ176" s="502">
        <v>112289</v>
      </c>
      <c r="GR176" s="514"/>
      <c r="GS176" s="500">
        <v>90528</v>
      </c>
      <c r="GT176" s="501">
        <v>86626</v>
      </c>
      <c r="GU176" s="501">
        <v>85462</v>
      </c>
      <c r="GV176" s="501">
        <v>67316</v>
      </c>
      <c r="GW176" s="501">
        <v>41419</v>
      </c>
      <c r="GX176" s="502">
        <v>33471</v>
      </c>
      <c r="GY176" s="502">
        <v>29344</v>
      </c>
      <c r="GZ176" s="502">
        <v>25882</v>
      </c>
      <c r="HA176" s="514"/>
      <c r="HB176" s="500">
        <v>838</v>
      </c>
      <c r="HC176" s="501">
        <v>717</v>
      </c>
      <c r="HD176" s="501">
        <v>692</v>
      </c>
      <c r="HE176" s="501">
        <v>597</v>
      </c>
      <c r="HF176" s="501">
        <v>661</v>
      </c>
      <c r="HG176" s="502">
        <v>578</v>
      </c>
      <c r="HH176" s="502">
        <v>565</v>
      </c>
      <c r="HI176" s="502">
        <v>466</v>
      </c>
      <c r="HJ176" s="514"/>
      <c r="HK176" s="500">
        <v>424</v>
      </c>
      <c r="HL176" s="501">
        <v>372</v>
      </c>
      <c r="HM176" s="501">
        <v>242</v>
      </c>
      <c r="HN176" s="501">
        <v>230</v>
      </c>
      <c r="HO176" s="501">
        <v>215</v>
      </c>
      <c r="HP176" s="502">
        <v>209</v>
      </c>
      <c r="HQ176" s="502">
        <v>170</v>
      </c>
      <c r="HR176" s="502">
        <v>179</v>
      </c>
      <c r="HS176" s="514"/>
      <c r="HT176" s="500">
        <v>115110</v>
      </c>
      <c r="HU176" s="501">
        <v>106137</v>
      </c>
      <c r="HV176" s="501">
        <v>102976</v>
      </c>
      <c r="HW176" s="501">
        <v>92301</v>
      </c>
      <c r="HX176" s="501">
        <v>63917</v>
      </c>
      <c r="HY176" s="502">
        <v>55285</v>
      </c>
      <c r="HZ176" s="502">
        <v>53214</v>
      </c>
      <c r="IA176" s="502">
        <v>51166</v>
      </c>
      <c r="IB176" s="514"/>
      <c r="IC176" s="500">
        <v>428785</v>
      </c>
      <c r="ID176" s="501">
        <v>431935</v>
      </c>
      <c r="IE176" s="501">
        <v>451501</v>
      </c>
      <c r="IF176" s="501">
        <v>358810</v>
      </c>
      <c r="IG176" s="501">
        <v>309394</v>
      </c>
      <c r="IH176" s="502">
        <v>267628</v>
      </c>
      <c r="II176" s="502">
        <v>278263</v>
      </c>
      <c r="IJ176" s="502">
        <v>215713</v>
      </c>
      <c r="IK176" s="514"/>
      <c r="IL176" s="500">
        <v>44245</v>
      </c>
      <c r="IM176" s="501">
        <v>45272</v>
      </c>
      <c r="IN176" s="501">
        <v>46857</v>
      </c>
      <c r="IO176" s="501">
        <v>30080</v>
      </c>
      <c r="IP176" s="501">
        <v>18896</v>
      </c>
      <c r="IQ176" s="502">
        <v>28595</v>
      </c>
      <c r="IR176" s="502">
        <v>23496</v>
      </c>
      <c r="IS176" s="502">
        <v>17959</v>
      </c>
      <c r="IT176" s="514"/>
      <c r="IU176" s="547">
        <v>4281.7168687571921</v>
      </c>
      <c r="IV176" s="548">
        <v>4325.5259860028154</v>
      </c>
      <c r="IW176" s="548">
        <v>4534.1755064482059</v>
      </c>
      <c r="IX176" s="548">
        <v>3621.1253877614618</v>
      </c>
      <c r="IY176" s="548">
        <v>3132.3536186017222</v>
      </c>
      <c r="IZ176" s="549">
        <v>2715.499690479628</v>
      </c>
      <c r="JA176" s="549">
        <v>2830.6131386193051</v>
      </c>
      <c r="JB176" s="549">
        <v>2201.7010151812269</v>
      </c>
      <c r="JC176" s="568"/>
      <c r="JD176" s="547">
        <v>1149.4535227739786</v>
      </c>
      <c r="JE176" s="548">
        <v>1062.8875909022904</v>
      </c>
      <c r="JF176" s="548">
        <v>1034.1311690384084</v>
      </c>
      <c r="JG176" s="548">
        <v>931.50551661261034</v>
      </c>
      <c r="JH176" s="548">
        <v>647.1057817545468</v>
      </c>
      <c r="JI176" s="549">
        <v>560.95177032360687</v>
      </c>
      <c r="JJ176" s="549">
        <v>541.31612021176977</v>
      </c>
      <c r="JK176" s="549">
        <v>522.23201264069701</v>
      </c>
      <c r="JL176" s="568"/>
      <c r="JM176" s="547">
        <v>2421.6412410862681</v>
      </c>
      <c r="JN176" s="548">
        <v>2371.0954500836297</v>
      </c>
      <c r="JO176" s="548">
        <v>2364.1229111330686</v>
      </c>
      <c r="JP176" s="548">
        <v>2147.3139325274369</v>
      </c>
      <c r="JQ176" s="548">
        <v>1883.2451772309719</v>
      </c>
      <c r="JR176" s="549">
        <v>1547.6931777976131</v>
      </c>
      <c r="JS176" s="549">
        <v>1315.7845213130379</v>
      </c>
      <c r="JT176" s="549">
        <v>1146.0913588596181</v>
      </c>
      <c r="JU176" s="568"/>
      <c r="JV176" s="547">
        <v>903.98513169735668</v>
      </c>
      <c r="JW176" s="548">
        <v>867.49861452181426</v>
      </c>
      <c r="JX176" s="548">
        <v>858.24772731860287</v>
      </c>
      <c r="JY176" s="548">
        <v>679.35586132646972</v>
      </c>
      <c r="JZ176" s="548">
        <v>419.33248391651011</v>
      </c>
      <c r="KA176" s="549">
        <v>339.61502585694933</v>
      </c>
      <c r="KB176" s="549">
        <v>298.50002314229664</v>
      </c>
      <c r="KC176" s="549">
        <v>264.1677862480264</v>
      </c>
      <c r="KD176" s="568"/>
    </row>
    <row r="177" spans="1:1" x14ac:dyDescent="0.2">
      <c r="A177" s="134" t="s">
        <v>1149</v>
      </c>
    </row>
  </sheetData>
  <mergeCells count="55">
    <mergeCell ref="HB1:HJ1"/>
    <mergeCell ref="HK1:HS1"/>
    <mergeCell ref="HT1:IB1"/>
    <mergeCell ref="IC1:IK1"/>
    <mergeCell ref="GJ1:GR1"/>
    <mergeCell ref="GS1:HA1"/>
    <mergeCell ref="JV1:KD1"/>
    <mergeCell ref="IL1:IT1"/>
    <mergeCell ref="IU1:JC1"/>
    <mergeCell ref="JD1:JL1"/>
    <mergeCell ref="JM1:JU1"/>
    <mergeCell ref="A155:A161"/>
    <mergeCell ref="A162:A169"/>
    <mergeCell ref="A170:A174"/>
    <mergeCell ref="A104:A110"/>
    <mergeCell ref="A111:A124"/>
    <mergeCell ref="A125:A131"/>
    <mergeCell ref="A132:A140"/>
    <mergeCell ref="A141:A148"/>
    <mergeCell ref="A149:A154"/>
    <mergeCell ref="A96:A103"/>
    <mergeCell ref="A3:B3"/>
    <mergeCell ref="A4:A26"/>
    <mergeCell ref="A27:A32"/>
    <mergeCell ref="A33:A40"/>
    <mergeCell ref="A41:A49"/>
    <mergeCell ref="A50:A60"/>
    <mergeCell ref="A61:A67"/>
    <mergeCell ref="A68:A74"/>
    <mergeCell ref="A75:A80"/>
    <mergeCell ref="A81:A89"/>
    <mergeCell ref="A90:A95"/>
    <mergeCell ref="FR1:FZ1"/>
    <mergeCell ref="GA1:GI1"/>
    <mergeCell ref="CX1:DF1"/>
    <mergeCell ref="DG1:DO1"/>
    <mergeCell ref="DP1:DX1"/>
    <mergeCell ref="DY1:EG1"/>
    <mergeCell ref="EH1:EP1"/>
    <mergeCell ref="EQ1:EY1"/>
    <mergeCell ref="U1:AC1"/>
    <mergeCell ref="AD1:AL1"/>
    <mergeCell ref="A2:B2"/>
    <mergeCell ref="EZ1:FH1"/>
    <mergeCell ref="FI1:FQ1"/>
    <mergeCell ref="AV1:BD1"/>
    <mergeCell ref="BE1:BM1"/>
    <mergeCell ref="BN1:BV1"/>
    <mergeCell ref="BW1:CE1"/>
    <mergeCell ref="CF1:CN1"/>
    <mergeCell ref="A1:B1"/>
    <mergeCell ref="CO1:CW1"/>
    <mergeCell ref="AM1:AU1"/>
    <mergeCell ref="C1:K1"/>
    <mergeCell ref="L1:T1"/>
  </mergeCells>
  <printOptions horizontalCentered="1"/>
  <pageMargins left="0.74803149606299213" right="0.74803149606299213" top="0.98425196850393704" bottom="0.98425196850393704" header="0.51181102362204722" footer="0.51181102362204722"/>
  <pageSetup scale="85" orientation="portrait" horizontalDpi="300" verticalDpi="300" r:id="rId1"/>
  <headerFooter alignWithMargins="0">
    <oddFooter>&amp;P. oldal</oddFooter>
  </headerFooter>
  <rowBreaks count="2" manualBreakCount="2">
    <brk id="92" max="16383" man="1"/>
    <brk id="13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J20" sqref="J20"/>
    </sheetView>
  </sheetViews>
  <sheetFormatPr defaultRowHeight="12.75" x14ac:dyDescent="0.2"/>
  <cols>
    <col min="1" max="1" width="45.28515625" style="478" customWidth="1"/>
    <col min="2" max="8" width="11.85546875" style="464" customWidth="1"/>
    <col min="9" max="16384" width="9.140625" style="464"/>
  </cols>
  <sheetData>
    <row r="1" spans="1:8" ht="40.5" customHeight="1" thickBot="1" x14ac:dyDescent="0.25">
      <c r="A1" s="474" t="s">
        <v>1165</v>
      </c>
      <c r="B1" s="461" t="s">
        <v>1111</v>
      </c>
      <c r="C1" s="462" t="s">
        <v>1112</v>
      </c>
      <c r="D1" s="462" t="s">
        <v>1113</v>
      </c>
      <c r="E1" s="462" t="s">
        <v>1114</v>
      </c>
      <c r="F1" s="462" t="s">
        <v>1115</v>
      </c>
      <c r="G1" s="462" t="s">
        <v>1116</v>
      </c>
      <c r="H1" s="463" t="s">
        <v>1117</v>
      </c>
    </row>
    <row r="2" spans="1:8" ht="14.25" thickTop="1" thickBot="1" x14ac:dyDescent="0.25">
      <c r="A2" s="475" t="s">
        <v>786</v>
      </c>
      <c r="B2" s="465">
        <v>6461</v>
      </c>
      <c r="C2" s="466">
        <v>6198</v>
      </c>
      <c r="D2" s="466">
        <v>6587</v>
      </c>
      <c r="E2" s="466">
        <v>6008</v>
      </c>
      <c r="F2" s="466">
        <v>5874</v>
      </c>
      <c r="G2" s="466">
        <v>5752</v>
      </c>
      <c r="H2" s="467">
        <v>5879</v>
      </c>
    </row>
    <row r="3" spans="1:8" ht="14.25" thickTop="1" thickBot="1" x14ac:dyDescent="0.25">
      <c r="A3" s="475" t="s">
        <v>785</v>
      </c>
      <c r="B3" s="465">
        <v>180</v>
      </c>
      <c r="C3" s="466">
        <v>196</v>
      </c>
      <c r="D3" s="466">
        <v>203</v>
      </c>
      <c r="E3" s="466">
        <v>220</v>
      </c>
      <c r="F3" s="466">
        <v>234</v>
      </c>
      <c r="G3" s="466">
        <v>214</v>
      </c>
      <c r="H3" s="467">
        <v>217</v>
      </c>
    </row>
    <row r="4" spans="1:8" ht="14.25" thickTop="1" thickBot="1" x14ac:dyDescent="0.25">
      <c r="A4" s="473" t="s">
        <v>784</v>
      </c>
      <c r="B4" s="465">
        <v>394</v>
      </c>
      <c r="C4" s="466">
        <v>393</v>
      </c>
      <c r="D4" s="466">
        <v>387</v>
      </c>
      <c r="E4" s="466">
        <v>360</v>
      </c>
      <c r="F4" s="466">
        <v>386</v>
      </c>
      <c r="G4" s="466">
        <v>397</v>
      </c>
      <c r="H4" s="467">
        <v>436</v>
      </c>
    </row>
    <row r="5" spans="1:8" ht="14.25" thickTop="1" thickBot="1" x14ac:dyDescent="0.25">
      <c r="A5" s="473" t="s">
        <v>783</v>
      </c>
      <c r="B5" s="465">
        <v>343</v>
      </c>
      <c r="C5" s="466">
        <v>348</v>
      </c>
      <c r="D5" s="466">
        <v>325</v>
      </c>
      <c r="E5" s="466">
        <v>316</v>
      </c>
      <c r="F5" s="466">
        <v>323</v>
      </c>
      <c r="G5" s="466">
        <v>307</v>
      </c>
      <c r="H5" s="467">
        <v>331</v>
      </c>
    </row>
    <row r="6" spans="1:8" ht="14.25" thickTop="1" thickBot="1" x14ac:dyDescent="0.25">
      <c r="A6" s="473" t="s">
        <v>782</v>
      </c>
      <c r="B6" s="465">
        <v>370</v>
      </c>
      <c r="C6" s="466">
        <v>488</v>
      </c>
      <c r="D6" s="466">
        <v>501</v>
      </c>
      <c r="E6" s="466">
        <v>489</v>
      </c>
      <c r="F6" s="466">
        <v>517</v>
      </c>
      <c r="G6" s="466">
        <v>513</v>
      </c>
      <c r="H6" s="467">
        <v>580</v>
      </c>
    </row>
    <row r="7" spans="1:8" ht="14.25" thickTop="1" thickBot="1" x14ac:dyDescent="0.25">
      <c r="A7" s="473" t="s">
        <v>781</v>
      </c>
      <c r="B7" s="465">
        <v>549</v>
      </c>
      <c r="C7" s="466">
        <v>518</v>
      </c>
      <c r="D7" s="466">
        <v>524</v>
      </c>
      <c r="E7" s="466">
        <v>490</v>
      </c>
      <c r="F7" s="466">
        <v>456</v>
      </c>
      <c r="G7" s="466">
        <v>448</v>
      </c>
      <c r="H7" s="467">
        <v>425</v>
      </c>
    </row>
    <row r="8" spans="1:8" ht="14.25" thickTop="1" thickBot="1" x14ac:dyDescent="0.25">
      <c r="A8" s="473" t="s">
        <v>780</v>
      </c>
      <c r="B8" s="465">
        <v>311</v>
      </c>
      <c r="C8" s="466">
        <v>291</v>
      </c>
      <c r="D8" s="466">
        <v>329</v>
      </c>
      <c r="E8" s="466">
        <v>331</v>
      </c>
      <c r="F8" s="466">
        <v>326</v>
      </c>
      <c r="G8" s="466">
        <v>331</v>
      </c>
      <c r="H8" s="467">
        <v>358</v>
      </c>
    </row>
    <row r="9" spans="1:8" ht="14.25" thickTop="1" thickBot="1" x14ac:dyDescent="0.25">
      <c r="A9" s="473" t="s">
        <v>779</v>
      </c>
      <c r="B9" s="465">
        <v>390</v>
      </c>
      <c r="C9" s="466">
        <v>381</v>
      </c>
      <c r="D9" s="466">
        <v>414</v>
      </c>
      <c r="E9" s="466">
        <v>410</v>
      </c>
      <c r="F9" s="466">
        <v>402</v>
      </c>
      <c r="G9" s="466">
        <v>421</v>
      </c>
      <c r="H9" s="467">
        <v>468</v>
      </c>
    </row>
    <row r="10" spans="1:8" ht="14.25" thickTop="1" thickBot="1" x14ac:dyDescent="0.25">
      <c r="A10" s="473" t="s">
        <v>778</v>
      </c>
      <c r="B10" s="465">
        <v>239</v>
      </c>
      <c r="C10" s="466">
        <v>233</v>
      </c>
      <c r="D10" s="466">
        <v>255</v>
      </c>
      <c r="E10" s="466">
        <v>266</v>
      </c>
      <c r="F10" s="466">
        <v>273</v>
      </c>
      <c r="G10" s="466">
        <v>263</v>
      </c>
      <c r="H10" s="467">
        <v>281</v>
      </c>
    </row>
    <row r="11" spans="1:8" ht="14.25" thickTop="1" thickBot="1" x14ac:dyDescent="0.25">
      <c r="A11" s="473" t="s">
        <v>777</v>
      </c>
      <c r="B11" s="465">
        <v>530</v>
      </c>
      <c r="C11" s="466">
        <v>505</v>
      </c>
      <c r="D11" s="466">
        <v>500</v>
      </c>
      <c r="E11" s="466">
        <v>467</v>
      </c>
      <c r="F11" s="466">
        <v>455</v>
      </c>
      <c r="G11" s="466">
        <v>449</v>
      </c>
      <c r="H11" s="467">
        <v>448</v>
      </c>
    </row>
    <row r="12" spans="1:8" ht="14.25" thickTop="1" thickBot="1" x14ac:dyDescent="0.25">
      <c r="A12" s="473" t="s">
        <v>776</v>
      </c>
      <c r="B12" s="465">
        <v>141</v>
      </c>
      <c r="C12" s="466">
        <v>149</v>
      </c>
      <c r="D12" s="466">
        <v>150</v>
      </c>
      <c r="E12" s="466">
        <v>148</v>
      </c>
      <c r="F12" s="466">
        <v>150</v>
      </c>
      <c r="G12" s="466">
        <v>151</v>
      </c>
      <c r="H12" s="467">
        <v>154</v>
      </c>
    </row>
    <row r="13" spans="1:8" ht="14.25" thickTop="1" thickBot="1" x14ac:dyDescent="0.25">
      <c r="A13" s="473" t="s">
        <v>787</v>
      </c>
      <c r="B13" s="465">
        <v>117</v>
      </c>
      <c r="C13" s="466">
        <v>115</v>
      </c>
      <c r="D13" s="466">
        <v>124</v>
      </c>
      <c r="E13" s="466">
        <v>129</v>
      </c>
      <c r="F13" s="466">
        <v>142</v>
      </c>
      <c r="G13" s="466">
        <v>110</v>
      </c>
      <c r="H13" s="467">
        <v>109</v>
      </c>
    </row>
    <row r="14" spans="1:8" ht="14.25" thickTop="1" thickBot="1" x14ac:dyDescent="0.25">
      <c r="A14" s="473" t="s">
        <v>788</v>
      </c>
      <c r="B14" s="465">
        <v>1285</v>
      </c>
      <c r="C14" s="466">
        <v>1265</v>
      </c>
      <c r="D14" s="466">
        <v>1293</v>
      </c>
      <c r="E14" s="466">
        <v>1260</v>
      </c>
      <c r="F14" s="466">
        <v>1227</v>
      </c>
      <c r="G14" s="466">
        <v>1243</v>
      </c>
      <c r="H14" s="467">
        <v>1396</v>
      </c>
    </row>
    <row r="15" spans="1:8" ht="14.25" thickTop="1" thickBot="1" x14ac:dyDescent="0.25">
      <c r="A15" s="473" t="s">
        <v>789</v>
      </c>
      <c r="B15" s="465">
        <v>195</v>
      </c>
      <c r="C15" s="466">
        <v>190</v>
      </c>
      <c r="D15" s="466">
        <v>218</v>
      </c>
      <c r="E15" s="466">
        <v>225</v>
      </c>
      <c r="F15" s="466">
        <v>222</v>
      </c>
      <c r="G15" s="466">
        <v>205</v>
      </c>
      <c r="H15" s="467">
        <v>239</v>
      </c>
    </row>
    <row r="16" spans="1:8" ht="14.25" thickTop="1" thickBot="1" x14ac:dyDescent="0.25">
      <c r="A16" s="473" t="s">
        <v>790</v>
      </c>
      <c r="B16" s="465">
        <v>281</v>
      </c>
      <c r="C16" s="466">
        <v>264</v>
      </c>
      <c r="D16" s="466">
        <v>290</v>
      </c>
      <c r="E16" s="466">
        <v>308</v>
      </c>
      <c r="F16" s="466">
        <v>275</v>
      </c>
      <c r="G16" s="466">
        <v>273</v>
      </c>
      <c r="H16" s="467">
        <v>344</v>
      </c>
    </row>
    <row r="17" spans="1:8" ht="14.25" thickTop="1" thickBot="1" x14ac:dyDescent="0.25">
      <c r="A17" s="473" t="s">
        <v>791</v>
      </c>
      <c r="B17" s="465">
        <v>213</v>
      </c>
      <c r="C17" s="466">
        <v>225</v>
      </c>
      <c r="D17" s="466">
        <v>211</v>
      </c>
      <c r="E17" s="466">
        <v>195</v>
      </c>
      <c r="F17" s="466">
        <v>210</v>
      </c>
      <c r="G17" s="466">
        <v>179</v>
      </c>
      <c r="H17" s="467">
        <v>184</v>
      </c>
    </row>
    <row r="18" spans="1:8" ht="14.25" thickTop="1" thickBot="1" x14ac:dyDescent="0.25">
      <c r="A18" s="473" t="s">
        <v>792</v>
      </c>
      <c r="B18" s="465">
        <v>154</v>
      </c>
      <c r="C18" s="466">
        <v>161</v>
      </c>
      <c r="D18" s="466">
        <v>168</v>
      </c>
      <c r="E18" s="466">
        <v>158</v>
      </c>
      <c r="F18" s="466">
        <v>161</v>
      </c>
      <c r="G18" s="466">
        <v>129</v>
      </c>
      <c r="H18" s="467">
        <v>123</v>
      </c>
    </row>
    <row r="19" spans="1:8" ht="14.25" thickTop="1" thickBot="1" x14ac:dyDescent="0.25">
      <c r="A19" s="473" t="s">
        <v>793</v>
      </c>
      <c r="B19" s="465">
        <v>115</v>
      </c>
      <c r="C19" s="466">
        <v>101</v>
      </c>
      <c r="D19" s="466">
        <v>117</v>
      </c>
      <c r="E19" s="466">
        <v>110</v>
      </c>
      <c r="F19" s="466">
        <v>127</v>
      </c>
      <c r="G19" s="466">
        <v>108</v>
      </c>
      <c r="H19" s="467">
        <v>163</v>
      </c>
    </row>
    <row r="20" spans="1:8" ht="14.25" thickTop="1" thickBot="1" x14ac:dyDescent="0.25">
      <c r="A20" s="473" t="s">
        <v>794</v>
      </c>
      <c r="B20" s="465">
        <v>118</v>
      </c>
      <c r="C20" s="466">
        <v>117</v>
      </c>
      <c r="D20" s="466">
        <v>120</v>
      </c>
      <c r="E20" s="466">
        <v>125</v>
      </c>
      <c r="F20" s="466">
        <v>130</v>
      </c>
      <c r="G20" s="466">
        <v>126</v>
      </c>
      <c r="H20" s="467">
        <v>128</v>
      </c>
    </row>
    <row r="21" spans="1:8" ht="14.25" thickTop="1" thickBot="1" x14ac:dyDescent="0.25">
      <c r="A21" s="473" t="s">
        <v>795</v>
      </c>
      <c r="B21" s="465">
        <v>180</v>
      </c>
      <c r="C21" s="466">
        <v>162</v>
      </c>
      <c r="D21" s="466">
        <v>185</v>
      </c>
      <c r="E21" s="466">
        <v>171</v>
      </c>
      <c r="F21" s="466">
        <v>142</v>
      </c>
      <c r="G21" s="466">
        <v>155</v>
      </c>
      <c r="H21" s="467">
        <v>158</v>
      </c>
    </row>
    <row r="22" spans="1:8" ht="14.25" thickTop="1" thickBot="1" x14ac:dyDescent="0.25">
      <c r="A22" s="473" t="s">
        <v>614</v>
      </c>
      <c r="B22" s="465">
        <v>160</v>
      </c>
      <c r="C22" s="466">
        <v>150</v>
      </c>
      <c r="D22" s="466">
        <v>175</v>
      </c>
      <c r="E22" s="466">
        <v>169</v>
      </c>
      <c r="F22" s="466">
        <v>168</v>
      </c>
      <c r="G22" s="466">
        <v>173</v>
      </c>
      <c r="H22" s="467">
        <v>175</v>
      </c>
    </row>
    <row r="23" spans="1:8" ht="14.25" thickTop="1" thickBot="1" x14ac:dyDescent="0.25">
      <c r="A23" s="476" t="s">
        <v>830</v>
      </c>
      <c r="B23" s="468">
        <v>47</v>
      </c>
      <c r="C23" s="469">
        <v>158</v>
      </c>
      <c r="D23" s="469">
        <v>187</v>
      </c>
      <c r="E23" s="469">
        <v>186</v>
      </c>
      <c r="F23" s="469">
        <v>161</v>
      </c>
      <c r="G23" s="469">
        <v>167</v>
      </c>
      <c r="H23" s="470">
        <v>168</v>
      </c>
    </row>
    <row r="24" spans="1:8" ht="13.5" thickBot="1" x14ac:dyDescent="0.25">
      <c r="A24" s="477" t="s">
        <v>1072</v>
      </c>
      <c r="B24" s="471">
        <f t="shared" ref="B24" si="0">SUM(B2:B23)</f>
        <v>12773</v>
      </c>
      <c r="C24" s="471">
        <f t="shared" ref="C24:H24" si="1">SUM(C2:C23)</f>
        <v>12608</v>
      </c>
      <c r="D24" s="471">
        <f t="shared" si="1"/>
        <v>13263</v>
      </c>
      <c r="E24" s="471">
        <f t="shared" si="1"/>
        <v>12541</v>
      </c>
      <c r="F24" s="471">
        <f t="shared" si="1"/>
        <v>12361</v>
      </c>
      <c r="G24" s="471">
        <f t="shared" si="1"/>
        <v>12114</v>
      </c>
      <c r="H24" s="472">
        <f t="shared" si="1"/>
        <v>12764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25</vt:i4>
      </vt:variant>
      <vt:variant>
        <vt:lpstr>Névvel ellátott tartományok</vt:lpstr>
      </vt:variant>
      <vt:variant>
        <vt:i4>9</vt:i4>
      </vt:variant>
    </vt:vector>
  </HeadingPairs>
  <TitlesOfParts>
    <vt:vector size="34" baseType="lpstr">
      <vt:lpstr>alap</vt:lpstr>
      <vt:lpstr>táblázat_eljszerves</vt:lpstr>
      <vt:lpstr>diagram</vt:lpstr>
      <vt:lpstr>bcs</vt:lpstr>
      <vt:lpstr>diagram_közgyűlés</vt:lpstr>
      <vt:lpstr>táblázat_elkövetés helyes</vt:lpstr>
      <vt:lpstr>diagram_elkövhelyes</vt:lpstr>
      <vt:lpstr>kiembcs illter szerint</vt:lpstr>
      <vt:lpstr>180 napon túli</vt:lpstr>
      <vt:lpstr>illter_laknep_2005_2017</vt:lpstr>
      <vt:lpstr>RK_bcs</vt:lpstr>
      <vt:lpstr>ügyidő</vt:lpstr>
      <vt:lpstr>RK nyomered emb-káb</vt:lpstr>
      <vt:lpstr>RK nyomered lop-össz</vt:lpstr>
      <vt:lpstr>feldered_RK</vt:lpstr>
      <vt:lpstr>bírelé_vádem</vt:lpstr>
      <vt:lpstr>Bir_elé áll RK</vt:lpstr>
      <vt:lpstr>sértett</vt:lpstr>
      <vt:lpstr>bűnelkövetők</vt:lpstr>
      <vt:lpstr>országos átlag</vt:lpstr>
      <vt:lpstr>csalás</vt:lpstr>
      <vt:lpstr>khfevisszaél</vt:lpstr>
      <vt:lpstr>Határzár (2)</vt:lpstr>
      <vt:lpstr>határzár</vt:lpstr>
      <vt:lpstr>település_bcs</vt:lpstr>
      <vt:lpstr>illter_laknep_2005_2017!Nyomtatási_cím</vt:lpstr>
      <vt:lpstr>'kiembcs illter szerint'!Nyomtatási_cím</vt:lpstr>
      <vt:lpstr>bcs!Nyomtatási_terület</vt:lpstr>
      <vt:lpstr>diagram!Nyomtatási_terület</vt:lpstr>
      <vt:lpstr>diagram_elkövhelyes!Nyomtatási_terület</vt:lpstr>
      <vt:lpstr>diagram_közgyűlés!Nyomtatási_terület</vt:lpstr>
      <vt:lpstr>illter_laknep_2005_2017!Nyomtatási_terület</vt:lpstr>
      <vt:lpstr>táblázat_eljszerves!Nyomtatási_terület</vt:lpstr>
      <vt:lpstr>'táblázat_elkövetés helyes'!Nyomtatási_terület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ORFK</dc:creator>
  <cp:lastModifiedBy>Bükiné Feiner Mónika</cp:lastModifiedBy>
  <cp:lastPrinted>2019-04-17T13:16:15Z</cp:lastPrinted>
  <dcterms:created xsi:type="dcterms:W3CDTF">2017-01-24T09:03:14Z</dcterms:created>
  <dcterms:modified xsi:type="dcterms:W3CDTF">2019-05-08T13:01:59Z</dcterms:modified>
</cp:coreProperties>
</file>